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theme/themeOverride3.xml" ContentType="application/vnd.openxmlformats-officedocument.themeOverride+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2.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theme/themeOverride4.xml" ContentType="application/vnd.openxmlformats-officedocument.themeOverride+xml"/>
  <Override PartName="/xl/charts/chart35.xml" ContentType="application/vnd.openxmlformats-officedocument.drawingml.chart+xml"/>
  <Override PartName="/xl/charts/chart36.xml" ContentType="application/vnd.openxmlformats-officedocument.drawingml.chart+xml"/>
  <Override PartName="/xl/theme/themeOverride5.xml" ContentType="application/vnd.openxmlformats-officedocument.themeOverride+xml"/>
  <Override PartName="/xl/charts/chart37.xml" ContentType="application/vnd.openxmlformats-officedocument.drawingml.chart+xml"/>
  <Override PartName="/xl/theme/themeOverride6.xml" ContentType="application/vnd.openxmlformats-officedocument.themeOverride+xml"/>
  <Override PartName="/xl/charts/chart38.xml" ContentType="application/vnd.openxmlformats-officedocument.drawingml.chart+xml"/>
  <Override PartName="/xl/charts/chart39.xml" ContentType="application/vnd.openxmlformats-officedocument.drawingml.chart+xml"/>
  <Override PartName="/xl/drawings/drawing13.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4.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15.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theme/themeOverride7.xml" ContentType="application/vnd.openxmlformats-officedocument.themeOverride+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theme/themeOverride8.xml" ContentType="application/vnd.openxmlformats-officedocument.themeOverride+xml"/>
  <Override PartName="/xl/charts/chart57.xml" ContentType="application/vnd.openxmlformats-officedocument.drawingml.chart+xml"/>
  <Override PartName="/xl/charts/chart58.xml" ContentType="application/vnd.openxmlformats-officedocument.drawingml.chart+xml"/>
  <Override PartName="/xl/drawings/drawing16.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theme/themeOverride9.xml" ContentType="application/vnd.openxmlformats-officedocument.themeOverride+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theme/themeOverride10.xml" ContentType="application/vnd.openxmlformats-officedocument.themeOverride+xml"/>
  <Override PartName="/xl/charts/chart66.xml" ContentType="application/vnd.openxmlformats-officedocument.drawingml.chart+xml"/>
  <Override PartName="/xl/charts/chart67.xml" ContentType="application/vnd.openxmlformats-officedocument.drawingml.chart+xml"/>
  <Override PartName="/xl/theme/themeOverride11.xml" ContentType="application/vnd.openxmlformats-officedocument.themeOverride+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theme/themeOverride12.xml" ContentType="application/vnd.openxmlformats-officedocument.themeOverride+xml"/>
  <Override PartName="/xl/charts/chart71.xml" ContentType="application/vnd.openxmlformats-officedocument.drawingml.chart+xml"/>
  <Override PartName="/xl/theme/themeOverride13.xml" ContentType="application/vnd.openxmlformats-officedocument.themeOverride+xml"/>
  <Override PartName="/xl/charts/chart72.xml" ContentType="application/vnd.openxmlformats-officedocument.drawingml.chart+xml"/>
  <Override PartName="/xl/charts/chart73.xml" ContentType="application/vnd.openxmlformats-officedocument.drawingml.chart+xml"/>
  <Override PartName="/xl/theme/themeOverride14.xml" ContentType="application/vnd.openxmlformats-officedocument.themeOverride+xml"/>
  <Override PartName="/xl/charts/chart74.xml" ContentType="application/vnd.openxmlformats-officedocument.drawingml.chart+xml"/>
  <Override PartName="/xl/charts/chart75.xml" ContentType="application/vnd.openxmlformats-officedocument.drawingml.chart+xml"/>
  <Override PartName="/xl/drawings/drawing17.xml" ContentType="application/vnd.openxmlformats-officedocument.drawing+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18.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theme/themeOverride15.xml" ContentType="application/vnd.openxmlformats-officedocument.themeOverride+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theme/themeOverride16.xml" ContentType="application/vnd.openxmlformats-officedocument.themeOverride+xml"/>
  <Override PartName="/xl/charts/chart93.xml" ContentType="application/vnd.openxmlformats-officedocument.drawingml.chart+xml"/>
  <Override PartName="/xl/charts/chart94.xml" ContentType="application/vnd.openxmlformats-officedocument.drawingml.chart+xml"/>
  <Override PartName="/xl/theme/themeOverride17.xml" ContentType="application/vnd.openxmlformats-officedocument.themeOverride+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theme/themeOverride18.xml" ContentType="application/vnd.openxmlformats-officedocument.themeOverride+xml"/>
  <Override PartName="/xl/charts/chart103.xml" ContentType="application/vnd.openxmlformats-officedocument.drawingml.chart+xml"/>
  <Override PartName="/xl/charts/chart104.xml" ContentType="application/vnd.openxmlformats-officedocument.drawingml.chart+xml"/>
  <Override PartName="/xl/theme/themeOverride19.xml" ContentType="application/vnd.openxmlformats-officedocument.themeOverride+xml"/>
  <Override PartName="/xl/charts/chart105.xml" ContentType="application/vnd.openxmlformats-officedocument.drawingml.chart+xml"/>
  <Override PartName="/xl/charts/chart106.xml" ContentType="application/vnd.openxmlformats-officedocument.drawingml.chart+xml"/>
  <Override PartName="/xl/drawings/drawing19.xml" ContentType="application/vnd.openxmlformats-officedocument.drawing+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harts/chart107.xml" ContentType="application/vnd.openxmlformats-officedocument.drawingml.chart+xml"/>
  <Override PartName="/xl/charts/chart108.xml" ContentType="application/vnd.openxmlformats-officedocument.drawingml.chart+xml"/>
  <Override PartName="/xl/theme/themeOverride20.xml" ContentType="application/vnd.openxmlformats-officedocument.themeOverride+xml"/>
  <Override PartName="/xl/charts/chart109.xml" ContentType="application/vnd.openxmlformats-officedocument.drawingml.chart+xml"/>
  <Override PartName="/xl/charts/chart110.xml" ContentType="application/vnd.openxmlformats-officedocument.drawingml.chart+xml"/>
  <Override PartName="/xl/theme/themeOverride21.xml" ContentType="application/vnd.openxmlformats-officedocument.themeOverride+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theme/themeOverride22.xml" ContentType="application/vnd.openxmlformats-officedocument.themeOverride+xml"/>
  <Override PartName="/xl/charts/chart120.xml" ContentType="application/vnd.openxmlformats-officedocument.drawingml.chart+xml"/>
  <Override PartName="/xl/charts/chart121.xml" ContentType="application/vnd.openxmlformats-officedocument.drawingml.chart+xml"/>
  <Override PartName="/xl/theme/themeOverride23.xml" ContentType="application/vnd.openxmlformats-officedocument.themeOverride+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drawings/drawing20.xml" ContentType="application/vnd.openxmlformats-officedocument.drawing+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theme/themeOverride24.xml" ContentType="application/vnd.openxmlformats-officedocument.themeOverride+xml"/>
  <Override PartName="/xl/charts/chart129.xml" ContentType="application/vnd.openxmlformats-officedocument.drawingml.chart+xml"/>
  <Override PartName="/xl/charts/chart130.xml" ContentType="application/vnd.openxmlformats-officedocument.drawingml.chart+xml"/>
  <Override PartName="/xl/theme/themeOverride25.xml" ContentType="application/vnd.openxmlformats-officedocument.themeOverride+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theme/themeOverride26.xml" ContentType="application/vnd.openxmlformats-officedocument.themeOverride+xml"/>
  <Override PartName="/xl/charts/chart134.xml" ContentType="application/vnd.openxmlformats-officedocument.drawingml.chart+xml"/>
  <Override PartName="/xl/charts/chart135.xml" ContentType="application/vnd.openxmlformats-officedocument.drawingml.chart+xml"/>
  <Override PartName="/xl/drawings/drawing21.xml" ContentType="application/vnd.openxmlformats-officedocument.drawing+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theme/themeOverride27.xml" ContentType="application/vnd.openxmlformats-officedocument.themeOverride+xml"/>
  <Override PartName="/xl/charts/chart139.xml" ContentType="application/vnd.openxmlformats-officedocument.drawingml.chart+xml"/>
  <Override PartName="/xl/charts/chart140.xml" ContentType="application/vnd.openxmlformats-officedocument.drawingml.chart+xml"/>
  <Override PartName="/xl/theme/themeOverride28.xml" ContentType="application/vnd.openxmlformats-officedocument.themeOverride+xml"/>
  <Override PartName="/xl/charts/chart141.xml" ContentType="application/vnd.openxmlformats-officedocument.drawingml.chart+xml"/>
  <Override PartName="/xl/charts/chart142.xml" ContentType="application/vnd.openxmlformats-officedocument.drawingml.chart+xml"/>
  <Override PartName="/xl/theme/themeOverride29.xml" ContentType="application/vnd.openxmlformats-officedocument.themeOverride+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theme/themeOverride30.xml" ContentType="application/vnd.openxmlformats-officedocument.themeOverride+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drawings/drawing22.xml" ContentType="application/vnd.openxmlformats-officedocument.drawing+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drawings/drawing23.xml" ContentType="application/vnd.openxmlformats-officedocument.drawing+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theme/themeOverride31.xml" ContentType="application/vnd.openxmlformats-officedocument.themeOverride+xml"/>
  <Override PartName="/xl/charts/chart158.xml" ContentType="application/vnd.openxmlformats-officedocument.drawingml.chart+xml"/>
  <Override PartName="/xl/charts/chart159.xml" ContentType="application/vnd.openxmlformats-officedocument.drawingml.chart+xml"/>
  <Override PartName="/xl/theme/themeOverride32.xml" ContentType="application/vnd.openxmlformats-officedocument.themeOverride+xml"/>
  <Override PartName="/xl/charts/chart160.xml" ContentType="application/vnd.openxmlformats-officedocument.drawingml.chart+xml"/>
  <Override PartName="/xl/charts/chart161.xml" ContentType="application/vnd.openxmlformats-officedocument.drawingml.chart+xml"/>
  <Override PartName="/xl/drawings/drawing24.xml" ContentType="application/vnd.openxmlformats-officedocument.drawing+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theme/themeOverride33.xml" ContentType="application/vnd.openxmlformats-officedocument.themeOverride+xml"/>
  <Override PartName="/xl/charts/chart165.xml" ContentType="application/vnd.openxmlformats-officedocument.drawingml.chart+xml"/>
  <Override PartName="/xl/charts/chart16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updateLinks="never" codeName="ThisWorkbook"/>
  <mc:AlternateContent xmlns:mc="http://schemas.openxmlformats.org/markup-compatibility/2006">
    <mc:Choice Requires="x15">
      <x15ac:absPath xmlns:x15ac="http://schemas.microsoft.com/office/spreadsheetml/2010/11/ac" url="P:\Children's Social Care\2. LA Benchmarking\2. Children's Social Care\1. CSC Benchmarking Reports\Annual Reports\2023-24\"/>
    </mc:Choice>
  </mc:AlternateContent>
  <xr:revisionPtr revIDLastSave="0" documentId="13_ncr:1_{147AE6AB-BDFD-47A1-AC59-4873EA883983}" xr6:coauthVersionLast="47" xr6:coauthVersionMax="47" xr10:uidLastSave="{00000000-0000-0000-0000-000000000000}"/>
  <bookViews>
    <workbookView showSheetTabs="0" xWindow="-120" yWindow="-120" windowWidth="29040" windowHeight="15720" firstSheet="23" activeTab="8" xr2:uid="{9C6F3450-0CF1-47CA-BB1E-52F70296056E}"/>
  </bookViews>
  <sheets>
    <sheet name="Year 1" sheetId="77" state="hidden" r:id="rId1"/>
    <sheet name="Year 2" sheetId="78" state="hidden" r:id="rId2"/>
    <sheet name="Year 3" sheetId="79" state="hidden" r:id="rId3"/>
    <sheet name="Year 4" sheetId="80" state="hidden" r:id="rId4"/>
    <sheet name="Year 5" sheetId="81" state="hidden" r:id="rId5"/>
    <sheet name="ReportData" sheetId="75" state="hidden" r:id="rId6"/>
    <sheet name="ChartLabels" sheetId="92" state="hidden" r:id="rId7"/>
    <sheet name="Nav" sheetId="96" r:id="rId8"/>
    <sheet name="Frontpage" sheetId="29" r:id="rId9"/>
    <sheet name="Home" sheetId="76" r:id="rId10"/>
    <sheet name="Indicators" sheetId="88" r:id="rId11"/>
    <sheet name="Sheet1" sheetId="93" state="hidden" r:id="rId12"/>
    <sheet name="ParticipatingLA" sheetId="27" r:id="rId13"/>
    <sheet name="IDACI" sheetId="44" r:id="rId14"/>
    <sheet name="Population" sheetId="22" r:id="rId15"/>
    <sheet name="Referrals" sheetId="49" r:id="rId16"/>
    <sheet name="Referral_Source" sheetId="50" r:id="rId17"/>
    <sheet name="Re-referrals" sheetId="62" r:id="rId18"/>
    <sheet name="Assessments" sheetId="63" r:id="rId19"/>
    <sheet name="Children in Need" sheetId="64" r:id="rId20"/>
    <sheet name="Section 47 Enquiries" sheetId="65" r:id="rId21"/>
    <sheet name="Initial CP Conferences" sheetId="66" r:id="rId22"/>
    <sheet name="Child Protection Plans" sheetId="67" r:id="rId23"/>
    <sheet name="Court Applications" sheetId="68" r:id="rId24"/>
    <sheet name="Looked After Children" sheetId="69" r:id="rId25"/>
    <sheet name="New_Ceased_LAC" sheetId="83" r:id="rId26"/>
    <sheet name="Permanence" sheetId="70" r:id="rId27"/>
    <sheet name="Care_Leavers" sheetId="84" r:id="rId28"/>
    <sheet name="EHE_CME" sheetId="91" state="hidden" r:id="rId29"/>
    <sheet name="Participation" sheetId="85" r:id="rId30"/>
    <sheet name="YouthJustice" sheetId="86" r:id="rId31"/>
  </sheets>
  <definedNames>
    <definedName name="_xlnm._FilterDatabase" localSheetId="3" hidden="1">'Year 4'!$A$1:$W$113</definedName>
    <definedName name="Age_Breakdown_of_LAC" localSheetId="1">'Year 2'!$C$63:$W$63</definedName>
    <definedName name="Age_Breakdown_of_LAC" localSheetId="2">'Year 3'!$C$63:$W$63</definedName>
    <definedName name="Age_Breakdown_of_LAC" localSheetId="3">'Year 4'!$C$63:$W$63</definedName>
    <definedName name="Age_Breakdown_of_LAC" localSheetId="4">'Year 5'!$C$63:$W$63</definedName>
    <definedName name="Age_Breakdown_of_LAC">'Year 1'!$C$63:$W$63</definedName>
    <definedName name="BMLIST">Home!$AA$9:$AT$9</definedName>
    <definedName name="Number_of_CSC_Single_Assessments_Authorised_within" localSheetId="1">'Year 2'!$C$37:$W$37</definedName>
    <definedName name="Number_of_CSC_Single_Assessments_Authorised_within" localSheetId="2">'Year 3'!$C$37:$W$37</definedName>
    <definedName name="Number_of_CSC_Single_Assessments_Authorised_within" localSheetId="3">'Year 4'!$C$37:$W$37</definedName>
    <definedName name="Number_of_CSC_Single_Assessments_Authorised_within" localSheetId="4">'Year 5'!$C$37:$W$37</definedName>
    <definedName name="Number_of_CSC_Single_Assessments_Authorised_within">'Year 1'!$C$37:$W$37</definedName>
    <definedName name="Number_of_Referrals_to_CSC_received_from" localSheetId="1">'Year 2'!$C$12:$W$12</definedName>
    <definedName name="Number_of_Referrals_to_CSC_received_from" localSheetId="2">'Year 3'!$C$12:$W$12</definedName>
    <definedName name="Number_of_Referrals_to_CSC_received_from" localSheetId="3">'Year 4'!$C$12:$W$12</definedName>
    <definedName name="Number_of_Referrals_to_CSC_received_from" localSheetId="4">'Year 5'!$C$12:$W$12</definedName>
    <definedName name="Number_of_Referrals_to_CSC_received_from">'Year 1'!$C$12:$W$12</definedName>
    <definedName name="_xlnm.Print_Area" localSheetId="18">Assessments!$A$1:$U$167</definedName>
    <definedName name="_xlnm.Print_Area" localSheetId="27">Care_Leavers!$A$1:$U$235</definedName>
    <definedName name="_xlnm.Print_Area" localSheetId="22">'Child Protection Plans'!$A$1:$U$270</definedName>
    <definedName name="_xlnm.Print_Area" localSheetId="19">'Children in Need'!$A$1:$U$103</definedName>
    <definedName name="_xlnm.Print_Area" localSheetId="23">'Court Applications'!$A$1:$U$206</definedName>
    <definedName name="_xlnm.Print_Area" localSheetId="28">EHE_CME!$A$1:$U$140</definedName>
    <definedName name="_xlnm.Print_Area" localSheetId="8">Frontpage!$A$1:$K$32</definedName>
    <definedName name="_xlnm.Print_Area" localSheetId="9">Home!$A$1:$Y$114</definedName>
    <definedName name="_xlnm.Print_Area" localSheetId="13">IDACI!$A$1:$Q$58</definedName>
    <definedName name="_xlnm.Print_Area" localSheetId="10">Indicators!$A$1:$H$115</definedName>
    <definedName name="_xlnm.Print_Area" localSheetId="21">'Initial CP Conferences'!$A$1:$U$169</definedName>
    <definedName name="_xlnm.Print_Area" localSheetId="24">'Looked After Children'!$A$1:$U$336</definedName>
    <definedName name="_xlnm.Print_Area" localSheetId="7">Nav!$A$80:$B$80</definedName>
    <definedName name="_xlnm.Print_Area" localSheetId="25">New_Ceased_LAC!$A$1:$U$371</definedName>
    <definedName name="_xlnm.Print_Area" localSheetId="12">ParticipatingLA!$A$1:$X$31</definedName>
    <definedName name="_xlnm.Print_Area" localSheetId="29">Participation!$A$1:$U$134</definedName>
    <definedName name="_xlnm.Print_Area" localSheetId="26">Permanence!$A$1:$T$204</definedName>
    <definedName name="_xlnm.Print_Area" localSheetId="14">Population!$A$1:$U$68</definedName>
    <definedName name="_xlnm.Print_Area" localSheetId="16">Referral_Source!$A$1:$Y$122</definedName>
    <definedName name="_xlnm.Print_Area" localSheetId="15">Referrals!$A$1:$U$170</definedName>
    <definedName name="_xlnm.Print_Area" localSheetId="17">'Re-referrals'!$A$1:$U$135</definedName>
    <definedName name="_xlnm.Print_Area" localSheetId="20">'Section 47 Enquiries'!$A$1:$U$103</definedName>
    <definedName name="_xlnm.Print_Area" localSheetId="30">YouthJustice!$A$1:$U$101</definedName>
    <definedName name="Year1__1617__participating_in_EET">'Year 1'!$C$101:$W$101</definedName>
    <definedName name="Year1__electively_home_educated">'Year 1'!$C$98:$W$98</definedName>
    <definedName name="Year1_16_17__participating_in_EET">'Year 1'!$C$101:$W$101</definedName>
    <definedName name="Year1_16_17_NEET">'Year 1'!$C$102:$W$102</definedName>
    <definedName name="Year1_16_17_not_known">'Year 1'!$C$103:$W$103</definedName>
    <definedName name="Year1_16_17_participating_in_EET">'Year 1'!$C$101:$W$101</definedName>
    <definedName name="Year1_1617__participating_in_EET">'Year 1'!$C$101:$W$101</definedName>
    <definedName name="Year1_1617_Cohort_from_Annual_Publication">'Year 1'!$C$111:$W$111</definedName>
    <definedName name="Year1_1617_EET_from_Annual_Publication_p">'Year 1'!$C$109:$W$109</definedName>
    <definedName name="Year1_1617_NEET">'Year 1'!$C$102:$W$102</definedName>
    <definedName name="Year1_1617_NEET_from_Annual_Publication_p">'Year 1'!$C$108:$W$108</definedName>
    <definedName name="Year1_1617_NK_from_Annual_Publication_p">'Year 1'!$C$110:$W$110</definedName>
    <definedName name="Year1_1617_not_known">'Year 1'!$C$103:$W$103</definedName>
    <definedName name="Year1_A10">'Year 1'!$C$106:$W$106</definedName>
    <definedName name="Year1_Adoption_ceased_LAC">'Year 1'!$C$80:$W$80</definedName>
    <definedName name="Year1_Adoption_LAC_Adopted">'Year 1'!$C$83:$W$83</definedName>
    <definedName name="Year1_Adoption_LAC_Adopted_days">'Year 1'!$C$84:$W$84</definedName>
    <definedName name="Year1_Adoption_LAC_Adopted_placed_with_12months">'Year 1'!$C$85:$W$85</definedName>
    <definedName name="Year1_Adoption_PFA">'Year 1'!$C$79:$W$79</definedName>
    <definedName name="Year1_Assessments">'Year 1'!$C$36:$W$36</definedName>
    <definedName name="Year1_Assessments_10days">'Year 1'!$C$38:$W$38</definedName>
    <definedName name="Year1_Assessments_11_20days">'Year 1'!$C$39:$W$39</definedName>
    <definedName name="Year1_Assessments_21_30days">'Year 1'!$C$40:$W$40</definedName>
    <definedName name="Year1_Assessments_25th_Percentile_days">'Year 1'!$C$43:$W$43</definedName>
    <definedName name="Year1_Assessments_31_45days">'Year 1'!$C$41:$W$41</definedName>
    <definedName name="Year1_Assessments_75th_Percentile_days">'Year 1'!$C$45:$W$45</definedName>
    <definedName name="Year1_Assessments_Median_days">'Year 1'!$C$44:$W$44</definedName>
    <definedName name="Year1_Assessments_No_further_action">'Year 1'!$C$47:$W$47</definedName>
    <definedName name="Year1_Assessments_over_45days">'Year 1'!$C$42:$W$42</definedName>
    <definedName name="Year1_Assessments_step_down">'Year 1'!$C$46:$W$46</definedName>
    <definedName name="Year1_Assessments_within45days">'Year 1'!$C$112:$W$112</definedName>
    <definedName name="Year1_Bracknell_Forest">'Year 1'!$C$2:$C$113</definedName>
    <definedName name="Year1_Brighton_and_Hove">'Year 1'!$D$2:$D$113</definedName>
    <definedName name="Year1_Buckinghamshire">'Year 1'!$E$2:$E$113</definedName>
    <definedName name="Year1_CAO_RO_Total">'Year 1'!$C$94:$W$94</definedName>
    <definedName name="Year1_Care_Applications">'Year 1'!$C$99:$W$99</definedName>
    <definedName name="Year1_Care_Applications_Children">'Year 1'!$C$100:$W$100</definedName>
    <definedName name="Year1_Care_Leavers_19_20_Ceased18">'Year 1'!$C$87:$W$87</definedName>
    <definedName name="Year1_Care_Leavers_19_20_Ceased18_SP">'Year 1'!$C$86:$W$86</definedName>
    <definedName name="Year1_Care_Leavers_at_end_of_period">'Year 1'!$C$88:$W$88</definedName>
    <definedName name="Year1_Care_Leavers_in_EET">'Year 1'!$C$91:$W$91</definedName>
    <definedName name="Year1_Care_Leavers_in_suitable_accommodation">'Year 1'!$C$90:$W$90</definedName>
    <definedName name="Year1_Care_Leavers_in_touch">'Year 1'!$C$89:$W$89</definedName>
    <definedName name="Year1_Ceased_LAC_16plus">'Year 1'!$C$81:$W$81</definedName>
    <definedName name="Year1_Ceased_LAC_16plus_18th">'Year 1'!$C$82:$W$82</definedName>
    <definedName name="Year1_Children_missing_Education">'Year 1'!$C$97:$W$97</definedName>
    <definedName name="Year1_CIN">'Year 1'!$C$48:$W$48</definedName>
    <definedName name="Year1_CIN_Section47">'Year 1'!$C$49:$W$49</definedName>
    <definedName name="Year1_CL_SA_Denominator_from_903">'Year 1'!$C$107:$W$107</definedName>
    <definedName name="Year1_Contacts">'Year 1'!$C$2:$W$2</definedName>
    <definedName name="Year1_Continuous_assessments">'Year 1'!$C$113:$W$113</definedName>
    <definedName name="Year1_CP_Conference">'Year 1'!$C$50:$W$50</definedName>
    <definedName name="Year1_CP_Conference_within15days">'Year 1'!$C$51:$W$51</definedName>
    <definedName name="Year1_CP_Plans">'Year 1'!$C$52:$W$52</definedName>
    <definedName name="Year1_CP_Plans_2years">'Year 1'!$C$56:$W$56</definedName>
    <definedName name="Year1_CP_Plans_3months">'Year 1'!$C$53:$W$53</definedName>
    <definedName name="Year1_CP_Plans_3months_timescales">'Year 1'!$C$54:$W$54</definedName>
    <definedName name="Year1_CP_Plans_became_subject">'Year 1'!$C$59:$W$59</definedName>
    <definedName name="Year1_CP_Plans_became_subject_second">'Year 1'!$C$60:$W$60</definedName>
    <definedName name="Year1_CP_Plans_became_subject_second_2years">'Year 1'!$C$61:$W$61</definedName>
    <definedName name="Year1_CP_Plans_ceased">'Year 1'!$C$57:$W$57</definedName>
    <definedName name="Year1_CP_Plans_ceased_2years">'Year 1'!$C$58:$W$58</definedName>
    <definedName name="Year1_CP_Plans_Seen_in_Timescales">'Year 1'!$C$55:$W$55</definedName>
    <definedName name="Year1_EarlyHelpAssessments">'Year 1'!$C$6:$W$6</definedName>
    <definedName name="Year1_EarlyHelpAssessmentsStepUp">'Year 1'!$C$7:$W$7</definedName>
    <definedName name="Year1_EarlyHelpedChildren">'Year 1'!$C$8:$W$8</definedName>
    <definedName name="Year1_EarlyHelpReferrals">'Year 1'!$C$3:$W$3</definedName>
    <definedName name="Year1_EarlyHelpReferralsSTEPDOWN">'Year 1'!$C$4:$W$4</definedName>
    <definedName name="Year1_EarlyHelpReReferrals">'Year 1'!$C$5:$W$5</definedName>
    <definedName name="Year1_East_Sussex">'Year 1'!$F$2:$F$113</definedName>
    <definedName name="Year1_electively_home_educated">'Year 1'!$C$98:$W$98</definedName>
    <definedName name="Year1_England">'Year 1'!$W$2:$W$113</definedName>
    <definedName name="Year1_First_Time_Entrants_to_Youth_Justice_system">'Year 1'!$C$96:$W$96</definedName>
    <definedName name="Year1_Hampshire">'Year 1'!$G$2:$G$113</definedName>
    <definedName name="Year1_Isle_of_Wight">'Year 1'!$H$2:$H$113</definedName>
    <definedName name="Year1_Juvenile_Offenders__Age_1017">'Year 1'!$C$104:$W$104</definedName>
    <definedName name="Year1_Juvenile_offenders_age_10_17">'Year 1'!$C$104:$W$104</definedName>
    <definedName name="Year1_Juvenile_Reoffenders__Age_1017">'Year 1'!$C$105:$W$105</definedName>
    <definedName name="Year1_Juvenile_Reoffenders_age_10_17">'Year 1'!$C$105:$W$105</definedName>
    <definedName name="Year1_Kent">'Year 1'!$I$2:$I$113</definedName>
    <definedName name="Year1_LAC">'Year 1'!$C$62:$W$62</definedName>
    <definedName name="Year1_LAC_10to15">'Year 1'!$C$67:$W$67</definedName>
    <definedName name="Year1_LAC_16plus">'Year 1'!$C$68:$W$68</definedName>
    <definedName name="Year1_LAC_1to4">'Year 1'!$C$65:$W$65</definedName>
    <definedName name="Year1_LAC_3_or_more_Placements">'Year 1'!$C$73:$W$73</definedName>
    <definedName name="Year1_LAC_4weeks">'Year 1'!$C$74:$W$74</definedName>
    <definedName name="Year1_LAC_4weeks_reviews_in_timescales">'Year 1'!$C$75:$W$75</definedName>
    <definedName name="Year1_LAC_5to9">'Year 1'!$C$66:$W$66</definedName>
    <definedName name="Year1_LAC_Remanded">'Year 1'!$C$78:$W$78</definedName>
    <definedName name="Year1_LAC_Start">'Year 1'!$C$76:$W$76</definedName>
    <definedName name="Year1_LAC_Start_2nd_time">'Year 1'!$C$77:$W$77</definedName>
    <definedName name="Year1_LAC_UASC">'Year 1'!$C$72:$W$72</definedName>
    <definedName name="Year1_LAC_Under1">'Year 1'!$C$64:$W$64</definedName>
    <definedName name="Year1_LAC_under16">'Year 1'!$C$69:$W$69</definedName>
    <definedName name="Year1_LAC_under16_2.5years">'Year 1'!$C$70:$W$70</definedName>
    <definedName name="Year1_LAC_under16_2.5years_sameplacement2years">'Year 1'!$C$71:$W$71</definedName>
    <definedName name="Year1_Medway">'Year 1'!$J$2:$J$113</definedName>
    <definedName name="Year1_Milton_Keynes">'Year 1'!$K$2:$K$113</definedName>
    <definedName name="Year1_Oxfordshire">'Year 1'!$L$2:$L$113</definedName>
    <definedName name="Year1_Portsmouth">'Year 1'!$M$2:$M$113</definedName>
    <definedName name="Year1_Reading">'Year 1'!$N$2:$N$113</definedName>
    <definedName name="Year1_Referrals">'Year 1'!$C$9:$W$9</definedName>
    <definedName name="Year1_ReferralsAssessment" localSheetId="1">'Year 2'!$C$11:$W$11</definedName>
    <definedName name="Year1_ReferralsAssessment" localSheetId="2">'Year 3'!$C$11:$W$11</definedName>
    <definedName name="Year1_ReferralsAssessment" localSheetId="3">'Year 4'!$C$11:$W$11</definedName>
    <definedName name="Year1_ReferralsAssessment">'Year 1'!$C$11:$W$11</definedName>
    <definedName name="Year1_ReferralSource_Anonymous">'Year 1'!$C$33:$W$33</definedName>
    <definedName name="Year1_ReferralSource_EducationServices">'Year 1'!$C$18:$W$18</definedName>
    <definedName name="Year1_ReferralSource_Health_services_AE">'Year 1'!$C$23:$W$23</definedName>
    <definedName name="Year1_ReferralSource_Health_services_GP">'Year 1'!$C$19:$W$19</definedName>
    <definedName name="Year1_ReferralSource_Health_services_HealthVisitor">'Year 1'!$C$20:$W$20</definedName>
    <definedName name="Year1_ReferralSource_Health_services_Other">'Year 1'!$C$24:$W$24</definedName>
    <definedName name="Year1_ReferralSource_Health_services_OthPrimary">'Year 1'!$C$22:$W$22</definedName>
    <definedName name="Year1_ReferralSource_Health_services_SchoolNurse">'Year 1'!$C$21:$W$21</definedName>
    <definedName name="Year1_ReferralSource_Housing">'Year 1'!$C$25:$W$25</definedName>
    <definedName name="Year1_ReferralSource_Individual_Acquaintance">'Year 1'!$C$14:$W$14</definedName>
    <definedName name="Year1_ReferralSource_Individual_Family">'Year 1'!$C$13:$W$13</definedName>
    <definedName name="Year1_ReferralSource_Individual_Other">'Year 1'!$C$16:$W$16</definedName>
    <definedName name="Year1_ReferralSource_Individual_Self">'Year 1'!$C$15:$W$15</definedName>
    <definedName name="Year1_ReferralSource_LA_Early_Help">'Year 1'!$C$29:$W$29</definedName>
    <definedName name="Year1_ReferralSource_LA_External">'Year 1'!$C$28:$W$28</definedName>
    <definedName name="Year1_ReferralSource_LA_Other">'Year 1'!$C$27:$W$27</definedName>
    <definedName name="Year1_ReferralSource_LA_SC">'Year 1'!$C$26:$W$26</definedName>
    <definedName name="Year1_ReferralSource_Other">'Year 1'!$C$32:$W$32</definedName>
    <definedName name="Year1_ReferralSource_Other_Legal">'Year 1'!$C$31:$W$31</definedName>
    <definedName name="Year1_ReferralSource_Police">'Year 1'!$C$30:$W$30</definedName>
    <definedName name="Year1_ReferralSource_School">'Year 1'!$C$17:$W$17</definedName>
    <definedName name="Year1_ReferralSource_Unknown">'Year 1'!$C$34:$W$34</definedName>
    <definedName name="Year1_ReferralsPriorEH">'Year 1'!$C$10:$W$10</definedName>
    <definedName name="Year1_ReReferrals">'Year 1'!$C$35:$W$35</definedName>
    <definedName name="Year1_ROSGO_ceased_LAC_CAO">'Year 1'!$C$92:$W$92</definedName>
    <definedName name="Year1_ROSGO_ceased_LAC_SGO">'Year 1'!$C$93:$W$93</definedName>
    <definedName name="Year1_SGO_total">'Year 1'!$C$95:$W$95</definedName>
    <definedName name="Year1_Slough">'Year 1'!$O$2:$O$113</definedName>
    <definedName name="Year1_South_East">'Year 1'!$V$2:$V$113</definedName>
    <definedName name="Year1_Southampton">'Year 1'!$P$2:$P$113</definedName>
    <definedName name="Year1_Surrey">'Year 1'!$Q$2:$Q$113</definedName>
    <definedName name="Year1_West_Berkshire">'Year 1'!$R$2:$R$113</definedName>
    <definedName name="Year1_West_Sussex">'Year 1'!$S$2:$S$113</definedName>
    <definedName name="Year1_Windsor_and_Maidenhead">'Year 1'!$T$2:$T$113</definedName>
    <definedName name="Year1_Wokingham">'Year 1'!$U$2:$U$113</definedName>
    <definedName name="Year2__1617__participating_in_EET">'Year 2'!$C$101:$W$101</definedName>
    <definedName name="Year2__electively_home_educated">'Year 2'!$C$98:$W$98</definedName>
    <definedName name="Year2_16_17__participating_in_EET">'Year 2'!$C$101:$W$101</definedName>
    <definedName name="Year2_16_17_NEET">'Year 2'!$C$102:$W$102</definedName>
    <definedName name="Year2_16_17_not_known">'Year 2'!$C$103:$W$103</definedName>
    <definedName name="Year2_16_17_participating_in_EET">'Year 2'!$C$101:$W$101</definedName>
    <definedName name="Year2_1617__participating_in_EET">'Year 2'!$C$101:$W$101</definedName>
    <definedName name="Year2_1617_Cohort_from_Annual_Publication">'Year 2'!$C$111:$W$111</definedName>
    <definedName name="Year2_1617_EET_from_Annual_Publication_p">'Year 2'!$C$109:$W$109</definedName>
    <definedName name="Year2_1617_NEET">'Year 2'!$C$102:$W$102</definedName>
    <definedName name="Year2_1617_NEET_from_Annual_Publication_p">'Year 2'!$C$108:$W$108</definedName>
    <definedName name="Year2_1617_NK_from_Annual_Publication_p">'Year 2'!$C$110:$W$110</definedName>
    <definedName name="Year2_1617_not_known">'Year 2'!$C$103:$W$103</definedName>
    <definedName name="Year2_A10">'Year 2'!$C$106:$W$106</definedName>
    <definedName name="Year2_Adoption_ceased_LAC">'Year 2'!$C$80:$W$80</definedName>
    <definedName name="Year2_Adoption_LAC_Adopted">'Year 2'!$C$83:$W$83</definedName>
    <definedName name="Year2_Adoption_LAC_Adopted_days">'Year 2'!$C$84:$W$84</definedName>
    <definedName name="Year2_Adoption_LAC_Adopted_placed_with_12months">'Year 2'!$C$85:$W$85</definedName>
    <definedName name="Year2_Adoption_PFA">'Year 2'!$C$79:$W$79</definedName>
    <definedName name="Year2_Assessments">'Year 2'!$C$36:$W$36</definedName>
    <definedName name="Year2_Assessments_10days">'Year 2'!$C$38:$W$38</definedName>
    <definedName name="Year2_Assessments_11_20days">'Year 2'!$C$39:$W$39</definedName>
    <definedName name="Year2_Assessments_21_30days">'Year 2'!$C$40:$W$40</definedName>
    <definedName name="Year2_Assessments_25th_Percentile_days">'Year 2'!$C$43:$W$43</definedName>
    <definedName name="Year2_Assessments_31_45days">'Year 2'!$C$41:$W$41</definedName>
    <definedName name="Year2_Assessments_75th_Percentile_days">'Year 2'!$C$45:$W$45</definedName>
    <definedName name="Year2_Assessments_Median_days">'Year 2'!$C$44:$W$44</definedName>
    <definedName name="Year2_Assessments_No_further_action">'Year 2'!$C$47:$W$47</definedName>
    <definedName name="Year2_Assessments_over_45days">'Year 2'!$C$42:$W$42</definedName>
    <definedName name="Year2_Assessments_step_down">'Year 2'!$C$46:$W$46</definedName>
    <definedName name="Year2_Assessments_within45days">'Year 2'!$C$112:$W$112</definedName>
    <definedName name="Year2_Bracknell_Forest">'Year 2'!$C$2:$C$113</definedName>
    <definedName name="Year2_Brighton_and_Hove">'Year 2'!$D$2:$D$113</definedName>
    <definedName name="Year2_Buckinghamshire">'Year 2'!$E$2:$E$113</definedName>
    <definedName name="Year2_CAO_RO_Total">'Year 2'!$C$94:$W$94</definedName>
    <definedName name="Year2_Care_Applications">'Year 2'!$C$99:$W$99</definedName>
    <definedName name="Year2_Care_Applications_Children">'Year 2'!$C$100:$W$100</definedName>
    <definedName name="Year2_Care_Leavers_19_20_Ceased18">'Year 2'!$C$87:$W$87</definedName>
    <definedName name="Year2_Care_Leavers_19_20_Ceased18_SP">'Year 2'!$C$86:$W$86</definedName>
    <definedName name="Year2_Care_Leavers_at_end_of_period">'Year 2'!$C$88:$W$88</definedName>
    <definedName name="Year2_Care_Leavers_in_EET">'Year 2'!$C$91:$W$91</definedName>
    <definedName name="Year2_Care_Leavers_in_suitable_accommodation">'Year 2'!$C$90:$W$90</definedName>
    <definedName name="Year2_Care_Leavers_in_touch">'Year 2'!$C$89:$W$89</definedName>
    <definedName name="Year2_Ceased_LAC_16plus">'Year 2'!$C$81:$W$81</definedName>
    <definedName name="Year2_Ceased_LAC_16plus_18th">'Year 2'!$C$82:$W$82</definedName>
    <definedName name="Year2_Children_missing_Education">'Year 2'!$C$97:$W$97</definedName>
    <definedName name="Year2_CIN">'Year 2'!$C$48:$W$48</definedName>
    <definedName name="Year2_CIN_Section47">'Year 2'!$C$49:$W$49</definedName>
    <definedName name="Year2_CL_SA_Denominator_from_903">'Year 2'!$C$107:$W$107</definedName>
    <definedName name="Year2_Contacts">'Year 2'!$C$2:$W$2</definedName>
    <definedName name="Year2_Continuous_assessments">'Year 2'!$C$113:$W$113</definedName>
    <definedName name="Year2_CP_Conference">'Year 2'!$C$50:$W$50</definedName>
    <definedName name="Year2_CP_Conference_within15days">'Year 2'!$C$51:$W$51</definedName>
    <definedName name="Year2_CP_Plans">'Year 2'!$C$52:$W$52</definedName>
    <definedName name="Year2_CP_Plans_2years">'Year 2'!$C$56:$W$56</definedName>
    <definedName name="Year2_CP_Plans_3months">'Year 2'!$C$53:$W$53</definedName>
    <definedName name="Year2_CP_Plans_3months_timescales">'Year 2'!$C$54:$W$54</definedName>
    <definedName name="Year2_CP_Plans_became_subject">'Year 2'!$C$59:$W$59</definedName>
    <definedName name="Year2_CP_Plans_became_subject_second">'Year 2'!$C$60:$W$60</definedName>
    <definedName name="Year2_CP_Plans_became_subject_second_2years">'Year 2'!$C$61:$W$61</definedName>
    <definedName name="Year2_CP_Plans_ceased">'Year 2'!$C$57:$W$57</definedName>
    <definedName name="Year2_CP_Plans_ceased_2years">'Year 2'!$C$58:$W$58</definedName>
    <definedName name="Year2_CP_Plans_Seen_in_Timescales">'Year 2'!$C$55:$W$55</definedName>
    <definedName name="Year2_EarlyHelpAssessments">'Year 2'!$C$6:$W$6</definedName>
    <definedName name="Year2_EarlyHelpAssessmentsStepUp">'Year 2'!$C$7:$W$7</definedName>
    <definedName name="Year2_EarlyHelpedChildren">'Year 2'!$C$8:$W$8</definedName>
    <definedName name="Year2_EarlyHelpReferrals">'Year 2'!$C$3:$W$3</definedName>
    <definedName name="Year2_EarlyHelpReferralsSTEPDOWN">'Year 2'!$C$4:$W$4</definedName>
    <definedName name="Year2_EarlyHelpReReferrals">'Year 2'!$C$5:$W$5</definedName>
    <definedName name="Year2_East_Sussex">'Year 2'!$F$2:$F$113</definedName>
    <definedName name="Year2_electively_home_educated">'Year 2'!$C$98:$W$98</definedName>
    <definedName name="Year2_England">'Year 2'!$W$2:$W$113</definedName>
    <definedName name="Year2_First_Time_Entrants_to_Youth_Justice_system">'Year 2'!$C$96:$W$96</definedName>
    <definedName name="Year2_Hampshire">'Year 2'!$G$2:$G$113</definedName>
    <definedName name="Year2_Isle_of_Wight">'Year 2'!$H$2:$H$113</definedName>
    <definedName name="Year2_Juvenile_Offenders__Age_1017">'Year 2'!$C$104:$W$104</definedName>
    <definedName name="Year2_Juvenile_offenders_age_10_17">'Year 2'!$C$104:$W$104</definedName>
    <definedName name="Year2_Juvenile_Reoffenders__Age_1017">'Year 2'!$C$105:$W$105</definedName>
    <definedName name="Year2_Juvenile_Reoffenders_age_10_17">'Year 2'!$C$105:$W$105</definedName>
    <definedName name="Year2_Kent">'Year 2'!$I$2:$I$113</definedName>
    <definedName name="Year2_LAC">'Year 2'!$C$62:$W$62</definedName>
    <definedName name="Year2_LAC_10to15">'Year 2'!$C$67:$W$67</definedName>
    <definedName name="Year2_LAC_16plus">'Year 2'!$C$68:$W$68</definedName>
    <definedName name="Year2_LAC_1to4">'Year 2'!$C$65:$W$65</definedName>
    <definedName name="Year2_LAC_3_or_more_Placements">'Year 2'!$C$73:$W$73</definedName>
    <definedName name="Year2_LAC_4weeks">'Year 2'!$C$74:$W$74</definedName>
    <definedName name="Year2_LAC_4weeks_reviews_in_timescales">'Year 2'!$C$75:$W$75</definedName>
    <definedName name="Year2_LAC_5to9">'Year 2'!$C$66:$W$66</definedName>
    <definedName name="Year2_LAC_Remanded">'Year 2'!$C$78:$W$78</definedName>
    <definedName name="Year2_LAC_Start">'Year 2'!$C$76:$W$76</definedName>
    <definedName name="Year2_LAC_Start_2nd_time">'Year 2'!$C$77:$W$77</definedName>
    <definedName name="Year2_LAC_UASC">'Year 2'!$C$72:$W$72</definedName>
    <definedName name="Year2_LAC_Under1">'Year 2'!$C$64:$W$64</definedName>
    <definedName name="Year2_LAC_under16">'Year 2'!$C$69:$W$69</definedName>
    <definedName name="Year2_LAC_under16_2.5years">'Year 2'!$C$70:$W$70</definedName>
    <definedName name="Year2_LAC_under16_2.5years_sameplacement2years">'Year 2'!$C$71:$W$71</definedName>
    <definedName name="Year2_Medway">'Year 2'!$J$2:$J$113</definedName>
    <definedName name="Year2_Milton_Keynes">'Year 2'!$K$2:$K$113</definedName>
    <definedName name="Year2_Oxfordshire">'Year 2'!$L$2:$L$113</definedName>
    <definedName name="Year2_Portsmouth">'Year 2'!$M$2:$M$113</definedName>
    <definedName name="Year2_Reading">'Year 2'!$N$2:$N$113</definedName>
    <definedName name="Year2_Referrals">'Year 2'!$C$9:$W$9</definedName>
    <definedName name="Year2_ReferralsAssessment">'Year 2'!$C$11:$W$11</definedName>
    <definedName name="Year2_ReferralSource_Anonymous">'Year 2'!$C$33:$W$33</definedName>
    <definedName name="Year2_ReferralSource_EducationServices">'Year 2'!$C$18:$W$18</definedName>
    <definedName name="Year2_ReferralSource_Health_services_AE">'Year 2'!$C$23:$W$23</definedName>
    <definedName name="Year2_ReferralSource_Health_services_GP">'Year 2'!$C$19:$W$19</definedName>
    <definedName name="Year2_ReferralSource_Health_services_HealthVisitor">'Year 2'!$C$20:$W$20</definedName>
    <definedName name="Year2_ReferralSource_Health_services_Other">'Year 2'!$C$24:$W$24</definedName>
    <definedName name="Year2_ReferralSource_Health_services_OthPrimary">'Year 2'!$C$22:$W$22</definedName>
    <definedName name="Year2_ReferralSource_Health_services_SchoolNurse">'Year 2'!$C$21:$W$21</definedName>
    <definedName name="Year2_ReferralSource_Housing">'Year 2'!$C$25:$W$25</definedName>
    <definedName name="Year2_ReferralSource_Individual_Acquaintance">'Year 2'!$C$14:$W$14</definedName>
    <definedName name="Year2_ReferralSource_Individual_Family">'Year 2'!$C$13:$W$13</definedName>
    <definedName name="Year2_ReferralSource_Individual_Other">'Year 2'!$C$16:$W$16</definedName>
    <definedName name="Year2_ReferralSource_Individual_Self">'Year 2'!$C$15:$W$15</definedName>
    <definedName name="Year2_ReferralSource_LA_Early_Help">'Year 2'!$C$29:$W$29</definedName>
    <definedName name="Year2_ReferralSource_LA_External">'Year 2'!$C$28:$W$28</definedName>
    <definedName name="Year2_ReferralSource_LA_Other">'Year 2'!$C$27:$W$27</definedName>
    <definedName name="Year2_ReferralSource_LA_SC">'Year 2'!$C$26:$W$26</definedName>
    <definedName name="Year2_ReferralSource_Other">'Year 2'!$C$32:$W$32</definedName>
    <definedName name="Year2_ReferralSource_Other_Legal">'Year 2'!$C$31:$W$31</definedName>
    <definedName name="Year2_ReferralSource_Police">'Year 2'!$C$30:$W$30</definedName>
    <definedName name="Year2_ReferralSource_School">'Year 2'!$C$17:$W$17</definedName>
    <definedName name="Year2_ReferralSource_Unknown">'Year 2'!$C$34:$W$34</definedName>
    <definedName name="Year2_ReferralsPriorEH">'Year 2'!$C$10:$W$10</definedName>
    <definedName name="Year2_ReReferrals">'Year 2'!$C$35:$W$35</definedName>
    <definedName name="Year2_ROSGO_ceased_LAC_CAO">'Year 2'!$C$92:$W$92</definedName>
    <definedName name="Year2_ROSGO_ceased_LAC_SGO">'Year 2'!$C$93:$W$93</definedName>
    <definedName name="Year2_SGO_total">'Year 2'!$C$95:$W$95</definedName>
    <definedName name="Year2_Slough">'Year 2'!$O$2:$O$113</definedName>
    <definedName name="Year2_South_East">'Year 2'!$V$2:$V$113</definedName>
    <definedName name="Year2_Southampton">'Year 2'!$P$2:$P$113</definedName>
    <definedName name="Year2_Surrey">'Year 2'!$Q$2:$Q$113</definedName>
    <definedName name="Year2_West_Berkshire">'Year 2'!$R$2:$R$113</definedName>
    <definedName name="Year2_West_Sussex">'Year 2'!$S$2:$S$113</definedName>
    <definedName name="Year2_Windsor_and_Maidenhead">'Year 2'!$T$2:$T$113</definedName>
    <definedName name="Year2_Wokingham">'Year 2'!$U$2:$U$113</definedName>
    <definedName name="Year3__1617__participating_in_EET">'Year 3'!$C$101:$W$101</definedName>
    <definedName name="Year3__electively_home_educated">'Year 3'!$C$98:$W$98</definedName>
    <definedName name="Year3_16_17__participating_in_EET">'Year 3'!$C$101:$W$101</definedName>
    <definedName name="Year3_16_17_NEET">'Year 3'!$C$102:$W$102</definedName>
    <definedName name="Year3_16_17_not_known">'Year 3'!$C$103:$W$103</definedName>
    <definedName name="Year3_16_17_participating_in_EET">'Year 3'!$C$101:$W$101</definedName>
    <definedName name="Year3_1617__participating_in_EET">'Year 3'!$C$101:$W$101</definedName>
    <definedName name="Year3_1617_Cohort_from_Annual_Publication">'Year 3'!$C$111:$W$111</definedName>
    <definedName name="Year3_1617_EET_from_Annual_Publication_p">'Year 3'!$C$109:$W$109</definedName>
    <definedName name="Year3_1617_NEET">'Year 3'!$C$102:$W$102</definedName>
    <definedName name="Year3_1617_NEET_from_Annual_Publication_p">'Year 3'!$C$108:$W$108</definedName>
    <definedName name="Year3_1617_NK_from_Annual_Publication_p">'Year 3'!$C$110:$W$110</definedName>
    <definedName name="Year3_1617_not_known">'Year 3'!$C$103:$W$103</definedName>
    <definedName name="Year3_A10">'Year 3'!$C$106:$W$106</definedName>
    <definedName name="Year3_Adoption_ceased_LAC">'Year 3'!$C$80:$W$80</definedName>
    <definedName name="Year3_Adoption_LAC_Adopted">'Year 3'!$C$83:$W$83</definedName>
    <definedName name="Year3_Adoption_LAC_Adopted_days">'Year 3'!$C$84:$W$84</definedName>
    <definedName name="Year3_Adoption_LAC_Adopted_placed_with_12months">'Year 3'!$C$85:$W$85</definedName>
    <definedName name="Year3_Adoption_PFA">'Year 3'!$C$79:$W$79</definedName>
    <definedName name="Year3_Assessments">'Year 3'!$C$36:$W$36</definedName>
    <definedName name="Year3_Assessments_10days">'Year 3'!$C$38:$W$38</definedName>
    <definedName name="Year3_Assessments_11_20days">'Year 3'!$C$39:$W$39</definedName>
    <definedName name="Year3_Assessments_21_30days">'Year 3'!$C$40:$W$40</definedName>
    <definedName name="Year3_Assessments_25th_Percentile_days">'Year 3'!$C$43:$W$43</definedName>
    <definedName name="Year3_Assessments_31_45days">'Year 3'!$C$41:$W$41</definedName>
    <definedName name="Year3_Assessments_75th_Percentile_days">'Year 3'!$C$45:$W$45</definedName>
    <definedName name="Year3_Assessments_Median_days">'Year 3'!$C$44:$W$44</definedName>
    <definedName name="Year3_Assessments_No_further_action">'Year 3'!$C$47:$W$47</definedName>
    <definedName name="Year3_Assessments_over_45days">'Year 3'!$C$42:$W$42</definedName>
    <definedName name="Year3_Assessments_step_down">'Year 3'!$C$46:$W$46</definedName>
    <definedName name="Year3_Assessments_within45days">'Year 3'!$C$112:$W$112</definedName>
    <definedName name="Year3_Bracknell_Forest">'Year 3'!$C$2:$C$113</definedName>
    <definedName name="Year3_Brighton_and_Hove">'Year 3'!$D$2:$D$113</definedName>
    <definedName name="Year3_Buckinghamshire">'Year 3'!$E$2:$E$113</definedName>
    <definedName name="Year3_CAO_RO_Total">'Year 3'!$C$94:$W$94</definedName>
    <definedName name="Year3_Care_Applications">'Year 3'!$C$99:$W$99</definedName>
    <definedName name="Year3_Care_Applications_Children">'Year 3'!$C$100:$W$100</definedName>
    <definedName name="Year3_Care_Leavers_19_20_Ceased18">'Year 3'!$C$87:$W$87</definedName>
    <definedName name="Year3_Care_Leavers_19_20_Ceased18_SP">'Year 3'!$C$86:$W$86</definedName>
    <definedName name="Year3_Care_Leavers_at_end_of_period">'Year 3'!$C$88:$W$88</definedName>
    <definedName name="Year3_Care_Leavers_in_EET">'Year 3'!$C$91:$W$91</definedName>
    <definedName name="Year3_Care_Leavers_in_suitable_accommodation">'Year 3'!$C$90:$W$90</definedName>
    <definedName name="Year3_Care_Leavers_in_touch">'Year 3'!$C$89:$W$89</definedName>
    <definedName name="Year3_Ceased_LAC_16plus">'Year 3'!$C$81:$W$81</definedName>
    <definedName name="Year3_Ceased_LAC_16plus_18th">'Year 3'!$C$82:$W$82</definedName>
    <definedName name="Year3_Children_missing_Education">'Year 3'!$C$97:$W$97</definedName>
    <definedName name="Year3_CIN">'Year 3'!$C$48:$W$48</definedName>
    <definedName name="Year3_CIN_Section47">'Year 3'!$C$49:$W$49</definedName>
    <definedName name="Year3_CL_SA_Denominator_from_903">'Year 3'!$C$107:$W$107</definedName>
    <definedName name="Year3_Contacts">'Year 3'!$C$2:$W$2</definedName>
    <definedName name="Year3_Continuous_assessments">'Year 3'!$C$113:$W$113</definedName>
    <definedName name="Year3_CP_Conference">'Year 3'!$C$50:$W$50</definedName>
    <definedName name="Year3_CP_Conference_within15days">'Year 3'!$C$51:$W$51</definedName>
    <definedName name="Year3_CP_Plans">'Year 3'!$C$52:$W$52</definedName>
    <definedName name="Year3_CP_Plans_2years">'Year 3'!$C$56:$W$56</definedName>
    <definedName name="Year3_CP_Plans_3months">'Year 3'!$C$53:$W$53</definedName>
    <definedName name="Year3_CP_Plans_3months_timescales">'Year 3'!$C$54:$W$54</definedName>
    <definedName name="Year3_CP_Plans_became_subject">'Year 3'!$C$59:$W$59</definedName>
    <definedName name="Year3_CP_Plans_became_subject_second">'Year 3'!$C$60:$W$60</definedName>
    <definedName name="Year3_CP_Plans_became_subject_second_2years">'Year 3'!$C$61:$W$61</definedName>
    <definedName name="Year3_CP_Plans_ceased">'Year 3'!$C$57:$W$57</definedName>
    <definedName name="Year3_CP_Plans_ceased_2years">'Year 3'!$C$58:$W$58</definedName>
    <definedName name="Year3_CP_Plans_Seen_in_Timescales">'Year 3'!$C$55:$W$55</definedName>
    <definedName name="Year3_EarlyHelpAssessments">'Year 3'!$C$6:$W$6</definedName>
    <definedName name="Year3_EarlyHelpAssessmentsStepUp">'Year 3'!$C$7:$W$7</definedName>
    <definedName name="Year3_EarlyHelpedChildren">'Year 3'!$C$8:$W$8</definedName>
    <definedName name="Year3_EarlyHelpReferrals">'Year 3'!$C$3:$W$3</definedName>
    <definedName name="Year3_EarlyHelpReferralsSTEPDOWN">'Year 3'!$C$4:$W$4</definedName>
    <definedName name="Year3_EarlyHelpReReferrals">'Year 3'!$C$5:$W$5</definedName>
    <definedName name="Year3_East_Sussex">'Year 3'!$F$2:$F$113</definedName>
    <definedName name="Year3_electively_home_educated">'Year 3'!$C$98:$W$98</definedName>
    <definedName name="Year3_England">'Year 3'!$W$2:$W$113</definedName>
    <definedName name="Year3_First_Time_Entrants_to_Youth_Justice_system">'Year 3'!$C$96:$W$96</definedName>
    <definedName name="Year3_Hampshire">'Year 3'!$G$2:$G$113</definedName>
    <definedName name="Year3_Isle_of_Wight">'Year 3'!$H$2:$H$113</definedName>
    <definedName name="Year3_Juvenile_Offenders__Age_1017">'Year 3'!$C$104:$W$104</definedName>
    <definedName name="Year3_Juvenile_offenders_age_10_17">'Year 3'!$C$104:$W$104</definedName>
    <definedName name="Year3_Juvenile_Reoffenders__Age_1017">'Year 3'!$C$105:$W$105</definedName>
    <definedName name="Year3_Juvenile_Reoffenders_age_10_17">'Year 3'!$C$105:$W$105</definedName>
    <definedName name="Year3_Kent">'Year 3'!$I$2:$I$113</definedName>
    <definedName name="Year3_LAC">'Year 3'!$C$62:$W$62</definedName>
    <definedName name="Year3_LAC_10to15">'Year 3'!$C$67:$W$67</definedName>
    <definedName name="Year3_LAC_16plus">'Year 3'!$C$68:$W$68</definedName>
    <definedName name="Year3_LAC_1to4">'Year 3'!$C$65:$W$65</definedName>
    <definedName name="Year3_LAC_3_or_more_Placements">'Year 3'!$C$73:$W$73</definedName>
    <definedName name="Year3_LAC_4weeks">'Year 3'!$C$74:$W$74</definedName>
    <definedName name="Year3_LAC_4weeks_reviews_in_timescales">'Year 3'!$C$75:$W$75</definedName>
    <definedName name="Year3_LAC_5to9">'Year 3'!$C$66:$W$66</definedName>
    <definedName name="Year3_LAC_Remanded">'Year 3'!$C$78:$W$78</definedName>
    <definedName name="Year3_LAC_Start">'Year 3'!$C$76:$W$76</definedName>
    <definedName name="Year3_LAC_Start_2nd_time">'Year 3'!$C$77:$W$77</definedName>
    <definedName name="Year3_LAC_UASC">'Year 3'!$C$72:$W$72</definedName>
    <definedName name="Year3_LAC_Under1">'Year 3'!$C$64:$W$64</definedName>
    <definedName name="Year3_LAC_under16">'Year 3'!$C$69:$W$69</definedName>
    <definedName name="Year3_LAC_under16_2.5years">'Year 3'!$C$70:$W$70</definedName>
    <definedName name="Year3_LAC_under16_2.5years_sameplacement2years">'Year 3'!$C$71:$W$71</definedName>
    <definedName name="Year3_Medway">'Year 3'!$J$2:$J$113</definedName>
    <definedName name="Year3_Milton_Keynes">'Year 3'!$K$2:$K$113</definedName>
    <definedName name="Year3_Oxfordshire">'Year 3'!$L$2:$L$113</definedName>
    <definedName name="Year3_Portsmouth">'Year 3'!$M$2:$M$113</definedName>
    <definedName name="Year3_Reading">'Year 3'!$N$2:$N$113</definedName>
    <definedName name="Year3_Referrals">'Year 3'!$C$9:$W$9</definedName>
    <definedName name="Year3_ReferralsAssessment">'Year 3'!$C$11:$W$11</definedName>
    <definedName name="Year3_ReferralSource_Anonymous">'Year 3'!$C$33:$W$33</definedName>
    <definedName name="Year3_ReferralSource_EducationServices">'Year 3'!$C$18:$W$18</definedName>
    <definedName name="Year3_ReferralSource_Health_services_AE">'Year 3'!$C$23:$W$23</definedName>
    <definedName name="Year3_ReferralSource_Health_services_GP">'Year 3'!$C$19:$W$19</definedName>
    <definedName name="Year3_ReferralSource_Health_services_HealthVisitor">'Year 3'!$C$20:$W$20</definedName>
    <definedName name="Year3_ReferralSource_Health_services_Other">'Year 3'!$C$24:$W$24</definedName>
    <definedName name="Year3_ReferralSource_Health_services_OthPrimary">'Year 3'!$C$22:$W$22</definedName>
    <definedName name="Year3_ReferralSource_Health_services_SchoolNurse">'Year 3'!$C$21:$W$21</definedName>
    <definedName name="Year3_ReferralSource_Housing">'Year 3'!$C$25:$W$25</definedName>
    <definedName name="Year3_ReferralSource_Individual_Acquaintance">'Year 3'!$C$14:$W$14</definedName>
    <definedName name="Year3_ReferralSource_Individual_Family">'Year 3'!$C$13:$W$13</definedName>
    <definedName name="Year3_ReferralSource_Individual_Other">'Year 3'!$C$16:$W$16</definedName>
    <definedName name="Year3_ReferralSource_Individual_Self">'Year 3'!$C$15:$W$15</definedName>
    <definedName name="Year3_ReferralSource_LA_Early_Help">'Year 3'!$C$29:$W$29</definedName>
    <definedName name="Year3_ReferralSource_LA_External">'Year 3'!$C$28:$W$28</definedName>
    <definedName name="Year3_ReferralSource_LA_Other">'Year 3'!$C$27:$W$27</definedName>
    <definedName name="Year3_ReferralSource_LA_SC">'Year 3'!$C$26:$W$26</definedName>
    <definedName name="Year3_ReferralSource_Other">'Year 3'!$C$32:$W$32</definedName>
    <definedName name="Year3_ReferralSource_Other_Legal">'Year 3'!$C$31:$W$31</definedName>
    <definedName name="Year3_ReferralSource_Police">'Year 3'!$C$30:$W$30</definedName>
    <definedName name="Year3_ReferralSource_School">'Year 3'!$C$17:$W$17</definedName>
    <definedName name="Year3_ReferralSource_Unknown">'Year 3'!$C$34:$W$34</definedName>
    <definedName name="Year3_ReferralsPriorEH">'Year 3'!$C$10:$W$10</definedName>
    <definedName name="Year3_ReReferrals">'Year 3'!$C$35:$W$35</definedName>
    <definedName name="Year3_ROSGO_ceased_LAC_CAO">'Year 3'!$C$92:$W$92</definedName>
    <definedName name="Year3_ROSGO_ceased_LAC_SGO">'Year 3'!$C$93:$W$93</definedName>
    <definedName name="Year3_SGO_total">'Year 3'!$C$95:$W$95</definedName>
    <definedName name="Year3_Slough">'Year 3'!$O$2:$O$113</definedName>
    <definedName name="Year3_South_East">'Year 3'!$V$2:$V$113</definedName>
    <definedName name="Year3_Southampton">'Year 3'!$P$2:$P$113</definedName>
    <definedName name="Year3_Surrey">'Year 3'!$Q$2:$Q$113</definedName>
    <definedName name="Year3_West_Berkshire">'Year 3'!$R$2:$R$113</definedName>
    <definedName name="Year3_West_Sussex">'Year 3'!$S$2:$S$113</definedName>
    <definedName name="Year3_Windsor_and_Maidenhead">'Year 3'!$T$2:$T$113</definedName>
    <definedName name="Year3_Wokingham">'Year 3'!$U$2:$U$113</definedName>
    <definedName name="Year4__1617__participating_in_EET">'Year 4'!$C$101:$W$101</definedName>
    <definedName name="Year4__electively_home_educated">'Year 4'!$C$98:$W$98</definedName>
    <definedName name="Year4_16_17__participating_in_EET">'Year 4'!$C$101:$W$101</definedName>
    <definedName name="Year4_16_17_NEET">'Year 4'!$C$102:$W$102</definedName>
    <definedName name="Year4_16_17_not_known">'Year 4'!$C$103:$W$103</definedName>
    <definedName name="Year4_16_17_participating_in_EET">'Year 4'!$C$101:$W$101</definedName>
    <definedName name="Year4_1617__participating_in_EET">'Year 4'!$C$101:$W$101</definedName>
    <definedName name="Year4_1617_Cohort_from_Annual_Publication">'Year 4'!$C$111:$W$111</definedName>
    <definedName name="Year4_1617_EET_from_Annual_Publication_p">'Year 4'!$C$109:$W$109</definedName>
    <definedName name="Year4_1617_NEET">'Year 4'!$C$102:$W$102</definedName>
    <definedName name="Year4_1617_NEET_from_Annual_Publication_p">'Year 4'!$C$108:$W$108</definedName>
    <definedName name="Year4_1617_NK_from_Annual_Publication_p">'Year 4'!$C$110:$W$110</definedName>
    <definedName name="Year4_1617_not_known">'Year 4'!$C$103:$W$103</definedName>
    <definedName name="Year4_A10">'Year 4'!$C$106:$W$106</definedName>
    <definedName name="Year4_Adoption_ceased_LAC">'Year 4'!$C$80:$W$80</definedName>
    <definedName name="Year4_Adoption_LAC_Adopted">'Year 4'!$C$83:$W$83</definedName>
    <definedName name="Year4_Adoption_LAC_Adopted_days">'Year 4'!$C$84:$W$84</definedName>
    <definedName name="Year4_Adoption_LAC_Adopted_placed_with_12months">'Year 4'!$C$85:$W$85</definedName>
    <definedName name="Year4_Adoption_PFA">'Year 4'!$C$79:$W$79</definedName>
    <definedName name="Year4_Assessments">'Year 4'!$C$36:$W$36</definedName>
    <definedName name="Year4_Assessments_10days">'Year 4'!$C$38:$W$38</definedName>
    <definedName name="Year4_Assessments_11_20days">'Year 4'!$C$39:$W$39</definedName>
    <definedName name="Year4_Assessments_21_30days">'Year 4'!$C$40:$W$40</definedName>
    <definedName name="Year4_Assessments_25th_Percentile_days">'Year 4'!$C$43:$W$43</definedName>
    <definedName name="Year4_Assessments_31_45days">'Year 4'!$C$41:$W$41</definedName>
    <definedName name="Year4_Assessments_75th_Percentile_days">'Year 4'!$C$45:$W$45</definedName>
    <definedName name="Year4_Assessments_Median_days">'Year 4'!$C$44:$W$44</definedName>
    <definedName name="Year4_Assessments_No_further_action">'Year 4'!$C$47:$W$47</definedName>
    <definedName name="Year4_Assessments_over_45days">'Year 4'!$C$42:$W$42</definedName>
    <definedName name="Year4_Assessments_step_down">'Year 4'!$C$46:$W$46</definedName>
    <definedName name="Year4_Assessments_within45days">'Year 4'!$C$112:$W$112</definedName>
    <definedName name="Year4_Bracknell_Forest">'Year 4'!$C$2:$C$113</definedName>
    <definedName name="Year4_Brighton_and_Hove">'Year 4'!$D$2:$D$113</definedName>
    <definedName name="Year4_Buckinghamshire">'Year 4'!$E$2:$E$113</definedName>
    <definedName name="Year4_CAO_RO_Total">'Year 4'!$C$94:$W$94</definedName>
    <definedName name="Year4_Care_Applications">'Year 4'!$C$99:$W$99</definedName>
    <definedName name="Year4_Care_Applications_Children">'Year 4'!$C$100:$W$100</definedName>
    <definedName name="Year4_Care_Leavers_19_20_Ceased18">'Year 4'!$C$87:$W$87</definedName>
    <definedName name="Year4_Care_Leavers_19_20_Ceased18_SP">'Year 4'!$C$86:$W$86</definedName>
    <definedName name="Year4_Care_Leavers_at_end_of_period">'Year 4'!$C$88:$W$88</definedName>
    <definedName name="Year4_Care_Leavers_in_EET">'Year 4'!$C$91:$W$91</definedName>
    <definedName name="Year4_Care_Leavers_in_suitable_accommodation">'Year 4'!$C$90:$W$90</definedName>
    <definedName name="Year4_Care_Leavers_in_touch">'Year 4'!$C$89:$W$89</definedName>
    <definedName name="Year4_Ceased_LAC_16plus">'Year 4'!$C$81:$W$81</definedName>
    <definedName name="Year4_Ceased_LAC_16plus_18th">'Year 4'!$C$82:$W$82</definedName>
    <definedName name="Year4_Children_missing_Education">'Year 4'!$C$97:$W$97</definedName>
    <definedName name="Year4_CIN">'Year 4'!$C$48:$W$48</definedName>
    <definedName name="Year4_CIN_Section47">'Year 4'!$C$49:$W$49</definedName>
    <definedName name="Year4_CL_SA_Denominator_from_903">'Year 4'!$C$107:$W$107</definedName>
    <definedName name="Year4_Contacts">'Year 4'!$C$2:$W$2</definedName>
    <definedName name="Year4_Continuous_assessments">'Year 4'!$C$113:$W$113</definedName>
    <definedName name="Year4_CP_Conference">'Year 4'!$C$50:$W$50</definedName>
    <definedName name="Year4_CP_Conference_within15days">'Year 4'!$C$51:$W$51</definedName>
    <definedName name="Year4_CP_Plans">'Year 4'!$C$52:$W$52</definedName>
    <definedName name="Year4_CP_Plans_2years">'Year 4'!$C$56:$W$56</definedName>
    <definedName name="Year4_CP_Plans_3months">'Year 4'!$C$53:$W$53</definedName>
    <definedName name="Year4_CP_Plans_3months_timescales">'Year 4'!$C$54:$W$54</definedName>
    <definedName name="Year4_CP_Plans_became_subject">'Year 4'!$C$59:$W$59</definedName>
    <definedName name="Year4_CP_Plans_became_subject_second">'Year 4'!$C$60:$W$60</definedName>
    <definedName name="Year4_CP_Plans_became_subject_second_2years">'Year 4'!$C$61:$W$61</definedName>
    <definedName name="Year4_CP_Plans_ceased">'Year 4'!$C$57:$W$57</definedName>
    <definedName name="Year4_CP_Plans_ceased_2years">'Year 4'!$C$58:$W$58</definedName>
    <definedName name="Year4_CP_Plans_Seen_in_Timescales">'Year 4'!$C$55:$W$55</definedName>
    <definedName name="Year4_EarlyHelpAssessments">'Year 4'!$C$6:$W$6</definedName>
    <definedName name="Year4_EarlyHelpAssessmentsStepUp">'Year 4'!$C$7:$W$7</definedName>
    <definedName name="Year4_EarlyHelpedChildren">'Year 4'!$C$8:$W$8</definedName>
    <definedName name="Year4_EarlyHelpReferrals">'Year 4'!$C$3:$W$3</definedName>
    <definedName name="Year4_EarlyHelpReferralsSTEPDOWN">'Year 4'!$C$4:$W$4</definedName>
    <definedName name="Year4_EarlyHelpReReferrals">'Year 4'!$C$5:$W$5</definedName>
    <definedName name="Year4_East_Sussex">'Year 4'!$F$2:$F$113</definedName>
    <definedName name="Year4_electively_home_educated">'Year 4'!$C$98:$W$98</definedName>
    <definedName name="Year4_England">'Year 4'!$W$2:$W$113</definedName>
    <definedName name="Year4_First_Time_Entrants_to_Youth_Justice_system">'Year 4'!$C$96:$W$96</definedName>
    <definedName name="Year4_Hampshire">'Year 4'!$G$2:$G$113</definedName>
    <definedName name="Year4_Isle_of_Wight">'Year 4'!$H$2:$H$113</definedName>
    <definedName name="Year4_Juvenile_Offenders__Age_1017">'Year 4'!$C$104:$W$104</definedName>
    <definedName name="Year4_Juvenile_offenders_age_10_17">'Year 4'!$C$104:$W$104</definedName>
    <definedName name="Year4_Juvenile_Reoffenders__Age_1017">'Year 4'!$C$105:$W$105</definedName>
    <definedName name="Year4_Juvenile_Reoffenders_age_10_17">'Year 4'!$C$105:$W$105</definedName>
    <definedName name="Year4_Kent">'Year 4'!$I$2:$I$113</definedName>
    <definedName name="Year4_LAC">'Year 4'!$C$62:$W$62</definedName>
    <definedName name="Year4_LAC_10to15">'Year 4'!$C$67:$W$67</definedName>
    <definedName name="Year4_LAC_16plus">'Year 4'!$C$68:$W$68</definedName>
    <definedName name="Year4_LAC_1to4">'Year 4'!$C$65:$W$65</definedName>
    <definedName name="Year4_LAC_3_or_more_Placements">'Year 4'!$C$73:$W$73</definedName>
    <definedName name="Year4_LAC_4weeks">'Year 4'!$C$74:$W$74</definedName>
    <definedName name="Year4_LAC_4weeks_reviews_in_timescales">'Year 4'!$C$75:$W$75</definedName>
    <definedName name="Year4_LAC_5to9">'Year 4'!$C$66:$W$66</definedName>
    <definedName name="Year4_LAC_Remanded">'Year 4'!$C$78:$W$78</definedName>
    <definedName name="Year4_LAC_Start">'Year 4'!$C$76:$W$76</definedName>
    <definedName name="Year4_LAC_Start_2nd_time">'Year 4'!$C$77:$W$77</definedName>
    <definedName name="Year4_LAC_UASC">'Year 4'!$C$72:$W$72</definedName>
    <definedName name="Year4_LAC_Under1">'Year 4'!$C$64:$W$64</definedName>
    <definedName name="Year4_LAC_under16">'Year 4'!$C$69:$W$69</definedName>
    <definedName name="Year4_LAC_under16_2.5years">'Year 4'!$C$70:$W$70</definedName>
    <definedName name="Year4_LAC_under16_2.5years_sameplacement2years">'Year 4'!$C$71:$W$71</definedName>
    <definedName name="Year4_Medway">'Year 4'!$J$2:$J$113</definedName>
    <definedName name="Year4_Milton_Keynes">'Year 4'!$K$2:$K$113</definedName>
    <definedName name="Year4_Oxfordshire">'Year 4'!$L$2:$L$113</definedName>
    <definedName name="Year4_Portsmouth">'Year 4'!$M$2:$M$113</definedName>
    <definedName name="Year4_Reading">'Year 4'!$N$2:$N$113</definedName>
    <definedName name="Year4_Referrals">'Year 4'!$C$9:$W$9</definedName>
    <definedName name="Year4_ReferralsAssessment">'Year 4'!$C$11:$W$11</definedName>
    <definedName name="Year4_ReferralSource_Anonymous">'Year 4'!$C$33:$W$33</definedName>
    <definedName name="Year4_ReferralSource_EducationServices">'Year 4'!$C$18:$W$18</definedName>
    <definedName name="Year4_ReferralSource_Health_services_AE">'Year 4'!$C$23:$W$23</definedName>
    <definedName name="Year4_ReferralSource_Health_services_GP">'Year 4'!$C$19:$W$19</definedName>
    <definedName name="Year4_ReferralSource_Health_services_HealthVisitor">'Year 4'!$C$20:$W$20</definedName>
    <definedName name="Year4_ReferralSource_Health_services_Other">'Year 4'!$C$24:$W$24</definedName>
    <definedName name="Year4_ReferralSource_Health_services_OthPrimary">'Year 4'!$C$22:$W$22</definedName>
    <definedName name="Year4_ReferralSource_Health_services_SchoolNurse">'Year 4'!$C$21:$W$21</definedName>
    <definedName name="Year4_ReferralSource_Housing">'Year 4'!$C$25:$W$25</definedName>
    <definedName name="Year4_ReferralSource_Individual_Acquaintance">'Year 4'!$C$14:$W$14</definedName>
    <definedName name="Year4_ReferralSource_Individual_Family">'Year 4'!$C$13:$W$13</definedName>
    <definedName name="Year4_ReferralSource_Individual_Other">'Year 4'!$C$16:$W$16</definedName>
    <definedName name="Year4_ReferralSource_Individual_Self">'Year 4'!$C$15:$W$15</definedName>
    <definedName name="Year4_ReferralSource_LA_Early_Help">'Year 4'!$C$29:$W$29</definedName>
    <definedName name="Year4_ReferralSource_LA_External">'Year 4'!$C$28:$W$28</definedName>
    <definedName name="Year4_ReferralSource_LA_Other">'Year 4'!$C$27:$W$27</definedName>
    <definedName name="Year4_ReferralSource_LA_SC">'Year 4'!$C$26:$W$26</definedName>
    <definedName name="Year4_ReferralSource_Other">'Year 4'!$C$32:$W$32</definedName>
    <definedName name="Year4_ReferralSource_Other_Legal">'Year 4'!$C$31:$W$31</definedName>
    <definedName name="Year4_ReferralSource_Police">'Year 4'!$C$30:$W$30</definedName>
    <definedName name="Year4_ReferralSource_School">'Year 4'!$C$17:$W$17</definedName>
    <definedName name="Year4_ReferralSource_Unknown">'Year 4'!$C$34:$W$34</definedName>
    <definedName name="Year4_ReferralsPriorEH">'Year 4'!$C$10:$W$10</definedName>
    <definedName name="Year4_ReReferrals">'Year 4'!$C$35:$W$35</definedName>
    <definedName name="Year4_ROSGO_ceased_LAC_CAO">'Year 4'!$C$92:$W$92</definedName>
    <definedName name="Year4_ROSGO_ceased_LAC_SGO">'Year 4'!$C$93:$W$93</definedName>
    <definedName name="Year4_SGO_total">'Year 4'!$C$95:$W$95</definedName>
    <definedName name="Year4_Slough">'Year 4'!$O$2:$O$113</definedName>
    <definedName name="Year4_South_East">'Year 4'!$V$2:$V$113</definedName>
    <definedName name="Year4_Southampton">'Year 4'!$P$2:$P$113</definedName>
    <definedName name="Year4_Surrey">'Year 4'!$Q$2:$Q$113</definedName>
    <definedName name="Year4_West_Berkshire">'Year 4'!$R$2:$R$113</definedName>
    <definedName name="Year4_West_Sussex">'Year 4'!$S$2:$S$113</definedName>
    <definedName name="Year4_Windsor_and_Maidenhead">'Year 4'!$T$2:$T$113</definedName>
    <definedName name="Year4_Wokingham">'Year 4'!$U$2:$U$113</definedName>
    <definedName name="Year5__1617__participating_in_EET">'Year 5'!$C$101:$W$101</definedName>
    <definedName name="Year5__electively_home_educated">'Year 5'!$C$98:$W$98</definedName>
    <definedName name="Year5_16_17__participating_in_EET">'Year 5'!$C$101:$W$101</definedName>
    <definedName name="Year5_16_17_NEET">'Year 5'!$C$102:$W$102</definedName>
    <definedName name="Year5_16_17_not_known">'Year 5'!$C$103:$W$103</definedName>
    <definedName name="Year5_16_17_participating_in_EET">'Year 5'!$C$101:$W$101</definedName>
    <definedName name="Year5_1617__participating_in_EET">'Year 5'!$C$101:$W$101</definedName>
    <definedName name="Year5_1617_Cohort_from_Annual_Publication">'Year 5'!$C$111:$W$111</definedName>
    <definedName name="Year5_1617_EET_from_Annual_Publication_p">'Year 5'!$C$109:$W$109</definedName>
    <definedName name="Year5_1617_NEET">'Year 5'!$C$102:$W$102</definedName>
    <definedName name="Year5_1617_NEET_from_Annual_Publication_p">'Year 5'!$C$108:$W$108</definedName>
    <definedName name="Year5_1617_NK_from_Annual_Publication_p">'Year 5'!$C$110:$W$110</definedName>
    <definedName name="Year5_1617_not_known">'Year 5'!$C$103:$W$103</definedName>
    <definedName name="Year5_A10">'Year 5'!$C$106:$W$106</definedName>
    <definedName name="Year5_Adoption_ceased_LAC">'Year 5'!$C$80:$W$80</definedName>
    <definedName name="Year5_Adoption_LAC_Adopted">'Year 5'!$C$83:$W$83</definedName>
    <definedName name="Year5_Adoption_LAC_Adopted_days">'Year 5'!$C$84:$W$84</definedName>
    <definedName name="Year5_Adoption_LAC_Adopted_placed_with_12months">'Year 5'!$C$85:$W$85</definedName>
    <definedName name="Year5_Adoption_PFA">'Year 5'!$C$79:$W$79</definedName>
    <definedName name="Year5_Assessments">'Year 5'!$C$36:$W$36</definedName>
    <definedName name="Year5_Assessments_10days">'Year 5'!$C$38:$W$38</definedName>
    <definedName name="Year5_Assessments_11_20days">'Year 5'!$C$39:$W$39</definedName>
    <definedName name="Year5_Assessments_21_30days">'Year 5'!$C$40:$W$40</definedName>
    <definedName name="Year5_Assessments_25th_Percentile_days">'Year 5'!$C$43:$W$43</definedName>
    <definedName name="Year5_Assessments_31_45days">'Year 5'!$C$41:$W$41</definedName>
    <definedName name="Year5_Assessments_75th_Percentile_days">'Year 5'!$C$45:$W$45</definedName>
    <definedName name="Year5_Assessments_Median_days">'Year 5'!$C$44:$W$44</definedName>
    <definedName name="Year5_Assessments_No_further_action">'Year 5'!$C$47:$W$47</definedName>
    <definedName name="Year5_Assessments_over_45days">'Year 5'!$C$42:$W$42</definedName>
    <definedName name="Year5_Assessments_step_down">'Year 5'!$C$46:$W$46</definedName>
    <definedName name="Year5_Assessments_within45days">'Year 5'!$C$112:$W$112</definedName>
    <definedName name="Year5_Bracknell_Forest">'Year 5'!$C$2:$C$113</definedName>
    <definedName name="Year5_Brighton_and_Hove">'Year 5'!$D$2:$D$113</definedName>
    <definedName name="Year5_Buckinghamshire">'Year 5'!$E$2:$E$113</definedName>
    <definedName name="Year5_CAO_RO_Total">'Year 5'!$C$94:$W$94</definedName>
    <definedName name="Year5_Care_Applications">'Year 5'!$C$99:$W$99</definedName>
    <definedName name="Year5_Care_Applications_Children">'Year 5'!$C$100:$W$100</definedName>
    <definedName name="Year5_Care_Leavers_19_20_Ceased18">'Year 5'!$C$87:$W$87</definedName>
    <definedName name="Year5_Care_Leavers_19_20_Ceased18_SP">'Year 5'!$C$86:$W$86</definedName>
    <definedName name="Year5_Care_Leavers_at_end_of_period">'Year 5'!$C$88:$W$88</definedName>
    <definedName name="Year5_Care_Leavers_in_EET">'Year 5'!$C$91:$W$91</definedName>
    <definedName name="Year5_Care_Leavers_in_suitable_accommodation">'Year 5'!$C$90:$W$90</definedName>
    <definedName name="Year5_Care_Leavers_in_touch">'Year 5'!$C$89:$W$89</definedName>
    <definedName name="Year5_Ceased_LAC_16plus">'Year 5'!$C$81:$W$81</definedName>
    <definedName name="Year5_Ceased_LAC_16plus_18th">'Year 5'!$C$82:$W$82</definedName>
    <definedName name="Year5_Children_missing_Education">'Year 5'!$C$97:$W$97</definedName>
    <definedName name="Year5_CIN">'Year 5'!$C$48:$W$48</definedName>
    <definedName name="Year5_CIN_Section47">'Year 5'!$C$49:$W$49</definedName>
    <definedName name="Year5_CL_SA_Denominator_from_903">'Year 5'!$C$107:$W$107</definedName>
    <definedName name="Year5_Contacts">'Year 5'!$C$2:$W$2</definedName>
    <definedName name="Year5_Continuous_assessments">'Year 5'!$C$113:$W$113</definedName>
    <definedName name="Year5_CP_Conference">'Year 5'!$C$50:$W$50</definedName>
    <definedName name="Year5_CP_Conference_within15days">'Year 5'!$C$51:$W$51</definedName>
    <definedName name="Year5_CP_Plans">'Year 5'!$C$52:$W$52</definedName>
    <definedName name="Year5_CP_Plans_2years">'Year 5'!$C$56:$W$56</definedName>
    <definedName name="Year5_CP_Plans_3months">'Year 5'!$C$53:$W$53</definedName>
    <definedName name="Year5_CP_Plans_3months_timescales">'Year 5'!$C$54:$W$54</definedName>
    <definedName name="Year5_CP_Plans_became_subject">'Year 5'!$C$59:$W$59</definedName>
    <definedName name="Year5_CP_Plans_became_subject_second">'Year 5'!$C$60:$W$60</definedName>
    <definedName name="Year5_CP_Plans_became_subject_second_2years">'Year 5'!$C$61:$W$61</definedName>
    <definedName name="Year5_CP_Plans_ceased">'Year 5'!$C$57:$W$57</definedName>
    <definedName name="Year5_CP_Plans_ceased_2years">'Year 5'!$C$58:$W$58</definedName>
    <definedName name="Year5_CP_Plans_Seen_in_Timescales">'Year 5'!$C$55:$W$55</definedName>
    <definedName name="Year5_EarlyHelpAssessments">'Year 5'!$C$6:$W$6</definedName>
    <definedName name="Year5_EarlyHelpAssessmentsStepUp">'Year 5'!$C$7:$W$7</definedName>
    <definedName name="Year5_EarlyHelpedChildren">'Year 5'!$C$8:$W$8</definedName>
    <definedName name="Year5_EarlyHelpReferrals">'Year 5'!$C$3:$W$3</definedName>
    <definedName name="Year5_EarlyHelpReferralsSTEPDOWN">'Year 5'!$C$4:$W$4</definedName>
    <definedName name="Year5_EarlyHelpReReferrals">'Year 5'!$C$5:$W$5</definedName>
    <definedName name="Year5_East_Sussex">'Year 5'!$F$2:$F$113</definedName>
    <definedName name="Year5_electively_home_educated">'Year 5'!$C$98:$W$98</definedName>
    <definedName name="Year5_England">'Year 5'!$W$2:$W$113</definedName>
    <definedName name="Year5_First_Time_Entrants_to_Youth_Justice_system">'Year 5'!$C$96:$W$96</definedName>
    <definedName name="Year5_Hampshire">'Year 5'!$G$2:$G$113</definedName>
    <definedName name="Year5_Isle_of_Wight">'Year 5'!$H$2:$H$113</definedName>
    <definedName name="Year5_Juvenile_Offenders__Age_1017">'Year 5'!$C$104:$W$104</definedName>
    <definedName name="Year5_Juvenile_offenders_age_10_17">'Year 5'!$C$104:$W$104</definedName>
    <definedName name="Year5_Juvenile_Reoffenders__Age_1017">'Year 5'!$C$105:$W$105</definedName>
    <definedName name="Year5_Juvenile_Reoffenders_age_10_17">'Year 5'!$C$105:$W$105</definedName>
    <definedName name="Year5_Kent">'Year 5'!$I$2:$I$113</definedName>
    <definedName name="Year5_LAC">'Year 5'!$C$62:$W$62</definedName>
    <definedName name="Year5_LAC_10to15">'Year 5'!$C$67:$W$67</definedName>
    <definedName name="Year5_LAC_16plus">'Year 5'!$C$68:$W$68</definedName>
    <definedName name="Year5_LAC_1to4">'Year 5'!$C$65:$W$65</definedName>
    <definedName name="Year5_LAC_3_or_more_Placements">'Year 5'!$C$73:$W$73</definedName>
    <definedName name="Year5_LAC_4weeks">'Year 5'!$C$74:$W$74</definedName>
    <definedName name="Year5_LAC_4weeks_reviews_in_timescales">'Year 5'!$C$75:$W$75</definedName>
    <definedName name="Year5_LAC_5to9">'Year 5'!$C$66:$W$66</definedName>
    <definedName name="Year5_LAC_Remanded">'Year 5'!$C$78:$W$78</definedName>
    <definedName name="Year5_LAC_Start">'Year 5'!$C$76:$W$76</definedName>
    <definedName name="Year5_LAC_Start_2nd_time">'Year 5'!$C$77:$W$77</definedName>
    <definedName name="Year5_LAC_UASC">'Year 5'!$C$72:$W$72</definedName>
    <definedName name="Year5_LAC_Under1">'Year 5'!$C$64:$W$64</definedName>
    <definedName name="Year5_LAC_under16">'Year 5'!$C$69:$W$69</definedName>
    <definedName name="Year5_LAC_under16_2.5years">'Year 5'!$C$70:$W$70</definedName>
    <definedName name="Year5_LAC_under16_2.5years_sameplacement2years">'Year 5'!$C$71:$W$71</definedName>
    <definedName name="Year5_Medway">'Year 5'!$J$2:$J$113</definedName>
    <definedName name="Year5_Milton_Keynes">'Year 5'!$K$2:$K$113</definedName>
    <definedName name="Year5_Oxfordshire">'Year 5'!$L$2:$L$113</definedName>
    <definedName name="Year5_Portsmouth">'Year 5'!$M$2:$M$113</definedName>
    <definedName name="Year5_Reading">'Year 5'!$N$2:$N$113</definedName>
    <definedName name="Year5_Referrals">'Year 5'!$C$9:$W$9</definedName>
    <definedName name="Year5_ReferralsAssessment">'Year 5'!$C$11:$W$11</definedName>
    <definedName name="Year5_ReferralSource_Anonymous">'Year 5'!$C$33:$W$33</definedName>
    <definedName name="Year5_ReferralSource_EducationServices">'Year 5'!$C$18:$W$18</definedName>
    <definedName name="Year5_ReferralSource_Health_services_AE">'Year 5'!$C$23:$W$23</definedName>
    <definedName name="Year5_ReferralSource_Health_services_GP">'Year 5'!$C$19:$W$19</definedName>
    <definedName name="Year5_ReferralSource_Health_services_HealthVisitor">'Year 5'!$C$20:$W$20</definedName>
    <definedName name="Year5_ReferralSource_Health_services_Other">'Year 5'!$C$24:$W$24</definedName>
    <definedName name="Year5_ReferralSource_Health_services_OthPrimary">'Year 5'!$C$22:$W$22</definedName>
    <definedName name="Year5_ReferralSource_Health_services_SchoolNurse">'Year 5'!$C$21:$W$21</definedName>
    <definedName name="Year5_ReferralSource_Housing">'Year 5'!$C$25:$W$25</definedName>
    <definedName name="Year5_ReferralSource_Individual_Acquaintance">'Year 5'!$C$14:$W$14</definedName>
    <definedName name="Year5_ReferralSource_Individual_Family">'Year 5'!$C$13:$W$13</definedName>
    <definedName name="Year5_ReferralSource_Individual_Other">'Year 5'!$C$16:$W$16</definedName>
    <definedName name="Year5_ReferralSource_Individual_Self">'Year 5'!$C$15:$W$15</definedName>
    <definedName name="Year5_ReferralSource_LA_Early_Help">'Year 5'!$C$29:$W$29</definedName>
    <definedName name="Year5_ReferralSource_LA_External">'Year 5'!$C$28:$W$28</definedName>
    <definedName name="Year5_ReferralSource_LA_Other">'Year 5'!$C$27:$W$27</definedName>
    <definedName name="Year5_ReferralSource_LA_SC">'Year 5'!$C$26:$W$26</definedName>
    <definedName name="Year5_ReferralSource_Other">'Year 5'!$C$32:$W$32</definedName>
    <definedName name="Year5_ReferralSource_Other_Legal">'Year 5'!$C$31:$W$31</definedName>
    <definedName name="Year5_ReferralSource_Police">'Year 5'!$C$30:$W$30</definedName>
    <definedName name="Year5_ReferralSource_School">'Year 5'!$C$17:$W$17</definedName>
    <definedName name="Year5_ReferralSource_Unknown">'Year 5'!$C$34:$W$34</definedName>
    <definedName name="Year5_ReferralsPriorEH">'Year 5'!$C$10:$W$10</definedName>
    <definedName name="Year5_ReReferrals">'Year 5'!$C$35:$W$35</definedName>
    <definedName name="Year5_ROSGO_ceased_LAC_CAO">'Year 5'!$C$92:$W$92</definedName>
    <definedName name="Year5_ROSGO_ceased_LAC_SGO">'Year 5'!$C$93:$W$93</definedName>
    <definedName name="Year5_SGO_total">'Year 5'!$C$95:$W$95</definedName>
    <definedName name="Year5_Slough">'Year 5'!$O$2:$O$113</definedName>
    <definedName name="Year5_South_East">'Year 5'!$V$2:$V$113</definedName>
    <definedName name="Year5_Southampton">'Year 5'!$P$2:$P$113</definedName>
    <definedName name="Year5_Surrey">'Year 5'!$Q$2:$Q$113</definedName>
    <definedName name="Year5_West_Berkshire">'Year 5'!$R$2:$R$113</definedName>
    <definedName name="Year5_West_Sussex">'Year 5'!$S$2:$S$113</definedName>
    <definedName name="Year5_Windsor_and_Maidenhead">'Year 5'!$T$2:$T$113</definedName>
    <definedName name="Year5_Wokingham">'Year 5'!$U$2:$U$113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315" i="83" l="1"/>
  <c r="S316" i="83"/>
  <c r="S317" i="83"/>
  <c r="S318" i="83"/>
  <c r="S319" i="83"/>
  <c r="S320" i="83"/>
  <c r="S321" i="83"/>
  <c r="S322" i="83"/>
  <c r="S323" i="83"/>
  <c r="S324" i="83"/>
  <c r="S325" i="83"/>
  <c r="S326" i="83"/>
  <c r="S327" i="83"/>
  <c r="S328" i="83"/>
  <c r="S329" i="83"/>
  <c r="S330" i="83"/>
  <c r="S331" i="83"/>
  <c r="S332" i="83"/>
  <c r="S334" i="83"/>
  <c r="S314" i="83"/>
  <c r="S181" i="83"/>
  <c r="S182" i="83"/>
  <c r="S183" i="83"/>
  <c r="S184" i="83"/>
  <c r="S185" i="83"/>
  <c r="S186" i="83"/>
  <c r="S187" i="83"/>
  <c r="S188" i="83"/>
  <c r="S189" i="83"/>
  <c r="S190" i="83"/>
  <c r="S191" i="83"/>
  <c r="S192" i="83"/>
  <c r="S193" i="83"/>
  <c r="S194" i="83"/>
  <c r="S195" i="83"/>
  <c r="S196" i="83"/>
  <c r="S197" i="83"/>
  <c r="S198" i="83"/>
  <c r="S200" i="83"/>
  <c r="S180" i="83"/>
  <c r="P44" i="22"/>
  <c r="Q44" i="22"/>
  <c r="R44" i="22"/>
  <c r="S44" i="22"/>
  <c r="P45" i="22"/>
  <c r="Q45" i="22"/>
  <c r="R45" i="22"/>
  <c r="S45" i="22"/>
  <c r="P46" i="22"/>
  <c r="Q46" i="22"/>
  <c r="R46" i="22"/>
  <c r="S46" i="22"/>
  <c r="P47" i="22"/>
  <c r="Q47" i="22"/>
  <c r="R47" i="22"/>
  <c r="S47" i="22"/>
  <c r="P48" i="22"/>
  <c r="Q48" i="22"/>
  <c r="R48" i="22"/>
  <c r="S48" i="22"/>
  <c r="P49" i="22"/>
  <c r="Q49" i="22"/>
  <c r="R49" i="22"/>
  <c r="S49" i="22"/>
  <c r="P50" i="22"/>
  <c r="Q50" i="22"/>
  <c r="R50" i="22"/>
  <c r="S50" i="22"/>
  <c r="P51" i="22"/>
  <c r="Q51" i="22"/>
  <c r="R51" i="22"/>
  <c r="S51" i="22"/>
  <c r="P52" i="22"/>
  <c r="Q52" i="22"/>
  <c r="R52" i="22"/>
  <c r="S52" i="22"/>
  <c r="P53" i="22"/>
  <c r="Q53" i="22"/>
  <c r="R53" i="22"/>
  <c r="S53" i="22"/>
  <c r="P54" i="22"/>
  <c r="Q54" i="22"/>
  <c r="R54" i="22"/>
  <c r="S54" i="22"/>
  <c r="P55" i="22"/>
  <c r="Q55" i="22"/>
  <c r="R55" i="22"/>
  <c r="S55" i="22"/>
  <c r="P56" i="22"/>
  <c r="Q56" i="22"/>
  <c r="R56" i="22"/>
  <c r="S56" i="22"/>
  <c r="P57" i="22"/>
  <c r="Q57" i="22"/>
  <c r="R57" i="22"/>
  <c r="S57" i="22"/>
  <c r="P58" i="22"/>
  <c r="Q58" i="22"/>
  <c r="R58" i="22"/>
  <c r="S58" i="22"/>
  <c r="P59" i="22"/>
  <c r="Q59" i="22"/>
  <c r="R59" i="22"/>
  <c r="S59" i="22"/>
  <c r="P60" i="22"/>
  <c r="Q60" i="22"/>
  <c r="R60" i="22"/>
  <c r="S60" i="22"/>
  <c r="P61" i="22"/>
  <c r="Q61" i="22"/>
  <c r="R61" i="22"/>
  <c r="S61" i="22"/>
  <c r="P62" i="22"/>
  <c r="Q62" i="22"/>
  <c r="R62" i="22"/>
  <c r="S62" i="22"/>
  <c r="P63" i="22"/>
  <c r="Q63" i="22"/>
  <c r="R63" i="22"/>
  <c r="S63" i="22"/>
  <c r="P64" i="22"/>
  <c r="Q64" i="22"/>
  <c r="R64" i="22"/>
  <c r="S64" i="22"/>
  <c r="T45" i="22"/>
  <c r="T46" i="22"/>
  <c r="T47" i="22"/>
  <c r="T48" i="22"/>
  <c r="T49" i="22"/>
  <c r="T50" i="22"/>
  <c r="T51" i="22"/>
  <c r="T52" i="22"/>
  <c r="T53" i="22"/>
  <c r="T54" i="22"/>
  <c r="T55" i="22"/>
  <c r="T56" i="22"/>
  <c r="T57" i="22"/>
  <c r="T58" i="22"/>
  <c r="T59" i="22"/>
  <c r="T60" i="22"/>
  <c r="T61" i="22"/>
  <c r="T62" i="22"/>
  <c r="T63" i="22"/>
  <c r="T64" i="22"/>
  <c r="T44" i="22"/>
  <c r="T42" i="22"/>
  <c r="J44" i="22"/>
  <c r="K44" i="22"/>
  <c r="L44" i="22"/>
  <c r="M44" i="22"/>
  <c r="J45" i="22"/>
  <c r="K45" i="22"/>
  <c r="L45" i="22"/>
  <c r="M45" i="22"/>
  <c r="J46" i="22"/>
  <c r="K46" i="22"/>
  <c r="L46" i="22"/>
  <c r="M46" i="22"/>
  <c r="J47" i="22"/>
  <c r="K47" i="22"/>
  <c r="L47" i="22"/>
  <c r="M47" i="22"/>
  <c r="J48" i="22"/>
  <c r="K48" i="22"/>
  <c r="L48" i="22"/>
  <c r="M48" i="22"/>
  <c r="J49" i="22"/>
  <c r="K49" i="22"/>
  <c r="L49" i="22"/>
  <c r="M49" i="22"/>
  <c r="J50" i="22"/>
  <c r="K50" i="22"/>
  <c r="L50" i="22"/>
  <c r="M50" i="22"/>
  <c r="J51" i="22"/>
  <c r="K51" i="22"/>
  <c r="L51" i="22"/>
  <c r="M51" i="22"/>
  <c r="J52" i="22"/>
  <c r="K52" i="22"/>
  <c r="L52" i="22"/>
  <c r="M52" i="22"/>
  <c r="J53" i="22"/>
  <c r="K53" i="22"/>
  <c r="L53" i="22"/>
  <c r="M53" i="22"/>
  <c r="J54" i="22"/>
  <c r="K54" i="22"/>
  <c r="L54" i="22"/>
  <c r="M54" i="22"/>
  <c r="J55" i="22"/>
  <c r="K55" i="22"/>
  <c r="L55" i="22"/>
  <c r="M55" i="22"/>
  <c r="J56" i="22"/>
  <c r="K56" i="22"/>
  <c r="L56" i="22"/>
  <c r="M56" i="22"/>
  <c r="J57" i="22"/>
  <c r="K57" i="22"/>
  <c r="L57" i="22"/>
  <c r="M57" i="22"/>
  <c r="J58" i="22"/>
  <c r="K58" i="22"/>
  <c r="L58" i="22"/>
  <c r="M58" i="22"/>
  <c r="J59" i="22"/>
  <c r="K59" i="22"/>
  <c r="L59" i="22"/>
  <c r="M59" i="22"/>
  <c r="J60" i="22"/>
  <c r="K60" i="22"/>
  <c r="L60" i="22"/>
  <c r="M60" i="22"/>
  <c r="J61" i="22"/>
  <c r="K61" i="22"/>
  <c r="L61" i="22"/>
  <c r="M61" i="22"/>
  <c r="J62" i="22"/>
  <c r="K62" i="22"/>
  <c r="L62" i="22"/>
  <c r="M62" i="22"/>
  <c r="J63" i="22"/>
  <c r="K63" i="22"/>
  <c r="L63" i="22"/>
  <c r="M63" i="22"/>
  <c r="J64" i="22"/>
  <c r="K64" i="22"/>
  <c r="L64" i="22"/>
  <c r="M64" i="22"/>
  <c r="N45" i="22"/>
  <c r="N46" i="22"/>
  <c r="N47" i="22"/>
  <c r="N48" i="22"/>
  <c r="N49" i="22"/>
  <c r="N50" i="22"/>
  <c r="N51" i="22"/>
  <c r="N52" i="22"/>
  <c r="N53" i="22"/>
  <c r="N54" i="22"/>
  <c r="N55" i="22"/>
  <c r="N56" i="22"/>
  <c r="N57" i="22"/>
  <c r="N58" i="22"/>
  <c r="N59" i="22"/>
  <c r="N60" i="22"/>
  <c r="N61" i="22"/>
  <c r="N62" i="22"/>
  <c r="N63" i="22"/>
  <c r="N64" i="22"/>
  <c r="N42" i="22"/>
  <c r="N44" i="22"/>
  <c r="H11" i="22"/>
  <c r="J11" i="22"/>
  <c r="K11" i="22"/>
  <c r="L11" i="22"/>
  <c r="M11" i="22"/>
  <c r="J12" i="22"/>
  <c r="K12" i="22"/>
  <c r="L12" i="22"/>
  <c r="M12" i="22"/>
  <c r="J13" i="22"/>
  <c r="K13" i="22"/>
  <c r="L13" i="22"/>
  <c r="M13" i="22"/>
  <c r="J14" i="22"/>
  <c r="K14" i="22"/>
  <c r="L14" i="22"/>
  <c r="M14" i="22"/>
  <c r="J15" i="22"/>
  <c r="K15" i="22"/>
  <c r="L15" i="22"/>
  <c r="M15" i="22"/>
  <c r="J16" i="22"/>
  <c r="K16" i="22"/>
  <c r="L16" i="22"/>
  <c r="M16" i="22"/>
  <c r="J17" i="22"/>
  <c r="K17" i="22"/>
  <c r="L17" i="22"/>
  <c r="M17" i="22"/>
  <c r="J18" i="22"/>
  <c r="K18" i="22"/>
  <c r="L18" i="22"/>
  <c r="M18" i="22"/>
  <c r="J19" i="22"/>
  <c r="K19" i="22"/>
  <c r="L19" i="22"/>
  <c r="M19" i="22"/>
  <c r="J20" i="22"/>
  <c r="K20" i="22"/>
  <c r="L20" i="22"/>
  <c r="M20" i="22"/>
  <c r="J21" i="22"/>
  <c r="K21" i="22"/>
  <c r="L21" i="22"/>
  <c r="M21" i="22"/>
  <c r="J22" i="22"/>
  <c r="K22" i="22"/>
  <c r="L22" i="22"/>
  <c r="M22" i="22"/>
  <c r="J23" i="22"/>
  <c r="K23" i="22"/>
  <c r="L23" i="22"/>
  <c r="M23" i="22"/>
  <c r="J24" i="22"/>
  <c r="K24" i="22"/>
  <c r="L24" i="22"/>
  <c r="M24" i="22"/>
  <c r="J25" i="22"/>
  <c r="K25" i="22"/>
  <c r="L25" i="22"/>
  <c r="M25" i="22"/>
  <c r="J26" i="22"/>
  <c r="K26" i="22"/>
  <c r="L26" i="22"/>
  <c r="M26" i="22"/>
  <c r="J27" i="22"/>
  <c r="K27" i="22"/>
  <c r="L27" i="22"/>
  <c r="M27" i="22"/>
  <c r="J28" i="22"/>
  <c r="K28" i="22"/>
  <c r="L28" i="22"/>
  <c r="M28" i="22"/>
  <c r="J29" i="22"/>
  <c r="K29" i="22"/>
  <c r="L29" i="22"/>
  <c r="M29" i="22"/>
  <c r="J30" i="22"/>
  <c r="K30" i="22"/>
  <c r="L30" i="22"/>
  <c r="M30" i="22"/>
  <c r="J31" i="22"/>
  <c r="K31" i="22"/>
  <c r="L31" i="22"/>
  <c r="M31" i="22"/>
  <c r="N12" i="22"/>
  <c r="N13" i="22"/>
  <c r="N14" i="22"/>
  <c r="N15" i="22"/>
  <c r="N16" i="22"/>
  <c r="N17" i="22"/>
  <c r="N18" i="22"/>
  <c r="N19" i="22"/>
  <c r="N20" i="22"/>
  <c r="N21" i="22"/>
  <c r="N22" i="22"/>
  <c r="N23" i="22"/>
  <c r="N24" i="22"/>
  <c r="N25" i="22"/>
  <c r="N26" i="22"/>
  <c r="N27" i="22"/>
  <c r="N28" i="22"/>
  <c r="N29" i="22"/>
  <c r="N30" i="22"/>
  <c r="N31" i="22"/>
  <c r="N11" i="22"/>
  <c r="S11" i="22"/>
  <c r="P10" i="22"/>
  <c r="Q10" i="22"/>
  <c r="R10" i="22"/>
  <c r="S10" i="22"/>
  <c r="P11" i="22"/>
  <c r="Q11" i="22"/>
  <c r="R11" i="22"/>
  <c r="P12" i="22"/>
  <c r="Q12" i="22"/>
  <c r="R12" i="22"/>
  <c r="S12" i="22"/>
  <c r="P13" i="22"/>
  <c r="Q13" i="22"/>
  <c r="R13" i="22"/>
  <c r="S13" i="22"/>
  <c r="P14" i="22"/>
  <c r="Q14" i="22"/>
  <c r="R14" i="22"/>
  <c r="S14" i="22"/>
  <c r="P15" i="22"/>
  <c r="Q15" i="22"/>
  <c r="R15" i="22"/>
  <c r="S15" i="22"/>
  <c r="P16" i="22"/>
  <c r="Q16" i="22"/>
  <c r="R16" i="22"/>
  <c r="S16" i="22"/>
  <c r="P17" i="22"/>
  <c r="Q17" i="22"/>
  <c r="R17" i="22"/>
  <c r="S17" i="22"/>
  <c r="P18" i="22"/>
  <c r="Q18" i="22"/>
  <c r="R18" i="22"/>
  <c r="S18" i="22"/>
  <c r="P19" i="22"/>
  <c r="Q19" i="22"/>
  <c r="R19" i="22"/>
  <c r="S19" i="22"/>
  <c r="P20" i="22"/>
  <c r="Q20" i="22"/>
  <c r="R20" i="22"/>
  <c r="S20" i="22"/>
  <c r="P21" i="22"/>
  <c r="Q21" i="22"/>
  <c r="R21" i="22"/>
  <c r="S21" i="22"/>
  <c r="P22" i="22"/>
  <c r="Q22" i="22"/>
  <c r="R22" i="22"/>
  <c r="S22" i="22"/>
  <c r="P23" i="22"/>
  <c r="Q23" i="22"/>
  <c r="R23" i="22"/>
  <c r="S23" i="22"/>
  <c r="P24" i="22"/>
  <c r="Q24" i="22"/>
  <c r="R24" i="22"/>
  <c r="S24" i="22"/>
  <c r="P25" i="22"/>
  <c r="Q25" i="22"/>
  <c r="R25" i="22"/>
  <c r="S25" i="22"/>
  <c r="P26" i="22"/>
  <c r="Q26" i="22"/>
  <c r="R26" i="22"/>
  <c r="S26" i="22"/>
  <c r="P27" i="22"/>
  <c r="Q27" i="22"/>
  <c r="R27" i="22"/>
  <c r="S27" i="22"/>
  <c r="P28" i="22"/>
  <c r="Q28" i="22"/>
  <c r="R28" i="22"/>
  <c r="S28" i="22"/>
  <c r="P29" i="22"/>
  <c r="Q29" i="22"/>
  <c r="R29" i="22"/>
  <c r="S29" i="22"/>
  <c r="P30" i="22"/>
  <c r="Q30" i="22"/>
  <c r="R30" i="22"/>
  <c r="S30" i="22"/>
  <c r="P31" i="22"/>
  <c r="Q31" i="22"/>
  <c r="R31" i="22"/>
  <c r="S31" i="22"/>
  <c r="T10" i="22"/>
  <c r="T12" i="22"/>
  <c r="T13" i="22"/>
  <c r="T14" i="22"/>
  <c r="T15" i="22"/>
  <c r="T16" i="22"/>
  <c r="T17" i="22"/>
  <c r="T18" i="22"/>
  <c r="T19" i="22"/>
  <c r="T20" i="22"/>
  <c r="T21" i="22"/>
  <c r="T22" i="22"/>
  <c r="T23" i="22"/>
  <c r="T24" i="22"/>
  <c r="T25" i="22"/>
  <c r="T26" i="22"/>
  <c r="T27" i="22"/>
  <c r="T28" i="22"/>
  <c r="T29" i="22"/>
  <c r="T30" i="22"/>
  <c r="T31" i="22"/>
  <c r="T11" i="22"/>
  <c r="J10" i="22"/>
  <c r="K10" i="22"/>
  <c r="L10" i="22"/>
  <c r="M10" i="22"/>
  <c r="N10" i="22"/>
  <c r="Q7" i="22"/>
  <c r="R7" i="22"/>
  <c r="S7" i="22"/>
  <c r="T7" i="22"/>
  <c r="P7" i="22"/>
  <c r="Y107" i="63" l="1"/>
  <c r="H385" i="75"/>
  <c r="H157" i="75"/>
  <c r="O8" i="85"/>
  <c r="Q7" i="85" s="1"/>
  <c r="N8" i="85"/>
  <c r="M8" i="85"/>
  <c r="L8" i="85"/>
  <c r="K8" i="85"/>
  <c r="H8" i="85"/>
  <c r="G8" i="85"/>
  <c r="F8" i="85"/>
  <c r="E8" i="85"/>
  <c r="D8" i="85"/>
  <c r="D101" i="81"/>
  <c r="E101" i="81"/>
  <c r="F101" i="81"/>
  <c r="G101" i="81"/>
  <c r="H101" i="81"/>
  <c r="I101" i="81"/>
  <c r="J101" i="81"/>
  <c r="K101" i="81"/>
  <c r="L101" i="81"/>
  <c r="M101" i="81"/>
  <c r="N101" i="81"/>
  <c r="O101" i="81"/>
  <c r="P101" i="81"/>
  <c r="Q101" i="81"/>
  <c r="R101" i="81"/>
  <c r="S101" i="81"/>
  <c r="T101" i="81"/>
  <c r="U101" i="81"/>
  <c r="V101" i="81"/>
  <c r="W101" i="81"/>
  <c r="D102" i="81"/>
  <c r="E102" i="81"/>
  <c r="F102" i="81"/>
  <c r="G102" i="81"/>
  <c r="H102" i="81"/>
  <c r="I102" i="81"/>
  <c r="J102" i="81"/>
  <c r="K102" i="81"/>
  <c r="L102" i="81"/>
  <c r="M102" i="81"/>
  <c r="N102" i="81"/>
  <c r="O102" i="81"/>
  <c r="P102" i="81"/>
  <c r="Q102" i="81"/>
  <c r="R102" i="81"/>
  <c r="S102" i="81"/>
  <c r="T102" i="81"/>
  <c r="U102" i="81"/>
  <c r="V102" i="81"/>
  <c r="W102" i="81"/>
  <c r="D103" i="81"/>
  <c r="E103" i="81"/>
  <c r="F103" i="81"/>
  <c r="G103" i="81"/>
  <c r="H103" i="81"/>
  <c r="I103" i="81"/>
  <c r="J103" i="81"/>
  <c r="K103" i="81"/>
  <c r="L103" i="81"/>
  <c r="M103" i="81"/>
  <c r="N103" i="81"/>
  <c r="O103" i="81"/>
  <c r="P103" i="81"/>
  <c r="Q103" i="81"/>
  <c r="R103" i="81"/>
  <c r="S103" i="81"/>
  <c r="T103" i="81"/>
  <c r="U103" i="81"/>
  <c r="V103" i="81"/>
  <c r="W103" i="81"/>
  <c r="C103" i="81"/>
  <c r="C102" i="81"/>
  <c r="C101" i="81"/>
  <c r="D310" i="75" l="1"/>
  <c r="E310" i="75"/>
  <c r="F310" i="75"/>
  <c r="G310" i="75"/>
  <c r="H310" i="75"/>
  <c r="H39" i="22" l="1"/>
  <c r="G39" i="22"/>
  <c r="F39" i="22"/>
  <c r="E39" i="22"/>
  <c r="D39" i="22"/>
  <c r="V100" i="81"/>
  <c r="V99" i="81"/>
  <c r="W69" i="81"/>
  <c r="H336" i="75" l="1"/>
  <c r="D183" i="75"/>
  <c r="E183" i="75"/>
  <c r="F183" i="75"/>
  <c r="G183" i="75"/>
  <c r="H183" i="75"/>
  <c r="W113" i="78"/>
  <c r="V113" i="78"/>
  <c r="U113" i="78"/>
  <c r="T113" i="78"/>
  <c r="S113" i="78"/>
  <c r="R113" i="78"/>
  <c r="Q113" i="78"/>
  <c r="P113" i="78"/>
  <c r="O113" i="78"/>
  <c r="N113" i="78"/>
  <c r="M113" i="78"/>
  <c r="L113" i="78"/>
  <c r="K113" i="78"/>
  <c r="J113" i="78"/>
  <c r="I113" i="78"/>
  <c r="H113" i="78"/>
  <c r="G113" i="78"/>
  <c r="F113" i="78"/>
  <c r="E113" i="78"/>
  <c r="D113" i="78"/>
  <c r="C113" i="78"/>
  <c r="W112" i="78"/>
  <c r="V112" i="78"/>
  <c r="U112" i="78"/>
  <c r="T112" i="78"/>
  <c r="S112" i="78"/>
  <c r="R112" i="78"/>
  <c r="Q112" i="78"/>
  <c r="P112" i="78"/>
  <c r="O112" i="78"/>
  <c r="N112" i="78"/>
  <c r="M112" i="78"/>
  <c r="L112" i="78"/>
  <c r="K112" i="78"/>
  <c r="J112" i="78"/>
  <c r="I112" i="78"/>
  <c r="H112" i="78"/>
  <c r="G112" i="78"/>
  <c r="F112" i="78"/>
  <c r="E112" i="78"/>
  <c r="D112" i="78"/>
  <c r="C112" i="78"/>
  <c r="W113" i="79"/>
  <c r="V113" i="79"/>
  <c r="U113" i="79"/>
  <c r="T113" i="79"/>
  <c r="S113" i="79"/>
  <c r="R113" i="79"/>
  <c r="Q113" i="79"/>
  <c r="P113" i="79"/>
  <c r="O113" i="79"/>
  <c r="N113" i="79"/>
  <c r="M113" i="79"/>
  <c r="L113" i="79"/>
  <c r="K113" i="79"/>
  <c r="J113" i="79"/>
  <c r="I113" i="79"/>
  <c r="H113" i="79"/>
  <c r="G113" i="79"/>
  <c r="F113" i="79"/>
  <c r="E113" i="79"/>
  <c r="D113" i="79"/>
  <c r="C113" i="79"/>
  <c r="W112" i="79"/>
  <c r="V112" i="79"/>
  <c r="U112" i="79"/>
  <c r="T112" i="79"/>
  <c r="S112" i="79"/>
  <c r="R112" i="79"/>
  <c r="Q112" i="79"/>
  <c r="P112" i="79"/>
  <c r="O112" i="79"/>
  <c r="N112" i="79"/>
  <c r="M112" i="79"/>
  <c r="L112" i="79"/>
  <c r="K112" i="79"/>
  <c r="J112" i="79"/>
  <c r="I112" i="79"/>
  <c r="H112" i="79"/>
  <c r="G112" i="79"/>
  <c r="F112" i="79"/>
  <c r="E112" i="79"/>
  <c r="D112" i="79"/>
  <c r="C112" i="79"/>
  <c r="W113" i="80"/>
  <c r="V113" i="80"/>
  <c r="U113" i="80"/>
  <c r="T113" i="80"/>
  <c r="S113" i="80"/>
  <c r="R113" i="80"/>
  <c r="Q113" i="80"/>
  <c r="P113" i="80"/>
  <c r="O113" i="80"/>
  <c r="N113" i="80"/>
  <c r="M113" i="80"/>
  <c r="L113" i="80"/>
  <c r="K113" i="80"/>
  <c r="J113" i="80"/>
  <c r="I113" i="80"/>
  <c r="H113" i="80"/>
  <c r="G113" i="80"/>
  <c r="F113" i="80"/>
  <c r="E113" i="80"/>
  <c r="D113" i="80"/>
  <c r="C113" i="80"/>
  <c r="W112" i="80"/>
  <c r="V112" i="80"/>
  <c r="U112" i="80"/>
  <c r="T112" i="80"/>
  <c r="S112" i="80"/>
  <c r="R112" i="80"/>
  <c r="Q112" i="80"/>
  <c r="P112" i="80"/>
  <c r="O112" i="80"/>
  <c r="N112" i="80"/>
  <c r="M112" i="80"/>
  <c r="L112" i="80"/>
  <c r="K112" i="80"/>
  <c r="J112" i="80"/>
  <c r="I112" i="80"/>
  <c r="H112" i="80"/>
  <c r="G112" i="80"/>
  <c r="F112" i="80"/>
  <c r="E112" i="80"/>
  <c r="D112" i="80"/>
  <c r="C112" i="80"/>
  <c r="W113" i="77"/>
  <c r="V113" i="77"/>
  <c r="U113" i="77"/>
  <c r="T113" i="77"/>
  <c r="S113" i="77"/>
  <c r="R113" i="77"/>
  <c r="Q113" i="77"/>
  <c r="P113" i="77"/>
  <c r="O113" i="77"/>
  <c r="N113" i="77"/>
  <c r="M113" i="77"/>
  <c r="L113" i="77"/>
  <c r="K113" i="77"/>
  <c r="J113" i="77"/>
  <c r="I113" i="77"/>
  <c r="H113" i="77"/>
  <c r="G113" i="77"/>
  <c r="F113" i="77"/>
  <c r="E113" i="77"/>
  <c r="D113" i="77"/>
  <c r="C113" i="77"/>
  <c r="W112" i="77"/>
  <c r="V112" i="77"/>
  <c r="U112" i="77"/>
  <c r="T112" i="77"/>
  <c r="S112" i="77"/>
  <c r="R112" i="77"/>
  <c r="Q112" i="77"/>
  <c r="P112" i="77"/>
  <c r="O112" i="77"/>
  <c r="N112" i="77"/>
  <c r="M112" i="77"/>
  <c r="L112" i="77"/>
  <c r="K112" i="77"/>
  <c r="J112" i="77"/>
  <c r="I112" i="77"/>
  <c r="H112" i="77"/>
  <c r="G112" i="77"/>
  <c r="F112" i="77"/>
  <c r="E112" i="77"/>
  <c r="D112" i="77"/>
  <c r="C112" i="77"/>
  <c r="C112" i="81"/>
  <c r="C113" i="81"/>
  <c r="A1" i="77"/>
  <c r="C69" i="81"/>
  <c r="D69" i="81"/>
  <c r="E69" i="81"/>
  <c r="F69" i="81"/>
  <c r="G69" i="81"/>
  <c r="H69" i="81"/>
  <c r="I69" i="81"/>
  <c r="J69" i="81"/>
  <c r="K69" i="81"/>
  <c r="L69" i="81"/>
  <c r="M69" i="81"/>
  <c r="N69" i="81"/>
  <c r="O69" i="81"/>
  <c r="P69" i="81"/>
  <c r="Q69" i="81"/>
  <c r="R69" i="81"/>
  <c r="S69" i="81"/>
  <c r="T69" i="81"/>
  <c r="U69" i="81"/>
  <c r="V69" i="81"/>
  <c r="B138" i="63" l="1"/>
  <c r="AU28" i="76"/>
  <c r="AU29" i="76"/>
  <c r="AU30" i="76"/>
  <c r="AU31" i="76"/>
  <c r="AU32" i="76"/>
  <c r="AU33" i="76"/>
  <c r="AU34" i="76"/>
  <c r="AU35" i="76"/>
  <c r="AU36" i="76"/>
  <c r="AU37" i="76"/>
  <c r="AU38" i="76"/>
  <c r="AU39" i="76"/>
  <c r="AU40" i="76"/>
  <c r="AU41" i="76"/>
  <c r="AU42" i="76"/>
  <c r="AU43" i="76"/>
  <c r="AU44" i="76"/>
  <c r="AU45" i="76"/>
  <c r="AU46" i="76"/>
  <c r="AU47" i="76"/>
  <c r="AU48" i="76"/>
  <c r="AU49" i="76"/>
  <c r="AU50" i="76"/>
  <c r="AU51" i="76"/>
  <c r="AU52" i="76"/>
  <c r="AU53" i="76"/>
  <c r="AU54" i="76"/>
  <c r="AU55" i="76"/>
  <c r="AU56" i="76"/>
  <c r="AU57" i="76"/>
  <c r="AU58" i="76"/>
  <c r="AU59" i="76"/>
  <c r="AU60" i="76"/>
  <c r="AU61" i="76"/>
  <c r="AU62" i="76"/>
  <c r="AU63" i="76"/>
  <c r="AU64" i="76"/>
  <c r="AU65" i="76"/>
  <c r="AU66" i="76"/>
  <c r="AU67" i="76"/>
  <c r="AU68" i="76"/>
  <c r="AU69" i="76"/>
  <c r="AU70" i="76"/>
  <c r="AU71" i="76"/>
  <c r="AU72" i="76"/>
  <c r="AU73" i="76"/>
  <c r="AU74" i="76"/>
  <c r="AU75" i="76"/>
  <c r="AU76" i="76"/>
  <c r="AU77" i="76"/>
  <c r="AU78" i="76"/>
  <c r="AU79" i="76"/>
  <c r="AU80" i="76"/>
  <c r="AU81" i="76"/>
  <c r="AU82" i="76"/>
  <c r="AU83" i="76"/>
  <c r="AU84" i="76"/>
  <c r="AU12" i="76"/>
  <c r="AU13" i="76"/>
  <c r="AU14" i="76"/>
  <c r="AU15" i="76"/>
  <c r="AU16" i="76"/>
  <c r="AU17" i="76"/>
  <c r="AU18" i="76"/>
  <c r="AU19" i="76"/>
  <c r="AU20" i="76"/>
  <c r="AU21" i="76"/>
  <c r="AU22" i="76"/>
  <c r="AU23" i="76"/>
  <c r="AU24" i="76"/>
  <c r="AU25" i="76"/>
  <c r="AU26" i="76"/>
  <c r="AU27" i="76"/>
  <c r="A19" i="92"/>
  <c r="AU11" i="76" l="1"/>
  <c r="S53" i="44"/>
  <c r="S52" i="44"/>
  <c r="S51" i="44"/>
  <c r="S50" i="44"/>
  <c r="S49" i="44"/>
  <c r="S48" i="44"/>
  <c r="S47" i="44"/>
  <c r="S46" i="44"/>
  <c r="S45" i="44"/>
  <c r="S44" i="44"/>
  <c r="S43" i="44"/>
  <c r="S42" i="44"/>
  <c r="S41" i="44"/>
  <c r="S40" i="44"/>
  <c r="S39" i="44"/>
  <c r="S38" i="44"/>
  <c r="T34" i="44"/>
  <c r="U34" i="44" s="1"/>
  <c r="D93" i="76" l="1"/>
  <c r="E93" i="76"/>
  <c r="F93" i="76"/>
  <c r="G93" i="76"/>
  <c r="H93" i="76"/>
  <c r="I93" i="76"/>
  <c r="J93" i="76"/>
  <c r="K93" i="76"/>
  <c r="L93" i="76"/>
  <c r="M93" i="76"/>
  <c r="N93" i="76"/>
  <c r="O93" i="76"/>
  <c r="P93" i="76"/>
  <c r="Q93" i="76"/>
  <c r="R93" i="76"/>
  <c r="S93" i="76"/>
  <c r="T93" i="76"/>
  <c r="U93" i="76"/>
  <c r="V93" i="76"/>
  <c r="B109" i="76"/>
  <c r="E13" i="44"/>
  <c r="AS122" i="86"/>
  <c r="AR122" i="86"/>
  <c r="AQ122" i="86"/>
  <c r="AP122" i="86"/>
  <c r="AO122" i="86"/>
  <c r="AP121" i="86"/>
  <c r="AO121" i="86"/>
  <c r="AS120" i="86"/>
  <c r="AR120" i="86"/>
  <c r="AQ120" i="86"/>
  <c r="AP120" i="86"/>
  <c r="AO120" i="86"/>
  <c r="AS119" i="86"/>
  <c r="AR119" i="86"/>
  <c r="AQ119" i="86"/>
  <c r="AP119" i="86"/>
  <c r="AO119" i="86"/>
  <c r="AS118" i="86"/>
  <c r="AR118" i="86"/>
  <c r="AQ118" i="86"/>
  <c r="AP118" i="86"/>
  <c r="AO118" i="86"/>
  <c r="AS117" i="86"/>
  <c r="AR117" i="86"/>
  <c r="AQ117" i="86"/>
  <c r="AP117" i="86"/>
  <c r="AO117" i="86"/>
  <c r="AS116" i="86"/>
  <c r="AR116" i="86"/>
  <c r="AQ116" i="86"/>
  <c r="AP116" i="86"/>
  <c r="AO116" i="86"/>
  <c r="AS115" i="86"/>
  <c r="AR115" i="86"/>
  <c r="AQ115" i="86"/>
  <c r="AP115" i="86"/>
  <c r="AO115" i="86"/>
  <c r="AS114" i="86"/>
  <c r="AR114" i="86"/>
  <c r="AQ114" i="86"/>
  <c r="AP114" i="86"/>
  <c r="AO114" i="86"/>
  <c r="AS113" i="86"/>
  <c r="AR113" i="86"/>
  <c r="AQ113" i="86"/>
  <c r="AP113" i="86"/>
  <c r="AO113" i="86"/>
  <c r="AS112" i="86"/>
  <c r="AR112" i="86"/>
  <c r="AQ112" i="86"/>
  <c r="AP112" i="86"/>
  <c r="AO112" i="86"/>
  <c r="AS111" i="86"/>
  <c r="AR111" i="86"/>
  <c r="AQ111" i="86"/>
  <c r="AP111" i="86"/>
  <c r="AO111" i="86"/>
  <c r="AS110" i="86"/>
  <c r="AR110" i="86"/>
  <c r="AQ110" i="86"/>
  <c r="AP110" i="86"/>
  <c r="AO110" i="86"/>
  <c r="AS109" i="86"/>
  <c r="AR109" i="86"/>
  <c r="AQ109" i="86"/>
  <c r="AP109" i="86"/>
  <c r="AO109" i="86"/>
  <c r="AS108" i="86"/>
  <c r="AR108" i="86"/>
  <c r="AQ108" i="86"/>
  <c r="AP108" i="86"/>
  <c r="AO108" i="86"/>
  <c r="AS107" i="86"/>
  <c r="AR107" i="86"/>
  <c r="AQ107" i="86"/>
  <c r="AP107" i="86"/>
  <c r="AO107" i="86"/>
  <c r="AS106" i="86"/>
  <c r="AR106" i="86"/>
  <c r="AQ106" i="86"/>
  <c r="AP106" i="86"/>
  <c r="AO106" i="86"/>
  <c r="AS105" i="86"/>
  <c r="AR105" i="86"/>
  <c r="AQ105" i="86"/>
  <c r="AP105" i="86"/>
  <c r="AO105" i="86"/>
  <c r="AS104" i="86"/>
  <c r="AR104" i="86"/>
  <c r="AQ104" i="86"/>
  <c r="AP104" i="86"/>
  <c r="AO104" i="86"/>
  <c r="AS103" i="86"/>
  <c r="AR103" i="86"/>
  <c r="AQ103" i="86"/>
  <c r="AP103" i="86"/>
  <c r="AO103" i="86"/>
  <c r="AS102" i="86"/>
  <c r="AR102" i="86"/>
  <c r="AQ102" i="86"/>
  <c r="AP102" i="86"/>
  <c r="AO102" i="86"/>
  <c r="AG122" i="86"/>
  <c r="AF122" i="86"/>
  <c r="AE122" i="86"/>
  <c r="AD122" i="86"/>
  <c r="AC122" i="86"/>
  <c r="AG120" i="86"/>
  <c r="AF120" i="86"/>
  <c r="AE120" i="86"/>
  <c r="AD120" i="86"/>
  <c r="AC120" i="86"/>
  <c r="AG119" i="86"/>
  <c r="AF119" i="86"/>
  <c r="AE119" i="86"/>
  <c r="AD119" i="86"/>
  <c r="AC119" i="86"/>
  <c r="AG118" i="86"/>
  <c r="AF118" i="86"/>
  <c r="AE118" i="86"/>
  <c r="AD118" i="86"/>
  <c r="AC118" i="86"/>
  <c r="AG117" i="86"/>
  <c r="AF117" i="86"/>
  <c r="AE117" i="86"/>
  <c r="AD117" i="86"/>
  <c r="AC117" i="86"/>
  <c r="AG116" i="86"/>
  <c r="AF116" i="86"/>
  <c r="AE116" i="86"/>
  <c r="AD116" i="86"/>
  <c r="AC116" i="86"/>
  <c r="AG115" i="86"/>
  <c r="AF115" i="86"/>
  <c r="AE115" i="86"/>
  <c r="AD115" i="86"/>
  <c r="AC115" i="86"/>
  <c r="AG114" i="86"/>
  <c r="AF114" i="86"/>
  <c r="AE114" i="86"/>
  <c r="AD114" i="86"/>
  <c r="AC114" i="86"/>
  <c r="AG113" i="86"/>
  <c r="AF113" i="86"/>
  <c r="AE113" i="86"/>
  <c r="AD113" i="86"/>
  <c r="AC113" i="86"/>
  <c r="AG112" i="86"/>
  <c r="AF112" i="86"/>
  <c r="AE112" i="86"/>
  <c r="AD112" i="86"/>
  <c r="AC112" i="86"/>
  <c r="AG111" i="86"/>
  <c r="AF111" i="86"/>
  <c r="AE111" i="86"/>
  <c r="AD111" i="86"/>
  <c r="AC111" i="86"/>
  <c r="AG110" i="86"/>
  <c r="AF110" i="86"/>
  <c r="AE110" i="86"/>
  <c r="AD110" i="86"/>
  <c r="AC110" i="86"/>
  <c r="AG109" i="86"/>
  <c r="AF109" i="86"/>
  <c r="AE109" i="86"/>
  <c r="AD109" i="86"/>
  <c r="AC109" i="86"/>
  <c r="AG108" i="86"/>
  <c r="AF108" i="86"/>
  <c r="AE108" i="86"/>
  <c r="AD108" i="86"/>
  <c r="AC108" i="86"/>
  <c r="AG107" i="86"/>
  <c r="AF107" i="86"/>
  <c r="AE107" i="86"/>
  <c r="AD107" i="86"/>
  <c r="AC107" i="86"/>
  <c r="AG106" i="86"/>
  <c r="AF106" i="86"/>
  <c r="AE106" i="86"/>
  <c r="AD106" i="86"/>
  <c r="AC106" i="86"/>
  <c r="AG105" i="86"/>
  <c r="AF105" i="86"/>
  <c r="AE105" i="86"/>
  <c r="AD105" i="86"/>
  <c r="AC105" i="86"/>
  <c r="AG104" i="86"/>
  <c r="AF104" i="86"/>
  <c r="AE104" i="86"/>
  <c r="AD104" i="86"/>
  <c r="AC104" i="86"/>
  <c r="AG103" i="86"/>
  <c r="AF103" i="86"/>
  <c r="AE103" i="86"/>
  <c r="AD103" i="86"/>
  <c r="AC103" i="86"/>
  <c r="AG102" i="86"/>
  <c r="AF102" i="86"/>
  <c r="AE102" i="86"/>
  <c r="AD102" i="86"/>
  <c r="AC102" i="86"/>
  <c r="R75" i="70"/>
  <c r="G79" i="70" l="1"/>
  <c r="Z96" i="70"/>
  <c r="D11" i="85" l="1"/>
  <c r="AB161" i="63"/>
  <c r="AB160" i="63"/>
  <c r="AB159" i="63"/>
  <c r="AB158" i="63"/>
  <c r="AB157" i="63"/>
  <c r="AB156" i="63"/>
  <c r="AB155" i="63"/>
  <c r="AB154" i="63"/>
  <c r="AB153" i="63"/>
  <c r="AB152" i="63"/>
  <c r="AB151" i="63"/>
  <c r="AB150" i="63"/>
  <c r="AB149" i="63"/>
  <c r="AB148" i="63"/>
  <c r="AB147" i="63"/>
  <c r="AB146" i="63"/>
  <c r="AB145" i="63"/>
  <c r="AB144" i="63"/>
  <c r="AB143" i="63"/>
  <c r="AB142" i="63"/>
  <c r="AB141" i="63"/>
  <c r="AA161" i="63"/>
  <c r="AA160" i="63"/>
  <c r="AA159" i="63"/>
  <c r="AA158" i="63"/>
  <c r="AA157" i="63"/>
  <c r="AA156" i="63"/>
  <c r="AA155" i="63"/>
  <c r="AA154" i="63"/>
  <c r="AA153" i="63"/>
  <c r="AA152" i="63"/>
  <c r="AA151" i="63"/>
  <c r="AA150" i="63"/>
  <c r="AA149" i="63"/>
  <c r="AA148" i="63"/>
  <c r="AA147" i="63"/>
  <c r="AA146" i="63"/>
  <c r="AA145" i="63"/>
  <c r="AA144" i="63"/>
  <c r="AA143" i="63"/>
  <c r="AA142" i="63"/>
  <c r="AA141" i="63"/>
  <c r="Z161" i="63"/>
  <c r="Z160" i="63"/>
  <c r="Z159" i="63"/>
  <c r="Z158" i="63"/>
  <c r="Z157" i="63"/>
  <c r="Z156" i="63"/>
  <c r="Z155" i="63"/>
  <c r="Z154" i="63"/>
  <c r="Z153" i="63"/>
  <c r="Z152" i="63"/>
  <c r="Z151" i="63"/>
  <c r="Z150" i="63"/>
  <c r="Z149" i="63"/>
  <c r="Z148" i="63"/>
  <c r="Z147" i="63"/>
  <c r="Z146" i="63"/>
  <c r="Z145" i="63"/>
  <c r="Z144" i="63"/>
  <c r="Z143" i="63"/>
  <c r="Z142" i="63"/>
  <c r="Z141" i="63"/>
  <c r="AC162" i="49"/>
  <c r="Z162" i="49"/>
  <c r="Y162" i="49"/>
  <c r="AC127" i="49"/>
  <c r="AB127" i="49"/>
  <c r="AA127" i="49"/>
  <c r="Z127" i="49"/>
  <c r="Y127" i="49"/>
  <c r="H30" i="49"/>
  <c r="G30" i="49"/>
  <c r="E30" i="49"/>
  <c r="D30" i="49"/>
  <c r="H30" i="62"/>
  <c r="E30" i="62"/>
  <c r="D30" i="62"/>
  <c r="AC224" i="63"/>
  <c r="AB224" i="63"/>
  <c r="AA224" i="63"/>
  <c r="Z224" i="63"/>
  <c r="Y224" i="63"/>
  <c r="AC191" i="63"/>
  <c r="AB191" i="63"/>
  <c r="AA191" i="63"/>
  <c r="Z191" i="63"/>
  <c r="Y191" i="63"/>
  <c r="AC160" i="63"/>
  <c r="Y160" i="63"/>
  <c r="AE126" i="63"/>
  <c r="AD126" i="63"/>
  <c r="Z126" i="63"/>
  <c r="Y126" i="63"/>
  <c r="H30" i="63"/>
  <c r="G30" i="63"/>
  <c r="E30" i="63"/>
  <c r="D30" i="63"/>
  <c r="H30" i="64"/>
  <c r="E30" i="64"/>
  <c r="D30" i="64"/>
  <c r="H30" i="65"/>
  <c r="G30" i="65"/>
  <c r="E30" i="65"/>
  <c r="D30" i="65"/>
  <c r="AC161" i="66"/>
  <c r="AB161" i="66"/>
  <c r="Z161" i="66"/>
  <c r="Y161" i="66"/>
  <c r="H30" i="66"/>
  <c r="G30" i="66"/>
  <c r="E30" i="66"/>
  <c r="D30" i="66"/>
  <c r="AI295" i="67"/>
  <c r="AH295" i="67"/>
  <c r="AG295" i="67"/>
  <c r="AF295" i="67"/>
  <c r="AE295" i="67"/>
  <c r="AC295" i="67"/>
  <c r="Z295" i="67"/>
  <c r="Y295" i="67"/>
  <c r="AI262" i="67"/>
  <c r="AF262" i="67"/>
  <c r="AE262" i="67"/>
  <c r="AC262" i="67"/>
  <c r="Z262" i="67"/>
  <c r="Y262" i="67"/>
  <c r="AI225" i="67"/>
  <c r="AH225" i="67"/>
  <c r="AG225" i="67"/>
  <c r="AF225" i="67"/>
  <c r="AE225" i="67"/>
  <c r="AC225" i="67"/>
  <c r="Z225" i="67"/>
  <c r="Y225" i="67"/>
  <c r="AI196" i="67"/>
  <c r="AH196" i="67"/>
  <c r="AF196" i="67"/>
  <c r="AE196" i="67"/>
  <c r="AC196" i="67"/>
  <c r="AB196" i="67"/>
  <c r="Z196" i="67"/>
  <c r="Y196" i="67"/>
  <c r="AI163" i="67"/>
  <c r="AH163" i="67"/>
  <c r="AG163" i="67"/>
  <c r="AF163" i="67"/>
  <c r="AE163" i="67"/>
  <c r="AC128" i="67"/>
  <c r="AB128" i="67"/>
  <c r="AA128" i="67"/>
  <c r="Z128" i="67"/>
  <c r="Y128" i="67"/>
  <c r="H30" i="67"/>
  <c r="E30" i="67"/>
  <c r="D30" i="67"/>
  <c r="E133" i="68"/>
  <c r="D133" i="68"/>
  <c r="E30" i="68"/>
  <c r="D30" i="68"/>
  <c r="AC292" i="69"/>
  <c r="AB292" i="69"/>
  <c r="AA292" i="69"/>
  <c r="Z292" i="69"/>
  <c r="Y292" i="69"/>
  <c r="AC260" i="69"/>
  <c r="Z260" i="69"/>
  <c r="Y260" i="69"/>
  <c r="AI227" i="69"/>
  <c r="AH227" i="69"/>
  <c r="AG227" i="69"/>
  <c r="AF227" i="69"/>
  <c r="AE227" i="69"/>
  <c r="AC227" i="69"/>
  <c r="AB227" i="69"/>
  <c r="AA227" i="69"/>
  <c r="Z227" i="69"/>
  <c r="Y227" i="69"/>
  <c r="AC194" i="69"/>
  <c r="Z194" i="69"/>
  <c r="Y194" i="69"/>
  <c r="AC161" i="69"/>
  <c r="Z161" i="69"/>
  <c r="Y161" i="69"/>
  <c r="AI126" i="69"/>
  <c r="AF126" i="69"/>
  <c r="AE126" i="69"/>
  <c r="Z126" i="69"/>
  <c r="Y126" i="69"/>
  <c r="H30" i="69"/>
  <c r="E30" i="69"/>
  <c r="D30" i="69"/>
  <c r="AC293" i="83"/>
  <c r="AB293" i="83"/>
  <c r="AA293" i="83"/>
  <c r="Z293" i="83"/>
  <c r="Y293" i="83"/>
  <c r="AI260" i="83"/>
  <c r="AH260" i="83"/>
  <c r="AG260" i="83"/>
  <c r="AF260" i="83"/>
  <c r="AE260" i="83"/>
  <c r="AC260" i="83"/>
  <c r="AB260" i="83"/>
  <c r="AA260" i="83"/>
  <c r="Z260" i="83"/>
  <c r="Y260" i="83"/>
  <c r="H199" i="83"/>
  <c r="E199" i="83"/>
  <c r="D199" i="83"/>
  <c r="AC161" i="83"/>
  <c r="AB161" i="83"/>
  <c r="AA161" i="83"/>
  <c r="Z161" i="83"/>
  <c r="Y161" i="83"/>
  <c r="AC126" i="83"/>
  <c r="AB126" i="83"/>
  <c r="AA126" i="83"/>
  <c r="Z126" i="83"/>
  <c r="Y126" i="83"/>
  <c r="H30" i="83"/>
  <c r="E30" i="83"/>
  <c r="D30" i="83"/>
  <c r="AI227" i="84"/>
  <c r="AF227" i="84"/>
  <c r="AE227" i="84"/>
  <c r="AC227" i="84"/>
  <c r="AB227" i="84"/>
  <c r="AA227" i="84"/>
  <c r="Z227" i="84"/>
  <c r="Y227" i="84"/>
  <c r="AC194" i="84"/>
  <c r="Z194" i="84"/>
  <c r="Y194" i="84"/>
  <c r="AC161" i="84"/>
  <c r="Z161" i="84"/>
  <c r="Y161" i="84"/>
  <c r="AC128" i="84"/>
  <c r="Z128" i="84"/>
  <c r="Y128" i="84"/>
  <c r="H30" i="84"/>
  <c r="E30" i="84"/>
  <c r="D30" i="84"/>
  <c r="AH196" i="70"/>
  <c r="AG196" i="70"/>
  <c r="AF196" i="70"/>
  <c r="AE196" i="70"/>
  <c r="AD196" i="70"/>
  <c r="AB196" i="70"/>
  <c r="Y196" i="70"/>
  <c r="X196" i="70"/>
  <c r="AB163" i="70"/>
  <c r="AA163" i="70"/>
  <c r="Z163" i="70"/>
  <c r="Y163" i="70"/>
  <c r="X163" i="70"/>
  <c r="AD98" i="70"/>
  <c r="AA98" i="70"/>
  <c r="Z98" i="70"/>
  <c r="O98" i="70"/>
  <c r="N98" i="70"/>
  <c r="M98" i="70"/>
  <c r="H98" i="70"/>
  <c r="AI98" i="70" s="1"/>
  <c r="G98" i="70"/>
  <c r="AH98" i="70" s="1"/>
  <c r="F98" i="70"/>
  <c r="AG98" i="70" s="1"/>
  <c r="E98" i="70"/>
  <c r="AF98" i="70" s="1"/>
  <c r="D98" i="70"/>
  <c r="AE98" i="70" s="1"/>
  <c r="H30" i="70"/>
  <c r="G30" i="70"/>
  <c r="F30" i="70"/>
  <c r="E30" i="70"/>
  <c r="D30" i="70"/>
  <c r="AA126" i="85"/>
  <c r="Z126" i="85"/>
  <c r="Y126" i="85"/>
  <c r="AA93" i="85"/>
  <c r="Z93" i="85"/>
  <c r="Y93" i="85"/>
  <c r="G30" i="86"/>
  <c r="F30" i="86"/>
  <c r="E30" i="86"/>
  <c r="D30" i="86"/>
  <c r="AP98" i="70" l="1"/>
  <c r="AQ98" i="70"/>
  <c r="W78" i="76"/>
  <c r="AQ51" i="84"/>
  <c r="S7" i="84"/>
  <c r="AQ39" i="84"/>
  <c r="AQ40" i="84"/>
  <c r="AQ41" i="84"/>
  <c r="AQ42" i="84"/>
  <c r="AQ43" i="84"/>
  <c r="AQ44" i="84"/>
  <c r="AQ45" i="84"/>
  <c r="AQ46" i="84"/>
  <c r="AQ47" i="84"/>
  <c r="AQ48" i="84"/>
  <c r="AQ49" i="84"/>
  <c r="AQ50" i="84"/>
  <c r="AQ52" i="84"/>
  <c r="AQ53" i="84"/>
  <c r="AQ54" i="84"/>
  <c r="AQ55" i="84"/>
  <c r="AQ56" i="84"/>
  <c r="AQ38" i="84"/>
  <c r="I7" i="84"/>
  <c r="AK5" i="84" s="1"/>
  <c r="BA203" i="83" l="1"/>
  <c r="AZ203" i="83"/>
  <c r="AY203" i="83"/>
  <c r="AX203" i="83"/>
  <c r="AW203" i="83"/>
  <c r="Y241" i="83"/>
  <c r="Z241" i="83"/>
  <c r="AA241" i="83"/>
  <c r="AB241" i="83"/>
  <c r="AC241" i="83"/>
  <c r="Y242" i="83"/>
  <c r="Z242" i="83"/>
  <c r="AA242" i="83"/>
  <c r="AB242" i="83"/>
  <c r="AC242" i="83"/>
  <c r="Y243" i="83"/>
  <c r="Z243" i="83"/>
  <c r="AA243" i="83"/>
  <c r="AB243" i="83"/>
  <c r="AC243" i="83"/>
  <c r="Y244" i="83"/>
  <c r="Z244" i="83"/>
  <c r="AA244" i="83"/>
  <c r="AB244" i="83"/>
  <c r="AC244" i="83"/>
  <c r="Y245" i="83"/>
  <c r="Z245" i="83"/>
  <c r="AA245" i="83"/>
  <c r="AB245" i="83"/>
  <c r="AC245" i="83"/>
  <c r="Y246" i="83"/>
  <c r="Z246" i="83"/>
  <c r="AA246" i="83"/>
  <c r="AB246" i="83"/>
  <c r="AC246" i="83"/>
  <c r="Y247" i="83"/>
  <c r="Z247" i="83"/>
  <c r="AA247" i="83"/>
  <c r="AB247" i="83"/>
  <c r="AC247" i="83"/>
  <c r="Y248" i="83"/>
  <c r="Z248" i="83"/>
  <c r="AA248" i="83"/>
  <c r="AB248" i="83"/>
  <c r="AC248" i="83"/>
  <c r="Y249" i="83"/>
  <c r="Z249" i="83"/>
  <c r="AA249" i="83"/>
  <c r="AB249" i="83"/>
  <c r="AC249" i="83"/>
  <c r="Y250" i="83"/>
  <c r="Z250" i="83"/>
  <c r="AA250" i="83"/>
  <c r="AB250" i="83"/>
  <c r="AC250" i="83"/>
  <c r="Y251" i="83"/>
  <c r="Z251" i="83"/>
  <c r="AA251" i="83"/>
  <c r="AB251" i="83"/>
  <c r="AC251" i="83"/>
  <c r="Y252" i="83"/>
  <c r="Z252" i="83"/>
  <c r="AA252" i="83"/>
  <c r="AB252" i="83"/>
  <c r="AC252" i="83"/>
  <c r="Y253" i="83"/>
  <c r="Z253" i="83"/>
  <c r="AA253" i="83"/>
  <c r="AB253" i="83"/>
  <c r="AC253" i="83"/>
  <c r="Y254" i="83"/>
  <c r="Z254" i="83"/>
  <c r="AA254" i="83"/>
  <c r="AB254" i="83"/>
  <c r="AC254" i="83"/>
  <c r="Y255" i="83"/>
  <c r="Z255" i="83"/>
  <c r="AA255" i="83"/>
  <c r="AB255" i="83"/>
  <c r="AC255" i="83"/>
  <c r="Y256" i="83"/>
  <c r="Z256" i="83"/>
  <c r="AA256" i="83"/>
  <c r="AB256" i="83"/>
  <c r="AC256" i="83"/>
  <c r="Y257" i="83"/>
  <c r="Z257" i="83"/>
  <c r="AA257" i="83"/>
  <c r="AB257" i="83"/>
  <c r="AC257" i="83"/>
  <c r="Y258" i="83"/>
  <c r="Z258" i="83"/>
  <c r="AA258" i="83"/>
  <c r="AB258" i="83"/>
  <c r="AC258" i="83"/>
  <c r="Y259" i="83"/>
  <c r="Z259" i="83"/>
  <c r="AA259" i="83"/>
  <c r="AB259" i="83"/>
  <c r="AC259" i="83"/>
  <c r="Y261" i="83"/>
  <c r="Z261" i="83"/>
  <c r="AA261" i="83"/>
  <c r="AB261" i="83"/>
  <c r="AC261" i="83"/>
  <c r="AI261" i="83"/>
  <c r="AH261" i="83"/>
  <c r="AG261" i="83"/>
  <c r="AF261" i="83"/>
  <c r="AE261" i="83"/>
  <c r="AI259" i="83"/>
  <c r="AH259" i="83"/>
  <c r="AG259" i="83"/>
  <c r="AF259" i="83"/>
  <c r="AE259" i="83"/>
  <c r="AI258" i="83"/>
  <c r="AH258" i="83"/>
  <c r="AG258" i="83"/>
  <c r="AF258" i="83"/>
  <c r="AE258" i="83"/>
  <c r="AI257" i="83"/>
  <c r="AH257" i="83"/>
  <c r="AG257" i="83"/>
  <c r="AF257" i="83"/>
  <c r="AE257" i="83"/>
  <c r="AI256" i="83"/>
  <c r="AH256" i="83"/>
  <c r="AG256" i="83"/>
  <c r="AF256" i="83"/>
  <c r="AE256" i="83"/>
  <c r="AI255" i="83"/>
  <c r="AH255" i="83"/>
  <c r="AG255" i="83"/>
  <c r="AF255" i="83"/>
  <c r="AE255" i="83"/>
  <c r="AI254" i="83"/>
  <c r="AH254" i="83"/>
  <c r="AG254" i="83"/>
  <c r="AF254" i="83"/>
  <c r="AE254" i="83"/>
  <c r="AI253" i="83"/>
  <c r="AH253" i="83"/>
  <c r="AG253" i="83"/>
  <c r="AF253" i="83"/>
  <c r="AE253" i="83"/>
  <c r="AI252" i="83"/>
  <c r="AH252" i="83"/>
  <c r="AG252" i="83"/>
  <c r="AF252" i="83"/>
  <c r="AE252" i="83"/>
  <c r="AI251" i="83"/>
  <c r="AH251" i="83"/>
  <c r="AG251" i="83"/>
  <c r="AF251" i="83"/>
  <c r="AE251" i="83"/>
  <c r="AI250" i="83"/>
  <c r="AH250" i="83"/>
  <c r="AG250" i="83"/>
  <c r="AF250" i="83"/>
  <c r="AE250" i="83"/>
  <c r="AI249" i="83"/>
  <c r="AH249" i="83"/>
  <c r="AG249" i="83"/>
  <c r="AF249" i="83"/>
  <c r="AE249" i="83"/>
  <c r="AI248" i="83"/>
  <c r="AH248" i="83"/>
  <c r="AG248" i="83"/>
  <c r="AF248" i="83"/>
  <c r="AE248" i="83"/>
  <c r="AI247" i="83"/>
  <c r="AH247" i="83"/>
  <c r="AG247" i="83"/>
  <c r="AF247" i="83"/>
  <c r="AE247" i="83"/>
  <c r="AI246" i="83"/>
  <c r="AH246" i="83"/>
  <c r="AG246" i="83"/>
  <c r="AF246" i="83"/>
  <c r="AE246" i="83"/>
  <c r="AI245" i="83"/>
  <c r="AH245" i="83"/>
  <c r="AG245" i="83"/>
  <c r="AF245" i="83"/>
  <c r="AE245" i="83"/>
  <c r="AI244" i="83"/>
  <c r="AH244" i="83"/>
  <c r="AG244" i="83"/>
  <c r="AF244" i="83"/>
  <c r="AE244" i="83"/>
  <c r="AI243" i="83"/>
  <c r="AH243" i="83"/>
  <c r="AG243" i="83"/>
  <c r="AF243" i="83"/>
  <c r="AE243" i="83"/>
  <c r="AI242" i="83"/>
  <c r="AH242" i="83"/>
  <c r="AG242" i="83"/>
  <c r="AF242" i="83"/>
  <c r="AE242" i="83"/>
  <c r="AI241" i="83"/>
  <c r="AH241" i="83"/>
  <c r="AG241" i="83"/>
  <c r="AF241" i="83"/>
  <c r="AE241" i="83"/>
  <c r="AI239" i="83"/>
  <c r="AH239" i="83"/>
  <c r="AG239" i="83"/>
  <c r="AF239" i="83"/>
  <c r="AE239" i="83"/>
  <c r="S310" i="83" l="1"/>
  <c r="I310" i="83"/>
  <c r="S176" i="83"/>
  <c r="I176" i="83"/>
  <c r="S7" i="83"/>
  <c r="S7" i="69"/>
  <c r="S110" i="68"/>
  <c r="I110" i="68"/>
  <c r="S7" i="68"/>
  <c r="S7" i="67"/>
  <c r="S7" i="66"/>
  <c r="S7" i="65"/>
  <c r="S7" i="64"/>
  <c r="S7" i="63"/>
  <c r="S7" i="62"/>
  <c r="I7" i="68"/>
  <c r="I7" i="69"/>
  <c r="I7" i="83"/>
  <c r="I7" i="67"/>
  <c r="I7" i="66"/>
  <c r="I7" i="65" l="1"/>
  <c r="I7" i="64"/>
  <c r="Z41" i="62"/>
  <c r="Y41" i="62"/>
  <c r="B89" i="50" l="1"/>
  <c r="AE128" i="49"/>
  <c r="AF128" i="49"/>
  <c r="AG128" i="49"/>
  <c r="AH128" i="49"/>
  <c r="AI128" i="49"/>
  <c r="S7" i="49"/>
  <c r="A63" i="92" l="1"/>
  <c r="A27" i="92"/>
  <c r="A29" i="92"/>
  <c r="A30" i="92"/>
  <c r="A31" i="92"/>
  <c r="A37" i="92"/>
  <c r="A40" i="92"/>
  <c r="A41" i="92"/>
  <c r="A42" i="92"/>
  <c r="A43" i="92"/>
  <c r="A44" i="92"/>
  <c r="A52" i="92"/>
  <c r="A53" i="92"/>
  <c r="A54" i="92"/>
  <c r="A55" i="92"/>
  <c r="A58" i="92"/>
  <c r="A4" i="92"/>
  <c r="A5" i="92"/>
  <c r="A6" i="92"/>
  <c r="A7" i="92"/>
  <c r="A8" i="92"/>
  <c r="A9" i="92"/>
  <c r="A10" i="92"/>
  <c r="A11" i="92"/>
  <c r="A12" i="92"/>
  <c r="A13" i="92"/>
  <c r="A14" i="92"/>
  <c r="A16" i="92"/>
  <c r="A18" i="92"/>
  <c r="A20" i="92"/>
  <c r="A21" i="92"/>
  <c r="A22" i="92"/>
  <c r="I7" i="86"/>
  <c r="S7" i="86"/>
  <c r="B28" i="86"/>
  <c r="H28" i="86" l="1"/>
  <c r="G28" i="86"/>
  <c r="F28" i="86"/>
  <c r="E28" i="86"/>
  <c r="D28" i="86"/>
  <c r="AA124" i="85"/>
  <c r="Z124" i="85"/>
  <c r="Y124" i="85"/>
  <c r="AA91" i="85"/>
  <c r="Z91" i="85"/>
  <c r="Y91" i="85"/>
  <c r="G28" i="85"/>
  <c r="F28" i="85"/>
  <c r="E28" i="85"/>
  <c r="D28" i="85"/>
  <c r="AH194" i="70"/>
  <c r="AG194" i="70"/>
  <c r="AF194" i="70"/>
  <c r="AE194" i="70"/>
  <c r="AD194" i="70"/>
  <c r="AB194" i="70"/>
  <c r="AA194" i="70"/>
  <c r="Z194" i="70"/>
  <c r="Y194" i="70"/>
  <c r="X194" i="70"/>
  <c r="AB161" i="70"/>
  <c r="AA161" i="70"/>
  <c r="Z161" i="70"/>
  <c r="Y161" i="70"/>
  <c r="X161" i="70"/>
  <c r="AD96" i="70"/>
  <c r="AC96" i="70"/>
  <c r="AB96" i="70"/>
  <c r="AA96" i="70"/>
  <c r="O96" i="70"/>
  <c r="N96" i="70"/>
  <c r="M96" i="70"/>
  <c r="L96" i="70"/>
  <c r="K96" i="70"/>
  <c r="H96" i="70"/>
  <c r="AI96" i="70" s="1"/>
  <c r="G96" i="70"/>
  <c r="F96" i="70"/>
  <c r="E96" i="70"/>
  <c r="D96" i="70"/>
  <c r="AE96" i="70" s="1"/>
  <c r="H28" i="70"/>
  <c r="G28" i="70"/>
  <c r="F28" i="70"/>
  <c r="E28" i="70"/>
  <c r="D28" i="70"/>
  <c r="AI225" i="84"/>
  <c r="AH225" i="84"/>
  <c r="AG225" i="84"/>
  <c r="AF225" i="84"/>
  <c r="AE225" i="84"/>
  <c r="AC225" i="84"/>
  <c r="AB225" i="84"/>
  <c r="AA225" i="84"/>
  <c r="Z225" i="84"/>
  <c r="Y225" i="84"/>
  <c r="AC192" i="84"/>
  <c r="AB192" i="84"/>
  <c r="AA192" i="84"/>
  <c r="Z192" i="84"/>
  <c r="Y192" i="84"/>
  <c r="AC159" i="84"/>
  <c r="AB159" i="84"/>
  <c r="AA159" i="84"/>
  <c r="Z159" i="84"/>
  <c r="Y159" i="84"/>
  <c r="AC126" i="84"/>
  <c r="AB126" i="84"/>
  <c r="AA126" i="84"/>
  <c r="Z126" i="84"/>
  <c r="Y126" i="84"/>
  <c r="H28" i="84"/>
  <c r="G28" i="84"/>
  <c r="F28" i="84"/>
  <c r="E28" i="84"/>
  <c r="D28" i="84"/>
  <c r="AC291" i="83"/>
  <c r="AB291" i="83"/>
  <c r="AA291" i="83"/>
  <c r="Z291" i="83"/>
  <c r="Y291" i="83"/>
  <c r="H197" i="83"/>
  <c r="G197" i="83"/>
  <c r="F197" i="83"/>
  <c r="E197" i="83"/>
  <c r="D197" i="83"/>
  <c r="AC159" i="83"/>
  <c r="AB159" i="83"/>
  <c r="AA159" i="83"/>
  <c r="Z159" i="83"/>
  <c r="Y159" i="83"/>
  <c r="AC124" i="83"/>
  <c r="AB124" i="83"/>
  <c r="AA124" i="83"/>
  <c r="Z124" i="83"/>
  <c r="Y124" i="83"/>
  <c r="H28" i="83"/>
  <c r="G28" i="83"/>
  <c r="F28" i="83"/>
  <c r="E28" i="83"/>
  <c r="D28" i="83"/>
  <c r="AC290" i="69"/>
  <c r="AB290" i="69"/>
  <c r="AA290" i="69"/>
  <c r="Z290" i="69"/>
  <c r="Y290" i="69"/>
  <c r="AC258" i="69"/>
  <c r="AB258" i="69"/>
  <c r="AA258" i="69"/>
  <c r="Z258" i="69"/>
  <c r="Y258" i="69"/>
  <c r="AI225" i="69"/>
  <c r="AH225" i="69"/>
  <c r="AG225" i="69"/>
  <c r="AF225" i="69"/>
  <c r="AE225" i="69"/>
  <c r="AC225" i="69"/>
  <c r="AB225" i="69"/>
  <c r="AA225" i="69"/>
  <c r="Z225" i="69"/>
  <c r="Y225" i="69"/>
  <c r="AC192" i="69"/>
  <c r="AB192" i="69"/>
  <c r="AA192" i="69"/>
  <c r="Z192" i="69"/>
  <c r="Y192" i="69"/>
  <c r="AC159" i="69"/>
  <c r="AB159" i="69"/>
  <c r="AA159" i="69"/>
  <c r="Z159" i="69"/>
  <c r="Y159" i="69"/>
  <c r="AI124" i="69"/>
  <c r="AH124" i="69"/>
  <c r="AG124" i="69"/>
  <c r="AF124" i="69"/>
  <c r="AE124" i="69"/>
  <c r="AB124" i="69"/>
  <c r="Z124" i="69"/>
  <c r="Y124" i="69"/>
  <c r="H28" i="69"/>
  <c r="G28" i="69"/>
  <c r="F28" i="69"/>
  <c r="E28" i="69"/>
  <c r="D28" i="69"/>
  <c r="H131" i="68"/>
  <c r="G131" i="68"/>
  <c r="F131" i="68"/>
  <c r="E131" i="68"/>
  <c r="D131" i="68"/>
  <c r="H28" i="68"/>
  <c r="G28" i="68"/>
  <c r="F28" i="68"/>
  <c r="E28" i="68"/>
  <c r="D28" i="68"/>
  <c r="AI293" i="67"/>
  <c r="AH293" i="67"/>
  <c r="AG293" i="67"/>
  <c r="AF293" i="67"/>
  <c r="AE293" i="67"/>
  <c r="AC293" i="67"/>
  <c r="AB293" i="67"/>
  <c r="AA293" i="67"/>
  <c r="Z293" i="67"/>
  <c r="Y293" i="67"/>
  <c r="AI260" i="67"/>
  <c r="AH260" i="67"/>
  <c r="AG260" i="67"/>
  <c r="AF260" i="67"/>
  <c r="AE260" i="67"/>
  <c r="AC260" i="67"/>
  <c r="AB260" i="67"/>
  <c r="AA260" i="67"/>
  <c r="Z260" i="67"/>
  <c r="Y260" i="67"/>
  <c r="AI223" i="67"/>
  <c r="AH223" i="67"/>
  <c r="AG223" i="67"/>
  <c r="AF223" i="67"/>
  <c r="AE223" i="67"/>
  <c r="AC223" i="67"/>
  <c r="AB223" i="67"/>
  <c r="AA223" i="67"/>
  <c r="Z223" i="67"/>
  <c r="Y223" i="67"/>
  <c r="AI194" i="67"/>
  <c r="AH194" i="67"/>
  <c r="AG194" i="67"/>
  <c r="AF194" i="67"/>
  <c r="AE194" i="67"/>
  <c r="AC194" i="67"/>
  <c r="AB194" i="67"/>
  <c r="AA194" i="67"/>
  <c r="Z194" i="67"/>
  <c r="Y194" i="67"/>
  <c r="AI161" i="67"/>
  <c r="AH161" i="67"/>
  <c r="AG161" i="67"/>
  <c r="AF161" i="67"/>
  <c r="AE161" i="67"/>
  <c r="AC126" i="67"/>
  <c r="AB126" i="67"/>
  <c r="AA126" i="67"/>
  <c r="Z126" i="67"/>
  <c r="Y126" i="67"/>
  <c r="H28" i="67"/>
  <c r="G28" i="67"/>
  <c r="F28" i="67"/>
  <c r="E28" i="67"/>
  <c r="D28" i="67"/>
  <c r="AC159" i="66"/>
  <c r="AB159" i="66"/>
  <c r="AA159" i="66"/>
  <c r="Z159" i="66"/>
  <c r="Y159" i="66"/>
  <c r="H28" i="66"/>
  <c r="G28" i="66"/>
  <c r="F28" i="66"/>
  <c r="E28" i="66"/>
  <c r="D28" i="66"/>
  <c r="H28" i="65"/>
  <c r="G28" i="65"/>
  <c r="F28" i="65"/>
  <c r="E28" i="65"/>
  <c r="D28" i="65"/>
  <c r="H28" i="64"/>
  <c r="G28" i="64"/>
  <c r="F28" i="64"/>
  <c r="E28" i="64"/>
  <c r="D28" i="64"/>
  <c r="AC222" i="63"/>
  <c r="AB222" i="63"/>
  <c r="AA222" i="63"/>
  <c r="Z222" i="63"/>
  <c r="Y222" i="63"/>
  <c r="AC189" i="63"/>
  <c r="AB189" i="63"/>
  <c r="AA189" i="63"/>
  <c r="Z189" i="63"/>
  <c r="Y189" i="63"/>
  <c r="AC158" i="63"/>
  <c r="Y158" i="63"/>
  <c r="AE124" i="63"/>
  <c r="AD124" i="63"/>
  <c r="Z124" i="63"/>
  <c r="Y124" i="63"/>
  <c r="H28" i="63"/>
  <c r="G28" i="63"/>
  <c r="F28" i="63"/>
  <c r="E28" i="63"/>
  <c r="D28" i="63"/>
  <c r="H28" i="62"/>
  <c r="G28" i="62"/>
  <c r="F28" i="62"/>
  <c r="E28" i="62"/>
  <c r="D28" i="62"/>
  <c r="EB125" i="50"/>
  <c r="EA125" i="50"/>
  <c r="DZ125" i="50"/>
  <c r="DY125" i="50"/>
  <c r="DX125" i="50"/>
  <c r="DW125" i="50"/>
  <c r="DV125" i="50"/>
  <c r="DU125" i="50"/>
  <c r="DT125" i="50"/>
  <c r="DS125" i="50"/>
  <c r="DR125" i="50"/>
  <c r="DQ125" i="50"/>
  <c r="DP125" i="50"/>
  <c r="DO125" i="50"/>
  <c r="DN125" i="50"/>
  <c r="DM125" i="50"/>
  <c r="DL125" i="50"/>
  <c r="DK125" i="50"/>
  <c r="DJ125" i="50"/>
  <c r="DI125" i="50"/>
  <c r="DH125" i="50"/>
  <c r="DG125" i="50"/>
  <c r="DF125" i="50"/>
  <c r="DE125" i="50"/>
  <c r="DD125" i="50"/>
  <c r="DC125" i="50"/>
  <c r="DB125" i="50"/>
  <c r="DA125" i="50"/>
  <c r="CZ125" i="50"/>
  <c r="CY125" i="50"/>
  <c r="CX125" i="50"/>
  <c r="CW125" i="50"/>
  <c r="CV125" i="50"/>
  <c r="CU125" i="50"/>
  <c r="CT125" i="50"/>
  <c r="CS125" i="50"/>
  <c r="CR125" i="50"/>
  <c r="CQ125" i="50"/>
  <c r="CP125" i="50"/>
  <c r="CO125" i="50"/>
  <c r="CN125" i="50"/>
  <c r="CM125" i="50"/>
  <c r="CL125" i="50"/>
  <c r="CK125" i="50"/>
  <c r="CJ125" i="50"/>
  <c r="CI125" i="50"/>
  <c r="CH125" i="50"/>
  <c r="CG125" i="50"/>
  <c r="CF125" i="50"/>
  <c r="CE125" i="50"/>
  <c r="CD125" i="50"/>
  <c r="CC125" i="50"/>
  <c r="CB125" i="50"/>
  <c r="CA125" i="50"/>
  <c r="BZ125" i="50"/>
  <c r="BY125" i="50"/>
  <c r="BX125" i="50"/>
  <c r="BW125" i="50"/>
  <c r="BV125" i="50"/>
  <c r="BU125" i="50"/>
  <c r="BT125" i="50"/>
  <c r="BS125" i="50"/>
  <c r="BR125" i="50"/>
  <c r="BQ125" i="50"/>
  <c r="BP125" i="50"/>
  <c r="BO125" i="50"/>
  <c r="BN125" i="50"/>
  <c r="BM125" i="50"/>
  <c r="BL125" i="50"/>
  <c r="BK125" i="50"/>
  <c r="BJ125" i="50"/>
  <c r="BI125" i="50"/>
  <c r="BH125" i="50"/>
  <c r="BG125" i="50"/>
  <c r="BF125" i="50"/>
  <c r="BE125" i="50"/>
  <c r="BD125" i="50"/>
  <c r="BC125" i="50"/>
  <c r="BB125" i="50"/>
  <c r="BA125" i="50"/>
  <c r="AZ125" i="50"/>
  <c r="AY125" i="50"/>
  <c r="AX125" i="50"/>
  <c r="AW125" i="50"/>
  <c r="AV125" i="50"/>
  <c r="AU125" i="50"/>
  <c r="AT125" i="50"/>
  <c r="AS125" i="50"/>
  <c r="AR125" i="50"/>
  <c r="AQ125" i="50"/>
  <c r="AP125" i="50"/>
  <c r="AO125" i="50"/>
  <c r="AN125" i="50"/>
  <c r="AM125" i="50"/>
  <c r="AL125" i="50"/>
  <c r="AK125" i="50"/>
  <c r="AJ125" i="50"/>
  <c r="AI125" i="50"/>
  <c r="AH125" i="50"/>
  <c r="AG125" i="50"/>
  <c r="AF125" i="50"/>
  <c r="AE125" i="50"/>
  <c r="AD125" i="50"/>
  <c r="AC125" i="50"/>
  <c r="AB125" i="50"/>
  <c r="AZ28" i="50"/>
  <c r="AY28" i="50"/>
  <c r="AX28" i="50"/>
  <c r="AW28" i="50"/>
  <c r="AV28" i="50"/>
  <c r="AU28" i="50"/>
  <c r="AT28" i="50"/>
  <c r="AS28" i="50"/>
  <c r="AR28" i="50"/>
  <c r="AQ28" i="50"/>
  <c r="AP28" i="50"/>
  <c r="AO28" i="50"/>
  <c r="AN28" i="50"/>
  <c r="AM28" i="50"/>
  <c r="AL28" i="50"/>
  <c r="AK28" i="50"/>
  <c r="AJ28" i="50"/>
  <c r="AI28" i="50"/>
  <c r="AH28" i="50"/>
  <c r="AG28" i="50"/>
  <c r="AF28" i="50"/>
  <c r="AC160" i="49"/>
  <c r="AB160" i="49"/>
  <c r="AA160" i="49"/>
  <c r="Z160" i="49"/>
  <c r="Y160" i="49"/>
  <c r="AC125" i="49"/>
  <c r="AI125" i="49" s="1"/>
  <c r="H126" i="49" s="1"/>
  <c r="AB125" i="49"/>
  <c r="AH125" i="49" s="1"/>
  <c r="G126" i="49" s="1"/>
  <c r="AA125" i="49"/>
  <c r="AG125" i="49" s="1"/>
  <c r="F126" i="49" s="1"/>
  <c r="Z125" i="49"/>
  <c r="AF125" i="49" s="1"/>
  <c r="E126" i="49" s="1"/>
  <c r="Y125" i="49"/>
  <c r="AE125" i="49" s="1"/>
  <c r="D126" i="49" s="1"/>
  <c r="H28" i="49"/>
  <c r="G28" i="49"/>
  <c r="F28" i="49"/>
  <c r="E28" i="49"/>
  <c r="D28" i="49"/>
  <c r="H12" i="86"/>
  <c r="G12" i="86"/>
  <c r="F12" i="86"/>
  <c r="E12" i="86"/>
  <c r="D12" i="86"/>
  <c r="AA108" i="85"/>
  <c r="Z108" i="85"/>
  <c r="Y108" i="85"/>
  <c r="AA75" i="85"/>
  <c r="Z75" i="85"/>
  <c r="Y75" i="85"/>
  <c r="G12" i="85"/>
  <c r="F12" i="85"/>
  <c r="E12" i="85"/>
  <c r="D12" i="85"/>
  <c r="AI209" i="84"/>
  <c r="AH209" i="84"/>
  <c r="AG209" i="84"/>
  <c r="AF209" i="84"/>
  <c r="AE209" i="84"/>
  <c r="AC209" i="84"/>
  <c r="AB209" i="84"/>
  <c r="AA209" i="84"/>
  <c r="Z209" i="84"/>
  <c r="Y209" i="84"/>
  <c r="AC176" i="84"/>
  <c r="AB176" i="84"/>
  <c r="AA176" i="84"/>
  <c r="Z176" i="84"/>
  <c r="Y176" i="84"/>
  <c r="AC143" i="84"/>
  <c r="AB143" i="84"/>
  <c r="AA143" i="84"/>
  <c r="Z143" i="84"/>
  <c r="Y143" i="84"/>
  <c r="AC110" i="84"/>
  <c r="AB110" i="84"/>
  <c r="AA110" i="84"/>
  <c r="Z110" i="84"/>
  <c r="Y110" i="84"/>
  <c r="H12" i="84"/>
  <c r="G12" i="84"/>
  <c r="F12" i="84"/>
  <c r="E12" i="84"/>
  <c r="D12" i="84"/>
  <c r="AC275" i="83"/>
  <c r="AB275" i="83"/>
  <c r="AA275" i="83"/>
  <c r="Z275" i="83"/>
  <c r="Y275" i="83"/>
  <c r="H181" i="83"/>
  <c r="G181" i="83"/>
  <c r="F181" i="83"/>
  <c r="E181" i="83"/>
  <c r="D181" i="83"/>
  <c r="AC143" i="83"/>
  <c r="AB143" i="83"/>
  <c r="AA143" i="83"/>
  <c r="Z143" i="83"/>
  <c r="Y143" i="83"/>
  <c r="AC108" i="83"/>
  <c r="AB108" i="83"/>
  <c r="AA108" i="83"/>
  <c r="Z108" i="83"/>
  <c r="Y108" i="83"/>
  <c r="H12" i="83"/>
  <c r="G12" i="83"/>
  <c r="F12" i="83"/>
  <c r="E12" i="83"/>
  <c r="D12" i="83"/>
  <c r="AC274" i="69"/>
  <c r="AB274" i="69"/>
  <c r="AA274" i="69"/>
  <c r="Z274" i="69"/>
  <c r="Y274" i="69"/>
  <c r="AC242" i="69"/>
  <c r="AB242" i="69"/>
  <c r="AA242" i="69"/>
  <c r="Z242" i="69"/>
  <c r="Y242" i="69"/>
  <c r="AI207" i="69"/>
  <c r="AH207" i="69"/>
  <c r="AG207" i="69"/>
  <c r="AF207" i="69"/>
  <c r="AE207" i="69"/>
  <c r="AC207" i="69"/>
  <c r="AB207" i="69"/>
  <c r="AA207" i="69"/>
  <c r="Z207" i="69"/>
  <c r="Y207" i="69"/>
  <c r="AC174" i="69"/>
  <c r="AB174" i="69"/>
  <c r="AA174" i="69"/>
  <c r="Z174" i="69"/>
  <c r="Y174" i="69"/>
  <c r="AC141" i="69"/>
  <c r="AB141" i="69"/>
  <c r="AA141" i="69"/>
  <c r="Z141" i="69"/>
  <c r="Y141" i="69"/>
  <c r="AI108" i="69"/>
  <c r="AH108" i="69"/>
  <c r="AG108" i="69"/>
  <c r="AF108" i="69"/>
  <c r="AE108" i="69"/>
  <c r="AB108" i="69"/>
  <c r="Z108" i="69"/>
  <c r="Y108" i="69"/>
  <c r="H12" i="69"/>
  <c r="G12" i="69"/>
  <c r="F12" i="69"/>
  <c r="E12" i="69"/>
  <c r="D12" i="69"/>
  <c r="H115" i="68"/>
  <c r="G115" i="68"/>
  <c r="F115" i="68"/>
  <c r="E115" i="68"/>
  <c r="D115" i="68"/>
  <c r="H12" i="68"/>
  <c r="G12" i="68"/>
  <c r="F12" i="68"/>
  <c r="E12" i="68"/>
  <c r="D12" i="68"/>
  <c r="AI277" i="67"/>
  <c r="AH277" i="67"/>
  <c r="AG277" i="67"/>
  <c r="AF277" i="67"/>
  <c r="AE277" i="67"/>
  <c r="AC277" i="67"/>
  <c r="AB277" i="67"/>
  <c r="AA277" i="67"/>
  <c r="Z277" i="67"/>
  <c r="Y277" i="67"/>
  <c r="AI244" i="67"/>
  <c r="AH244" i="67"/>
  <c r="AG244" i="67"/>
  <c r="AF244" i="67"/>
  <c r="AE244" i="67"/>
  <c r="AC244" i="67"/>
  <c r="AB244" i="67"/>
  <c r="AA244" i="67"/>
  <c r="Z244" i="67"/>
  <c r="Y244" i="67"/>
  <c r="AI207" i="67"/>
  <c r="AH207" i="67"/>
  <c r="AG207" i="67"/>
  <c r="AF207" i="67"/>
  <c r="AE207" i="67"/>
  <c r="AC207" i="67"/>
  <c r="AB207" i="67"/>
  <c r="AA207" i="67"/>
  <c r="Z207" i="67"/>
  <c r="Y207" i="67"/>
  <c r="AI178" i="67"/>
  <c r="AH178" i="67"/>
  <c r="AG178" i="67"/>
  <c r="AF178" i="67"/>
  <c r="AE178" i="67"/>
  <c r="AC178" i="67"/>
  <c r="AB178" i="67"/>
  <c r="AA178" i="67"/>
  <c r="Z178" i="67"/>
  <c r="Y178" i="67"/>
  <c r="AI143" i="67"/>
  <c r="AH143" i="67"/>
  <c r="AG143" i="67"/>
  <c r="AF143" i="67"/>
  <c r="AE143" i="67"/>
  <c r="AC110" i="67"/>
  <c r="AB110" i="67"/>
  <c r="AA110" i="67"/>
  <c r="Z110" i="67"/>
  <c r="Y110" i="67"/>
  <c r="H12" i="67"/>
  <c r="G12" i="67"/>
  <c r="F12" i="67"/>
  <c r="E12" i="67"/>
  <c r="D12" i="67"/>
  <c r="AC143" i="66"/>
  <c r="AB143" i="66"/>
  <c r="AA143" i="66"/>
  <c r="Z143" i="66"/>
  <c r="Y143" i="66"/>
  <c r="H12" i="66"/>
  <c r="G12" i="66"/>
  <c r="F12" i="66"/>
  <c r="E12" i="66"/>
  <c r="D12" i="66"/>
  <c r="H12" i="65"/>
  <c r="G12" i="65"/>
  <c r="F12" i="65"/>
  <c r="E12" i="65"/>
  <c r="D12" i="65"/>
  <c r="H12" i="64"/>
  <c r="G12" i="64"/>
  <c r="F12" i="64"/>
  <c r="E12" i="64"/>
  <c r="D12" i="64"/>
  <c r="AC206" i="63"/>
  <c r="AB206" i="63"/>
  <c r="AA206" i="63"/>
  <c r="Z206" i="63"/>
  <c r="Y206" i="63"/>
  <c r="AC173" i="63"/>
  <c r="AB173" i="63"/>
  <c r="AA173" i="63"/>
  <c r="Z173" i="63"/>
  <c r="Y173" i="63"/>
  <c r="AC142" i="63"/>
  <c r="Y142" i="63"/>
  <c r="AE108" i="63"/>
  <c r="AD108" i="63"/>
  <c r="Z108" i="63"/>
  <c r="Y108" i="63"/>
  <c r="H12" i="63"/>
  <c r="G12" i="63"/>
  <c r="F12" i="63"/>
  <c r="E12" i="63"/>
  <c r="D12" i="63"/>
  <c r="H12" i="62"/>
  <c r="G12" i="62"/>
  <c r="F12" i="62"/>
  <c r="E12" i="62"/>
  <c r="D12" i="62"/>
  <c r="EB109" i="50"/>
  <c r="EA109" i="50"/>
  <c r="DZ109" i="50"/>
  <c r="DY109" i="50"/>
  <c r="DX109" i="50"/>
  <c r="DW109" i="50"/>
  <c r="DV109" i="50"/>
  <c r="DU109" i="50"/>
  <c r="DT109" i="50"/>
  <c r="DS109" i="50"/>
  <c r="DR109" i="50"/>
  <c r="DQ109" i="50"/>
  <c r="DP109" i="50"/>
  <c r="DO109" i="50"/>
  <c r="DN109" i="50"/>
  <c r="DM109" i="50"/>
  <c r="DL109" i="50"/>
  <c r="DK109" i="50"/>
  <c r="DJ109" i="50"/>
  <c r="DI109" i="50"/>
  <c r="DH109" i="50"/>
  <c r="DG109" i="50"/>
  <c r="DF109" i="50"/>
  <c r="DE109" i="50"/>
  <c r="DD109" i="50"/>
  <c r="DC109" i="50"/>
  <c r="DB109" i="50"/>
  <c r="DA109" i="50"/>
  <c r="CZ109" i="50"/>
  <c r="CY109" i="50"/>
  <c r="CX109" i="50"/>
  <c r="CW109" i="50"/>
  <c r="CV109" i="50"/>
  <c r="CU109" i="50"/>
  <c r="CT109" i="50"/>
  <c r="CS109" i="50"/>
  <c r="CR109" i="50"/>
  <c r="CQ109" i="50"/>
  <c r="CP109" i="50"/>
  <c r="CO109" i="50"/>
  <c r="CN109" i="50"/>
  <c r="CM109" i="50"/>
  <c r="CL109" i="50"/>
  <c r="CK109" i="50"/>
  <c r="CJ109" i="50"/>
  <c r="CI109" i="50"/>
  <c r="CH109" i="50"/>
  <c r="CG109" i="50"/>
  <c r="CF109" i="50"/>
  <c r="CE109" i="50"/>
  <c r="CD109" i="50"/>
  <c r="CC109" i="50"/>
  <c r="CB109" i="50"/>
  <c r="CA109" i="50"/>
  <c r="BZ109" i="50"/>
  <c r="BY109" i="50"/>
  <c r="BX109" i="50"/>
  <c r="BW109" i="50"/>
  <c r="BV109" i="50"/>
  <c r="BU109" i="50"/>
  <c r="BT109" i="50"/>
  <c r="BS109" i="50"/>
  <c r="BR109" i="50"/>
  <c r="BQ109" i="50"/>
  <c r="BP109" i="50"/>
  <c r="BO109" i="50"/>
  <c r="BN109" i="50"/>
  <c r="BM109" i="50"/>
  <c r="BL109" i="50"/>
  <c r="BK109" i="50"/>
  <c r="BJ109" i="50"/>
  <c r="BI109" i="50"/>
  <c r="BH109" i="50"/>
  <c r="BG109" i="50"/>
  <c r="BF109" i="50"/>
  <c r="BE109" i="50"/>
  <c r="BD109" i="50"/>
  <c r="BC109" i="50"/>
  <c r="BB109" i="50"/>
  <c r="BA109" i="50"/>
  <c r="AZ109" i="50"/>
  <c r="AY109" i="50"/>
  <c r="AX109" i="50"/>
  <c r="AW109" i="50"/>
  <c r="AV109" i="50"/>
  <c r="AU109" i="50"/>
  <c r="AT109" i="50"/>
  <c r="AS109" i="50"/>
  <c r="AR109" i="50"/>
  <c r="AQ109" i="50"/>
  <c r="AP109" i="50"/>
  <c r="AO109" i="50"/>
  <c r="AN109" i="50"/>
  <c r="AM109" i="50"/>
  <c r="AL109" i="50"/>
  <c r="AK109" i="50"/>
  <c r="AJ109" i="50"/>
  <c r="AI109" i="50"/>
  <c r="AH109" i="50"/>
  <c r="AG109" i="50"/>
  <c r="AF109" i="50"/>
  <c r="AE109" i="50"/>
  <c r="AD109" i="50"/>
  <c r="AC109" i="50"/>
  <c r="AB109" i="50"/>
  <c r="AZ10" i="50"/>
  <c r="AY10" i="50"/>
  <c r="AX10" i="50"/>
  <c r="AW10" i="50"/>
  <c r="AV10" i="50"/>
  <c r="AU10" i="50"/>
  <c r="AT10" i="50"/>
  <c r="AS10" i="50"/>
  <c r="AR10" i="50"/>
  <c r="AQ10" i="50"/>
  <c r="AP10" i="50"/>
  <c r="AO10" i="50"/>
  <c r="AN10" i="50"/>
  <c r="AM10" i="50"/>
  <c r="AL10" i="50"/>
  <c r="AK10" i="50"/>
  <c r="AJ10" i="50"/>
  <c r="AI10" i="50"/>
  <c r="AH10" i="50"/>
  <c r="AG10" i="50"/>
  <c r="AF10" i="50"/>
  <c r="AC144" i="49"/>
  <c r="AB144" i="49"/>
  <c r="AA144" i="49"/>
  <c r="Z144" i="49"/>
  <c r="Y144" i="49"/>
  <c r="AC109" i="49"/>
  <c r="AI109" i="49" s="1"/>
  <c r="H110" i="49" s="1"/>
  <c r="AB109" i="49"/>
  <c r="AH109" i="49" s="1"/>
  <c r="G110" i="49" s="1"/>
  <c r="AA109" i="49"/>
  <c r="AG109" i="49" s="1"/>
  <c r="F110" i="49" s="1"/>
  <c r="Z109" i="49"/>
  <c r="AF109" i="49" s="1"/>
  <c r="E110" i="49" s="1"/>
  <c r="Y109" i="49"/>
  <c r="AE109" i="49" s="1"/>
  <c r="D110" i="49" s="1"/>
  <c r="H12" i="49"/>
  <c r="G12" i="49"/>
  <c r="F12" i="49"/>
  <c r="E12" i="49"/>
  <c r="D12" i="49"/>
  <c r="AH178" i="70"/>
  <c r="AG178" i="70"/>
  <c r="AF178" i="70"/>
  <c r="AE178" i="70"/>
  <c r="AD178" i="70"/>
  <c r="AB178" i="70"/>
  <c r="AA178" i="70"/>
  <c r="Z178" i="70"/>
  <c r="Y178" i="70"/>
  <c r="X178" i="70"/>
  <c r="AB143" i="70"/>
  <c r="AA143" i="70"/>
  <c r="Z143" i="70"/>
  <c r="Y143" i="70"/>
  <c r="X143" i="70"/>
  <c r="AD80" i="70"/>
  <c r="AB80" i="70"/>
  <c r="AA80" i="70"/>
  <c r="Z80" i="70"/>
  <c r="O80" i="70"/>
  <c r="N80" i="70"/>
  <c r="M80" i="70"/>
  <c r="H80" i="70"/>
  <c r="G80" i="70"/>
  <c r="F80" i="70"/>
  <c r="E80" i="70"/>
  <c r="D80" i="70"/>
  <c r="H12" i="70"/>
  <c r="G12" i="70"/>
  <c r="F12" i="70"/>
  <c r="E12" i="70"/>
  <c r="D12" i="70"/>
  <c r="K97" i="70"/>
  <c r="K94" i="70"/>
  <c r="K79" i="70"/>
  <c r="L97" i="70"/>
  <c r="L95" i="70"/>
  <c r="L94" i="70"/>
  <c r="L84" i="70"/>
  <c r="L79" i="70"/>
  <c r="M99" i="70"/>
  <c r="M97" i="70"/>
  <c r="M95" i="70"/>
  <c r="M94" i="70"/>
  <c r="M93" i="70"/>
  <c r="M92" i="70"/>
  <c r="M91" i="70"/>
  <c r="M90" i="70"/>
  <c r="M89" i="70"/>
  <c r="M88" i="70"/>
  <c r="M87" i="70"/>
  <c r="M86" i="70"/>
  <c r="M85" i="70"/>
  <c r="M84" i="70"/>
  <c r="M83" i="70"/>
  <c r="M82" i="70"/>
  <c r="M81" i="70"/>
  <c r="M79" i="70"/>
  <c r="N99" i="70"/>
  <c r="N97" i="70"/>
  <c r="N95" i="70"/>
  <c r="N94" i="70"/>
  <c r="N93" i="70"/>
  <c r="N92" i="70"/>
  <c r="N91" i="70"/>
  <c r="N90" i="70"/>
  <c r="N89" i="70"/>
  <c r="N88" i="70"/>
  <c r="N87" i="70"/>
  <c r="N86" i="70"/>
  <c r="N85" i="70"/>
  <c r="N84" i="70"/>
  <c r="N83" i="70"/>
  <c r="N82" i="70"/>
  <c r="N81" i="70"/>
  <c r="N79" i="70"/>
  <c r="K80" i="70"/>
  <c r="K81" i="70"/>
  <c r="K82" i="70"/>
  <c r="K83" i="70"/>
  <c r="K84" i="70"/>
  <c r="K85" i="70"/>
  <c r="K86" i="70"/>
  <c r="K87" i="70"/>
  <c r="K88" i="70"/>
  <c r="K89" i="70"/>
  <c r="K90" i="70"/>
  <c r="K91" i="70"/>
  <c r="K92" i="70"/>
  <c r="K93" i="70"/>
  <c r="K95" i="70"/>
  <c r="K98" i="70"/>
  <c r="K99" i="70"/>
  <c r="L80" i="70"/>
  <c r="L81" i="70"/>
  <c r="L82" i="70"/>
  <c r="L83" i="70"/>
  <c r="L85" i="70"/>
  <c r="L86" i="70"/>
  <c r="L87" i="70"/>
  <c r="L88" i="70"/>
  <c r="L89" i="70"/>
  <c r="L90" i="70"/>
  <c r="L91" i="70"/>
  <c r="L92" i="70"/>
  <c r="L93" i="70"/>
  <c r="L98" i="70"/>
  <c r="L99" i="70"/>
  <c r="O99" i="70"/>
  <c r="O97" i="70"/>
  <c r="O95" i="70"/>
  <c r="O94" i="70"/>
  <c r="O93" i="70"/>
  <c r="O92" i="70"/>
  <c r="O91" i="70"/>
  <c r="O90" i="70"/>
  <c r="O89" i="70"/>
  <c r="O88" i="70"/>
  <c r="O87" i="70"/>
  <c r="O86" i="70"/>
  <c r="O85" i="70"/>
  <c r="O84" i="70"/>
  <c r="O83" i="70"/>
  <c r="O82" i="70"/>
  <c r="O81" i="70"/>
  <c r="O79" i="70"/>
  <c r="AN98" i="70" l="1"/>
  <c r="AO98" i="70"/>
  <c r="AP82" i="70"/>
  <c r="AP90" i="70"/>
  <c r="AO79" i="70"/>
  <c r="AO88" i="70"/>
  <c r="AO97" i="70"/>
  <c r="AN86" i="70"/>
  <c r="AN94" i="70"/>
  <c r="AP81" i="70"/>
  <c r="AP89" i="70"/>
  <c r="AP99" i="70"/>
  <c r="AO87" i="70"/>
  <c r="AO95" i="70"/>
  <c r="AN85" i="70"/>
  <c r="AN93" i="70"/>
  <c r="J78" i="76"/>
  <c r="T78" i="76"/>
  <c r="L78" i="76"/>
  <c r="R78" i="76"/>
  <c r="AP94" i="70"/>
  <c r="AO92" i="70"/>
  <c r="AN90" i="70"/>
  <c r="AP86" i="70"/>
  <c r="AO84" i="70"/>
  <c r="AN82" i="70"/>
  <c r="E78" i="76"/>
  <c r="AP85" i="70"/>
  <c r="AP93" i="70"/>
  <c r="AO83" i="70"/>
  <c r="AO91" i="70"/>
  <c r="AN81" i="70"/>
  <c r="AN89" i="70"/>
  <c r="AN99" i="70"/>
  <c r="AP80" i="70"/>
  <c r="AP87" i="70"/>
  <c r="AP95" i="70"/>
  <c r="AO85" i="70"/>
  <c r="AO93" i="70"/>
  <c r="AN83" i="70"/>
  <c r="AN91" i="70"/>
  <c r="AP96" i="70"/>
  <c r="AQ97" i="70"/>
  <c r="V78" i="76"/>
  <c r="AQ83" i="70"/>
  <c r="H78" i="76"/>
  <c r="AQ91" i="70"/>
  <c r="P78" i="76"/>
  <c r="AO94" i="70"/>
  <c r="AN84" i="70"/>
  <c r="AN92" i="70"/>
  <c r="AN96" i="70"/>
  <c r="AQ88" i="70"/>
  <c r="M78" i="76"/>
  <c r="AQ84" i="70"/>
  <c r="I78" i="76"/>
  <c r="AQ92" i="70"/>
  <c r="Q78" i="76"/>
  <c r="AQ79" i="70"/>
  <c r="D78" i="76"/>
  <c r="AQ81" i="70"/>
  <c r="F78" i="76"/>
  <c r="AQ90" i="70"/>
  <c r="O78" i="76"/>
  <c r="AQ89" i="70"/>
  <c r="N78" i="76"/>
  <c r="AQ86" i="70"/>
  <c r="K78" i="76"/>
  <c r="AQ94" i="70"/>
  <c r="S78" i="76"/>
  <c r="AQ96" i="70"/>
  <c r="U78" i="76"/>
  <c r="AQ99" i="70"/>
  <c r="X78" i="76"/>
  <c r="AQ82" i="70"/>
  <c r="G78" i="76"/>
  <c r="AP84" i="70"/>
  <c r="AP92" i="70"/>
  <c r="AO82" i="70"/>
  <c r="AO90" i="70"/>
  <c r="AN79" i="70"/>
  <c r="AN88" i="70"/>
  <c r="AN97" i="70"/>
  <c r="AQ80" i="70"/>
  <c r="AP79" i="70"/>
  <c r="AP88" i="70"/>
  <c r="AP97" i="70"/>
  <c r="AO86" i="70"/>
  <c r="AO96" i="70"/>
  <c r="AQ85" i="70"/>
  <c r="AQ93" i="70"/>
  <c r="AP83" i="70"/>
  <c r="AP91" i="70"/>
  <c r="AO81" i="70"/>
  <c r="AO89" i="70"/>
  <c r="AO99" i="70"/>
  <c r="AN87" i="70"/>
  <c r="AN95" i="70"/>
  <c r="AN80" i="70"/>
  <c r="AQ87" i="70"/>
  <c r="AQ95" i="70"/>
  <c r="AO80" i="70"/>
  <c r="D159" i="83"/>
  <c r="G244" i="83"/>
  <c r="G277" i="83"/>
  <c r="H260" i="83"/>
  <c r="H293" i="83"/>
  <c r="E244" i="83"/>
  <c r="E277" i="83"/>
  <c r="F244" i="83"/>
  <c r="F277" i="83"/>
  <c r="H244" i="83"/>
  <c r="H277" i="83"/>
  <c r="D277" i="83"/>
  <c r="D244" i="83"/>
  <c r="G260" i="83"/>
  <c r="G293" i="83"/>
  <c r="E260" i="83"/>
  <c r="E293" i="83"/>
  <c r="F260" i="83"/>
  <c r="F293" i="83"/>
  <c r="D293" i="83"/>
  <c r="D260" i="83"/>
  <c r="AD158" i="63"/>
  <c r="AE158" i="63" s="1"/>
  <c r="AD142" i="63"/>
  <c r="AE142" i="63" s="1"/>
  <c r="AR99" i="70" l="1"/>
  <c r="R99" i="70" s="1"/>
  <c r="H12" i="85"/>
  <c r="H28" i="85"/>
  <c r="AC75" i="85"/>
  <c r="AC91" i="85"/>
  <c r="AC93" i="85"/>
  <c r="AC108" i="85"/>
  <c r="AC124" i="85"/>
  <c r="AC126" i="85"/>
  <c r="AS121" i="86"/>
  <c r="H133" i="68"/>
  <c r="H30" i="68"/>
  <c r="H30" i="86"/>
  <c r="AC108" i="69"/>
  <c r="AC124" i="69"/>
  <c r="AC126" i="69"/>
  <c r="AB93" i="85" l="1"/>
  <c r="AG126" i="63"/>
  <c r="AG124" i="63"/>
  <c r="AG108" i="63"/>
  <c r="AB126" i="63"/>
  <c r="AB124" i="63"/>
  <c r="AB108" i="63"/>
  <c r="AR121" i="86"/>
  <c r="AB126" i="85"/>
  <c r="AB124" i="85"/>
  <c r="AB108" i="85"/>
  <c r="AB91" i="85"/>
  <c r="AB75" i="85"/>
  <c r="G133" i="68"/>
  <c r="G30" i="68"/>
  <c r="AB194" i="84"/>
  <c r="AB161" i="84"/>
  <c r="AB128" i="84"/>
  <c r="G30" i="84"/>
  <c r="AH227" i="84"/>
  <c r="G30" i="83"/>
  <c r="AB194" i="69"/>
  <c r="AB260" i="69"/>
  <c r="AB161" i="69"/>
  <c r="AH126" i="69"/>
  <c r="AB126" i="69"/>
  <c r="G30" i="69"/>
  <c r="AH262" i="67"/>
  <c r="AB225" i="67"/>
  <c r="G30" i="67"/>
  <c r="G30" i="64"/>
  <c r="G30" i="62"/>
  <c r="AB162" i="49"/>
  <c r="F30" i="49"/>
  <c r="AA162" i="49"/>
  <c r="F30" i="62"/>
  <c r="F30" i="63"/>
  <c r="F30" i="64"/>
  <c r="F30" i="65"/>
  <c r="F30" i="66"/>
  <c r="AA161" i="66"/>
  <c r="F30" i="67"/>
  <c r="AA196" i="67"/>
  <c r="AG196" i="67"/>
  <c r="AA225" i="67"/>
  <c r="AG262" i="67"/>
  <c r="F30" i="69"/>
  <c r="AA108" i="69"/>
  <c r="AA124" i="69"/>
  <c r="AG126" i="69"/>
  <c r="AA161" i="69"/>
  <c r="AA260" i="69"/>
  <c r="AA194" i="69"/>
  <c r="F30" i="83"/>
  <c r="AB98" i="70"/>
  <c r="AG227" i="84"/>
  <c r="F30" i="84"/>
  <c r="AA128" i="84"/>
  <c r="AA161" i="84"/>
  <c r="AA194" i="84"/>
  <c r="F30" i="68"/>
  <c r="F133" i="68"/>
  <c r="AQ121" i="86"/>
  <c r="AA108" i="63"/>
  <c r="AA124" i="63"/>
  <c r="AF108" i="63"/>
  <c r="AF124" i="63"/>
  <c r="AC80" i="70" l="1"/>
  <c r="Z196" i="70"/>
  <c r="F199" i="83"/>
  <c r="AA295" i="67"/>
  <c r="AA262" i="67"/>
  <c r="AA126" i="69"/>
  <c r="AB295" i="67"/>
  <c r="AB262" i="67"/>
  <c r="AC98" i="70"/>
  <c r="G199" i="83"/>
  <c r="AA196" i="70"/>
  <c r="AA126" i="63"/>
  <c r="AF126" i="63"/>
  <c r="E336" i="75" l="1"/>
  <c r="F336" i="75"/>
  <c r="G336" i="75"/>
  <c r="D336" i="75"/>
  <c r="E57" i="75"/>
  <c r="F57" i="75"/>
  <c r="G57" i="75"/>
  <c r="H57" i="75"/>
  <c r="D57" i="75"/>
  <c r="E58" i="75"/>
  <c r="F58" i="75"/>
  <c r="G58" i="75"/>
  <c r="H58" i="75"/>
  <c r="A1" i="81" l="1"/>
  <c r="W113" i="81"/>
  <c r="U113" i="81"/>
  <c r="T113" i="81"/>
  <c r="AH124" i="63" s="1"/>
  <c r="S113" i="81"/>
  <c r="R113" i="81"/>
  <c r="Q113" i="81"/>
  <c r="P113" i="81"/>
  <c r="O113" i="81"/>
  <c r="N113" i="81"/>
  <c r="M113" i="81"/>
  <c r="L113" i="81"/>
  <c r="K113" i="81"/>
  <c r="J113" i="81"/>
  <c r="I113" i="81"/>
  <c r="H113" i="81"/>
  <c r="F113" i="81"/>
  <c r="E113" i="81"/>
  <c r="D113" i="81"/>
  <c r="AH108" i="63" s="1"/>
  <c r="W112" i="81"/>
  <c r="U112" i="81"/>
  <c r="T112" i="81"/>
  <c r="AC124" i="63" s="1"/>
  <c r="S112" i="81"/>
  <c r="R112" i="81"/>
  <c r="Q112" i="81"/>
  <c r="P112" i="81"/>
  <c r="O112" i="81"/>
  <c r="N112" i="81"/>
  <c r="M112" i="81"/>
  <c r="L112" i="81"/>
  <c r="K112" i="81"/>
  <c r="J112" i="81"/>
  <c r="I112" i="81"/>
  <c r="H112" i="81"/>
  <c r="F112" i="81"/>
  <c r="E112" i="81"/>
  <c r="D112" i="81"/>
  <c r="AC108" i="63" s="1"/>
  <c r="V112" i="81"/>
  <c r="AC126" i="63" s="1"/>
  <c r="AD81" i="70"/>
  <c r="AI206" i="83"/>
  <c r="AI207" i="83"/>
  <c r="AI208" i="83"/>
  <c r="AI209" i="83"/>
  <c r="AI210" i="83"/>
  <c r="AI211" i="83"/>
  <c r="AI212" i="83"/>
  <c r="AI213" i="83"/>
  <c r="AI214" i="83"/>
  <c r="AI215" i="83"/>
  <c r="AI216" i="83"/>
  <c r="AI217" i="83"/>
  <c r="AI218" i="83"/>
  <c r="AI219" i="83"/>
  <c r="AI220" i="83"/>
  <c r="AI221" i="83"/>
  <c r="AI222" i="83"/>
  <c r="AI223" i="83"/>
  <c r="AI224" i="83"/>
  <c r="AI225" i="83"/>
  <c r="AI205" i="83"/>
  <c r="Y274" i="83"/>
  <c r="Z274" i="83"/>
  <c r="AA274" i="83"/>
  <c r="AB274" i="83"/>
  <c r="AC274" i="83"/>
  <c r="Y276" i="83"/>
  <c r="Z276" i="83"/>
  <c r="AA276" i="83"/>
  <c r="AB276" i="83"/>
  <c r="AC276" i="83"/>
  <c r="Y277" i="83"/>
  <c r="Z277" i="83"/>
  <c r="AA277" i="83"/>
  <c r="AB277" i="83"/>
  <c r="AC277" i="83"/>
  <c r="Y278" i="83"/>
  <c r="Z278" i="83"/>
  <c r="AA278" i="83"/>
  <c r="AB278" i="83"/>
  <c r="AC278" i="83"/>
  <c r="Y279" i="83"/>
  <c r="Z279" i="83"/>
  <c r="AA279" i="83"/>
  <c r="AB279" i="83"/>
  <c r="AC279" i="83"/>
  <c r="Y280" i="83"/>
  <c r="Z280" i="83"/>
  <c r="AA280" i="83"/>
  <c r="AB280" i="83"/>
  <c r="AC280" i="83"/>
  <c r="Y281" i="83"/>
  <c r="Z281" i="83"/>
  <c r="AA281" i="83"/>
  <c r="AB281" i="83"/>
  <c r="AC281" i="83"/>
  <c r="Y282" i="83"/>
  <c r="Z282" i="83"/>
  <c r="AA282" i="83"/>
  <c r="AB282" i="83"/>
  <c r="AC282" i="83"/>
  <c r="Y283" i="83"/>
  <c r="Z283" i="83"/>
  <c r="AA283" i="83"/>
  <c r="AB283" i="83"/>
  <c r="AC283" i="83"/>
  <c r="Y284" i="83"/>
  <c r="Z284" i="83"/>
  <c r="AA284" i="83"/>
  <c r="AB284" i="83"/>
  <c r="AC284" i="83"/>
  <c r="Y285" i="83"/>
  <c r="Z285" i="83"/>
  <c r="AA285" i="83"/>
  <c r="AB285" i="83"/>
  <c r="AC285" i="83"/>
  <c r="Y286" i="83"/>
  <c r="Z286" i="83"/>
  <c r="AA286" i="83"/>
  <c r="AB286" i="83"/>
  <c r="AC286" i="83"/>
  <c r="Y287" i="83"/>
  <c r="Z287" i="83"/>
  <c r="AA287" i="83"/>
  <c r="AB287" i="83"/>
  <c r="AC287" i="83"/>
  <c r="Y288" i="83"/>
  <c r="Z288" i="83"/>
  <c r="AA288" i="83"/>
  <c r="AB288" i="83"/>
  <c r="AC288" i="83"/>
  <c r="Y289" i="83"/>
  <c r="Z289" i="83"/>
  <c r="AA289" i="83"/>
  <c r="AB289" i="83"/>
  <c r="AC289" i="83"/>
  <c r="Y290" i="83"/>
  <c r="Z290" i="83"/>
  <c r="AA290" i="83"/>
  <c r="AB290" i="83"/>
  <c r="AC290" i="83"/>
  <c r="Y292" i="83"/>
  <c r="Z292" i="83"/>
  <c r="AA292" i="83"/>
  <c r="AB292" i="83"/>
  <c r="AC292" i="83"/>
  <c r="Y294" i="83"/>
  <c r="Z294" i="83"/>
  <c r="AA294" i="83"/>
  <c r="AB294" i="83"/>
  <c r="AC294" i="83"/>
  <c r="V113" i="81" l="1"/>
  <c r="AH126" i="63" s="1"/>
  <c r="C82" i="76" l="1"/>
  <c r="A61" i="92" s="1"/>
  <c r="C81" i="76"/>
  <c r="A60" i="92" s="1"/>
  <c r="B262" i="75" l="1"/>
  <c r="B263" i="75"/>
  <c r="B264" i="75"/>
  <c r="B265" i="75"/>
  <c r="B266" i="75"/>
  <c r="B267" i="75"/>
  <c r="B268" i="75"/>
  <c r="B269" i="75"/>
  <c r="B270" i="75"/>
  <c r="B271" i="75"/>
  <c r="B272" i="75"/>
  <c r="B273" i="75"/>
  <c r="B274" i="75"/>
  <c r="B275" i="75"/>
  <c r="B276" i="75"/>
  <c r="B277" i="75"/>
  <c r="B278" i="75"/>
  <c r="B279" i="75"/>
  <c r="B280" i="75"/>
  <c r="B281" i="75"/>
  <c r="B282" i="75"/>
  <c r="B261" i="75"/>
  <c r="B236" i="75"/>
  <c r="B237" i="75"/>
  <c r="B238" i="75"/>
  <c r="B239" i="75"/>
  <c r="B240" i="75"/>
  <c r="B241" i="75"/>
  <c r="B242" i="75"/>
  <c r="B243" i="75"/>
  <c r="B244" i="75"/>
  <c r="B245" i="75"/>
  <c r="B246" i="75"/>
  <c r="B247" i="75"/>
  <c r="B248" i="75"/>
  <c r="B249" i="75"/>
  <c r="B250" i="75"/>
  <c r="B251" i="75"/>
  <c r="B252" i="75"/>
  <c r="B253" i="75"/>
  <c r="B254" i="75"/>
  <c r="B255" i="75"/>
  <c r="B256" i="75"/>
  <c r="B235" i="75"/>
  <c r="H260" i="75"/>
  <c r="G260" i="75"/>
  <c r="F260" i="75"/>
  <c r="E260" i="75"/>
  <c r="D260" i="75"/>
  <c r="H259" i="75"/>
  <c r="G259" i="75"/>
  <c r="F259" i="75"/>
  <c r="E259" i="75"/>
  <c r="D259" i="75"/>
  <c r="AC129" i="84" l="1"/>
  <c r="AB129" i="84"/>
  <c r="AA129" i="84"/>
  <c r="Z129" i="84"/>
  <c r="Y129" i="84"/>
  <c r="AC162" i="84"/>
  <c r="AB162" i="84"/>
  <c r="AA162" i="84"/>
  <c r="Z162" i="84"/>
  <c r="Y162" i="84"/>
  <c r="AC195" i="84"/>
  <c r="AB195" i="84"/>
  <c r="AA195" i="84"/>
  <c r="Z195" i="84"/>
  <c r="Y195" i="84"/>
  <c r="AI228" i="84"/>
  <c r="AH228" i="84"/>
  <c r="AG228" i="84"/>
  <c r="AF228" i="84"/>
  <c r="AE228" i="84"/>
  <c r="AC228" i="84"/>
  <c r="AB228" i="84"/>
  <c r="AA228" i="84"/>
  <c r="Z228" i="84"/>
  <c r="Y228" i="84"/>
  <c r="H31" i="84"/>
  <c r="G31" i="84"/>
  <c r="F31" i="84"/>
  <c r="E31" i="84"/>
  <c r="D31" i="84"/>
  <c r="B228" i="84"/>
  <c r="X228" i="84" s="1"/>
  <c r="AD228" i="84" s="1"/>
  <c r="B195" i="84"/>
  <c r="X195" i="84" s="1"/>
  <c r="AD195" i="84" s="1"/>
  <c r="B162" i="84"/>
  <c r="X162" i="84" s="1"/>
  <c r="AD162" i="84" s="1"/>
  <c r="B129" i="84"/>
  <c r="X129" i="84" s="1"/>
  <c r="AD129" i="84" s="1"/>
  <c r="B31" i="84"/>
  <c r="AK58" i="84" l="1"/>
  <c r="X92" i="84"/>
  <c r="AE195" i="84"/>
  <c r="AH162" i="84"/>
  <c r="G162" i="84" s="1"/>
  <c r="AI195" i="84"/>
  <c r="AI129" i="84"/>
  <c r="H129" i="84" s="1"/>
  <c r="AI162" i="84"/>
  <c r="H162" i="84" s="1"/>
  <c r="H228" i="84"/>
  <c r="AG162" i="84"/>
  <c r="F162" i="84" s="1"/>
  <c r="F228" i="84"/>
  <c r="AG195" i="84"/>
  <c r="AG129" i="84"/>
  <c r="F129" i="84" s="1"/>
  <c r="AH195" i="84"/>
  <c r="E228" i="84"/>
  <c r="AE129" i="84"/>
  <c r="D129" i="84" s="1"/>
  <c r="H195" i="84"/>
  <c r="AH129" i="84"/>
  <c r="G129" i="84" s="1"/>
  <c r="AF129" i="84"/>
  <c r="E129" i="84" s="1"/>
  <c r="AF195" i="84"/>
  <c r="G228" i="84"/>
  <c r="AF162" i="84"/>
  <c r="E162" i="84" s="1"/>
  <c r="D228" i="84"/>
  <c r="F195" i="84"/>
  <c r="D195" i="84"/>
  <c r="G195" i="84"/>
  <c r="E195" i="84"/>
  <c r="AE162" i="84"/>
  <c r="D162" i="84" s="1"/>
  <c r="Y31" i="84"/>
  <c r="Z31" i="84"/>
  <c r="X31" i="84"/>
  <c r="Y1" i="84"/>
  <c r="B5" i="84" s="1"/>
  <c r="AF31" i="50"/>
  <c r="AC226" i="84" l="1"/>
  <c r="AB226" i="84"/>
  <c r="AA226" i="84"/>
  <c r="Z226" i="84"/>
  <c r="Y226" i="84"/>
  <c r="AC224" i="84"/>
  <c r="AB224" i="84"/>
  <c r="AA224" i="84"/>
  <c r="Z224" i="84"/>
  <c r="Y224" i="84"/>
  <c r="AC223" i="84"/>
  <c r="AB223" i="84"/>
  <c r="AA223" i="84"/>
  <c r="Z223" i="84"/>
  <c r="Y223" i="84"/>
  <c r="AC222" i="84"/>
  <c r="AB222" i="84"/>
  <c r="AA222" i="84"/>
  <c r="Z222" i="84"/>
  <c r="Y222" i="84"/>
  <c r="AC221" i="84"/>
  <c r="AB221" i="84"/>
  <c r="AA221" i="84"/>
  <c r="Z221" i="84"/>
  <c r="Y221" i="84"/>
  <c r="AC220" i="84"/>
  <c r="AB220" i="84"/>
  <c r="AA220" i="84"/>
  <c r="Z220" i="84"/>
  <c r="Y220" i="84"/>
  <c r="AC219" i="84"/>
  <c r="AB219" i="84"/>
  <c r="AA219" i="84"/>
  <c r="Z219" i="84"/>
  <c r="Y219" i="84"/>
  <c r="AC218" i="84"/>
  <c r="AB218" i="84"/>
  <c r="AA218" i="84"/>
  <c r="Z218" i="84"/>
  <c r="Y218" i="84"/>
  <c r="AC217" i="84"/>
  <c r="AB217" i="84"/>
  <c r="AA217" i="84"/>
  <c r="Z217" i="84"/>
  <c r="Y217" i="84"/>
  <c r="AC216" i="84"/>
  <c r="AB216" i="84"/>
  <c r="AA216" i="84"/>
  <c r="Z216" i="84"/>
  <c r="Y216" i="84"/>
  <c r="AC215" i="84"/>
  <c r="AB215" i="84"/>
  <c r="AA215" i="84"/>
  <c r="Z215" i="84"/>
  <c r="Y215" i="84"/>
  <c r="AC214" i="84"/>
  <c r="AB214" i="84"/>
  <c r="AA214" i="84"/>
  <c r="Z214" i="84"/>
  <c r="Y214" i="84"/>
  <c r="AC213" i="84"/>
  <c r="AB213" i="84"/>
  <c r="AA213" i="84"/>
  <c r="Z213" i="84"/>
  <c r="Y213" i="84"/>
  <c r="AC212" i="84"/>
  <c r="AB212" i="84"/>
  <c r="AA212" i="84"/>
  <c r="Z212" i="84"/>
  <c r="Y212" i="84"/>
  <c r="AC211" i="84"/>
  <c r="AB211" i="84"/>
  <c r="AA211" i="84"/>
  <c r="Z211" i="84"/>
  <c r="Y211" i="84"/>
  <c r="AC210" i="84"/>
  <c r="AB210" i="84"/>
  <c r="AA210" i="84"/>
  <c r="Z210" i="84"/>
  <c r="Y210" i="84"/>
  <c r="AC208" i="84"/>
  <c r="AB208" i="84"/>
  <c r="AA208" i="84"/>
  <c r="Z208" i="84"/>
  <c r="Y208" i="84"/>
  <c r="A2" i="92" l="1"/>
  <c r="U2" i="92" s="1"/>
  <c r="D207" i="75" l="1"/>
  <c r="E207" i="75"/>
  <c r="F207" i="75"/>
  <c r="G207" i="75"/>
  <c r="D208" i="75"/>
  <c r="E208" i="75"/>
  <c r="F208" i="75"/>
  <c r="G208" i="75"/>
  <c r="D209" i="75"/>
  <c r="E209" i="75"/>
  <c r="F209" i="75"/>
  <c r="G209" i="75"/>
  <c r="AI226" i="84" l="1"/>
  <c r="AH226" i="84"/>
  <c r="AG226" i="84"/>
  <c r="AF226" i="84"/>
  <c r="AE226" i="84"/>
  <c r="AI224" i="84"/>
  <c r="AH224" i="84"/>
  <c r="AG224" i="84"/>
  <c r="AF224" i="84"/>
  <c r="AE224" i="84"/>
  <c r="AI223" i="84"/>
  <c r="AH223" i="84"/>
  <c r="AG223" i="84"/>
  <c r="AF223" i="84"/>
  <c r="AE223" i="84"/>
  <c r="AI222" i="84"/>
  <c r="AH222" i="84"/>
  <c r="AG222" i="84"/>
  <c r="AF222" i="84"/>
  <c r="AE222" i="84"/>
  <c r="AI221" i="84"/>
  <c r="AH221" i="84"/>
  <c r="AG221" i="84"/>
  <c r="AF221" i="84"/>
  <c r="AE221" i="84"/>
  <c r="AI220" i="84"/>
  <c r="AH220" i="84"/>
  <c r="AG220" i="84"/>
  <c r="AF220" i="84"/>
  <c r="AE220" i="84"/>
  <c r="AI219" i="84"/>
  <c r="AH219" i="84"/>
  <c r="AG219" i="84"/>
  <c r="AF219" i="84"/>
  <c r="AE219" i="84"/>
  <c r="AI218" i="84"/>
  <c r="AH218" i="84"/>
  <c r="AG218" i="84"/>
  <c r="AF218" i="84"/>
  <c r="AE218" i="84"/>
  <c r="AI217" i="84"/>
  <c r="AH217" i="84"/>
  <c r="AG217" i="84"/>
  <c r="AF217" i="84"/>
  <c r="AE217" i="84"/>
  <c r="AI216" i="84"/>
  <c r="AH216" i="84"/>
  <c r="AG216" i="84"/>
  <c r="AF216" i="84"/>
  <c r="AE216" i="84"/>
  <c r="AI215" i="84"/>
  <c r="AH215" i="84"/>
  <c r="AG215" i="84"/>
  <c r="AF215" i="84"/>
  <c r="AE215" i="84"/>
  <c r="AI214" i="84"/>
  <c r="AH214" i="84"/>
  <c r="AG214" i="84"/>
  <c r="AF214" i="84"/>
  <c r="AE214" i="84"/>
  <c r="AI213" i="84"/>
  <c r="AH213" i="84"/>
  <c r="AG213" i="84"/>
  <c r="AF213" i="84"/>
  <c r="AE213" i="84"/>
  <c r="AI212" i="84"/>
  <c r="AH212" i="84"/>
  <c r="AG212" i="84"/>
  <c r="AF212" i="84"/>
  <c r="AE212" i="84"/>
  <c r="AI211" i="84"/>
  <c r="AH211" i="84"/>
  <c r="AG211" i="84"/>
  <c r="AF211" i="84"/>
  <c r="AE211" i="84"/>
  <c r="AI210" i="84"/>
  <c r="AH210" i="84"/>
  <c r="AG210" i="84"/>
  <c r="AF210" i="84"/>
  <c r="AE210" i="84"/>
  <c r="AI208" i="84"/>
  <c r="AH208" i="84"/>
  <c r="AG208" i="84"/>
  <c r="AF208" i="84"/>
  <c r="AE208" i="84"/>
  <c r="AC193" i="84"/>
  <c r="AB193" i="84"/>
  <c r="AA193" i="84"/>
  <c r="Z193" i="84"/>
  <c r="Y193" i="84"/>
  <c r="AC191" i="84"/>
  <c r="AB191" i="84"/>
  <c r="AA191" i="84"/>
  <c r="Z191" i="84"/>
  <c r="Y191" i="84"/>
  <c r="AC190" i="84"/>
  <c r="AB190" i="84"/>
  <c r="AA190" i="84"/>
  <c r="Z190" i="84"/>
  <c r="Y190" i="84"/>
  <c r="AC189" i="84"/>
  <c r="AB189" i="84"/>
  <c r="AA189" i="84"/>
  <c r="Z189" i="84"/>
  <c r="Y189" i="84"/>
  <c r="AC188" i="84"/>
  <c r="AB188" i="84"/>
  <c r="AA188" i="84"/>
  <c r="Z188" i="84"/>
  <c r="Y188" i="84"/>
  <c r="AC187" i="84"/>
  <c r="AB187" i="84"/>
  <c r="AA187" i="84"/>
  <c r="Z187" i="84"/>
  <c r="Y187" i="84"/>
  <c r="AC186" i="84"/>
  <c r="AB186" i="84"/>
  <c r="AA186" i="84"/>
  <c r="Z186" i="84"/>
  <c r="Y186" i="84"/>
  <c r="AC185" i="84"/>
  <c r="AB185" i="84"/>
  <c r="AA185" i="84"/>
  <c r="Z185" i="84"/>
  <c r="Y185" i="84"/>
  <c r="AC184" i="84"/>
  <c r="AB184" i="84"/>
  <c r="AA184" i="84"/>
  <c r="Z184" i="84"/>
  <c r="Y184" i="84"/>
  <c r="AC183" i="84"/>
  <c r="AB183" i="84"/>
  <c r="AA183" i="84"/>
  <c r="Z183" i="84"/>
  <c r="Y183" i="84"/>
  <c r="AC182" i="84"/>
  <c r="AB182" i="84"/>
  <c r="AA182" i="84"/>
  <c r="Z182" i="84"/>
  <c r="Y182" i="84"/>
  <c r="AC181" i="84"/>
  <c r="AB181" i="84"/>
  <c r="AA181" i="84"/>
  <c r="Z181" i="84"/>
  <c r="Y181" i="84"/>
  <c r="AC180" i="84"/>
  <c r="AB180" i="84"/>
  <c r="AA180" i="84"/>
  <c r="Z180" i="84"/>
  <c r="Y180" i="84"/>
  <c r="AC179" i="84"/>
  <c r="AB179" i="84"/>
  <c r="AA179" i="84"/>
  <c r="Z179" i="84"/>
  <c r="Y179" i="84"/>
  <c r="AC178" i="84"/>
  <c r="AB178" i="84"/>
  <c r="AA178" i="84"/>
  <c r="Z178" i="84"/>
  <c r="Y178" i="84"/>
  <c r="AC177" i="84"/>
  <c r="AB177" i="84"/>
  <c r="AA177" i="84"/>
  <c r="Z177" i="84"/>
  <c r="Y177" i="84"/>
  <c r="AC175" i="84"/>
  <c r="AB175" i="84"/>
  <c r="AA175" i="84"/>
  <c r="Z175" i="84"/>
  <c r="Y175" i="84"/>
  <c r="D221" i="84" l="1"/>
  <c r="G226" i="84"/>
  <c r="D225" i="84"/>
  <c r="F223" i="84"/>
  <c r="H222" i="84"/>
  <c r="E221" i="84"/>
  <c r="G220" i="84"/>
  <c r="D219" i="84"/>
  <c r="F217" i="84"/>
  <c r="H215" i="84"/>
  <c r="E214" i="84"/>
  <c r="G212" i="84"/>
  <c r="D211" i="84"/>
  <c r="D214" i="84"/>
  <c r="G208" i="84"/>
  <c r="H225" i="84"/>
  <c r="E224" i="84"/>
  <c r="D222" i="84"/>
  <c r="H219" i="84"/>
  <c r="E218" i="84"/>
  <c r="G216" i="84"/>
  <c r="D215" i="84"/>
  <c r="F213" i="84"/>
  <c r="F208" i="84"/>
  <c r="H211" i="84"/>
  <c r="H208" i="84"/>
  <c r="F210" i="84"/>
  <c r="D212" i="84"/>
  <c r="G213" i="84"/>
  <c r="E215" i="84"/>
  <c r="H216" i="84"/>
  <c r="F218" i="84"/>
  <c r="D220" i="84"/>
  <c r="E222" i="84"/>
  <c r="F224" i="84"/>
  <c r="D226" i="84"/>
  <c r="D209" i="84"/>
  <c r="G210" i="84"/>
  <c r="E212" i="84"/>
  <c r="H213" i="84"/>
  <c r="F215" i="84"/>
  <c r="D217" i="84"/>
  <c r="G218" i="84"/>
  <c r="E220" i="84"/>
  <c r="F222" i="84"/>
  <c r="D223" i="84"/>
  <c r="G224" i="84"/>
  <c r="E226" i="84"/>
  <c r="F225" i="84"/>
  <c r="H223" i="84"/>
  <c r="G221" i="84"/>
  <c r="F219" i="84"/>
  <c r="H217" i="84"/>
  <c r="E216" i="84"/>
  <c r="G214" i="84"/>
  <c r="D213" i="84"/>
  <c r="F211" i="84"/>
  <c r="E210" i="84"/>
  <c r="E209" i="84"/>
  <c r="H210" i="84"/>
  <c r="F212" i="84"/>
  <c r="G215" i="84"/>
  <c r="E217" i="84"/>
  <c r="H218" i="84"/>
  <c r="F220" i="84"/>
  <c r="G222" i="84"/>
  <c r="E223" i="84"/>
  <c r="H224" i="84"/>
  <c r="F226" i="84"/>
  <c r="H226" i="84"/>
  <c r="E225" i="84"/>
  <c r="G223" i="84"/>
  <c r="F221" i="84"/>
  <c r="H220" i="84"/>
  <c r="E219" i="84"/>
  <c r="G217" i="84"/>
  <c r="D216" i="84"/>
  <c r="F214" i="84"/>
  <c r="H212" i="84"/>
  <c r="E211" i="84"/>
  <c r="G209" i="84"/>
  <c r="D210" i="84"/>
  <c r="G211" i="84"/>
  <c r="E213" i="84"/>
  <c r="H214" i="84"/>
  <c r="F216" i="84"/>
  <c r="D218" i="84"/>
  <c r="G219" i="84"/>
  <c r="H221" i="84"/>
  <c r="D224" i="84"/>
  <c r="G225" i="84"/>
  <c r="F227" i="84" l="1"/>
  <c r="H227" i="84"/>
  <c r="E227" i="84"/>
  <c r="H209" i="84"/>
  <c r="D227" i="84"/>
  <c r="F209" i="84"/>
  <c r="G227" i="84"/>
  <c r="D208" i="84"/>
  <c r="E208" i="84"/>
  <c r="AC41" i="84" l="1"/>
  <c r="AC40" i="84" s="1"/>
  <c r="Z41" i="84"/>
  <c r="Y41" i="84"/>
  <c r="AC41" i="85" l="1"/>
  <c r="AC40" i="85" s="1"/>
  <c r="Z41" i="85"/>
  <c r="Y41" i="85"/>
  <c r="A1" i="78" l="1"/>
  <c r="A1" i="79"/>
  <c r="A1" i="80"/>
  <c r="H207" i="75" l="1"/>
  <c r="H33" i="75" l="1"/>
  <c r="AC345" i="83" l="1"/>
  <c r="AC344" i="83" s="1"/>
  <c r="Z345" i="83"/>
  <c r="Y345" i="83"/>
  <c r="AC233" i="83"/>
  <c r="AC232" i="83" s="1"/>
  <c r="Z233" i="83"/>
  <c r="Y233" i="83"/>
  <c r="Y41" i="83"/>
  <c r="AC41" i="83"/>
  <c r="AC40" i="83" s="1"/>
  <c r="Z41" i="83"/>
  <c r="AC41" i="69" l="1"/>
  <c r="AC40" i="69" s="1"/>
  <c r="Y41" i="69"/>
  <c r="Z41" i="69"/>
  <c r="AC142" i="68"/>
  <c r="AC141" i="68" s="1"/>
  <c r="Z142" i="68"/>
  <c r="Y142" i="68"/>
  <c r="AC41" i="68"/>
  <c r="AC40" i="68" s="1"/>
  <c r="Z41" i="68"/>
  <c r="Y41" i="68"/>
  <c r="AC41" i="67"/>
  <c r="AC40" i="67" s="1"/>
  <c r="Z41" i="67"/>
  <c r="Y41" i="67"/>
  <c r="AC41" i="66"/>
  <c r="AC40" i="66" s="1"/>
  <c r="Z41" i="66"/>
  <c r="Y41" i="66"/>
  <c r="AC41" i="65"/>
  <c r="AC40" i="65" s="1"/>
  <c r="Z41" i="65"/>
  <c r="Y41" i="65"/>
  <c r="AC41" i="64"/>
  <c r="AC40" i="64" s="1"/>
  <c r="Z41" i="64"/>
  <c r="Y41" i="64"/>
  <c r="AC41" i="49"/>
  <c r="AC40" i="49" s="1"/>
  <c r="AC41" i="63"/>
  <c r="AC40" i="63" s="1"/>
  <c r="Z41" i="63"/>
  <c r="Y41" i="63"/>
  <c r="AC41" i="62"/>
  <c r="AC40" i="62" s="1"/>
  <c r="Z41" i="49"/>
  <c r="Y41" i="49"/>
  <c r="C29" i="44" l="1"/>
  <c r="D28" i="44"/>
  <c r="E27" i="44"/>
  <c r="E26" i="44"/>
  <c r="E25" i="44"/>
  <c r="E24" i="44"/>
  <c r="E23" i="44"/>
  <c r="E22" i="44"/>
  <c r="E21" i="44"/>
  <c r="E20" i="44"/>
  <c r="E19" i="44"/>
  <c r="E18" i="44"/>
  <c r="E17" i="44"/>
  <c r="E16" i="44"/>
  <c r="E15" i="44"/>
  <c r="E14" i="44"/>
  <c r="E12" i="44"/>
  <c r="E11" i="44"/>
  <c r="E10" i="44"/>
  <c r="E9" i="44"/>
  <c r="E28" i="44" l="1"/>
  <c r="C28" i="44" s="1"/>
  <c r="H134" i="68"/>
  <c r="G134" i="68"/>
  <c r="F134" i="68"/>
  <c r="E134" i="68"/>
  <c r="D134" i="68"/>
  <c r="H132" i="68"/>
  <c r="G132" i="68"/>
  <c r="F132" i="68"/>
  <c r="E132" i="68"/>
  <c r="D132" i="68"/>
  <c r="H130" i="68"/>
  <c r="G130" i="68"/>
  <c r="F130" i="68"/>
  <c r="E130" i="68"/>
  <c r="D130" i="68"/>
  <c r="H129" i="68"/>
  <c r="G129" i="68"/>
  <c r="F129" i="68"/>
  <c r="E129" i="68"/>
  <c r="D129" i="68"/>
  <c r="H128" i="68"/>
  <c r="G128" i="68"/>
  <c r="F128" i="68"/>
  <c r="E128" i="68"/>
  <c r="D128" i="68"/>
  <c r="H127" i="68"/>
  <c r="G127" i="68"/>
  <c r="F127" i="68"/>
  <c r="E127" i="68"/>
  <c r="D127" i="68"/>
  <c r="H126" i="68"/>
  <c r="G126" i="68"/>
  <c r="F126" i="68"/>
  <c r="E126" i="68"/>
  <c r="D126" i="68"/>
  <c r="H125" i="68"/>
  <c r="G125" i="68"/>
  <c r="F125" i="68"/>
  <c r="E125" i="68"/>
  <c r="D125" i="68"/>
  <c r="H124" i="68"/>
  <c r="G124" i="68"/>
  <c r="F124" i="68"/>
  <c r="E124" i="68"/>
  <c r="D124" i="68"/>
  <c r="H123" i="68"/>
  <c r="G123" i="68"/>
  <c r="F123" i="68"/>
  <c r="E123" i="68"/>
  <c r="D123" i="68"/>
  <c r="H122" i="68"/>
  <c r="G122" i="68"/>
  <c r="F122" i="68"/>
  <c r="E122" i="68"/>
  <c r="D122" i="68"/>
  <c r="H121" i="68"/>
  <c r="G121" i="68"/>
  <c r="F121" i="68"/>
  <c r="E121" i="68"/>
  <c r="D121" i="68"/>
  <c r="H120" i="68"/>
  <c r="G120" i="68"/>
  <c r="F120" i="68"/>
  <c r="E120" i="68"/>
  <c r="D120" i="68"/>
  <c r="H119" i="68"/>
  <c r="G119" i="68"/>
  <c r="F119" i="68"/>
  <c r="E119" i="68"/>
  <c r="D119" i="68"/>
  <c r="H118" i="68"/>
  <c r="G118" i="68"/>
  <c r="F118" i="68"/>
  <c r="E118" i="68"/>
  <c r="D118" i="68"/>
  <c r="H117" i="68"/>
  <c r="G117" i="68"/>
  <c r="F117" i="68"/>
  <c r="E117" i="68"/>
  <c r="D117" i="68"/>
  <c r="H116" i="68"/>
  <c r="G116" i="68"/>
  <c r="F116" i="68"/>
  <c r="E116" i="68"/>
  <c r="D116" i="68"/>
  <c r="H114" i="68"/>
  <c r="G114" i="68"/>
  <c r="F114" i="68"/>
  <c r="E114" i="68"/>
  <c r="D114" i="68"/>
  <c r="H31" i="68"/>
  <c r="G31" i="68"/>
  <c r="F31" i="68"/>
  <c r="E31" i="68"/>
  <c r="D31" i="68"/>
  <c r="H29" i="68"/>
  <c r="G29" i="68"/>
  <c r="F29" i="68"/>
  <c r="E29" i="68"/>
  <c r="D29" i="68"/>
  <c r="H27" i="68"/>
  <c r="G27" i="68"/>
  <c r="F27" i="68"/>
  <c r="E27" i="68"/>
  <c r="D27" i="68"/>
  <c r="H26" i="68"/>
  <c r="G26" i="68"/>
  <c r="F26" i="68"/>
  <c r="E26" i="68"/>
  <c r="D26" i="68"/>
  <c r="H25" i="68"/>
  <c r="G25" i="68"/>
  <c r="F25" i="68"/>
  <c r="E25" i="68"/>
  <c r="D25" i="68"/>
  <c r="H24" i="68"/>
  <c r="G24" i="68"/>
  <c r="F24" i="68"/>
  <c r="E24" i="68"/>
  <c r="D24" i="68"/>
  <c r="H23" i="68"/>
  <c r="G23" i="68"/>
  <c r="F23" i="68"/>
  <c r="E23" i="68"/>
  <c r="D23" i="68"/>
  <c r="H22" i="68"/>
  <c r="G22" i="68"/>
  <c r="F22" i="68"/>
  <c r="E22" i="68"/>
  <c r="D22" i="68"/>
  <c r="H21" i="68"/>
  <c r="G21" i="68"/>
  <c r="F21" i="68"/>
  <c r="E21" i="68"/>
  <c r="D21" i="68"/>
  <c r="H20" i="68"/>
  <c r="G20" i="68"/>
  <c r="F20" i="68"/>
  <c r="E20" i="68"/>
  <c r="D20" i="68"/>
  <c r="H19" i="68"/>
  <c r="G19" i="68"/>
  <c r="F19" i="68"/>
  <c r="E19" i="68"/>
  <c r="D19" i="68"/>
  <c r="H18" i="68"/>
  <c r="G18" i="68"/>
  <c r="F18" i="68"/>
  <c r="E18" i="68"/>
  <c r="D18" i="68"/>
  <c r="H17" i="68"/>
  <c r="G17" i="68"/>
  <c r="F17" i="68"/>
  <c r="E17" i="68"/>
  <c r="D17" i="68"/>
  <c r="H16" i="68"/>
  <c r="G16" i="68"/>
  <c r="F16" i="68"/>
  <c r="E16" i="68"/>
  <c r="D16" i="68"/>
  <c r="H15" i="68"/>
  <c r="G15" i="68"/>
  <c r="F15" i="68"/>
  <c r="E15" i="68"/>
  <c r="D15" i="68"/>
  <c r="H14" i="68"/>
  <c r="G14" i="68"/>
  <c r="F14" i="68"/>
  <c r="E14" i="68"/>
  <c r="D14" i="68"/>
  <c r="H13" i="68"/>
  <c r="G13" i="68"/>
  <c r="F13" i="68"/>
  <c r="E13" i="68"/>
  <c r="D13" i="68"/>
  <c r="H11" i="68"/>
  <c r="G11" i="68"/>
  <c r="F11" i="68"/>
  <c r="E11" i="68"/>
  <c r="D11" i="68"/>
  <c r="AQ57" i="84" l="1"/>
  <c r="AI217" i="67"/>
  <c r="D83" i="75" l="1"/>
  <c r="E83" i="75"/>
  <c r="F83" i="75"/>
  <c r="H83" i="75"/>
  <c r="B94" i="86" l="1"/>
  <c r="H73" i="86" l="1"/>
  <c r="G73" i="86"/>
  <c r="F73" i="86"/>
  <c r="E73" i="86"/>
  <c r="D73" i="86"/>
  <c r="AI139" i="68" l="1"/>
  <c r="AI140" i="68"/>
  <c r="X141" i="68"/>
  <c r="AI141" i="68"/>
  <c r="X142" i="68"/>
  <c r="AI142" i="68"/>
  <c r="AI143" i="68"/>
  <c r="AI144" i="68"/>
  <c r="AI145" i="68"/>
  <c r="AI146" i="68"/>
  <c r="AI147" i="68"/>
  <c r="AI148" i="68"/>
  <c r="AI149" i="68"/>
  <c r="AI150" i="68"/>
  <c r="AI151" i="68"/>
  <c r="AI152" i="68"/>
  <c r="AI153" i="68"/>
  <c r="AI154" i="68"/>
  <c r="AI155" i="68"/>
  <c r="AI156" i="68"/>
  <c r="AI157" i="68"/>
  <c r="AI158" i="68"/>
  <c r="AI159" i="68"/>
  <c r="F3" i="75" l="1"/>
  <c r="B94" i="50" s="1"/>
  <c r="H3" i="75"/>
  <c r="G3" i="75"/>
  <c r="C12" i="76" l="1"/>
  <c r="B106" i="76"/>
  <c r="B94" i="76"/>
  <c r="B105" i="76"/>
  <c r="B96" i="76"/>
  <c r="B104" i="76"/>
  <c r="B98" i="76"/>
  <c r="B102" i="76"/>
  <c r="B101" i="76"/>
  <c r="B99" i="76"/>
  <c r="B95" i="76"/>
  <c r="C47" i="76"/>
  <c r="A32" i="92" s="1"/>
  <c r="C77" i="76"/>
  <c r="A56" i="92" s="1"/>
  <c r="C80" i="76"/>
  <c r="B100" i="76"/>
  <c r="B110" i="76"/>
  <c r="B108" i="76"/>
  <c r="B97" i="76"/>
  <c r="B107" i="76"/>
  <c r="B103" i="76"/>
  <c r="C83" i="76"/>
  <c r="A62" i="92" s="1"/>
  <c r="C78" i="76"/>
  <c r="A57" i="92" s="1"/>
  <c r="C71" i="76"/>
  <c r="A50" i="92" s="1"/>
  <c r="C70" i="76"/>
  <c r="A49" i="92" s="1"/>
  <c r="C72" i="76"/>
  <c r="A51" i="92" s="1"/>
  <c r="C51" i="76"/>
  <c r="A36" i="92" s="1"/>
  <c r="C53" i="76"/>
  <c r="A38" i="92" s="1"/>
  <c r="C69" i="76"/>
  <c r="A48" i="92" s="1"/>
  <c r="C54" i="76"/>
  <c r="A39" i="92" s="1"/>
  <c r="C66" i="76"/>
  <c r="A45" i="92" s="1"/>
  <c r="A59" i="92"/>
  <c r="C68" i="76"/>
  <c r="A47" i="92" s="1"/>
  <c r="C48" i="76"/>
  <c r="A33" i="92" s="1"/>
  <c r="C67" i="76"/>
  <c r="A46" i="92" s="1"/>
  <c r="C50" i="76"/>
  <c r="A35" i="92" s="1"/>
  <c r="C40" i="76"/>
  <c r="A25" i="92" s="1"/>
  <c r="C49" i="76"/>
  <c r="A34" i="92" s="1"/>
  <c r="C41" i="76"/>
  <c r="A26" i="92" s="1"/>
  <c r="C43" i="76"/>
  <c r="A28" i="92" s="1"/>
  <c r="C38" i="76"/>
  <c r="A23" i="92" s="1"/>
  <c r="C39" i="76"/>
  <c r="A24" i="92" s="1"/>
  <c r="C24" i="76"/>
  <c r="C26" i="76"/>
  <c r="A17" i="92" s="1"/>
  <c r="U17" i="92" s="1"/>
  <c r="AB41" i="85"/>
  <c r="AB40" i="85"/>
  <c r="U10" i="92" l="1"/>
  <c r="U13" i="92"/>
  <c r="U12" i="92"/>
  <c r="U6" i="92"/>
  <c r="U8" i="92"/>
  <c r="U7" i="92"/>
  <c r="U14" i="92"/>
  <c r="U5" i="92"/>
  <c r="U9" i="92"/>
  <c r="U11" i="92"/>
  <c r="U4" i="92"/>
  <c r="U24" i="92"/>
  <c r="U48" i="92"/>
  <c r="A15" i="92"/>
  <c r="U15" i="92" s="1"/>
  <c r="U19" i="92"/>
  <c r="U44" i="92"/>
  <c r="U58" i="92"/>
  <c r="U20" i="92"/>
  <c r="U29" i="92"/>
  <c r="U41" i="92"/>
  <c r="U54" i="92"/>
  <c r="U16" i="92"/>
  <c r="U30" i="92"/>
  <c r="U63" i="92"/>
  <c r="U37" i="92"/>
  <c r="U40" i="92"/>
  <c r="U43" i="92"/>
  <c r="U52" i="92"/>
  <c r="U18" i="92"/>
  <c r="U22" i="92"/>
  <c r="U27" i="92"/>
  <c r="U21" i="92"/>
  <c r="U53" i="92"/>
  <c r="U42" i="92"/>
  <c r="U55" i="92"/>
  <c r="U31" i="92"/>
  <c r="U62" i="92"/>
  <c r="U60" i="92"/>
  <c r="U61" i="92"/>
  <c r="U35" i="92"/>
  <c r="U38" i="92"/>
  <c r="U36" i="92"/>
  <c r="U23" i="92"/>
  <c r="U33" i="92"/>
  <c r="U51" i="92"/>
  <c r="U28" i="92"/>
  <c r="U47" i="92"/>
  <c r="U49" i="92"/>
  <c r="U32" i="92"/>
  <c r="U26" i="92"/>
  <c r="U59" i="92"/>
  <c r="U50" i="92"/>
  <c r="U34" i="92"/>
  <c r="U45" i="92"/>
  <c r="U57" i="92"/>
  <c r="U46" i="92"/>
  <c r="U25" i="92"/>
  <c r="U39" i="92"/>
  <c r="U56" i="92"/>
  <c r="A3" i="92"/>
  <c r="U3" i="92" s="1"/>
  <c r="E11" i="76"/>
  <c r="F11" i="76"/>
  <c r="G11" i="76"/>
  <c r="H11" i="76"/>
  <c r="I11" i="76"/>
  <c r="J11" i="76"/>
  <c r="K11" i="76"/>
  <c r="L11" i="76"/>
  <c r="M11" i="76"/>
  <c r="N11" i="76"/>
  <c r="O11" i="76"/>
  <c r="P11" i="76"/>
  <c r="Q11" i="76"/>
  <c r="R11" i="76"/>
  <c r="S11" i="76"/>
  <c r="T11" i="76"/>
  <c r="U11" i="76"/>
  <c r="V11" i="76"/>
  <c r="D11" i="76"/>
  <c r="B2" i="92" s="1"/>
  <c r="Y111" i="68" l="1"/>
  <c r="Y112" i="68"/>
  <c r="Y113" i="68"/>
  <c r="Y114" i="68"/>
  <c r="Y115" i="68"/>
  <c r="Y116" i="68"/>
  <c r="Y117" i="68"/>
  <c r="Y118" i="68"/>
  <c r="Y119" i="68"/>
  <c r="Y120" i="68"/>
  <c r="Y121" i="68"/>
  <c r="Y122" i="68"/>
  <c r="Y123" i="68"/>
  <c r="Y124" i="68"/>
  <c r="Y125" i="68"/>
  <c r="Y126" i="68"/>
  <c r="Y127" i="68"/>
  <c r="Y128" i="68"/>
  <c r="Y129" i="68"/>
  <c r="Y11" i="68"/>
  <c r="AG261" i="69" l="1"/>
  <c r="AF261" i="69"/>
  <c r="AE261" i="69"/>
  <c r="AD261" i="69"/>
  <c r="AG195" i="69"/>
  <c r="AF195" i="69"/>
  <c r="AE195" i="69"/>
  <c r="AD195" i="69"/>
  <c r="X41" i="83"/>
  <c r="Z79" i="70"/>
  <c r="AL106" i="70"/>
  <c r="AL107" i="70"/>
  <c r="AL108" i="70"/>
  <c r="AL109" i="70"/>
  <c r="AL110" i="70"/>
  <c r="AL111" i="70"/>
  <c r="AL112" i="70"/>
  <c r="AL113" i="70"/>
  <c r="AL114" i="70"/>
  <c r="AL115" i="70"/>
  <c r="AL116" i="70"/>
  <c r="AL117" i="70"/>
  <c r="AL118" i="70"/>
  <c r="AL119" i="70"/>
  <c r="AL120" i="70"/>
  <c r="AL121" i="70"/>
  <c r="AL122" i="70"/>
  <c r="AL123" i="70"/>
  <c r="AL124" i="70"/>
  <c r="AL125" i="70"/>
  <c r="AL126" i="70"/>
  <c r="AH177" i="70"/>
  <c r="AH179" i="70"/>
  <c r="AH180" i="70"/>
  <c r="AH181" i="70"/>
  <c r="AH182" i="70"/>
  <c r="AH183" i="70"/>
  <c r="AH184" i="70"/>
  <c r="AH185" i="70"/>
  <c r="AH186" i="70"/>
  <c r="AH187" i="70"/>
  <c r="AH188" i="70"/>
  <c r="AH189" i="70"/>
  <c r="AH190" i="70"/>
  <c r="AH191" i="70"/>
  <c r="AH192" i="70"/>
  <c r="AH193" i="70"/>
  <c r="AH195" i="70"/>
  <c r="AJ197" i="70"/>
  <c r="Q99" i="70"/>
  <c r="Q98" i="70"/>
  <c r="AN73" i="70"/>
  <c r="AA109" i="70"/>
  <c r="W109" i="70"/>
  <c r="AA108" i="70"/>
  <c r="W108" i="70"/>
  <c r="AA41" i="70" l="1"/>
  <c r="W41" i="70"/>
  <c r="AA40" i="70"/>
  <c r="W40" i="70"/>
  <c r="AC31" i="86"/>
  <c r="AC30" i="86"/>
  <c r="AC29" i="86"/>
  <c r="AC28" i="86"/>
  <c r="AC27" i="86"/>
  <c r="AC26" i="86"/>
  <c r="AC25" i="86"/>
  <c r="AC24" i="86"/>
  <c r="AC23" i="86"/>
  <c r="AC22" i="86"/>
  <c r="AC21" i="86"/>
  <c r="AC20" i="86"/>
  <c r="AC19" i="86"/>
  <c r="AC18" i="86"/>
  <c r="AC17" i="86"/>
  <c r="AC16" i="86"/>
  <c r="AC15" i="86"/>
  <c r="AC14" i="86"/>
  <c r="AC13" i="86"/>
  <c r="AC12" i="86"/>
  <c r="AC11" i="86"/>
  <c r="X32" i="91" l="1"/>
  <c r="X31" i="91"/>
  <c r="X30" i="91"/>
  <c r="X29" i="91"/>
  <c r="X28" i="91"/>
  <c r="X27" i="91"/>
  <c r="X26" i="91"/>
  <c r="X25" i="91"/>
  <c r="X24" i="91"/>
  <c r="X23" i="91"/>
  <c r="X22" i="91"/>
  <c r="X21" i="91"/>
  <c r="X20" i="91"/>
  <c r="X19" i="91"/>
  <c r="X18" i="91"/>
  <c r="X17" i="91"/>
  <c r="X16" i="91"/>
  <c r="X15" i="91"/>
  <c r="X14" i="91"/>
  <c r="X13" i="91"/>
  <c r="X12" i="91"/>
  <c r="X11" i="91"/>
  <c r="X10" i="91"/>
  <c r="I77" i="91"/>
  <c r="H102" i="91"/>
  <c r="P102" i="91" s="1"/>
  <c r="G102" i="91"/>
  <c r="O102" i="91" s="1"/>
  <c r="F102" i="91"/>
  <c r="N102" i="91" s="1"/>
  <c r="E102" i="91"/>
  <c r="M102" i="91" s="1"/>
  <c r="D102" i="91"/>
  <c r="L102" i="91" s="1"/>
  <c r="H100" i="91"/>
  <c r="AE100" i="91" s="1"/>
  <c r="G100" i="91"/>
  <c r="O100" i="91" s="1"/>
  <c r="F100" i="91"/>
  <c r="AC100" i="91" s="1"/>
  <c r="E100" i="91"/>
  <c r="M100" i="91" s="1"/>
  <c r="D100" i="91"/>
  <c r="AA100" i="91" s="1"/>
  <c r="H99" i="91"/>
  <c r="G99" i="91"/>
  <c r="F99" i="91"/>
  <c r="E99" i="91"/>
  <c r="AB99" i="91" s="1"/>
  <c r="D99" i="91"/>
  <c r="L99" i="91" s="1"/>
  <c r="H98" i="91"/>
  <c r="G98" i="91"/>
  <c r="F98" i="91"/>
  <c r="E98" i="91"/>
  <c r="D98" i="91"/>
  <c r="H97" i="91"/>
  <c r="G97" i="91"/>
  <c r="F97" i="91"/>
  <c r="E97" i="91"/>
  <c r="D97" i="91"/>
  <c r="H96" i="91"/>
  <c r="Y96" i="91" s="1"/>
  <c r="G96" i="91"/>
  <c r="F96" i="91"/>
  <c r="E96" i="91"/>
  <c r="D96" i="91"/>
  <c r="H95" i="91"/>
  <c r="G95" i="91"/>
  <c r="F95" i="91"/>
  <c r="E95" i="91"/>
  <c r="D95" i="91"/>
  <c r="H94" i="91"/>
  <c r="G94" i="91"/>
  <c r="E94" i="91"/>
  <c r="AB94" i="91" s="1"/>
  <c r="D94" i="91"/>
  <c r="L94" i="91" s="1"/>
  <c r="H93" i="91"/>
  <c r="G93" i="91"/>
  <c r="F93" i="91"/>
  <c r="E93" i="91"/>
  <c r="D93" i="91"/>
  <c r="H92" i="91"/>
  <c r="Y92" i="91" s="1"/>
  <c r="G92" i="91"/>
  <c r="AD92" i="91" s="1"/>
  <c r="F92" i="91"/>
  <c r="N92" i="91" s="1"/>
  <c r="E92" i="91"/>
  <c r="AB92" i="91" s="1"/>
  <c r="D92" i="91"/>
  <c r="H91" i="91"/>
  <c r="G91" i="91"/>
  <c r="F91" i="91"/>
  <c r="E91" i="91"/>
  <c r="D91" i="91"/>
  <c r="H90" i="91"/>
  <c r="P90" i="91" s="1"/>
  <c r="G90" i="91"/>
  <c r="F90" i="91"/>
  <c r="E90" i="91"/>
  <c r="AB90" i="91" s="1"/>
  <c r="D90" i="91"/>
  <c r="L90" i="91" s="1"/>
  <c r="H89" i="91"/>
  <c r="G89" i="91"/>
  <c r="F89" i="91"/>
  <c r="E89" i="91"/>
  <c r="D89" i="91"/>
  <c r="H88" i="91"/>
  <c r="Y88" i="91" s="1"/>
  <c r="G88" i="91"/>
  <c r="F88" i="91"/>
  <c r="E88" i="91"/>
  <c r="D88" i="91"/>
  <c r="H87" i="91"/>
  <c r="G87" i="91"/>
  <c r="F87" i="91"/>
  <c r="E87" i="91"/>
  <c r="D87" i="91"/>
  <c r="H86" i="91"/>
  <c r="P86" i="91" s="1"/>
  <c r="G86" i="91"/>
  <c r="AD86" i="91" s="1"/>
  <c r="F86" i="91"/>
  <c r="E86" i="91"/>
  <c r="AB86" i="91" s="1"/>
  <c r="D86" i="91"/>
  <c r="L86" i="91" s="1"/>
  <c r="H85" i="91"/>
  <c r="G85" i="91"/>
  <c r="F85" i="91"/>
  <c r="E85" i="91"/>
  <c r="D85" i="91"/>
  <c r="H84" i="91"/>
  <c r="Y84" i="91" s="1"/>
  <c r="G84" i="91"/>
  <c r="F84" i="91"/>
  <c r="E84" i="91"/>
  <c r="D84" i="91"/>
  <c r="H83" i="91"/>
  <c r="G83" i="91"/>
  <c r="F83" i="91"/>
  <c r="E83" i="91"/>
  <c r="D83" i="91"/>
  <c r="H82" i="91"/>
  <c r="G82" i="91"/>
  <c r="F82" i="91"/>
  <c r="E82" i="91"/>
  <c r="D82" i="91"/>
  <c r="H81" i="91"/>
  <c r="G81" i="91"/>
  <c r="F81" i="91"/>
  <c r="E81" i="91"/>
  <c r="D81" i="91"/>
  <c r="H80" i="91"/>
  <c r="Y80" i="91" s="1"/>
  <c r="G80" i="91"/>
  <c r="F80" i="91"/>
  <c r="E80" i="91"/>
  <c r="D80" i="91"/>
  <c r="F23" i="91"/>
  <c r="Y1" i="91"/>
  <c r="I7" i="91"/>
  <c r="B363" i="75"/>
  <c r="B364" i="75"/>
  <c r="B365" i="75"/>
  <c r="B366" i="75"/>
  <c r="B367" i="75"/>
  <c r="B368" i="75"/>
  <c r="B369" i="75"/>
  <c r="B370" i="75"/>
  <c r="B371" i="75"/>
  <c r="B372" i="75"/>
  <c r="B373" i="75"/>
  <c r="B374" i="75"/>
  <c r="B375" i="75"/>
  <c r="B376" i="75"/>
  <c r="B377" i="75"/>
  <c r="B378" i="75"/>
  <c r="B379" i="75"/>
  <c r="B380" i="75"/>
  <c r="B381" i="75"/>
  <c r="B382" i="75"/>
  <c r="B383" i="75"/>
  <c r="B388" i="75"/>
  <c r="B389" i="75"/>
  <c r="B390" i="75"/>
  <c r="B391" i="75"/>
  <c r="B392" i="75"/>
  <c r="B393" i="75"/>
  <c r="B394" i="75"/>
  <c r="B395" i="75"/>
  <c r="B396" i="75"/>
  <c r="B397" i="75"/>
  <c r="B398" i="75"/>
  <c r="B399" i="75"/>
  <c r="B400" i="75"/>
  <c r="B401" i="75"/>
  <c r="B402" i="75"/>
  <c r="B403" i="75"/>
  <c r="B404" i="75"/>
  <c r="B405" i="75"/>
  <c r="B406" i="75"/>
  <c r="B407" i="75"/>
  <c r="B408" i="75"/>
  <c r="B387" i="75"/>
  <c r="B362" i="75"/>
  <c r="H386" i="75"/>
  <c r="G386" i="75"/>
  <c r="F386" i="75"/>
  <c r="E386" i="75"/>
  <c r="D386" i="75"/>
  <c r="G385" i="75"/>
  <c r="F385" i="75"/>
  <c r="E385" i="75"/>
  <c r="D385" i="75"/>
  <c r="H361" i="75"/>
  <c r="G361" i="75"/>
  <c r="F361" i="75"/>
  <c r="E361" i="75"/>
  <c r="D361" i="75"/>
  <c r="H32" i="91"/>
  <c r="P32" i="91" s="1"/>
  <c r="G32" i="91"/>
  <c r="AD32" i="91" s="1"/>
  <c r="F32" i="91"/>
  <c r="N32" i="91" s="1"/>
  <c r="E32" i="91"/>
  <c r="AB32" i="91" s="1"/>
  <c r="D32" i="91"/>
  <c r="L32" i="91" s="1"/>
  <c r="H30" i="91"/>
  <c r="P30" i="91" s="1"/>
  <c r="G30" i="91"/>
  <c r="AD30" i="91" s="1"/>
  <c r="F30" i="91"/>
  <c r="AC30" i="91" s="1"/>
  <c r="E30" i="91"/>
  <c r="D30" i="91"/>
  <c r="L30" i="91" s="1"/>
  <c r="H29" i="91"/>
  <c r="G29" i="91"/>
  <c r="F29" i="91"/>
  <c r="E29" i="91"/>
  <c r="D29" i="91"/>
  <c r="H28" i="91"/>
  <c r="G28" i="91"/>
  <c r="F28" i="91"/>
  <c r="E28" i="91"/>
  <c r="D28" i="91"/>
  <c r="H27" i="91"/>
  <c r="G27" i="91"/>
  <c r="F27" i="91"/>
  <c r="E27" i="91"/>
  <c r="D27" i="91"/>
  <c r="H26" i="91"/>
  <c r="G26" i="91"/>
  <c r="F26" i="91"/>
  <c r="E26" i="91"/>
  <c r="D26" i="91"/>
  <c r="H25" i="91"/>
  <c r="G25" i="91"/>
  <c r="F25" i="91"/>
  <c r="E25" i="91"/>
  <c r="D25" i="91"/>
  <c r="H24" i="91"/>
  <c r="Z24" i="91" s="1"/>
  <c r="G24" i="91"/>
  <c r="AD24" i="91" s="1"/>
  <c r="E24" i="91"/>
  <c r="AB24" i="91" s="1"/>
  <c r="D24" i="91"/>
  <c r="L24" i="91" s="1"/>
  <c r="H23" i="91"/>
  <c r="G23" i="91"/>
  <c r="E23" i="91"/>
  <c r="D23" i="91"/>
  <c r="H22" i="91"/>
  <c r="G22" i="91"/>
  <c r="AD22" i="91" s="1"/>
  <c r="F22" i="91"/>
  <c r="N22" i="91" s="1"/>
  <c r="E22" i="91"/>
  <c r="M22" i="91" s="1"/>
  <c r="D22" i="91"/>
  <c r="H21" i="91"/>
  <c r="G21" i="91"/>
  <c r="F21" i="91"/>
  <c r="E21" i="91"/>
  <c r="D21" i="91"/>
  <c r="H20" i="91"/>
  <c r="Z20" i="91" s="1"/>
  <c r="G20" i="91"/>
  <c r="AD20" i="91" s="1"/>
  <c r="F20" i="91"/>
  <c r="N20" i="91" s="1"/>
  <c r="E20" i="91"/>
  <c r="AB20" i="91" s="1"/>
  <c r="D20" i="91"/>
  <c r="L20" i="91" s="1"/>
  <c r="H19" i="91"/>
  <c r="G19" i="91"/>
  <c r="F19" i="91"/>
  <c r="E19" i="91"/>
  <c r="D19" i="91"/>
  <c r="H18" i="91"/>
  <c r="Y18" i="91" s="1"/>
  <c r="G18" i="91"/>
  <c r="F18" i="91"/>
  <c r="E18" i="91"/>
  <c r="D18" i="91"/>
  <c r="H17" i="91"/>
  <c r="G17" i="91"/>
  <c r="F17" i="91"/>
  <c r="E17" i="91"/>
  <c r="D17" i="91"/>
  <c r="H16" i="91"/>
  <c r="Z16" i="91" s="1"/>
  <c r="G16" i="91"/>
  <c r="AD16" i="91" s="1"/>
  <c r="F16" i="91"/>
  <c r="N16" i="91" s="1"/>
  <c r="E16" i="91"/>
  <c r="AB16" i="91" s="1"/>
  <c r="D16" i="91"/>
  <c r="L16" i="91" s="1"/>
  <c r="H15" i="91"/>
  <c r="G15" i="91"/>
  <c r="F15" i="91"/>
  <c r="E15" i="91"/>
  <c r="D15" i="91"/>
  <c r="H14" i="91"/>
  <c r="G14" i="91"/>
  <c r="F14" i="91"/>
  <c r="E14" i="91"/>
  <c r="D14" i="91"/>
  <c r="H13" i="91"/>
  <c r="G13" i="91"/>
  <c r="F13" i="91"/>
  <c r="E13" i="91"/>
  <c r="D13" i="91"/>
  <c r="H12" i="91"/>
  <c r="G12" i="91"/>
  <c r="F12" i="91"/>
  <c r="E12" i="91"/>
  <c r="D12" i="91"/>
  <c r="H11" i="91"/>
  <c r="G11" i="91"/>
  <c r="F11" i="91"/>
  <c r="E11" i="91"/>
  <c r="D11" i="91"/>
  <c r="H10" i="91"/>
  <c r="G10" i="91"/>
  <c r="F10" i="91"/>
  <c r="E10" i="91"/>
  <c r="D10" i="91"/>
  <c r="J102" i="91" l="1"/>
  <c r="B5" i="91"/>
  <c r="B75" i="91"/>
  <c r="P100" i="91"/>
  <c r="Z26" i="91"/>
  <c r="Y29" i="91"/>
  <c r="Y22" i="91"/>
  <c r="M99" i="91"/>
  <c r="Y26" i="91"/>
  <c r="Y14" i="91"/>
  <c r="M92" i="91"/>
  <c r="Z29" i="91"/>
  <c r="Z22" i="91"/>
  <c r="Y99" i="91"/>
  <c r="Z15" i="91"/>
  <c r="Y15" i="91"/>
  <c r="Y27" i="91"/>
  <c r="Y86" i="91"/>
  <c r="Y12" i="91"/>
  <c r="P16" i="91"/>
  <c r="Y16" i="91"/>
  <c r="AM21" i="91"/>
  <c r="AK23" i="91"/>
  <c r="Y25" i="91"/>
  <c r="Y11" i="91"/>
  <c r="Z19" i="91"/>
  <c r="Y19" i="91"/>
  <c r="Y24" i="91"/>
  <c r="Y94" i="91"/>
  <c r="AM13" i="91"/>
  <c r="AK15" i="91"/>
  <c r="AM17" i="91"/>
  <c r="P20" i="91"/>
  <c r="Y20" i="91"/>
  <c r="Y97" i="91"/>
  <c r="Y90" i="91"/>
  <c r="Y82" i="91"/>
  <c r="M94" i="91"/>
  <c r="O92" i="91"/>
  <c r="M86" i="91"/>
  <c r="Y30" i="91"/>
  <c r="Y28" i="91"/>
  <c r="Y23" i="91"/>
  <c r="Y21" i="91"/>
  <c r="Y17" i="91"/>
  <c r="Y13" i="91"/>
  <c r="N100" i="91"/>
  <c r="M90" i="91"/>
  <c r="AK80" i="91"/>
  <c r="L100" i="91"/>
  <c r="O86" i="91"/>
  <c r="Z30" i="91"/>
  <c r="Z21" i="91"/>
  <c r="Y10" i="91"/>
  <c r="Y100" i="91"/>
  <c r="Y98" i="91"/>
  <c r="Y95" i="91"/>
  <c r="Y93" i="91"/>
  <c r="Y91" i="91"/>
  <c r="Y89" i="91"/>
  <c r="Y87" i="91"/>
  <c r="Y85" i="91"/>
  <c r="Y83" i="91"/>
  <c r="Y81" i="91"/>
  <c r="N86" i="91"/>
  <c r="AC86" i="91"/>
  <c r="N90" i="91"/>
  <c r="AC90" i="91"/>
  <c r="L92" i="91"/>
  <c r="AA92" i="91"/>
  <c r="AA90" i="91"/>
  <c r="AE86" i="91"/>
  <c r="AD100" i="91"/>
  <c r="AA99" i="91"/>
  <c r="AC92" i="91"/>
  <c r="AA86" i="91"/>
  <c r="L22" i="91"/>
  <c r="AA22" i="91"/>
  <c r="AB100" i="91"/>
  <c r="AA94" i="91"/>
  <c r="AE90" i="91"/>
  <c r="AM25" i="91"/>
  <c r="AM28" i="91"/>
  <c r="AK30" i="91"/>
  <c r="M30" i="91"/>
  <c r="AK25" i="91"/>
  <c r="AM30" i="91"/>
  <c r="AM11" i="91"/>
  <c r="AK13" i="91"/>
  <c r="AM15" i="91"/>
  <c r="AK17" i="91"/>
  <c r="AM19" i="91"/>
  <c r="AK21" i="91"/>
  <c r="AC20" i="91"/>
  <c r="AK28" i="91"/>
  <c r="O30" i="91"/>
  <c r="O32" i="91"/>
  <c r="AC16" i="91"/>
  <c r="AM23" i="91"/>
  <c r="AM10" i="91"/>
  <c r="AL32" i="91"/>
  <c r="AL30" i="91"/>
  <c r="AL29" i="91"/>
  <c r="AL28" i="91"/>
  <c r="AL27" i="91"/>
  <c r="AL26" i="91"/>
  <c r="AL25" i="91"/>
  <c r="AL23" i="91"/>
  <c r="AL22" i="91"/>
  <c r="AL21" i="91"/>
  <c r="AL20" i="91"/>
  <c r="AL19" i="91"/>
  <c r="AL18" i="91"/>
  <c r="AL17" i="91"/>
  <c r="AL16" i="91"/>
  <c r="AL15" i="91"/>
  <c r="AL14" i="91"/>
  <c r="AL13" i="91"/>
  <c r="AL12" i="91"/>
  <c r="AL11" i="91"/>
  <c r="M32" i="91"/>
  <c r="AB30" i="91"/>
  <c r="AA20" i="91"/>
  <c r="AE16" i="91"/>
  <c r="J32" i="91"/>
  <c r="AL10" i="91"/>
  <c r="AK32" i="91"/>
  <c r="AK29" i="91"/>
  <c r="AK27" i="91"/>
  <c r="AK26" i="91"/>
  <c r="AK24" i="91"/>
  <c r="AK22" i="91"/>
  <c r="AK20" i="91"/>
  <c r="AK19" i="91"/>
  <c r="AK18" i="91"/>
  <c r="AK16" i="91"/>
  <c r="AK14" i="91"/>
  <c r="AK12" i="91"/>
  <c r="AK11" i="91"/>
  <c r="AK10" i="91"/>
  <c r="AN32" i="91"/>
  <c r="AN30" i="91"/>
  <c r="AN29" i="91"/>
  <c r="AN28" i="91"/>
  <c r="AN27" i="91"/>
  <c r="AN26" i="91"/>
  <c r="AN25" i="91"/>
  <c r="AN24" i="91"/>
  <c r="AN23" i="91"/>
  <c r="AN22" i="91"/>
  <c r="AN21" i="91"/>
  <c r="AN20" i="91"/>
  <c r="AN19" i="91"/>
  <c r="AN18" i="91"/>
  <c r="AN17" i="91"/>
  <c r="AN16" i="91"/>
  <c r="AN15" i="91"/>
  <c r="AN14" i="91"/>
  <c r="AN13" i="91"/>
  <c r="AN12" i="91"/>
  <c r="AN11" i="91"/>
  <c r="AA24" i="91"/>
  <c r="AC22" i="91"/>
  <c r="AE20" i="91"/>
  <c r="AA16" i="91"/>
  <c r="AN10" i="91"/>
  <c r="AM32" i="91"/>
  <c r="AM29" i="91"/>
  <c r="AM27" i="91"/>
  <c r="AM26" i="91"/>
  <c r="AM22" i="91"/>
  <c r="AM20" i="91"/>
  <c r="AM18" i="91"/>
  <c r="AM16" i="91"/>
  <c r="AM14" i="91"/>
  <c r="AM12" i="91"/>
  <c r="O24" i="91"/>
  <c r="O22" i="91"/>
  <c r="O20" i="91"/>
  <c r="O16" i="91"/>
  <c r="AC32" i="91"/>
  <c r="N30" i="91"/>
  <c r="AE30" i="91"/>
  <c r="AA30" i="91"/>
  <c r="AB22" i="91"/>
  <c r="M24" i="91"/>
  <c r="M20" i="91"/>
  <c r="M16" i="91"/>
  <c r="AA32" i="91"/>
  <c r="AE32" i="91"/>
  <c r="Y31" i="91" l="1"/>
  <c r="Y101" i="91"/>
  <c r="A140" i="91" l="1"/>
  <c r="A107" i="91"/>
  <c r="AQ106" i="91"/>
  <c r="AP106" i="91"/>
  <c r="AO106" i="91"/>
  <c r="AN106" i="91"/>
  <c r="AM106" i="91"/>
  <c r="AL106" i="91"/>
  <c r="AL102" i="91"/>
  <c r="AA102" i="91"/>
  <c r="B102" i="91"/>
  <c r="AK132" i="91" s="1"/>
  <c r="B101" i="91"/>
  <c r="T100" i="91"/>
  <c r="B100" i="91"/>
  <c r="T99" i="91"/>
  <c r="B99" i="91"/>
  <c r="T98" i="91"/>
  <c r="B98" i="91"/>
  <c r="T97" i="91"/>
  <c r="B97" i="91"/>
  <c r="T96" i="91"/>
  <c r="B96" i="91"/>
  <c r="T95" i="91"/>
  <c r="B95" i="91"/>
  <c r="T94" i="91"/>
  <c r="B94" i="91"/>
  <c r="T93" i="91"/>
  <c r="B93" i="91"/>
  <c r="T92" i="91"/>
  <c r="B92" i="91"/>
  <c r="AK122" i="91" s="1"/>
  <c r="T91" i="91"/>
  <c r="B91" i="91"/>
  <c r="AK121" i="91" s="1"/>
  <c r="T90" i="91"/>
  <c r="B90" i="91"/>
  <c r="AK120" i="91" s="1"/>
  <c r="T89" i="91"/>
  <c r="B89" i="91"/>
  <c r="T88" i="91"/>
  <c r="B88" i="91"/>
  <c r="T87" i="91"/>
  <c r="B87" i="91"/>
  <c r="AK117" i="91" s="1"/>
  <c r="T86" i="91"/>
  <c r="B86" i="91"/>
  <c r="T85" i="91"/>
  <c r="B85" i="91"/>
  <c r="T84" i="91"/>
  <c r="B84" i="91"/>
  <c r="T83" i="91"/>
  <c r="B83" i="91"/>
  <c r="T82" i="91"/>
  <c r="B82" i="91"/>
  <c r="T81" i="91"/>
  <c r="B81" i="91"/>
  <c r="AK111" i="91" s="1"/>
  <c r="T80" i="91"/>
  <c r="B80" i="91"/>
  <c r="AH79" i="91"/>
  <c r="A70" i="91"/>
  <c r="A37" i="91"/>
  <c r="AQ36" i="91"/>
  <c r="AP36" i="91"/>
  <c r="AO36" i="91"/>
  <c r="AN36" i="91"/>
  <c r="AM36" i="91"/>
  <c r="AL36" i="91"/>
  <c r="B32" i="91"/>
  <c r="B31" i="91"/>
  <c r="T30" i="91"/>
  <c r="Q30" i="91"/>
  <c r="B30" i="91"/>
  <c r="T29" i="91"/>
  <c r="B29" i="91"/>
  <c r="T28" i="91"/>
  <c r="B28" i="91"/>
  <c r="T27" i="91"/>
  <c r="B27" i="91"/>
  <c r="T26" i="91"/>
  <c r="B26" i="91"/>
  <c r="T25" i="91"/>
  <c r="B25" i="91"/>
  <c r="T24" i="91"/>
  <c r="B24" i="91"/>
  <c r="T23" i="91"/>
  <c r="B23" i="91"/>
  <c r="T22" i="91"/>
  <c r="B22" i="91"/>
  <c r="T21" i="91"/>
  <c r="B21" i="91"/>
  <c r="T20" i="91"/>
  <c r="B20" i="91"/>
  <c r="T19" i="91"/>
  <c r="B19" i="91"/>
  <c r="T18" i="91"/>
  <c r="B18" i="91"/>
  <c r="T17" i="91"/>
  <c r="B17" i="91"/>
  <c r="T16" i="91"/>
  <c r="B16" i="91"/>
  <c r="T15" i="91"/>
  <c r="B15" i="91"/>
  <c r="T14" i="91"/>
  <c r="B14" i="91"/>
  <c r="T13" i="91"/>
  <c r="B13" i="91"/>
  <c r="T12" i="91"/>
  <c r="B12" i="91"/>
  <c r="T11" i="91"/>
  <c r="B11" i="91"/>
  <c r="T10" i="91"/>
  <c r="B10" i="91"/>
  <c r="AH9" i="91"/>
  <c r="AK8" i="91"/>
  <c r="Y4" i="91"/>
  <c r="Z4" i="91" s="1"/>
  <c r="X2" i="91"/>
  <c r="AK8" i="85"/>
  <c r="AH159" i="85"/>
  <c r="AE159" i="85"/>
  <c r="AF159" i="85"/>
  <c r="AG159" i="85"/>
  <c r="AI159" i="85"/>
  <c r="AC127" i="85"/>
  <c r="AB127" i="85"/>
  <c r="AA127" i="85"/>
  <c r="Z127" i="85"/>
  <c r="Y127" i="85"/>
  <c r="AC125" i="85"/>
  <c r="AB125" i="85"/>
  <c r="AA125" i="85"/>
  <c r="Z125" i="85"/>
  <c r="Y125" i="85"/>
  <c r="AC123" i="85"/>
  <c r="AB123" i="85"/>
  <c r="AA123" i="85"/>
  <c r="Z123" i="85"/>
  <c r="Y123" i="85"/>
  <c r="AC122" i="85"/>
  <c r="AB122" i="85"/>
  <c r="AA122" i="85"/>
  <c r="Z122" i="85"/>
  <c r="Y122" i="85"/>
  <c r="AC121" i="85"/>
  <c r="AB121" i="85"/>
  <c r="AA121" i="85"/>
  <c r="Z121" i="85"/>
  <c r="Y121" i="85"/>
  <c r="AC120" i="85"/>
  <c r="AB120" i="85"/>
  <c r="Z120" i="85"/>
  <c r="Y120" i="85"/>
  <c r="AC119" i="85"/>
  <c r="AB119" i="85"/>
  <c r="AA119" i="85"/>
  <c r="Z119" i="85"/>
  <c r="Y119" i="85"/>
  <c r="AC118" i="85"/>
  <c r="AB118" i="85"/>
  <c r="AA118" i="85"/>
  <c r="Z118" i="85"/>
  <c r="Y118" i="85"/>
  <c r="AC117" i="85"/>
  <c r="AB117" i="85"/>
  <c r="AA117" i="85"/>
  <c r="Z117" i="85"/>
  <c r="Y117" i="85"/>
  <c r="AC116" i="85"/>
  <c r="AB116" i="85"/>
  <c r="AA116" i="85"/>
  <c r="Z116" i="85"/>
  <c r="Y116" i="85"/>
  <c r="AC115" i="85"/>
  <c r="AB115" i="85"/>
  <c r="AA115" i="85"/>
  <c r="Z115" i="85"/>
  <c r="Y115" i="85"/>
  <c r="AC114" i="85"/>
  <c r="AB114" i="85"/>
  <c r="AA114" i="85"/>
  <c r="Z114" i="85"/>
  <c r="Y114" i="85"/>
  <c r="AC113" i="85"/>
  <c r="AB113" i="85"/>
  <c r="AA113" i="85"/>
  <c r="Z113" i="85"/>
  <c r="Y113" i="85"/>
  <c r="AC112" i="85"/>
  <c r="AB112" i="85"/>
  <c r="AA112" i="85"/>
  <c r="Z112" i="85"/>
  <c r="Y112" i="85"/>
  <c r="AC111" i="85"/>
  <c r="AB111" i="85"/>
  <c r="AA111" i="85"/>
  <c r="Z111" i="85"/>
  <c r="Y111" i="85"/>
  <c r="AC110" i="85"/>
  <c r="AB110" i="85"/>
  <c r="AA110" i="85"/>
  <c r="Z110" i="85"/>
  <c r="Y110" i="85"/>
  <c r="AC109" i="85"/>
  <c r="AB109" i="85"/>
  <c r="AA109" i="85"/>
  <c r="Z109" i="85"/>
  <c r="Y109" i="85"/>
  <c r="AC107" i="85"/>
  <c r="AB107" i="85"/>
  <c r="AA107" i="85"/>
  <c r="Z107" i="85"/>
  <c r="Y107" i="85"/>
  <c r="AC94" i="85"/>
  <c r="AB94" i="85"/>
  <c r="AA94" i="85"/>
  <c r="Z94" i="85"/>
  <c r="Y94" i="85"/>
  <c r="AC92" i="85"/>
  <c r="AB92" i="85"/>
  <c r="AA92" i="85"/>
  <c r="Z92" i="85"/>
  <c r="Y92" i="85"/>
  <c r="AC90" i="85"/>
  <c r="AB90" i="85"/>
  <c r="AA90" i="85"/>
  <c r="Z90" i="85"/>
  <c r="Y90" i="85"/>
  <c r="AC89" i="85"/>
  <c r="AB89" i="85"/>
  <c r="AA89" i="85"/>
  <c r="Z89" i="85"/>
  <c r="Y89" i="85"/>
  <c r="AC88" i="85"/>
  <c r="AB88" i="85"/>
  <c r="AA88" i="85"/>
  <c r="Z88" i="85"/>
  <c r="Y88" i="85"/>
  <c r="AC87" i="85"/>
  <c r="AB87" i="85"/>
  <c r="Z87" i="85"/>
  <c r="Y87" i="85"/>
  <c r="AC86" i="85"/>
  <c r="AB86" i="85"/>
  <c r="AA86" i="85"/>
  <c r="Z86" i="85"/>
  <c r="Y86" i="85"/>
  <c r="AC85" i="85"/>
  <c r="AB85" i="85"/>
  <c r="AA85" i="85"/>
  <c r="Z85" i="85"/>
  <c r="Y85" i="85"/>
  <c r="AC84" i="85"/>
  <c r="AB84" i="85"/>
  <c r="AA84" i="85"/>
  <c r="Z84" i="85"/>
  <c r="Y84" i="85"/>
  <c r="AC83" i="85"/>
  <c r="AB83" i="85"/>
  <c r="AA83" i="85"/>
  <c r="Z83" i="85"/>
  <c r="Y83" i="85"/>
  <c r="AC82" i="85"/>
  <c r="AB82" i="85"/>
  <c r="AA82" i="85"/>
  <c r="Z82" i="85"/>
  <c r="Y82" i="85"/>
  <c r="AC81" i="85"/>
  <c r="AB81" i="85"/>
  <c r="AA81" i="85"/>
  <c r="Z81" i="85"/>
  <c r="Y81" i="85"/>
  <c r="AC80" i="85"/>
  <c r="AB80" i="85"/>
  <c r="AA80" i="85"/>
  <c r="Z80" i="85"/>
  <c r="Y80" i="85"/>
  <c r="AC79" i="85"/>
  <c r="AB79" i="85"/>
  <c r="AA79" i="85"/>
  <c r="Z79" i="85"/>
  <c r="Y79" i="85"/>
  <c r="AC78" i="85"/>
  <c r="AB78" i="85"/>
  <c r="AA78" i="85"/>
  <c r="Z78" i="85"/>
  <c r="Y78" i="85"/>
  <c r="AC77" i="85"/>
  <c r="AB77" i="85"/>
  <c r="AA77" i="85"/>
  <c r="Z77" i="85"/>
  <c r="Y77" i="85"/>
  <c r="AC76" i="85"/>
  <c r="AB76" i="85"/>
  <c r="AA76" i="85"/>
  <c r="Z76" i="85"/>
  <c r="Y76" i="85"/>
  <c r="AC74" i="85"/>
  <c r="AB74" i="85"/>
  <c r="AA74" i="85"/>
  <c r="Z74" i="85"/>
  <c r="Y74" i="85"/>
  <c r="X40" i="85"/>
  <c r="AK130" i="91" l="1"/>
  <c r="AK127" i="91"/>
  <c r="AG80" i="91"/>
  <c r="AK110" i="91"/>
  <c r="X82" i="91"/>
  <c r="AK112" i="91"/>
  <c r="X86" i="91"/>
  <c r="AK116" i="91"/>
  <c r="X88" i="91"/>
  <c r="AK118" i="91"/>
  <c r="X101" i="91"/>
  <c r="AK131" i="91"/>
  <c r="X83" i="91"/>
  <c r="AK113" i="91"/>
  <c r="X85" i="91"/>
  <c r="AK115" i="91"/>
  <c r="X89" i="91"/>
  <c r="AK119" i="91"/>
  <c r="X93" i="91"/>
  <c r="AK123" i="91"/>
  <c r="X95" i="91"/>
  <c r="AK125" i="91"/>
  <c r="X98" i="91"/>
  <c r="AK128" i="91"/>
  <c r="X84" i="91"/>
  <c r="AK114" i="91"/>
  <c r="X94" i="91"/>
  <c r="AK124" i="91"/>
  <c r="X96" i="91"/>
  <c r="AK126" i="91"/>
  <c r="X99" i="91"/>
  <c r="AK129" i="91"/>
  <c r="AK133" i="91"/>
  <c r="AK63" i="91"/>
  <c r="AK50" i="91"/>
  <c r="AM50" i="91" s="1"/>
  <c r="M64" i="91"/>
  <c r="M134" i="91"/>
  <c r="AM96" i="91"/>
  <c r="AK99" i="91"/>
  <c r="AN99" i="91"/>
  <c r="X90" i="91"/>
  <c r="X91" i="91"/>
  <c r="X92" i="91"/>
  <c r="X97" i="91"/>
  <c r="X100" i="91"/>
  <c r="AN91" i="91"/>
  <c r="AK93" i="91"/>
  <c r="AK48" i="91"/>
  <c r="X81" i="91"/>
  <c r="AN89" i="91"/>
  <c r="AM93" i="91"/>
  <c r="AN98" i="91"/>
  <c r="AM100" i="91"/>
  <c r="AN81" i="91"/>
  <c r="AM82" i="91"/>
  <c r="AL82" i="91"/>
  <c r="AM88" i="91"/>
  <c r="AM86" i="91"/>
  <c r="AL80" i="91"/>
  <c r="AL85" i="91"/>
  <c r="AM90" i="91"/>
  <c r="AL90" i="91"/>
  <c r="AK98" i="91"/>
  <c r="AM85" i="91"/>
  <c r="AN87" i="91"/>
  <c r="AK90" i="91"/>
  <c r="AL91" i="91"/>
  <c r="AL93" i="91"/>
  <c r="AM95" i="91"/>
  <c r="AM97" i="91"/>
  <c r="AN83" i="91"/>
  <c r="AK84" i="91"/>
  <c r="AL88" i="91"/>
  <c r="AM91" i="91"/>
  <c r="AL87" i="91"/>
  <c r="AK92" i="91"/>
  <c r="AK97" i="91"/>
  <c r="AK49" i="91"/>
  <c r="AH16" i="91"/>
  <c r="AO15" i="91"/>
  <c r="I15" i="91" s="1"/>
  <c r="J15" i="91" s="1"/>
  <c r="AQ133" i="91"/>
  <c r="AQ63" i="91"/>
  <c r="AK77" i="91"/>
  <c r="AK42" i="91"/>
  <c r="AK44" i="91"/>
  <c r="AK46" i="91"/>
  <c r="AK55" i="91"/>
  <c r="AO29" i="91"/>
  <c r="I29" i="91" s="1"/>
  <c r="J29" i="91" s="1"/>
  <c r="Z32" i="91"/>
  <c r="Y32" i="91"/>
  <c r="AO32" i="91"/>
  <c r="I32" i="91" s="1"/>
  <c r="AL83" i="91"/>
  <c r="AM83" i="91"/>
  <c r="AG10" i="91"/>
  <c r="R102" i="91" s="1"/>
  <c r="AK43" i="91"/>
  <c r="AK45" i="91"/>
  <c r="AK47" i="91"/>
  <c r="AK51" i="91"/>
  <c r="AK59" i="91"/>
  <c r="AK40" i="91"/>
  <c r="AH20" i="91"/>
  <c r="AK53" i="91"/>
  <c r="AH28" i="91"/>
  <c r="AI28" i="91" s="1"/>
  <c r="AK41" i="91"/>
  <c r="AK57" i="91"/>
  <c r="AK60" i="91"/>
  <c r="AO30" i="91"/>
  <c r="I30" i="91" s="1"/>
  <c r="J30" i="91" s="1"/>
  <c r="AK62" i="91"/>
  <c r="AK58" i="91"/>
  <c r="AK52" i="91"/>
  <c r="AK54" i="91"/>
  <c r="AK61" i="91"/>
  <c r="AK56" i="91"/>
  <c r="X80" i="91"/>
  <c r="AM80" i="91"/>
  <c r="AL84" i="91"/>
  <c r="AM84" i="91"/>
  <c r="AN93" i="91"/>
  <c r="AL81" i="91"/>
  <c r="AN85" i="91"/>
  <c r="X87" i="91"/>
  <c r="AM87" i="91"/>
  <c r="AN88" i="91"/>
  <c r="AL92" i="91"/>
  <c r="AM92" i="91"/>
  <c r="AM81" i="91"/>
  <c r="AN82" i="91"/>
  <c r="AK82" i="91"/>
  <c r="AK85" i="91"/>
  <c r="AK86" i="91"/>
  <c r="AL89" i="91"/>
  <c r="AN97" i="91"/>
  <c r="AN80" i="91"/>
  <c r="AK83" i="91"/>
  <c r="AN86" i="91"/>
  <c r="AL86" i="91"/>
  <c r="AK88" i="91"/>
  <c r="AM89" i="91"/>
  <c r="AK91" i="91"/>
  <c r="AN94" i="91"/>
  <c r="AK94" i="91"/>
  <c r="AN95" i="91"/>
  <c r="AK95" i="91"/>
  <c r="AN96" i="91"/>
  <c r="AK96" i="91"/>
  <c r="AM98" i="91"/>
  <c r="AL98" i="91"/>
  <c r="AN100" i="91"/>
  <c r="AH98" i="91"/>
  <c r="AC102" i="91"/>
  <c r="AK87" i="91"/>
  <c r="AN90" i="91"/>
  <c r="AL95" i="91"/>
  <c r="AL96" i="91"/>
  <c r="AL99" i="91"/>
  <c r="AM99" i="91"/>
  <c r="AK81" i="91"/>
  <c r="AN84" i="91"/>
  <c r="AK89" i="91"/>
  <c r="AH90" i="91"/>
  <c r="AN92" i="91"/>
  <c r="AL97" i="91"/>
  <c r="AM102" i="91"/>
  <c r="AL100" i="91"/>
  <c r="AK100" i="91"/>
  <c r="AB102" i="91"/>
  <c r="AK102" i="91"/>
  <c r="X102" i="91"/>
  <c r="AD102" i="91"/>
  <c r="AE102" i="91"/>
  <c r="AN102" i="91"/>
  <c r="AP50" i="91" l="1"/>
  <c r="R30" i="91"/>
  <c r="R101" i="91"/>
  <c r="AQ50" i="91"/>
  <c r="AL50" i="91"/>
  <c r="AH86" i="91"/>
  <c r="Q86" i="91"/>
  <c r="AO80" i="91"/>
  <c r="I80" i="91" s="1"/>
  <c r="R23" i="91"/>
  <c r="AO97" i="91"/>
  <c r="I97" i="91" s="1"/>
  <c r="AO90" i="91"/>
  <c r="I90" i="91" s="1"/>
  <c r="AO91" i="91"/>
  <c r="I91" i="91" s="1"/>
  <c r="AO100" i="91"/>
  <c r="I100" i="91" s="1"/>
  <c r="AQ48" i="91"/>
  <c r="AO93" i="91"/>
  <c r="I93" i="91" s="1"/>
  <c r="AO89" i="91"/>
  <c r="I89" i="91" s="1"/>
  <c r="AO99" i="91"/>
  <c r="AO98" i="91"/>
  <c r="I98" i="91" s="1"/>
  <c r="AO28" i="91"/>
  <c r="I28" i="91" s="1"/>
  <c r="J28" i="91" s="1"/>
  <c r="AO50" i="91"/>
  <c r="AO11" i="91"/>
  <c r="I11" i="91" s="1"/>
  <c r="J11" i="91" s="1"/>
  <c r="AO22" i="91"/>
  <c r="I22" i="91" s="1"/>
  <c r="J22" i="91" s="1"/>
  <c r="AO17" i="91"/>
  <c r="I17" i="91" s="1"/>
  <c r="J17" i="91" s="1"/>
  <c r="AO96" i="91"/>
  <c r="I96" i="91" s="1"/>
  <c r="AO26" i="91"/>
  <c r="I26" i="91" s="1"/>
  <c r="J26" i="91" s="1"/>
  <c r="AO87" i="91"/>
  <c r="I87" i="91" s="1"/>
  <c r="AO92" i="91"/>
  <c r="I92" i="91" s="1"/>
  <c r="AO21" i="91"/>
  <c r="I21" i="91" s="1"/>
  <c r="J21" i="91" s="1"/>
  <c r="AO25" i="91"/>
  <c r="I25" i="91" s="1"/>
  <c r="J25" i="91" s="1"/>
  <c r="AO14" i="91"/>
  <c r="I14" i="91" s="1"/>
  <c r="J14" i="91" s="1"/>
  <c r="AO13" i="91"/>
  <c r="I13" i="91" s="1"/>
  <c r="J13" i="91" s="1"/>
  <c r="AQ45" i="91"/>
  <c r="AQ124" i="91"/>
  <c r="AM124" i="91"/>
  <c r="AL124" i="91"/>
  <c r="AQ120" i="91"/>
  <c r="AM120" i="91"/>
  <c r="AP120" i="91"/>
  <c r="AL120" i="91"/>
  <c r="AN120" i="91"/>
  <c r="AQ60" i="91"/>
  <c r="AM60" i="91"/>
  <c r="AP60" i="91"/>
  <c r="AO60" i="91"/>
  <c r="AL60" i="91"/>
  <c r="AN60" i="91"/>
  <c r="AO27" i="91"/>
  <c r="I27" i="91" s="1"/>
  <c r="J27" i="91" s="1"/>
  <c r="AQ44" i="91"/>
  <c r="AO12" i="91"/>
  <c r="I12" i="91" s="1"/>
  <c r="J12" i="91" s="1"/>
  <c r="AM132" i="91"/>
  <c r="AP132" i="91"/>
  <c r="AL132" i="91"/>
  <c r="AO132" i="91"/>
  <c r="AN132" i="91"/>
  <c r="AQ125" i="91"/>
  <c r="AO116" i="91"/>
  <c r="AN116" i="91"/>
  <c r="AP116" i="91"/>
  <c r="AL116" i="91"/>
  <c r="AM116" i="91"/>
  <c r="AQ116" i="91"/>
  <c r="AQ117" i="91"/>
  <c r="AQ53" i="91"/>
  <c r="AQ51" i="91"/>
  <c r="AQ43" i="91"/>
  <c r="AQ42" i="91"/>
  <c r="AO88" i="91"/>
  <c r="I88" i="91" s="1"/>
  <c r="AO86" i="91"/>
  <c r="I86" i="91" s="1"/>
  <c r="AQ56" i="91"/>
  <c r="AL52" i="91"/>
  <c r="AM52" i="91"/>
  <c r="AQ52" i="91"/>
  <c r="AN52" i="91"/>
  <c r="AO52" i="91"/>
  <c r="AQ49" i="91"/>
  <c r="AQ130" i="91"/>
  <c r="AM130" i="91"/>
  <c r="AP130" i="91"/>
  <c r="AL130" i="91"/>
  <c r="AO130" i="91"/>
  <c r="AN130" i="91"/>
  <c r="AQ123" i="91"/>
  <c r="AO102" i="91"/>
  <c r="I102" i="91" s="1"/>
  <c r="AQ112" i="91"/>
  <c r="AO81" i="91"/>
  <c r="I81" i="91" s="1"/>
  <c r="AQ115" i="91"/>
  <c r="AO83" i="91"/>
  <c r="I83" i="91" s="1"/>
  <c r="AO82" i="91"/>
  <c r="I82" i="91" s="1"/>
  <c r="AO84" i="91"/>
  <c r="I84" i="91" s="1"/>
  <c r="AQ40" i="91"/>
  <c r="AQ59" i="91"/>
  <c r="AN50" i="91"/>
  <c r="R100" i="91"/>
  <c r="R93" i="91"/>
  <c r="R96" i="91"/>
  <c r="R31" i="91"/>
  <c r="R32" i="91"/>
  <c r="R26" i="91"/>
  <c r="AO20" i="91"/>
  <c r="I20" i="91" s="1"/>
  <c r="J20" i="91" s="1"/>
  <c r="AN46" i="91"/>
  <c r="AO46" i="91"/>
  <c r="AM46" i="91"/>
  <c r="AP46" i="91"/>
  <c r="AL46" i="91"/>
  <c r="AQ46" i="91"/>
  <c r="AO10" i="91"/>
  <c r="I10" i="91" s="1"/>
  <c r="J10" i="91" s="1"/>
  <c r="AQ128" i="91"/>
  <c r="AQ121" i="91"/>
  <c r="Q100" i="91"/>
  <c r="AQ47" i="91"/>
  <c r="AQ127" i="91"/>
  <c r="AQ118" i="91"/>
  <c r="AQ110" i="91"/>
  <c r="AQ57" i="91"/>
  <c r="AQ41" i="91"/>
  <c r="AQ129" i="91"/>
  <c r="AM129" i="91"/>
  <c r="AL129" i="91"/>
  <c r="AQ126" i="91"/>
  <c r="AQ122" i="91"/>
  <c r="AM122" i="91"/>
  <c r="AL122" i="91"/>
  <c r="AO122" i="91"/>
  <c r="AN122" i="91"/>
  <c r="AQ119" i="91"/>
  <c r="AQ114" i="91"/>
  <c r="Q90" i="91"/>
  <c r="AQ113" i="91"/>
  <c r="AO95" i="91"/>
  <c r="I95" i="91" s="1"/>
  <c r="AO85" i="91"/>
  <c r="I85" i="91" s="1"/>
  <c r="AQ111" i="91"/>
  <c r="AQ54" i="91"/>
  <c r="AL54" i="91"/>
  <c r="AM54" i="91"/>
  <c r="AO54" i="91"/>
  <c r="AQ58" i="91"/>
  <c r="AO62" i="91"/>
  <c r="AP62" i="91"/>
  <c r="AN62" i="91"/>
  <c r="AL62" i="91"/>
  <c r="AM62" i="91"/>
  <c r="AO19" i="91"/>
  <c r="I19" i="91" s="1"/>
  <c r="J19" i="91" s="1"/>
  <c r="AQ55" i="91"/>
  <c r="AO23" i="91"/>
  <c r="I23" i="91" s="1"/>
  <c r="J23" i="91" s="1"/>
  <c r="Q20" i="91"/>
  <c r="AO16" i="91"/>
  <c r="I16" i="91" s="1"/>
  <c r="J16" i="91" s="1"/>
  <c r="Q16" i="91"/>
  <c r="AO18" i="91"/>
  <c r="I18" i="91" s="1"/>
  <c r="J18" i="91" s="1"/>
  <c r="J95" i="91" l="1"/>
  <c r="J83" i="91"/>
  <c r="J88" i="91"/>
  <c r="J84" i="91"/>
  <c r="J87" i="91"/>
  <c r="J91" i="91"/>
  <c r="J82" i="91"/>
  <c r="J92" i="91"/>
  <c r="Z92" i="91"/>
  <c r="J96" i="91"/>
  <c r="J93" i="91"/>
  <c r="J100" i="91"/>
  <c r="Z100" i="91"/>
  <c r="J97" i="91"/>
  <c r="J80" i="91"/>
  <c r="J81" i="91"/>
  <c r="J89" i="91"/>
  <c r="J86" i="91"/>
  <c r="Z86" i="91"/>
  <c r="J85" i="91"/>
  <c r="J98" i="91"/>
  <c r="J90" i="91"/>
  <c r="Z90" i="91"/>
  <c r="I99" i="91"/>
  <c r="AI20" i="91"/>
  <c r="AI86" i="91"/>
  <c r="AI90" i="91"/>
  <c r="AI16" i="91"/>
  <c r="J99" i="91" l="1"/>
  <c r="Z99" i="91"/>
  <c r="R20" i="91"/>
  <c r="R90" i="91"/>
  <c r="R86" i="91"/>
  <c r="R16" i="91"/>
  <c r="Y1" i="85" l="1"/>
  <c r="E25" i="85" l="1"/>
  <c r="S7" i="85"/>
  <c r="I7" i="85"/>
  <c r="AH122" i="86" l="1"/>
  <c r="AH121" i="86"/>
  <c r="AH120" i="86"/>
  <c r="AH119" i="86"/>
  <c r="AH118" i="86"/>
  <c r="AH117" i="86"/>
  <c r="AH116" i="86"/>
  <c r="AH115" i="86"/>
  <c r="AH114" i="86"/>
  <c r="AH113" i="86"/>
  <c r="AH112" i="86"/>
  <c r="AH111" i="86"/>
  <c r="AH110" i="86"/>
  <c r="AH109" i="86"/>
  <c r="AH108" i="86"/>
  <c r="AH107" i="86"/>
  <c r="AH106" i="86"/>
  <c r="AH105" i="86"/>
  <c r="AH104" i="86"/>
  <c r="AH103" i="86"/>
  <c r="AH102" i="86"/>
  <c r="AB122" i="86"/>
  <c r="AB121" i="86"/>
  <c r="AB120" i="86"/>
  <c r="AB119" i="86"/>
  <c r="AB118" i="86"/>
  <c r="AB117" i="86"/>
  <c r="AB116" i="86"/>
  <c r="AB115" i="86"/>
  <c r="AB114" i="86"/>
  <c r="AB113" i="86"/>
  <c r="AB112" i="86"/>
  <c r="AB111" i="86"/>
  <c r="AB110" i="86"/>
  <c r="AB109" i="86"/>
  <c r="AB108" i="86"/>
  <c r="AB107" i="86"/>
  <c r="AB106" i="86"/>
  <c r="AB105" i="86"/>
  <c r="AB104" i="86"/>
  <c r="AB103" i="86"/>
  <c r="AB102" i="86"/>
  <c r="H31" i="85"/>
  <c r="B31" i="86"/>
  <c r="B30" i="86"/>
  <c r="B29" i="86"/>
  <c r="B27" i="86"/>
  <c r="B26" i="86"/>
  <c r="B25" i="86"/>
  <c r="B24" i="86"/>
  <c r="B23" i="86"/>
  <c r="B22" i="86"/>
  <c r="B21" i="86"/>
  <c r="B20" i="86"/>
  <c r="B19" i="86"/>
  <c r="B18" i="86"/>
  <c r="B17" i="86"/>
  <c r="B16" i="86"/>
  <c r="B15" i="86"/>
  <c r="B14" i="86"/>
  <c r="B13" i="86"/>
  <c r="B12" i="86"/>
  <c r="B11" i="86"/>
  <c r="B31" i="85"/>
  <c r="B30" i="85"/>
  <c r="B29" i="85"/>
  <c r="B28" i="85"/>
  <c r="B27" i="85"/>
  <c r="B26" i="85"/>
  <c r="B25" i="85"/>
  <c r="B24" i="85"/>
  <c r="B23" i="85"/>
  <c r="B22" i="85"/>
  <c r="B21" i="85"/>
  <c r="B20" i="85"/>
  <c r="B19" i="85"/>
  <c r="B18" i="85"/>
  <c r="B17" i="85"/>
  <c r="B16" i="85"/>
  <c r="B15" i="85"/>
  <c r="B14" i="85"/>
  <c r="B13" i="85"/>
  <c r="B12" i="85"/>
  <c r="B11" i="85"/>
  <c r="B31" i="70"/>
  <c r="AN126" i="70" s="1"/>
  <c r="AU126" i="70" s="1"/>
  <c r="B30" i="70"/>
  <c r="AN125" i="70" s="1"/>
  <c r="B29" i="70"/>
  <c r="AN124" i="70" s="1"/>
  <c r="B28" i="70"/>
  <c r="AN123" i="70" s="1"/>
  <c r="B27" i="70"/>
  <c r="AN122" i="70" s="1"/>
  <c r="B26" i="70"/>
  <c r="AN121" i="70" s="1"/>
  <c r="B25" i="70"/>
  <c r="AN120" i="70" s="1"/>
  <c r="B24" i="70"/>
  <c r="AN119" i="70" s="1"/>
  <c r="B23" i="70"/>
  <c r="AN118" i="70" s="1"/>
  <c r="B22" i="70"/>
  <c r="AN117" i="70" s="1"/>
  <c r="B21" i="70"/>
  <c r="AN116" i="70" s="1"/>
  <c r="B20" i="70"/>
  <c r="AN115" i="70" s="1"/>
  <c r="B19" i="70"/>
  <c r="AN114" i="70" s="1"/>
  <c r="B18" i="70"/>
  <c r="AN113" i="70" s="1"/>
  <c r="B17" i="70"/>
  <c r="AN112" i="70" s="1"/>
  <c r="B16" i="70"/>
  <c r="AN111" i="70" s="1"/>
  <c r="B15" i="70"/>
  <c r="AN110" i="70" s="1"/>
  <c r="B14" i="70"/>
  <c r="AN109" i="70" s="1"/>
  <c r="B13" i="70"/>
  <c r="AN108" i="70" s="1"/>
  <c r="B12" i="70"/>
  <c r="AN107" i="70" s="1"/>
  <c r="B11" i="70"/>
  <c r="B30" i="84"/>
  <c r="X91" i="84" s="1"/>
  <c r="B29" i="84"/>
  <c r="B28" i="84"/>
  <c r="B27" i="84"/>
  <c r="B26" i="84"/>
  <c r="B25" i="84"/>
  <c r="B24" i="84"/>
  <c r="B23" i="84"/>
  <c r="B22" i="84"/>
  <c r="B21" i="84"/>
  <c r="B20" i="84"/>
  <c r="B19" i="84"/>
  <c r="B18" i="84"/>
  <c r="B17" i="84"/>
  <c r="B16" i="84"/>
  <c r="B15" i="84"/>
  <c r="B14" i="84"/>
  <c r="B13" i="84"/>
  <c r="B12" i="84"/>
  <c r="B11" i="84"/>
  <c r="B334" i="83"/>
  <c r="B333" i="83"/>
  <c r="B332" i="83"/>
  <c r="B331" i="83"/>
  <c r="B330" i="83"/>
  <c r="B329" i="83"/>
  <c r="B328" i="83"/>
  <c r="B327" i="83"/>
  <c r="B326" i="83"/>
  <c r="B325" i="83"/>
  <c r="B324" i="83"/>
  <c r="B323" i="83"/>
  <c r="B322" i="83"/>
  <c r="B321" i="83"/>
  <c r="B320" i="83"/>
  <c r="B319" i="83"/>
  <c r="B318" i="83"/>
  <c r="B317" i="83"/>
  <c r="B316" i="83"/>
  <c r="B315" i="83"/>
  <c r="B314" i="83"/>
  <c r="B200" i="83"/>
  <c r="B199" i="83"/>
  <c r="B198" i="83"/>
  <c r="B197" i="83"/>
  <c r="B196" i="83"/>
  <c r="B195" i="83"/>
  <c r="B194" i="83"/>
  <c r="B193" i="83"/>
  <c r="B192" i="83"/>
  <c r="B191" i="83"/>
  <c r="B190" i="83"/>
  <c r="B189" i="83"/>
  <c r="B188" i="83"/>
  <c r="B187" i="83"/>
  <c r="B186" i="83"/>
  <c r="B185" i="83"/>
  <c r="B184" i="83"/>
  <c r="B183" i="83"/>
  <c r="B182" i="83"/>
  <c r="B181" i="83"/>
  <c r="B180" i="83"/>
  <c r="B31" i="83"/>
  <c r="X92" i="83" s="1"/>
  <c r="B30" i="83"/>
  <c r="X91" i="83" s="1"/>
  <c r="B29" i="83"/>
  <c r="B28" i="83"/>
  <c r="B27" i="83"/>
  <c r="B26" i="83"/>
  <c r="B25" i="83"/>
  <c r="B24" i="83"/>
  <c r="B23" i="83"/>
  <c r="B22" i="83"/>
  <c r="B21" i="83"/>
  <c r="B20" i="83"/>
  <c r="B19" i="83"/>
  <c r="B18" i="83"/>
  <c r="B17" i="83"/>
  <c r="B16" i="83"/>
  <c r="B15" i="83"/>
  <c r="B14" i="83"/>
  <c r="B13" i="83"/>
  <c r="B12" i="83"/>
  <c r="B11" i="83"/>
  <c r="B31" i="69"/>
  <c r="B30" i="69"/>
  <c r="B29" i="69"/>
  <c r="B28" i="69"/>
  <c r="B27" i="69"/>
  <c r="B26" i="69"/>
  <c r="B25" i="69"/>
  <c r="B24" i="69"/>
  <c r="B23" i="69"/>
  <c r="B22" i="69"/>
  <c r="B21" i="69"/>
  <c r="B20" i="69"/>
  <c r="B19" i="69"/>
  <c r="B18" i="69"/>
  <c r="B17" i="69"/>
  <c r="B16" i="69"/>
  <c r="B15" i="69"/>
  <c r="B14" i="69"/>
  <c r="B13" i="69"/>
  <c r="B12" i="69"/>
  <c r="B11" i="69"/>
  <c r="B134" i="68"/>
  <c r="B133" i="68"/>
  <c r="B132" i="68"/>
  <c r="B131" i="68"/>
  <c r="B130" i="68"/>
  <c r="B129" i="68"/>
  <c r="B128" i="68"/>
  <c r="B127" i="68"/>
  <c r="B126" i="68"/>
  <c r="B125" i="68"/>
  <c r="B124" i="68"/>
  <c r="B123" i="68"/>
  <c r="B122" i="68"/>
  <c r="B121" i="68"/>
  <c r="B120" i="68"/>
  <c r="B119" i="68"/>
  <c r="B118" i="68"/>
  <c r="B117" i="68"/>
  <c r="B116" i="68"/>
  <c r="B115" i="68"/>
  <c r="B114" i="68"/>
  <c r="B31" i="68"/>
  <c r="B30" i="68"/>
  <c r="B29" i="68"/>
  <c r="B28" i="68"/>
  <c r="B27" i="68"/>
  <c r="B26" i="68"/>
  <c r="B25" i="68"/>
  <c r="B24" i="68"/>
  <c r="B23" i="68"/>
  <c r="B22" i="68"/>
  <c r="B21" i="68"/>
  <c r="B20" i="68"/>
  <c r="B19" i="68"/>
  <c r="B18" i="68"/>
  <c r="B17" i="68"/>
  <c r="B16" i="68"/>
  <c r="B15" i="68"/>
  <c r="B14" i="68"/>
  <c r="B13" i="68"/>
  <c r="B12" i="68"/>
  <c r="B11" i="68"/>
  <c r="B31" i="67"/>
  <c r="B30" i="67"/>
  <c r="B29" i="67"/>
  <c r="B28" i="67"/>
  <c r="B27" i="67"/>
  <c r="B26" i="67"/>
  <c r="B25" i="67"/>
  <c r="B24" i="67"/>
  <c r="B23" i="67"/>
  <c r="B22" i="67"/>
  <c r="B21" i="67"/>
  <c r="B20" i="67"/>
  <c r="B19" i="67"/>
  <c r="B18" i="67"/>
  <c r="B17" i="67"/>
  <c r="B16" i="67"/>
  <c r="B15" i="67"/>
  <c r="B14" i="67"/>
  <c r="B13" i="67"/>
  <c r="B12" i="67"/>
  <c r="B11" i="67"/>
  <c r="B31" i="66"/>
  <c r="B30" i="66"/>
  <c r="B29" i="66"/>
  <c r="B28" i="66"/>
  <c r="B27" i="66"/>
  <c r="B26" i="66"/>
  <c r="B25" i="66"/>
  <c r="B24" i="66"/>
  <c r="B23" i="66"/>
  <c r="B22" i="66"/>
  <c r="B21" i="66"/>
  <c r="B20" i="66"/>
  <c r="B19" i="66"/>
  <c r="B18" i="66"/>
  <c r="B17" i="66"/>
  <c r="B16" i="66"/>
  <c r="B15" i="66"/>
  <c r="B14" i="66"/>
  <c r="B13" i="66"/>
  <c r="B12" i="66"/>
  <c r="B11" i="66"/>
  <c r="B31" i="65"/>
  <c r="B30" i="65"/>
  <c r="B29" i="65"/>
  <c r="B28" i="65"/>
  <c r="B27" i="65"/>
  <c r="B26" i="65"/>
  <c r="B25" i="65"/>
  <c r="B24" i="65"/>
  <c r="B23" i="65"/>
  <c r="B22" i="65"/>
  <c r="B21" i="65"/>
  <c r="B20" i="65"/>
  <c r="B19" i="65"/>
  <c r="B18" i="65"/>
  <c r="B17" i="65"/>
  <c r="B16" i="65"/>
  <c r="B15" i="65"/>
  <c r="B14" i="65"/>
  <c r="B13" i="65"/>
  <c r="B12" i="65"/>
  <c r="B11" i="65"/>
  <c r="B31" i="64"/>
  <c r="B30" i="64"/>
  <c r="B29" i="64"/>
  <c r="B28" i="64"/>
  <c r="B27" i="64"/>
  <c r="B26" i="64"/>
  <c r="B25" i="64"/>
  <c r="B24" i="64"/>
  <c r="B23" i="64"/>
  <c r="B22" i="64"/>
  <c r="B21" i="64"/>
  <c r="B20" i="64"/>
  <c r="B19" i="64"/>
  <c r="B18" i="64"/>
  <c r="B17" i="64"/>
  <c r="B16" i="64"/>
  <c r="B15" i="64"/>
  <c r="B14" i="64"/>
  <c r="B13" i="64"/>
  <c r="B12" i="64"/>
  <c r="B11" i="64"/>
  <c r="B31" i="63"/>
  <c r="B30" i="63"/>
  <c r="B29" i="63"/>
  <c r="B28" i="63"/>
  <c r="B27" i="63"/>
  <c r="B26" i="63"/>
  <c r="B25" i="63"/>
  <c r="B24" i="63"/>
  <c r="B23" i="63"/>
  <c r="B22" i="63"/>
  <c r="B21" i="63"/>
  <c r="B20" i="63"/>
  <c r="B19" i="63"/>
  <c r="B18" i="63"/>
  <c r="B17" i="63"/>
  <c r="B16" i="63"/>
  <c r="B15" i="63"/>
  <c r="B14" i="63"/>
  <c r="B13" i="63"/>
  <c r="B12" i="63"/>
  <c r="B11" i="63"/>
  <c r="B31" i="62"/>
  <c r="B30" i="62"/>
  <c r="B29" i="62"/>
  <c r="B28" i="62"/>
  <c r="B27" i="62"/>
  <c r="B26" i="62"/>
  <c r="B25" i="62"/>
  <c r="B24" i="62"/>
  <c r="B23" i="62"/>
  <c r="B22" i="62"/>
  <c r="B21" i="62"/>
  <c r="B20" i="62"/>
  <c r="B19" i="62"/>
  <c r="B18" i="62"/>
  <c r="B17" i="62"/>
  <c r="B16" i="62"/>
  <c r="B15" i="62"/>
  <c r="B14" i="62"/>
  <c r="B13" i="62"/>
  <c r="B12" i="62"/>
  <c r="B11" i="62"/>
  <c r="H94" i="86"/>
  <c r="AU108" i="70" l="1"/>
  <c r="AV108" i="70"/>
  <c r="AT108" i="70"/>
  <c r="AW108" i="70"/>
  <c r="AX108" i="70"/>
  <c r="AY108" i="70"/>
  <c r="AY116" i="70"/>
  <c r="AU116" i="70"/>
  <c r="AV116" i="70"/>
  <c r="AT116" i="70"/>
  <c r="AW116" i="70"/>
  <c r="AX116" i="70"/>
  <c r="AY124" i="70"/>
  <c r="AU124" i="70"/>
  <c r="AV124" i="70"/>
  <c r="AT124" i="70"/>
  <c r="AW124" i="70"/>
  <c r="AX124" i="70"/>
  <c r="AU109" i="70"/>
  <c r="AV109" i="70"/>
  <c r="AW109" i="70"/>
  <c r="AX109" i="70"/>
  <c r="AY109" i="70"/>
  <c r="AT109" i="70"/>
  <c r="AU117" i="70"/>
  <c r="AV117" i="70"/>
  <c r="AW117" i="70"/>
  <c r="AX117" i="70"/>
  <c r="AY117" i="70"/>
  <c r="AT117" i="70"/>
  <c r="AU125" i="70"/>
  <c r="AV125" i="70"/>
  <c r="AW125" i="70"/>
  <c r="AX125" i="70"/>
  <c r="AY125" i="70"/>
  <c r="AX110" i="70"/>
  <c r="AY110" i="70"/>
  <c r="AT110" i="70"/>
  <c r="AW110" i="70"/>
  <c r="AU110" i="70"/>
  <c r="AV110" i="70"/>
  <c r="AX118" i="70"/>
  <c r="AY118" i="70"/>
  <c r="AU118" i="70"/>
  <c r="AV118" i="70"/>
  <c r="AT118" i="70"/>
  <c r="AW118" i="70"/>
  <c r="AX126" i="70"/>
  <c r="AY126" i="70"/>
  <c r="AT126" i="70"/>
  <c r="AV126" i="70"/>
  <c r="AW126" i="70"/>
  <c r="AT111" i="70"/>
  <c r="AU111" i="70"/>
  <c r="AV111" i="70"/>
  <c r="AW111" i="70"/>
  <c r="AX111" i="70"/>
  <c r="AY111" i="70"/>
  <c r="AT119" i="70"/>
  <c r="AU119" i="70"/>
  <c r="AV119" i="70"/>
  <c r="AW119" i="70"/>
  <c r="AX119" i="70"/>
  <c r="AY119" i="70"/>
  <c r="AW123" i="70"/>
  <c r="AX123" i="70"/>
  <c r="AY123" i="70"/>
  <c r="AT123" i="70"/>
  <c r="AU123" i="70"/>
  <c r="AV123" i="70"/>
  <c r="AV112" i="70"/>
  <c r="AT112" i="70"/>
  <c r="AW112" i="70"/>
  <c r="AX112" i="70"/>
  <c r="AY112" i="70"/>
  <c r="AU112" i="70"/>
  <c r="AV120" i="70"/>
  <c r="AT120" i="70"/>
  <c r="AW120" i="70"/>
  <c r="AX120" i="70"/>
  <c r="AU120" i="70"/>
  <c r="AY120" i="70"/>
  <c r="AW115" i="70"/>
  <c r="AX115" i="70"/>
  <c r="AY115" i="70"/>
  <c r="AT115" i="70"/>
  <c r="AU115" i="70"/>
  <c r="AV115" i="70"/>
  <c r="AY113" i="70"/>
  <c r="AT113" i="70"/>
  <c r="AX113" i="70"/>
  <c r="AU113" i="70"/>
  <c r="AV113" i="70"/>
  <c r="AW113" i="70"/>
  <c r="AY121" i="70"/>
  <c r="AT121" i="70"/>
  <c r="AU121" i="70"/>
  <c r="AV121" i="70"/>
  <c r="AW121" i="70"/>
  <c r="AX121" i="70"/>
  <c r="AW107" i="70"/>
  <c r="AX107" i="70"/>
  <c r="AY107" i="70"/>
  <c r="AV107" i="70"/>
  <c r="AT107" i="70"/>
  <c r="AU107" i="70"/>
  <c r="AU114" i="70"/>
  <c r="AV114" i="70"/>
  <c r="AT114" i="70"/>
  <c r="AW114" i="70"/>
  <c r="AX114" i="70"/>
  <c r="AY114" i="70"/>
  <c r="AU122" i="70"/>
  <c r="AV122" i="70"/>
  <c r="AT122" i="70"/>
  <c r="AW122" i="70"/>
  <c r="AX122" i="70"/>
  <c r="AY122" i="70"/>
  <c r="X80" i="84"/>
  <c r="X88" i="84"/>
  <c r="X73" i="84"/>
  <c r="X81" i="84"/>
  <c r="X89" i="84"/>
  <c r="X87" i="84"/>
  <c r="X74" i="84"/>
  <c r="X82" i="84"/>
  <c r="X90" i="84"/>
  <c r="X75" i="84"/>
  <c r="X83" i="84"/>
  <c r="X76" i="84"/>
  <c r="X84" i="84"/>
  <c r="X79" i="84"/>
  <c r="X77" i="84"/>
  <c r="X85" i="84"/>
  <c r="X78" i="84"/>
  <c r="X86" i="84"/>
  <c r="X79" i="83"/>
  <c r="X87" i="83"/>
  <c r="X72" i="83"/>
  <c r="X80" i="83"/>
  <c r="X88" i="83"/>
  <c r="X78" i="83"/>
  <c r="X73" i="83"/>
  <c r="X81" i="83"/>
  <c r="X89" i="83"/>
  <c r="X86" i="83"/>
  <c r="X74" i="83"/>
  <c r="X82" i="83"/>
  <c r="X90" i="83"/>
  <c r="X75" i="83"/>
  <c r="X83" i="83"/>
  <c r="X76" i="83"/>
  <c r="X84" i="83"/>
  <c r="X77" i="83"/>
  <c r="X85" i="83"/>
  <c r="X72" i="84"/>
  <c r="AP125" i="70"/>
  <c r="AQ125" i="70"/>
  <c r="AO125" i="70"/>
  <c r="AP110" i="70"/>
  <c r="AO110" i="70"/>
  <c r="AQ110" i="70"/>
  <c r="AO118" i="70"/>
  <c r="AQ118" i="70"/>
  <c r="AP118" i="70"/>
  <c r="AO126" i="70"/>
  <c r="AQ126" i="70"/>
  <c r="AP126" i="70"/>
  <c r="AP111" i="70"/>
  <c r="AQ111" i="70"/>
  <c r="AO111" i="70"/>
  <c r="AO119" i="70"/>
  <c r="AQ119" i="70"/>
  <c r="AP119" i="70"/>
  <c r="AP112" i="70"/>
  <c r="AO112" i="70"/>
  <c r="AQ112" i="70"/>
  <c r="AQ120" i="70"/>
  <c r="AP120" i="70"/>
  <c r="AO120" i="70"/>
  <c r="AO113" i="70"/>
  <c r="AQ113" i="70"/>
  <c r="AP113" i="70"/>
  <c r="AO121" i="70"/>
  <c r="AQ121" i="70"/>
  <c r="AP121" i="70"/>
  <c r="AP109" i="70"/>
  <c r="AO109" i="70"/>
  <c r="AQ109" i="70"/>
  <c r="AP114" i="70"/>
  <c r="AO114" i="70"/>
  <c r="AQ114" i="70"/>
  <c r="AQ122" i="70"/>
  <c r="AO122" i="70"/>
  <c r="AP122" i="70"/>
  <c r="AP117" i="70"/>
  <c r="AQ117" i="70"/>
  <c r="AO117" i="70"/>
  <c r="AQ107" i="70"/>
  <c r="AO107" i="70"/>
  <c r="AP107" i="70"/>
  <c r="AP115" i="70"/>
  <c r="AO115" i="70"/>
  <c r="AQ115" i="70"/>
  <c r="AQ123" i="70"/>
  <c r="AO123" i="70"/>
  <c r="AP123" i="70"/>
  <c r="AP108" i="70"/>
  <c r="AO108" i="70"/>
  <c r="AQ108" i="70"/>
  <c r="AP116" i="70"/>
  <c r="AQ116" i="70"/>
  <c r="AO116" i="70"/>
  <c r="AO124" i="70"/>
  <c r="AP124" i="70"/>
  <c r="AQ124" i="70"/>
  <c r="AN106" i="70"/>
  <c r="E94" i="86"/>
  <c r="AI102" i="86"/>
  <c r="AI110" i="86"/>
  <c r="AI114" i="86"/>
  <c r="AJ116" i="86"/>
  <c r="AJ118" i="86"/>
  <c r="AI119" i="86"/>
  <c r="AM102" i="86"/>
  <c r="AK104" i="86"/>
  <c r="AM106" i="86"/>
  <c r="AK108" i="86"/>
  <c r="AM110" i="86"/>
  <c r="AK112" i="86"/>
  <c r="AL115" i="86"/>
  <c r="AL117" i="86"/>
  <c r="AJ119" i="86"/>
  <c r="AI120" i="86"/>
  <c r="AL122" i="86"/>
  <c r="AJ102" i="86"/>
  <c r="AI103" i="86"/>
  <c r="AL104" i="86"/>
  <c r="AI107" i="86"/>
  <c r="AJ110" i="86"/>
  <c r="AI111" i="86"/>
  <c r="AJ114" i="86"/>
  <c r="AJ120" i="86"/>
  <c r="AJ104" i="86"/>
  <c r="AI105" i="86"/>
  <c r="AJ108" i="86"/>
  <c r="AI109" i="86"/>
  <c r="AJ112" i="86"/>
  <c r="AI113" i="86"/>
  <c r="AJ115" i="86"/>
  <c r="AL108" i="86"/>
  <c r="AL112" i="86"/>
  <c r="AM115" i="86"/>
  <c r="AM117" i="86"/>
  <c r="AM122" i="86"/>
  <c r="AI116" i="86"/>
  <c r="AJ117" i="86"/>
  <c r="AI118" i="86"/>
  <c r="AJ122" i="86"/>
  <c r="AI117" i="86"/>
  <c r="AI122" i="86"/>
  <c r="AI104" i="86"/>
  <c r="AI108" i="86"/>
  <c r="AI112" i="86"/>
  <c r="AI115" i="86"/>
  <c r="AJ105" i="86"/>
  <c r="AJ109" i="86"/>
  <c r="AJ113" i="86"/>
  <c r="AJ103" i="86"/>
  <c r="AJ111" i="86"/>
  <c r="AK103" i="86"/>
  <c r="AK111" i="86"/>
  <c r="AK117" i="86"/>
  <c r="AK122" i="86"/>
  <c r="AK120" i="86"/>
  <c r="AL103" i="86"/>
  <c r="AL111" i="86"/>
  <c r="AL110" i="86"/>
  <c r="AL120" i="86"/>
  <c r="AL118" i="86"/>
  <c r="AL105" i="86"/>
  <c r="AL109" i="86"/>
  <c r="AL119" i="86"/>
  <c r="AM107" i="86"/>
  <c r="AM109" i="86"/>
  <c r="AM113" i="86"/>
  <c r="AM119" i="86"/>
  <c r="AM120" i="86"/>
  <c r="AM111" i="86"/>
  <c r="AM108" i="86"/>
  <c r="AM112" i="86"/>
  <c r="AM116" i="86"/>
  <c r="AM118" i="86"/>
  <c r="AM105" i="86"/>
  <c r="AL113" i="86"/>
  <c r="AM104" i="86"/>
  <c r="AM103" i="86"/>
  <c r="AI106" i="86"/>
  <c r="AL114" i="86"/>
  <c r="AL106" i="86"/>
  <c r="AL107" i="86"/>
  <c r="AL102" i="86"/>
  <c r="AL116" i="86"/>
  <c r="AJ107" i="86"/>
  <c r="AK102" i="86"/>
  <c r="AK110" i="86"/>
  <c r="AK114" i="86"/>
  <c r="AK119" i="86"/>
  <c r="AK105" i="86"/>
  <c r="AK109" i="86"/>
  <c r="AK113" i="86"/>
  <c r="AK116" i="86"/>
  <c r="AK118" i="86"/>
  <c r="AK107" i="86"/>
  <c r="AK106" i="86"/>
  <c r="AJ106" i="86"/>
  <c r="AM114" i="86"/>
  <c r="AG121" i="86"/>
  <c r="AF121" i="86"/>
  <c r="AD121" i="86"/>
  <c r="AC121" i="86"/>
  <c r="AW106" i="70" l="1"/>
  <c r="AX106" i="70"/>
  <c r="AV106" i="70"/>
  <c r="AY106" i="70"/>
  <c r="AT106" i="70"/>
  <c r="AU106" i="70"/>
  <c r="AO106" i="70"/>
  <c r="AQ106" i="70"/>
  <c r="AS106" i="70"/>
  <c r="AP106" i="70"/>
  <c r="AI121" i="86"/>
  <c r="AM121" i="86"/>
  <c r="AL121" i="86"/>
  <c r="AJ121" i="86"/>
  <c r="AC2" i="86"/>
  <c r="AD1" i="86"/>
  <c r="AC40" i="86"/>
  <c r="S18" i="86" l="1"/>
  <c r="S26" i="86"/>
  <c r="S19" i="86"/>
  <c r="S27" i="86"/>
  <c r="S20" i="86"/>
  <c r="S28" i="86"/>
  <c r="S21" i="86"/>
  <c r="S29" i="86"/>
  <c r="S22" i="86"/>
  <c r="S25" i="86"/>
  <c r="S15" i="86"/>
  <c r="S23" i="86"/>
  <c r="S17" i="86"/>
  <c r="S16" i="86"/>
  <c r="S24" i="86"/>
  <c r="S31" i="86"/>
  <c r="S30" i="86"/>
  <c r="S13" i="86"/>
  <c r="S14" i="86"/>
  <c r="AG40" i="86"/>
  <c r="S12" i="86"/>
  <c r="S11" i="86"/>
  <c r="AG41" i="86"/>
  <c r="X2" i="70"/>
  <c r="Y1" i="70"/>
  <c r="I7" i="70"/>
  <c r="AN5" i="70"/>
  <c r="AC160" i="84"/>
  <c r="AB160" i="84"/>
  <c r="AA160" i="84"/>
  <c r="Z160" i="84"/>
  <c r="Y160" i="84"/>
  <c r="AC158" i="84"/>
  <c r="AB158" i="84"/>
  <c r="AA158" i="84"/>
  <c r="Z158" i="84"/>
  <c r="Y158" i="84"/>
  <c r="AC157" i="84"/>
  <c r="AB157" i="84"/>
  <c r="AA157" i="84"/>
  <c r="Z157" i="84"/>
  <c r="Y157" i="84"/>
  <c r="AC156" i="84"/>
  <c r="AB156" i="84"/>
  <c r="AA156" i="84"/>
  <c r="Z156" i="84"/>
  <c r="Y156" i="84"/>
  <c r="AC155" i="84"/>
  <c r="AB155" i="84"/>
  <c r="Z155" i="84"/>
  <c r="Y155" i="84"/>
  <c r="AC154" i="84"/>
  <c r="AB154" i="84"/>
  <c r="AA154" i="84"/>
  <c r="Z154" i="84"/>
  <c r="Y154" i="84"/>
  <c r="AC153" i="84"/>
  <c r="AB153" i="84"/>
  <c r="AA153" i="84"/>
  <c r="Z153" i="84"/>
  <c r="Y153" i="84"/>
  <c r="AC152" i="84"/>
  <c r="AB152" i="84"/>
  <c r="AA152" i="84"/>
  <c r="Z152" i="84"/>
  <c r="Y152" i="84"/>
  <c r="AC151" i="84"/>
  <c r="AB151" i="84"/>
  <c r="AA151" i="84"/>
  <c r="Z151" i="84"/>
  <c r="Y151" i="84"/>
  <c r="AC150" i="84"/>
  <c r="AB150" i="84"/>
  <c r="AA150" i="84"/>
  <c r="Z150" i="84"/>
  <c r="Y150" i="84"/>
  <c r="AC149" i="84"/>
  <c r="AB149" i="84"/>
  <c r="AA149" i="84"/>
  <c r="Z149" i="84"/>
  <c r="Y149" i="84"/>
  <c r="AC148" i="84"/>
  <c r="AB148" i="84"/>
  <c r="AA148" i="84"/>
  <c r="Z148" i="84"/>
  <c r="Y148" i="84"/>
  <c r="AC147" i="84"/>
  <c r="AB147" i="84"/>
  <c r="AA147" i="84"/>
  <c r="Z147" i="84"/>
  <c r="Y147" i="84"/>
  <c r="AC146" i="84"/>
  <c r="AB146" i="84"/>
  <c r="AA146" i="84"/>
  <c r="Z146" i="84"/>
  <c r="Y146" i="84"/>
  <c r="AC145" i="84"/>
  <c r="AB145" i="84"/>
  <c r="AA145" i="84"/>
  <c r="Z145" i="84"/>
  <c r="Y145" i="84"/>
  <c r="AC144" i="84"/>
  <c r="AB144" i="84"/>
  <c r="AA144" i="84"/>
  <c r="Z144" i="84"/>
  <c r="Y144" i="84"/>
  <c r="AC142" i="84"/>
  <c r="AB142" i="84"/>
  <c r="AA142" i="84"/>
  <c r="Z142" i="84"/>
  <c r="Y142" i="84"/>
  <c r="AC127" i="84"/>
  <c r="AB127" i="84"/>
  <c r="AA127" i="84"/>
  <c r="Z127" i="84"/>
  <c r="Y127" i="84"/>
  <c r="AC125" i="84"/>
  <c r="AB125" i="84"/>
  <c r="AA125" i="84"/>
  <c r="Z125" i="84"/>
  <c r="Y125" i="84"/>
  <c r="AC124" i="84"/>
  <c r="AB124" i="84"/>
  <c r="AA124" i="84"/>
  <c r="Z124" i="84"/>
  <c r="Y124" i="84"/>
  <c r="AC123" i="84"/>
  <c r="AB123" i="84"/>
  <c r="AA123" i="84"/>
  <c r="Z123" i="84"/>
  <c r="Y123" i="84"/>
  <c r="AC122" i="84"/>
  <c r="AB122" i="84"/>
  <c r="Z122" i="84"/>
  <c r="Y122" i="84"/>
  <c r="AC121" i="84"/>
  <c r="AB121" i="84"/>
  <c r="AA121" i="84"/>
  <c r="Z121" i="84"/>
  <c r="Y121" i="84"/>
  <c r="AC120" i="84"/>
  <c r="AB120" i="84"/>
  <c r="AA120" i="84"/>
  <c r="Z120" i="84"/>
  <c r="Y120" i="84"/>
  <c r="AC119" i="84"/>
  <c r="AB119" i="84"/>
  <c r="AA119" i="84"/>
  <c r="Z119" i="84"/>
  <c r="Y119" i="84"/>
  <c r="AC118" i="84"/>
  <c r="AB118" i="84"/>
  <c r="AA118" i="84"/>
  <c r="Z118" i="84"/>
  <c r="Y118" i="84"/>
  <c r="AC117" i="84"/>
  <c r="AB117" i="84"/>
  <c r="AA117" i="84"/>
  <c r="Z117" i="84"/>
  <c r="Y117" i="84"/>
  <c r="AC116" i="84"/>
  <c r="AB116" i="84"/>
  <c r="AA116" i="84"/>
  <c r="Z116" i="84"/>
  <c r="Y116" i="84"/>
  <c r="AC115" i="84"/>
  <c r="AB115" i="84"/>
  <c r="AA115" i="84"/>
  <c r="Z115" i="84"/>
  <c r="Y115" i="84"/>
  <c r="AC114" i="84"/>
  <c r="AB114" i="84"/>
  <c r="AA114" i="84"/>
  <c r="Z114" i="84"/>
  <c r="Y114" i="84"/>
  <c r="AC113" i="84"/>
  <c r="AB113" i="84"/>
  <c r="AA113" i="84"/>
  <c r="Z113" i="84"/>
  <c r="Y113" i="84"/>
  <c r="AC112" i="84"/>
  <c r="AB112" i="84"/>
  <c r="AA112" i="84"/>
  <c r="Z112" i="84"/>
  <c r="Y112" i="84"/>
  <c r="AC111" i="84"/>
  <c r="AB111" i="84"/>
  <c r="AA111" i="84"/>
  <c r="Z111" i="84"/>
  <c r="Y111" i="84"/>
  <c r="AC109" i="84"/>
  <c r="AB109" i="84"/>
  <c r="AA109" i="84"/>
  <c r="Z109" i="84"/>
  <c r="Y109" i="84"/>
  <c r="AB40" i="84"/>
  <c r="AB41" i="84"/>
  <c r="X40" i="84" l="1"/>
  <c r="X344" i="83" l="1"/>
  <c r="X232" i="83"/>
  <c r="AB41" i="69"/>
  <c r="AB40" i="69"/>
  <c r="X40" i="83"/>
  <c r="X40" i="69"/>
  <c r="AI340" i="83"/>
  <c r="AI341" i="83"/>
  <c r="AI343" i="83"/>
  <c r="AI344" i="83"/>
  <c r="AI345" i="83"/>
  <c r="AI346" i="83"/>
  <c r="AI347" i="83"/>
  <c r="AI348" i="83"/>
  <c r="AI349" i="83"/>
  <c r="AI350" i="83"/>
  <c r="AI351" i="83"/>
  <c r="AI354" i="83"/>
  <c r="AI355" i="83"/>
  <c r="AI356" i="83"/>
  <c r="AI357" i="83"/>
  <c r="AI359" i="83"/>
  <c r="AI342" i="83"/>
  <c r="AI352" i="83"/>
  <c r="AI353" i="83"/>
  <c r="AI358" i="83"/>
  <c r="AI339" i="83"/>
  <c r="X40" i="68"/>
  <c r="X40" i="67"/>
  <c r="AB41" i="67" l="1"/>
  <c r="AB40" i="67"/>
  <c r="X195" i="68"/>
  <c r="X194" i="68"/>
  <c r="X193" i="68"/>
  <c r="X192" i="68"/>
  <c r="X191" i="68"/>
  <c r="X190" i="68"/>
  <c r="X189" i="68"/>
  <c r="X188" i="68"/>
  <c r="X187" i="68"/>
  <c r="X186" i="68"/>
  <c r="X185" i="68"/>
  <c r="X184" i="68"/>
  <c r="X183" i="68"/>
  <c r="X182" i="68"/>
  <c r="X181" i="68"/>
  <c r="X180" i="68"/>
  <c r="X179" i="68"/>
  <c r="X178" i="68"/>
  <c r="X177" i="68"/>
  <c r="X176" i="68"/>
  <c r="X175" i="68"/>
  <c r="Z131" i="68"/>
  <c r="Y131" i="68"/>
  <c r="AK159" i="68"/>
  <c r="AQ159" i="68" s="1"/>
  <c r="AK158" i="68"/>
  <c r="AQ158" i="68" s="1"/>
  <c r="AK157" i="68"/>
  <c r="AQ157" i="68" s="1"/>
  <c r="AK156" i="68"/>
  <c r="AQ156" i="68" s="1"/>
  <c r="AK155" i="68"/>
  <c r="AQ155" i="68" s="1"/>
  <c r="AK154" i="68"/>
  <c r="AQ154" i="68" s="1"/>
  <c r="AK153" i="68"/>
  <c r="AQ153" i="68" s="1"/>
  <c r="AK152" i="68"/>
  <c r="AQ152" i="68" s="1"/>
  <c r="AK151" i="68"/>
  <c r="AQ151" i="68" s="1"/>
  <c r="AK150" i="68"/>
  <c r="AQ150" i="68" s="1"/>
  <c r="AK149" i="68"/>
  <c r="AQ149" i="68" s="1"/>
  <c r="AK148" i="68"/>
  <c r="AQ148" i="68" s="1"/>
  <c r="AK147" i="68"/>
  <c r="AQ147" i="68" s="1"/>
  <c r="AK146" i="68"/>
  <c r="AQ146" i="68" s="1"/>
  <c r="AK145" i="68"/>
  <c r="AQ145" i="68" s="1"/>
  <c r="AK144" i="68"/>
  <c r="AQ144" i="68" s="1"/>
  <c r="AK143" i="68"/>
  <c r="AQ143" i="68" s="1"/>
  <c r="AK142" i="68"/>
  <c r="AQ142" i="68" s="1"/>
  <c r="AK141" i="68"/>
  <c r="AQ141" i="68" s="1"/>
  <c r="AK140" i="68"/>
  <c r="AQ140" i="68" s="1"/>
  <c r="AK139" i="68"/>
  <c r="AQ139" i="68" s="1"/>
  <c r="AQ135" i="68"/>
  <c r="AP135" i="68"/>
  <c r="AO135" i="68"/>
  <c r="AN135" i="68"/>
  <c r="AM135" i="68"/>
  <c r="AL135" i="68"/>
  <c r="AN132" i="68"/>
  <c r="AM132" i="68"/>
  <c r="AL132" i="68"/>
  <c r="AK132" i="68"/>
  <c r="AE131" i="68"/>
  <c r="AD131" i="68"/>
  <c r="AC131" i="68"/>
  <c r="AB131" i="68"/>
  <c r="AA131" i="68"/>
  <c r="X131" i="68"/>
  <c r="X130" i="68"/>
  <c r="AN130" i="68"/>
  <c r="AM130" i="68"/>
  <c r="AL130" i="68"/>
  <c r="AK130" i="68"/>
  <c r="X129" i="68"/>
  <c r="AN129" i="68"/>
  <c r="AM129" i="68"/>
  <c r="AL129" i="68"/>
  <c r="AK129" i="68"/>
  <c r="X128" i="68"/>
  <c r="AN128" i="68"/>
  <c r="AM128" i="68"/>
  <c r="AL128" i="68"/>
  <c r="AK128" i="68"/>
  <c r="X127" i="68"/>
  <c r="AN127" i="68"/>
  <c r="AM127" i="68"/>
  <c r="AL127" i="68"/>
  <c r="AK127" i="68"/>
  <c r="X126" i="68"/>
  <c r="AN126" i="68"/>
  <c r="AM126" i="68"/>
  <c r="AL126" i="68"/>
  <c r="AK126" i="68"/>
  <c r="X125" i="68"/>
  <c r="AN125" i="68"/>
  <c r="AM125" i="68"/>
  <c r="AL125" i="68"/>
  <c r="AK125" i="68"/>
  <c r="X124" i="68"/>
  <c r="AN124" i="68"/>
  <c r="AM124" i="68"/>
  <c r="AL124" i="68"/>
  <c r="AK124" i="68"/>
  <c r="X123" i="68"/>
  <c r="AN123" i="68"/>
  <c r="AM123" i="68"/>
  <c r="AL123" i="68"/>
  <c r="AK123" i="68"/>
  <c r="X122" i="68"/>
  <c r="AN122" i="68"/>
  <c r="AM122" i="68"/>
  <c r="AL122" i="68"/>
  <c r="AK122" i="68"/>
  <c r="X121" i="68"/>
  <c r="AN121" i="68"/>
  <c r="AM121" i="68"/>
  <c r="AL121" i="68"/>
  <c r="AK121" i="68"/>
  <c r="X120" i="68"/>
  <c r="AN120" i="68"/>
  <c r="AM120" i="68"/>
  <c r="AL120" i="68"/>
  <c r="AK120" i="68"/>
  <c r="X119" i="68"/>
  <c r="AN119" i="68"/>
  <c r="AM119" i="68"/>
  <c r="AL119" i="68"/>
  <c r="AK119" i="68"/>
  <c r="X118" i="68"/>
  <c r="AN118" i="68"/>
  <c r="AM118" i="68"/>
  <c r="AL118" i="68"/>
  <c r="AK118" i="68"/>
  <c r="X117" i="68"/>
  <c r="AN117" i="68"/>
  <c r="AM117" i="68"/>
  <c r="AL117" i="68"/>
  <c r="AK117" i="68"/>
  <c r="X116" i="68"/>
  <c r="AN116" i="68"/>
  <c r="AM116" i="68"/>
  <c r="AL116" i="68"/>
  <c r="AK116" i="68"/>
  <c r="X115" i="68"/>
  <c r="AN115" i="68"/>
  <c r="AM115" i="68"/>
  <c r="AL115" i="68"/>
  <c r="AK115" i="68"/>
  <c r="X114" i="68"/>
  <c r="AN114" i="68"/>
  <c r="AM114" i="68"/>
  <c r="AL114" i="68"/>
  <c r="AK114" i="68"/>
  <c r="X113" i="68"/>
  <c r="AN113" i="68"/>
  <c r="AM113" i="68"/>
  <c r="AL113" i="68"/>
  <c r="AK113" i="68"/>
  <c r="X112" i="68"/>
  <c r="AN111" i="68"/>
  <c r="AM111" i="68"/>
  <c r="AL111" i="68"/>
  <c r="AK111" i="68"/>
  <c r="AF111" i="68"/>
  <c r="X111" i="68"/>
  <c r="AG110" i="68"/>
  <c r="AO132" i="68" l="1"/>
  <c r="I134" i="68" s="1"/>
  <c r="AO114" i="68"/>
  <c r="I116" i="68" s="1"/>
  <c r="AO113" i="68"/>
  <c r="I115" i="68" s="1"/>
  <c r="AO129" i="68"/>
  <c r="I131" i="68" s="1"/>
  <c r="AO115" i="68"/>
  <c r="I117" i="68" s="1"/>
  <c r="AO116" i="68"/>
  <c r="I118" i="68" s="1"/>
  <c r="AO120" i="68"/>
  <c r="I122" i="68" s="1"/>
  <c r="AO122" i="68"/>
  <c r="I124" i="68" s="1"/>
  <c r="AO128" i="68"/>
  <c r="I130" i="68" s="1"/>
  <c r="AO127" i="68"/>
  <c r="I129" i="68" s="1"/>
  <c r="AO118" i="68"/>
  <c r="I120" i="68" s="1"/>
  <c r="AO126" i="68"/>
  <c r="I128" i="68" s="1"/>
  <c r="AO130" i="68"/>
  <c r="I132" i="68" s="1"/>
  <c r="AO124" i="68"/>
  <c r="I126" i="68" s="1"/>
  <c r="AO111" i="68"/>
  <c r="I114" i="68" s="1"/>
  <c r="AO119" i="68"/>
  <c r="I121" i="68" s="1"/>
  <c r="AO123" i="68"/>
  <c r="I125" i="68" s="1"/>
  <c r="AO125" i="68"/>
  <c r="I127" i="68" s="1"/>
  <c r="AO117" i="68"/>
  <c r="I119" i="68" s="1"/>
  <c r="AO121" i="68"/>
  <c r="I123" i="68" s="1"/>
  <c r="Y130" i="68"/>
  <c r="AB41" i="64"/>
  <c r="AB40" i="64"/>
  <c r="Y125" i="63"/>
  <c r="H129" i="49" l="1"/>
  <c r="G129" i="49"/>
  <c r="F129" i="49"/>
  <c r="E129" i="49"/>
  <c r="D129" i="49"/>
  <c r="B63" i="75"/>
  <c r="B64" i="75"/>
  <c r="B65" i="75"/>
  <c r="B66" i="75"/>
  <c r="B67" i="75"/>
  <c r="B68" i="75"/>
  <c r="B69" i="75"/>
  <c r="B70" i="75"/>
  <c r="B71" i="75"/>
  <c r="B72" i="75"/>
  <c r="B73" i="75"/>
  <c r="B74" i="75"/>
  <c r="B75" i="75"/>
  <c r="B76" i="75"/>
  <c r="B77" i="75"/>
  <c r="B78" i="75"/>
  <c r="B79" i="75"/>
  <c r="B80" i="75"/>
  <c r="B60" i="75"/>
  <c r="B61" i="75"/>
  <c r="B62" i="75"/>
  <c r="B338" i="75" l="1"/>
  <c r="B339" i="75"/>
  <c r="B340" i="75"/>
  <c r="B341" i="75"/>
  <c r="B342" i="75"/>
  <c r="B343" i="75"/>
  <c r="B344" i="75"/>
  <c r="B345" i="75"/>
  <c r="B346" i="75"/>
  <c r="B347" i="75"/>
  <c r="B348" i="75"/>
  <c r="B349" i="75"/>
  <c r="B350" i="75"/>
  <c r="B351" i="75"/>
  <c r="B352" i="75"/>
  <c r="B353" i="75"/>
  <c r="B354" i="75"/>
  <c r="B355" i="75"/>
  <c r="B356" i="75"/>
  <c r="B357" i="75"/>
  <c r="B358" i="75"/>
  <c r="B337" i="75"/>
  <c r="B313" i="75" l="1"/>
  <c r="B314" i="75"/>
  <c r="B315" i="75"/>
  <c r="B316" i="75"/>
  <c r="B317" i="75"/>
  <c r="B318" i="75"/>
  <c r="B319" i="75"/>
  <c r="B320" i="75"/>
  <c r="B321" i="75"/>
  <c r="B322" i="75"/>
  <c r="B323" i="75"/>
  <c r="B324" i="75"/>
  <c r="B325" i="75"/>
  <c r="B326" i="75"/>
  <c r="B327" i="75"/>
  <c r="B328" i="75"/>
  <c r="B329" i="75"/>
  <c r="B330" i="75"/>
  <c r="B331" i="75"/>
  <c r="B332" i="75"/>
  <c r="B333" i="75"/>
  <c r="B312" i="75"/>
  <c r="B287" i="75"/>
  <c r="B288" i="75"/>
  <c r="B289" i="75"/>
  <c r="B290" i="75"/>
  <c r="B291" i="75"/>
  <c r="B292" i="75"/>
  <c r="B293" i="75"/>
  <c r="B294" i="75"/>
  <c r="B295" i="75"/>
  <c r="B296" i="75"/>
  <c r="B297" i="75"/>
  <c r="B298" i="75"/>
  <c r="B299" i="75"/>
  <c r="B300" i="75"/>
  <c r="B301" i="75"/>
  <c r="B302" i="75"/>
  <c r="B303" i="75"/>
  <c r="B304" i="75"/>
  <c r="B305" i="75"/>
  <c r="B306" i="75"/>
  <c r="B307" i="75"/>
  <c r="B286" i="75"/>
  <c r="H311" i="75"/>
  <c r="G311" i="75"/>
  <c r="F311" i="75"/>
  <c r="E311" i="75"/>
  <c r="D311" i="75"/>
  <c r="H209" i="75"/>
  <c r="H208" i="75"/>
  <c r="H158" i="75"/>
  <c r="G158" i="75"/>
  <c r="F158" i="75"/>
  <c r="E158" i="75"/>
  <c r="D158" i="75"/>
  <c r="G157" i="75"/>
  <c r="F157" i="75"/>
  <c r="E157" i="75"/>
  <c r="D157" i="75"/>
  <c r="H108" i="75"/>
  <c r="G108" i="75"/>
  <c r="F108" i="75"/>
  <c r="E108" i="75"/>
  <c r="D108" i="75"/>
  <c r="H107" i="75"/>
  <c r="G107" i="75"/>
  <c r="F107" i="75"/>
  <c r="E107" i="75"/>
  <c r="D107" i="75"/>
  <c r="H133" i="75"/>
  <c r="G133" i="75"/>
  <c r="F133" i="75"/>
  <c r="E133" i="75"/>
  <c r="D133" i="75"/>
  <c r="G83" i="75"/>
  <c r="E33" i="75"/>
  <c r="F33" i="75"/>
  <c r="G33" i="75"/>
  <c r="D33" i="75"/>
  <c r="D58" i="75"/>
  <c r="B211" i="75"/>
  <c r="B212" i="75"/>
  <c r="B213" i="75"/>
  <c r="B214" i="75"/>
  <c r="B215" i="75"/>
  <c r="B216" i="75"/>
  <c r="B217" i="75"/>
  <c r="B218" i="75"/>
  <c r="B219" i="75"/>
  <c r="B220" i="75"/>
  <c r="B221" i="75"/>
  <c r="B222" i="75"/>
  <c r="B223" i="75"/>
  <c r="B224" i="75"/>
  <c r="B225" i="75"/>
  <c r="B226" i="75"/>
  <c r="B227" i="75"/>
  <c r="B228" i="75"/>
  <c r="B229" i="75"/>
  <c r="B230" i="75"/>
  <c r="B231" i="75"/>
  <c r="B210" i="75"/>
  <c r="B185" i="75"/>
  <c r="B186" i="75"/>
  <c r="B187" i="75"/>
  <c r="B188" i="75"/>
  <c r="B189" i="75"/>
  <c r="B190" i="75"/>
  <c r="B191" i="75"/>
  <c r="B192" i="75"/>
  <c r="B193" i="75"/>
  <c r="B194" i="75"/>
  <c r="B195" i="75"/>
  <c r="B196" i="75"/>
  <c r="B197" i="75"/>
  <c r="B198" i="75"/>
  <c r="B199" i="75"/>
  <c r="B200" i="75"/>
  <c r="B201" i="75"/>
  <c r="B202" i="75"/>
  <c r="B203" i="75"/>
  <c r="B204" i="75"/>
  <c r="B205" i="75"/>
  <c r="B184" i="75"/>
  <c r="B160" i="75"/>
  <c r="B161" i="75"/>
  <c r="B162" i="75"/>
  <c r="B163" i="75"/>
  <c r="B164" i="75"/>
  <c r="B165" i="75"/>
  <c r="B166" i="75"/>
  <c r="B167" i="75"/>
  <c r="B168" i="75"/>
  <c r="B169" i="75"/>
  <c r="B170" i="75"/>
  <c r="B171" i="75"/>
  <c r="B172" i="75"/>
  <c r="B173" i="75"/>
  <c r="B174" i="75"/>
  <c r="B175" i="75"/>
  <c r="B176" i="75"/>
  <c r="B177" i="75"/>
  <c r="B178" i="75"/>
  <c r="B179" i="75"/>
  <c r="B180" i="75"/>
  <c r="B159" i="75"/>
  <c r="B135" i="75"/>
  <c r="B136" i="75"/>
  <c r="B137" i="75"/>
  <c r="B138" i="75"/>
  <c r="B139" i="75"/>
  <c r="B140" i="75"/>
  <c r="B141" i="75"/>
  <c r="B142" i="75"/>
  <c r="B143" i="75"/>
  <c r="B144" i="75"/>
  <c r="B145" i="75"/>
  <c r="B146" i="75"/>
  <c r="B147" i="75"/>
  <c r="B148" i="75"/>
  <c r="B149" i="75"/>
  <c r="B150" i="75"/>
  <c r="B151" i="75"/>
  <c r="B152" i="75"/>
  <c r="B153" i="75"/>
  <c r="B154" i="75"/>
  <c r="B155" i="75"/>
  <c r="B134" i="75"/>
  <c r="B110" i="75"/>
  <c r="B111" i="75"/>
  <c r="B112" i="75"/>
  <c r="B113" i="75"/>
  <c r="B114" i="75"/>
  <c r="B115" i="75"/>
  <c r="B116" i="75"/>
  <c r="B117" i="75"/>
  <c r="B118" i="75"/>
  <c r="B119" i="75"/>
  <c r="B120" i="75"/>
  <c r="B121" i="75"/>
  <c r="B122" i="75"/>
  <c r="B123" i="75"/>
  <c r="B124" i="75"/>
  <c r="B125" i="75"/>
  <c r="B126" i="75"/>
  <c r="B127" i="75"/>
  <c r="B128" i="75"/>
  <c r="B129" i="75"/>
  <c r="B130" i="75"/>
  <c r="B109" i="75"/>
  <c r="B85" i="75"/>
  <c r="B86" i="75"/>
  <c r="B87" i="75"/>
  <c r="B88" i="75"/>
  <c r="B89" i="75"/>
  <c r="B90" i="75"/>
  <c r="B91" i="75"/>
  <c r="B92" i="75"/>
  <c r="B93" i="75"/>
  <c r="B94" i="75"/>
  <c r="B95" i="75"/>
  <c r="B96" i="75"/>
  <c r="B97" i="75"/>
  <c r="B98" i="75"/>
  <c r="B99" i="75"/>
  <c r="B100" i="75"/>
  <c r="B101" i="75"/>
  <c r="B102" i="75"/>
  <c r="B103" i="75"/>
  <c r="B104" i="75"/>
  <c r="B105" i="75"/>
  <c r="B84" i="75"/>
  <c r="B59" i="75"/>
  <c r="B35" i="75"/>
  <c r="B36" i="75"/>
  <c r="B37" i="75"/>
  <c r="B38" i="75"/>
  <c r="B39" i="75"/>
  <c r="B40" i="75"/>
  <c r="B41" i="75"/>
  <c r="B42" i="75"/>
  <c r="B43" i="75"/>
  <c r="B44" i="75"/>
  <c r="B45" i="75"/>
  <c r="B46" i="75"/>
  <c r="B47" i="75"/>
  <c r="B48" i="75"/>
  <c r="B49" i="75"/>
  <c r="B50" i="75"/>
  <c r="B51" i="75"/>
  <c r="B52" i="75"/>
  <c r="B53" i="75"/>
  <c r="B54" i="75"/>
  <c r="B55" i="75"/>
  <c r="B34" i="75"/>
  <c r="D42" i="22" l="1"/>
  <c r="D44" i="22"/>
  <c r="L42" i="22"/>
  <c r="M42" i="22"/>
  <c r="K42" i="22"/>
  <c r="J42" i="22"/>
  <c r="N11" i="91"/>
  <c r="AN41" i="91" s="1"/>
  <c r="P42" i="22"/>
  <c r="D12" i="22"/>
  <c r="AA112" i="68" s="1"/>
  <c r="F18" i="22"/>
  <c r="AC118" i="68" s="1"/>
  <c r="G28" i="22"/>
  <c r="D14" i="22"/>
  <c r="AA114" i="68" s="1"/>
  <c r="G17" i="22"/>
  <c r="F20" i="22"/>
  <c r="AC120" i="68" s="1"/>
  <c r="H25" i="22"/>
  <c r="D13" i="22"/>
  <c r="AA113" i="68" s="1"/>
  <c r="E14" i="22"/>
  <c r="AB114" i="68" s="1"/>
  <c r="F29" i="22"/>
  <c r="AC129" i="68" s="1"/>
  <c r="F23" i="22"/>
  <c r="AC123" i="68" s="1"/>
  <c r="H15" i="22"/>
  <c r="E25" i="22"/>
  <c r="AB125" i="68" s="1"/>
  <c r="O91" i="91"/>
  <c r="AO121" i="91" s="1"/>
  <c r="AB11" i="91"/>
  <c r="R42" i="22"/>
  <c r="AE80" i="91"/>
  <c r="P21" i="91"/>
  <c r="AC85" i="91"/>
  <c r="D16" i="22"/>
  <c r="AA116" i="68" s="1"/>
  <c r="F22" i="22"/>
  <c r="AC122" i="68" s="1"/>
  <c r="H14" i="22"/>
  <c r="G21" i="22"/>
  <c r="H17" i="22"/>
  <c r="D15" i="22"/>
  <c r="AA115" i="68" s="1"/>
  <c r="F26" i="22"/>
  <c r="AC126" i="68" s="1"/>
  <c r="H13" i="22"/>
  <c r="AE113" i="68" s="1"/>
  <c r="G16" i="22"/>
  <c r="AD10" i="91"/>
  <c r="L81" i="91"/>
  <c r="AL111" i="91" s="1"/>
  <c r="O14" i="91"/>
  <c r="AO44" i="91" s="1"/>
  <c r="E13" i="22"/>
  <c r="AB113" i="68" s="1"/>
  <c r="H16" i="22"/>
  <c r="D20" i="22"/>
  <c r="AA120" i="68" s="1"/>
  <c r="G23" i="22"/>
  <c r="F25" i="22"/>
  <c r="AC125" i="68" s="1"/>
  <c r="E26" i="22"/>
  <c r="AB126" i="68" s="1"/>
  <c r="H29" i="22"/>
  <c r="AE129" i="68" s="1"/>
  <c r="F12" i="22"/>
  <c r="AC112" i="68" s="1"/>
  <c r="E15" i="22"/>
  <c r="AB115" i="68" s="1"/>
  <c r="H18" i="22"/>
  <c r="D22" i="22"/>
  <c r="AA122" i="68" s="1"/>
  <c r="G24" i="22"/>
  <c r="E28" i="22"/>
  <c r="AB128" i="68" s="1"/>
  <c r="G18" i="22"/>
  <c r="H24" i="22"/>
  <c r="AE124" i="68" s="1"/>
  <c r="D26" i="22"/>
  <c r="AA126" i="68" s="1"/>
  <c r="G12" i="22"/>
  <c r="H19" i="22"/>
  <c r="AE119" i="68" s="1"/>
  <c r="D23" i="22"/>
  <c r="AA123" i="68" s="1"/>
  <c r="E27" i="22"/>
  <c r="AB127" i="68" s="1"/>
  <c r="D31" i="22"/>
  <c r="AA31" i="68" s="1"/>
  <c r="G14" i="22"/>
  <c r="H21" i="22"/>
  <c r="D24" i="22"/>
  <c r="AA124" i="68" s="1"/>
  <c r="E29" i="22"/>
  <c r="AB129" i="68" s="1"/>
  <c r="F17" i="22"/>
  <c r="AC117" i="68" s="1"/>
  <c r="H28" i="22"/>
  <c r="E11" i="22"/>
  <c r="AB111" i="68" s="1"/>
  <c r="AD87" i="91"/>
  <c r="AD98" i="91"/>
  <c r="AC10" i="91"/>
  <c r="N21" i="91"/>
  <c r="AN51" i="91" s="1"/>
  <c r="L15" i="91"/>
  <c r="AL45" i="91" s="1"/>
  <c r="M95" i="91"/>
  <c r="AM125" i="91" s="1"/>
  <c r="P88" i="91"/>
  <c r="AD85" i="91"/>
  <c r="N12" i="91"/>
  <c r="AN42" i="91" s="1"/>
  <c r="AC25" i="91"/>
  <c r="O82" i="91"/>
  <c r="AO112" i="91" s="1"/>
  <c r="AE98" i="91"/>
  <c r="AA87" i="91"/>
  <c r="P13" i="91"/>
  <c r="G15" i="22"/>
  <c r="E21" i="22"/>
  <c r="AB121" i="68" s="1"/>
  <c r="F31" i="22"/>
  <c r="M134" i="68" s="1"/>
  <c r="E23" i="22"/>
  <c r="AB123" i="68" s="1"/>
  <c r="D27" i="22"/>
  <c r="AA127" i="68" s="1"/>
  <c r="E20" i="22"/>
  <c r="AB120" i="68" s="1"/>
  <c r="G31" i="22"/>
  <c r="F21" i="22"/>
  <c r="AC121" i="68" s="1"/>
  <c r="F11" i="22"/>
  <c r="AC111" i="68" s="1"/>
  <c r="E16" i="22"/>
  <c r="AB116" i="68" s="1"/>
  <c r="G27" i="22"/>
  <c r="D19" i="22"/>
  <c r="AA119" i="68" s="1"/>
  <c r="F30" i="22"/>
  <c r="M133" i="68" s="1"/>
  <c r="AD13" i="91"/>
  <c r="AB15" i="91"/>
  <c r="P81" i="91"/>
  <c r="M87" i="91"/>
  <c r="AM117" i="91" s="1"/>
  <c r="L84" i="91"/>
  <c r="AL114" i="91" s="1"/>
  <c r="AD97" i="91"/>
  <c r="P15" i="91"/>
  <c r="AA95" i="91"/>
  <c r="AD18" i="91"/>
  <c r="H12" i="22"/>
  <c r="AE112" i="68" s="1"/>
  <c r="G19" i="22"/>
  <c r="E24" i="22"/>
  <c r="AB124" i="68" s="1"/>
  <c r="D29" i="22"/>
  <c r="AA129" i="68" s="1"/>
  <c r="D18" i="22"/>
  <c r="AA118" i="68" s="1"/>
  <c r="H27" i="22"/>
  <c r="AE127" i="68" s="1"/>
  <c r="D21" i="22"/>
  <c r="AA121" i="68" s="1"/>
  <c r="G11" i="22"/>
  <c r="E22" i="22"/>
  <c r="AB122" i="68" s="1"/>
  <c r="H31" i="22"/>
  <c r="O134" i="68" s="1"/>
  <c r="D17" i="22"/>
  <c r="AA117" i="68" s="1"/>
  <c r="F28" i="22"/>
  <c r="AC128" i="68" s="1"/>
  <c r="H23" i="22"/>
  <c r="E31" i="22"/>
  <c r="L134" i="68" s="1"/>
  <c r="AE82" i="91"/>
  <c r="P97" i="91"/>
  <c r="N98" i="91"/>
  <c r="AN128" i="91" s="1"/>
  <c r="AB84" i="91"/>
  <c r="AE17" i="91"/>
  <c r="D11" i="22"/>
  <c r="AD31" i="84"/>
  <c r="N31" i="84" s="1"/>
  <c r="E10" i="22"/>
  <c r="AE31" i="84"/>
  <c r="O31" i="84" s="1"/>
  <c r="D10" i="22"/>
  <c r="AC31" i="84"/>
  <c r="M31" i="84" s="1"/>
  <c r="H10" i="22"/>
  <c r="AA31" i="84"/>
  <c r="K31" i="84" s="1"/>
  <c r="AL58" i="84" s="1"/>
  <c r="F10" i="22"/>
  <c r="AB31" i="84"/>
  <c r="L31" i="84" s="1"/>
  <c r="G10" i="22"/>
  <c r="F14" i="22"/>
  <c r="AC114" i="68" s="1"/>
  <c r="E17" i="22"/>
  <c r="AB117" i="68" s="1"/>
  <c r="H20" i="22"/>
  <c r="AE120" i="68" s="1"/>
  <c r="F27" i="22"/>
  <c r="AC127" i="68" s="1"/>
  <c r="E30" i="22"/>
  <c r="L133" i="68" s="1"/>
  <c r="AQ131" i="68" s="1"/>
  <c r="G13" i="22"/>
  <c r="F16" i="22"/>
  <c r="AC116" i="68" s="1"/>
  <c r="E19" i="22"/>
  <c r="AB119" i="68" s="1"/>
  <c r="H22" i="22"/>
  <c r="D25" i="22"/>
  <c r="AA125" i="68" s="1"/>
  <c r="G26" i="22"/>
  <c r="E12" i="22"/>
  <c r="AB112" i="68" s="1"/>
  <c r="F19" i="22"/>
  <c r="AC119" i="68" s="1"/>
  <c r="G25" i="22"/>
  <c r="H30" i="22"/>
  <c r="O133" i="68" s="1"/>
  <c r="F13" i="22"/>
  <c r="AC113" i="68" s="1"/>
  <c r="G20" i="22"/>
  <c r="D28" i="22"/>
  <c r="AA128" i="68" s="1"/>
  <c r="G30" i="22"/>
  <c r="F15" i="22"/>
  <c r="AC115" i="68" s="1"/>
  <c r="G22" i="22"/>
  <c r="H26" i="22"/>
  <c r="AE126" i="68" s="1"/>
  <c r="D30" i="22"/>
  <c r="K133" i="68" s="1"/>
  <c r="E18" i="22"/>
  <c r="AB118" i="68" s="1"/>
  <c r="F24" i="22"/>
  <c r="AC124" i="68" s="1"/>
  <c r="G29" i="22"/>
  <c r="AD95" i="91"/>
  <c r="AC14" i="91"/>
  <c r="AC88" i="91"/>
  <c r="AC83" i="91"/>
  <c r="AE84" i="91"/>
  <c r="AD81" i="91"/>
  <c r="P23" i="91"/>
  <c r="N17" i="91"/>
  <c r="AN47" i="91" s="1"/>
  <c r="S42" i="22"/>
  <c r="AE25" i="91"/>
  <c r="Q42" i="22"/>
  <c r="AD94" i="91"/>
  <c r="O94" i="91"/>
  <c r="AO124" i="91" s="1"/>
  <c r="E45" i="22"/>
  <c r="G46" i="22"/>
  <c r="E47" i="22"/>
  <c r="G48" i="22"/>
  <c r="E49" i="22"/>
  <c r="G50" i="22"/>
  <c r="E51" i="22"/>
  <c r="G52" i="22"/>
  <c r="E53" i="22"/>
  <c r="G54" i="22"/>
  <c r="E55" i="22"/>
  <c r="G56" i="22"/>
  <c r="G57" i="22"/>
  <c r="E58" i="22"/>
  <c r="G59" i="22"/>
  <c r="E60" i="22"/>
  <c r="G61" i="22"/>
  <c r="E62" i="22"/>
  <c r="G63" i="22"/>
  <c r="E64" i="22"/>
  <c r="H44" i="22"/>
  <c r="F42" i="22"/>
  <c r="G49" i="22"/>
  <c r="E50" i="22"/>
  <c r="G53" i="22"/>
  <c r="E54" i="22"/>
  <c r="G58" i="22"/>
  <c r="G60" i="22"/>
  <c r="E61" i="22"/>
  <c r="F44" i="22"/>
  <c r="H42" i="22"/>
  <c r="D45" i="22"/>
  <c r="F46" i="22"/>
  <c r="D47" i="22"/>
  <c r="H49" i="22"/>
  <c r="F50" i="22"/>
  <c r="D51" i="22"/>
  <c r="H53" i="22"/>
  <c r="F54" i="22"/>
  <c r="D55" i="22"/>
  <c r="F57" i="22"/>
  <c r="D58" i="22"/>
  <c r="F59" i="22"/>
  <c r="D60" i="22"/>
  <c r="F61" i="22"/>
  <c r="D62" i="22"/>
  <c r="G44" i="22"/>
  <c r="F45" i="22"/>
  <c r="D46" i="22"/>
  <c r="H46" i="22"/>
  <c r="F47" i="22"/>
  <c r="D48" i="22"/>
  <c r="H48" i="22"/>
  <c r="F49" i="22"/>
  <c r="D50" i="22"/>
  <c r="H50" i="22"/>
  <c r="F51" i="22"/>
  <c r="D52" i="22"/>
  <c r="H52" i="22"/>
  <c r="F53" i="22"/>
  <c r="D54" i="22"/>
  <c r="H54" i="22"/>
  <c r="F55" i="22"/>
  <c r="D56" i="22"/>
  <c r="H56" i="22"/>
  <c r="D57" i="22"/>
  <c r="H57" i="22"/>
  <c r="F58" i="22"/>
  <c r="D59" i="22"/>
  <c r="H59" i="22"/>
  <c r="F60" i="22"/>
  <c r="D61" i="22"/>
  <c r="H61" i="22"/>
  <c r="F62" i="22"/>
  <c r="D63" i="22"/>
  <c r="H63" i="22"/>
  <c r="F64" i="22"/>
  <c r="E44" i="22"/>
  <c r="G42" i="22"/>
  <c r="G45" i="22"/>
  <c r="E46" i="22"/>
  <c r="G47" i="22"/>
  <c r="E48" i="22"/>
  <c r="G51" i="22"/>
  <c r="E52" i="22"/>
  <c r="G55" i="22"/>
  <c r="E56" i="22"/>
  <c r="E57" i="22"/>
  <c r="E59" i="22"/>
  <c r="G62" i="22"/>
  <c r="E63" i="22"/>
  <c r="G64" i="22"/>
  <c r="H45" i="22"/>
  <c r="H47" i="22"/>
  <c r="F48" i="22"/>
  <c r="D49" i="22"/>
  <c r="H51" i="22"/>
  <c r="F52" i="22"/>
  <c r="D53" i="22"/>
  <c r="H55" i="22"/>
  <c r="F56" i="22"/>
  <c r="H58" i="22"/>
  <c r="H60" i="22"/>
  <c r="H62" i="22"/>
  <c r="F63" i="22"/>
  <c r="D64" i="22"/>
  <c r="H64" i="22"/>
  <c r="E42" i="22"/>
  <c r="X2" i="84"/>
  <c r="P134" i="68" l="1"/>
  <c r="W49" i="76"/>
  <c r="S11" i="84"/>
  <c r="S14" i="84"/>
  <c r="S16" i="84"/>
  <c r="S23" i="84"/>
  <c r="S15" i="84"/>
  <c r="S28" i="84"/>
  <c r="S13" i="84"/>
  <c r="S26" i="84"/>
  <c r="S17" i="84"/>
  <c r="S18" i="84"/>
  <c r="S12" i="84"/>
  <c r="S24" i="84"/>
  <c r="S25" i="84"/>
  <c r="S21" i="84"/>
  <c r="S19" i="84"/>
  <c r="S30" i="84"/>
  <c r="S29" i="84"/>
  <c r="S27" i="84"/>
  <c r="S20" i="84"/>
  <c r="S22" i="84"/>
  <c r="X72" i="76"/>
  <c r="D87" i="85"/>
  <c r="D120" i="85"/>
  <c r="E114" i="85"/>
  <c r="E81" i="85"/>
  <c r="D125" i="85"/>
  <c r="D92" i="85"/>
  <c r="E111" i="85"/>
  <c r="E78" i="85"/>
  <c r="D89" i="85"/>
  <c r="D122" i="85"/>
  <c r="H90" i="85"/>
  <c r="H123" i="85"/>
  <c r="H114" i="85"/>
  <c r="H81" i="85"/>
  <c r="G125" i="85"/>
  <c r="G92" i="85"/>
  <c r="G116" i="85"/>
  <c r="G83" i="85"/>
  <c r="F127" i="85"/>
  <c r="F94" i="85"/>
  <c r="G80" i="85"/>
  <c r="G113" i="85"/>
  <c r="F91" i="85"/>
  <c r="F124" i="85"/>
  <c r="E79" i="85"/>
  <c r="E112" i="85"/>
  <c r="D90" i="85"/>
  <c r="D123" i="85"/>
  <c r="H118" i="85"/>
  <c r="H85" i="85"/>
  <c r="H77" i="85"/>
  <c r="H110" i="85"/>
  <c r="H115" i="85"/>
  <c r="H82" i="85"/>
  <c r="H79" i="85"/>
  <c r="H112" i="85"/>
  <c r="G123" i="85"/>
  <c r="G90" i="85"/>
  <c r="F92" i="85"/>
  <c r="F125" i="85"/>
  <c r="F116" i="85"/>
  <c r="F83" i="85"/>
  <c r="E94" i="85"/>
  <c r="E127" i="85"/>
  <c r="E118" i="85"/>
  <c r="E85" i="85"/>
  <c r="E82" i="85"/>
  <c r="E115" i="85"/>
  <c r="H113" i="85"/>
  <c r="H80" i="85"/>
  <c r="G91" i="85"/>
  <c r="G124" i="85"/>
  <c r="E117" i="85"/>
  <c r="E84" i="85"/>
  <c r="E125" i="85"/>
  <c r="E92" i="85"/>
  <c r="F111" i="85"/>
  <c r="F78" i="85"/>
  <c r="F115" i="85"/>
  <c r="F82" i="85"/>
  <c r="D88" i="85"/>
  <c r="D121" i="85"/>
  <c r="D119" i="85"/>
  <c r="D86" i="85"/>
  <c r="E76" i="85"/>
  <c r="E109" i="85"/>
  <c r="D83" i="85"/>
  <c r="D116" i="85"/>
  <c r="G119" i="85"/>
  <c r="G86" i="85"/>
  <c r="H84" i="85"/>
  <c r="H117" i="85"/>
  <c r="H78" i="85"/>
  <c r="H111" i="85"/>
  <c r="F85" i="85"/>
  <c r="F118" i="85"/>
  <c r="E116" i="85"/>
  <c r="E83" i="85"/>
  <c r="D84" i="85"/>
  <c r="D117" i="85"/>
  <c r="H127" i="85"/>
  <c r="H94" i="85"/>
  <c r="F86" i="85"/>
  <c r="F119" i="85"/>
  <c r="H119" i="85"/>
  <c r="H86" i="85"/>
  <c r="H74" i="85"/>
  <c r="H107" i="85"/>
  <c r="G115" i="85"/>
  <c r="G82" i="85"/>
  <c r="G84" i="85"/>
  <c r="G117" i="85"/>
  <c r="H76" i="85"/>
  <c r="H109" i="85"/>
  <c r="F108" i="85"/>
  <c r="F75" i="85"/>
  <c r="E120" i="85"/>
  <c r="E87" i="85"/>
  <c r="E107" i="85"/>
  <c r="E74" i="85"/>
  <c r="E77" i="85"/>
  <c r="E110" i="85"/>
  <c r="G85" i="85"/>
  <c r="G118" i="85"/>
  <c r="D113" i="85"/>
  <c r="D80" i="85"/>
  <c r="E90" i="85"/>
  <c r="E123" i="85"/>
  <c r="F117" i="85"/>
  <c r="F84" i="85"/>
  <c r="D118" i="85"/>
  <c r="D85" i="85"/>
  <c r="H83" i="85"/>
  <c r="H116" i="85"/>
  <c r="F109" i="85"/>
  <c r="F76" i="85"/>
  <c r="E88" i="85"/>
  <c r="E121" i="85"/>
  <c r="E119" i="85"/>
  <c r="E86" i="85"/>
  <c r="G114" i="85"/>
  <c r="G81" i="85"/>
  <c r="D110" i="85"/>
  <c r="D77" i="85"/>
  <c r="H88" i="85"/>
  <c r="H121" i="85"/>
  <c r="G75" i="85"/>
  <c r="G108" i="85"/>
  <c r="G89" i="85"/>
  <c r="G122" i="85"/>
  <c r="H75" i="85"/>
  <c r="H108" i="85"/>
  <c r="G87" i="85"/>
  <c r="G120" i="85"/>
  <c r="F74" i="85"/>
  <c r="F107" i="85"/>
  <c r="G74" i="85"/>
  <c r="G107" i="85"/>
  <c r="H124" i="85"/>
  <c r="H91" i="85"/>
  <c r="F114" i="85"/>
  <c r="F81" i="85"/>
  <c r="G127" i="85"/>
  <c r="G94" i="85"/>
  <c r="D78" i="85"/>
  <c r="D111" i="85"/>
  <c r="D108" i="85"/>
  <c r="D75" i="85"/>
  <c r="G121" i="85"/>
  <c r="G88" i="85"/>
  <c r="G111" i="85"/>
  <c r="G78" i="85"/>
  <c r="F122" i="85"/>
  <c r="F89" i="85"/>
  <c r="F80" i="85"/>
  <c r="F113" i="85"/>
  <c r="E91" i="85"/>
  <c r="E124" i="85"/>
  <c r="F77" i="85"/>
  <c r="F110" i="85"/>
  <c r="D76" i="85"/>
  <c r="D109" i="85"/>
  <c r="H87" i="85"/>
  <c r="H120" i="85"/>
  <c r="F112" i="85"/>
  <c r="F79" i="85"/>
  <c r="D94" i="85"/>
  <c r="D127" i="85"/>
  <c r="E75" i="85"/>
  <c r="E108" i="85"/>
  <c r="G112" i="85"/>
  <c r="G79" i="85"/>
  <c r="F123" i="85"/>
  <c r="F90" i="85"/>
  <c r="G109" i="85"/>
  <c r="G76" i="85"/>
  <c r="F121" i="85"/>
  <c r="F88" i="85"/>
  <c r="E122" i="85"/>
  <c r="E89" i="85"/>
  <c r="E113" i="85"/>
  <c r="E80" i="85"/>
  <c r="D124" i="85"/>
  <c r="D91" i="85"/>
  <c r="D82" i="85"/>
  <c r="D115" i="85"/>
  <c r="H125" i="85"/>
  <c r="H92" i="85"/>
  <c r="D79" i="85"/>
  <c r="D112" i="85"/>
  <c r="H89" i="85"/>
  <c r="H122" i="85"/>
  <c r="G77" i="85"/>
  <c r="G110" i="85"/>
  <c r="D114" i="85"/>
  <c r="D81" i="85"/>
  <c r="D107" i="85"/>
  <c r="D74" i="85"/>
  <c r="AE123" i="68"/>
  <c r="AE128" i="68"/>
  <c r="AE117" i="68"/>
  <c r="AE111" i="68"/>
  <c r="AE118" i="68"/>
  <c r="AE116" i="68"/>
  <c r="P22" i="91"/>
  <c r="AE92" i="91"/>
  <c r="P92" i="91"/>
  <c r="AE22" i="91"/>
  <c r="AE114" i="68"/>
  <c r="AE125" i="68"/>
  <c r="AE121" i="68"/>
  <c r="AE122" i="68"/>
  <c r="AE115" i="68"/>
  <c r="P31" i="84"/>
  <c r="P85" i="91"/>
  <c r="AP115" i="91" s="1"/>
  <c r="AM31" i="84"/>
  <c r="AO58" i="84"/>
  <c r="AP58" i="84"/>
  <c r="AN31" i="84"/>
  <c r="AL31" i="84"/>
  <c r="AN58" i="84"/>
  <c r="AK31" i="84"/>
  <c r="AM58" i="84"/>
  <c r="AE15" i="91"/>
  <c r="AD90" i="91"/>
  <c r="O90" i="91"/>
  <c r="AO120" i="91" s="1"/>
  <c r="P94" i="91"/>
  <c r="AE24" i="91"/>
  <c r="AE94" i="91"/>
  <c r="P24" i="91"/>
  <c r="N99" i="91"/>
  <c r="AN129" i="91" s="1"/>
  <c r="AC99" i="91"/>
  <c r="L29" i="91"/>
  <c r="AL59" i="91" s="1"/>
  <c r="AA29" i="91"/>
  <c r="M29" i="91"/>
  <c r="AM59" i="91" s="1"/>
  <c r="AB29" i="91"/>
  <c r="AD99" i="91"/>
  <c r="O99" i="91"/>
  <c r="AO129" i="91" s="1"/>
  <c r="AE85" i="91"/>
  <c r="AE29" i="91"/>
  <c r="P99" i="91"/>
  <c r="P29" i="91"/>
  <c r="AE99" i="91"/>
  <c r="AC29" i="91"/>
  <c r="N29" i="91"/>
  <c r="AN59" i="91" s="1"/>
  <c r="P89" i="91"/>
  <c r="AP119" i="91" s="1"/>
  <c r="AE19" i="91"/>
  <c r="P19" i="91"/>
  <c r="AD29" i="91"/>
  <c r="O29" i="91"/>
  <c r="AO59" i="91" s="1"/>
  <c r="L19" i="91"/>
  <c r="AL49" i="91" s="1"/>
  <c r="AA19" i="91"/>
  <c r="AB19" i="91"/>
  <c r="M19" i="91"/>
  <c r="AM49" i="91" s="1"/>
  <c r="AC19" i="91"/>
  <c r="N19" i="91"/>
  <c r="AN49" i="91" s="1"/>
  <c r="AD21" i="91"/>
  <c r="AD19" i="91"/>
  <c r="O19" i="91"/>
  <c r="AO49" i="91" s="1"/>
  <c r="AD15" i="91"/>
  <c r="AA93" i="91"/>
  <c r="AA23" i="91"/>
  <c r="L23" i="91"/>
  <c r="AL53" i="91" s="1"/>
  <c r="L93" i="91"/>
  <c r="AL123" i="91" s="1"/>
  <c r="AA89" i="91"/>
  <c r="L89" i="91"/>
  <c r="AL119" i="91" s="1"/>
  <c r="AA91" i="91"/>
  <c r="L91" i="91"/>
  <c r="AL121" i="91" s="1"/>
  <c r="AA27" i="91"/>
  <c r="L97" i="91"/>
  <c r="AL127" i="91" s="1"/>
  <c r="L27" i="91"/>
  <c r="AL57" i="91" s="1"/>
  <c r="AA97" i="91"/>
  <c r="AB23" i="91"/>
  <c r="AB93" i="91"/>
  <c r="M93" i="91"/>
  <c r="AM123" i="91" s="1"/>
  <c r="M23" i="91"/>
  <c r="AM53" i="91" s="1"/>
  <c r="M89" i="91"/>
  <c r="AM119" i="91" s="1"/>
  <c r="AB89" i="91"/>
  <c r="L95" i="91"/>
  <c r="AL125" i="91" s="1"/>
  <c r="M119" i="68"/>
  <c r="AR117" i="68" s="1"/>
  <c r="O21" i="91"/>
  <c r="AO51" i="91" s="1"/>
  <c r="L17" i="91"/>
  <c r="AL47" i="91" s="1"/>
  <c r="AC89" i="91"/>
  <c r="N89" i="91"/>
  <c r="AN119" i="91" s="1"/>
  <c r="N133" i="68"/>
  <c r="L98" i="91"/>
  <c r="AL128" i="91" s="1"/>
  <c r="AA28" i="91"/>
  <c r="AA98" i="91"/>
  <c r="L28" i="91"/>
  <c r="AL58" i="91" s="1"/>
  <c r="L88" i="91"/>
  <c r="AL118" i="91" s="1"/>
  <c r="L18" i="91"/>
  <c r="AL48" i="91" s="1"/>
  <c r="AA88" i="91"/>
  <c r="AA18" i="91"/>
  <c r="M26" i="91"/>
  <c r="AM56" i="91" s="1"/>
  <c r="M96" i="91"/>
  <c r="AM126" i="91" s="1"/>
  <c r="AB26" i="91"/>
  <c r="AB96" i="91"/>
  <c r="AD120" i="68"/>
  <c r="L26" i="91"/>
  <c r="AL56" i="91" s="1"/>
  <c r="AA96" i="91"/>
  <c r="AA26" i="91"/>
  <c r="L96" i="91"/>
  <c r="AL126" i="91" s="1"/>
  <c r="AA12" i="91"/>
  <c r="L82" i="91"/>
  <c r="AL112" i="91" s="1"/>
  <c r="AA82" i="91"/>
  <c r="L12" i="91"/>
  <c r="AL42" i="91" s="1"/>
  <c r="AD115" i="68"/>
  <c r="N23" i="91"/>
  <c r="AN53" i="91" s="1"/>
  <c r="AC93" i="91"/>
  <c r="N93" i="91"/>
  <c r="AN123" i="91" s="1"/>
  <c r="AC23" i="91"/>
  <c r="AB97" i="91"/>
  <c r="M97" i="91"/>
  <c r="AM127" i="91" s="1"/>
  <c r="M27" i="91"/>
  <c r="AM57" i="91" s="1"/>
  <c r="AB27" i="91"/>
  <c r="M91" i="91"/>
  <c r="AM121" i="91" s="1"/>
  <c r="AB91" i="91"/>
  <c r="N96" i="91"/>
  <c r="AN126" i="91" s="1"/>
  <c r="N26" i="91"/>
  <c r="AN56" i="91" s="1"/>
  <c r="AC96" i="91"/>
  <c r="AC26" i="91"/>
  <c r="AD116" i="68"/>
  <c r="AD121" i="68"/>
  <c r="AD126" i="68"/>
  <c r="AD111" i="68"/>
  <c r="AD119" i="68"/>
  <c r="AD114" i="68"/>
  <c r="AD118" i="68"/>
  <c r="L21" i="91"/>
  <c r="AL51" i="91" s="1"/>
  <c r="AA21" i="91"/>
  <c r="AD127" i="68"/>
  <c r="AD31" i="68"/>
  <c r="O96" i="91"/>
  <c r="AO126" i="91" s="1"/>
  <c r="O26" i="91"/>
  <c r="AO56" i="91" s="1"/>
  <c r="AD96" i="91"/>
  <c r="AD26" i="91"/>
  <c r="AD124" i="68"/>
  <c r="AD123" i="68"/>
  <c r="AD128" i="68"/>
  <c r="AD129" i="68"/>
  <c r="AA83" i="91"/>
  <c r="L13" i="91"/>
  <c r="AA13" i="91"/>
  <c r="L83" i="91"/>
  <c r="AD122" i="68"/>
  <c r="AD125" i="68"/>
  <c r="AD113" i="68"/>
  <c r="L10" i="91"/>
  <c r="AL40" i="91" s="1"/>
  <c r="L80" i="91"/>
  <c r="AL110" i="91" s="1"/>
  <c r="AA10" i="91"/>
  <c r="AA80" i="91"/>
  <c r="AD112" i="68"/>
  <c r="AD117" i="68"/>
  <c r="AA18" i="68"/>
  <c r="AB17" i="68"/>
  <c r="AC27" i="68"/>
  <c r="P83" i="91"/>
  <c r="AP113" i="91" s="1"/>
  <c r="P26" i="91"/>
  <c r="AE96" i="91"/>
  <c r="AE26" i="91"/>
  <c r="P96" i="91"/>
  <c r="O128" i="68"/>
  <c r="AE81" i="91"/>
  <c r="M116" i="68"/>
  <c r="O98" i="91"/>
  <c r="AO128" i="91" s="1"/>
  <c r="P28" i="91"/>
  <c r="AP58" i="91" s="1"/>
  <c r="K125" i="68"/>
  <c r="AD14" i="68"/>
  <c r="AD11" i="68"/>
  <c r="N85" i="91"/>
  <c r="AN115" i="91" s="1"/>
  <c r="K123" i="68"/>
  <c r="N121" i="68"/>
  <c r="O132" i="68"/>
  <c r="AE18" i="91"/>
  <c r="AC18" i="91"/>
  <c r="AD19" i="68"/>
  <c r="M123" i="68"/>
  <c r="N129" i="68"/>
  <c r="AS127" i="68" s="1"/>
  <c r="M17" i="91"/>
  <c r="AM47" i="91" s="1"/>
  <c r="N25" i="91"/>
  <c r="AN55" i="91" s="1"/>
  <c r="AC81" i="91"/>
  <c r="AB20" i="68"/>
  <c r="AE27" i="68"/>
  <c r="N117" i="68"/>
  <c r="N114" i="68"/>
  <c r="AS111" i="68" s="1"/>
  <c r="AE29" i="68"/>
  <c r="O10" i="91"/>
  <c r="AO40" i="91" s="1"/>
  <c r="AC11" i="91"/>
  <c r="L87" i="91"/>
  <c r="AL117" i="91" s="1"/>
  <c r="AA28" i="68"/>
  <c r="L118" i="68"/>
  <c r="AD29" i="68"/>
  <c r="M131" i="68"/>
  <c r="AR129" i="68" s="1"/>
  <c r="AC16" i="68"/>
  <c r="AA20" i="68"/>
  <c r="AB17" i="91"/>
  <c r="P98" i="91"/>
  <c r="AH96" i="91" s="1"/>
  <c r="O28" i="91"/>
  <c r="AO58" i="91" s="1"/>
  <c r="N81" i="91"/>
  <c r="AN111" i="91" s="1"/>
  <c r="M81" i="91"/>
  <c r="AM111" i="91" s="1"/>
  <c r="AA11" i="91"/>
  <c r="AB16" i="68"/>
  <c r="O129" i="68"/>
  <c r="K121" i="68"/>
  <c r="N132" i="68"/>
  <c r="AC28" i="68"/>
  <c r="AD26" i="68"/>
  <c r="O81" i="91"/>
  <c r="AO111" i="91" s="1"/>
  <c r="AD82" i="91"/>
  <c r="AE88" i="91"/>
  <c r="N15" i="91"/>
  <c r="AN45" i="91" s="1"/>
  <c r="M11" i="91"/>
  <c r="AM41" i="91" s="1"/>
  <c r="AA81" i="91"/>
  <c r="N95" i="91"/>
  <c r="AN125" i="91" s="1"/>
  <c r="O80" i="91"/>
  <c r="AO110" i="91" s="1"/>
  <c r="O12" i="91"/>
  <c r="AO42" i="91" s="1"/>
  <c r="AD83" i="91"/>
  <c r="AB21" i="91"/>
  <c r="M21" i="91"/>
  <c r="AM51" i="91" s="1"/>
  <c r="M10" i="91"/>
  <c r="AM40" i="91" s="1"/>
  <c r="AB80" i="91"/>
  <c r="M80" i="91"/>
  <c r="AM110" i="91" s="1"/>
  <c r="AB10" i="91"/>
  <c r="N27" i="91"/>
  <c r="AC27" i="91"/>
  <c r="N97" i="91"/>
  <c r="AC97" i="91"/>
  <c r="AC84" i="91"/>
  <c r="AD12" i="91"/>
  <c r="O84" i="91"/>
  <c r="AO114" i="91" s="1"/>
  <c r="P10" i="91"/>
  <c r="Q10" i="91" s="1"/>
  <c r="L14" i="91"/>
  <c r="AL44" i="91" s="1"/>
  <c r="M13" i="91"/>
  <c r="M83" i="91"/>
  <c r="AB83" i="91"/>
  <c r="AB13" i="91"/>
  <c r="M125" i="68"/>
  <c r="AC21" i="91"/>
  <c r="N91" i="91"/>
  <c r="AN121" i="91" s="1"/>
  <c r="AC91" i="91"/>
  <c r="AB98" i="91"/>
  <c r="AB28" i="91"/>
  <c r="M28" i="91"/>
  <c r="AM58" i="91" s="1"/>
  <c r="M98" i="91"/>
  <c r="AM128" i="91" s="1"/>
  <c r="N119" i="68"/>
  <c r="AA23" i="68"/>
  <c r="K115" i="68"/>
  <c r="O131" i="68"/>
  <c r="O125" i="68"/>
  <c r="K119" i="68"/>
  <c r="AC31" i="68"/>
  <c r="L125" i="68"/>
  <c r="K117" i="68"/>
  <c r="AE87" i="91"/>
  <c r="AE27" i="91"/>
  <c r="N88" i="91"/>
  <c r="AN118" i="91" s="1"/>
  <c r="O89" i="91"/>
  <c r="AO119" i="91" s="1"/>
  <c r="AD89" i="91"/>
  <c r="AD23" i="91"/>
  <c r="O93" i="91"/>
  <c r="AO123" i="91" s="1"/>
  <c r="O23" i="91"/>
  <c r="AO53" i="91" s="1"/>
  <c r="AD93" i="91"/>
  <c r="AL131" i="68"/>
  <c r="AB88" i="91"/>
  <c r="AB18" i="91"/>
  <c r="M88" i="91"/>
  <c r="AM118" i="91" s="1"/>
  <c r="M18" i="91"/>
  <c r="AM48" i="91" s="1"/>
  <c r="AB82" i="91"/>
  <c r="AB12" i="91"/>
  <c r="M82" i="91"/>
  <c r="AM112" i="91" s="1"/>
  <c r="M12" i="91"/>
  <c r="AM42" i="91" s="1"/>
  <c r="P84" i="91"/>
  <c r="AC29" i="68"/>
  <c r="AA15" i="91"/>
  <c r="N116" i="68"/>
  <c r="AA29" i="68"/>
  <c r="M118" i="68"/>
  <c r="AC19" i="68"/>
  <c r="AA12" i="68"/>
  <c r="M127" i="68"/>
  <c r="AR125" i="68" s="1"/>
  <c r="AB23" i="68"/>
  <c r="L116" i="68"/>
  <c r="N83" i="91"/>
  <c r="AN113" i="91" s="1"/>
  <c r="AE23" i="91"/>
  <c r="AB31" i="68"/>
  <c r="AA19" i="68"/>
  <c r="AE28" i="68"/>
  <c r="AB18" i="68"/>
  <c r="AA26" i="68"/>
  <c r="L126" i="68"/>
  <c r="AQ124" i="68" s="1"/>
  <c r="AC25" i="68"/>
  <c r="M84" i="91"/>
  <c r="AM114" i="91" s="1"/>
  <c r="N82" i="91"/>
  <c r="AN112" i="91" s="1"/>
  <c r="P93" i="91"/>
  <c r="Q93" i="91" s="1"/>
  <c r="P95" i="91"/>
  <c r="AP125" i="91" s="1"/>
  <c r="O87" i="91"/>
  <c r="AO117" i="91" s="1"/>
  <c r="AD91" i="91"/>
  <c r="AE31" i="68"/>
  <c r="AD20" i="68"/>
  <c r="AA13" i="68"/>
  <c r="K132" i="68"/>
  <c r="M114" i="68"/>
  <c r="AR111" i="68" s="1"/>
  <c r="O130" i="68"/>
  <c r="M121" i="68"/>
  <c r="L132" i="68"/>
  <c r="M129" i="68"/>
  <c r="AA27" i="68"/>
  <c r="O123" i="68"/>
  <c r="AC21" i="68"/>
  <c r="K124" i="68"/>
  <c r="AC17" i="91"/>
  <c r="AD25" i="91"/>
  <c r="M14" i="91"/>
  <c r="AM44" i="91" s="1"/>
  <c r="O18" i="91"/>
  <c r="AO48" i="91" s="1"/>
  <c r="M25" i="91"/>
  <c r="AM55" i="91" s="1"/>
  <c r="AE91" i="91"/>
  <c r="M85" i="91"/>
  <c r="AM115" i="91" s="1"/>
  <c r="O97" i="91"/>
  <c r="AO127" i="91" s="1"/>
  <c r="AC82" i="91"/>
  <c r="N80" i="91"/>
  <c r="AN110" i="91" s="1"/>
  <c r="P12" i="91"/>
  <c r="AD12" i="68"/>
  <c r="O116" i="68"/>
  <c r="K116" i="68"/>
  <c r="AB15" i="68"/>
  <c r="AC22" i="68"/>
  <c r="AE12" i="68"/>
  <c r="AB27" i="68"/>
  <c r="N128" i="68"/>
  <c r="AS126" i="68" s="1"/>
  <c r="AD15" i="68"/>
  <c r="AA24" i="68"/>
  <c r="AA14" i="68"/>
  <c r="M124" i="68"/>
  <c r="L129" i="68"/>
  <c r="AQ127" i="68" s="1"/>
  <c r="AB13" i="68"/>
  <c r="O95" i="91"/>
  <c r="AO125" i="91" s="1"/>
  <c r="AD80" i="91"/>
  <c r="AD88" i="91"/>
  <c r="O83" i="91"/>
  <c r="AO113" i="91" s="1"/>
  <c r="AD27" i="91"/>
  <c r="L85" i="91"/>
  <c r="AL115" i="91" s="1"/>
  <c r="N28" i="91"/>
  <c r="AN58" i="91" s="1"/>
  <c r="AE21" i="91"/>
  <c r="AC23" i="68"/>
  <c r="AB28" i="68"/>
  <c r="O115" i="68"/>
  <c r="AD22" i="68"/>
  <c r="K130" i="68"/>
  <c r="P25" i="91"/>
  <c r="Q25" i="91" s="1"/>
  <c r="AE14" i="91"/>
  <c r="P91" i="91"/>
  <c r="AH91" i="91" s="1"/>
  <c r="M15" i="91"/>
  <c r="AM45" i="91" s="1"/>
  <c r="M126" i="68"/>
  <c r="N123" i="68"/>
  <c r="L131" i="68"/>
  <c r="AQ129" i="68" s="1"/>
  <c r="AE18" i="68"/>
  <c r="AE11" i="68"/>
  <c r="AR131" i="68"/>
  <c r="K122" i="68"/>
  <c r="N125" i="68"/>
  <c r="M132" i="68"/>
  <c r="AR130" i="68" s="1"/>
  <c r="L130" i="68"/>
  <c r="AQ128" i="68" s="1"/>
  <c r="M122" i="68"/>
  <c r="L124" i="68"/>
  <c r="N118" i="68"/>
  <c r="L121" i="68"/>
  <c r="K127" i="68"/>
  <c r="AC26" i="68"/>
  <c r="K129" i="68"/>
  <c r="AD17" i="68"/>
  <c r="AB11" i="68"/>
  <c r="K120" i="68"/>
  <c r="K134" i="68"/>
  <c r="O120" i="68"/>
  <c r="K128" i="68"/>
  <c r="M128" i="68"/>
  <c r="O119" i="68"/>
  <c r="AE95" i="91"/>
  <c r="AC87" i="91"/>
  <c r="O11" i="91"/>
  <c r="AO41" i="91" s="1"/>
  <c r="P14" i="91"/>
  <c r="AP44" i="91" s="1"/>
  <c r="O25" i="91"/>
  <c r="AO55" i="91" s="1"/>
  <c r="AB14" i="91"/>
  <c r="O88" i="91"/>
  <c r="AO118" i="91" s="1"/>
  <c r="O17" i="91"/>
  <c r="AO47" i="91" s="1"/>
  <c r="AB85" i="91"/>
  <c r="O13" i="91"/>
  <c r="AO43" i="91" s="1"/>
  <c r="AC13" i="91"/>
  <c r="O27" i="91"/>
  <c r="AO57" i="91" s="1"/>
  <c r="AC12" i="91"/>
  <c r="AA85" i="91"/>
  <c r="N10" i="91"/>
  <c r="AN40" i="91" s="1"/>
  <c r="AC28" i="91"/>
  <c r="AE93" i="91"/>
  <c r="AE89" i="91"/>
  <c r="AE12" i="91"/>
  <c r="AB95" i="91"/>
  <c r="AB130" i="68"/>
  <c r="AC130" i="68"/>
  <c r="N115" i="68"/>
  <c r="AB21" i="68"/>
  <c r="AA17" i="68"/>
  <c r="AE17" i="68"/>
  <c r="AA25" i="68"/>
  <c r="AE16" i="68"/>
  <c r="N87" i="91"/>
  <c r="AN117" i="91" s="1"/>
  <c r="AD17" i="91"/>
  <c r="AC80" i="91"/>
  <c r="AC98" i="91"/>
  <c r="P82" i="91"/>
  <c r="AP112" i="91" s="1"/>
  <c r="O121" i="68"/>
  <c r="O114" i="68"/>
  <c r="AC15" i="68"/>
  <c r="AC11" i="68"/>
  <c r="AD25" i="68"/>
  <c r="AC18" i="68"/>
  <c r="AC24" i="68"/>
  <c r="AB29" i="68"/>
  <c r="N120" i="68"/>
  <c r="AE20" i="68"/>
  <c r="L114" i="68"/>
  <c r="AE13" i="68"/>
  <c r="AA21" i="68"/>
  <c r="AE22" i="68"/>
  <c r="AD13" i="68"/>
  <c r="AB26" i="68"/>
  <c r="AB25" i="91"/>
  <c r="AD27" i="68"/>
  <c r="K126" i="68"/>
  <c r="AA15" i="68"/>
  <c r="AE25" i="68"/>
  <c r="AK131" i="68"/>
  <c r="M130" i="68"/>
  <c r="L120" i="68"/>
  <c r="N84" i="91"/>
  <c r="AN114" i="91" s="1"/>
  <c r="P87" i="91"/>
  <c r="AP117" i="91" s="1"/>
  <c r="AE11" i="91"/>
  <c r="AE10" i="91"/>
  <c r="AA14" i="91"/>
  <c r="AA111" i="68"/>
  <c r="AA130" i="68" s="1"/>
  <c r="K114" i="68"/>
  <c r="AA11" i="68"/>
  <c r="O126" i="68"/>
  <c r="N130" i="68"/>
  <c r="AS128" i="68" s="1"/>
  <c r="K131" i="68"/>
  <c r="N134" i="68"/>
  <c r="AS132" i="68" s="1"/>
  <c r="L123" i="68"/>
  <c r="AQ121" i="68" s="1"/>
  <c r="N127" i="68"/>
  <c r="AS125" i="68" s="1"/>
  <c r="M115" i="68"/>
  <c r="L127" i="68"/>
  <c r="N122" i="68"/>
  <c r="AS120" i="68" s="1"/>
  <c r="AB25" i="68"/>
  <c r="AE15" i="68"/>
  <c r="AE19" i="68"/>
  <c r="AT131" i="68"/>
  <c r="AB12" i="68"/>
  <c r="AD21" i="68"/>
  <c r="AE14" i="68"/>
  <c r="AD28" i="68"/>
  <c r="AE21" i="68"/>
  <c r="K118" i="68"/>
  <c r="O127" i="68"/>
  <c r="AC14" i="68"/>
  <c r="AC17" i="68"/>
  <c r="AB14" i="68"/>
  <c r="AB19" i="68"/>
  <c r="AD23" i="68"/>
  <c r="AD11" i="91"/>
  <c r="N14" i="91"/>
  <c r="AN44" i="91" s="1"/>
  <c r="P17" i="91"/>
  <c r="AH17" i="91" s="1"/>
  <c r="AB87" i="91"/>
  <c r="P11" i="91"/>
  <c r="AH11" i="91" s="1"/>
  <c r="AE83" i="91"/>
  <c r="AE28" i="91"/>
  <c r="O85" i="91"/>
  <c r="AO115" i="91" s="1"/>
  <c r="P18" i="91"/>
  <c r="AP48" i="91" s="1"/>
  <c r="AD28" i="91"/>
  <c r="AD84" i="91"/>
  <c r="P27" i="91"/>
  <c r="AC15" i="91"/>
  <c r="P80" i="91"/>
  <c r="AB81" i="91"/>
  <c r="N13" i="91"/>
  <c r="AN43" i="91" s="1"/>
  <c r="N18" i="91"/>
  <c r="AN48" i="91" s="1"/>
  <c r="L11" i="91"/>
  <c r="AL41" i="91" s="1"/>
  <c r="AA25" i="91"/>
  <c r="AA84" i="91"/>
  <c r="AA17" i="91"/>
  <c r="AC95" i="91"/>
  <c r="AE23" i="68"/>
  <c r="AD24" i="68"/>
  <c r="AC12" i="68"/>
  <c r="AB24" i="68"/>
  <c r="AE13" i="91"/>
  <c r="O15" i="91"/>
  <c r="AO45" i="91" s="1"/>
  <c r="AD14" i="91"/>
  <c r="AE97" i="91"/>
  <c r="L25" i="91"/>
  <c r="AL55" i="91" s="1"/>
  <c r="L119" i="68"/>
  <c r="AD16" i="68"/>
  <c r="AC13" i="68"/>
  <c r="AA22" i="68"/>
  <c r="AA16" i="68"/>
  <c r="L128" i="68"/>
  <c r="O118" i="68"/>
  <c r="O122" i="68"/>
  <c r="P133" i="68"/>
  <c r="L115" i="68"/>
  <c r="AQ113" i="68" s="1"/>
  <c r="N124" i="68"/>
  <c r="O117" i="68"/>
  <c r="N131" i="68"/>
  <c r="O124" i="68"/>
  <c r="AB22" i="68"/>
  <c r="AD18" i="68"/>
  <c r="AE26" i="68"/>
  <c r="AC20" i="68"/>
  <c r="M117" i="68"/>
  <c r="M120" i="68"/>
  <c r="AR118" i="68" s="1"/>
  <c r="L117" i="68"/>
  <c r="AQ115" i="68" s="1"/>
  <c r="L122" i="68"/>
  <c r="N126" i="68"/>
  <c r="AP53" i="91"/>
  <c r="Q23" i="91"/>
  <c r="AH21" i="91"/>
  <c r="AP51" i="91"/>
  <c r="Q21" i="91"/>
  <c r="X49" i="76"/>
  <c r="O31" i="85"/>
  <c r="AE31" i="85"/>
  <c r="L25" i="85"/>
  <c r="AB25" i="85"/>
  <c r="AH81" i="91"/>
  <c r="AP111" i="91"/>
  <c r="Q81" i="91"/>
  <c r="AH13" i="91"/>
  <c r="Q13" i="91"/>
  <c r="AP43" i="91"/>
  <c r="AH88" i="91"/>
  <c r="Q88" i="91"/>
  <c r="AP118" i="91"/>
  <c r="AP127" i="91"/>
  <c r="AH95" i="91"/>
  <c r="Q97" i="91"/>
  <c r="AH15" i="91"/>
  <c r="Q15" i="91"/>
  <c r="AP45" i="91"/>
  <c r="AQ132" i="68"/>
  <c r="AT132" i="68"/>
  <c r="AR132" i="68"/>
  <c r="P124" i="68" l="1"/>
  <c r="O49" i="76"/>
  <c r="AG117" i="68"/>
  <c r="P118" i="68"/>
  <c r="AG114" i="68"/>
  <c r="AT111" i="68"/>
  <c r="AG120" i="68"/>
  <c r="AT117" i="68"/>
  <c r="P126" i="68"/>
  <c r="AG118" i="68"/>
  <c r="F49" i="76"/>
  <c r="L49" i="76"/>
  <c r="E49" i="76"/>
  <c r="AG127" i="68"/>
  <c r="P131" i="68"/>
  <c r="AT127" i="68"/>
  <c r="AT126" i="68"/>
  <c r="AP133" i="91"/>
  <c r="AH85" i="91"/>
  <c r="Q85" i="91"/>
  <c r="AE130" i="68"/>
  <c r="AH22" i="91"/>
  <c r="Q22" i="91"/>
  <c r="AP52" i="91"/>
  <c r="AH92" i="91"/>
  <c r="AP122" i="91"/>
  <c r="Q92" i="91"/>
  <c r="AO31" i="84"/>
  <c r="I31" i="84" s="1"/>
  <c r="AH23" i="91"/>
  <c r="Q24" i="91"/>
  <c r="AP54" i="91"/>
  <c r="AP124" i="91"/>
  <c r="AH93" i="91"/>
  <c r="Q94" i="91"/>
  <c r="AH89" i="91"/>
  <c r="Q89" i="91"/>
  <c r="AH27" i="91"/>
  <c r="Q29" i="91"/>
  <c r="AP59" i="91"/>
  <c r="Q99" i="91"/>
  <c r="AP129" i="91"/>
  <c r="AH97" i="91"/>
  <c r="Q19" i="91"/>
  <c r="AP49" i="91"/>
  <c r="AH19" i="91"/>
  <c r="AM113" i="91"/>
  <c r="AM133" i="91"/>
  <c r="AL113" i="91"/>
  <c r="AL133" i="91"/>
  <c r="AM43" i="91"/>
  <c r="AM63" i="91"/>
  <c r="AL43" i="91"/>
  <c r="AL63" i="91"/>
  <c r="AS131" i="68"/>
  <c r="AU131" i="68" s="1"/>
  <c r="AH12" i="91"/>
  <c r="P128" i="68"/>
  <c r="AD130" i="68"/>
  <c r="AN131" i="68"/>
  <c r="AM131" i="68"/>
  <c r="AR114" i="68"/>
  <c r="AG125" i="68"/>
  <c r="AQ116" i="68"/>
  <c r="P132" i="68"/>
  <c r="AH83" i="91"/>
  <c r="Q26" i="91"/>
  <c r="AP56" i="91"/>
  <c r="R49" i="76"/>
  <c r="Q83" i="91"/>
  <c r="AO63" i="91"/>
  <c r="Q96" i="91"/>
  <c r="AP126" i="91"/>
  <c r="AO133" i="91"/>
  <c r="V49" i="76"/>
  <c r="Q28" i="91"/>
  <c r="AN57" i="91"/>
  <c r="AN63" i="91"/>
  <c r="AN127" i="91"/>
  <c r="AN133" i="91"/>
  <c r="AP63" i="91"/>
  <c r="AR120" i="68"/>
  <c r="AT129" i="68"/>
  <c r="P123" i="68"/>
  <c r="AP128" i="91"/>
  <c r="AQ123" i="68"/>
  <c r="AG128" i="68"/>
  <c r="Q98" i="91"/>
  <c r="AQ117" i="68"/>
  <c r="M49" i="76"/>
  <c r="AH26" i="91"/>
  <c r="AG122" i="68"/>
  <c r="AR121" i="68"/>
  <c r="AS119" i="68"/>
  <c r="AS114" i="68"/>
  <c r="P127" i="68"/>
  <c r="AS115" i="68"/>
  <c r="P129" i="68"/>
  <c r="AP40" i="91"/>
  <c r="AT130" i="68"/>
  <c r="K49" i="76"/>
  <c r="AT119" i="68"/>
  <c r="AR124" i="68"/>
  <c r="AG129" i="68"/>
  <c r="AT123" i="68"/>
  <c r="AS117" i="68"/>
  <c r="AG126" i="68"/>
  <c r="AS130" i="68"/>
  <c r="AR123" i="68"/>
  <c r="AG113" i="68"/>
  <c r="AH10" i="91"/>
  <c r="AR122" i="68"/>
  <c r="AR116" i="68"/>
  <c r="P114" i="68"/>
  <c r="AG111" i="68"/>
  <c r="S49" i="76"/>
  <c r="AA101" i="91"/>
  <c r="P125" i="68"/>
  <c r="AQ119" i="68"/>
  <c r="AP114" i="91"/>
  <c r="AT124" i="68"/>
  <c r="U49" i="76"/>
  <c r="AS123" i="68"/>
  <c r="Q80" i="91"/>
  <c r="Q91" i="91"/>
  <c r="AH84" i="91"/>
  <c r="Q87" i="91"/>
  <c r="Q84" i="91"/>
  <c r="Q95" i="91"/>
  <c r="Q12" i="91"/>
  <c r="Q14" i="91"/>
  <c r="AG123" i="68"/>
  <c r="AR115" i="68"/>
  <c r="AQ130" i="68"/>
  <c r="AS129" i="68"/>
  <c r="AR127" i="68"/>
  <c r="P121" i="68"/>
  <c r="I49" i="76"/>
  <c r="AH14" i="91"/>
  <c r="Q11" i="91"/>
  <c r="P49" i="76"/>
  <c r="AP123" i="91"/>
  <c r="P119" i="68"/>
  <c r="AG116" i="68"/>
  <c r="G49" i="76"/>
  <c r="AP110" i="91"/>
  <c r="AS116" i="68"/>
  <c r="AQ114" i="68"/>
  <c r="AT121" i="68"/>
  <c r="AT122" i="68"/>
  <c r="AR119" i="68"/>
  <c r="AQ126" i="68"/>
  <c r="AG115" i="68"/>
  <c r="Q82" i="91"/>
  <c r="AQ122" i="68"/>
  <c r="AT118" i="68"/>
  <c r="AT114" i="68"/>
  <c r="AS122" i="68"/>
  <c r="AR113" i="68"/>
  <c r="AS121" i="68"/>
  <c r="T49" i="76"/>
  <c r="AH80" i="91"/>
  <c r="AH25" i="91"/>
  <c r="AH82" i="91"/>
  <c r="AA31" i="91"/>
  <c r="AB31" i="91"/>
  <c r="AE101" i="91"/>
  <c r="AD101" i="91"/>
  <c r="AA30" i="68"/>
  <c r="AQ111" i="68"/>
  <c r="AT128" i="68"/>
  <c r="AS113" i="68"/>
  <c r="P116" i="68"/>
  <c r="AT113" i="68"/>
  <c r="J49" i="76"/>
  <c r="Q18" i="91"/>
  <c r="AH94" i="91"/>
  <c r="AP42" i="91"/>
  <c r="AR126" i="68"/>
  <c r="P130" i="68"/>
  <c r="P120" i="68"/>
  <c r="AT115" i="68"/>
  <c r="AT120" i="68"/>
  <c r="AS118" i="68"/>
  <c r="AS124" i="68"/>
  <c r="P115" i="68"/>
  <c r="AQ125" i="68"/>
  <c r="AG119" i="68"/>
  <c r="D49" i="76"/>
  <c r="AP121" i="91"/>
  <c r="AP55" i="91"/>
  <c r="AG124" i="68"/>
  <c r="AC30" i="68"/>
  <c r="AB101" i="91"/>
  <c r="AE30" i="68"/>
  <c r="AE31" i="91"/>
  <c r="P117" i="68"/>
  <c r="P122" i="68"/>
  <c r="AH18" i="91"/>
  <c r="AP41" i="91"/>
  <c r="AH24" i="91"/>
  <c r="AG112" i="68"/>
  <c r="AD30" i="68"/>
  <c r="AD31" i="91"/>
  <c r="AB30" i="68"/>
  <c r="AR128" i="68"/>
  <c r="AT125" i="68"/>
  <c r="AP47" i="91"/>
  <c r="AP57" i="91"/>
  <c r="AQ120" i="68"/>
  <c r="AT116" i="68"/>
  <c r="N49" i="76"/>
  <c r="Q27" i="91"/>
  <c r="Q17" i="91"/>
  <c r="Q49" i="76"/>
  <c r="AH87" i="91"/>
  <c r="AQ118" i="68"/>
  <c r="AG121" i="68"/>
  <c r="H49" i="76"/>
  <c r="X80" i="76"/>
  <c r="P31" i="85"/>
  <c r="AU132" i="68"/>
  <c r="AV132" i="68"/>
  <c r="AU111" i="68" l="1"/>
  <c r="AV127" i="68"/>
  <c r="AI92" i="91"/>
  <c r="AI22" i="91"/>
  <c r="AI98" i="91"/>
  <c r="AI93" i="91"/>
  <c r="AI23" i="91"/>
  <c r="R94" i="91" s="1"/>
  <c r="AI27" i="91"/>
  <c r="AI97" i="91"/>
  <c r="AI19" i="91"/>
  <c r="AV131" i="68"/>
  <c r="AW131" i="68" s="1"/>
  <c r="AV128" i="68"/>
  <c r="AO131" i="68"/>
  <c r="I133" i="68" s="1"/>
  <c r="AV130" i="68"/>
  <c r="AU127" i="68"/>
  <c r="AV129" i="68"/>
  <c r="AV117" i="68"/>
  <c r="AI85" i="91"/>
  <c r="AI15" i="91"/>
  <c r="R15" i="91" s="1"/>
  <c r="AU117" i="68"/>
  <c r="AU115" i="68"/>
  <c r="AU113" i="68"/>
  <c r="AV121" i="68"/>
  <c r="AU129" i="68"/>
  <c r="AV119" i="68"/>
  <c r="AU130" i="68"/>
  <c r="AU123" i="68"/>
  <c r="AV114" i="68"/>
  <c r="AU122" i="68"/>
  <c r="AU118" i="68"/>
  <c r="AU126" i="68"/>
  <c r="AU121" i="68"/>
  <c r="AV111" i="68"/>
  <c r="AU119" i="68"/>
  <c r="AV123" i="68"/>
  <c r="AV124" i="68"/>
  <c r="AV116" i="68"/>
  <c r="AI82" i="91"/>
  <c r="AI13" i="91"/>
  <c r="R13" i="91" s="1"/>
  <c r="AV120" i="68"/>
  <c r="AI25" i="91"/>
  <c r="R27" i="91" s="1"/>
  <c r="AH117" i="68"/>
  <c r="Q120" i="68" s="1"/>
  <c r="J102" i="76" s="1"/>
  <c r="AH125" i="68"/>
  <c r="Q128" i="68" s="1"/>
  <c r="R102" i="76" s="1"/>
  <c r="AU114" i="68"/>
  <c r="AH120" i="68"/>
  <c r="Q123" i="68" s="1"/>
  <c r="M102" i="76" s="1"/>
  <c r="AV122" i="68"/>
  <c r="AV118" i="68"/>
  <c r="AV126" i="68"/>
  <c r="AV113" i="68"/>
  <c r="AI88" i="91"/>
  <c r="AV115" i="68"/>
  <c r="AU116" i="68"/>
  <c r="AU124" i="68"/>
  <c r="AI17" i="91"/>
  <c r="R17" i="91" s="1"/>
  <c r="AI24" i="91"/>
  <c r="R95" i="91" s="1"/>
  <c r="AI12" i="91"/>
  <c r="R82" i="91" s="1"/>
  <c r="AI26" i="91"/>
  <c r="R98" i="91" s="1"/>
  <c r="AI11" i="91"/>
  <c r="R81" i="91" s="1"/>
  <c r="AI87" i="91"/>
  <c r="AI14" i="91"/>
  <c r="R14" i="91" s="1"/>
  <c r="AI84" i="91"/>
  <c r="AI91" i="91"/>
  <c r="AI18" i="91"/>
  <c r="R18" i="91" s="1"/>
  <c r="AI21" i="91"/>
  <c r="R21" i="91" s="1"/>
  <c r="AU125" i="68"/>
  <c r="AH115" i="68"/>
  <c r="Q118" i="68" s="1"/>
  <c r="H102" i="76" s="1"/>
  <c r="AU120" i="68"/>
  <c r="AI96" i="91"/>
  <c r="AH119" i="68"/>
  <c r="Q122" i="68" s="1"/>
  <c r="L102" i="76" s="1"/>
  <c r="AH126" i="68"/>
  <c r="Q129" i="68" s="1"/>
  <c r="S102" i="76" s="1"/>
  <c r="AI10" i="91"/>
  <c r="R10" i="91" s="1"/>
  <c r="AH122" i="68"/>
  <c r="Q125" i="68" s="1"/>
  <c r="O102" i="76" s="1"/>
  <c r="AH116" i="68"/>
  <c r="Q119" i="68" s="1"/>
  <c r="I102" i="76" s="1"/>
  <c r="AU128" i="68"/>
  <c r="AV125" i="68"/>
  <c r="AH127" i="68"/>
  <c r="Q130" i="68" s="1"/>
  <c r="T102" i="76" s="1"/>
  <c r="AI83" i="91"/>
  <c r="AH123" i="68"/>
  <c r="Q126" i="68" s="1"/>
  <c r="P102" i="76" s="1"/>
  <c r="AH128" i="68"/>
  <c r="Q131" i="68" s="1"/>
  <c r="U102" i="76" s="1"/>
  <c r="AH121" i="68"/>
  <c r="Q124" i="68" s="1"/>
  <c r="N102" i="76" s="1"/>
  <c r="AH111" i="68"/>
  <c r="Q114" i="68" s="1"/>
  <c r="D102" i="76" s="1"/>
  <c r="AH129" i="68"/>
  <c r="Q132" i="68" s="1"/>
  <c r="V102" i="76" s="1"/>
  <c r="AI81" i="91"/>
  <c r="AI80" i="91"/>
  <c r="AI95" i="91"/>
  <c r="AH124" i="68"/>
  <c r="Q127" i="68" s="1"/>
  <c r="Q102" i="76" s="1"/>
  <c r="AH114" i="68"/>
  <c r="Q117" i="68" s="1"/>
  <c r="G102" i="76" s="1"/>
  <c r="AI94" i="91"/>
  <c r="AH118" i="68"/>
  <c r="Q121" i="68" s="1"/>
  <c r="K102" i="76" s="1"/>
  <c r="AH113" i="68"/>
  <c r="Q116" i="68" s="1"/>
  <c r="F102" i="76" s="1"/>
  <c r="AI89" i="91"/>
  <c r="AH112" i="68"/>
  <c r="Q115" i="68" s="1"/>
  <c r="E102" i="76" s="1"/>
  <c r="AW132" i="68"/>
  <c r="AW111" i="68" l="1"/>
  <c r="AW127" i="68"/>
  <c r="R22" i="91"/>
  <c r="R92" i="91"/>
  <c r="R24" i="91"/>
  <c r="R99" i="91"/>
  <c r="R29" i="91"/>
  <c r="R89" i="91"/>
  <c r="R19" i="91"/>
  <c r="AW130" i="68"/>
  <c r="AW128" i="68"/>
  <c r="AW114" i="68"/>
  <c r="AW116" i="68"/>
  <c r="AW126" i="68"/>
  <c r="AW118" i="68"/>
  <c r="AW129" i="68"/>
  <c r="AW117" i="68"/>
  <c r="AW122" i="68"/>
  <c r="AW113" i="68"/>
  <c r="AW115" i="68"/>
  <c r="AW124" i="68"/>
  <c r="R85" i="91"/>
  <c r="AW123" i="68"/>
  <c r="AW121" i="68"/>
  <c r="AW119" i="68"/>
  <c r="AW125" i="68"/>
  <c r="R83" i="91"/>
  <c r="AW120" i="68"/>
  <c r="R11" i="91"/>
  <c r="R80" i="91"/>
  <c r="R88" i="91"/>
  <c r="R25" i="91"/>
  <c r="R97" i="91"/>
  <c r="R87" i="91"/>
  <c r="R84" i="91"/>
  <c r="R12" i="91"/>
  <c r="R28" i="91"/>
  <c r="R91" i="91"/>
  <c r="H194" i="84"/>
  <c r="AB345" i="83" l="1"/>
  <c r="X345" i="83"/>
  <c r="AB344" i="83"/>
  <c r="AK359" i="83"/>
  <c r="AQ359" i="83" s="1"/>
  <c r="AK358" i="83"/>
  <c r="AK357" i="83"/>
  <c r="AQ357" i="83" s="1"/>
  <c r="AK356" i="83"/>
  <c r="AQ356" i="83" s="1"/>
  <c r="AK355" i="83"/>
  <c r="AQ355" i="83" s="1"/>
  <c r="AK354" i="83"/>
  <c r="AQ354" i="83" s="1"/>
  <c r="AK353" i="83"/>
  <c r="AQ353" i="83" s="1"/>
  <c r="AK352" i="83"/>
  <c r="AQ352" i="83" s="1"/>
  <c r="AK351" i="83"/>
  <c r="AQ351" i="83" s="1"/>
  <c r="AK350" i="83"/>
  <c r="AQ350" i="83" s="1"/>
  <c r="AK349" i="83"/>
  <c r="AQ349" i="83" s="1"/>
  <c r="AK348" i="83"/>
  <c r="AQ348" i="83" s="1"/>
  <c r="AK347" i="83"/>
  <c r="AQ347" i="83" s="1"/>
  <c r="AK346" i="83"/>
  <c r="AQ346" i="83" s="1"/>
  <c r="AK345" i="83"/>
  <c r="AQ345" i="83" s="1"/>
  <c r="AK344" i="83"/>
  <c r="AQ344" i="83" s="1"/>
  <c r="AK343" i="83"/>
  <c r="AQ343" i="83" s="1"/>
  <c r="AK342" i="83"/>
  <c r="AQ342" i="83" s="1"/>
  <c r="AK341" i="83"/>
  <c r="AQ341" i="83" s="1"/>
  <c r="AK340" i="83"/>
  <c r="AQ340" i="83" s="1"/>
  <c r="AK339" i="83"/>
  <c r="AQ339" i="83" s="1"/>
  <c r="AP337" i="83"/>
  <c r="AO337" i="83"/>
  <c r="AN337" i="83"/>
  <c r="AM337" i="83"/>
  <c r="AL337" i="83"/>
  <c r="AQ335" i="83"/>
  <c r="AP335" i="83"/>
  <c r="AO335" i="83"/>
  <c r="AN335" i="83"/>
  <c r="AM335" i="83"/>
  <c r="AL335" i="83"/>
  <c r="X331" i="83"/>
  <c r="X330" i="83"/>
  <c r="X329" i="83"/>
  <c r="X328" i="83"/>
  <c r="X327" i="83"/>
  <c r="X326" i="83"/>
  <c r="X325" i="83"/>
  <c r="X324" i="83"/>
  <c r="X323" i="83"/>
  <c r="X322" i="83"/>
  <c r="X321" i="83"/>
  <c r="X320" i="83"/>
  <c r="X319" i="83"/>
  <c r="X318" i="83"/>
  <c r="X317" i="83"/>
  <c r="X316" i="83"/>
  <c r="X315" i="83"/>
  <c r="X314" i="83"/>
  <c r="X313" i="83"/>
  <c r="X312" i="83"/>
  <c r="X311" i="83"/>
  <c r="AG310" i="83"/>
  <c r="AE309" i="83"/>
  <c r="AD309" i="83"/>
  <c r="AC309" i="83"/>
  <c r="AB309" i="83"/>
  <c r="AA309" i="83"/>
  <c r="Y1" i="83" l="1"/>
  <c r="AG177" i="83"/>
  <c r="AQ201" i="83"/>
  <c r="AP201" i="83"/>
  <c r="AO201" i="83"/>
  <c r="AN201" i="83"/>
  <c r="AM201" i="83"/>
  <c r="AL201" i="83"/>
  <c r="H200" i="83"/>
  <c r="G200" i="83"/>
  <c r="F200" i="83"/>
  <c r="E200" i="83"/>
  <c r="D200" i="83"/>
  <c r="H198" i="83"/>
  <c r="G198" i="83"/>
  <c r="F198" i="83"/>
  <c r="E198" i="83"/>
  <c r="D198" i="83"/>
  <c r="AC195" i="83"/>
  <c r="H196" i="83"/>
  <c r="G196" i="83"/>
  <c r="F196" i="83"/>
  <c r="E196" i="83"/>
  <c r="D196" i="83"/>
  <c r="H195" i="83"/>
  <c r="G195" i="83"/>
  <c r="F195" i="83"/>
  <c r="E195" i="83"/>
  <c r="D195" i="83"/>
  <c r="H194" i="83"/>
  <c r="G194" i="83"/>
  <c r="F194" i="83"/>
  <c r="E194" i="83"/>
  <c r="D194" i="83"/>
  <c r="H193" i="83"/>
  <c r="G193" i="83"/>
  <c r="E193" i="83"/>
  <c r="D193" i="83"/>
  <c r="H192" i="83"/>
  <c r="G192" i="83"/>
  <c r="F192" i="83"/>
  <c r="E192" i="83"/>
  <c r="D192" i="83"/>
  <c r="H191" i="83"/>
  <c r="G191" i="83"/>
  <c r="F191" i="83"/>
  <c r="E191" i="83"/>
  <c r="D191" i="83"/>
  <c r="H190" i="83"/>
  <c r="G190" i="83"/>
  <c r="F190" i="83"/>
  <c r="E190" i="83"/>
  <c r="D190" i="83"/>
  <c r="H189" i="83"/>
  <c r="G189" i="83"/>
  <c r="F189" i="83"/>
  <c r="E189" i="83"/>
  <c r="D189" i="83"/>
  <c r="H188" i="83"/>
  <c r="G188" i="83"/>
  <c r="F188" i="83"/>
  <c r="E188" i="83"/>
  <c r="D188" i="83"/>
  <c r="H187" i="83"/>
  <c r="G187" i="83"/>
  <c r="F187" i="83"/>
  <c r="E187" i="83"/>
  <c r="D187" i="83"/>
  <c r="H186" i="83"/>
  <c r="G186" i="83"/>
  <c r="F186" i="83"/>
  <c r="E186" i="83"/>
  <c r="D186" i="83"/>
  <c r="H185" i="83"/>
  <c r="G185" i="83"/>
  <c r="F185" i="83"/>
  <c r="E185" i="83"/>
  <c r="D185" i="83"/>
  <c r="H184" i="83"/>
  <c r="G184" i="83"/>
  <c r="F184" i="83"/>
  <c r="E184" i="83"/>
  <c r="D184" i="83"/>
  <c r="H183" i="83"/>
  <c r="G183" i="83"/>
  <c r="F183" i="83"/>
  <c r="E183" i="83"/>
  <c r="D183" i="83"/>
  <c r="H182" i="83"/>
  <c r="G182" i="83"/>
  <c r="F182" i="83"/>
  <c r="E182" i="83"/>
  <c r="D182" i="83"/>
  <c r="AD179" i="83"/>
  <c r="AC179" i="83"/>
  <c r="H180" i="83"/>
  <c r="G180" i="83"/>
  <c r="F180" i="83"/>
  <c r="E180" i="83"/>
  <c r="D180" i="83"/>
  <c r="AC162" i="83"/>
  <c r="AB162" i="83"/>
  <c r="AA162" i="83"/>
  <c r="Z162" i="83"/>
  <c r="Y162" i="83"/>
  <c r="AC160" i="83"/>
  <c r="AB160" i="83"/>
  <c r="AA160" i="83"/>
  <c r="Z160" i="83"/>
  <c r="Y160" i="83"/>
  <c r="AC158" i="83"/>
  <c r="AB158" i="83"/>
  <c r="AA158" i="83"/>
  <c r="Z158" i="83"/>
  <c r="Y158" i="83"/>
  <c r="AC157" i="83"/>
  <c r="AB157" i="83"/>
  <c r="AA157" i="83"/>
  <c r="Z157" i="83"/>
  <c r="Y157" i="83"/>
  <c r="AC156" i="83"/>
  <c r="AB156" i="83"/>
  <c r="AA156" i="83"/>
  <c r="Z156" i="83"/>
  <c r="Y156" i="83"/>
  <c r="AC155" i="83"/>
  <c r="AB155" i="83"/>
  <c r="Z155" i="83"/>
  <c r="Y155" i="83"/>
  <c r="AC154" i="83"/>
  <c r="AB154" i="83"/>
  <c r="AA154" i="83"/>
  <c r="Z154" i="83"/>
  <c r="Y154" i="83"/>
  <c r="AC153" i="83"/>
  <c r="AB153" i="83"/>
  <c r="AA153" i="83"/>
  <c r="Z153" i="83"/>
  <c r="Y153" i="83"/>
  <c r="AC152" i="83"/>
  <c r="AB152" i="83"/>
  <c r="AA152" i="83"/>
  <c r="Z152" i="83"/>
  <c r="Y152" i="83"/>
  <c r="AC151" i="83"/>
  <c r="AB151" i="83"/>
  <c r="AA151" i="83"/>
  <c r="Z151" i="83"/>
  <c r="Y151" i="83"/>
  <c r="AC150" i="83"/>
  <c r="AB150" i="83"/>
  <c r="AA150" i="83"/>
  <c r="Z150" i="83"/>
  <c r="Y150" i="83"/>
  <c r="AC149" i="83"/>
  <c r="AB149" i="83"/>
  <c r="AA149" i="83"/>
  <c r="Z149" i="83"/>
  <c r="Y149" i="83"/>
  <c r="AC148" i="83"/>
  <c r="AB148" i="83"/>
  <c r="AA148" i="83"/>
  <c r="Z148" i="83"/>
  <c r="Y148" i="83"/>
  <c r="AC147" i="83"/>
  <c r="AB147" i="83"/>
  <c r="AA147" i="83"/>
  <c r="Z147" i="83"/>
  <c r="Y147" i="83"/>
  <c r="AC146" i="83"/>
  <c r="AB146" i="83"/>
  <c r="AA146" i="83"/>
  <c r="Z146" i="83"/>
  <c r="Y146" i="83"/>
  <c r="AC145" i="83"/>
  <c r="AB145" i="83"/>
  <c r="AA145" i="83"/>
  <c r="Z145" i="83"/>
  <c r="Y145" i="83"/>
  <c r="AC144" i="83"/>
  <c r="AB144" i="83"/>
  <c r="AA144" i="83"/>
  <c r="Z144" i="83"/>
  <c r="Y144" i="83"/>
  <c r="AC142" i="83"/>
  <c r="AB142" i="83"/>
  <c r="AA142" i="83"/>
  <c r="Z142" i="83"/>
  <c r="Y142" i="83"/>
  <c r="AC127" i="83"/>
  <c r="AB127" i="83"/>
  <c r="AA127" i="83"/>
  <c r="Z127" i="83"/>
  <c r="Y127" i="83"/>
  <c r="AC125" i="83"/>
  <c r="AB125" i="83"/>
  <c r="AA125" i="83"/>
  <c r="Z125" i="83"/>
  <c r="Y125" i="83"/>
  <c r="AC123" i="83"/>
  <c r="AB123" i="83"/>
  <c r="AA123" i="83"/>
  <c r="Z123" i="83"/>
  <c r="Y123" i="83"/>
  <c r="AC122" i="83"/>
  <c r="AB122" i="83"/>
  <c r="AA122" i="83"/>
  <c r="Z122" i="83"/>
  <c r="Y122" i="83"/>
  <c r="AC121" i="83"/>
  <c r="AB121" i="83"/>
  <c r="AA121" i="83"/>
  <c r="Z121" i="83"/>
  <c r="Y121" i="83"/>
  <c r="AC120" i="83"/>
  <c r="AB120" i="83"/>
  <c r="Z120" i="83"/>
  <c r="Y120" i="83"/>
  <c r="AC119" i="83"/>
  <c r="AB119" i="83"/>
  <c r="AA119" i="83"/>
  <c r="Z119" i="83"/>
  <c r="Y119" i="83"/>
  <c r="AC118" i="83"/>
  <c r="AB118" i="83"/>
  <c r="AA118" i="83"/>
  <c r="Z118" i="83"/>
  <c r="Y118" i="83"/>
  <c r="AC117" i="83"/>
  <c r="AB117" i="83"/>
  <c r="AA117" i="83"/>
  <c r="Z117" i="83"/>
  <c r="Y117" i="83"/>
  <c r="AC116" i="83"/>
  <c r="AB116" i="83"/>
  <c r="AA116" i="83"/>
  <c r="Z116" i="83"/>
  <c r="Y116" i="83"/>
  <c r="AC115" i="83"/>
  <c r="AB115" i="83"/>
  <c r="AA115" i="83"/>
  <c r="Z115" i="83"/>
  <c r="Y115" i="83"/>
  <c r="AC114" i="83"/>
  <c r="AB114" i="83"/>
  <c r="AA114" i="83"/>
  <c r="Z114" i="83"/>
  <c r="Y114" i="83"/>
  <c r="AC113" i="83"/>
  <c r="AB113" i="83"/>
  <c r="AA113" i="83"/>
  <c r="Z113" i="83"/>
  <c r="Y113" i="83"/>
  <c r="AC112" i="83"/>
  <c r="AB112" i="83"/>
  <c r="AA112" i="83"/>
  <c r="Z112" i="83"/>
  <c r="Y112" i="83"/>
  <c r="AC111" i="83"/>
  <c r="AB111" i="83"/>
  <c r="AA111" i="83"/>
  <c r="Z111" i="83"/>
  <c r="Y111" i="83"/>
  <c r="AC110" i="83"/>
  <c r="AB110" i="83"/>
  <c r="AA110" i="83"/>
  <c r="Z110" i="83"/>
  <c r="Y110" i="83"/>
  <c r="AC109" i="83"/>
  <c r="AB109" i="83"/>
  <c r="AA109" i="83"/>
  <c r="Z109" i="83"/>
  <c r="Y109" i="83"/>
  <c r="AC107" i="83"/>
  <c r="AB107" i="83"/>
  <c r="AA107" i="83"/>
  <c r="Z107" i="83"/>
  <c r="Y107" i="83"/>
  <c r="X2" i="83"/>
  <c r="AG10" i="83"/>
  <c r="Y1" i="69"/>
  <c r="AQ34" i="83"/>
  <c r="AP34" i="83"/>
  <c r="AO34" i="83"/>
  <c r="AN34" i="83"/>
  <c r="AM34" i="83"/>
  <c r="AL34" i="83"/>
  <c r="Y1" i="67"/>
  <c r="B5" i="67" s="1"/>
  <c r="BM34" i="69"/>
  <c r="BN34" i="69"/>
  <c r="BO34" i="69"/>
  <c r="BP34" i="69"/>
  <c r="BL34" i="69"/>
  <c r="BH34" i="69"/>
  <c r="BI34" i="69"/>
  <c r="BJ34" i="69"/>
  <c r="BK34" i="69"/>
  <c r="BG34" i="69"/>
  <c r="BC34" i="69"/>
  <c r="BD34" i="69"/>
  <c r="BE34" i="69"/>
  <c r="BF34" i="69"/>
  <c r="BB34" i="69"/>
  <c r="AX34" i="69"/>
  <c r="AY34" i="69"/>
  <c r="AZ34" i="69"/>
  <c r="BA34" i="69"/>
  <c r="AW34" i="69"/>
  <c r="AS34" i="69"/>
  <c r="AT34" i="69"/>
  <c r="AU34" i="69"/>
  <c r="AV34" i="69"/>
  <c r="AR34" i="69"/>
  <c r="AQ34" i="69"/>
  <c r="AM34" i="69"/>
  <c r="AN34" i="69"/>
  <c r="AO34" i="69"/>
  <c r="AP34" i="69"/>
  <c r="AL34" i="69"/>
  <c r="AG10" i="69"/>
  <c r="AK5" i="69"/>
  <c r="AQ34" i="68"/>
  <c r="AP34" i="68"/>
  <c r="AO34" i="68"/>
  <c r="AN34" i="68"/>
  <c r="AM34" i="68"/>
  <c r="AL34" i="68"/>
  <c r="AG10" i="68"/>
  <c r="X2" i="68"/>
  <c r="Y1" i="68"/>
  <c r="AN31" i="68"/>
  <c r="AM31" i="68"/>
  <c r="AL31" i="68"/>
  <c r="AK31" i="68"/>
  <c r="AN29" i="68"/>
  <c r="AM29" i="68"/>
  <c r="AL29" i="68"/>
  <c r="AK29" i="68"/>
  <c r="AN28" i="68"/>
  <c r="AM28" i="68"/>
  <c r="AL28" i="68"/>
  <c r="AK28" i="68"/>
  <c r="AN27" i="68"/>
  <c r="AM27" i="68"/>
  <c r="AL27" i="68"/>
  <c r="AK27" i="68"/>
  <c r="AN26" i="68"/>
  <c r="AM26" i="68"/>
  <c r="AL26" i="68"/>
  <c r="AK26" i="68"/>
  <c r="AN25" i="68"/>
  <c r="AM25" i="68"/>
  <c r="AL25" i="68"/>
  <c r="AK25" i="68"/>
  <c r="AN24" i="68"/>
  <c r="AM24" i="68"/>
  <c r="AL24" i="68"/>
  <c r="AK24" i="68"/>
  <c r="AN23" i="68"/>
  <c r="AM23" i="68"/>
  <c r="AL23" i="68"/>
  <c r="AK23" i="68"/>
  <c r="AN22" i="68"/>
  <c r="AM22" i="68"/>
  <c r="AL22" i="68"/>
  <c r="AK22" i="68"/>
  <c r="AN21" i="68"/>
  <c r="AM21" i="68"/>
  <c r="AL21" i="68"/>
  <c r="AK21" i="68"/>
  <c r="AN20" i="68"/>
  <c r="AM20" i="68"/>
  <c r="AL20" i="68"/>
  <c r="AK20" i="68"/>
  <c r="AN19" i="68"/>
  <c r="AM19" i="68"/>
  <c r="AL19" i="68"/>
  <c r="AK19" i="68"/>
  <c r="AN18" i="68"/>
  <c r="AM18" i="68"/>
  <c r="AL18" i="68"/>
  <c r="AK18" i="68"/>
  <c r="AN17" i="68"/>
  <c r="AM17" i="68"/>
  <c r="AL17" i="68"/>
  <c r="AK17" i="68"/>
  <c r="AN16" i="68"/>
  <c r="AM16" i="68"/>
  <c r="AL16" i="68"/>
  <c r="AK16" i="68"/>
  <c r="AN15" i="68"/>
  <c r="AM15" i="68"/>
  <c r="AL15" i="68"/>
  <c r="AK15" i="68"/>
  <c r="AN14" i="68"/>
  <c r="AM14" i="68"/>
  <c r="AL14" i="68"/>
  <c r="AK14" i="68"/>
  <c r="AN13" i="68"/>
  <c r="AM13" i="68"/>
  <c r="AL13" i="68"/>
  <c r="AK13" i="68"/>
  <c r="AN12" i="68"/>
  <c r="AM12" i="68"/>
  <c r="AL12" i="68"/>
  <c r="AK12" i="68"/>
  <c r="AN11" i="68"/>
  <c r="AM11" i="68"/>
  <c r="AL11" i="68"/>
  <c r="AK11" i="68"/>
  <c r="AI164" i="67"/>
  <c r="AH164" i="67"/>
  <c r="AG164" i="67"/>
  <c r="AF164" i="67"/>
  <c r="AE164" i="67"/>
  <c r="AI162" i="67"/>
  <c r="AH162" i="67"/>
  <c r="AG162" i="67"/>
  <c r="AF162" i="67"/>
  <c r="AE162" i="67"/>
  <c r="AI160" i="67"/>
  <c r="AH160" i="67"/>
  <c r="AG160" i="67"/>
  <c r="AF160" i="67"/>
  <c r="AE160" i="67"/>
  <c r="AI159" i="67"/>
  <c r="AC159" i="67" s="1"/>
  <c r="AH159" i="67"/>
  <c r="AG159" i="67"/>
  <c r="AF159" i="67"/>
  <c r="AE159" i="67"/>
  <c r="AI158" i="67"/>
  <c r="AC158" i="67" s="1"/>
  <c r="AH158" i="67"/>
  <c r="AG158" i="67"/>
  <c r="AF158" i="67"/>
  <c r="AE158" i="67"/>
  <c r="AI157" i="67"/>
  <c r="AH157" i="67"/>
  <c r="AG157" i="67"/>
  <c r="AF157" i="67"/>
  <c r="AE157" i="67"/>
  <c r="AI156" i="67"/>
  <c r="AH156" i="67"/>
  <c r="AB156" i="67" s="1"/>
  <c r="AF156" i="67"/>
  <c r="Z156" i="67" s="1"/>
  <c r="AE156" i="67"/>
  <c r="AI155" i="67"/>
  <c r="AH155" i="67"/>
  <c r="AG155" i="67"/>
  <c r="AF155" i="67"/>
  <c r="AE155" i="67"/>
  <c r="AI154" i="67"/>
  <c r="AH154" i="67"/>
  <c r="AG154" i="67"/>
  <c r="AF154" i="67"/>
  <c r="AE154" i="67"/>
  <c r="AI153" i="67"/>
  <c r="AH153" i="67"/>
  <c r="AG153" i="67"/>
  <c r="AF153" i="67"/>
  <c r="AE153" i="67"/>
  <c r="AI152" i="67"/>
  <c r="AH152" i="67"/>
  <c r="AG152" i="67"/>
  <c r="AF152" i="67"/>
  <c r="AE152" i="67"/>
  <c r="AI151" i="67"/>
  <c r="AH151" i="67"/>
  <c r="AG151" i="67"/>
  <c r="AF151" i="67"/>
  <c r="AE151" i="67"/>
  <c r="AI150" i="67"/>
  <c r="AH150" i="67"/>
  <c r="AG150" i="67"/>
  <c r="AF150" i="67"/>
  <c r="AE150" i="67"/>
  <c r="AI149" i="67"/>
  <c r="AH149" i="67"/>
  <c r="AG149" i="67"/>
  <c r="AF149" i="67"/>
  <c r="AE149" i="67"/>
  <c r="AI148" i="67"/>
  <c r="AC148" i="67" s="1"/>
  <c r="AH148" i="67"/>
  <c r="AB148" i="67" s="1"/>
  <c r="AG148" i="67"/>
  <c r="AA148" i="67" s="1"/>
  <c r="AF148" i="67"/>
  <c r="Z148" i="67" s="1"/>
  <c r="AE148" i="67"/>
  <c r="AI147" i="67"/>
  <c r="AC147" i="67" s="1"/>
  <c r="AH147" i="67"/>
  <c r="AG147" i="67"/>
  <c r="AF147" i="67"/>
  <c r="Z147" i="67" s="1"/>
  <c r="AE147" i="67"/>
  <c r="AI146" i="67"/>
  <c r="AH146" i="67"/>
  <c r="AG146" i="67"/>
  <c r="AF146" i="67"/>
  <c r="AE146" i="67"/>
  <c r="AI145" i="67"/>
  <c r="AC145" i="67" s="1"/>
  <c r="AH145" i="67"/>
  <c r="AG145" i="67"/>
  <c r="AF145" i="67"/>
  <c r="AE145" i="67"/>
  <c r="AI144" i="67"/>
  <c r="AH144" i="67"/>
  <c r="AG144" i="67"/>
  <c r="AF144" i="67"/>
  <c r="AE144" i="67"/>
  <c r="AB143" i="67"/>
  <c r="AA143" i="67"/>
  <c r="Z143" i="67"/>
  <c r="AI142" i="67"/>
  <c r="AH142" i="67"/>
  <c r="AG142" i="67"/>
  <c r="AF142" i="67"/>
  <c r="AE142" i="67"/>
  <c r="AC164" i="67"/>
  <c r="AB164" i="67"/>
  <c r="AA164" i="67"/>
  <c r="Z164" i="67"/>
  <c r="Y164" i="67"/>
  <c r="BV36" i="67"/>
  <c r="BU36" i="67"/>
  <c r="BT36" i="67"/>
  <c r="BS36" i="67"/>
  <c r="BR36" i="67"/>
  <c r="BP36" i="67"/>
  <c r="BO36" i="67"/>
  <c r="BN36" i="67"/>
  <c r="BM36" i="67"/>
  <c r="BL36" i="67"/>
  <c r="BK36" i="67"/>
  <c r="BJ36" i="67"/>
  <c r="BI36" i="67"/>
  <c r="BH36" i="67"/>
  <c r="BG36" i="67"/>
  <c r="BF36" i="67"/>
  <c r="BE36" i="67"/>
  <c r="BD36" i="67"/>
  <c r="BC36" i="67"/>
  <c r="BB36" i="67"/>
  <c r="BA36" i="67"/>
  <c r="AZ36" i="67"/>
  <c r="AY36" i="67"/>
  <c r="AX36" i="67"/>
  <c r="AW36" i="67"/>
  <c r="AU36" i="67"/>
  <c r="AT36" i="67"/>
  <c r="AS36" i="67"/>
  <c r="AR36" i="67"/>
  <c r="AQ36" i="67"/>
  <c r="AP36" i="67"/>
  <c r="AO36" i="67"/>
  <c r="AN36" i="67"/>
  <c r="AM36" i="67"/>
  <c r="AL36" i="67"/>
  <c r="AX34" i="67"/>
  <c r="AY34" i="67"/>
  <c r="AZ34" i="67"/>
  <c r="BA34" i="67"/>
  <c r="AW34" i="67"/>
  <c r="AS34" i="67"/>
  <c r="AT34" i="67"/>
  <c r="AU34" i="67"/>
  <c r="AV34" i="67"/>
  <c r="AR34" i="67"/>
  <c r="BB34" i="67"/>
  <c r="AC129" i="67"/>
  <c r="AB129" i="67"/>
  <c r="AA129" i="67"/>
  <c r="Z129" i="67"/>
  <c r="Y129" i="67"/>
  <c r="AC127" i="67"/>
  <c r="AB127" i="67"/>
  <c r="AA127" i="67"/>
  <c r="Z127" i="67"/>
  <c r="Y127" i="67"/>
  <c r="AC125" i="67"/>
  <c r="AB125" i="67"/>
  <c r="AA125" i="67"/>
  <c r="Z125" i="67"/>
  <c r="Y125" i="67"/>
  <c r="AC124" i="67"/>
  <c r="AB124" i="67"/>
  <c r="AA124" i="67"/>
  <c r="Z124" i="67"/>
  <c r="Y124" i="67"/>
  <c r="AC123" i="67"/>
  <c r="AB123" i="67"/>
  <c r="AA123" i="67"/>
  <c r="Z123" i="67"/>
  <c r="Y123" i="67"/>
  <c r="AC122" i="67"/>
  <c r="AB122" i="67"/>
  <c r="Z122" i="67"/>
  <c r="Y122" i="67"/>
  <c r="AC121" i="67"/>
  <c r="AB121" i="67"/>
  <c r="AA121" i="67"/>
  <c r="Z121" i="67"/>
  <c r="Y121" i="67"/>
  <c r="AC120" i="67"/>
  <c r="AB120" i="67"/>
  <c r="AA120" i="67"/>
  <c r="Z120" i="67"/>
  <c r="Y120" i="67"/>
  <c r="AC119" i="67"/>
  <c r="AB119" i="67"/>
  <c r="AA119" i="67"/>
  <c r="Z119" i="67"/>
  <c r="Y119" i="67"/>
  <c r="AC118" i="67"/>
  <c r="AB118" i="67"/>
  <c r="AA118" i="67"/>
  <c r="Z118" i="67"/>
  <c r="Y118" i="67"/>
  <c r="AC117" i="67"/>
  <c r="AB117" i="67"/>
  <c r="AA117" i="67"/>
  <c r="Z117" i="67"/>
  <c r="Y117" i="67"/>
  <c r="AC116" i="67"/>
  <c r="AB116" i="67"/>
  <c r="AA116" i="67"/>
  <c r="Z116" i="67"/>
  <c r="Y116" i="67"/>
  <c r="AC115" i="67"/>
  <c r="AB115" i="67"/>
  <c r="AA115" i="67"/>
  <c r="Z115" i="67"/>
  <c r="Y115" i="67"/>
  <c r="AC114" i="67"/>
  <c r="AB114" i="67"/>
  <c r="AA114" i="67"/>
  <c r="Z114" i="67"/>
  <c r="Y114" i="67"/>
  <c r="AC113" i="67"/>
  <c r="AB113" i="67"/>
  <c r="AA113" i="67"/>
  <c r="Z113" i="67"/>
  <c r="Y113" i="67"/>
  <c r="AC112" i="67"/>
  <c r="AB112" i="67"/>
  <c r="AA112" i="67"/>
  <c r="Z112" i="67"/>
  <c r="Y112" i="67"/>
  <c r="AC111" i="67"/>
  <c r="AB111" i="67"/>
  <c r="AA111" i="67"/>
  <c r="Z111" i="67"/>
  <c r="Y111" i="67"/>
  <c r="AC109" i="67"/>
  <c r="AB109" i="67"/>
  <c r="AA109" i="67"/>
  <c r="Z109" i="67"/>
  <c r="Y109" i="67"/>
  <c r="B239" i="69" l="1"/>
  <c r="B171" i="69"/>
  <c r="B138" i="69"/>
  <c r="B105" i="69"/>
  <c r="B5" i="69"/>
  <c r="B108" i="68"/>
  <c r="AK106" i="68" s="1"/>
  <c r="B5" i="68"/>
  <c r="AK5" i="68" s="1"/>
  <c r="B308" i="83"/>
  <c r="AK306" i="83" s="1"/>
  <c r="B174" i="83"/>
  <c r="AK174" i="83" s="1"/>
  <c r="B5" i="83"/>
  <c r="S115" i="68"/>
  <c r="S121" i="68"/>
  <c r="S128" i="68"/>
  <c r="T128" i="68" s="1"/>
  <c r="S126" i="68"/>
  <c r="S123" i="68"/>
  <c r="S117" i="68"/>
  <c r="S129" i="68"/>
  <c r="T129" i="68" s="1"/>
  <c r="S118" i="68"/>
  <c r="S132" i="68"/>
  <c r="T132" i="68" s="1"/>
  <c r="S131" i="68"/>
  <c r="T131" i="68" s="1"/>
  <c r="S125" i="68"/>
  <c r="S122" i="68"/>
  <c r="S120" i="68"/>
  <c r="S130" i="68"/>
  <c r="T130" i="68" s="1"/>
  <c r="S133" i="68"/>
  <c r="T133" i="68" s="1"/>
  <c r="S119" i="68"/>
  <c r="S116" i="68"/>
  <c r="S114" i="68"/>
  <c r="S127" i="68"/>
  <c r="T127" i="68" s="1"/>
  <c r="S124" i="68"/>
  <c r="S134" i="68"/>
  <c r="T134" i="68" s="1"/>
  <c r="E254" i="83"/>
  <c r="E287" i="83"/>
  <c r="G257" i="83"/>
  <c r="G290" i="83"/>
  <c r="AB194" i="83"/>
  <c r="E259" i="83"/>
  <c r="E292" i="83"/>
  <c r="AD196" i="83"/>
  <c r="G294" i="83"/>
  <c r="G261" i="83"/>
  <c r="F246" i="83"/>
  <c r="F279" i="83"/>
  <c r="D248" i="83"/>
  <c r="D281" i="83"/>
  <c r="AD184" i="83"/>
  <c r="G249" i="83"/>
  <c r="G282" i="83"/>
  <c r="E251" i="83"/>
  <c r="E284" i="83"/>
  <c r="H252" i="83"/>
  <c r="H285" i="83"/>
  <c r="F254" i="83"/>
  <c r="F287" i="83"/>
  <c r="D256" i="83"/>
  <c r="D289" i="83"/>
  <c r="H257" i="83"/>
  <c r="H290" i="83"/>
  <c r="F292" i="83"/>
  <c r="F259" i="83"/>
  <c r="H261" i="83"/>
  <c r="H294" i="83"/>
  <c r="AD187" i="83"/>
  <c r="G252" i="83"/>
  <c r="G285" i="83"/>
  <c r="AA180" i="83"/>
  <c r="D245" i="83"/>
  <c r="D278" i="83"/>
  <c r="AD181" i="83"/>
  <c r="G246" i="83"/>
  <c r="G279" i="83"/>
  <c r="AB183" i="83"/>
  <c r="E248" i="83"/>
  <c r="E281" i="83"/>
  <c r="H249" i="83"/>
  <c r="H282" i="83"/>
  <c r="AC186" i="83"/>
  <c r="F251" i="83"/>
  <c r="F284" i="83"/>
  <c r="D253" i="83"/>
  <c r="D286" i="83"/>
  <c r="G254" i="83"/>
  <c r="G287" i="83"/>
  <c r="E256" i="83"/>
  <c r="E289" i="83"/>
  <c r="AA193" i="83"/>
  <c r="D258" i="83"/>
  <c r="D291" i="83"/>
  <c r="AD194" i="83"/>
  <c r="G259" i="83"/>
  <c r="G292" i="83"/>
  <c r="AA198" i="83"/>
  <c r="D296" i="83"/>
  <c r="D263" i="83"/>
  <c r="D251" i="83"/>
  <c r="D284" i="83"/>
  <c r="D276" i="83"/>
  <c r="D243" i="83"/>
  <c r="AB180" i="83"/>
  <c r="E245" i="83"/>
  <c r="E278" i="83"/>
  <c r="H246" i="83"/>
  <c r="H279" i="83"/>
  <c r="AC183" i="83"/>
  <c r="F281" i="83"/>
  <c r="F248" i="83"/>
  <c r="D250" i="83"/>
  <c r="D283" i="83"/>
  <c r="AD186" i="83"/>
  <c r="G284" i="83"/>
  <c r="G251" i="83"/>
  <c r="E253" i="83"/>
  <c r="E286" i="83"/>
  <c r="H287" i="83"/>
  <c r="H254" i="83"/>
  <c r="AD191" i="83"/>
  <c r="G256" i="83"/>
  <c r="G289" i="83"/>
  <c r="AB193" i="83"/>
  <c r="E258" i="83"/>
  <c r="E291" i="83"/>
  <c r="H259" i="83"/>
  <c r="H292" i="83"/>
  <c r="E296" i="83"/>
  <c r="E263" i="83"/>
  <c r="H255" i="83"/>
  <c r="H288" i="83"/>
  <c r="E243" i="83"/>
  <c r="E276" i="83"/>
  <c r="F245" i="83"/>
  <c r="F278" i="83"/>
  <c r="AA182" i="83"/>
  <c r="D280" i="83"/>
  <c r="D247" i="83"/>
  <c r="AD183" i="83"/>
  <c r="G248" i="83"/>
  <c r="G281" i="83"/>
  <c r="AB185" i="83"/>
  <c r="E250" i="83"/>
  <c r="E283" i="83"/>
  <c r="H284" i="83"/>
  <c r="H251" i="83"/>
  <c r="AC188" i="83"/>
  <c r="F253" i="83"/>
  <c r="F286" i="83"/>
  <c r="D288" i="83"/>
  <c r="D255" i="83"/>
  <c r="H289" i="83"/>
  <c r="H256" i="83"/>
  <c r="AC193" i="83"/>
  <c r="F291" i="83"/>
  <c r="F258" i="83"/>
  <c r="F263" i="83"/>
  <c r="F296" i="83"/>
  <c r="H247" i="83"/>
  <c r="H280" i="83"/>
  <c r="AC178" i="83"/>
  <c r="F243" i="83"/>
  <c r="F276" i="83"/>
  <c r="AD180" i="83"/>
  <c r="G278" i="83"/>
  <c r="G245" i="83"/>
  <c r="E280" i="83"/>
  <c r="E247" i="83"/>
  <c r="H281" i="83"/>
  <c r="H248" i="83"/>
  <c r="F283" i="83"/>
  <c r="F250" i="83"/>
  <c r="D285" i="83"/>
  <c r="D252" i="83"/>
  <c r="AD188" i="83"/>
  <c r="G286" i="83"/>
  <c r="G253" i="83"/>
  <c r="E288" i="83"/>
  <c r="E255" i="83"/>
  <c r="D257" i="83"/>
  <c r="D290" i="83"/>
  <c r="AD193" i="83"/>
  <c r="G258" i="83"/>
  <c r="G291" i="83"/>
  <c r="D261" i="83"/>
  <c r="D294" i="83"/>
  <c r="G263" i="83"/>
  <c r="G296" i="83"/>
  <c r="E246" i="83"/>
  <c r="E279" i="83"/>
  <c r="G243" i="83"/>
  <c r="G276" i="83"/>
  <c r="H245" i="83"/>
  <c r="H278" i="83"/>
  <c r="AC182" i="83"/>
  <c r="F247" i="83"/>
  <c r="F280" i="83"/>
  <c r="AA184" i="83"/>
  <c r="D249" i="83"/>
  <c r="D282" i="83"/>
  <c r="AD185" i="83"/>
  <c r="G250" i="83"/>
  <c r="G283" i="83"/>
  <c r="AB187" i="83"/>
  <c r="E252" i="83"/>
  <c r="E285" i="83"/>
  <c r="H253" i="83"/>
  <c r="H286" i="83"/>
  <c r="AC190" i="83"/>
  <c r="F255" i="83"/>
  <c r="F288" i="83"/>
  <c r="E257" i="83"/>
  <c r="E290" i="83"/>
  <c r="H258" i="83"/>
  <c r="H291" i="83"/>
  <c r="AB196" i="83"/>
  <c r="E261" i="83"/>
  <c r="E294" i="83"/>
  <c r="AE198" i="83"/>
  <c r="H263" i="83"/>
  <c r="H296" i="83"/>
  <c r="F249" i="83"/>
  <c r="F282" i="83"/>
  <c r="H243" i="83"/>
  <c r="H276" i="83"/>
  <c r="D246" i="83"/>
  <c r="D279" i="83"/>
  <c r="G247" i="83"/>
  <c r="G280" i="83"/>
  <c r="E249" i="83"/>
  <c r="E282" i="83"/>
  <c r="H250" i="83"/>
  <c r="H283" i="83"/>
  <c r="AC187" i="83"/>
  <c r="F252" i="83"/>
  <c r="F285" i="83"/>
  <c r="AA189" i="83"/>
  <c r="D254" i="83"/>
  <c r="D287" i="83"/>
  <c r="AD190" i="83"/>
  <c r="G255" i="83"/>
  <c r="G288" i="83"/>
  <c r="F257" i="83"/>
  <c r="F290" i="83"/>
  <c r="AA194" i="83"/>
  <c r="D259" i="83"/>
  <c r="D292" i="83"/>
  <c r="AC196" i="83"/>
  <c r="F261" i="83"/>
  <c r="F294" i="83"/>
  <c r="AO31" i="68"/>
  <c r="I31" i="68" s="1"/>
  <c r="AN159" i="68"/>
  <c r="AN158" i="68"/>
  <c r="AN144" i="68"/>
  <c r="AN145" i="68"/>
  <c r="AN153" i="68"/>
  <c r="AN139" i="68"/>
  <c r="AN147" i="68"/>
  <c r="AN151" i="68"/>
  <c r="AN154" i="68"/>
  <c r="AN148" i="68"/>
  <c r="AN146" i="68"/>
  <c r="AN142" i="68"/>
  <c r="AN143" i="68"/>
  <c r="AN149" i="68"/>
  <c r="AN157" i="68"/>
  <c r="AN141" i="68"/>
  <c r="AN150" i="68"/>
  <c r="AN155" i="68"/>
  <c r="AN140" i="68"/>
  <c r="AN156" i="68"/>
  <c r="AN152" i="68"/>
  <c r="AP158" i="68"/>
  <c r="AP159" i="68"/>
  <c r="AP156" i="68"/>
  <c r="AP152" i="68"/>
  <c r="AP154" i="68"/>
  <c r="AP142" i="68"/>
  <c r="AP141" i="68"/>
  <c r="AP150" i="68"/>
  <c r="AP144" i="68"/>
  <c r="AP149" i="68"/>
  <c r="AP145" i="68"/>
  <c r="AP151" i="68"/>
  <c r="AP146" i="68"/>
  <c r="AP148" i="68"/>
  <c r="AP139" i="68"/>
  <c r="AP143" i="68"/>
  <c r="AP147" i="68"/>
  <c r="AP140" i="68"/>
  <c r="AP155" i="68"/>
  <c r="AP157" i="68"/>
  <c r="AP153" i="68"/>
  <c r="AL158" i="68"/>
  <c r="AL159" i="68"/>
  <c r="AL139" i="68"/>
  <c r="AL152" i="68"/>
  <c r="AL145" i="68"/>
  <c r="AL153" i="68"/>
  <c r="AL148" i="68"/>
  <c r="AL154" i="68"/>
  <c r="AL141" i="68"/>
  <c r="AL155" i="68"/>
  <c r="AL149" i="68"/>
  <c r="AL147" i="68"/>
  <c r="AL146" i="68"/>
  <c r="AL157" i="68"/>
  <c r="AL142" i="68"/>
  <c r="AL156" i="68"/>
  <c r="AL140" i="68"/>
  <c r="AL144" i="68"/>
  <c r="AL143" i="68"/>
  <c r="AL151" i="68"/>
  <c r="AL150" i="68"/>
  <c r="B204" i="69"/>
  <c r="AO158" i="68"/>
  <c r="AO156" i="68"/>
  <c r="AO157" i="68"/>
  <c r="AO140" i="68"/>
  <c r="AO151" i="68"/>
  <c r="AO143" i="68"/>
  <c r="AO147" i="68"/>
  <c r="AO150" i="68"/>
  <c r="AO142" i="68"/>
  <c r="AO145" i="68"/>
  <c r="AO139" i="68"/>
  <c r="AO154" i="68"/>
  <c r="AO148" i="68"/>
  <c r="AO152" i="68"/>
  <c r="AO146" i="68"/>
  <c r="AO149" i="68"/>
  <c r="AO159" i="68"/>
  <c r="AO141" i="68"/>
  <c r="AO153" i="68"/>
  <c r="AO155" i="68"/>
  <c r="AO144" i="68"/>
  <c r="AM159" i="68"/>
  <c r="AM158" i="68"/>
  <c r="AM152" i="68"/>
  <c r="AM146" i="68"/>
  <c r="AM145" i="68"/>
  <c r="AM142" i="68"/>
  <c r="AM140" i="68"/>
  <c r="AM149" i="68"/>
  <c r="AM148" i="68"/>
  <c r="AM155" i="68"/>
  <c r="AM147" i="68"/>
  <c r="AM144" i="68"/>
  <c r="AM143" i="68"/>
  <c r="AM157" i="68"/>
  <c r="AM141" i="68"/>
  <c r="AM153" i="68"/>
  <c r="AM150" i="68"/>
  <c r="AM139" i="68"/>
  <c r="AM156" i="68"/>
  <c r="AM154" i="68"/>
  <c r="AM151" i="68"/>
  <c r="AO11" i="68"/>
  <c r="I11" i="68" s="1"/>
  <c r="AB141" i="68"/>
  <c r="AB142" i="68"/>
  <c r="AB40" i="83"/>
  <c r="AB232" i="83"/>
  <c r="AB233" i="83"/>
  <c r="AB41" i="83"/>
  <c r="AE179" i="83"/>
  <c r="Y179" i="83"/>
  <c r="AE196" i="83"/>
  <c r="Y196" i="83"/>
  <c r="Y181" i="83"/>
  <c r="Y185" i="83"/>
  <c r="AE189" i="83"/>
  <c r="Y189" i="83"/>
  <c r="AE192" i="83"/>
  <c r="Y192" i="83"/>
  <c r="AE194" i="83"/>
  <c r="Y194" i="83"/>
  <c r="AE178" i="83"/>
  <c r="Y178" i="83"/>
  <c r="AE182" i="83"/>
  <c r="Y182" i="83"/>
  <c r="AE186" i="83"/>
  <c r="Y186" i="83"/>
  <c r="AE190" i="83"/>
  <c r="Z190" i="83"/>
  <c r="Y190" i="83"/>
  <c r="Y195" i="83"/>
  <c r="AE183" i="83"/>
  <c r="Y183" i="83"/>
  <c r="AE187" i="83"/>
  <c r="Y187" i="83"/>
  <c r="Y180" i="83"/>
  <c r="Y184" i="83"/>
  <c r="Y188" i="83"/>
  <c r="Y191" i="83"/>
  <c r="AE193" i="83"/>
  <c r="Y193" i="83"/>
  <c r="AB40" i="68"/>
  <c r="AB41" i="68"/>
  <c r="AO12" i="68"/>
  <c r="I12" i="68" s="1"/>
  <c r="AO13" i="68"/>
  <c r="I13" i="68" s="1"/>
  <c r="AO14" i="68"/>
  <c r="I14" i="68" s="1"/>
  <c r="AO15" i="68"/>
  <c r="I15" i="68" s="1"/>
  <c r="AO16" i="68"/>
  <c r="I16" i="68" s="1"/>
  <c r="AO17" i="68"/>
  <c r="I17" i="68" s="1"/>
  <c r="AO18" i="68"/>
  <c r="I18" i="68" s="1"/>
  <c r="AO19" i="68"/>
  <c r="I19" i="68" s="1"/>
  <c r="AO20" i="68"/>
  <c r="I20" i="68" s="1"/>
  <c r="AO21" i="68"/>
  <c r="I21" i="68" s="1"/>
  <c r="AO22" i="68"/>
  <c r="I22" i="68" s="1"/>
  <c r="AO23" i="68"/>
  <c r="I23" i="68" s="1"/>
  <c r="AO24" i="68"/>
  <c r="I24" i="68" s="1"/>
  <c r="AO25" i="68"/>
  <c r="I25" i="68" s="1"/>
  <c r="AO26" i="68"/>
  <c r="I26" i="68" s="1"/>
  <c r="AO27" i="68"/>
  <c r="I27" i="68" s="1"/>
  <c r="AO28" i="68"/>
  <c r="I28" i="68" s="1"/>
  <c r="AO29" i="68"/>
  <c r="I29" i="68" s="1"/>
  <c r="O197" i="83"/>
  <c r="T197" i="83" s="1"/>
  <c r="AE195" i="83"/>
  <c r="O182" i="83"/>
  <c r="AE180" i="83"/>
  <c r="O186" i="83"/>
  <c r="AE184" i="83"/>
  <c r="O190" i="83"/>
  <c r="AE188" i="83"/>
  <c r="O193" i="83"/>
  <c r="T193" i="83" s="1"/>
  <c r="AE191" i="83"/>
  <c r="O183" i="83"/>
  <c r="AE181" i="83"/>
  <c r="O187" i="83"/>
  <c r="AE185" i="83"/>
  <c r="N191" i="83"/>
  <c r="AS191" i="83" s="1"/>
  <c r="AD189" i="83"/>
  <c r="N194" i="83"/>
  <c r="AS194" i="83" s="1"/>
  <c r="AD192" i="83"/>
  <c r="N200" i="83"/>
  <c r="AS200" i="83" s="1"/>
  <c r="AD198" i="83"/>
  <c r="N180" i="83"/>
  <c r="AS179" i="83" s="1"/>
  <c r="AD178" i="83"/>
  <c r="N184" i="83"/>
  <c r="AS184" i="83" s="1"/>
  <c r="AD182" i="83"/>
  <c r="N197" i="83"/>
  <c r="AS197" i="83" s="1"/>
  <c r="AD195" i="83"/>
  <c r="M182" i="83"/>
  <c r="AR182" i="83" s="1"/>
  <c r="AC180" i="83"/>
  <c r="M200" i="83"/>
  <c r="AR200" i="83" s="1"/>
  <c r="AC198" i="83"/>
  <c r="M183" i="83"/>
  <c r="AR183" i="83" s="1"/>
  <c r="AC181" i="83"/>
  <c r="M191" i="83"/>
  <c r="AR191" i="83" s="1"/>
  <c r="AC189" i="83"/>
  <c r="M196" i="83"/>
  <c r="AR196" i="83" s="1"/>
  <c r="AC194" i="83"/>
  <c r="M186" i="83"/>
  <c r="AR186" i="83" s="1"/>
  <c r="AC184" i="83"/>
  <c r="M187" i="83"/>
  <c r="AR187" i="83" s="1"/>
  <c r="AC185" i="83"/>
  <c r="M194" i="83"/>
  <c r="AR194" i="83" s="1"/>
  <c r="AC192" i="83"/>
  <c r="L183" i="83"/>
  <c r="AQ183" i="83" s="1"/>
  <c r="AB181" i="83"/>
  <c r="L191" i="83"/>
  <c r="AQ191" i="83" s="1"/>
  <c r="AB189" i="83"/>
  <c r="L194" i="83"/>
  <c r="AQ194" i="83" s="1"/>
  <c r="AB192" i="83"/>
  <c r="L180" i="83"/>
  <c r="AQ179" i="83" s="1"/>
  <c r="AB178" i="83"/>
  <c r="L184" i="83"/>
  <c r="AQ184" i="83" s="1"/>
  <c r="AB182" i="83"/>
  <c r="L188" i="83"/>
  <c r="AQ188" i="83" s="1"/>
  <c r="AB186" i="83"/>
  <c r="L192" i="83"/>
  <c r="AQ192" i="83" s="1"/>
  <c r="AB190" i="83"/>
  <c r="L197" i="83"/>
  <c r="AQ197" i="83" s="1"/>
  <c r="AB195" i="83"/>
  <c r="L181" i="83"/>
  <c r="AQ181" i="83" s="1"/>
  <c r="AB179" i="83"/>
  <c r="L186" i="83"/>
  <c r="AQ186" i="83" s="1"/>
  <c r="AB184" i="83"/>
  <c r="L190" i="83"/>
  <c r="AQ190" i="83" s="1"/>
  <c r="AB188" i="83"/>
  <c r="L193" i="83"/>
  <c r="AQ193" i="83" s="1"/>
  <c r="AB191" i="83"/>
  <c r="L200" i="83"/>
  <c r="AQ200" i="83" s="1"/>
  <c r="AB198" i="83"/>
  <c r="K188" i="83"/>
  <c r="AA186" i="83"/>
  <c r="K192" i="83"/>
  <c r="AA190" i="83"/>
  <c r="K197" i="83"/>
  <c r="AA195" i="83"/>
  <c r="K181" i="83"/>
  <c r="AA179" i="83"/>
  <c r="K185" i="83"/>
  <c r="AA183" i="83"/>
  <c r="K189" i="83"/>
  <c r="AA187" i="83"/>
  <c r="K198" i="83"/>
  <c r="AA196" i="83"/>
  <c r="K190" i="83"/>
  <c r="AA188" i="83"/>
  <c r="K193" i="83"/>
  <c r="AA191" i="83"/>
  <c r="K183" i="83"/>
  <c r="AA181" i="83"/>
  <c r="K187" i="83"/>
  <c r="AA185" i="83"/>
  <c r="K194" i="83"/>
  <c r="AA192" i="83"/>
  <c r="K180" i="83"/>
  <c r="AA178" i="83"/>
  <c r="AK5" i="83"/>
  <c r="M195" i="83"/>
  <c r="M190" i="83"/>
  <c r="K184" i="83"/>
  <c r="K191" i="83"/>
  <c r="AK186" i="83"/>
  <c r="AK190" i="83"/>
  <c r="AK195" i="83"/>
  <c r="L195" i="83"/>
  <c r="O200" i="83"/>
  <c r="T200" i="83" s="1"/>
  <c r="M189" i="83"/>
  <c r="AL185" i="83"/>
  <c r="K200" i="83"/>
  <c r="M198" i="83"/>
  <c r="K196" i="83"/>
  <c r="N192" i="83"/>
  <c r="M188" i="83"/>
  <c r="L185" i="83"/>
  <c r="L182" i="83"/>
  <c r="N196" i="83"/>
  <c r="N188" i="83"/>
  <c r="AN179" i="83"/>
  <c r="AM181" i="83"/>
  <c r="AN184" i="83"/>
  <c r="AK187" i="83"/>
  <c r="AK191" i="83"/>
  <c r="AK196" i="83"/>
  <c r="AN197" i="83"/>
  <c r="AM198" i="83"/>
  <c r="AK200" i="83"/>
  <c r="M180" i="83"/>
  <c r="AK182" i="83"/>
  <c r="K182" i="83"/>
  <c r="AL181" i="83"/>
  <c r="M197" i="83"/>
  <c r="K195" i="83"/>
  <c r="M192" i="83"/>
  <c r="L189" i="83"/>
  <c r="N187" i="83"/>
  <c r="K186" i="83"/>
  <c r="N183" i="83"/>
  <c r="AL189" i="83"/>
  <c r="L198" i="83"/>
  <c r="O195" i="83"/>
  <c r="T195" i="83" s="1"/>
  <c r="L187" i="83"/>
  <c r="M185" i="83"/>
  <c r="M184" i="83"/>
  <c r="M181" i="83"/>
  <c r="AK193" i="83"/>
  <c r="AL198" i="83"/>
  <c r="N198" i="83"/>
  <c r="L196" i="83"/>
  <c r="O184" i="83"/>
  <c r="AM179" i="83"/>
  <c r="AN183" i="83"/>
  <c r="AM184" i="83"/>
  <c r="AN187" i="83"/>
  <c r="AM188" i="83"/>
  <c r="AN191" i="83"/>
  <c r="AM192" i="83"/>
  <c r="AN194" i="83"/>
  <c r="AN196" i="83"/>
  <c r="AM197" i="83"/>
  <c r="AN200" i="83"/>
  <c r="AL182" i="83"/>
  <c r="AL186" i="83"/>
  <c r="AL190" i="83"/>
  <c r="AL195" i="83"/>
  <c r="O196" i="83"/>
  <c r="T196" i="83" s="1"/>
  <c r="O194" i="83"/>
  <c r="T194" i="83" s="1"/>
  <c r="O191" i="83"/>
  <c r="T191" i="83" s="1"/>
  <c r="O181" i="83"/>
  <c r="AN181" i="83"/>
  <c r="N182" i="83"/>
  <c r="AM182" i="83"/>
  <c r="O185" i="83"/>
  <c r="AN185" i="83"/>
  <c r="N195" i="83"/>
  <c r="AM195" i="83"/>
  <c r="O198" i="83"/>
  <c r="T198" i="83" s="1"/>
  <c r="AN198" i="83"/>
  <c r="AL183" i="83"/>
  <c r="AL187" i="83"/>
  <c r="AL192" i="83"/>
  <c r="AN182" i="83"/>
  <c r="AN186" i="83"/>
  <c r="AN190" i="83"/>
  <c r="AM191" i="83"/>
  <c r="AM194" i="83"/>
  <c r="AM196" i="83"/>
  <c r="AM200" i="83"/>
  <c r="AM185" i="83"/>
  <c r="N185" i="83"/>
  <c r="O188" i="83"/>
  <c r="AN188" i="83"/>
  <c r="AM189" i="83"/>
  <c r="N189" i="83"/>
  <c r="AN192" i="83"/>
  <c r="O192" i="83"/>
  <c r="T192" i="83" s="1"/>
  <c r="AK181" i="83"/>
  <c r="AK183" i="83"/>
  <c r="AK184" i="83"/>
  <c r="AK185" i="83"/>
  <c r="AK188" i="83"/>
  <c r="AK189" i="83"/>
  <c r="AK192" i="83"/>
  <c r="AK194" i="83"/>
  <c r="AK197" i="83"/>
  <c r="AK198" i="83"/>
  <c r="AK179" i="83"/>
  <c r="N186" i="83"/>
  <c r="AM186" i="83"/>
  <c r="O189" i="83"/>
  <c r="AN189" i="83"/>
  <c r="N190" i="83"/>
  <c r="AM190" i="83"/>
  <c r="N193" i="83"/>
  <c r="AL179" i="83"/>
  <c r="AL184" i="83"/>
  <c r="AL188" i="83"/>
  <c r="AL191" i="83"/>
  <c r="AL194" i="83"/>
  <c r="AL196" i="83"/>
  <c r="AL197" i="83"/>
  <c r="AL200" i="83"/>
  <c r="AM183" i="83"/>
  <c r="AM187" i="83"/>
  <c r="AN193" i="83"/>
  <c r="AN195" i="83"/>
  <c r="O180" i="83"/>
  <c r="N181" i="83"/>
  <c r="AG10" i="67"/>
  <c r="BS34" i="67"/>
  <c r="BT34" i="67"/>
  <c r="BU34" i="67"/>
  <c r="BV34" i="67"/>
  <c r="BR34" i="67"/>
  <c r="BM34" i="67"/>
  <c r="BN34" i="67"/>
  <c r="BO34" i="67"/>
  <c r="BP34" i="67"/>
  <c r="BL34" i="67"/>
  <c r="BH34" i="67"/>
  <c r="BI34" i="67"/>
  <c r="BJ34" i="67"/>
  <c r="BK34" i="67"/>
  <c r="BG34" i="67"/>
  <c r="BC34" i="67"/>
  <c r="BD34" i="67"/>
  <c r="BE34" i="67"/>
  <c r="BF34" i="67"/>
  <c r="AQ34" i="67"/>
  <c r="AM34" i="67"/>
  <c r="AN34" i="67"/>
  <c r="AO34" i="67"/>
  <c r="AP34" i="67"/>
  <c r="AL34" i="67"/>
  <c r="AK5" i="67"/>
  <c r="X40" i="66"/>
  <c r="S68" i="76" l="1"/>
  <c r="K68" i="76"/>
  <c r="D68" i="76"/>
  <c r="P200" i="83"/>
  <c r="G68" i="76"/>
  <c r="F68" i="76"/>
  <c r="U68" i="76"/>
  <c r="O68" i="76"/>
  <c r="AG195" i="83"/>
  <c r="X68" i="76"/>
  <c r="I68" i="76"/>
  <c r="M68" i="76"/>
  <c r="V68" i="76"/>
  <c r="R68" i="76"/>
  <c r="H68" i="76"/>
  <c r="Q68" i="76"/>
  <c r="AG184" i="83"/>
  <c r="J68" i="76"/>
  <c r="P68" i="76"/>
  <c r="T68" i="76"/>
  <c r="L68" i="76"/>
  <c r="E68" i="76"/>
  <c r="N68" i="76"/>
  <c r="AT183" i="83"/>
  <c r="P182" i="83"/>
  <c r="AG193" i="83"/>
  <c r="P191" i="83"/>
  <c r="AT187" i="83"/>
  <c r="AT186" i="83"/>
  <c r="AT197" i="83"/>
  <c r="AG181" i="83"/>
  <c r="AG185" i="83"/>
  <c r="P186" i="83"/>
  <c r="AT193" i="83"/>
  <c r="AA197" i="83"/>
  <c r="AE197" i="83"/>
  <c r="P193" i="83"/>
  <c r="P197" i="83"/>
  <c r="AG188" i="83"/>
  <c r="P190" i="83"/>
  <c r="P183" i="83"/>
  <c r="P187" i="83"/>
  <c r="AG180" i="83"/>
  <c r="AT182" i="83"/>
  <c r="AT190" i="83"/>
  <c r="AG191" i="83"/>
  <c r="AD197" i="83"/>
  <c r="AB197" i="83"/>
  <c r="AT191" i="83"/>
  <c r="AV191" i="83" s="1"/>
  <c r="AR184" i="83"/>
  <c r="AS187" i="83"/>
  <c r="AR197" i="83"/>
  <c r="AQ185" i="83"/>
  <c r="AR198" i="83"/>
  <c r="AR189" i="83"/>
  <c r="AR190" i="83"/>
  <c r="AS195" i="83"/>
  <c r="AQ196" i="83"/>
  <c r="AR185" i="83"/>
  <c r="AQ189" i="83"/>
  <c r="AR188" i="83"/>
  <c r="AT200" i="83"/>
  <c r="AU200" i="83" s="1"/>
  <c r="AR195" i="83"/>
  <c r="AS193" i="83"/>
  <c r="AS181" i="83"/>
  <c r="AS190" i="83"/>
  <c r="AS186" i="83"/>
  <c r="AS198" i="83"/>
  <c r="AQ187" i="83"/>
  <c r="AQ198" i="83"/>
  <c r="AS183" i="83"/>
  <c r="AR192" i="83"/>
  <c r="AS196" i="83"/>
  <c r="AS192" i="83"/>
  <c r="AS189" i="83"/>
  <c r="AS185" i="83"/>
  <c r="AS182" i="83"/>
  <c r="AR181" i="83"/>
  <c r="AR179" i="83"/>
  <c r="AS188" i="83"/>
  <c r="AQ182" i="83"/>
  <c r="AQ195" i="83"/>
  <c r="AG182" i="83"/>
  <c r="AG186" i="83"/>
  <c r="AT195" i="83"/>
  <c r="P195" i="83"/>
  <c r="P198" i="83"/>
  <c r="AT184" i="83"/>
  <c r="P196" i="83"/>
  <c r="AG190" i="83"/>
  <c r="P181" i="83"/>
  <c r="AG189" i="83"/>
  <c r="AG192" i="83"/>
  <c r="P180" i="83"/>
  <c r="P189" i="83"/>
  <c r="AO200" i="83"/>
  <c r="I200" i="83" s="1"/>
  <c r="P184" i="83"/>
  <c r="AO182" i="83"/>
  <c r="I182" i="83" s="1"/>
  <c r="AT194" i="83"/>
  <c r="AV194" i="83" s="1"/>
  <c r="AO179" i="83"/>
  <c r="I180" i="83" s="1"/>
  <c r="AO187" i="83"/>
  <c r="I187" i="83" s="1"/>
  <c r="AO196" i="83"/>
  <c r="I196" i="83" s="1"/>
  <c r="AO184" i="83"/>
  <c r="I184" i="83" s="1"/>
  <c r="AO194" i="83"/>
  <c r="I194" i="83" s="1"/>
  <c r="AO191" i="83"/>
  <c r="I191" i="83" s="1"/>
  <c r="AO190" i="83"/>
  <c r="I190" i="83" s="1"/>
  <c r="AO181" i="83"/>
  <c r="I181" i="83" s="1"/>
  <c r="AT196" i="83"/>
  <c r="AG194" i="83"/>
  <c r="AT198" i="83"/>
  <c r="AG196" i="83"/>
  <c r="AO195" i="83"/>
  <c r="I195" i="83" s="1"/>
  <c r="P194" i="83"/>
  <c r="AT189" i="83"/>
  <c r="AG187" i="83"/>
  <c r="AO186" i="83"/>
  <c r="I186" i="83" s="1"/>
  <c r="AO185" i="83"/>
  <c r="I185" i="83" s="1"/>
  <c r="AT185" i="83"/>
  <c r="AG183" i="83"/>
  <c r="AT181" i="83"/>
  <c r="AG179" i="83"/>
  <c r="AO197" i="83"/>
  <c r="I197" i="83" s="1"/>
  <c r="AT179" i="83"/>
  <c r="AO189" i="83"/>
  <c r="I189" i="83" s="1"/>
  <c r="P192" i="83"/>
  <c r="AT192" i="83"/>
  <c r="P185" i="83"/>
  <c r="AO198" i="83"/>
  <c r="I198" i="83" s="1"/>
  <c r="AO192" i="83"/>
  <c r="I192" i="83" s="1"/>
  <c r="AO188" i="83"/>
  <c r="I188" i="83" s="1"/>
  <c r="AO183" i="83"/>
  <c r="I183" i="83" s="1"/>
  <c r="P188" i="83"/>
  <c r="AT188" i="83"/>
  <c r="AG10" i="66"/>
  <c r="AG10" i="65"/>
  <c r="AG10" i="64"/>
  <c r="AG10" i="63"/>
  <c r="AG10" i="62"/>
  <c r="AG10" i="49"/>
  <c r="AX34" i="66"/>
  <c r="AY34" i="66"/>
  <c r="AZ34" i="66"/>
  <c r="BA34" i="66"/>
  <c r="AW34" i="66"/>
  <c r="AS34" i="66"/>
  <c r="AT34" i="66"/>
  <c r="AU34" i="66"/>
  <c r="AV34" i="66"/>
  <c r="AR34" i="66"/>
  <c r="AQ34" i="66"/>
  <c r="AP34" i="66"/>
  <c r="AO34" i="66"/>
  <c r="AN34" i="66"/>
  <c r="AM34" i="66"/>
  <c r="AL34" i="66"/>
  <c r="X2" i="66"/>
  <c r="AB40" i="66" s="1"/>
  <c r="Y1" i="66"/>
  <c r="B5" i="66" s="1"/>
  <c r="AK5" i="66"/>
  <c r="Y1" i="65"/>
  <c r="B5" i="65" s="1"/>
  <c r="Y1" i="64"/>
  <c r="B5" i="64" s="1"/>
  <c r="Y1" i="63"/>
  <c r="B5" i="63" s="1"/>
  <c r="Y1" i="62"/>
  <c r="B5" i="62" s="1"/>
  <c r="Y1" i="49"/>
  <c r="B5" i="49" s="1"/>
  <c r="X40" i="49"/>
  <c r="X40" i="62"/>
  <c r="X40" i="63"/>
  <c r="X40" i="65"/>
  <c r="AQ34" i="65"/>
  <c r="AP34" i="65"/>
  <c r="AO34" i="65"/>
  <c r="AN34" i="65"/>
  <c r="AM34" i="65"/>
  <c r="AL34" i="65"/>
  <c r="AK5" i="65"/>
  <c r="X2" i="65"/>
  <c r="AQ34" i="64"/>
  <c r="AM34" i="64"/>
  <c r="AN34" i="64"/>
  <c r="AO34" i="64"/>
  <c r="AP34" i="64"/>
  <c r="AL34" i="64"/>
  <c r="AQ34" i="63"/>
  <c r="BH34" i="63"/>
  <c r="BI34" i="63"/>
  <c r="BJ34" i="63"/>
  <c r="BK34" i="63"/>
  <c r="BG34" i="63"/>
  <c r="BC34" i="63"/>
  <c r="BD34" i="63"/>
  <c r="BE34" i="63"/>
  <c r="BF34" i="63"/>
  <c r="BB34" i="63"/>
  <c r="AX34" i="63"/>
  <c r="AY34" i="63"/>
  <c r="AZ34" i="63"/>
  <c r="BA34" i="63"/>
  <c r="AW34" i="63"/>
  <c r="AS34" i="63"/>
  <c r="AT34" i="63"/>
  <c r="AU34" i="63"/>
  <c r="AV34" i="63"/>
  <c r="AR34" i="63"/>
  <c r="AM34" i="63"/>
  <c r="AN34" i="63"/>
  <c r="AO34" i="63"/>
  <c r="AP34" i="63"/>
  <c r="AL34" i="63"/>
  <c r="AV34" i="62"/>
  <c r="AU34" i="62"/>
  <c r="AT34" i="62"/>
  <c r="AS34" i="62"/>
  <c r="AR34" i="62"/>
  <c r="AQ34" i="62"/>
  <c r="AP34" i="62"/>
  <c r="AO34" i="62"/>
  <c r="AN34" i="62"/>
  <c r="AM34" i="62"/>
  <c r="AL34" i="62"/>
  <c r="I7" i="63"/>
  <c r="I7" i="62"/>
  <c r="X40" i="64"/>
  <c r="X2" i="63"/>
  <c r="AK5" i="64"/>
  <c r="S20" i="63" l="1"/>
  <c r="S12" i="63"/>
  <c r="S11" i="63"/>
  <c r="S28" i="63"/>
  <c r="S23" i="63"/>
  <c r="S25" i="63"/>
  <c r="S21" i="63"/>
  <c r="S13" i="63"/>
  <c r="S17" i="63"/>
  <c r="S29" i="63"/>
  <c r="S26" i="63"/>
  <c r="S18" i="63"/>
  <c r="S19" i="63"/>
  <c r="S27" i="63"/>
  <c r="S31" i="63"/>
  <c r="S15" i="63"/>
  <c r="S16" i="63"/>
  <c r="S22" i="63"/>
  <c r="S24" i="63"/>
  <c r="S14" i="63"/>
  <c r="AV186" i="83"/>
  <c r="AV183" i="83"/>
  <c r="AU197" i="83"/>
  <c r="AB41" i="66"/>
  <c r="AB40" i="65"/>
  <c r="AB41" i="65"/>
  <c r="AV187" i="83"/>
  <c r="AB41" i="63"/>
  <c r="AB40" i="63"/>
  <c r="AU184" i="83"/>
  <c r="AU190" i="83"/>
  <c r="AU182" i="83"/>
  <c r="AV179" i="83"/>
  <c r="AU183" i="83"/>
  <c r="AV197" i="83"/>
  <c r="AV182" i="83"/>
  <c r="AU187" i="83"/>
  <c r="AU186" i="83"/>
  <c r="AV192" i="83"/>
  <c r="AU181" i="83"/>
  <c r="AV190" i="83"/>
  <c r="AU191" i="83"/>
  <c r="AW191" i="83" s="1"/>
  <c r="AV195" i="83"/>
  <c r="AV184" i="83"/>
  <c r="AV200" i="83"/>
  <c r="AW200" i="83" s="1"/>
  <c r="AV185" i="83"/>
  <c r="AV189" i="83"/>
  <c r="AV196" i="83"/>
  <c r="AU195" i="83"/>
  <c r="AV181" i="83"/>
  <c r="AU194" i="83"/>
  <c r="AW194" i="83" s="1"/>
  <c r="AU196" i="83"/>
  <c r="AU198" i="83"/>
  <c r="AV198" i="83"/>
  <c r="AU189" i="83"/>
  <c r="AU185" i="83"/>
  <c r="AV188" i="83"/>
  <c r="AU188" i="83"/>
  <c r="AU192" i="83"/>
  <c r="AU179" i="83"/>
  <c r="X2" i="62"/>
  <c r="AK5" i="63"/>
  <c r="S20" i="62" l="1"/>
  <c r="S28" i="62"/>
  <c r="S11" i="62"/>
  <c r="S23" i="62"/>
  <c r="S18" i="62"/>
  <c r="S25" i="62"/>
  <c r="S29" i="62"/>
  <c r="S26" i="62"/>
  <c r="S27" i="62"/>
  <c r="S12" i="62"/>
  <c r="S13" i="62"/>
  <c r="S31" i="62"/>
  <c r="S16" i="62"/>
  <c r="S22" i="62"/>
  <c r="S15" i="62"/>
  <c r="S24" i="62"/>
  <c r="S21" i="62"/>
  <c r="S14" i="62"/>
  <c r="S19" i="62"/>
  <c r="S17" i="62"/>
  <c r="AW186" i="83"/>
  <c r="AW184" i="83"/>
  <c r="AW187" i="83"/>
  <c r="AW183" i="83"/>
  <c r="AW197" i="83"/>
  <c r="AB40" i="62"/>
  <c r="AB41" i="62"/>
  <c r="AW182" i="83"/>
  <c r="AW190" i="83"/>
  <c r="AW179" i="83"/>
  <c r="AW192" i="83"/>
  <c r="AW181" i="83"/>
  <c r="AW195" i="83"/>
  <c r="AW185" i="83"/>
  <c r="AW196" i="83"/>
  <c r="AW189" i="83"/>
  <c r="AW198" i="83"/>
  <c r="AW188" i="83"/>
  <c r="BU153" i="50" l="1"/>
  <c r="BU129" i="50" s="1"/>
  <c r="BP153" i="50"/>
  <c r="BP129" i="50" s="1"/>
  <c r="BK153" i="50"/>
  <c r="BK129" i="50" s="1"/>
  <c r="BF153" i="50"/>
  <c r="BF129" i="50" s="1"/>
  <c r="BA153" i="50"/>
  <c r="BA129" i="50" s="1"/>
  <c r="AV153" i="50"/>
  <c r="AV129" i="50" s="1"/>
  <c r="AQ153" i="50"/>
  <c r="AQ129" i="50" s="1"/>
  <c r="AL153" i="50"/>
  <c r="AL129" i="50" s="1"/>
  <c r="AG153" i="50"/>
  <c r="AG129" i="50" s="1"/>
  <c r="AB153" i="50" l="1"/>
  <c r="AB129" i="50" s="1"/>
  <c r="EB128" i="50"/>
  <c r="BY176" i="50" s="1"/>
  <c r="EA128" i="50"/>
  <c r="BX176" i="50" s="1"/>
  <c r="DZ128" i="50"/>
  <c r="BW176" i="50" s="1"/>
  <c r="DY128" i="50"/>
  <c r="BV176" i="50" s="1"/>
  <c r="DX128" i="50"/>
  <c r="BU176" i="50" s="1"/>
  <c r="EB126" i="50"/>
  <c r="BY174" i="50" s="1"/>
  <c r="EA126" i="50"/>
  <c r="BX174" i="50" s="1"/>
  <c r="DZ126" i="50"/>
  <c r="BW174" i="50" s="1"/>
  <c r="DY126" i="50"/>
  <c r="BV174" i="50" s="1"/>
  <c r="DX126" i="50"/>
  <c r="BU174" i="50" s="1"/>
  <c r="BY173" i="50"/>
  <c r="BX173" i="50"/>
  <c r="BW173" i="50"/>
  <c r="BV173" i="50"/>
  <c r="BU173" i="50"/>
  <c r="EB124" i="50"/>
  <c r="BY172" i="50" s="1"/>
  <c r="EA124" i="50"/>
  <c r="BX172" i="50" s="1"/>
  <c r="DZ124" i="50"/>
  <c r="BW172" i="50" s="1"/>
  <c r="DY124" i="50"/>
  <c r="BV172" i="50" s="1"/>
  <c r="DX124" i="50"/>
  <c r="BU172" i="50" s="1"/>
  <c r="EB123" i="50"/>
  <c r="BY171" i="50" s="1"/>
  <c r="EA123" i="50"/>
  <c r="BX171" i="50" s="1"/>
  <c r="DZ123" i="50"/>
  <c r="BW171" i="50" s="1"/>
  <c r="DY123" i="50"/>
  <c r="BV171" i="50" s="1"/>
  <c r="DX123" i="50"/>
  <c r="BU171" i="50" s="1"/>
  <c r="EB122" i="50"/>
  <c r="BY170" i="50" s="1"/>
  <c r="EA122" i="50"/>
  <c r="BX170" i="50" s="1"/>
  <c r="DZ122" i="50"/>
  <c r="BW170" i="50" s="1"/>
  <c r="DY122" i="50"/>
  <c r="BV170" i="50" s="1"/>
  <c r="DX122" i="50"/>
  <c r="BU170" i="50" s="1"/>
  <c r="EB121" i="50"/>
  <c r="BY169" i="50" s="1"/>
  <c r="EA121" i="50"/>
  <c r="BX169" i="50" s="1"/>
  <c r="DY121" i="50"/>
  <c r="BV169" i="50" s="1"/>
  <c r="DX121" i="50"/>
  <c r="BU169" i="50" s="1"/>
  <c r="EB120" i="50"/>
  <c r="BY168" i="50" s="1"/>
  <c r="EA120" i="50"/>
  <c r="BX168" i="50" s="1"/>
  <c r="DZ120" i="50"/>
  <c r="BW168" i="50" s="1"/>
  <c r="DY120" i="50"/>
  <c r="BV168" i="50" s="1"/>
  <c r="DX120" i="50"/>
  <c r="BU168" i="50" s="1"/>
  <c r="EB119" i="50"/>
  <c r="BY167" i="50" s="1"/>
  <c r="EA119" i="50"/>
  <c r="BX167" i="50" s="1"/>
  <c r="DZ119" i="50"/>
  <c r="BW167" i="50" s="1"/>
  <c r="DY119" i="50"/>
  <c r="BV167" i="50" s="1"/>
  <c r="DX119" i="50"/>
  <c r="BU167" i="50" s="1"/>
  <c r="EB118" i="50"/>
  <c r="BY166" i="50" s="1"/>
  <c r="EA118" i="50"/>
  <c r="BX166" i="50" s="1"/>
  <c r="DZ118" i="50"/>
  <c r="BW166" i="50" s="1"/>
  <c r="DY118" i="50"/>
  <c r="BV166" i="50" s="1"/>
  <c r="DX118" i="50"/>
  <c r="BU166" i="50" s="1"/>
  <c r="EB117" i="50"/>
  <c r="BY165" i="50" s="1"/>
  <c r="EA117" i="50"/>
  <c r="BX165" i="50" s="1"/>
  <c r="DZ117" i="50"/>
  <c r="BW165" i="50" s="1"/>
  <c r="DY117" i="50"/>
  <c r="BV165" i="50" s="1"/>
  <c r="DX117" i="50"/>
  <c r="BU165" i="50" s="1"/>
  <c r="EB116" i="50"/>
  <c r="BY164" i="50" s="1"/>
  <c r="EA116" i="50"/>
  <c r="BX164" i="50" s="1"/>
  <c r="DZ116" i="50"/>
  <c r="BW164" i="50" s="1"/>
  <c r="DY116" i="50"/>
  <c r="BV164" i="50" s="1"/>
  <c r="DX116" i="50"/>
  <c r="BU164" i="50" s="1"/>
  <c r="EB115" i="50"/>
  <c r="BY163" i="50" s="1"/>
  <c r="EA115" i="50"/>
  <c r="BX163" i="50" s="1"/>
  <c r="DZ115" i="50"/>
  <c r="BW163" i="50" s="1"/>
  <c r="DY115" i="50"/>
  <c r="BV163" i="50" s="1"/>
  <c r="DX115" i="50"/>
  <c r="BU163" i="50" s="1"/>
  <c r="EB114" i="50"/>
  <c r="BY162" i="50" s="1"/>
  <c r="EA114" i="50"/>
  <c r="BX162" i="50" s="1"/>
  <c r="DZ114" i="50"/>
  <c r="BW162" i="50" s="1"/>
  <c r="DY114" i="50"/>
  <c r="BV162" i="50" s="1"/>
  <c r="DX114" i="50"/>
  <c r="BU162" i="50" s="1"/>
  <c r="EB113" i="50"/>
  <c r="BY161" i="50" s="1"/>
  <c r="EA113" i="50"/>
  <c r="BX161" i="50" s="1"/>
  <c r="DZ113" i="50"/>
  <c r="BW161" i="50" s="1"/>
  <c r="DY113" i="50"/>
  <c r="BV161" i="50" s="1"/>
  <c r="DX113" i="50"/>
  <c r="BU161" i="50" s="1"/>
  <c r="EB112" i="50"/>
  <c r="BY160" i="50" s="1"/>
  <c r="EA112" i="50"/>
  <c r="BX160" i="50" s="1"/>
  <c r="DZ112" i="50"/>
  <c r="BW160" i="50" s="1"/>
  <c r="DY112" i="50"/>
  <c r="BV160" i="50" s="1"/>
  <c r="DX112" i="50"/>
  <c r="BU160" i="50" s="1"/>
  <c r="EB111" i="50"/>
  <c r="BY159" i="50" s="1"/>
  <c r="EA111" i="50"/>
  <c r="BX159" i="50" s="1"/>
  <c r="DZ111" i="50"/>
  <c r="BW159" i="50" s="1"/>
  <c r="DY111" i="50"/>
  <c r="BV159" i="50" s="1"/>
  <c r="DX111" i="50"/>
  <c r="BU159" i="50" s="1"/>
  <c r="EB110" i="50"/>
  <c r="BY158" i="50" s="1"/>
  <c r="EA110" i="50"/>
  <c r="BX158" i="50" s="1"/>
  <c r="DZ110" i="50"/>
  <c r="BW158" i="50" s="1"/>
  <c r="DY110" i="50"/>
  <c r="BV158" i="50" s="1"/>
  <c r="DX110" i="50"/>
  <c r="BU158" i="50" s="1"/>
  <c r="BY157" i="50"/>
  <c r="BX157" i="50"/>
  <c r="BW157" i="50"/>
  <c r="BV157" i="50"/>
  <c r="BU157" i="50"/>
  <c r="EB108" i="50"/>
  <c r="EA108" i="50"/>
  <c r="BX156" i="50" s="1"/>
  <c r="DZ108" i="50"/>
  <c r="BW156" i="50" s="1"/>
  <c r="DY108" i="50"/>
  <c r="BV156" i="50" s="1"/>
  <c r="DX108" i="50"/>
  <c r="BU156" i="50" s="1"/>
  <c r="DW128" i="50"/>
  <c r="BT176" i="50" s="1"/>
  <c r="DV128" i="50"/>
  <c r="BS176" i="50" s="1"/>
  <c r="DU128" i="50"/>
  <c r="BR176" i="50" s="1"/>
  <c r="DT128" i="50"/>
  <c r="BQ176" i="50" s="1"/>
  <c r="DS128" i="50"/>
  <c r="BP176" i="50" s="1"/>
  <c r="DW126" i="50"/>
  <c r="BT174" i="50" s="1"/>
  <c r="DV126" i="50"/>
  <c r="BS174" i="50" s="1"/>
  <c r="DU126" i="50"/>
  <c r="BR174" i="50" s="1"/>
  <c r="DT126" i="50"/>
  <c r="BQ174" i="50" s="1"/>
  <c r="DS126" i="50"/>
  <c r="BP174" i="50" s="1"/>
  <c r="BT173" i="50"/>
  <c r="BS173" i="50"/>
  <c r="BR173" i="50"/>
  <c r="BQ173" i="50"/>
  <c r="BP173" i="50"/>
  <c r="DW124" i="50"/>
  <c r="BT172" i="50" s="1"/>
  <c r="DV124" i="50"/>
  <c r="BS172" i="50" s="1"/>
  <c r="DU124" i="50"/>
  <c r="BR172" i="50" s="1"/>
  <c r="DT124" i="50"/>
  <c r="BQ172" i="50" s="1"/>
  <c r="DS124" i="50"/>
  <c r="BP172" i="50" s="1"/>
  <c r="DW123" i="50"/>
  <c r="BT171" i="50" s="1"/>
  <c r="DV123" i="50"/>
  <c r="BS171" i="50" s="1"/>
  <c r="DU123" i="50"/>
  <c r="BR171" i="50" s="1"/>
  <c r="DT123" i="50"/>
  <c r="BQ171" i="50" s="1"/>
  <c r="DS123" i="50"/>
  <c r="BP171" i="50" s="1"/>
  <c r="DW122" i="50"/>
  <c r="BT170" i="50" s="1"/>
  <c r="DV122" i="50"/>
  <c r="BS170" i="50" s="1"/>
  <c r="DU122" i="50"/>
  <c r="BR170" i="50" s="1"/>
  <c r="DT122" i="50"/>
  <c r="BQ170" i="50" s="1"/>
  <c r="DS122" i="50"/>
  <c r="BP170" i="50" s="1"/>
  <c r="DW121" i="50"/>
  <c r="BT169" i="50" s="1"/>
  <c r="DV121" i="50"/>
  <c r="BS169" i="50" s="1"/>
  <c r="DT121" i="50"/>
  <c r="BQ169" i="50" s="1"/>
  <c r="DS121" i="50"/>
  <c r="BP169" i="50" s="1"/>
  <c r="DW120" i="50"/>
  <c r="BT168" i="50" s="1"/>
  <c r="DV120" i="50"/>
  <c r="BS168" i="50" s="1"/>
  <c r="DU120" i="50"/>
  <c r="BR168" i="50" s="1"/>
  <c r="DT120" i="50"/>
  <c r="BQ168" i="50" s="1"/>
  <c r="DS120" i="50"/>
  <c r="BP168" i="50" s="1"/>
  <c r="DW119" i="50"/>
  <c r="BT167" i="50" s="1"/>
  <c r="DV119" i="50"/>
  <c r="BS167" i="50" s="1"/>
  <c r="DU119" i="50"/>
  <c r="BR167" i="50" s="1"/>
  <c r="DT119" i="50"/>
  <c r="BQ167" i="50" s="1"/>
  <c r="DS119" i="50"/>
  <c r="BP167" i="50" s="1"/>
  <c r="DW118" i="50"/>
  <c r="BT166" i="50" s="1"/>
  <c r="DV118" i="50"/>
  <c r="BS166" i="50" s="1"/>
  <c r="DU118" i="50"/>
  <c r="BR166" i="50" s="1"/>
  <c r="DT118" i="50"/>
  <c r="BQ166" i="50" s="1"/>
  <c r="DS118" i="50"/>
  <c r="BP166" i="50" s="1"/>
  <c r="DW117" i="50"/>
  <c r="BT165" i="50" s="1"/>
  <c r="DV117" i="50"/>
  <c r="BS165" i="50" s="1"/>
  <c r="DU117" i="50"/>
  <c r="BR165" i="50" s="1"/>
  <c r="DT117" i="50"/>
  <c r="BQ165" i="50" s="1"/>
  <c r="DS117" i="50"/>
  <c r="BP165" i="50" s="1"/>
  <c r="DW116" i="50"/>
  <c r="BT164" i="50" s="1"/>
  <c r="DV116" i="50"/>
  <c r="BS164" i="50" s="1"/>
  <c r="DU116" i="50"/>
  <c r="BR164" i="50" s="1"/>
  <c r="DT116" i="50"/>
  <c r="BQ164" i="50" s="1"/>
  <c r="DS116" i="50"/>
  <c r="BP164" i="50" s="1"/>
  <c r="DW115" i="50"/>
  <c r="BT163" i="50" s="1"/>
  <c r="DV115" i="50"/>
  <c r="BS163" i="50" s="1"/>
  <c r="DU115" i="50"/>
  <c r="BR163" i="50" s="1"/>
  <c r="DT115" i="50"/>
  <c r="BQ163" i="50" s="1"/>
  <c r="DS115" i="50"/>
  <c r="BP163" i="50" s="1"/>
  <c r="DW114" i="50"/>
  <c r="BT162" i="50" s="1"/>
  <c r="DV114" i="50"/>
  <c r="BS162" i="50" s="1"/>
  <c r="DU114" i="50"/>
  <c r="BR162" i="50" s="1"/>
  <c r="DT114" i="50"/>
  <c r="BQ162" i="50" s="1"/>
  <c r="DS114" i="50"/>
  <c r="BP162" i="50" s="1"/>
  <c r="DW113" i="50"/>
  <c r="BT161" i="50" s="1"/>
  <c r="DV113" i="50"/>
  <c r="BS161" i="50" s="1"/>
  <c r="DU113" i="50"/>
  <c r="BR161" i="50" s="1"/>
  <c r="DT113" i="50"/>
  <c r="BQ161" i="50" s="1"/>
  <c r="DS113" i="50"/>
  <c r="BP161" i="50" s="1"/>
  <c r="DW112" i="50"/>
  <c r="BT160" i="50" s="1"/>
  <c r="DV112" i="50"/>
  <c r="BS160" i="50" s="1"/>
  <c r="DU112" i="50"/>
  <c r="BR160" i="50" s="1"/>
  <c r="DT112" i="50"/>
  <c r="BQ160" i="50" s="1"/>
  <c r="DS112" i="50"/>
  <c r="BP160" i="50" s="1"/>
  <c r="DW111" i="50"/>
  <c r="BT159" i="50" s="1"/>
  <c r="DV111" i="50"/>
  <c r="BS159" i="50" s="1"/>
  <c r="DU111" i="50"/>
  <c r="BR159" i="50" s="1"/>
  <c r="DT111" i="50"/>
  <c r="BQ159" i="50" s="1"/>
  <c r="DS111" i="50"/>
  <c r="BP159" i="50" s="1"/>
  <c r="DW110" i="50"/>
  <c r="BT158" i="50" s="1"/>
  <c r="DV110" i="50"/>
  <c r="BS158" i="50" s="1"/>
  <c r="DU110" i="50"/>
  <c r="BR158" i="50" s="1"/>
  <c r="DT110" i="50"/>
  <c r="BQ158" i="50" s="1"/>
  <c r="DS110" i="50"/>
  <c r="BP158" i="50" s="1"/>
  <c r="BT157" i="50"/>
  <c r="BS157" i="50"/>
  <c r="BR157" i="50"/>
  <c r="BQ157" i="50"/>
  <c r="BP157" i="50"/>
  <c r="DW108" i="50"/>
  <c r="BT156" i="50" s="1"/>
  <c r="DV108" i="50"/>
  <c r="BS156" i="50" s="1"/>
  <c r="DU108" i="50"/>
  <c r="BR156" i="50" s="1"/>
  <c r="DT108" i="50"/>
  <c r="BQ156" i="50" s="1"/>
  <c r="DS108" i="50"/>
  <c r="BP156" i="50" s="1"/>
  <c r="DR128" i="50"/>
  <c r="BO176" i="50" s="1"/>
  <c r="DQ128" i="50"/>
  <c r="BN176" i="50" s="1"/>
  <c r="DP128" i="50"/>
  <c r="BM176" i="50" s="1"/>
  <c r="DO128" i="50"/>
  <c r="BL176" i="50" s="1"/>
  <c r="DN128" i="50"/>
  <c r="BK176" i="50" s="1"/>
  <c r="DR126" i="50"/>
  <c r="BO174" i="50" s="1"/>
  <c r="DQ126" i="50"/>
  <c r="BN174" i="50" s="1"/>
  <c r="DP126" i="50"/>
  <c r="BM174" i="50" s="1"/>
  <c r="DO126" i="50"/>
  <c r="BL174" i="50" s="1"/>
  <c r="DN126" i="50"/>
  <c r="BK174" i="50" s="1"/>
  <c r="BO173" i="50"/>
  <c r="BN173" i="50"/>
  <c r="BM173" i="50"/>
  <c r="BL173" i="50"/>
  <c r="BK173" i="50"/>
  <c r="DR124" i="50"/>
  <c r="BO172" i="50" s="1"/>
  <c r="DQ124" i="50"/>
  <c r="BN172" i="50" s="1"/>
  <c r="DP124" i="50"/>
  <c r="BM172" i="50" s="1"/>
  <c r="DO124" i="50"/>
  <c r="BL172" i="50" s="1"/>
  <c r="DN124" i="50"/>
  <c r="BK172" i="50" s="1"/>
  <c r="DR123" i="50"/>
  <c r="BO171" i="50" s="1"/>
  <c r="DQ123" i="50"/>
  <c r="BN171" i="50" s="1"/>
  <c r="DP123" i="50"/>
  <c r="BM171" i="50" s="1"/>
  <c r="DO123" i="50"/>
  <c r="BL171" i="50" s="1"/>
  <c r="DN123" i="50"/>
  <c r="BK171" i="50" s="1"/>
  <c r="DR122" i="50"/>
  <c r="BO170" i="50" s="1"/>
  <c r="DQ122" i="50"/>
  <c r="BN170" i="50" s="1"/>
  <c r="DP122" i="50"/>
  <c r="BM170" i="50" s="1"/>
  <c r="DO122" i="50"/>
  <c r="BL170" i="50" s="1"/>
  <c r="DN122" i="50"/>
  <c r="BK170" i="50" s="1"/>
  <c r="DR121" i="50"/>
  <c r="BO169" i="50" s="1"/>
  <c r="DQ121" i="50"/>
  <c r="BN169" i="50" s="1"/>
  <c r="DO121" i="50"/>
  <c r="BL169" i="50" s="1"/>
  <c r="DN121" i="50"/>
  <c r="BK169" i="50" s="1"/>
  <c r="DR120" i="50"/>
  <c r="BO168" i="50" s="1"/>
  <c r="DQ120" i="50"/>
  <c r="BN168" i="50" s="1"/>
  <c r="DP120" i="50"/>
  <c r="BM168" i="50" s="1"/>
  <c r="DO120" i="50"/>
  <c r="BL168" i="50" s="1"/>
  <c r="DN120" i="50"/>
  <c r="BK168" i="50" s="1"/>
  <c r="DR119" i="50"/>
  <c r="BO167" i="50" s="1"/>
  <c r="DQ119" i="50"/>
  <c r="BN167" i="50" s="1"/>
  <c r="DP119" i="50"/>
  <c r="BM167" i="50" s="1"/>
  <c r="DO119" i="50"/>
  <c r="BL167" i="50" s="1"/>
  <c r="DN119" i="50"/>
  <c r="BK167" i="50" s="1"/>
  <c r="DR118" i="50"/>
  <c r="BO166" i="50" s="1"/>
  <c r="DQ118" i="50"/>
  <c r="BN166" i="50" s="1"/>
  <c r="DP118" i="50"/>
  <c r="BM166" i="50" s="1"/>
  <c r="DO118" i="50"/>
  <c r="BL166" i="50" s="1"/>
  <c r="DN118" i="50"/>
  <c r="BK166" i="50" s="1"/>
  <c r="DR117" i="50"/>
  <c r="BO165" i="50" s="1"/>
  <c r="DQ117" i="50"/>
  <c r="BN165" i="50" s="1"/>
  <c r="DP117" i="50"/>
  <c r="BM165" i="50" s="1"/>
  <c r="DO117" i="50"/>
  <c r="BL165" i="50" s="1"/>
  <c r="DN117" i="50"/>
  <c r="BK165" i="50" s="1"/>
  <c r="DR116" i="50"/>
  <c r="BO164" i="50" s="1"/>
  <c r="DQ116" i="50"/>
  <c r="BN164" i="50" s="1"/>
  <c r="DP116" i="50"/>
  <c r="BM164" i="50" s="1"/>
  <c r="DO116" i="50"/>
  <c r="BL164" i="50" s="1"/>
  <c r="DN116" i="50"/>
  <c r="BK164" i="50" s="1"/>
  <c r="DR115" i="50"/>
  <c r="BO163" i="50" s="1"/>
  <c r="DQ115" i="50"/>
  <c r="BN163" i="50" s="1"/>
  <c r="DP115" i="50"/>
  <c r="BM163" i="50" s="1"/>
  <c r="DO115" i="50"/>
  <c r="BL163" i="50" s="1"/>
  <c r="DN115" i="50"/>
  <c r="BK163" i="50" s="1"/>
  <c r="DR114" i="50"/>
  <c r="BO162" i="50" s="1"/>
  <c r="DQ114" i="50"/>
  <c r="BN162" i="50" s="1"/>
  <c r="DP114" i="50"/>
  <c r="BM162" i="50" s="1"/>
  <c r="DO114" i="50"/>
  <c r="BL162" i="50" s="1"/>
  <c r="DN114" i="50"/>
  <c r="BK162" i="50" s="1"/>
  <c r="DR113" i="50"/>
  <c r="BO161" i="50" s="1"/>
  <c r="DQ113" i="50"/>
  <c r="BN161" i="50" s="1"/>
  <c r="DP113" i="50"/>
  <c r="BM161" i="50" s="1"/>
  <c r="DO113" i="50"/>
  <c r="BL161" i="50" s="1"/>
  <c r="DN113" i="50"/>
  <c r="BK161" i="50" s="1"/>
  <c r="DR112" i="50"/>
  <c r="BO160" i="50" s="1"/>
  <c r="DQ112" i="50"/>
  <c r="BN160" i="50" s="1"/>
  <c r="DP112" i="50"/>
  <c r="BM160" i="50" s="1"/>
  <c r="DO112" i="50"/>
  <c r="BL160" i="50" s="1"/>
  <c r="DN112" i="50"/>
  <c r="BK160" i="50" s="1"/>
  <c r="DR111" i="50"/>
  <c r="BO159" i="50" s="1"/>
  <c r="DQ111" i="50"/>
  <c r="BN159" i="50" s="1"/>
  <c r="DP111" i="50"/>
  <c r="BM159" i="50" s="1"/>
  <c r="DO111" i="50"/>
  <c r="BL159" i="50" s="1"/>
  <c r="DN111" i="50"/>
  <c r="BK159" i="50" s="1"/>
  <c r="DR110" i="50"/>
  <c r="BO158" i="50" s="1"/>
  <c r="DQ110" i="50"/>
  <c r="BN158" i="50" s="1"/>
  <c r="DP110" i="50"/>
  <c r="BM158" i="50" s="1"/>
  <c r="DO110" i="50"/>
  <c r="BL158" i="50" s="1"/>
  <c r="DN110" i="50"/>
  <c r="BK158" i="50" s="1"/>
  <c r="BO157" i="50"/>
  <c r="BN157" i="50"/>
  <c r="BM157" i="50"/>
  <c r="BL157" i="50"/>
  <c r="BK157" i="50"/>
  <c r="DR108" i="50"/>
  <c r="BO156" i="50" s="1"/>
  <c r="DQ108" i="50"/>
  <c r="BN156" i="50" s="1"/>
  <c r="DP108" i="50"/>
  <c r="BM156" i="50" s="1"/>
  <c r="DO108" i="50"/>
  <c r="BL156" i="50" s="1"/>
  <c r="DN108" i="50"/>
  <c r="BK156" i="50" s="1"/>
  <c r="DM128" i="50"/>
  <c r="BJ176" i="50" s="1"/>
  <c r="DL128" i="50"/>
  <c r="BI176" i="50" s="1"/>
  <c r="DK128" i="50"/>
  <c r="BH176" i="50" s="1"/>
  <c r="DJ128" i="50"/>
  <c r="BG176" i="50" s="1"/>
  <c r="DI128" i="50"/>
  <c r="BF176" i="50" s="1"/>
  <c r="DM126" i="50"/>
  <c r="BJ174" i="50" s="1"/>
  <c r="DL126" i="50"/>
  <c r="BI174" i="50" s="1"/>
  <c r="DK126" i="50"/>
  <c r="BH174" i="50" s="1"/>
  <c r="DJ126" i="50"/>
  <c r="BG174" i="50" s="1"/>
  <c r="DI126" i="50"/>
  <c r="BF174" i="50" s="1"/>
  <c r="BJ173" i="50"/>
  <c r="BI173" i="50"/>
  <c r="BH173" i="50"/>
  <c r="BG173" i="50"/>
  <c r="BF173" i="50"/>
  <c r="DM124" i="50"/>
  <c r="BJ172" i="50" s="1"/>
  <c r="DL124" i="50"/>
  <c r="BI172" i="50" s="1"/>
  <c r="DK124" i="50"/>
  <c r="BH172" i="50" s="1"/>
  <c r="DJ124" i="50"/>
  <c r="BG172" i="50" s="1"/>
  <c r="DI124" i="50"/>
  <c r="BF172" i="50" s="1"/>
  <c r="DM123" i="50"/>
  <c r="BJ171" i="50" s="1"/>
  <c r="DL123" i="50"/>
  <c r="BI171" i="50" s="1"/>
  <c r="DK123" i="50"/>
  <c r="BH171" i="50" s="1"/>
  <c r="DJ123" i="50"/>
  <c r="BG171" i="50" s="1"/>
  <c r="DI123" i="50"/>
  <c r="BF171" i="50" s="1"/>
  <c r="DM122" i="50"/>
  <c r="BJ170" i="50" s="1"/>
  <c r="DL122" i="50"/>
  <c r="BI170" i="50" s="1"/>
  <c r="DK122" i="50"/>
  <c r="BH170" i="50" s="1"/>
  <c r="DJ122" i="50"/>
  <c r="BG170" i="50" s="1"/>
  <c r="DI122" i="50"/>
  <c r="BF170" i="50" s="1"/>
  <c r="DM121" i="50"/>
  <c r="BJ169" i="50" s="1"/>
  <c r="DL121" i="50"/>
  <c r="BI169" i="50" s="1"/>
  <c r="DJ121" i="50"/>
  <c r="BG169" i="50" s="1"/>
  <c r="DI121" i="50"/>
  <c r="BF169" i="50" s="1"/>
  <c r="DM120" i="50"/>
  <c r="BJ168" i="50" s="1"/>
  <c r="DL120" i="50"/>
  <c r="BI168" i="50" s="1"/>
  <c r="DK120" i="50"/>
  <c r="BH168" i="50" s="1"/>
  <c r="DJ120" i="50"/>
  <c r="BG168" i="50" s="1"/>
  <c r="DI120" i="50"/>
  <c r="BF168" i="50" s="1"/>
  <c r="DM119" i="50"/>
  <c r="BJ167" i="50" s="1"/>
  <c r="DL119" i="50"/>
  <c r="BI167" i="50" s="1"/>
  <c r="DK119" i="50"/>
  <c r="BH167" i="50" s="1"/>
  <c r="DJ119" i="50"/>
  <c r="BG167" i="50" s="1"/>
  <c r="DI119" i="50"/>
  <c r="BF167" i="50" s="1"/>
  <c r="DM118" i="50"/>
  <c r="BJ166" i="50" s="1"/>
  <c r="DL118" i="50"/>
  <c r="BI166" i="50" s="1"/>
  <c r="DK118" i="50"/>
  <c r="BH166" i="50" s="1"/>
  <c r="DJ118" i="50"/>
  <c r="BG166" i="50" s="1"/>
  <c r="DI118" i="50"/>
  <c r="BF166" i="50" s="1"/>
  <c r="DM117" i="50"/>
  <c r="BJ165" i="50" s="1"/>
  <c r="DL117" i="50"/>
  <c r="BI165" i="50" s="1"/>
  <c r="DK117" i="50"/>
  <c r="BH165" i="50" s="1"/>
  <c r="DJ117" i="50"/>
  <c r="BG165" i="50" s="1"/>
  <c r="DI117" i="50"/>
  <c r="BF165" i="50" s="1"/>
  <c r="DM116" i="50"/>
  <c r="BJ164" i="50" s="1"/>
  <c r="DL116" i="50"/>
  <c r="BI164" i="50" s="1"/>
  <c r="DK116" i="50"/>
  <c r="BH164" i="50" s="1"/>
  <c r="DJ116" i="50"/>
  <c r="BG164" i="50" s="1"/>
  <c r="DI116" i="50"/>
  <c r="BF164" i="50" s="1"/>
  <c r="DM115" i="50"/>
  <c r="BJ163" i="50" s="1"/>
  <c r="DL115" i="50"/>
  <c r="BI163" i="50" s="1"/>
  <c r="DK115" i="50"/>
  <c r="BH163" i="50" s="1"/>
  <c r="DJ115" i="50"/>
  <c r="BG163" i="50" s="1"/>
  <c r="DI115" i="50"/>
  <c r="BF163" i="50" s="1"/>
  <c r="DM114" i="50"/>
  <c r="BJ162" i="50" s="1"/>
  <c r="DL114" i="50"/>
  <c r="BI162" i="50" s="1"/>
  <c r="DK114" i="50"/>
  <c r="BH162" i="50" s="1"/>
  <c r="DJ114" i="50"/>
  <c r="BG162" i="50" s="1"/>
  <c r="DI114" i="50"/>
  <c r="BF162" i="50" s="1"/>
  <c r="DM113" i="50"/>
  <c r="BJ161" i="50" s="1"/>
  <c r="DL113" i="50"/>
  <c r="BI161" i="50" s="1"/>
  <c r="DK113" i="50"/>
  <c r="BH161" i="50" s="1"/>
  <c r="DJ113" i="50"/>
  <c r="BG161" i="50" s="1"/>
  <c r="DI113" i="50"/>
  <c r="BF161" i="50" s="1"/>
  <c r="DM112" i="50"/>
  <c r="BJ160" i="50" s="1"/>
  <c r="DL112" i="50"/>
  <c r="BI160" i="50" s="1"/>
  <c r="DK112" i="50"/>
  <c r="BH160" i="50" s="1"/>
  <c r="DJ112" i="50"/>
  <c r="BG160" i="50" s="1"/>
  <c r="DI112" i="50"/>
  <c r="BF160" i="50" s="1"/>
  <c r="DM111" i="50"/>
  <c r="BJ159" i="50" s="1"/>
  <c r="DL111" i="50"/>
  <c r="BI159" i="50" s="1"/>
  <c r="DK111" i="50"/>
  <c r="BH159" i="50" s="1"/>
  <c r="DJ111" i="50"/>
  <c r="BG159" i="50" s="1"/>
  <c r="DI111" i="50"/>
  <c r="BF159" i="50" s="1"/>
  <c r="DM110" i="50"/>
  <c r="BJ158" i="50" s="1"/>
  <c r="DL110" i="50"/>
  <c r="BI158" i="50" s="1"/>
  <c r="DK110" i="50"/>
  <c r="BH158" i="50" s="1"/>
  <c r="DJ110" i="50"/>
  <c r="BG158" i="50" s="1"/>
  <c r="DI110" i="50"/>
  <c r="BF158" i="50" s="1"/>
  <c r="BJ157" i="50"/>
  <c r="BI157" i="50"/>
  <c r="BH157" i="50"/>
  <c r="BG157" i="50"/>
  <c r="BF157" i="50"/>
  <c r="DM108" i="50"/>
  <c r="DL108" i="50"/>
  <c r="BI156" i="50" s="1"/>
  <c r="DK108" i="50"/>
  <c r="BH156" i="50" s="1"/>
  <c r="DJ108" i="50"/>
  <c r="BG156" i="50" s="1"/>
  <c r="DI108" i="50"/>
  <c r="BF156" i="50" s="1"/>
  <c r="DH128" i="50"/>
  <c r="BE176" i="50" s="1"/>
  <c r="DG128" i="50"/>
  <c r="BD176" i="50" s="1"/>
  <c r="DF128" i="50"/>
  <c r="BC176" i="50" s="1"/>
  <c r="DE128" i="50"/>
  <c r="BB176" i="50" s="1"/>
  <c r="DD128" i="50"/>
  <c r="BA176" i="50" s="1"/>
  <c r="DH126" i="50"/>
  <c r="BE174" i="50" s="1"/>
  <c r="DG126" i="50"/>
  <c r="BD174" i="50" s="1"/>
  <c r="DF126" i="50"/>
  <c r="BC174" i="50" s="1"/>
  <c r="DE126" i="50"/>
  <c r="BB174" i="50" s="1"/>
  <c r="DD126" i="50"/>
  <c r="BA174" i="50" s="1"/>
  <c r="BE173" i="50"/>
  <c r="BD173" i="50"/>
  <c r="BC173" i="50"/>
  <c r="BB173" i="50"/>
  <c r="BA173" i="50"/>
  <c r="DH124" i="50"/>
  <c r="BE172" i="50" s="1"/>
  <c r="DG124" i="50"/>
  <c r="BD172" i="50" s="1"/>
  <c r="DF124" i="50"/>
  <c r="BC172" i="50" s="1"/>
  <c r="DE124" i="50"/>
  <c r="BB172" i="50" s="1"/>
  <c r="DD124" i="50"/>
  <c r="BA172" i="50" s="1"/>
  <c r="DH123" i="50"/>
  <c r="BE171" i="50" s="1"/>
  <c r="DG123" i="50"/>
  <c r="BD171" i="50" s="1"/>
  <c r="DF123" i="50"/>
  <c r="BC171" i="50" s="1"/>
  <c r="DE123" i="50"/>
  <c r="BB171" i="50" s="1"/>
  <c r="DD123" i="50"/>
  <c r="BA171" i="50" s="1"/>
  <c r="DH122" i="50"/>
  <c r="BE170" i="50" s="1"/>
  <c r="DG122" i="50"/>
  <c r="BD170" i="50" s="1"/>
  <c r="DF122" i="50"/>
  <c r="BC170" i="50" s="1"/>
  <c r="DE122" i="50"/>
  <c r="BB170" i="50" s="1"/>
  <c r="DD122" i="50"/>
  <c r="BA170" i="50" s="1"/>
  <c r="DH121" i="50"/>
  <c r="BE169" i="50" s="1"/>
  <c r="DG121" i="50"/>
  <c r="BD169" i="50" s="1"/>
  <c r="DE121" i="50"/>
  <c r="BB169" i="50" s="1"/>
  <c r="DD121" i="50"/>
  <c r="BA169" i="50" s="1"/>
  <c r="DH120" i="50"/>
  <c r="BE168" i="50" s="1"/>
  <c r="DG120" i="50"/>
  <c r="BD168" i="50" s="1"/>
  <c r="DF120" i="50"/>
  <c r="BC168" i="50" s="1"/>
  <c r="DE120" i="50"/>
  <c r="BB168" i="50" s="1"/>
  <c r="DD120" i="50"/>
  <c r="BA168" i="50" s="1"/>
  <c r="DH119" i="50"/>
  <c r="BE167" i="50" s="1"/>
  <c r="DG119" i="50"/>
  <c r="BD167" i="50" s="1"/>
  <c r="DF119" i="50"/>
  <c r="BC167" i="50" s="1"/>
  <c r="DE119" i="50"/>
  <c r="BB167" i="50" s="1"/>
  <c r="DD119" i="50"/>
  <c r="BA167" i="50" s="1"/>
  <c r="DH118" i="50"/>
  <c r="BE166" i="50" s="1"/>
  <c r="DG118" i="50"/>
  <c r="BD166" i="50" s="1"/>
  <c r="DF118" i="50"/>
  <c r="BC166" i="50" s="1"/>
  <c r="DE118" i="50"/>
  <c r="BB166" i="50" s="1"/>
  <c r="DD118" i="50"/>
  <c r="BA166" i="50" s="1"/>
  <c r="DH117" i="50"/>
  <c r="BE165" i="50" s="1"/>
  <c r="DG117" i="50"/>
  <c r="BD165" i="50" s="1"/>
  <c r="DF117" i="50"/>
  <c r="BC165" i="50" s="1"/>
  <c r="DE117" i="50"/>
  <c r="BB165" i="50" s="1"/>
  <c r="DD117" i="50"/>
  <c r="BA165" i="50" s="1"/>
  <c r="DH116" i="50"/>
  <c r="BE164" i="50" s="1"/>
  <c r="DG116" i="50"/>
  <c r="BD164" i="50" s="1"/>
  <c r="DF116" i="50"/>
  <c r="BC164" i="50" s="1"/>
  <c r="DE116" i="50"/>
  <c r="BB164" i="50" s="1"/>
  <c r="DD116" i="50"/>
  <c r="BA164" i="50" s="1"/>
  <c r="DH115" i="50"/>
  <c r="BE163" i="50" s="1"/>
  <c r="DG115" i="50"/>
  <c r="BD163" i="50" s="1"/>
  <c r="DF115" i="50"/>
  <c r="BC163" i="50" s="1"/>
  <c r="DE115" i="50"/>
  <c r="BB163" i="50" s="1"/>
  <c r="DD115" i="50"/>
  <c r="BA163" i="50" s="1"/>
  <c r="DH114" i="50"/>
  <c r="BE162" i="50" s="1"/>
  <c r="DG114" i="50"/>
  <c r="BD162" i="50" s="1"/>
  <c r="DF114" i="50"/>
  <c r="BC162" i="50" s="1"/>
  <c r="DE114" i="50"/>
  <c r="BB162" i="50" s="1"/>
  <c r="DD114" i="50"/>
  <c r="BA162" i="50" s="1"/>
  <c r="DH113" i="50"/>
  <c r="BE161" i="50" s="1"/>
  <c r="DG113" i="50"/>
  <c r="BD161" i="50" s="1"/>
  <c r="DF113" i="50"/>
  <c r="BC161" i="50" s="1"/>
  <c r="DE113" i="50"/>
  <c r="BB161" i="50" s="1"/>
  <c r="DD113" i="50"/>
  <c r="BA161" i="50" s="1"/>
  <c r="DH112" i="50"/>
  <c r="BE160" i="50" s="1"/>
  <c r="DG112" i="50"/>
  <c r="BD160" i="50" s="1"/>
  <c r="DF112" i="50"/>
  <c r="BC160" i="50" s="1"/>
  <c r="DE112" i="50"/>
  <c r="BB160" i="50" s="1"/>
  <c r="DD112" i="50"/>
  <c r="BA160" i="50" s="1"/>
  <c r="DH111" i="50"/>
  <c r="BE159" i="50" s="1"/>
  <c r="DG111" i="50"/>
  <c r="BD159" i="50" s="1"/>
  <c r="DF111" i="50"/>
  <c r="BC159" i="50" s="1"/>
  <c r="DE111" i="50"/>
  <c r="BB159" i="50" s="1"/>
  <c r="DD111" i="50"/>
  <c r="BA159" i="50" s="1"/>
  <c r="DH110" i="50"/>
  <c r="BE158" i="50" s="1"/>
  <c r="DG110" i="50"/>
  <c r="BD158" i="50" s="1"/>
  <c r="DF110" i="50"/>
  <c r="BC158" i="50" s="1"/>
  <c r="DE110" i="50"/>
  <c r="BB158" i="50" s="1"/>
  <c r="DD110" i="50"/>
  <c r="BA158" i="50" s="1"/>
  <c r="BE157" i="50"/>
  <c r="BD157" i="50"/>
  <c r="BC157" i="50"/>
  <c r="BB157" i="50"/>
  <c r="BA157" i="50"/>
  <c r="DH108" i="50"/>
  <c r="BE156" i="50" s="1"/>
  <c r="DG108" i="50"/>
  <c r="DF108" i="50"/>
  <c r="BC156" i="50" s="1"/>
  <c r="DE108" i="50"/>
  <c r="BB156" i="50" s="1"/>
  <c r="DD108" i="50"/>
  <c r="BA156" i="50" s="1"/>
  <c r="DC128" i="50"/>
  <c r="DB128" i="50"/>
  <c r="DA128" i="50"/>
  <c r="CZ128" i="50"/>
  <c r="CY128" i="50"/>
  <c r="DC126" i="50"/>
  <c r="DB126" i="50"/>
  <c r="DA126" i="50"/>
  <c r="CZ126" i="50"/>
  <c r="CY126" i="50"/>
  <c r="DC124" i="50"/>
  <c r="DB124" i="50"/>
  <c r="DA124" i="50"/>
  <c r="CZ124" i="50"/>
  <c r="CY124" i="50"/>
  <c r="DC123" i="50"/>
  <c r="DB123" i="50"/>
  <c r="DA123" i="50"/>
  <c r="CZ123" i="50"/>
  <c r="CY123" i="50"/>
  <c r="DC122" i="50"/>
  <c r="DB122" i="50"/>
  <c r="DA122" i="50"/>
  <c r="CZ122" i="50"/>
  <c r="CY122" i="50"/>
  <c r="DC121" i="50"/>
  <c r="DB121" i="50"/>
  <c r="CZ121" i="50"/>
  <c r="CY121" i="50"/>
  <c r="DC120" i="50"/>
  <c r="DB120" i="50"/>
  <c r="DA120" i="50"/>
  <c r="CZ120" i="50"/>
  <c r="CY120" i="50"/>
  <c r="DC119" i="50"/>
  <c r="DB119" i="50"/>
  <c r="DA119" i="50"/>
  <c r="CZ119" i="50"/>
  <c r="CY119" i="50"/>
  <c r="DC118" i="50"/>
  <c r="DB118" i="50"/>
  <c r="DA118" i="50"/>
  <c r="CZ118" i="50"/>
  <c r="CY118" i="50"/>
  <c r="DC117" i="50"/>
  <c r="DB117" i="50"/>
  <c r="DA117" i="50"/>
  <c r="CZ117" i="50"/>
  <c r="CY117" i="50"/>
  <c r="DC116" i="50"/>
  <c r="DB116" i="50"/>
  <c r="DA116" i="50"/>
  <c r="CZ116" i="50"/>
  <c r="CY116" i="50"/>
  <c r="DC115" i="50"/>
  <c r="DB115" i="50"/>
  <c r="DA115" i="50"/>
  <c r="CZ115" i="50"/>
  <c r="CY115" i="50"/>
  <c r="DC114" i="50"/>
  <c r="DB114" i="50"/>
  <c r="DA114" i="50"/>
  <c r="CZ114" i="50"/>
  <c r="CY114" i="50"/>
  <c r="DC113" i="50"/>
  <c r="DB113" i="50"/>
  <c r="DA113" i="50"/>
  <c r="CZ113" i="50"/>
  <c r="CY113" i="50"/>
  <c r="DC112" i="50"/>
  <c r="DB112" i="50"/>
  <c r="DA112" i="50"/>
  <c r="CZ112" i="50"/>
  <c r="CY112" i="50"/>
  <c r="DC111" i="50"/>
  <c r="DB111" i="50"/>
  <c r="DA111" i="50"/>
  <c r="CZ111" i="50"/>
  <c r="CY111" i="50"/>
  <c r="DC110" i="50"/>
  <c r="DB110" i="50"/>
  <c r="DA110" i="50"/>
  <c r="CZ110" i="50"/>
  <c r="CY110" i="50"/>
  <c r="DC108" i="50"/>
  <c r="DB108" i="50"/>
  <c r="DA108" i="50"/>
  <c r="CZ108" i="50"/>
  <c r="CY108" i="50"/>
  <c r="CX128" i="50"/>
  <c r="CW128" i="50"/>
  <c r="CV128" i="50"/>
  <c r="CU128" i="50"/>
  <c r="CT128" i="50"/>
  <c r="CX126" i="50"/>
  <c r="CW126" i="50"/>
  <c r="CV126" i="50"/>
  <c r="CU126" i="50"/>
  <c r="CT126" i="50"/>
  <c r="CX124" i="50"/>
  <c r="CW124" i="50"/>
  <c r="CV124" i="50"/>
  <c r="CU124" i="50"/>
  <c r="CT124" i="50"/>
  <c r="CX123" i="50"/>
  <c r="CW123" i="50"/>
  <c r="CV123" i="50"/>
  <c r="CU123" i="50"/>
  <c r="CT123" i="50"/>
  <c r="CX122" i="50"/>
  <c r="CW122" i="50"/>
  <c r="CV122" i="50"/>
  <c r="CU122" i="50"/>
  <c r="CT122" i="50"/>
  <c r="CX121" i="50"/>
  <c r="CW121" i="50"/>
  <c r="CU121" i="50"/>
  <c r="CT121" i="50"/>
  <c r="CX120" i="50"/>
  <c r="CW120" i="50"/>
  <c r="CV120" i="50"/>
  <c r="CU120" i="50"/>
  <c r="CT120" i="50"/>
  <c r="CX119" i="50"/>
  <c r="CW119" i="50"/>
  <c r="CV119" i="50"/>
  <c r="CU119" i="50"/>
  <c r="CT119" i="50"/>
  <c r="CX118" i="50"/>
  <c r="CW118" i="50"/>
  <c r="CV118" i="50"/>
  <c r="CU118" i="50"/>
  <c r="CT118" i="50"/>
  <c r="CX117" i="50"/>
  <c r="CW117" i="50"/>
  <c r="CV117" i="50"/>
  <c r="CU117" i="50"/>
  <c r="CT117" i="50"/>
  <c r="CX116" i="50"/>
  <c r="CW116" i="50"/>
  <c r="CV116" i="50"/>
  <c r="CU116" i="50"/>
  <c r="CT116" i="50"/>
  <c r="CX115" i="50"/>
  <c r="CW115" i="50"/>
  <c r="CV115" i="50"/>
  <c r="CU115" i="50"/>
  <c r="CT115" i="50"/>
  <c r="CX114" i="50"/>
  <c r="CW114" i="50"/>
  <c r="CV114" i="50"/>
  <c r="CU114" i="50"/>
  <c r="CT114" i="50"/>
  <c r="CX113" i="50"/>
  <c r="CW113" i="50"/>
  <c r="CV113" i="50"/>
  <c r="CU113" i="50"/>
  <c r="CT113" i="50"/>
  <c r="CX112" i="50"/>
  <c r="CW112" i="50"/>
  <c r="CV112" i="50"/>
  <c r="CU112" i="50"/>
  <c r="CT112" i="50"/>
  <c r="CX111" i="50"/>
  <c r="CW111" i="50"/>
  <c r="CV111" i="50"/>
  <c r="CU111" i="50"/>
  <c r="CT111" i="50"/>
  <c r="CX110" i="50"/>
  <c r="CW110" i="50"/>
  <c r="CV110" i="50"/>
  <c r="CU110" i="50"/>
  <c r="CT110" i="50"/>
  <c r="CX108" i="50"/>
  <c r="CW108" i="50"/>
  <c r="CV108" i="50"/>
  <c r="CU108" i="50"/>
  <c r="CT108" i="50"/>
  <c r="CS128" i="50"/>
  <c r="CR128" i="50"/>
  <c r="CQ128" i="50"/>
  <c r="CP128" i="50"/>
  <c r="CO128" i="50"/>
  <c r="CS126" i="50"/>
  <c r="CR126" i="50"/>
  <c r="CQ126" i="50"/>
  <c r="CP126" i="50"/>
  <c r="CO126" i="50"/>
  <c r="CS124" i="50"/>
  <c r="CR124" i="50"/>
  <c r="CQ124" i="50"/>
  <c r="CP124" i="50"/>
  <c r="CO124" i="50"/>
  <c r="CS123" i="50"/>
  <c r="CR123" i="50"/>
  <c r="CQ123" i="50"/>
  <c r="CP123" i="50"/>
  <c r="CO123" i="50"/>
  <c r="CS122" i="50"/>
  <c r="CR122" i="50"/>
  <c r="CQ122" i="50"/>
  <c r="CP122" i="50"/>
  <c r="CO122" i="50"/>
  <c r="CS121" i="50"/>
  <c r="CR121" i="50"/>
  <c r="CP121" i="50"/>
  <c r="CO121" i="50"/>
  <c r="CS120" i="50"/>
  <c r="CR120" i="50"/>
  <c r="CQ120" i="50"/>
  <c r="CP120" i="50"/>
  <c r="CO120" i="50"/>
  <c r="CS119" i="50"/>
  <c r="CR119" i="50"/>
  <c r="CQ119" i="50"/>
  <c r="CP119" i="50"/>
  <c r="CO119" i="50"/>
  <c r="CS118" i="50"/>
  <c r="CR118" i="50"/>
  <c r="CQ118" i="50"/>
  <c r="CP118" i="50"/>
  <c r="CO118" i="50"/>
  <c r="CS117" i="50"/>
  <c r="CR117" i="50"/>
  <c r="CQ117" i="50"/>
  <c r="CP117" i="50"/>
  <c r="CO117" i="50"/>
  <c r="CS116" i="50"/>
  <c r="CR116" i="50"/>
  <c r="CQ116" i="50"/>
  <c r="CP116" i="50"/>
  <c r="CO116" i="50"/>
  <c r="CS115" i="50"/>
  <c r="CR115" i="50"/>
  <c r="CQ115" i="50"/>
  <c r="CP115" i="50"/>
  <c r="CO115" i="50"/>
  <c r="CS114" i="50"/>
  <c r="CR114" i="50"/>
  <c r="CQ114" i="50"/>
  <c r="CP114" i="50"/>
  <c r="CO114" i="50"/>
  <c r="CS113" i="50"/>
  <c r="CR113" i="50"/>
  <c r="CQ113" i="50"/>
  <c r="CP113" i="50"/>
  <c r="CO113" i="50"/>
  <c r="CS112" i="50"/>
  <c r="CR112" i="50"/>
  <c r="CQ112" i="50"/>
  <c r="CP112" i="50"/>
  <c r="CO112" i="50"/>
  <c r="CS111" i="50"/>
  <c r="CR111" i="50"/>
  <c r="CQ111" i="50"/>
  <c r="CP111" i="50"/>
  <c r="CO111" i="50"/>
  <c r="CS110" i="50"/>
  <c r="CR110" i="50"/>
  <c r="CQ110" i="50"/>
  <c r="CP110" i="50"/>
  <c r="CO110" i="50"/>
  <c r="CS108" i="50"/>
  <c r="CR108" i="50"/>
  <c r="CQ108" i="50"/>
  <c r="CP108" i="50"/>
  <c r="CO108" i="50"/>
  <c r="CN128" i="50"/>
  <c r="AU176" i="50" s="1"/>
  <c r="CM128" i="50"/>
  <c r="AT176" i="50" s="1"/>
  <c r="CL128" i="50"/>
  <c r="AS176" i="50" s="1"/>
  <c r="CK128" i="50"/>
  <c r="AR176" i="50" s="1"/>
  <c r="CJ128" i="50"/>
  <c r="AQ176" i="50" s="1"/>
  <c r="CN126" i="50"/>
  <c r="AU174" i="50" s="1"/>
  <c r="CM126" i="50"/>
  <c r="AT174" i="50" s="1"/>
  <c r="CL126" i="50"/>
  <c r="AS174" i="50" s="1"/>
  <c r="CK126" i="50"/>
  <c r="AR174" i="50" s="1"/>
  <c r="CJ126" i="50"/>
  <c r="AQ174" i="50" s="1"/>
  <c r="AU173" i="50"/>
  <c r="AT173" i="50"/>
  <c r="AS173" i="50"/>
  <c r="AR173" i="50"/>
  <c r="AQ173" i="50"/>
  <c r="CN124" i="50"/>
  <c r="AU172" i="50" s="1"/>
  <c r="CM124" i="50"/>
  <c r="AT172" i="50" s="1"/>
  <c r="CL124" i="50"/>
  <c r="AS172" i="50" s="1"/>
  <c r="CK124" i="50"/>
  <c r="AR172" i="50" s="1"/>
  <c r="CJ124" i="50"/>
  <c r="AQ172" i="50" s="1"/>
  <c r="CN123" i="50"/>
  <c r="AU171" i="50" s="1"/>
  <c r="CM123" i="50"/>
  <c r="AT171" i="50" s="1"/>
  <c r="CL123" i="50"/>
  <c r="AS171" i="50" s="1"/>
  <c r="CK123" i="50"/>
  <c r="AR171" i="50" s="1"/>
  <c r="CJ123" i="50"/>
  <c r="AQ171" i="50" s="1"/>
  <c r="CN122" i="50"/>
  <c r="AU170" i="50" s="1"/>
  <c r="CM122" i="50"/>
  <c r="AT170" i="50" s="1"/>
  <c r="CL122" i="50"/>
  <c r="AS170" i="50" s="1"/>
  <c r="CK122" i="50"/>
  <c r="AR170" i="50" s="1"/>
  <c r="CJ122" i="50"/>
  <c r="AQ170" i="50" s="1"/>
  <c r="CN121" i="50"/>
  <c r="AU169" i="50" s="1"/>
  <c r="CM121" i="50"/>
  <c r="AT169" i="50" s="1"/>
  <c r="CK121" i="50"/>
  <c r="AR169" i="50" s="1"/>
  <c r="CJ121" i="50"/>
  <c r="AQ169" i="50" s="1"/>
  <c r="CN120" i="50"/>
  <c r="AU168" i="50" s="1"/>
  <c r="CM120" i="50"/>
  <c r="AT168" i="50" s="1"/>
  <c r="CL120" i="50"/>
  <c r="AS168" i="50" s="1"/>
  <c r="CK120" i="50"/>
  <c r="AR168" i="50" s="1"/>
  <c r="CJ120" i="50"/>
  <c r="AQ168" i="50" s="1"/>
  <c r="CN119" i="50"/>
  <c r="AU167" i="50" s="1"/>
  <c r="CM119" i="50"/>
  <c r="AT167" i="50" s="1"/>
  <c r="CL119" i="50"/>
  <c r="AS167" i="50" s="1"/>
  <c r="CK119" i="50"/>
  <c r="AR167" i="50" s="1"/>
  <c r="CJ119" i="50"/>
  <c r="AQ167" i="50" s="1"/>
  <c r="CN118" i="50"/>
  <c r="AU166" i="50" s="1"/>
  <c r="CM118" i="50"/>
  <c r="AT166" i="50" s="1"/>
  <c r="CL118" i="50"/>
  <c r="AS166" i="50" s="1"/>
  <c r="CK118" i="50"/>
  <c r="AR166" i="50" s="1"/>
  <c r="CJ118" i="50"/>
  <c r="AQ166" i="50" s="1"/>
  <c r="CN117" i="50"/>
  <c r="AU165" i="50" s="1"/>
  <c r="CM117" i="50"/>
  <c r="AT165" i="50" s="1"/>
  <c r="CL117" i="50"/>
  <c r="AS165" i="50" s="1"/>
  <c r="CK117" i="50"/>
  <c r="AR165" i="50" s="1"/>
  <c r="CJ117" i="50"/>
  <c r="AQ165" i="50" s="1"/>
  <c r="CN116" i="50"/>
  <c r="AU164" i="50" s="1"/>
  <c r="CM116" i="50"/>
  <c r="AT164" i="50" s="1"/>
  <c r="CL116" i="50"/>
  <c r="AS164" i="50" s="1"/>
  <c r="CK116" i="50"/>
  <c r="AR164" i="50" s="1"/>
  <c r="CJ116" i="50"/>
  <c r="AQ164" i="50" s="1"/>
  <c r="CN115" i="50"/>
  <c r="AU163" i="50" s="1"/>
  <c r="CM115" i="50"/>
  <c r="AT163" i="50" s="1"/>
  <c r="CL115" i="50"/>
  <c r="AS163" i="50" s="1"/>
  <c r="CK115" i="50"/>
  <c r="AR163" i="50" s="1"/>
  <c r="CJ115" i="50"/>
  <c r="AQ163" i="50" s="1"/>
  <c r="CN114" i="50"/>
  <c r="AU162" i="50" s="1"/>
  <c r="CM114" i="50"/>
  <c r="AT162" i="50" s="1"/>
  <c r="CL114" i="50"/>
  <c r="AS162" i="50" s="1"/>
  <c r="CK114" i="50"/>
  <c r="AR162" i="50" s="1"/>
  <c r="CJ114" i="50"/>
  <c r="AQ162" i="50" s="1"/>
  <c r="CN113" i="50"/>
  <c r="AU161" i="50" s="1"/>
  <c r="CM113" i="50"/>
  <c r="AT161" i="50" s="1"/>
  <c r="CL113" i="50"/>
  <c r="AS161" i="50" s="1"/>
  <c r="CK113" i="50"/>
  <c r="AR161" i="50" s="1"/>
  <c r="CJ113" i="50"/>
  <c r="AQ161" i="50" s="1"/>
  <c r="CN112" i="50"/>
  <c r="AU160" i="50" s="1"/>
  <c r="CM112" i="50"/>
  <c r="AT160" i="50" s="1"/>
  <c r="CL112" i="50"/>
  <c r="AS160" i="50" s="1"/>
  <c r="CK112" i="50"/>
  <c r="AR160" i="50" s="1"/>
  <c r="CJ112" i="50"/>
  <c r="AQ160" i="50" s="1"/>
  <c r="CN111" i="50"/>
  <c r="AU159" i="50" s="1"/>
  <c r="CM111" i="50"/>
  <c r="AT159" i="50" s="1"/>
  <c r="CL111" i="50"/>
  <c r="AS159" i="50" s="1"/>
  <c r="CK111" i="50"/>
  <c r="AR159" i="50" s="1"/>
  <c r="CJ111" i="50"/>
  <c r="AQ159" i="50" s="1"/>
  <c r="CN110" i="50"/>
  <c r="AU158" i="50" s="1"/>
  <c r="CM110" i="50"/>
  <c r="AT158" i="50" s="1"/>
  <c r="CL110" i="50"/>
  <c r="AS158" i="50" s="1"/>
  <c r="CK110" i="50"/>
  <c r="AR158" i="50" s="1"/>
  <c r="CJ110" i="50"/>
  <c r="AQ158" i="50" s="1"/>
  <c r="AU157" i="50"/>
  <c r="AT157" i="50"/>
  <c r="AS157" i="50"/>
  <c r="AR157" i="50"/>
  <c r="AQ157" i="50"/>
  <c r="CN108" i="50"/>
  <c r="AU156" i="50" s="1"/>
  <c r="CM108" i="50"/>
  <c r="AT156" i="50" s="1"/>
  <c r="CL108" i="50"/>
  <c r="AS156" i="50" s="1"/>
  <c r="CK108" i="50"/>
  <c r="AR156" i="50" s="1"/>
  <c r="CJ108" i="50"/>
  <c r="AQ156" i="50" s="1"/>
  <c r="CI128" i="50"/>
  <c r="CH128" i="50"/>
  <c r="CG128" i="50"/>
  <c r="CF128" i="50"/>
  <c r="CE128" i="50"/>
  <c r="CI126" i="50"/>
  <c r="CH126" i="50"/>
  <c r="CG126" i="50"/>
  <c r="CF126" i="50"/>
  <c r="CE126" i="50"/>
  <c r="CI124" i="50"/>
  <c r="CH124" i="50"/>
  <c r="CG124" i="50"/>
  <c r="CF124" i="50"/>
  <c r="CE124" i="50"/>
  <c r="CI123" i="50"/>
  <c r="CH123" i="50"/>
  <c r="CG123" i="50"/>
  <c r="CF123" i="50"/>
  <c r="CE123" i="50"/>
  <c r="CI122" i="50"/>
  <c r="CH122" i="50"/>
  <c r="CG122" i="50"/>
  <c r="CF122" i="50"/>
  <c r="CE122" i="50"/>
  <c r="CI121" i="50"/>
  <c r="CH121" i="50"/>
  <c r="CF121" i="50"/>
  <c r="CE121" i="50"/>
  <c r="CI120" i="50"/>
  <c r="CH120" i="50"/>
  <c r="CG120" i="50"/>
  <c r="CF120" i="50"/>
  <c r="CE120" i="50"/>
  <c r="CI119" i="50"/>
  <c r="CH119" i="50"/>
  <c r="CG119" i="50"/>
  <c r="CF119" i="50"/>
  <c r="CE119" i="50"/>
  <c r="CI118" i="50"/>
  <c r="CH118" i="50"/>
  <c r="CG118" i="50"/>
  <c r="CF118" i="50"/>
  <c r="CE118" i="50"/>
  <c r="CI117" i="50"/>
  <c r="CH117" i="50"/>
  <c r="CG117" i="50"/>
  <c r="CF117" i="50"/>
  <c r="CE117" i="50"/>
  <c r="CI116" i="50"/>
  <c r="CH116" i="50"/>
  <c r="CG116" i="50"/>
  <c r="CF116" i="50"/>
  <c r="CE116" i="50"/>
  <c r="CI115" i="50"/>
  <c r="CH115" i="50"/>
  <c r="CG115" i="50"/>
  <c r="CF115" i="50"/>
  <c r="CE115" i="50"/>
  <c r="CI114" i="50"/>
  <c r="CH114" i="50"/>
  <c r="CG114" i="50"/>
  <c r="CF114" i="50"/>
  <c r="CE114" i="50"/>
  <c r="CI113" i="50"/>
  <c r="CH113" i="50"/>
  <c r="CG113" i="50"/>
  <c r="CF113" i="50"/>
  <c r="CE113" i="50"/>
  <c r="CI112" i="50"/>
  <c r="CH112" i="50"/>
  <c r="CG112" i="50"/>
  <c r="CF112" i="50"/>
  <c r="CE112" i="50"/>
  <c r="CI111" i="50"/>
  <c r="CH111" i="50"/>
  <c r="CG111" i="50"/>
  <c r="CF111" i="50"/>
  <c r="CE111" i="50"/>
  <c r="CI110" i="50"/>
  <c r="CH110" i="50"/>
  <c r="CG110" i="50"/>
  <c r="CF110" i="50"/>
  <c r="CE110" i="50"/>
  <c r="CI108" i="50"/>
  <c r="CH108" i="50"/>
  <c r="CG108" i="50"/>
  <c r="CF108" i="50"/>
  <c r="CE108" i="50"/>
  <c r="CD128" i="50"/>
  <c r="CC128" i="50"/>
  <c r="CB128" i="50"/>
  <c r="CA128" i="50"/>
  <c r="BZ128" i="50"/>
  <c r="CD126" i="50"/>
  <c r="CC126" i="50"/>
  <c r="CB126" i="50"/>
  <c r="CA126" i="50"/>
  <c r="BZ126" i="50"/>
  <c r="CD124" i="50"/>
  <c r="CC124" i="50"/>
  <c r="CB124" i="50"/>
  <c r="CA124" i="50"/>
  <c r="BZ124" i="50"/>
  <c r="CD123" i="50"/>
  <c r="CC123" i="50"/>
  <c r="CB123" i="50"/>
  <c r="CA123" i="50"/>
  <c r="BZ123" i="50"/>
  <c r="CD122" i="50"/>
  <c r="CC122" i="50"/>
  <c r="CB122" i="50"/>
  <c r="CA122" i="50"/>
  <c r="BZ122" i="50"/>
  <c r="CD121" i="50"/>
  <c r="CC121" i="50"/>
  <c r="CA121" i="50"/>
  <c r="BZ121" i="50"/>
  <c r="CD120" i="50"/>
  <c r="CC120" i="50"/>
  <c r="CB120" i="50"/>
  <c r="CA120" i="50"/>
  <c r="BZ120" i="50"/>
  <c r="CD119" i="50"/>
  <c r="CC119" i="50"/>
  <c r="CB119" i="50"/>
  <c r="CA119" i="50"/>
  <c r="BZ119" i="50"/>
  <c r="CD118" i="50"/>
  <c r="CC118" i="50"/>
  <c r="CB118" i="50"/>
  <c r="CA118" i="50"/>
  <c r="BZ118" i="50"/>
  <c r="CD117" i="50"/>
  <c r="CC117" i="50"/>
  <c r="CB117" i="50"/>
  <c r="CA117" i="50"/>
  <c r="BZ117" i="50"/>
  <c r="CD116" i="50"/>
  <c r="CC116" i="50"/>
  <c r="CB116" i="50"/>
  <c r="CA116" i="50"/>
  <c r="BZ116" i="50"/>
  <c r="CD115" i="50"/>
  <c r="CC115" i="50"/>
  <c r="CB115" i="50"/>
  <c r="CA115" i="50"/>
  <c r="BZ115" i="50"/>
  <c r="CD114" i="50"/>
  <c r="CC114" i="50"/>
  <c r="CB114" i="50"/>
  <c r="CA114" i="50"/>
  <c r="BZ114" i="50"/>
  <c r="CD113" i="50"/>
  <c r="CC113" i="50"/>
  <c r="CB113" i="50"/>
  <c r="CA113" i="50"/>
  <c r="BZ113" i="50"/>
  <c r="CD112" i="50"/>
  <c r="CC112" i="50"/>
  <c r="CB112" i="50"/>
  <c r="CA112" i="50"/>
  <c r="BZ112" i="50"/>
  <c r="CD111" i="50"/>
  <c r="CC111" i="50"/>
  <c r="CB111" i="50"/>
  <c r="CA111" i="50"/>
  <c r="BZ111" i="50"/>
  <c r="CD110" i="50"/>
  <c r="CC110" i="50"/>
  <c r="CB110" i="50"/>
  <c r="CA110" i="50"/>
  <c r="BZ110" i="50"/>
  <c r="CD108" i="50"/>
  <c r="CC108" i="50"/>
  <c r="CB108" i="50"/>
  <c r="CA108" i="50"/>
  <c r="BZ108" i="50"/>
  <c r="BY128" i="50"/>
  <c r="BX128" i="50"/>
  <c r="BW128" i="50"/>
  <c r="BV128" i="50"/>
  <c r="BU128" i="50"/>
  <c r="BY126" i="50"/>
  <c r="BX126" i="50"/>
  <c r="BW126" i="50"/>
  <c r="BV126" i="50"/>
  <c r="BU126" i="50"/>
  <c r="BY124" i="50"/>
  <c r="BX124" i="50"/>
  <c r="BW124" i="50"/>
  <c r="BV124" i="50"/>
  <c r="BU124" i="50"/>
  <c r="BY123" i="50"/>
  <c r="BX123" i="50"/>
  <c r="BW123" i="50"/>
  <c r="BV123" i="50"/>
  <c r="BU123" i="50"/>
  <c r="BY122" i="50"/>
  <c r="BX122" i="50"/>
  <c r="BW122" i="50"/>
  <c r="BV122" i="50"/>
  <c r="BU122" i="50"/>
  <c r="BY121" i="50"/>
  <c r="BX121" i="50"/>
  <c r="BV121" i="50"/>
  <c r="BU121" i="50"/>
  <c r="BY120" i="50"/>
  <c r="BX120" i="50"/>
  <c r="BW120" i="50"/>
  <c r="BV120" i="50"/>
  <c r="BU120" i="50"/>
  <c r="BY119" i="50"/>
  <c r="BX119" i="50"/>
  <c r="BW119" i="50"/>
  <c r="BV119" i="50"/>
  <c r="BU119" i="50"/>
  <c r="BY118" i="50"/>
  <c r="BX118" i="50"/>
  <c r="BW118" i="50"/>
  <c r="BV118" i="50"/>
  <c r="BU118" i="50"/>
  <c r="BY117" i="50"/>
  <c r="BX117" i="50"/>
  <c r="BW117" i="50"/>
  <c r="BV117" i="50"/>
  <c r="BU117" i="50"/>
  <c r="BY116" i="50"/>
  <c r="BX116" i="50"/>
  <c r="BW116" i="50"/>
  <c r="BV116" i="50"/>
  <c r="BU116" i="50"/>
  <c r="BY115" i="50"/>
  <c r="BX115" i="50"/>
  <c r="BW115" i="50"/>
  <c r="BV115" i="50"/>
  <c r="BU115" i="50"/>
  <c r="BY114" i="50"/>
  <c r="BX114" i="50"/>
  <c r="BW114" i="50"/>
  <c r="BV114" i="50"/>
  <c r="BU114" i="50"/>
  <c r="BY113" i="50"/>
  <c r="BX113" i="50"/>
  <c r="BW113" i="50"/>
  <c r="BV113" i="50"/>
  <c r="BU113" i="50"/>
  <c r="BY112" i="50"/>
  <c r="BX112" i="50"/>
  <c r="BW112" i="50"/>
  <c r="BV112" i="50"/>
  <c r="BU112" i="50"/>
  <c r="BY111" i="50"/>
  <c r="BX111" i="50"/>
  <c r="BW111" i="50"/>
  <c r="BV111" i="50"/>
  <c r="BU111" i="50"/>
  <c r="BY110" i="50"/>
  <c r="BX110" i="50"/>
  <c r="BW110" i="50"/>
  <c r="BV110" i="50"/>
  <c r="BU110" i="50"/>
  <c r="BY108" i="50"/>
  <c r="BX108" i="50"/>
  <c r="BW108" i="50"/>
  <c r="BV108" i="50"/>
  <c r="BU108" i="50"/>
  <c r="BT128" i="50"/>
  <c r="BS128" i="50"/>
  <c r="BR128" i="50"/>
  <c r="BQ128" i="50"/>
  <c r="BP128" i="50"/>
  <c r="BT126" i="50"/>
  <c r="BS126" i="50"/>
  <c r="BR126" i="50"/>
  <c r="BQ126" i="50"/>
  <c r="BP126" i="50"/>
  <c r="BT124" i="50"/>
  <c r="BS124" i="50"/>
  <c r="BR124" i="50"/>
  <c r="BQ124" i="50"/>
  <c r="BP124" i="50"/>
  <c r="BT123" i="50"/>
  <c r="BS123" i="50"/>
  <c r="BR123" i="50"/>
  <c r="BQ123" i="50"/>
  <c r="BP123" i="50"/>
  <c r="BT122" i="50"/>
  <c r="BS122" i="50"/>
  <c r="BR122" i="50"/>
  <c r="BQ122" i="50"/>
  <c r="BP122" i="50"/>
  <c r="BT121" i="50"/>
  <c r="BS121" i="50"/>
  <c r="BQ121" i="50"/>
  <c r="BP121" i="50"/>
  <c r="BT120" i="50"/>
  <c r="BS120" i="50"/>
  <c r="BR120" i="50"/>
  <c r="BQ120" i="50"/>
  <c r="BP120" i="50"/>
  <c r="BT119" i="50"/>
  <c r="BS119" i="50"/>
  <c r="BR119" i="50"/>
  <c r="BQ119" i="50"/>
  <c r="BP119" i="50"/>
  <c r="BT118" i="50"/>
  <c r="BS118" i="50"/>
  <c r="BR118" i="50"/>
  <c r="BQ118" i="50"/>
  <c r="BP118" i="50"/>
  <c r="BT117" i="50"/>
  <c r="BS117" i="50"/>
  <c r="BR117" i="50"/>
  <c r="BQ117" i="50"/>
  <c r="BP117" i="50"/>
  <c r="BT116" i="50"/>
  <c r="BS116" i="50"/>
  <c r="BR116" i="50"/>
  <c r="BQ116" i="50"/>
  <c r="BP116" i="50"/>
  <c r="BT115" i="50"/>
  <c r="BS115" i="50"/>
  <c r="BR115" i="50"/>
  <c r="BQ115" i="50"/>
  <c r="BP115" i="50"/>
  <c r="BT114" i="50"/>
  <c r="BS114" i="50"/>
  <c r="BR114" i="50"/>
  <c r="BQ114" i="50"/>
  <c r="BP114" i="50"/>
  <c r="BT113" i="50"/>
  <c r="BS113" i="50"/>
  <c r="BR113" i="50"/>
  <c r="BQ113" i="50"/>
  <c r="BP113" i="50"/>
  <c r="BT112" i="50"/>
  <c r="BS112" i="50"/>
  <c r="BR112" i="50"/>
  <c r="BQ112" i="50"/>
  <c r="BP112" i="50"/>
  <c r="BT111" i="50"/>
  <c r="BS111" i="50"/>
  <c r="BR111" i="50"/>
  <c r="BQ111" i="50"/>
  <c r="BP111" i="50"/>
  <c r="BT110" i="50"/>
  <c r="BS110" i="50"/>
  <c r="BR110" i="50"/>
  <c r="BQ110" i="50"/>
  <c r="BP110" i="50"/>
  <c r="BT108" i="50"/>
  <c r="BS108" i="50"/>
  <c r="BR108" i="50"/>
  <c r="BQ108" i="50"/>
  <c r="BP108" i="50"/>
  <c r="BO128" i="50"/>
  <c r="BN128" i="50"/>
  <c r="BM128" i="50"/>
  <c r="BL128" i="50"/>
  <c r="BK128" i="50"/>
  <c r="BO126" i="50"/>
  <c r="BN126" i="50"/>
  <c r="BM126" i="50"/>
  <c r="BL126" i="50"/>
  <c r="BK126" i="50"/>
  <c r="BO124" i="50"/>
  <c r="BN124" i="50"/>
  <c r="BM124" i="50"/>
  <c r="BL124" i="50"/>
  <c r="BK124" i="50"/>
  <c r="BO123" i="50"/>
  <c r="BN123" i="50"/>
  <c r="BM123" i="50"/>
  <c r="BL123" i="50"/>
  <c r="BK123" i="50"/>
  <c r="BO122" i="50"/>
  <c r="BN122" i="50"/>
  <c r="BM122" i="50"/>
  <c r="BL122" i="50"/>
  <c r="BK122" i="50"/>
  <c r="BO121" i="50"/>
  <c r="BN121" i="50"/>
  <c r="BL121" i="50"/>
  <c r="BK121" i="50"/>
  <c r="BO120" i="50"/>
  <c r="BN120" i="50"/>
  <c r="BM120" i="50"/>
  <c r="BL120" i="50"/>
  <c r="BK120" i="50"/>
  <c r="BO119" i="50"/>
  <c r="BN119" i="50"/>
  <c r="BM119" i="50"/>
  <c r="BL119" i="50"/>
  <c r="BK119" i="50"/>
  <c r="BO118" i="50"/>
  <c r="BN118" i="50"/>
  <c r="BM118" i="50"/>
  <c r="BL118" i="50"/>
  <c r="BK118" i="50"/>
  <c r="BO117" i="50"/>
  <c r="BN117" i="50"/>
  <c r="BM117" i="50"/>
  <c r="BL117" i="50"/>
  <c r="BK117" i="50"/>
  <c r="BO116" i="50"/>
  <c r="BN116" i="50"/>
  <c r="BM116" i="50"/>
  <c r="BL116" i="50"/>
  <c r="BK116" i="50"/>
  <c r="BO115" i="50"/>
  <c r="BN115" i="50"/>
  <c r="BM115" i="50"/>
  <c r="BL115" i="50"/>
  <c r="BK115" i="50"/>
  <c r="BO114" i="50"/>
  <c r="BN114" i="50"/>
  <c r="BM114" i="50"/>
  <c r="BL114" i="50"/>
  <c r="BK114" i="50"/>
  <c r="BO113" i="50"/>
  <c r="BN113" i="50"/>
  <c r="BM113" i="50"/>
  <c r="BL113" i="50"/>
  <c r="BK113" i="50"/>
  <c r="BO112" i="50"/>
  <c r="BN112" i="50"/>
  <c r="BM112" i="50"/>
  <c r="BL112" i="50"/>
  <c r="BK112" i="50"/>
  <c r="BO111" i="50"/>
  <c r="BN111" i="50"/>
  <c r="BM111" i="50"/>
  <c r="BL111" i="50"/>
  <c r="BK111" i="50"/>
  <c r="BO110" i="50"/>
  <c r="BN110" i="50"/>
  <c r="BM110" i="50"/>
  <c r="BL110" i="50"/>
  <c r="BK110" i="50"/>
  <c r="BO108" i="50"/>
  <c r="BN108" i="50"/>
  <c r="BM108" i="50"/>
  <c r="BL108" i="50"/>
  <c r="BK108" i="50"/>
  <c r="BJ128" i="50"/>
  <c r="BI128" i="50"/>
  <c r="BH128" i="50"/>
  <c r="BG128" i="50"/>
  <c r="BF128" i="50"/>
  <c r="BJ126" i="50"/>
  <c r="BI126" i="50"/>
  <c r="BH126" i="50"/>
  <c r="BG126" i="50"/>
  <c r="BF126" i="50"/>
  <c r="BJ124" i="50"/>
  <c r="BI124" i="50"/>
  <c r="BH124" i="50"/>
  <c r="BG124" i="50"/>
  <c r="BF124" i="50"/>
  <c r="BJ123" i="50"/>
  <c r="BI123" i="50"/>
  <c r="BH123" i="50"/>
  <c r="BG123" i="50"/>
  <c r="BF123" i="50"/>
  <c r="BJ122" i="50"/>
  <c r="BI122" i="50"/>
  <c r="BH122" i="50"/>
  <c r="BG122" i="50"/>
  <c r="BF122" i="50"/>
  <c r="BJ121" i="50"/>
  <c r="BI121" i="50"/>
  <c r="BG121" i="50"/>
  <c r="BF121" i="50"/>
  <c r="BJ120" i="50"/>
  <c r="BI120" i="50"/>
  <c r="BH120" i="50"/>
  <c r="BG120" i="50"/>
  <c r="BF120" i="50"/>
  <c r="BJ119" i="50"/>
  <c r="BI119" i="50"/>
  <c r="BH119" i="50"/>
  <c r="BG119" i="50"/>
  <c r="BF119" i="50"/>
  <c r="BJ118" i="50"/>
  <c r="BI118" i="50"/>
  <c r="BH118" i="50"/>
  <c r="BG118" i="50"/>
  <c r="BF118" i="50"/>
  <c r="BJ117" i="50"/>
  <c r="BI117" i="50"/>
  <c r="BH117" i="50"/>
  <c r="BG117" i="50"/>
  <c r="BF117" i="50"/>
  <c r="BJ116" i="50"/>
  <c r="BI116" i="50"/>
  <c r="BH116" i="50"/>
  <c r="BG116" i="50"/>
  <c r="BF116" i="50"/>
  <c r="BJ115" i="50"/>
  <c r="BI115" i="50"/>
  <c r="BH115" i="50"/>
  <c r="BG115" i="50"/>
  <c r="BF115" i="50"/>
  <c r="BJ114" i="50"/>
  <c r="BI114" i="50"/>
  <c r="BH114" i="50"/>
  <c r="BG114" i="50"/>
  <c r="BF114" i="50"/>
  <c r="BJ113" i="50"/>
  <c r="BI113" i="50"/>
  <c r="BH113" i="50"/>
  <c r="BG113" i="50"/>
  <c r="BF113" i="50"/>
  <c r="BJ112" i="50"/>
  <c r="BI112" i="50"/>
  <c r="BH112" i="50"/>
  <c r="BG112" i="50"/>
  <c r="BF112" i="50"/>
  <c r="BJ111" i="50"/>
  <c r="BI111" i="50"/>
  <c r="BH111" i="50"/>
  <c r="BG111" i="50"/>
  <c r="BF111" i="50"/>
  <c r="BJ110" i="50"/>
  <c r="BI110" i="50"/>
  <c r="BH110" i="50"/>
  <c r="BG110" i="50"/>
  <c r="BF110" i="50"/>
  <c r="BJ108" i="50"/>
  <c r="BI108" i="50"/>
  <c r="BH108" i="50"/>
  <c r="BG108" i="50"/>
  <c r="BF108" i="50"/>
  <c r="BE128" i="50"/>
  <c r="BD128" i="50"/>
  <c r="BC128" i="50"/>
  <c r="BB128" i="50"/>
  <c r="BA128" i="50"/>
  <c r="BE126" i="50"/>
  <c r="BD126" i="50"/>
  <c r="BC126" i="50"/>
  <c r="BB126" i="50"/>
  <c r="BA126" i="50"/>
  <c r="BE124" i="50"/>
  <c r="BD124" i="50"/>
  <c r="BC124" i="50"/>
  <c r="BB124" i="50"/>
  <c r="BA124" i="50"/>
  <c r="BE123" i="50"/>
  <c r="BD123" i="50"/>
  <c r="BC123" i="50"/>
  <c r="BB123" i="50"/>
  <c r="BA123" i="50"/>
  <c r="BE122" i="50"/>
  <c r="BD122" i="50"/>
  <c r="BC122" i="50"/>
  <c r="BB122" i="50"/>
  <c r="BA122" i="50"/>
  <c r="BE121" i="50"/>
  <c r="BD121" i="50"/>
  <c r="BB121" i="50"/>
  <c r="BA121" i="50"/>
  <c r="BE120" i="50"/>
  <c r="BD120" i="50"/>
  <c r="BC120" i="50"/>
  <c r="BB120" i="50"/>
  <c r="BA120" i="50"/>
  <c r="BE119" i="50"/>
  <c r="BD119" i="50"/>
  <c r="BC119" i="50"/>
  <c r="BB119" i="50"/>
  <c r="BA119" i="50"/>
  <c r="BE118" i="50"/>
  <c r="BD118" i="50"/>
  <c r="BC118" i="50"/>
  <c r="BB118" i="50"/>
  <c r="BA118" i="50"/>
  <c r="BE117" i="50"/>
  <c r="BD117" i="50"/>
  <c r="BC117" i="50"/>
  <c r="BB117" i="50"/>
  <c r="BA117" i="50"/>
  <c r="BE116" i="50"/>
  <c r="BD116" i="50"/>
  <c r="BC116" i="50"/>
  <c r="BB116" i="50"/>
  <c r="BA116" i="50"/>
  <c r="BE115" i="50"/>
  <c r="BD115" i="50"/>
  <c r="BC115" i="50"/>
  <c r="BB115" i="50"/>
  <c r="BA115" i="50"/>
  <c r="BE114" i="50"/>
  <c r="BD114" i="50"/>
  <c r="BC114" i="50"/>
  <c r="BB114" i="50"/>
  <c r="BA114" i="50"/>
  <c r="BE113" i="50"/>
  <c r="BD113" i="50"/>
  <c r="BC113" i="50"/>
  <c r="BB113" i="50"/>
  <c r="BA113" i="50"/>
  <c r="BE112" i="50"/>
  <c r="BD112" i="50"/>
  <c r="BC112" i="50"/>
  <c r="BB112" i="50"/>
  <c r="BA112" i="50"/>
  <c r="BE111" i="50"/>
  <c r="BD111" i="50"/>
  <c r="BC111" i="50"/>
  <c r="BB111" i="50"/>
  <c r="BA111" i="50"/>
  <c r="BE110" i="50"/>
  <c r="BD110" i="50"/>
  <c r="BC110" i="50"/>
  <c r="BB110" i="50"/>
  <c r="BA110" i="50"/>
  <c r="BE108" i="50"/>
  <c r="BD108" i="50"/>
  <c r="BC108" i="50"/>
  <c r="BB108" i="50"/>
  <c r="BA108" i="50"/>
  <c r="AZ128" i="50"/>
  <c r="AY128" i="50"/>
  <c r="AX128" i="50"/>
  <c r="AW128" i="50"/>
  <c r="AV128" i="50"/>
  <c r="AZ126" i="50"/>
  <c r="AY126" i="50"/>
  <c r="AX126" i="50"/>
  <c r="AW126" i="50"/>
  <c r="AV126" i="50"/>
  <c r="AZ124" i="50"/>
  <c r="AY124" i="50"/>
  <c r="AX124" i="50"/>
  <c r="AW124" i="50"/>
  <c r="AV124" i="50"/>
  <c r="AZ123" i="50"/>
  <c r="AY123" i="50"/>
  <c r="AX123" i="50"/>
  <c r="AW123" i="50"/>
  <c r="AV123" i="50"/>
  <c r="AZ122" i="50"/>
  <c r="AY122" i="50"/>
  <c r="AX122" i="50"/>
  <c r="AW122" i="50"/>
  <c r="AV122" i="50"/>
  <c r="AZ121" i="50"/>
  <c r="AY121" i="50"/>
  <c r="AW121" i="50"/>
  <c r="AV121" i="50"/>
  <c r="AZ120" i="50"/>
  <c r="AY120" i="50"/>
  <c r="AX120" i="50"/>
  <c r="AW120" i="50"/>
  <c r="AV120" i="50"/>
  <c r="AZ119" i="50"/>
  <c r="AY119" i="50"/>
  <c r="AX119" i="50"/>
  <c r="AW119" i="50"/>
  <c r="AV119" i="50"/>
  <c r="AZ118" i="50"/>
  <c r="AY118" i="50"/>
  <c r="AX118" i="50"/>
  <c r="AW118" i="50"/>
  <c r="AV118" i="50"/>
  <c r="AZ117" i="50"/>
  <c r="AY117" i="50"/>
  <c r="AX117" i="50"/>
  <c r="AW117" i="50"/>
  <c r="AV117" i="50"/>
  <c r="AZ116" i="50"/>
  <c r="AY116" i="50"/>
  <c r="AX116" i="50"/>
  <c r="AW116" i="50"/>
  <c r="AV116" i="50"/>
  <c r="AZ115" i="50"/>
  <c r="AY115" i="50"/>
  <c r="AX115" i="50"/>
  <c r="AW115" i="50"/>
  <c r="AV115" i="50"/>
  <c r="AZ114" i="50"/>
  <c r="AY114" i="50"/>
  <c r="AX114" i="50"/>
  <c r="AW114" i="50"/>
  <c r="AV114" i="50"/>
  <c r="AZ113" i="50"/>
  <c r="AY113" i="50"/>
  <c r="AX113" i="50"/>
  <c r="AW113" i="50"/>
  <c r="AV113" i="50"/>
  <c r="AZ112" i="50"/>
  <c r="AY112" i="50"/>
  <c r="AX112" i="50"/>
  <c r="AW112" i="50"/>
  <c r="AV112" i="50"/>
  <c r="AZ111" i="50"/>
  <c r="AY111" i="50"/>
  <c r="AX111" i="50"/>
  <c r="AW111" i="50"/>
  <c r="AV111" i="50"/>
  <c r="AZ110" i="50"/>
  <c r="AY110" i="50"/>
  <c r="AX110" i="50"/>
  <c r="AW110" i="50"/>
  <c r="AV110" i="50"/>
  <c r="AZ108" i="50"/>
  <c r="AY108" i="50"/>
  <c r="AX108" i="50"/>
  <c r="AW108" i="50"/>
  <c r="AV108" i="50"/>
  <c r="AU128" i="50"/>
  <c r="AT128" i="50"/>
  <c r="AS128" i="50"/>
  <c r="AR128" i="50"/>
  <c r="AQ128" i="50"/>
  <c r="AU126" i="50"/>
  <c r="AT126" i="50"/>
  <c r="AS126" i="50"/>
  <c r="AR126" i="50"/>
  <c r="AQ126" i="50"/>
  <c r="AU124" i="50"/>
  <c r="AT124" i="50"/>
  <c r="AS124" i="50"/>
  <c r="AR124" i="50"/>
  <c r="AQ124" i="50"/>
  <c r="AU123" i="50"/>
  <c r="AT123" i="50"/>
  <c r="AS123" i="50"/>
  <c r="AR123" i="50"/>
  <c r="AQ123" i="50"/>
  <c r="AU122" i="50"/>
  <c r="AT122" i="50"/>
  <c r="AS122" i="50"/>
  <c r="AR122" i="50"/>
  <c r="AQ122" i="50"/>
  <c r="AU121" i="50"/>
  <c r="AT121" i="50"/>
  <c r="AR121" i="50"/>
  <c r="AQ121" i="50"/>
  <c r="AU120" i="50"/>
  <c r="AT120" i="50"/>
  <c r="AS120" i="50"/>
  <c r="AR120" i="50"/>
  <c r="AQ120" i="50"/>
  <c r="AU119" i="50"/>
  <c r="AT119" i="50"/>
  <c r="AS119" i="50"/>
  <c r="AR119" i="50"/>
  <c r="AQ119" i="50"/>
  <c r="AU118" i="50"/>
  <c r="AT118" i="50"/>
  <c r="AS118" i="50"/>
  <c r="AR118" i="50"/>
  <c r="AQ118" i="50"/>
  <c r="AU117" i="50"/>
  <c r="AT117" i="50"/>
  <c r="AS117" i="50"/>
  <c r="AR117" i="50"/>
  <c r="AQ117" i="50"/>
  <c r="AU116" i="50"/>
  <c r="AT116" i="50"/>
  <c r="AS116" i="50"/>
  <c r="AR116" i="50"/>
  <c r="AQ116" i="50"/>
  <c r="AU115" i="50"/>
  <c r="AT115" i="50"/>
  <c r="AS115" i="50"/>
  <c r="AR115" i="50"/>
  <c r="AQ115" i="50"/>
  <c r="AU114" i="50"/>
  <c r="AT114" i="50"/>
  <c r="AS114" i="50"/>
  <c r="AR114" i="50"/>
  <c r="AQ114" i="50"/>
  <c r="AU113" i="50"/>
  <c r="AT113" i="50"/>
  <c r="AS113" i="50"/>
  <c r="AR113" i="50"/>
  <c r="AQ113" i="50"/>
  <c r="AU112" i="50"/>
  <c r="AT112" i="50"/>
  <c r="AS112" i="50"/>
  <c r="AR112" i="50"/>
  <c r="AQ112" i="50"/>
  <c r="AU111" i="50"/>
  <c r="AT111" i="50"/>
  <c r="AS111" i="50"/>
  <c r="AR111" i="50"/>
  <c r="AQ111" i="50"/>
  <c r="AU110" i="50"/>
  <c r="AT110" i="50"/>
  <c r="AS110" i="50"/>
  <c r="AR110" i="50"/>
  <c r="AQ110" i="50"/>
  <c r="AU108" i="50"/>
  <c r="AT108" i="50"/>
  <c r="AS108" i="50"/>
  <c r="AR108" i="50"/>
  <c r="AQ108" i="50"/>
  <c r="AP128" i="50"/>
  <c r="AO128" i="50"/>
  <c r="AN128" i="50"/>
  <c r="AM128" i="50"/>
  <c r="AL128" i="50"/>
  <c r="AP126" i="50"/>
  <c r="AO126" i="50"/>
  <c r="AN126" i="50"/>
  <c r="AM126" i="50"/>
  <c r="AL126" i="50"/>
  <c r="AP124" i="50"/>
  <c r="AO124" i="50"/>
  <c r="AN124" i="50"/>
  <c r="AM124" i="50"/>
  <c r="AL124" i="50"/>
  <c r="AP123" i="50"/>
  <c r="AO123" i="50"/>
  <c r="AN123" i="50"/>
  <c r="AM123" i="50"/>
  <c r="AL123" i="50"/>
  <c r="AP122" i="50"/>
  <c r="AO122" i="50"/>
  <c r="AN122" i="50"/>
  <c r="AM122" i="50"/>
  <c r="AL122" i="50"/>
  <c r="AP121" i="50"/>
  <c r="AO121" i="50"/>
  <c r="AM121" i="50"/>
  <c r="AL121" i="50"/>
  <c r="AP120" i="50"/>
  <c r="AO120" i="50"/>
  <c r="AN120" i="50"/>
  <c r="AM120" i="50"/>
  <c r="AL120" i="50"/>
  <c r="AP119" i="50"/>
  <c r="AO119" i="50"/>
  <c r="AN119" i="50"/>
  <c r="AM119" i="50"/>
  <c r="AL119" i="50"/>
  <c r="AP118" i="50"/>
  <c r="AO118" i="50"/>
  <c r="AN118" i="50"/>
  <c r="AM118" i="50"/>
  <c r="AL118" i="50"/>
  <c r="AP117" i="50"/>
  <c r="AO117" i="50"/>
  <c r="AN117" i="50"/>
  <c r="AM117" i="50"/>
  <c r="AL117" i="50"/>
  <c r="AP116" i="50"/>
  <c r="AO116" i="50"/>
  <c r="AN116" i="50"/>
  <c r="AM116" i="50"/>
  <c r="AL116" i="50"/>
  <c r="AP115" i="50"/>
  <c r="AO115" i="50"/>
  <c r="AN115" i="50"/>
  <c r="AM115" i="50"/>
  <c r="AL115" i="50"/>
  <c r="AP114" i="50"/>
  <c r="AO114" i="50"/>
  <c r="AN114" i="50"/>
  <c r="AM114" i="50"/>
  <c r="AL114" i="50"/>
  <c r="AP113" i="50"/>
  <c r="AO113" i="50"/>
  <c r="AN113" i="50"/>
  <c r="AM113" i="50"/>
  <c r="AL113" i="50"/>
  <c r="AP112" i="50"/>
  <c r="AO112" i="50"/>
  <c r="AN112" i="50"/>
  <c r="AM112" i="50"/>
  <c r="AL112" i="50"/>
  <c r="AP111" i="50"/>
  <c r="AO111" i="50"/>
  <c r="AN111" i="50"/>
  <c r="AM111" i="50"/>
  <c r="AL111" i="50"/>
  <c r="AP110" i="50"/>
  <c r="AO110" i="50"/>
  <c r="AN110" i="50"/>
  <c r="AM110" i="50"/>
  <c r="AL110" i="50"/>
  <c r="AP108" i="50"/>
  <c r="AO108" i="50"/>
  <c r="AN108" i="50"/>
  <c r="AM108" i="50"/>
  <c r="AL108" i="50"/>
  <c r="AK128" i="50"/>
  <c r="AJ128" i="50"/>
  <c r="AI128" i="50"/>
  <c r="AH128" i="50"/>
  <c r="AG128" i="50"/>
  <c r="AK126" i="50"/>
  <c r="AJ126" i="50"/>
  <c r="AI126" i="50"/>
  <c r="AH126" i="50"/>
  <c r="AG126" i="50"/>
  <c r="AK124" i="50"/>
  <c r="AJ124" i="50"/>
  <c r="AI124" i="50"/>
  <c r="AH124" i="50"/>
  <c r="AG124" i="50"/>
  <c r="AK123" i="50"/>
  <c r="AJ123" i="50"/>
  <c r="AI123" i="50"/>
  <c r="AH123" i="50"/>
  <c r="AG123" i="50"/>
  <c r="AK122" i="50"/>
  <c r="AJ122" i="50"/>
  <c r="AI122" i="50"/>
  <c r="AH122" i="50"/>
  <c r="AG122" i="50"/>
  <c r="AK121" i="50"/>
  <c r="AJ121" i="50"/>
  <c r="AH121" i="50"/>
  <c r="AG121" i="50"/>
  <c r="AK120" i="50"/>
  <c r="AJ120" i="50"/>
  <c r="AI120" i="50"/>
  <c r="AH120" i="50"/>
  <c r="AG120" i="50"/>
  <c r="AK119" i="50"/>
  <c r="AJ119" i="50"/>
  <c r="AI119" i="50"/>
  <c r="AH119" i="50"/>
  <c r="AG119" i="50"/>
  <c r="AK118" i="50"/>
  <c r="AJ118" i="50"/>
  <c r="AI118" i="50"/>
  <c r="AH118" i="50"/>
  <c r="AG118" i="50"/>
  <c r="AK117" i="50"/>
  <c r="AJ117" i="50"/>
  <c r="AI117" i="50"/>
  <c r="AH117" i="50"/>
  <c r="AG117" i="50"/>
  <c r="AK116" i="50"/>
  <c r="AJ116" i="50"/>
  <c r="AI116" i="50"/>
  <c r="AH116" i="50"/>
  <c r="AG116" i="50"/>
  <c r="AK115" i="50"/>
  <c r="AJ115" i="50"/>
  <c r="AI115" i="50"/>
  <c r="AH115" i="50"/>
  <c r="AG115" i="50"/>
  <c r="AK114" i="50"/>
  <c r="AJ114" i="50"/>
  <c r="AI114" i="50"/>
  <c r="AH114" i="50"/>
  <c r="AG114" i="50"/>
  <c r="AK113" i="50"/>
  <c r="AJ113" i="50"/>
  <c r="AI113" i="50"/>
  <c r="AH113" i="50"/>
  <c r="AG113" i="50"/>
  <c r="AK112" i="50"/>
  <c r="AJ112" i="50"/>
  <c r="AI112" i="50"/>
  <c r="AH112" i="50"/>
  <c r="AG112" i="50"/>
  <c r="AK111" i="50"/>
  <c r="AJ111" i="50"/>
  <c r="AI111" i="50"/>
  <c r="AH111" i="50"/>
  <c r="AG111" i="50"/>
  <c r="AK110" i="50"/>
  <c r="AJ110" i="50"/>
  <c r="AI110" i="50"/>
  <c r="AH110" i="50"/>
  <c r="AG110" i="50"/>
  <c r="AK108" i="50"/>
  <c r="AJ108" i="50"/>
  <c r="AI108" i="50"/>
  <c r="AH108" i="50"/>
  <c r="AG108" i="50"/>
  <c r="AB128" i="50"/>
  <c r="AB126" i="50"/>
  <c r="AB124" i="50"/>
  <c r="AB123" i="50"/>
  <c r="AB122" i="50"/>
  <c r="AB121" i="50"/>
  <c r="AB120" i="50"/>
  <c r="AB119" i="50"/>
  <c r="AB118" i="50"/>
  <c r="AB117" i="50"/>
  <c r="AB116" i="50"/>
  <c r="AB115" i="50"/>
  <c r="AB114" i="50"/>
  <c r="AB113" i="50"/>
  <c r="AB112" i="50"/>
  <c r="AB111" i="50"/>
  <c r="AB110" i="50"/>
  <c r="AB108" i="50"/>
  <c r="AC128" i="50"/>
  <c r="AC126" i="50"/>
  <c r="AC124" i="50"/>
  <c r="AC123" i="50"/>
  <c r="AC122" i="50"/>
  <c r="AC121" i="50"/>
  <c r="AC120" i="50"/>
  <c r="AC119" i="50"/>
  <c r="AC118" i="50"/>
  <c r="AC117" i="50"/>
  <c r="AC116" i="50"/>
  <c r="AC115" i="50"/>
  <c r="AC114" i="50"/>
  <c r="AC113" i="50"/>
  <c r="AC112" i="50"/>
  <c r="AC111" i="50"/>
  <c r="AC110" i="50"/>
  <c r="AC108" i="50"/>
  <c r="AD128" i="50"/>
  <c r="AD126" i="50"/>
  <c r="AD124" i="50"/>
  <c r="AD123" i="50"/>
  <c r="AD122" i="50"/>
  <c r="AD120" i="50"/>
  <c r="AD119" i="50"/>
  <c r="AD118" i="50"/>
  <c r="AD117" i="50"/>
  <c r="AD116" i="50"/>
  <c r="AD115" i="50"/>
  <c r="AD114" i="50"/>
  <c r="AD113" i="50"/>
  <c r="AD112" i="50"/>
  <c r="AD111" i="50"/>
  <c r="AD110" i="50"/>
  <c r="AD108" i="50"/>
  <c r="AE128" i="50"/>
  <c r="AE126" i="50"/>
  <c r="AE124" i="50"/>
  <c r="AE123" i="50"/>
  <c r="AE122" i="50"/>
  <c r="AE121" i="50"/>
  <c r="AE120" i="50"/>
  <c r="AE119" i="50"/>
  <c r="AE118" i="50"/>
  <c r="AE117" i="50"/>
  <c r="AE116" i="50"/>
  <c r="AE115" i="50"/>
  <c r="AE114" i="50"/>
  <c r="AE113" i="50"/>
  <c r="AE112" i="50"/>
  <c r="AE111" i="50"/>
  <c r="AE110" i="50"/>
  <c r="AE108" i="50"/>
  <c r="AF128" i="50"/>
  <c r="AF126" i="50"/>
  <c r="AF124" i="50"/>
  <c r="AF123" i="50"/>
  <c r="AF122" i="50"/>
  <c r="AF121" i="50"/>
  <c r="AF120" i="50"/>
  <c r="AF119" i="50"/>
  <c r="AF118" i="50"/>
  <c r="AF117" i="50"/>
  <c r="AF116" i="50"/>
  <c r="AF115" i="50"/>
  <c r="AF114" i="50"/>
  <c r="AF113" i="50"/>
  <c r="AF112" i="50"/>
  <c r="AF111" i="50"/>
  <c r="AF110" i="50"/>
  <c r="AF108" i="50"/>
  <c r="DX105" i="50"/>
  <c r="DS105" i="50"/>
  <c r="DN105" i="50"/>
  <c r="DI105" i="50"/>
  <c r="DD105" i="50"/>
  <c r="CY105" i="50"/>
  <c r="CT105" i="50"/>
  <c r="CO105" i="50"/>
  <c r="CJ105" i="50"/>
  <c r="CE105" i="50"/>
  <c r="BZ105" i="50"/>
  <c r="BU105" i="50"/>
  <c r="BP105" i="50"/>
  <c r="BK105" i="50"/>
  <c r="BF105" i="50"/>
  <c r="BA105" i="50"/>
  <c r="AV105" i="50"/>
  <c r="AQ105" i="50"/>
  <c r="AL105" i="50"/>
  <c r="AG105" i="50"/>
  <c r="AB105" i="50"/>
  <c r="AB2" i="50"/>
  <c r="B118" i="50"/>
  <c r="B117" i="50"/>
  <c r="B116" i="50"/>
  <c r="B115" i="50"/>
  <c r="B114" i="50"/>
  <c r="B113" i="50"/>
  <c r="B112" i="50"/>
  <c r="B111" i="50"/>
  <c r="B110" i="50"/>
  <c r="B109" i="50"/>
  <c r="B108" i="50"/>
  <c r="B107" i="50"/>
  <c r="B106" i="50"/>
  <c r="B105" i="50"/>
  <c r="B104" i="50"/>
  <c r="B103" i="50"/>
  <c r="B102" i="50"/>
  <c r="B101" i="50"/>
  <c r="B100" i="50"/>
  <c r="B99" i="50"/>
  <c r="B98" i="50"/>
  <c r="AX176" i="50" l="1"/>
  <c r="AO176" i="50"/>
  <c r="AY176" i="50"/>
  <c r="AK176" i="50"/>
  <c r="AG176" i="50"/>
  <c r="AH176" i="50"/>
  <c r="AL176" i="50"/>
  <c r="AF176" i="50"/>
  <c r="CD176" i="50"/>
  <c r="BT152" i="50" s="1"/>
  <c r="AE176" i="50"/>
  <c r="CC176" i="50"/>
  <c r="BX152" i="50" s="1"/>
  <c r="AI176" i="50"/>
  <c r="AM176" i="50"/>
  <c r="AV176" i="50"/>
  <c r="CB176" i="50"/>
  <c r="BR152" i="50" s="1"/>
  <c r="AD176" i="50"/>
  <c r="AJ176" i="50"/>
  <c r="AN176" i="50"/>
  <c r="AW176" i="50"/>
  <c r="CA176" i="50"/>
  <c r="BG152" i="50" s="1"/>
  <c r="AC176" i="50"/>
  <c r="AP176" i="50"/>
  <c r="AZ176" i="50"/>
  <c r="AB176" i="50"/>
  <c r="BZ176" i="50"/>
  <c r="BK152" i="50" s="1"/>
  <c r="AX159" i="50"/>
  <c r="AV161" i="50"/>
  <c r="AW164" i="50"/>
  <c r="AX167" i="50"/>
  <c r="AV172" i="50"/>
  <c r="AW157" i="50"/>
  <c r="AX160" i="50"/>
  <c r="AY163" i="50"/>
  <c r="AW165" i="50"/>
  <c r="AX168" i="50"/>
  <c r="AX171" i="50"/>
  <c r="AV173" i="50"/>
  <c r="AV162" i="50"/>
  <c r="AY174" i="50"/>
  <c r="AV169" i="50"/>
  <c r="AN158" i="50"/>
  <c r="AL160" i="50"/>
  <c r="AM163" i="50"/>
  <c r="AP164" i="50"/>
  <c r="AN166" i="50"/>
  <c r="AL168" i="50"/>
  <c r="AN170" i="50"/>
  <c r="AL171" i="50"/>
  <c r="AM174" i="50"/>
  <c r="AY159" i="50"/>
  <c r="AW161" i="50"/>
  <c r="AY167" i="50"/>
  <c r="AW172" i="50"/>
  <c r="AJ158" i="50"/>
  <c r="AH160" i="50"/>
  <c r="AW158" i="50"/>
  <c r="AX161" i="50"/>
  <c r="AW166" i="50"/>
  <c r="AW170" i="50"/>
  <c r="AX172" i="50"/>
  <c r="AI163" i="50"/>
  <c r="AJ166" i="50"/>
  <c r="AJ170" i="50"/>
  <c r="AZ157" i="50"/>
  <c r="AZ165" i="50"/>
  <c r="AZ169" i="50"/>
  <c r="AZ158" i="50"/>
  <c r="AZ166" i="50"/>
  <c r="AZ170" i="50"/>
  <c r="AZ162" i="50"/>
  <c r="AZ159" i="50"/>
  <c r="AZ167" i="50"/>
  <c r="AK161" i="50"/>
  <c r="AK172" i="50"/>
  <c r="AM157" i="50"/>
  <c r="AP158" i="50"/>
  <c r="AN160" i="50"/>
  <c r="AM165" i="50"/>
  <c r="AP166" i="50"/>
  <c r="AN168" i="50"/>
  <c r="AP170" i="50"/>
  <c r="AN171" i="50"/>
  <c r="AN163" i="50"/>
  <c r="AN157" i="50"/>
  <c r="AL159" i="50"/>
  <c r="AM162" i="50"/>
  <c r="AP163" i="50"/>
  <c r="AN165" i="50"/>
  <c r="AL167" i="50"/>
  <c r="AM169" i="50"/>
  <c r="AM173" i="50"/>
  <c r="AP174" i="50"/>
  <c r="AX158" i="50"/>
  <c r="AV160" i="50"/>
  <c r="AW163" i="50"/>
  <c r="AZ164" i="50"/>
  <c r="AX166" i="50"/>
  <c r="AV168" i="50"/>
  <c r="AX170" i="50"/>
  <c r="AV171" i="50"/>
  <c r="AW174" i="50"/>
  <c r="AN174" i="50"/>
  <c r="AO157" i="50"/>
  <c r="AM159" i="50"/>
  <c r="AP160" i="50"/>
  <c r="AN162" i="50"/>
  <c r="AO165" i="50"/>
  <c r="AM167" i="50"/>
  <c r="AP168" i="50"/>
  <c r="AO169" i="50"/>
  <c r="AP171" i="50"/>
  <c r="AN173" i="50"/>
  <c r="AV157" i="50"/>
  <c r="AY158" i="50"/>
  <c r="AW160" i="50"/>
  <c r="AZ161" i="50"/>
  <c r="AX163" i="50"/>
  <c r="AV165" i="50"/>
  <c r="AY166" i="50"/>
  <c r="AW168" i="50"/>
  <c r="AY170" i="50"/>
  <c r="AW171" i="50"/>
  <c r="AZ172" i="50"/>
  <c r="AX174" i="50"/>
  <c r="AM160" i="50"/>
  <c r="AM168" i="50"/>
  <c r="AP172" i="50"/>
  <c r="AP157" i="50"/>
  <c r="AN159" i="50"/>
  <c r="AO162" i="50"/>
  <c r="AM164" i="50"/>
  <c r="AP165" i="50"/>
  <c r="AN167" i="50"/>
  <c r="AP169" i="50"/>
  <c r="AO173" i="50"/>
  <c r="AM171" i="50"/>
  <c r="AP162" i="50"/>
  <c r="AM172" i="50"/>
  <c r="AX157" i="50"/>
  <c r="AY160" i="50"/>
  <c r="AW162" i="50"/>
  <c r="AZ163" i="50"/>
  <c r="AX165" i="50"/>
  <c r="AY168" i="50"/>
  <c r="AW169" i="50"/>
  <c r="AY171" i="50"/>
  <c r="AW173" i="50"/>
  <c r="AZ174" i="50"/>
  <c r="AP161" i="50"/>
  <c r="AM161" i="50"/>
  <c r="AW159" i="50"/>
  <c r="AZ160" i="50"/>
  <c r="AX162" i="50"/>
  <c r="AV164" i="50"/>
  <c r="AW167" i="50"/>
  <c r="AZ168" i="50"/>
  <c r="AZ171" i="50"/>
  <c r="AX173" i="50"/>
  <c r="AO161" i="50"/>
  <c r="AO172" i="50"/>
  <c r="AY162" i="50"/>
  <c r="AY173" i="50"/>
  <c r="AO158" i="50"/>
  <c r="AO166" i="50"/>
  <c r="AO170" i="50"/>
  <c r="AO163" i="50"/>
  <c r="AO174" i="50"/>
  <c r="AY164" i="50"/>
  <c r="AO160" i="50"/>
  <c r="AO168" i="50"/>
  <c r="AO171" i="50"/>
  <c r="AY161" i="50"/>
  <c r="AY172" i="50"/>
  <c r="AO159" i="50"/>
  <c r="AO167" i="50"/>
  <c r="AY157" i="50"/>
  <c r="AY165" i="50"/>
  <c r="AY169" i="50"/>
  <c r="AI174" i="50"/>
  <c r="AH168" i="50"/>
  <c r="AH171" i="50"/>
  <c r="AL157" i="50"/>
  <c r="AL165" i="50"/>
  <c r="AV158" i="50"/>
  <c r="AV166" i="50"/>
  <c r="AV170" i="50"/>
  <c r="AL162" i="50"/>
  <c r="AL169" i="50"/>
  <c r="AL173" i="50"/>
  <c r="AV163" i="50"/>
  <c r="AV174" i="50"/>
  <c r="AG157" i="50"/>
  <c r="AG165" i="50"/>
  <c r="AL164" i="50"/>
  <c r="AL161" i="50"/>
  <c r="AL172" i="50"/>
  <c r="AL158" i="50"/>
  <c r="AL166" i="50"/>
  <c r="AL170" i="50"/>
  <c r="AV159" i="50"/>
  <c r="AV167" i="50"/>
  <c r="AX164" i="50"/>
  <c r="AN164" i="50"/>
  <c r="AZ173" i="50"/>
  <c r="AP173" i="50"/>
  <c r="AB170" i="50"/>
  <c r="BZ170" i="50"/>
  <c r="BF146" i="50" s="1"/>
  <c r="CD166" i="50"/>
  <c r="AF166" i="50"/>
  <c r="CD172" i="50"/>
  <c r="BE148" i="50" s="1"/>
  <c r="AF172" i="50"/>
  <c r="AE160" i="50"/>
  <c r="CC160" i="50"/>
  <c r="AT136" i="50" s="1"/>
  <c r="AE168" i="50"/>
  <c r="CC168" i="50"/>
  <c r="BD144" i="50" s="1"/>
  <c r="AE174" i="50"/>
  <c r="CC174" i="50"/>
  <c r="AT150" i="50" s="1"/>
  <c r="AD162" i="50"/>
  <c r="CB162" i="50"/>
  <c r="BM138" i="50" s="1"/>
  <c r="CB170" i="50"/>
  <c r="BW146" i="50" s="1"/>
  <c r="AD170" i="50"/>
  <c r="AC157" i="50"/>
  <c r="CA157" i="50"/>
  <c r="AR133" i="50" s="1"/>
  <c r="AC165" i="50"/>
  <c r="CA165" i="50"/>
  <c r="AR141" i="50" s="1"/>
  <c r="AC171" i="50"/>
  <c r="CA171" i="50"/>
  <c r="AR147" i="50" s="1"/>
  <c r="BZ159" i="50"/>
  <c r="BK135" i="50" s="1"/>
  <c r="AB159" i="50"/>
  <c r="BZ167" i="50"/>
  <c r="AB167" i="50"/>
  <c r="AB173" i="50"/>
  <c r="BZ173" i="50"/>
  <c r="BU149" i="50" s="1"/>
  <c r="AK157" i="50"/>
  <c r="AI159" i="50"/>
  <c r="AG161" i="50"/>
  <c r="AJ162" i="50"/>
  <c r="AH164" i="50"/>
  <c r="AK165" i="50"/>
  <c r="AI167" i="50"/>
  <c r="AK169" i="50"/>
  <c r="AG172" i="50"/>
  <c r="AJ173" i="50"/>
  <c r="AC161" i="50"/>
  <c r="CA161" i="50"/>
  <c r="AR137" i="50" s="1"/>
  <c r="CD158" i="50"/>
  <c r="AU134" i="50" s="1"/>
  <c r="AF158" i="50"/>
  <c r="CD159" i="50"/>
  <c r="BE135" i="50" s="1"/>
  <c r="AF159" i="50"/>
  <c r="CD167" i="50"/>
  <c r="BY143" i="50" s="1"/>
  <c r="AF167" i="50"/>
  <c r="CD173" i="50"/>
  <c r="AU149" i="50" s="1"/>
  <c r="AF173" i="50"/>
  <c r="CC161" i="50"/>
  <c r="BD137" i="50" s="1"/>
  <c r="AE161" i="50"/>
  <c r="AD163" i="50"/>
  <c r="CB163" i="50"/>
  <c r="AS139" i="50" s="1"/>
  <c r="AC158" i="50"/>
  <c r="CA158" i="50"/>
  <c r="BG134" i="50" s="1"/>
  <c r="AC166" i="50"/>
  <c r="CA166" i="50"/>
  <c r="BV142" i="50" s="1"/>
  <c r="AC172" i="50"/>
  <c r="CA172" i="50"/>
  <c r="AR148" i="50" s="1"/>
  <c r="AB160" i="50"/>
  <c r="BZ160" i="50"/>
  <c r="BU136" i="50" s="1"/>
  <c r="AB168" i="50"/>
  <c r="BZ168" i="50"/>
  <c r="BP144" i="50" s="1"/>
  <c r="AB174" i="50"/>
  <c r="BZ174" i="50"/>
  <c r="AG158" i="50"/>
  <c r="AJ159" i="50"/>
  <c r="AH161" i="50"/>
  <c r="AK162" i="50"/>
  <c r="AI164" i="50"/>
  <c r="AG166" i="50"/>
  <c r="AJ167" i="50"/>
  <c r="AG170" i="50"/>
  <c r="AH172" i="50"/>
  <c r="AK173" i="50"/>
  <c r="AD158" i="50"/>
  <c r="CB158" i="50"/>
  <c r="BR134" i="50" s="1"/>
  <c r="AF160" i="50"/>
  <c r="CD160" i="50"/>
  <c r="AU136" i="50" s="1"/>
  <c r="AF174" i="50"/>
  <c r="CD174" i="50"/>
  <c r="BO150" i="50" s="1"/>
  <c r="CC162" i="50"/>
  <c r="BI138" i="50" s="1"/>
  <c r="AE162" i="50"/>
  <c r="AE169" i="50"/>
  <c r="CC169" i="50"/>
  <c r="AT145" i="50" s="1"/>
  <c r="AD164" i="50"/>
  <c r="CB164" i="50"/>
  <c r="BM140" i="50" s="1"/>
  <c r="AD171" i="50"/>
  <c r="CB171" i="50"/>
  <c r="BH147" i="50" s="1"/>
  <c r="CA159" i="50"/>
  <c r="AR135" i="50" s="1"/>
  <c r="AC159" i="50"/>
  <c r="CA167" i="50"/>
  <c r="AR143" i="50" s="1"/>
  <c r="AC167" i="50"/>
  <c r="AC173" i="50"/>
  <c r="CA173" i="50"/>
  <c r="BL149" i="50" s="1"/>
  <c r="AB161" i="50"/>
  <c r="BZ161" i="50"/>
  <c r="AQ137" i="50" s="1"/>
  <c r="AH158" i="50"/>
  <c r="AK159" i="50"/>
  <c r="AI161" i="50"/>
  <c r="AG163" i="50"/>
  <c r="AJ164" i="50"/>
  <c r="AH166" i="50"/>
  <c r="AK167" i="50"/>
  <c r="AH170" i="50"/>
  <c r="AI172" i="50"/>
  <c r="AG174" i="50"/>
  <c r="CD162" i="50"/>
  <c r="AU138" i="50" s="1"/>
  <c r="AF162" i="50"/>
  <c r="AD173" i="50"/>
  <c r="CB173" i="50"/>
  <c r="BW149" i="50" s="1"/>
  <c r="AF168" i="50"/>
  <c r="CD168" i="50"/>
  <c r="BO144" i="50" s="1"/>
  <c r="AF161" i="50"/>
  <c r="CD161" i="50"/>
  <c r="BO137" i="50" s="1"/>
  <c r="AE163" i="50"/>
  <c r="CC163" i="50"/>
  <c r="AT139" i="50" s="1"/>
  <c r="CC170" i="50"/>
  <c r="AT146" i="50" s="1"/>
  <c r="AE170" i="50"/>
  <c r="CB157" i="50"/>
  <c r="AS133" i="50" s="1"/>
  <c r="AD157" i="50"/>
  <c r="CB165" i="50"/>
  <c r="AS141" i="50" s="1"/>
  <c r="AD165" i="50"/>
  <c r="AD172" i="50"/>
  <c r="CB172" i="50"/>
  <c r="AS148" i="50" s="1"/>
  <c r="CA160" i="50"/>
  <c r="AC160" i="50"/>
  <c r="CA168" i="50"/>
  <c r="BG144" i="50" s="1"/>
  <c r="AC168" i="50"/>
  <c r="AC174" i="50"/>
  <c r="CA174" i="50"/>
  <c r="BZ162" i="50"/>
  <c r="BK138" i="50" s="1"/>
  <c r="AB162" i="50"/>
  <c r="AB169" i="50"/>
  <c r="BZ169" i="50"/>
  <c r="BK145" i="50" s="1"/>
  <c r="AI158" i="50"/>
  <c r="AG160" i="50"/>
  <c r="AJ161" i="50"/>
  <c r="AH163" i="50"/>
  <c r="AK164" i="50"/>
  <c r="AI166" i="50"/>
  <c r="AG168" i="50"/>
  <c r="AI170" i="50"/>
  <c r="AG171" i="50"/>
  <c r="AJ172" i="50"/>
  <c r="AH174" i="50"/>
  <c r="AF169" i="50"/>
  <c r="CD169" i="50"/>
  <c r="BY145" i="50" s="1"/>
  <c r="AE164" i="50"/>
  <c r="CC164" i="50"/>
  <c r="CD163" i="50"/>
  <c r="AF163" i="50"/>
  <c r="AF170" i="50"/>
  <c r="CD170" i="50"/>
  <c r="BT146" i="50" s="1"/>
  <c r="AE157" i="50"/>
  <c r="CC157" i="50"/>
  <c r="BS133" i="50" s="1"/>
  <c r="CC165" i="50"/>
  <c r="AT141" i="50" s="1"/>
  <c r="AE165" i="50"/>
  <c r="AE171" i="50"/>
  <c r="CC171" i="50"/>
  <c r="BN147" i="50" s="1"/>
  <c r="AD159" i="50"/>
  <c r="CB159" i="50"/>
  <c r="AD167" i="50"/>
  <c r="CB167" i="50"/>
  <c r="AD174" i="50"/>
  <c r="CB174" i="50"/>
  <c r="BH150" i="50" s="1"/>
  <c r="AC162" i="50"/>
  <c r="CA162" i="50"/>
  <c r="CA169" i="50"/>
  <c r="BG145" i="50" s="1"/>
  <c r="AC169" i="50"/>
  <c r="AB164" i="50"/>
  <c r="BZ164" i="50"/>
  <c r="AH157" i="50"/>
  <c r="AK158" i="50"/>
  <c r="AI160" i="50"/>
  <c r="AG162" i="50"/>
  <c r="AJ163" i="50"/>
  <c r="AH165" i="50"/>
  <c r="AK166" i="50"/>
  <c r="AI168" i="50"/>
  <c r="AG169" i="50"/>
  <c r="AK170" i="50"/>
  <c r="AI171" i="50"/>
  <c r="AG173" i="50"/>
  <c r="AJ174" i="50"/>
  <c r="AD166" i="50"/>
  <c r="CB166" i="50"/>
  <c r="CC166" i="50"/>
  <c r="AT142" i="50" s="1"/>
  <c r="AE166" i="50"/>
  <c r="CB160" i="50"/>
  <c r="AD160" i="50"/>
  <c r="CA163" i="50"/>
  <c r="AC163" i="50"/>
  <c r="AC170" i="50"/>
  <c r="CA170" i="50"/>
  <c r="BG146" i="50" s="1"/>
  <c r="AB157" i="50"/>
  <c r="BZ157" i="50"/>
  <c r="BF133" i="50" s="1"/>
  <c r="AB165" i="50"/>
  <c r="BZ165" i="50"/>
  <c r="BZ171" i="50"/>
  <c r="BA147" i="50" s="1"/>
  <c r="AB171" i="50"/>
  <c r="AI157" i="50"/>
  <c r="AG159" i="50"/>
  <c r="AJ160" i="50"/>
  <c r="AH162" i="50"/>
  <c r="AK163" i="50"/>
  <c r="AI165" i="50"/>
  <c r="AG167" i="50"/>
  <c r="AJ168" i="50"/>
  <c r="AH169" i="50"/>
  <c r="AJ171" i="50"/>
  <c r="AH173" i="50"/>
  <c r="AK174" i="50"/>
  <c r="BZ163" i="50"/>
  <c r="AQ139" i="50" s="1"/>
  <c r="AB163" i="50"/>
  <c r="AF164" i="50"/>
  <c r="CD164" i="50"/>
  <c r="BJ140" i="50" s="1"/>
  <c r="CC158" i="50"/>
  <c r="AE158" i="50"/>
  <c r="AE172" i="50"/>
  <c r="CC172" i="50"/>
  <c r="BS148" i="50" s="1"/>
  <c r="CB168" i="50"/>
  <c r="AD168" i="50"/>
  <c r="AF157" i="50"/>
  <c r="CD157" i="50"/>
  <c r="AU133" i="50" s="1"/>
  <c r="AF165" i="50"/>
  <c r="CD165" i="50"/>
  <c r="BJ141" i="50" s="1"/>
  <c r="AF171" i="50"/>
  <c r="CD171" i="50"/>
  <c r="BO147" i="50" s="1"/>
  <c r="AE159" i="50"/>
  <c r="CC159" i="50"/>
  <c r="AT135" i="50" s="1"/>
  <c r="AE167" i="50"/>
  <c r="CC167" i="50"/>
  <c r="BS143" i="50" s="1"/>
  <c r="AE173" i="50"/>
  <c r="CC173" i="50"/>
  <c r="BX149" i="50" s="1"/>
  <c r="CB161" i="50"/>
  <c r="AS137" i="50" s="1"/>
  <c r="AD161" i="50"/>
  <c r="CA164" i="50"/>
  <c r="AR140" i="50" s="1"/>
  <c r="AC164" i="50"/>
  <c r="BZ158" i="50"/>
  <c r="BA134" i="50" s="1"/>
  <c r="AB158" i="50"/>
  <c r="BZ166" i="50"/>
  <c r="AB166" i="50"/>
  <c r="AB172" i="50"/>
  <c r="BZ172" i="50"/>
  <c r="BP148" i="50" s="1"/>
  <c r="AJ157" i="50"/>
  <c r="AH159" i="50"/>
  <c r="AK160" i="50"/>
  <c r="AI162" i="50"/>
  <c r="AG164" i="50"/>
  <c r="AJ165" i="50"/>
  <c r="AH167" i="50"/>
  <c r="AK168" i="50"/>
  <c r="AJ169" i="50"/>
  <c r="AK171" i="50"/>
  <c r="AI173" i="50"/>
  <c r="AM158" i="50"/>
  <c r="AP159" i="50"/>
  <c r="AN161" i="50"/>
  <c r="AL163" i="50"/>
  <c r="AO164" i="50"/>
  <c r="AM166" i="50"/>
  <c r="AP167" i="50"/>
  <c r="AM170" i="50"/>
  <c r="AN172" i="50"/>
  <c r="AL174" i="50"/>
  <c r="AW156" i="50"/>
  <c r="AJ156" i="50"/>
  <c r="AL156" i="50"/>
  <c r="AP156" i="50"/>
  <c r="AD156" i="50"/>
  <c r="CB156" i="50"/>
  <c r="BR132" i="50" s="1"/>
  <c r="BY156" i="50"/>
  <c r="EB127" i="50"/>
  <c r="BY175" i="50" s="1"/>
  <c r="AC156" i="50"/>
  <c r="CA156" i="50"/>
  <c r="AI156" i="50"/>
  <c r="AO156" i="50"/>
  <c r="AX156" i="50"/>
  <c r="AE156" i="50"/>
  <c r="CC156" i="50"/>
  <c r="BI132" i="50" s="1"/>
  <c r="AG156" i="50"/>
  <c r="AK156" i="50"/>
  <c r="AM156" i="50"/>
  <c r="CA127" i="50"/>
  <c r="AY156" i="50"/>
  <c r="AF156" i="50"/>
  <c r="CD156" i="50"/>
  <c r="AU132" i="50" s="1"/>
  <c r="AB156" i="50"/>
  <c r="BZ156" i="50"/>
  <c r="BU132" i="50" s="1"/>
  <c r="AH156" i="50"/>
  <c r="AN156" i="50"/>
  <c r="AV156" i="50"/>
  <c r="AZ156" i="50"/>
  <c r="DG127" i="50"/>
  <c r="BD175" i="50" s="1"/>
  <c r="BD156" i="50"/>
  <c r="DM127" i="50"/>
  <c r="BJ175" i="50" s="1"/>
  <c r="BJ156" i="50"/>
  <c r="DT127" i="50"/>
  <c r="BQ175" i="50" s="1"/>
  <c r="DS127" i="50"/>
  <c r="BP175" i="50" s="1"/>
  <c r="AQ127" i="50"/>
  <c r="CT127" i="50"/>
  <c r="CX127" i="50"/>
  <c r="AO127" i="50"/>
  <c r="BI127" i="50"/>
  <c r="CH127" i="50"/>
  <c r="CN127" i="50"/>
  <c r="AU175" i="50" s="1"/>
  <c r="AG127" i="50"/>
  <c r="AK127" i="50"/>
  <c r="BL127" i="50"/>
  <c r="BU127" i="50"/>
  <c r="BY127" i="50"/>
  <c r="CK127" i="50"/>
  <c r="AR175" i="50" s="1"/>
  <c r="CS127" i="50"/>
  <c r="CW127" i="50"/>
  <c r="CY127" i="50"/>
  <c r="DE127" i="50"/>
  <c r="BB175" i="50" s="1"/>
  <c r="DD127" i="50"/>
  <c r="BA175" i="50" s="1"/>
  <c r="DH127" i="50"/>
  <c r="BE175" i="50" s="1"/>
  <c r="DI127" i="50"/>
  <c r="BF175" i="50" s="1"/>
  <c r="DQ127" i="50"/>
  <c r="BN175" i="50" s="1"/>
  <c r="DW127" i="50"/>
  <c r="BT175" i="50" s="1"/>
  <c r="AF127" i="50"/>
  <c r="AU127" i="50"/>
  <c r="BG127" i="50"/>
  <c r="BP127" i="50"/>
  <c r="BT127" i="50"/>
  <c r="CC127" i="50"/>
  <c r="AB127" i="50"/>
  <c r="AM127" i="50"/>
  <c r="AL127" i="50"/>
  <c r="AP127" i="50"/>
  <c r="AV127" i="50"/>
  <c r="AZ127" i="50"/>
  <c r="BD127" i="50"/>
  <c r="CO127" i="50"/>
  <c r="BK127" i="50"/>
  <c r="BO127" i="50"/>
  <c r="BN127" i="50"/>
  <c r="BX127" i="50"/>
  <c r="BV127" i="50"/>
  <c r="BZ127" i="50"/>
  <c r="CD127" i="50"/>
  <c r="AW127" i="50"/>
  <c r="BF127" i="50"/>
  <c r="BJ127" i="50"/>
  <c r="CM127" i="50"/>
  <c r="AT175" i="50" s="1"/>
  <c r="CU127" i="50"/>
  <c r="DO127" i="50"/>
  <c r="BL175" i="50" s="1"/>
  <c r="EA127" i="50"/>
  <c r="BX175" i="50" s="1"/>
  <c r="AE127" i="50"/>
  <c r="AC127" i="50"/>
  <c r="AT127" i="50"/>
  <c r="AY127" i="50"/>
  <c r="CF127" i="50"/>
  <c r="CE127" i="50"/>
  <c r="CI127" i="50"/>
  <c r="CJ127" i="50"/>
  <c r="AQ175" i="50" s="1"/>
  <c r="CP127" i="50"/>
  <c r="DB127" i="50"/>
  <c r="DJ127" i="50"/>
  <c r="BG175" i="50" s="1"/>
  <c r="DN127" i="50"/>
  <c r="BK175" i="50" s="1"/>
  <c r="DR127" i="50"/>
  <c r="BO175" i="50" s="1"/>
  <c r="DV127" i="50"/>
  <c r="BS175" i="50" s="1"/>
  <c r="DX127" i="50"/>
  <c r="BU175" i="50" s="1"/>
  <c r="AJ127" i="50"/>
  <c r="AH127" i="50"/>
  <c r="AR127" i="50"/>
  <c r="BB127" i="50"/>
  <c r="BA127" i="50"/>
  <c r="BE127" i="50"/>
  <c r="BQ127" i="50"/>
  <c r="BS127" i="50"/>
  <c r="CR127" i="50"/>
  <c r="CZ127" i="50"/>
  <c r="DC127" i="50"/>
  <c r="DL127" i="50"/>
  <c r="BI175" i="50" s="1"/>
  <c r="DY127" i="50"/>
  <c r="BV175" i="50" s="1"/>
  <c r="B88" i="50"/>
  <c r="B87" i="50"/>
  <c r="B86" i="50"/>
  <c r="B85" i="50"/>
  <c r="B84" i="50"/>
  <c r="B83" i="50"/>
  <c r="B82" i="50"/>
  <c r="B81" i="50"/>
  <c r="B80" i="50"/>
  <c r="B79" i="50"/>
  <c r="B78" i="50"/>
  <c r="B77" i="50"/>
  <c r="B76" i="50"/>
  <c r="B75" i="50"/>
  <c r="B74" i="50"/>
  <c r="B73" i="50"/>
  <c r="B72" i="50"/>
  <c r="B71" i="50"/>
  <c r="B70" i="50"/>
  <c r="B69" i="50"/>
  <c r="B60" i="50"/>
  <c r="B59" i="50"/>
  <c r="B58" i="50"/>
  <c r="B57" i="50"/>
  <c r="B56" i="50"/>
  <c r="B55" i="50"/>
  <c r="B54" i="50"/>
  <c r="B53" i="50"/>
  <c r="B52" i="50"/>
  <c r="B51" i="50"/>
  <c r="B50" i="50"/>
  <c r="B49" i="50"/>
  <c r="B48" i="50"/>
  <c r="B47" i="50"/>
  <c r="B46" i="50"/>
  <c r="B45" i="50"/>
  <c r="B44" i="50"/>
  <c r="B43" i="50"/>
  <c r="B42" i="50"/>
  <c r="B41" i="50"/>
  <c r="B40" i="50"/>
  <c r="B31" i="50"/>
  <c r="B30" i="50"/>
  <c r="B29" i="50"/>
  <c r="B28" i="50"/>
  <c r="B27" i="50"/>
  <c r="B26" i="50"/>
  <c r="B25" i="50"/>
  <c r="B24" i="50"/>
  <c r="B23" i="50"/>
  <c r="B22" i="50"/>
  <c r="B21" i="50"/>
  <c r="B20" i="50"/>
  <c r="B19" i="50"/>
  <c r="B18" i="50"/>
  <c r="B17" i="50"/>
  <c r="B16" i="50"/>
  <c r="B15" i="50"/>
  <c r="B14" i="50"/>
  <c r="B13" i="50"/>
  <c r="B12" i="50"/>
  <c r="B11" i="50"/>
  <c r="B10" i="50"/>
  <c r="B9" i="50"/>
  <c r="BN152" i="50" l="1"/>
  <c r="BW152" i="50"/>
  <c r="AB152" i="50"/>
  <c r="AJ152" i="50"/>
  <c r="BM152" i="50"/>
  <c r="BY152" i="50"/>
  <c r="AD152" i="50"/>
  <c r="AB175" i="50"/>
  <c r="BH152" i="50"/>
  <c r="AX152" i="50"/>
  <c r="AZ152" i="50"/>
  <c r="AT152" i="50"/>
  <c r="BP152" i="50"/>
  <c r="BI152" i="50"/>
  <c r="AN152" i="50"/>
  <c r="AY152" i="50"/>
  <c r="AO152" i="50"/>
  <c r="AF152" i="50"/>
  <c r="AU152" i="50"/>
  <c r="BS152" i="50"/>
  <c r="BD152" i="50"/>
  <c r="BE152" i="50"/>
  <c r="AW152" i="50"/>
  <c r="BJ152" i="50"/>
  <c r="AS152" i="50"/>
  <c r="AI152" i="50"/>
  <c r="BF152" i="50"/>
  <c r="AV152" i="50"/>
  <c r="BQ152" i="50"/>
  <c r="BB152" i="50"/>
  <c r="BL152" i="50"/>
  <c r="AP152" i="50"/>
  <c r="AR152" i="50"/>
  <c r="BO152" i="50"/>
  <c r="AG152" i="50"/>
  <c r="AC152" i="50"/>
  <c r="AK152" i="50"/>
  <c r="AM152" i="50"/>
  <c r="BC152" i="50"/>
  <c r="BU152" i="50"/>
  <c r="AQ152" i="50"/>
  <c r="BV152" i="50"/>
  <c r="AL152" i="50"/>
  <c r="BA152" i="50"/>
  <c r="AE152" i="50"/>
  <c r="AH152" i="50"/>
  <c r="AH136" i="50"/>
  <c r="AV143" i="50"/>
  <c r="AM150" i="50"/>
  <c r="AP143" i="50"/>
  <c r="BI136" i="50"/>
  <c r="BX144" i="50"/>
  <c r="BD145" i="50"/>
  <c r="BX145" i="50"/>
  <c r="BS145" i="50"/>
  <c r="BH134" i="50"/>
  <c r="AJ145" i="50"/>
  <c r="BI145" i="50"/>
  <c r="BD141" i="50"/>
  <c r="BB149" i="50"/>
  <c r="BN145" i="50"/>
  <c r="AM138" i="50"/>
  <c r="AN142" i="50"/>
  <c r="AZ142" i="50"/>
  <c r="BM141" i="50"/>
  <c r="BR141" i="50"/>
  <c r="BM134" i="50"/>
  <c r="BC134" i="50"/>
  <c r="BW134" i="50"/>
  <c r="AX134" i="50"/>
  <c r="BW141" i="50"/>
  <c r="BC141" i="50"/>
  <c r="AI141" i="50"/>
  <c r="BH141" i="50"/>
  <c r="BG137" i="50"/>
  <c r="BQ137" i="50"/>
  <c r="BV137" i="50"/>
  <c r="BL137" i="50"/>
  <c r="BB137" i="50"/>
  <c r="AM139" i="50"/>
  <c r="BW139" i="50"/>
  <c r="BC139" i="50"/>
  <c r="AY133" i="50"/>
  <c r="AX141" i="50"/>
  <c r="BE143" i="50"/>
  <c r="BH139" i="50"/>
  <c r="BM139" i="50"/>
  <c r="BR139" i="50"/>
  <c r="BK147" i="50"/>
  <c r="BA148" i="50"/>
  <c r="BV149" i="50"/>
  <c r="BG147" i="50"/>
  <c r="BU148" i="50"/>
  <c r="BG149" i="50"/>
  <c r="AM137" i="50"/>
  <c r="BB148" i="50"/>
  <c r="BL139" i="50"/>
  <c r="BR138" i="50"/>
  <c r="BH138" i="50"/>
  <c r="BC138" i="50"/>
  <c r="BM133" i="50"/>
  <c r="BH133" i="50"/>
  <c r="AI138" i="50"/>
  <c r="BW138" i="50"/>
  <c r="AX138" i="50"/>
  <c r="BL147" i="50"/>
  <c r="BV147" i="50"/>
  <c r="BL144" i="50"/>
  <c r="BV144" i="50"/>
  <c r="BQ147" i="50"/>
  <c r="BB147" i="50"/>
  <c r="BQ144" i="50"/>
  <c r="AW142" i="50"/>
  <c r="BB144" i="50"/>
  <c r="AR144" i="50"/>
  <c r="AT143" i="50"/>
  <c r="BX143" i="50"/>
  <c r="BX142" i="50"/>
  <c r="AO134" i="50"/>
  <c r="AZ143" i="50"/>
  <c r="BY148" i="50"/>
  <c r="BO148" i="50"/>
  <c r="AU148" i="50"/>
  <c r="AZ148" i="50"/>
  <c r="AP135" i="50"/>
  <c r="BY140" i="50"/>
  <c r="AP139" i="50"/>
  <c r="BY138" i="50"/>
  <c r="BJ138" i="50"/>
  <c r="BO138" i="50"/>
  <c r="BO140" i="50"/>
  <c r="BT138" i="50"/>
  <c r="BH142" i="50"/>
  <c r="BW142" i="50"/>
  <c r="BF148" i="50"/>
  <c r="BV145" i="50"/>
  <c r="AR149" i="50"/>
  <c r="AP142" i="50"/>
  <c r="BQ149" i="50"/>
  <c r="AH149" i="50"/>
  <c r="BF137" i="50"/>
  <c r="BT150" i="50"/>
  <c r="BT136" i="50"/>
  <c r="BE149" i="50"/>
  <c r="AV149" i="50"/>
  <c r="AV137" i="50"/>
  <c r="BX146" i="50"/>
  <c r="BQ136" i="50"/>
  <c r="AN136" i="50"/>
  <c r="AN135" i="50"/>
  <c r="BT140" i="50"/>
  <c r="AW137" i="50"/>
  <c r="AY146" i="50"/>
  <c r="BV136" i="50"/>
  <c r="AX147" i="50"/>
  <c r="BA149" i="50"/>
  <c r="BJ150" i="50"/>
  <c r="AU150" i="50"/>
  <c r="AQ149" i="50"/>
  <c r="BC147" i="50"/>
  <c r="BK149" i="50"/>
  <c r="BR147" i="50"/>
  <c r="BF149" i="50"/>
  <c r="BW147" i="50"/>
  <c r="BP137" i="50"/>
  <c r="BU137" i="50"/>
  <c r="BY150" i="50"/>
  <c r="BK137" i="50"/>
  <c r="AS147" i="50"/>
  <c r="BM147" i="50"/>
  <c r="BE150" i="50"/>
  <c r="AW136" i="50"/>
  <c r="BQ141" i="50"/>
  <c r="BB136" i="50"/>
  <c r="BY134" i="50"/>
  <c r="AL133" i="50"/>
  <c r="BS135" i="50"/>
  <c r="BA137" i="50"/>
  <c r="BQ143" i="50"/>
  <c r="BJ147" i="50"/>
  <c r="AI147" i="50"/>
  <c r="AZ147" i="50"/>
  <c r="BL136" i="50"/>
  <c r="AY150" i="50"/>
  <c r="AK134" i="50"/>
  <c r="AY143" i="50"/>
  <c r="AL142" i="50"/>
  <c r="BG141" i="50"/>
  <c r="BV141" i="50"/>
  <c r="AH141" i="50"/>
  <c r="BG139" i="50"/>
  <c r="AW141" i="50"/>
  <c r="BB141" i="50"/>
  <c r="AM141" i="50"/>
  <c r="BL141" i="50"/>
  <c r="BC142" i="50"/>
  <c r="BM142" i="50"/>
  <c r="AN134" i="50"/>
  <c r="BR133" i="50"/>
  <c r="BW133" i="50"/>
  <c r="BC133" i="50"/>
  <c r="AY134" i="50"/>
  <c r="BI143" i="50"/>
  <c r="BN146" i="50"/>
  <c r="BN137" i="50"/>
  <c r="BI150" i="50"/>
  <c r="BX137" i="50"/>
  <c r="BN143" i="50"/>
  <c r="AJ150" i="50"/>
  <c r="BS150" i="50"/>
  <c r="BD146" i="50"/>
  <c r="BI146" i="50"/>
  <c r="AO143" i="50"/>
  <c r="BI137" i="50"/>
  <c r="BD150" i="50"/>
  <c r="BS146" i="50"/>
  <c r="BX150" i="50"/>
  <c r="BN150" i="50"/>
  <c r="BJ134" i="50"/>
  <c r="BT133" i="50"/>
  <c r="BE140" i="50"/>
  <c r="AK150" i="50"/>
  <c r="BE138" i="50"/>
  <c r="AD139" i="50"/>
  <c r="AZ149" i="50"/>
  <c r="AQ147" i="50"/>
  <c r="AL148" i="50"/>
  <c r="BP149" i="50"/>
  <c r="AL134" i="50"/>
  <c r="AG149" i="50"/>
  <c r="AL141" i="50"/>
  <c r="AY149" i="50"/>
  <c r="AK148" i="50"/>
  <c r="BT148" i="50"/>
  <c r="AK136" i="50"/>
  <c r="AU142" i="50"/>
  <c r="AT137" i="50"/>
  <c r="BS137" i="50"/>
  <c r="BR142" i="50"/>
  <c r="AS138" i="50"/>
  <c r="BW137" i="50"/>
  <c r="AX137" i="50"/>
  <c r="AW147" i="50"/>
  <c r="AM148" i="50"/>
  <c r="BB139" i="50"/>
  <c r="BG136" i="50"/>
  <c r="AR150" i="50"/>
  <c r="BL148" i="50"/>
  <c r="BV148" i="50"/>
  <c r="BG148" i="50"/>
  <c r="AM147" i="50"/>
  <c r="BQ148" i="50"/>
  <c r="BU141" i="50"/>
  <c r="BP141" i="50"/>
  <c r="BK134" i="50"/>
  <c r="BA141" i="50"/>
  <c r="BK141" i="50"/>
  <c r="AQ141" i="50"/>
  <c r="BF141" i="50"/>
  <c r="AJ147" i="50"/>
  <c r="AL137" i="50"/>
  <c r="AO150" i="50"/>
  <c r="BY135" i="50"/>
  <c r="BN134" i="50"/>
  <c r="AJ141" i="50"/>
  <c r="AU135" i="50"/>
  <c r="AN144" i="50"/>
  <c r="BX141" i="50"/>
  <c r="BX147" i="50"/>
  <c r="AG135" i="50"/>
  <c r="AJ137" i="50"/>
  <c r="AK135" i="50"/>
  <c r="BH146" i="50"/>
  <c r="BB140" i="50"/>
  <c r="BS141" i="50"/>
  <c r="BV140" i="50"/>
  <c r="BO135" i="50"/>
  <c r="BR148" i="50"/>
  <c r="AS134" i="50"/>
  <c r="AI133" i="50"/>
  <c r="BS138" i="50"/>
  <c r="BC148" i="50"/>
  <c r="BT135" i="50"/>
  <c r="BJ135" i="50"/>
  <c r="AY138" i="50"/>
  <c r="BI141" i="50"/>
  <c r="BN141" i="50"/>
  <c r="AY137" i="50"/>
  <c r="AZ136" i="50"/>
  <c r="AV141" i="50"/>
  <c r="AW148" i="50"/>
  <c r="AV145" i="50"/>
  <c r="AY145" i="50"/>
  <c r="AW145" i="50"/>
  <c r="BF144" i="50"/>
  <c r="BE141" i="50"/>
  <c r="BB145" i="50"/>
  <c r="BR144" i="50"/>
  <c r="AL147" i="50"/>
  <c r="AJ146" i="50"/>
  <c r="AV135" i="50"/>
  <c r="BL145" i="50"/>
  <c r="AZ140" i="50"/>
  <c r="AB136" i="50"/>
  <c r="BD138" i="50"/>
  <c r="BD136" i="50"/>
  <c r="BQ145" i="50"/>
  <c r="BX138" i="50"/>
  <c r="BX136" i="50"/>
  <c r="BN149" i="50"/>
  <c r="BN136" i="50"/>
  <c r="BN138" i="50"/>
  <c r="AR142" i="50"/>
  <c r="AI134" i="50"/>
  <c r="BQ135" i="50"/>
  <c r="BS136" i="50"/>
  <c r="AJ136" i="50"/>
  <c r="AL140" i="50"/>
  <c r="AN143" i="50"/>
  <c r="AO133" i="50"/>
  <c r="BS149" i="50"/>
  <c r="BI149" i="50"/>
  <c r="AM136" i="50"/>
  <c r="AY148" i="50"/>
  <c r="AW149" i="50"/>
  <c r="AX133" i="50"/>
  <c r="AW144" i="50"/>
  <c r="AI139" i="50"/>
  <c r="BD149" i="50"/>
  <c r="AR145" i="50"/>
  <c r="BQ134" i="50"/>
  <c r="AR136" i="50"/>
  <c r="AP146" i="50"/>
  <c r="AO136" i="50"/>
  <c r="AM133" i="50"/>
  <c r="AL143" i="50"/>
  <c r="BI148" i="50"/>
  <c r="AV138" i="50"/>
  <c r="BU138" i="50"/>
  <c r="AN149" i="50"/>
  <c r="AO137" i="50"/>
  <c r="AX142" i="50"/>
  <c r="AN147" i="50"/>
  <c r="BX148" i="50"/>
  <c r="AW133" i="50"/>
  <c r="BN148" i="50"/>
  <c r="BA138" i="50"/>
  <c r="AJ144" i="50"/>
  <c r="BP146" i="50"/>
  <c r="BB133" i="50"/>
  <c r="BP138" i="50"/>
  <c r="BF138" i="50"/>
  <c r="BV133" i="50"/>
  <c r="AD133" i="50"/>
  <c r="AD147" i="50"/>
  <c r="AD146" i="50"/>
  <c r="AE136" i="50"/>
  <c r="AL146" i="50"/>
  <c r="BN144" i="50"/>
  <c r="AT148" i="50"/>
  <c r="BQ133" i="50"/>
  <c r="BK146" i="50"/>
  <c r="BI144" i="50"/>
  <c r="AT144" i="50"/>
  <c r="BA146" i="50"/>
  <c r="BL133" i="50"/>
  <c r="BU146" i="50"/>
  <c r="AQ146" i="50"/>
  <c r="BG133" i="50"/>
  <c r="AV146" i="50"/>
  <c r="BT143" i="50"/>
  <c r="AL145" i="50"/>
  <c r="AE146" i="50"/>
  <c r="AN139" i="50"/>
  <c r="BS144" i="50"/>
  <c r="BO143" i="50"/>
  <c r="AU143" i="50"/>
  <c r="AO144" i="50"/>
  <c r="AC148" i="50"/>
  <c r="BJ143" i="50"/>
  <c r="AW146" i="50"/>
  <c r="AH133" i="50"/>
  <c r="AB150" i="50"/>
  <c r="AH147" i="50"/>
  <c r="AW143" i="50"/>
  <c r="AZ150" i="50"/>
  <c r="AY136" i="50"/>
  <c r="AN138" i="50"/>
  <c r="AM149" i="50"/>
  <c r="AN133" i="50"/>
  <c r="AZ138" i="50"/>
  <c r="BO142" i="50"/>
  <c r="BU139" i="50"/>
  <c r="BF134" i="50"/>
  <c r="BB138" i="50"/>
  <c r="BS147" i="50"/>
  <c r="BT142" i="50"/>
  <c r="AW150" i="50"/>
  <c r="BS134" i="50"/>
  <c r="BQ150" i="50"/>
  <c r="BH144" i="50"/>
  <c r="BA150" i="50"/>
  <c r="AI149" i="50"/>
  <c r="AO148" i="50"/>
  <c r="AT138" i="50"/>
  <c r="AH142" i="50"/>
  <c r="BG143" i="50"/>
  <c r="BJ142" i="50"/>
  <c r="BP150" i="50"/>
  <c r="AM142" i="50"/>
  <c r="AY147" i="50"/>
  <c r="AY142" i="50"/>
  <c r="AM135" i="50"/>
  <c r="AS149" i="50"/>
  <c r="BW144" i="50"/>
  <c r="BM149" i="50"/>
  <c r="AG175" i="50"/>
  <c r="BW150" i="50"/>
  <c r="BP142" i="50"/>
  <c r="BV139" i="50"/>
  <c r="BG142" i="50"/>
  <c r="AX136" i="50"/>
  <c r="BM137" i="50"/>
  <c r="BD142" i="50"/>
  <c r="AV147" i="50"/>
  <c r="BV143" i="50"/>
  <c r="BD148" i="50"/>
  <c r="AU147" i="50"/>
  <c r="BP147" i="50"/>
  <c r="AT147" i="50"/>
  <c r="BY142" i="50"/>
  <c r="BI142" i="50"/>
  <c r="AH135" i="50"/>
  <c r="AO149" i="50"/>
  <c r="AO138" i="50"/>
  <c r="AK142" i="50"/>
  <c r="BL150" i="50"/>
  <c r="BN142" i="50"/>
  <c r="BB142" i="50"/>
  <c r="BL143" i="50"/>
  <c r="AL150" i="50"/>
  <c r="AY140" i="50"/>
  <c r="AY141" i="50"/>
  <c r="AX149" i="50"/>
  <c r="AW135" i="50"/>
  <c r="AY144" i="50"/>
  <c r="AX150" i="50"/>
  <c r="AX139" i="50"/>
  <c r="AO145" i="50"/>
  <c r="AW139" i="50"/>
  <c r="AN141" i="50"/>
  <c r="BG150" i="50"/>
  <c r="BV150" i="50"/>
  <c r="BD147" i="50"/>
  <c r="BE142" i="50"/>
  <c r="AV150" i="50"/>
  <c r="BX134" i="50"/>
  <c r="BB135" i="50"/>
  <c r="BU150" i="50"/>
  <c r="BR149" i="50"/>
  <c r="BG135" i="50"/>
  <c r="BS142" i="50"/>
  <c r="BV138" i="50"/>
  <c r="BH136" i="50"/>
  <c r="BC137" i="50"/>
  <c r="BQ142" i="50"/>
  <c r="AH150" i="50"/>
  <c r="BH137" i="50"/>
  <c r="BR136" i="50"/>
  <c r="BF147" i="50"/>
  <c r="AS150" i="50"/>
  <c r="BU147" i="50"/>
  <c r="BM150" i="50"/>
  <c r="AQ150" i="50"/>
  <c r="BU134" i="50"/>
  <c r="BQ138" i="50"/>
  <c r="BH149" i="50"/>
  <c r="BC150" i="50"/>
  <c r="BV135" i="50"/>
  <c r="BG138" i="50"/>
  <c r="AV142" i="50"/>
  <c r="BW136" i="50"/>
  <c r="BR137" i="50"/>
  <c r="BL135" i="50"/>
  <c r="AH143" i="50"/>
  <c r="BB143" i="50"/>
  <c r="BL142" i="50"/>
  <c r="BB150" i="50"/>
  <c r="BM136" i="50"/>
  <c r="AW138" i="50"/>
  <c r="BP134" i="50"/>
  <c r="BL138" i="50"/>
  <c r="BF150" i="50"/>
  <c r="BC149" i="50"/>
  <c r="BC136" i="50"/>
  <c r="BK150" i="50"/>
  <c r="BD134" i="50"/>
  <c r="BR150" i="50"/>
  <c r="BQ139" i="50"/>
  <c r="BB134" i="50"/>
  <c r="BI134" i="50"/>
  <c r="AP150" i="50"/>
  <c r="AZ135" i="50"/>
  <c r="BT149" i="50"/>
  <c r="BE133" i="50"/>
  <c r="BT139" i="50"/>
  <c r="BY147" i="50"/>
  <c r="AP149" i="50"/>
  <c r="AK143" i="50"/>
  <c r="AF143" i="50"/>
  <c r="BE136" i="50"/>
  <c r="AZ139" i="50"/>
  <c r="BE139" i="50"/>
  <c r="BY149" i="50"/>
  <c r="BY133" i="50"/>
  <c r="BO133" i="50"/>
  <c r="BO136" i="50"/>
  <c r="BE147" i="50"/>
  <c r="BJ136" i="50"/>
  <c r="BO149" i="50"/>
  <c r="BJ149" i="50"/>
  <c r="BT147" i="50"/>
  <c r="BJ133" i="50"/>
  <c r="AP137" i="50"/>
  <c r="AP138" i="50"/>
  <c r="BY136" i="50"/>
  <c r="AP136" i="50"/>
  <c r="BJ148" i="50"/>
  <c r="AP148" i="50"/>
  <c r="BO139" i="50"/>
  <c r="AZ134" i="50"/>
  <c r="BY139" i="50"/>
  <c r="AP145" i="50"/>
  <c r="BE134" i="50"/>
  <c r="BT134" i="50"/>
  <c r="BO134" i="50"/>
  <c r="AZ141" i="50"/>
  <c r="AZ144" i="50"/>
  <c r="AF142" i="50"/>
  <c r="BT141" i="50"/>
  <c r="BQ140" i="50"/>
  <c r="BO146" i="50"/>
  <c r="BW148" i="50"/>
  <c r="BT144" i="50"/>
  <c r="AZ146" i="50"/>
  <c r="BP143" i="50"/>
  <c r="BJ145" i="50"/>
  <c r="BD139" i="50"/>
  <c r="BP145" i="50"/>
  <c r="AV136" i="50"/>
  <c r="BF135" i="50"/>
  <c r="AX148" i="50"/>
  <c r="AW134" i="50"/>
  <c r="BR146" i="50"/>
  <c r="BM135" i="50"/>
  <c r="AU137" i="50"/>
  <c r="AM146" i="50"/>
  <c r="AM134" i="50"/>
  <c r="AJ139" i="50"/>
  <c r="AL135" i="50"/>
  <c r="BU133" i="50"/>
  <c r="BI133" i="50"/>
  <c r="AH134" i="50"/>
  <c r="BC135" i="50"/>
  <c r="BM144" i="50"/>
  <c r="BI140" i="50"/>
  <c r="BD133" i="50"/>
  <c r="BV146" i="50"/>
  <c r="BV134" i="50"/>
  <c r="AX144" i="50"/>
  <c r="BK136" i="50"/>
  <c r="BW135" i="50"/>
  <c r="BK139" i="50"/>
  <c r="BT137" i="50"/>
  <c r="BU135" i="50"/>
  <c r="BI139" i="50"/>
  <c r="BB146" i="50"/>
  <c r="BX139" i="50"/>
  <c r="BQ146" i="50"/>
  <c r="AT134" i="50"/>
  <c r="AS142" i="50"/>
  <c r="AC146" i="50"/>
  <c r="AO142" i="50"/>
  <c r="AR134" i="50"/>
  <c r="AL138" i="50"/>
  <c r="AE139" i="50"/>
  <c r="AF144" i="50"/>
  <c r="AV133" i="50"/>
  <c r="BN140" i="50"/>
  <c r="BR135" i="50"/>
  <c r="BF139" i="50"/>
  <c r="BP140" i="50"/>
  <c r="BA135" i="50"/>
  <c r="BM146" i="50"/>
  <c r="BG140" i="50"/>
  <c r="BE146" i="50"/>
  <c r="BM148" i="50"/>
  <c r="BJ144" i="50"/>
  <c r="BE137" i="50"/>
  <c r="AX146" i="50"/>
  <c r="BY144" i="50"/>
  <c r="BO145" i="50"/>
  <c r="BN133" i="50"/>
  <c r="AZ145" i="50"/>
  <c r="AU146" i="50"/>
  <c r="AQ133" i="50"/>
  <c r="AK146" i="50"/>
  <c r="AO147" i="50"/>
  <c r="AP144" i="50"/>
  <c r="AK137" i="50"/>
  <c r="AD134" i="50"/>
  <c r="AC147" i="50"/>
  <c r="BH143" i="50"/>
  <c r="BK143" i="50"/>
  <c r="BH148" i="50"/>
  <c r="BE144" i="50"/>
  <c r="AS146" i="50"/>
  <c r="BK133" i="50"/>
  <c r="BF142" i="50"/>
  <c r="BA145" i="50"/>
  <c r="BS139" i="50"/>
  <c r="AU145" i="50"/>
  <c r="BK142" i="50"/>
  <c r="BF143" i="50"/>
  <c r="BA136" i="50"/>
  <c r="BM143" i="50"/>
  <c r="BJ137" i="50"/>
  <c r="AX143" i="50"/>
  <c r="AQ145" i="50"/>
  <c r="AO140" i="50"/>
  <c r="AP141" i="50"/>
  <c r="AQ136" i="50"/>
  <c r="AG143" i="50"/>
  <c r="BE145" i="50"/>
  <c r="BC143" i="50"/>
  <c r="BT145" i="50"/>
  <c r="BN139" i="50"/>
  <c r="AY139" i="50"/>
  <c r="AR146" i="50"/>
  <c r="BP135" i="50"/>
  <c r="BK144" i="50"/>
  <c r="BC144" i="50"/>
  <c r="BL146" i="50"/>
  <c r="BL134" i="50"/>
  <c r="AS143" i="50"/>
  <c r="BP133" i="50"/>
  <c r="AV139" i="50"/>
  <c r="BU143" i="50"/>
  <c r="BL140" i="50"/>
  <c r="BJ146" i="50"/>
  <c r="BY146" i="50"/>
  <c r="AI150" i="50"/>
  <c r="AQ135" i="50"/>
  <c r="AL149" i="50"/>
  <c r="AK175" i="50"/>
  <c r="AH175" i="50"/>
  <c r="BY137" i="50"/>
  <c r="BF136" i="50"/>
  <c r="BR143" i="50"/>
  <c r="BX140" i="50"/>
  <c r="BA143" i="50"/>
  <c r="BU142" i="50"/>
  <c r="BH135" i="50"/>
  <c r="AZ137" i="50"/>
  <c r="BW143" i="50"/>
  <c r="BA133" i="50"/>
  <c r="BC146" i="50"/>
  <c r="AU144" i="50"/>
  <c r="BP136" i="50"/>
  <c r="BF145" i="50"/>
  <c r="BA139" i="50"/>
  <c r="BU145" i="50"/>
  <c r="BP139" i="50"/>
  <c r="AN148" i="50"/>
  <c r="AK144" i="50"/>
  <c r="AC140" i="50"/>
  <c r="AD150" i="50"/>
  <c r="AI146" i="50"/>
  <c r="AM144" i="50"/>
  <c r="AF139" i="50"/>
  <c r="AP175" i="50"/>
  <c r="AF141" i="50"/>
  <c r="AK139" i="50"/>
  <c r="AF138" i="50"/>
  <c r="AP134" i="50"/>
  <c r="AZ133" i="50"/>
  <c r="BY141" i="50"/>
  <c r="AU141" i="50"/>
  <c r="BJ139" i="50"/>
  <c r="BO141" i="50"/>
  <c r="AF146" i="50"/>
  <c r="AF150" i="50"/>
  <c r="AF135" i="50"/>
  <c r="AY175" i="50"/>
  <c r="AJ133" i="50"/>
  <c r="AE149" i="50"/>
  <c r="BI147" i="50"/>
  <c r="AY135" i="50"/>
  <c r="BD135" i="50"/>
  <c r="BX135" i="50"/>
  <c r="BD140" i="50"/>
  <c r="AE145" i="50"/>
  <c r="AE135" i="50"/>
  <c r="AT140" i="50"/>
  <c r="AO175" i="50"/>
  <c r="BN135" i="50"/>
  <c r="BS140" i="50"/>
  <c r="BI135" i="50"/>
  <c r="AT149" i="50"/>
  <c r="BX133" i="50"/>
  <c r="BD143" i="50"/>
  <c r="AD137" i="50"/>
  <c r="AS144" i="50"/>
  <c r="AI136" i="50"/>
  <c r="AD135" i="50"/>
  <c r="AX135" i="50"/>
  <c r="AD138" i="50"/>
  <c r="AN137" i="50"/>
  <c r="AD136" i="50"/>
  <c r="AS135" i="50"/>
  <c r="AD148" i="50"/>
  <c r="AN146" i="50"/>
  <c r="AD141" i="50"/>
  <c r="AC139" i="50"/>
  <c r="AC144" i="50"/>
  <c r="AC136" i="50"/>
  <c r="AC137" i="50"/>
  <c r="AH138" i="50"/>
  <c r="AH144" i="50"/>
  <c r="AM143" i="50"/>
  <c r="AW140" i="50"/>
  <c r="AR139" i="50"/>
  <c r="AH145" i="50"/>
  <c r="AV144" i="50"/>
  <c r="BA144" i="50"/>
  <c r="BA142" i="50"/>
  <c r="AL175" i="50"/>
  <c r="AG144" i="50"/>
  <c r="BU144" i="50"/>
  <c r="AV175" i="50"/>
  <c r="AB134" i="50"/>
  <c r="AQ144" i="50"/>
  <c r="AB143" i="50"/>
  <c r="BU140" i="50"/>
  <c r="AQ143" i="50"/>
  <c r="BF140" i="50"/>
  <c r="AQ148" i="50"/>
  <c r="AL139" i="50"/>
  <c r="AB147" i="50"/>
  <c r="AG146" i="50"/>
  <c r="BA140" i="50"/>
  <c r="BK148" i="50"/>
  <c r="AV134" i="50"/>
  <c r="AB137" i="50"/>
  <c r="BK140" i="50"/>
  <c r="AV140" i="50"/>
  <c r="AG140" i="50"/>
  <c r="AG145" i="50"/>
  <c r="AG136" i="50"/>
  <c r="AB144" i="50"/>
  <c r="AX140" i="50"/>
  <c r="BW140" i="50"/>
  <c r="AN140" i="50"/>
  <c r="BC140" i="50"/>
  <c r="AS140" i="50"/>
  <c r="BR140" i="50"/>
  <c r="BH140" i="50"/>
  <c r="AF175" i="50"/>
  <c r="CD175" i="50"/>
  <c r="BJ151" i="50" s="1"/>
  <c r="AE142" i="50"/>
  <c r="AQ134" i="50"/>
  <c r="AO141" i="50"/>
  <c r="AM145" i="50"/>
  <c r="AI142" i="50"/>
  <c r="AB138" i="50"/>
  <c r="AQ140" i="50"/>
  <c r="AN150" i="50"/>
  <c r="AJ135" i="50"/>
  <c r="AF149" i="50"/>
  <c r="AH137" i="50"/>
  <c r="AP140" i="50"/>
  <c r="AI135" i="50"/>
  <c r="AF148" i="50"/>
  <c r="AZ175" i="50"/>
  <c r="AK147" i="50"/>
  <c r="AP133" i="50"/>
  <c r="AJ134" i="50"/>
  <c r="AK140" i="50"/>
  <c r="AC135" i="50"/>
  <c r="AE138" i="50"/>
  <c r="AG134" i="50"/>
  <c r="AK145" i="50"/>
  <c r="AK133" i="50"/>
  <c r="BZ175" i="50"/>
  <c r="BF151" i="50" s="1"/>
  <c r="AF147" i="50"/>
  <c r="AE148" i="50"/>
  <c r="AB140" i="50"/>
  <c r="AD143" i="50"/>
  <c r="AE133" i="50"/>
  <c r="AE140" i="50"/>
  <c r="AG133" i="50"/>
  <c r="AH139" i="50"/>
  <c r="AJ140" i="50"/>
  <c r="AC175" i="50"/>
  <c r="CA175" i="50"/>
  <c r="AV148" i="50"/>
  <c r="AE134" i="50"/>
  <c r="AU140" i="50"/>
  <c r="AO135" i="50"/>
  <c r="AG138" i="50"/>
  <c r="AC145" i="50"/>
  <c r="AQ142" i="50"/>
  <c r="AP147" i="50"/>
  <c r="AJ148" i="50"/>
  <c r="AC150" i="50"/>
  <c r="AD149" i="50"/>
  <c r="AG150" i="50"/>
  <c r="AG139" i="50"/>
  <c r="AU139" i="50"/>
  <c r="AO146" i="50"/>
  <c r="AJ143" i="50"/>
  <c r="AC142" i="50"/>
  <c r="AL136" i="50"/>
  <c r="AI143" i="50"/>
  <c r="AB149" i="50"/>
  <c r="AC141" i="50"/>
  <c r="AE150" i="50"/>
  <c r="AW175" i="50"/>
  <c r="AE175" i="50"/>
  <c r="CC175" i="50"/>
  <c r="BX151" i="50" s="1"/>
  <c r="AJ175" i="50"/>
  <c r="AJ142" i="50"/>
  <c r="AG147" i="50"/>
  <c r="AT133" i="50"/>
  <c r="AI148" i="50"/>
  <c r="AI137" i="50"/>
  <c r="AR138" i="50"/>
  <c r="AG142" i="50"/>
  <c r="AQ138" i="50"/>
  <c r="AK141" i="50"/>
  <c r="AB141" i="50"/>
  <c r="AD142" i="50"/>
  <c r="AM140" i="50"/>
  <c r="AG141" i="50"/>
  <c r="AO139" i="50"/>
  <c r="AI140" i="50"/>
  <c r="AC134" i="50"/>
  <c r="AS136" i="50"/>
  <c r="AH140" i="50"/>
  <c r="AC133" i="50"/>
  <c r="AE144" i="50"/>
  <c r="AB146" i="50"/>
  <c r="AM175" i="50"/>
  <c r="AB148" i="50"/>
  <c r="AE143" i="50"/>
  <c r="AF133" i="50"/>
  <c r="AF140" i="50"/>
  <c r="AC138" i="50"/>
  <c r="AE147" i="50"/>
  <c r="AF145" i="50"/>
  <c r="AH146" i="50"/>
  <c r="AC149" i="50"/>
  <c r="AD140" i="50"/>
  <c r="AF136" i="50"/>
  <c r="AK149" i="50"/>
  <c r="AK138" i="50"/>
  <c r="AE137" i="50"/>
  <c r="AF134" i="50"/>
  <c r="AL144" i="50"/>
  <c r="AJ149" i="50"/>
  <c r="AJ138" i="50"/>
  <c r="AB135" i="50"/>
  <c r="AB142" i="50"/>
  <c r="AD144" i="50"/>
  <c r="AB139" i="50"/>
  <c r="AB133" i="50"/>
  <c r="AI144" i="50"/>
  <c r="AE141" i="50"/>
  <c r="AB145" i="50"/>
  <c r="AF137" i="50"/>
  <c r="AC143" i="50"/>
  <c r="AH148" i="50"/>
  <c r="AG148" i="50"/>
  <c r="AG137" i="50"/>
  <c r="BW132" i="50"/>
  <c r="AS132" i="50"/>
  <c r="AX132" i="50"/>
  <c r="BN132" i="50"/>
  <c r="BD132" i="50"/>
  <c r="J5" i="29"/>
  <c r="B5" i="50" s="1"/>
  <c r="AY132" i="50"/>
  <c r="BF132" i="50"/>
  <c r="AL132" i="50"/>
  <c r="BQ132" i="50"/>
  <c r="BB132" i="50"/>
  <c r="BV132" i="50"/>
  <c r="BL132" i="50"/>
  <c r="BM132" i="50"/>
  <c r="AM132" i="50"/>
  <c r="AZ132" i="50"/>
  <c r="AH132" i="50"/>
  <c r="AB132" i="50"/>
  <c r="AP132" i="50"/>
  <c r="BT132" i="50"/>
  <c r="BH132" i="50"/>
  <c r="BC132" i="50"/>
  <c r="BG132" i="50"/>
  <c r="AW132" i="50"/>
  <c r="AR132" i="50"/>
  <c r="AN132" i="50"/>
  <c r="BA132" i="50"/>
  <c r="AQ132" i="50"/>
  <c r="BS132" i="50"/>
  <c r="AI132" i="50"/>
  <c r="AC132" i="50"/>
  <c r="AG132" i="50"/>
  <c r="AD132" i="50"/>
  <c r="BX132" i="50"/>
  <c r="BJ132" i="50"/>
  <c r="AV132" i="50"/>
  <c r="AT132" i="50"/>
  <c r="AF132" i="50"/>
  <c r="BO132" i="50"/>
  <c r="AE132" i="50"/>
  <c r="AO132" i="50"/>
  <c r="AJ132" i="50"/>
  <c r="BE132" i="50"/>
  <c r="BP132" i="50"/>
  <c r="BK132" i="50"/>
  <c r="AK132" i="50"/>
  <c r="BY132" i="50"/>
  <c r="B31" i="49"/>
  <c r="B129" i="49" s="1"/>
  <c r="X128" i="49" s="1"/>
  <c r="B30" i="49"/>
  <c r="B29" i="49"/>
  <c r="B28" i="49"/>
  <c r="B27" i="49"/>
  <c r="B26" i="49"/>
  <c r="B25" i="49"/>
  <c r="B24" i="49"/>
  <c r="B23" i="49"/>
  <c r="B22" i="49"/>
  <c r="B21" i="49"/>
  <c r="B20" i="49"/>
  <c r="B19" i="49"/>
  <c r="B18" i="49"/>
  <c r="B17" i="49"/>
  <c r="B16" i="49"/>
  <c r="B15" i="49"/>
  <c r="B14" i="49"/>
  <c r="B13" i="49"/>
  <c r="B12" i="49"/>
  <c r="B11" i="49"/>
  <c r="X2" i="49"/>
  <c r="BY151" i="50" l="1"/>
  <c r="S17" i="49"/>
  <c r="S12" i="49"/>
  <c r="S22" i="49"/>
  <c r="S13" i="49"/>
  <c r="S25" i="49"/>
  <c r="S20" i="49"/>
  <c r="S11" i="49"/>
  <c r="S29" i="49"/>
  <c r="S23" i="49"/>
  <c r="S18" i="49"/>
  <c r="S28" i="49"/>
  <c r="S15" i="49"/>
  <c r="S16" i="49"/>
  <c r="S27" i="49"/>
  <c r="S26" i="49"/>
  <c r="S24" i="49"/>
  <c r="S21" i="49"/>
  <c r="S31" i="49"/>
  <c r="S14" i="49"/>
  <c r="S19" i="49"/>
  <c r="AQ151" i="50"/>
  <c r="AH151" i="50"/>
  <c r="AJ151" i="50"/>
  <c r="AW151" i="50"/>
  <c r="AM151" i="50"/>
  <c r="BD151" i="50"/>
  <c r="AY151" i="50"/>
  <c r="BI151" i="50"/>
  <c r="BB151" i="50"/>
  <c r="BL151" i="50"/>
  <c r="AR151" i="50"/>
  <c r="BP151" i="50"/>
  <c r="BA151" i="50"/>
  <c r="AU151" i="50"/>
  <c r="BE151" i="50"/>
  <c r="AZ151" i="50"/>
  <c r="AO151" i="50"/>
  <c r="AG151" i="50"/>
  <c r="BQ151" i="50"/>
  <c r="BV151" i="50"/>
  <c r="BN151" i="50"/>
  <c r="AF151" i="50"/>
  <c r="AB151" i="50"/>
  <c r="AT151" i="50"/>
  <c r="AE151" i="50"/>
  <c r="AV151" i="50"/>
  <c r="BT151" i="50"/>
  <c r="BO151" i="50"/>
  <c r="AP151" i="50"/>
  <c r="AK151" i="50"/>
  <c r="BS151" i="50"/>
  <c r="BU151" i="50"/>
  <c r="AL151" i="50"/>
  <c r="AC151" i="50"/>
  <c r="BK151" i="50"/>
  <c r="BG151" i="50"/>
  <c r="AB41" i="49"/>
  <c r="B65" i="50"/>
  <c r="B36" i="50"/>
  <c r="AB40" i="49"/>
  <c r="AX34" i="49"/>
  <c r="AY34" i="49"/>
  <c r="AZ34" i="49"/>
  <c r="BA34" i="49"/>
  <c r="AW34" i="49"/>
  <c r="AS34" i="49"/>
  <c r="AT34" i="49"/>
  <c r="AU34" i="49"/>
  <c r="AV34" i="49"/>
  <c r="AR34" i="49"/>
  <c r="AQ34" i="49"/>
  <c r="AM34" i="49"/>
  <c r="AN34" i="49"/>
  <c r="AO34" i="49"/>
  <c r="AP34" i="49"/>
  <c r="AL34" i="49"/>
  <c r="G27" i="75" l="1"/>
  <c r="D31" i="49"/>
  <c r="E31" i="49"/>
  <c r="F31" i="49"/>
  <c r="G31" i="49"/>
  <c r="H31" i="49"/>
  <c r="N8" i="86" l="1"/>
  <c r="G8" i="84"/>
  <c r="N8" i="84"/>
  <c r="AZ204" i="83"/>
  <c r="AH240" i="83"/>
  <c r="G8" i="83"/>
  <c r="N177" i="83"/>
  <c r="N8" i="66"/>
  <c r="G8" i="67"/>
  <c r="G177" i="83"/>
  <c r="G111" i="68"/>
  <c r="N8" i="68"/>
  <c r="G8" i="69"/>
  <c r="N8" i="83"/>
  <c r="G8" i="66"/>
  <c r="G311" i="83"/>
  <c r="N311" i="83"/>
  <c r="N8" i="67"/>
  <c r="N111" i="68"/>
  <c r="G8" i="68"/>
  <c r="N8" i="69"/>
  <c r="G8" i="64"/>
  <c r="N8" i="65"/>
  <c r="G8" i="65"/>
  <c r="N8" i="64"/>
  <c r="AB273" i="83"/>
  <c r="G274" i="83"/>
  <c r="AB240" i="83"/>
  <c r="G241" i="83"/>
  <c r="M39" i="22"/>
  <c r="BJ36" i="84"/>
  <c r="G206" i="84"/>
  <c r="AH207" i="84"/>
  <c r="AB207" i="84"/>
  <c r="AB204" i="83"/>
  <c r="AH174" i="84"/>
  <c r="AH141" i="84"/>
  <c r="AH108" i="84"/>
  <c r="K2" i="92"/>
  <c r="J2" i="92"/>
  <c r="C2" i="92"/>
  <c r="E2" i="92"/>
  <c r="I2" i="92"/>
  <c r="S2" i="92"/>
  <c r="R2" i="92"/>
  <c r="D2" i="92"/>
  <c r="L2" i="92"/>
  <c r="N2" i="92"/>
  <c r="F2" i="92"/>
  <c r="P2" i="92"/>
  <c r="H2" i="92"/>
  <c r="T2" i="92"/>
  <c r="M2" i="92"/>
  <c r="Q2" i="92"/>
  <c r="G2" i="92"/>
  <c r="O2" i="92"/>
  <c r="AO36" i="64"/>
  <c r="AB3" i="63"/>
  <c r="AB3" i="64"/>
  <c r="BJ37" i="63"/>
  <c r="AZ37" i="63"/>
  <c r="AG106" i="63"/>
  <c r="AB3" i="49"/>
  <c r="AB3" i="62"/>
  <c r="BE37" i="63"/>
  <c r="AO37" i="63"/>
  <c r="AB106" i="63"/>
  <c r="AB3" i="65"/>
  <c r="AB3" i="67"/>
  <c r="AO137" i="68"/>
  <c r="AF3" i="50"/>
  <c r="AO36" i="68"/>
  <c r="AB3" i="66"/>
  <c r="AB3" i="68"/>
  <c r="AG172" i="69"/>
  <c r="AB139" i="69"/>
  <c r="AB106" i="69"/>
  <c r="BE36" i="84"/>
  <c r="AU36" i="84"/>
  <c r="N76" i="70"/>
  <c r="AR104" i="70"/>
  <c r="AB3" i="84"/>
  <c r="AH106" i="69"/>
  <c r="AZ36" i="84"/>
  <c r="AO36" i="84"/>
  <c r="AX104" i="70"/>
  <c r="G76" i="70"/>
  <c r="AG240" i="69"/>
  <c r="AB172" i="69"/>
  <c r="AH76" i="70"/>
  <c r="AX36" i="70"/>
  <c r="AA175" i="70"/>
  <c r="AI10" i="86"/>
  <c r="BC36" i="70"/>
  <c r="AB3" i="70"/>
  <c r="AT37" i="85"/>
  <c r="AC10" i="70"/>
  <c r="AY37" i="85"/>
  <c r="AO37" i="85"/>
  <c r="AF73" i="86"/>
  <c r="AR36" i="70"/>
  <c r="AG175" i="70"/>
  <c r="AL73" i="86"/>
  <c r="AO39" i="91"/>
  <c r="AO108" i="91"/>
  <c r="S39" i="22"/>
  <c r="AG3" i="86"/>
  <c r="AO204" i="83"/>
  <c r="AD10" i="83"/>
  <c r="AU204" i="83"/>
  <c r="AD177" i="83"/>
  <c r="AB106" i="83"/>
  <c r="AB141" i="83"/>
  <c r="G78" i="91"/>
  <c r="G8" i="91"/>
  <c r="AB73" i="85"/>
  <c r="AD78" i="91"/>
  <c r="AB106" i="85"/>
  <c r="AD8" i="91"/>
  <c r="AD10" i="85"/>
  <c r="O78" i="91"/>
  <c r="O8" i="91"/>
  <c r="AB3" i="91"/>
  <c r="G105" i="85"/>
  <c r="G72" i="85"/>
  <c r="AB3" i="85"/>
  <c r="AL101" i="86"/>
  <c r="AF101" i="86"/>
  <c r="AR101" i="86"/>
  <c r="G8" i="86"/>
  <c r="G8" i="70"/>
  <c r="G107" i="84"/>
  <c r="AB108" i="84"/>
  <c r="G140" i="84"/>
  <c r="AA140" i="70"/>
  <c r="AC76" i="70"/>
  <c r="G173" i="84"/>
  <c r="AB141" i="84"/>
  <c r="G175" i="70"/>
  <c r="G140" i="70"/>
  <c r="N8" i="70"/>
  <c r="AB174" i="84"/>
  <c r="Z31" i="49"/>
  <c r="Y31" i="49"/>
  <c r="AD109" i="68"/>
  <c r="AD8" i="69"/>
  <c r="G171" i="63"/>
  <c r="AD8" i="67"/>
  <c r="AD8" i="65"/>
  <c r="AD8" i="63"/>
  <c r="G204" i="63"/>
  <c r="AD8" i="68"/>
  <c r="AD8" i="84"/>
  <c r="AD8" i="66"/>
  <c r="AD8" i="64"/>
  <c r="AH106" i="49"/>
  <c r="AD8" i="62"/>
  <c r="O31" i="49"/>
  <c r="AE31" i="49"/>
  <c r="N31" i="49"/>
  <c r="AD31" i="49"/>
  <c r="K31" i="49"/>
  <c r="AA31" i="49"/>
  <c r="L31" i="49"/>
  <c r="AB31" i="49"/>
  <c r="M31" i="49"/>
  <c r="AC31" i="49"/>
  <c r="M7" i="22"/>
  <c r="G7" i="22"/>
  <c r="AD310" i="83"/>
  <c r="AO338" i="83"/>
  <c r="G140" i="83"/>
  <c r="G107" i="69"/>
  <c r="G173" i="69"/>
  <c r="G241" i="69"/>
  <c r="AB239" i="69" s="1"/>
  <c r="G274" i="67"/>
  <c r="G208" i="67"/>
  <c r="BO37" i="67"/>
  <c r="BE37" i="67"/>
  <c r="AT37" i="67"/>
  <c r="AB3" i="83"/>
  <c r="G241" i="67"/>
  <c r="G107" i="83"/>
  <c r="G206" i="69"/>
  <c r="BJ37" i="67"/>
  <c r="AO37" i="67"/>
  <c r="AB3" i="69"/>
  <c r="G175" i="67"/>
  <c r="G140" i="69"/>
  <c r="G140" i="67"/>
  <c r="G107" i="67"/>
  <c r="BU37" i="67"/>
  <c r="AZ37" i="67"/>
  <c r="G140" i="66"/>
  <c r="G107" i="66"/>
  <c r="G8" i="63"/>
  <c r="N8" i="63"/>
  <c r="N8" i="62"/>
  <c r="G8" i="62"/>
  <c r="G107" i="63"/>
  <c r="G106" i="62"/>
  <c r="P31" i="49" l="1"/>
  <c r="Z111" i="91"/>
  <c r="AC110" i="91"/>
  <c r="AC111" i="91" s="1"/>
  <c r="Y111" i="91"/>
  <c r="AC40" i="91"/>
  <c r="AC41" i="91" s="1"/>
  <c r="Z41" i="91"/>
  <c r="Y41" i="91"/>
  <c r="BI131" i="50"/>
  <c r="BD155" i="50"/>
  <c r="AO155" i="50"/>
  <c r="BN131" i="50"/>
  <c r="AT131" i="50"/>
  <c r="AJ155" i="50"/>
  <c r="AE155" i="50"/>
  <c r="DQ107" i="50"/>
  <c r="EA107" i="50"/>
  <c r="BI107" i="50"/>
  <c r="CR107" i="50"/>
  <c r="BD107" i="50"/>
  <c r="AO131" i="50"/>
  <c r="AJ131" i="50"/>
  <c r="AY131" i="50"/>
  <c r="CC155" i="50"/>
  <c r="AY155" i="50"/>
  <c r="CW107" i="50"/>
  <c r="DG107" i="50"/>
  <c r="AO107" i="50"/>
  <c r="AE107" i="50"/>
  <c r="AJ107" i="50"/>
  <c r="CM107" i="50"/>
  <c r="CC107" i="50"/>
  <c r="BX131" i="50"/>
  <c r="AE131" i="50"/>
  <c r="BN155" i="50"/>
  <c r="BS131" i="50"/>
  <c r="BS155" i="50"/>
  <c r="BN107" i="50"/>
  <c r="AT155" i="50"/>
  <c r="DV107" i="50"/>
  <c r="BX155" i="50"/>
  <c r="CH107" i="50"/>
  <c r="BI155" i="50"/>
  <c r="BS107" i="50"/>
  <c r="DL107" i="50"/>
  <c r="BD131" i="50"/>
  <c r="BX107" i="50"/>
  <c r="DB107" i="50"/>
  <c r="AY107" i="50"/>
  <c r="AT107" i="50"/>
  <c r="AK5" i="62"/>
  <c r="I7" i="49"/>
  <c r="AK5" i="49" s="1"/>
  <c r="AB110" i="91" l="1"/>
  <c r="AB111" i="91"/>
  <c r="X111" i="91"/>
  <c r="AB41" i="91"/>
  <c r="AB40" i="91"/>
  <c r="X41" i="91"/>
  <c r="X74" i="49"/>
  <c r="X75" i="49"/>
  <c r="X76" i="49"/>
  <c r="X77" i="49"/>
  <c r="X78" i="49"/>
  <c r="X79" i="49"/>
  <c r="X80" i="49"/>
  <c r="X81" i="49"/>
  <c r="X82" i="49"/>
  <c r="X83" i="49"/>
  <c r="X84" i="49"/>
  <c r="X85" i="49"/>
  <c r="X86" i="49"/>
  <c r="X87" i="49"/>
  <c r="X88" i="49"/>
  <c r="X89" i="49"/>
  <c r="X90" i="49"/>
  <c r="X91" i="49"/>
  <c r="X92" i="49"/>
  <c r="X93" i="49"/>
  <c r="X94" i="49"/>
  <c r="H31" i="86" l="1"/>
  <c r="G31" i="86"/>
  <c r="F31" i="86"/>
  <c r="E31" i="86"/>
  <c r="D31" i="86"/>
  <c r="H29" i="86"/>
  <c r="G29" i="86"/>
  <c r="AI29" i="86" s="1"/>
  <c r="F29" i="86"/>
  <c r="AH29" i="86" s="1"/>
  <c r="E29" i="86"/>
  <c r="AG29" i="86" s="1"/>
  <c r="D29" i="86"/>
  <c r="AF29" i="86" s="1"/>
  <c r="AI28" i="86"/>
  <c r="AH28" i="86"/>
  <c r="AG28" i="86"/>
  <c r="AF28" i="86"/>
  <c r="H27" i="86"/>
  <c r="G27" i="86"/>
  <c r="AI27" i="86" s="1"/>
  <c r="F27" i="86"/>
  <c r="AH27" i="86" s="1"/>
  <c r="E27" i="86"/>
  <c r="AG27" i="86" s="1"/>
  <c r="D27" i="86"/>
  <c r="AF27" i="86" s="1"/>
  <c r="H26" i="86"/>
  <c r="G26" i="86"/>
  <c r="AI26" i="86" s="1"/>
  <c r="F26" i="86"/>
  <c r="AH26" i="86" s="1"/>
  <c r="E26" i="86"/>
  <c r="AG26" i="86" s="1"/>
  <c r="D26" i="86"/>
  <c r="AF26" i="86" s="1"/>
  <c r="H25" i="86"/>
  <c r="G25" i="86"/>
  <c r="AI25" i="86" s="1"/>
  <c r="F25" i="86"/>
  <c r="AH25" i="86" s="1"/>
  <c r="E25" i="86"/>
  <c r="AG25" i="86" s="1"/>
  <c r="D25" i="86"/>
  <c r="AF25" i="86" s="1"/>
  <c r="H24" i="86"/>
  <c r="G24" i="86"/>
  <c r="AI24" i="86" s="1"/>
  <c r="E24" i="86"/>
  <c r="AG24" i="86" s="1"/>
  <c r="D24" i="86"/>
  <c r="AF24" i="86" s="1"/>
  <c r="H23" i="86"/>
  <c r="G23" i="86"/>
  <c r="AI23" i="86" s="1"/>
  <c r="F23" i="86"/>
  <c r="AH23" i="86" s="1"/>
  <c r="E23" i="86"/>
  <c r="AG23" i="86" s="1"/>
  <c r="D23" i="86"/>
  <c r="AF23" i="86" s="1"/>
  <c r="H22" i="86"/>
  <c r="G22" i="86"/>
  <c r="AI22" i="86" s="1"/>
  <c r="F22" i="86"/>
  <c r="AH22" i="86" s="1"/>
  <c r="E22" i="86"/>
  <c r="AG22" i="86" s="1"/>
  <c r="D22" i="86"/>
  <c r="AF22" i="86" s="1"/>
  <c r="H21" i="86"/>
  <c r="G21" i="86"/>
  <c r="AI21" i="86" s="1"/>
  <c r="F21" i="86"/>
  <c r="AH21" i="86" s="1"/>
  <c r="E21" i="86"/>
  <c r="AG21" i="86" s="1"/>
  <c r="D21" i="86"/>
  <c r="AF21" i="86" s="1"/>
  <c r="H20" i="86"/>
  <c r="G20" i="86"/>
  <c r="AI20" i="86" s="1"/>
  <c r="F20" i="86"/>
  <c r="AH20" i="86" s="1"/>
  <c r="E20" i="86"/>
  <c r="AG20" i="86" s="1"/>
  <c r="D20" i="86"/>
  <c r="AF20" i="86" s="1"/>
  <c r="G19" i="86"/>
  <c r="AI19" i="86" s="1"/>
  <c r="F19" i="86"/>
  <c r="AH19" i="86" s="1"/>
  <c r="E19" i="86"/>
  <c r="AG19" i="86" s="1"/>
  <c r="D19" i="86"/>
  <c r="AF19" i="86" s="1"/>
  <c r="H18" i="86"/>
  <c r="G18" i="86"/>
  <c r="AI18" i="86" s="1"/>
  <c r="F18" i="86"/>
  <c r="AH18" i="86" s="1"/>
  <c r="E18" i="86"/>
  <c r="AG18" i="86" s="1"/>
  <c r="D18" i="86"/>
  <c r="AF18" i="86" s="1"/>
  <c r="H17" i="86"/>
  <c r="G17" i="86"/>
  <c r="AI17" i="86" s="1"/>
  <c r="F17" i="86"/>
  <c r="AH17" i="86" s="1"/>
  <c r="E17" i="86"/>
  <c r="AG17" i="86" s="1"/>
  <c r="D17" i="86"/>
  <c r="AF17" i="86" s="1"/>
  <c r="H16" i="86"/>
  <c r="G16" i="86"/>
  <c r="AI16" i="86" s="1"/>
  <c r="F16" i="86"/>
  <c r="AH16" i="86" s="1"/>
  <c r="E16" i="86"/>
  <c r="AG16" i="86" s="1"/>
  <c r="D16" i="86"/>
  <c r="AF16" i="86" s="1"/>
  <c r="H15" i="86"/>
  <c r="G15" i="86"/>
  <c r="AI15" i="86" s="1"/>
  <c r="F15" i="86"/>
  <c r="AH15" i="86" s="1"/>
  <c r="E15" i="86"/>
  <c r="AG15" i="86" s="1"/>
  <c r="D15" i="86"/>
  <c r="AF15" i="86" s="1"/>
  <c r="H14" i="86"/>
  <c r="G14" i="86"/>
  <c r="AI14" i="86" s="1"/>
  <c r="F14" i="86"/>
  <c r="AH14" i="86" s="1"/>
  <c r="E14" i="86"/>
  <c r="AG14" i="86" s="1"/>
  <c r="D14" i="86"/>
  <c r="AF14" i="86" s="1"/>
  <c r="H13" i="86"/>
  <c r="G13" i="86"/>
  <c r="AI13" i="86" s="1"/>
  <c r="F13" i="86"/>
  <c r="AH13" i="86" s="1"/>
  <c r="E13" i="86"/>
  <c r="AG13" i="86" s="1"/>
  <c r="D13" i="86"/>
  <c r="AF13" i="86" s="1"/>
  <c r="AI12" i="86"/>
  <c r="AH12" i="86"/>
  <c r="AG12" i="86"/>
  <c r="AF12" i="86"/>
  <c r="H11" i="86"/>
  <c r="O11" i="86" s="1"/>
  <c r="G11" i="86"/>
  <c r="AI11" i="86" s="1"/>
  <c r="F11" i="86"/>
  <c r="AH11" i="86" s="1"/>
  <c r="E11" i="86"/>
  <c r="AG11" i="86" s="1"/>
  <c r="D11" i="86"/>
  <c r="AN122" i="86"/>
  <c r="B93" i="86"/>
  <c r="AN121" i="86" s="1"/>
  <c r="B92" i="86"/>
  <c r="B91" i="86"/>
  <c r="AN119" i="86" s="1"/>
  <c r="B90" i="86"/>
  <c r="AN118" i="86" s="1"/>
  <c r="B89" i="86"/>
  <c r="AN117" i="86" s="1"/>
  <c r="B88" i="86"/>
  <c r="B87" i="86"/>
  <c r="B86" i="86"/>
  <c r="B85" i="86"/>
  <c r="AN113" i="86" s="1"/>
  <c r="B84" i="86"/>
  <c r="B83" i="86"/>
  <c r="B82" i="86"/>
  <c r="AN110" i="86" s="1"/>
  <c r="B81" i="86"/>
  <c r="AN109" i="86" s="1"/>
  <c r="B80" i="86"/>
  <c r="AN108" i="86" s="1"/>
  <c r="B79" i="86"/>
  <c r="AN107" i="86" s="1"/>
  <c r="B78" i="86"/>
  <c r="B77" i="86"/>
  <c r="B76" i="86"/>
  <c r="AN104" i="86" s="1"/>
  <c r="B75" i="86"/>
  <c r="B74" i="86"/>
  <c r="AN102" i="86" s="1"/>
  <c r="AC41" i="86"/>
  <c r="AB94" i="86"/>
  <c r="AH94" i="86" s="1"/>
  <c r="AB93" i="86"/>
  <c r="AH93" i="86" s="1"/>
  <c r="AB92" i="86"/>
  <c r="AH92" i="86" s="1"/>
  <c r="AB91" i="86"/>
  <c r="AH91" i="86" s="1"/>
  <c r="AB90" i="86"/>
  <c r="AH90" i="86" s="1"/>
  <c r="AB89" i="86"/>
  <c r="AH89" i="86" s="1"/>
  <c r="AB88" i="86"/>
  <c r="AH88" i="86" s="1"/>
  <c r="AB87" i="86"/>
  <c r="AH87" i="86" s="1"/>
  <c r="AB86" i="86"/>
  <c r="AH86" i="86" s="1"/>
  <c r="AB85" i="86"/>
  <c r="AH85" i="86" s="1"/>
  <c r="AB84" i="86"/>
  <c r="AH84" i="86" s="1"/>
  <c r="AB83" i="86"/>
  <c r="AH83" i="86" s="1"/>
  <c r="AB82" i="86"/>
  <c r="AH82" i="86" s="1"/>
  <c r="AB81" i="86"/>
  <c r="AH81" i="86" s="1"/>
  <c r="AB80" i="86"/>
  <c r="AH80" i="86" s="1"/>
  <c r="AB79" i="86"/>
  <c r="AH79" i="86" s="1"/>
  <c r="AB78" i="86"/>
  <c r="AH78" i="86" s="1"/>
  <c r="AB77" i="86"/>
  <c r="AH77" i="86" s="1"/>
  <c r="AB76" i="86"/>
  <c r="AH76" i="86" s="1"/>
  <c r="AB75" i="86"/>
  <c r="AH75" i="86" s="1"/>
  <c r="AB74" i="86"/>
  <c r="AH74" i="86" s="1"/>
  <c r="AL11" i="86"/>
  <c r="AD4" i="86"/>
  <c r="AH95" i="86" s="1"/>
  <c r="G31" i="85"/>
  <c r="N31" i="85" s="1"/>
  <c r="F31" i="85"/>
  <c r="M31" i="85" s="1"/>
  <c r="E31" i="85"/>
  <c r="L31" i="85" s="1"/>
  <c r="D31" i="85"/>
  <c r="K31" i="85" s="1"/>
  <c r="H29" i="85"/>
  <c r="O29" i="85" s="1"/>
  <c r="G29" i="85"/>
  <c r="N29" i="85" s="1"/>
  <c r="F29" i="85"/>
  <c r="M29" i="85" s="1"/>
  <c r="E29" i="85"/>
  <c r="L29" i="85" s="1"/>
  <c r="D29" i="85"/>
  <c r="K29" i="85" s="1"/>
  <c r="O28" i="85"/>
  <c r="N28" i="85"/>
  <c r="M28" i="85"/>
  <c r="L28" i="85"/>
  <c r="K28" i="85"/>
  <c r="H27" i="85"/>
  <c r="O27" i="85" s="1"/>
  <c r="G27" i="85"/>
  <c r="N27" i="85" s="1"/>
  <c r="F27" i="85"/>
  <c r="M27" i="85" s="1"/>
  <c r="E27" i="85"/>
  <c r="L27" i="85" s="1"/>
  <c r="D27" i="85"/>
  <c r="K27" i="85" s="1"/>
  <c r="H26" i="85"/>
  <c r="O26" i="85" s="1"/>
  <c r="G26" i="85"/>
  <c r="N26" i="85" s="1"/>
  <c r="F26" i="85"/>
  <c r="M26" i="85" s="1"/>
  <c r="E26" i="85"/>
  <c r="L26" i="85" s="1"/>
  <c r="D26" i="85"/>
  <c r="K26" i="85" s="1"/>
  <c r="H25" i="85"/>
  <c r="O25" i="85" s="1"/>
  <c r="G25" i="85"/>
  <c r="N25" i="85" s="1"/>
  <c r="F25" i="85"/>
  <c r="M25" i="85" s="1"/>
  <c r="D25" i="85"/>
  <c r="K25" i="85" s="1"/>
  <c r="H24" i="85"/>
  <c r="O24" i="85" s="1"/>
  <c r="G24" i="85"/>
  <c r="N24" i="85" s="1"/>
  <c r="E24" i="85"/>
  <c r="L24" i="85" s="1"/>
  <c r="D24" i="85"/>
  <c r="K24" i="85" s="1"/>
  <c r="H23" i="85"/>
  <c r="O23" i="85" s="1"/>
  <c r="G23" i="85"/>
  <c r="N23" i="85" s="1"/>
  <c r="F23" i="85"/>
  <c r="M23" i="85" s="1"/>
  <c r="E23" i="85"/>
  <c r="L23" i="85" s="1"/>
  <c r="D23" i="85"/>
  <c r="K23" i="85" s="1"/>
  <c r="H22" i="85"/>
  <c r="O22" i="85" s="1"/>
  <c r="G22" i="85"/>
  <c r="N22" i="85" s="1"/>
  <c r="F22" i="85"/>
  <c r="M22" i="85" s="1"/>
  <c r="E22" i="85"/>
  <c r="L22" i="85" s="1"/>
  <c r="D22" i="85"/>
  <c r="K22" i="85" s="1"/>
  <c r="H21" i="85"/>
  <c r="O21" i="85" s="1"/>
  <c r="G21" i="85"/>
  <c r="N21" i="85" s="1"/>
  <c r="F21" i="85"/>
  <c r="M21" i="85" s="1"/>
  <c r="E21" i="85"/>
  <c r="L21" i="85" s="1"/>
  <c r="D21" i="85"/>
  <c r="K21" i="85" s="1"/>
  <c r="H20" i="85"/>
  <c r="O20" i="85" s="1"/>
  <c r="G20" i="85"/>
  <c r="N20" i="85" s="1"/>
  <c r="F20" i="85"/>
  <c r="M20" i="85" s="1"/>
  <c r="E20" i="85"/>
  <c r="L20" i="85" s="1"/>
  <c r="D20" i="85"/>
  <c r="K20" i="85" s="1"/>
  <c r="H19" i="85"/>
  <c r="O19" i="85" s="1"/>
  <c r="G19" i="85"/>
  <c r="N19" i="85" s="1"/>
  <c r="F19" i="85"/>
  <c r="M19" i="85" s="1"/>
  <c r="E19" i="85"/>
  <c r="L19" i="85" s="1"/>
  <c r="D19" i="85"/>
  <c r="K19" i="85" s="1"/>
  <c r="H18" i="85"/>
  <c r="O18" i="85" s="1"/>
  <c r="G18" i="85"/>
  <c r="N18" i="85" s="1"/>
  <c r="F18" i="85"/>
  <c r="M18" i="85" s="1"/>
  <c r="E18" i="85"/>
  <c r="L18" i="85" s="1"/>
  <c r="D18" i="85"/>
  <c r="K18" i="85" s="1"/>
  <c r="H17" i="85"/>
  <c r="O17" i="85" s="1"/>
  <c r="G17" i="85"/>
  <c r="N17" i="85" s="1"/>
  <c r="F17" i="85"/>
  <c r="M17" i="85" s="1"/>
  <c r="E17" i="85"/>
  <c r="L17" i="85" s="1"/>
  <c r="D17" i="85"/>
  <c r="K17" i="85" s="1"/>
  <c r="H16" i="85"/>
  <c r="O16" i="85" s="1"/>
  <c r="G16" i="85"/>
  <c r="N16" i="85" s="1"/>
  <c r="F16" i="85"/>
  <c r="M16" i="85" s="1"/>
  <c r="E16" i="85"/>
  <c r="L16" i="85" s="1"/>
  <c r="D16" i="85"/>
  <c r="K16" i="85" s="1"/>
  <c r="H15" i="85"/>
  <c r="O15" i="85" s="1"/>
  <c r="G15" i="85"/>
  <c r="N15" i="85" s="1"/>
  <c r="F15" i="85"/>
  <c r="M15" i="85" s="1"/>
  <c r="E15" i="85"/>
  <c r="L15" i="85" s="1"/>
  <c r="D15" i="85"/>
  <c r="K15" i="85" s="1"/>
  <c r="H14" i="85"/>
  <c r="O14" i="85" s="1"/>
  <c r="G14" i="85"/>
  <c r="N14" i="85" s="1"/>
  <c r="F14" i="85"/>
  <c r="M14" i="85" s="1"/>
  <c r="E14" i="85"/>
  <c r="L14" i="85" s="1"/>
  <c r="D14" i="85"/>
  <c r="K14" i="85" s="1"/>
  <c r="H13" i="85"/>
  <c r="O13" i="85" s="1"/>
  <c r="G13" i="85"/>
  <c r="N13" i="85" s="1"/>
  <c r="F13" i="85"/>
  <c r="M13" i="85" s="1"/>
  <c r="E13" i="85"/>
  <c r="L13" i="85" s="1"/>
  <c r="D13" i="85"/>
  <c r="O12" i="85"/>
  <c r="N12" i="85"/>
  <c r="M12" i="85"/>
  <c r="L12" i="85"/>
  <c r="K12" i="85"/>
  <c r="H11" i="85"/>
  <c r="O11" i="85" s="1"/>
  <c r="G11" i="85"/>
  <c r="N11" i="85" s="1"/>
  <c r="F11" i="85"/>
  <c r="M11" i="85" s="1"/>
  <c r="E11" i="85"/>
  <c r="L11" i="85" s="1"/>
  <c r="B127" i="85"/>
  <c r="X127" i="85" s="1"/>
  <c r="B126" i="85"/>
  <c r="B125" i="85"/>
  <c r="B124" i="85"/>
  <c r="X124" i="85" s="1"/>
  <c r="B123" i="85"/>
  <c r="X123" i="85" s="1"/>
  <c r="B122" i="85"/>
  <c r="X122" i="85" s="1"/>
  <c r="B121" i="85"/>
  <c r="X121" i="85" s="1"/>
  <c r="B120" i="85"/>
  <c r="B119" i="85"/>
  <c r="X119" i="85" s="1"/>
  <c r="B118" i="85"/>
  <c r="X118" i="85" s="1"/>
  <c r="B117" i="85"/>
  <c r="B116" i="85"/>
  <c r="X116" i="85" s="1"/>
  <c r="B115" i="85"/>
  <c r="X115" i="85" s="1"/>
  <c r="B114" i="85"/>
  <c r="B113" i="85"/>
  <c r="X113" i="85" s="1"/>
  <c r="B112" i="85"/>
  <c r="B111" i="85"/>
  <c r="X111" i="85" s="1"/>
  <c r="B110" i="85"/>
  <c r="B109" i="85"/>
  <c r="X109" i="85" s="1"/>
  <c r="B108" i="85"/>
  <c r="B107" i="85"/>
  <c r="B94" i="85"/>
  <c r="X94" i="85" s="1"/>
  <c r="B93" i="85"/>
  <c r="X93" i="85" s="1"/>
  <c r="B92" i="85"/>
  <c r="X92" i="85" s="1"/>
  <c r="B91" i="85"/>
  <c r="B90" i="85"/>
  <c r="B89" i="85"/>
  <c r="B88" i="85"/>
  <c r="X88" i="85" s="1"/>
  <c r="B87" i="85"/>
  <c r="X87" i="85" s="1"/>
  <c r="B86" i="85"/>
  <c r="B85" i="85"/>
  <c r="B84" i="85"/>
  <c r="B83" i="85"/>
  <c r="B82" i="85"/>
  <c r="B81" i="85"/>
  <c r="X81" i="85" s="1"/>
  <c r="B80" i="85"/>
  <c r="B79" i="85"/>
  <c r="X79" i="85" s="1"/>
  <c r="B78" i="85"/>
  <c r="X78" i="85" s="1"/>
  <c r="B77" i="85"/>
  <c r="B76" i="85"/>
  <c r="X76" i="85" s="1"/>
  <c r="B75" i="85"/>
  <c r="X75" i="85" s="1"/>
  <c r="B74" i="85"/>
  <c r="X41" i="85"/>
  <c r="AK58" i="85"/>
  <c r="AQ58" i="85" s="1"/>
  <c r="AK57" i="85"/>
  <c r="AK56" i="85"/>
  <c r="AQ56" i="85" s="1"/>
  <c r="AK55" i="85"/>
  <c r="AQ55" i="85" s="1"/>
  <c r="AK54" i="85"/>
  <c r="AQ54" i="85" s="1"/>
  <c r="AK53" i="85"/>
  <c r="AQ53" i="85" s="1"/>
  <c r="AK52" i="85"/>
  <c r="AQ52" i="85" s="1"/>
  <c r="AK51" i="85"/>
  <c r="AQ51" i="85" s="1"/>
  <c r="AK50" i="85"/>
  <c r="AQ50" i="85" s="1"/>
  <c r="AK49" i="85"/>
  <c r="AQ49" i="85" s="1"/>
  <c r="AK48" i="85"/>
  <c r="AQ48" i="85" s="1"/>
  <c r="AK47" i="85"/>
  <c r="AQ47" i="85" s="1"/>
  <c r="AK46" i="85"/>
  <c r="AQ46" i="85" s="1"/>
  <c r="AK45" i="85"/>
  <c r="AQ45" i="85" s="1"/>
  <c r="AK44" i="85"/>
  <c r="AQ44" i="85" s="1"/>
  <c r="AK43" i="85"/>
  <c r="AQ43" i="85" s="1"/>
  <c r="AK42" i="85"/>
  <c r="AQ42" i="85" s="1"/>
  <c r="AK41" i="85"/>
  <c r="AQ41" i="85" s="1"/>
  <c r="AK40" i="85"/>
  <c r="AQ40" i="85" s="1"/>
  <c r="AK39" i="85"/>
  <c r="AQ39" i="85" s="1"/>
  <c r="AK38" i="85"/>
  <c r="AQ38" i="85" s="1"/>
  <c r="X31" i="85"/>
  <c r="X30" i="85"/>
  <c r="X29" i="85"/>
  <c r="X28" i="85"/>
  <c r="X27" i="85"/>
  <c r="X26" i="85"/>
  <c r="X25" i="85"/>
  <c r="X24" i="85"/>
  <c r="X23" i="85"/>
  <c r="X22" i="85"/>
  <c r="X21" i="85"/>
  <c r="X20" i="85"/>
  <c r="X19" i="85"/>
  <c r="X18" i="85"/>
  <c r="X17" i="85"/>
  <c r="X16" i="85"/>
  <c r="X15" i="85"/>
  <c r="X14" i="85"/>
  <c r="X13" i="85"/>
  <c r="X12" i="85"/>
  <c r="AF11" i="85"/>
  <c r="X11" i="85"/>
  <c r="Y4" i="85"/>
  <c r="AQ59" i="85" s="1"/>
  <c r="H29" i="84"/>
  <c r="G29" i="84"/>
  <c r="F29" i="84"/>
  <c r="E29" i="84"/>
  <c r="D29" i="84"/>
  <c r="H27" i="84"/>
  <c r="O27" i="84" s="1"/>
  <c r="G27" i="84"/>
  <c r="F27" i="84"/>
  <c r="E27" i="84"/>
  <c r="D27" i="84"/>
  <c r="H26" i="84"/>
  <c r="G26" i="84"/>
  <c r="F26" i="84"/>
  <c r="E26" i="84"/>
  <c r="D26" i="84"/>
  <c r="H25" i="84"/>
  <c r="G25" i="84"/>
  <c r="F25" i="84"/>
  <c r="E25" i="84"/>
  <c r="D25" i="84"/>
  <c r="H24" i="84"/>
  <c r="G24" i="84"/>
  <c r="AH155" i="84" s="1"/>
  <c r="E24" i="84"/>
  <c r="D24" i="84"/>
  <c r="AE188" i="84" s="1"/>
  <c r="H23" i="84"/>
  <c r="G23" i="84"/>
  <c r="F23" i="84"/>
  <c r="E23" i="84"/>
  <c r="D23" i="84"/>
  <c r="H22" i="84"/>
  <c r="G22" i="84"/>
  <c r="F22" i="84"/>
  <c r="E22" i="84"/>
  <c r="D22" i="84"/>
  <c r="H21" i="84"/>
  <c r="G21" i="84"/>
  <c r="F21" i="84"/>
  <c r="E21" i="84"/>
  <c r="D21" i="84"/>
  <c r="H20" i="84"/>
  <c r="G20" i="84"/>
  <c r="F20" i="84"/>
  <c r="E20" i="84"/>
  <c r="D20" i="84"/>
  <c r="H19" i="84"/>
  <c r="G19" i="84"/>
  <c r="F19" i="84"/>
  <c r="E19" i="84"/>
  <c r="D19" i="84"/>
  <c r="H18" i="84"/>
  <c r="G18" i="84"/>
  <c r="F18" i="84"/>
  <c r="E18" i="84"/>
  <c r="D18" i="84"/>
  <c r="H17" i="84"/>
  <c r="G17" i="84"/>
  <c r="F17" i="84"/>
  <c r="E17" i="84"/>
  <c r="D17" i="84"/>
  <c r="H16" i="84"/>
  <c r="G16" i="84"/>
  <c r="F16" i="84"/>
  <c r="E16" i="84"/>
  <c r="D16" i="84"/>
  <c r="H15" i="84"/>
  <c r="G15" i="84"/>
  <c r="F15" i="84"/>
  <c r="E15" i="84"/>
  <c r="D15" i="84"/>
  <c r="H14" i="84"/>
  <c r="G14" i="84"/>
  <c r="F14" i="84"/>
  <c r="E14" i="84"/>
  <c r="D14" i="84"/>
  <c r="H13" i="84"/>
  <c r="G13" i="84"/>
  <c r="F13" i="84"/>
  <c r="E13" i="84"/>
  <c r="D13" i="84"/>
  <c r="H11" i="84"/>
  <c r="G11" i="84"/>
  <c r="F11" i="84"/>
  <c r="E11" i="84"/>
  <c r="D11" i="84"/>
  <c r="B161" i="84"/>
  <c r="B194" i="84" s="1"/>
  <c r="B227" i="84" s="1"/>
  <c r="X227" i="84" s="1"/>
  <c r="AD227" i="84" s="1"/>
  <c r="B160" i="84"/>
  <c r="B159" i="84"/>
  <c r="B192" i="84" s="1"/>
  <c r="B225" i="84" s="1"/>
  <c r="B158" i="84"/>
  <c r="B157" i="84"/>
  <c r="B190" i="84" s="1"/>
  <c r="B223" i="84" s="1"/>
  <c r="B156" i="84"/>
  <c r="B155" i="84"/>
  <c r="B154" i="84"/>
  <c r="B187" i="84" s="1"/>
  <c r="B220" i="84" s="1"/>
  <c r="B153" i="84"/>
  <c r="B152" i="84"/>
  <c r="B151" i="84"/>
  <c r="B150" i="84"/>
  <c r="B183" i="84" s="1"/>
  <c r="B216" i="84" s="1"/>
  <c r="B149" i="84"/>
  <c r="X149" i="84" s="1"/>
  <c r="AD149" i="84" s="1"/>
  <c r="B148" i="84"/>
  <c r="B147" i="84"/>
  <c r="B146" i="84"/>
  <c r="B145" i="84"/>
  <c r="B178" i="84" s="1"/>
  <c r="B211" i="84" s="1"/>
  <c r="B144" i="84"/>
  <c r="B177" i="84" s="1"/>
  <c r="B143" i="84"/>
  <c r="X143" i="84" s="1"/>
  <c r="AD143" i="84" s="1"/>
  <c r="B142" i="84"/>
  <c r="B128" i="84"/>
  <c r="X128" i="84" s="1"/>
  <c r="AD128" i="84" s="1"/>
  <c r="B127" i="84"/>
  <c r="X127" i="84" s="1"/>
  <c r="AD127" i="84" s="1"/>
  <c r="B126" i="84"/>
  <c r="B125" i="84"/>
  <c r="X125" i="84" s="1"/>
  <c r="AD125" i="84" s="1"/>
  <c r="B124" i="84"/>
  <c r="B123" i="84"/>
  <c r="X123" i="84" s="1"/>
  <c r="AD123" i="84" s="1"/>
  <c r="B122" i="84"/>
  <c r="X122" i="84" s="1"/>
  <c r="AD122" i="84" s="1"/>
  <c r="B121" i="84"/>
  <c r="B120" i="84"/>
  <c r="B119" i="84"/>
  <c r="X119" i="84" s="1"/>
  <c r="AD119" i="84" s="1"/>
  <c r="B118" i="84"/>
  <c r="X118" i="84" s="1"/>
  <c r="AD118" i="84" s="1"/>
  <c r="B117" i="84"/>
  <c r="B116" i="84"/>
  <c r="X116" i="84" s="1"/>
  <c r="AD116" i="84" s="1"/>
  <c r="B115" i="84"/>
  <c r="B114" i="84"/>
  <c r="X114" i="84" s="1"/>
  <c r="AD114" i="84" s="1"/>
  <c r="B113" i="84"/>
  <c r="B112" i="84"/>
  <c r="X112" i="84" s="1"/>
  <c r="AD112" i="84" s="1"/>
  <c r="B111" i="84"/>
  <c r="B110" i="84"/>
  <c r="X110" i="84" s="1"/>
  <c r="AD110" i="84" s="1"/>
  <c r="B109" i="84"/>
  <c r="X41" i="84"/>
  <c r="AK57" i="84"/>
  <c r="AK56" i="84"/>
  <c r="AK55" i="84"/>
  <c r="AK54" i="84"/>
  <c r="AK53" i="84"/>
  <c r="AK52" i="84"/>
  <c r="AK51" i="84"/>
  <c r="AK50" i="84"/>
  <c r="AK49" i="84"/>
  <c r="AK48" i="84"/>
  <c r="AK47" i="84"/>
  <c r="AK46" i="84"/>
  <c r="AK45" i="84"/>
  <c r="AK44" i="84"/>
  <c r="AK43" i="84"/>
  <c r="AK42" i="84"/>
  <c r="AK41" i="84"/>
  <c r="AK40" i="84"/>
  <c r="AK39" i="84"/>
  <c r="AK38" i="84"/>
  <c r="X30" i="84"/>
  <c r="X29" i="84"/>
  <c r="X28" i="84"/>
  <c r="X27" i="84"/>
  <c r="X26" i="84"/>
  <c r="X25" i="84"/>
  <c r="X24" i="84"/>
  <c r="X23" i="84"/>
  <c r="X22" i="84"/>
  <c r="X21" i="84"/>
  <c r="X20" i="84"/>
  <c r="X19" i="84"/>
  <c r="X18" i="84"/>
  <c r="X17" i="84"/>
  <c r="X16" i="84"/>
  <c r="X15" i="84"/>
  <c r="X14" i="84"/>
  <c r="X13" i="84"/>
  <c r="X12" i="84"/>
  <c r="Q31" i="84"/>
  <c r="X11" i="84"/>
  <c r="Y4" i="84"/>
  <c r="X233" i="83"/>
  <c r="AK225" i="83"/>
  <c r="AK224" i="83"/>
  <c r="AK223" i="83"/>
  <c r="AK222" i="83"/>
  <c r="AK221" i="83"/>
  <c r="AK220" i="83"/>
  <c r="AK219" i="83"/>
  <c r="AK218" i="83"/>
  <c r="AK217" i="83"/>
  <c r="AK216" i="83"/>
  <c r="AK215" i="83"/>
  <c r="AK214" i="83"/>
  <c r="AK213" i="83"/>
  <c r="AK212" i="83"/>
  <c r="AK211" i="83"/>
  <c r="AK210" i="83"/>
  <c r="AK209" i="83"/>
  <c r="AK208" i="83"/>
  <c r="AK207" i="83"/>
  <c r="AK206" i="83"/>
  <c r="AK205" i="83"/>
  <c r="X198" i="83"/>
  <c r="X197" i="83"/>
  <c r="X196" i="83"/>
  <c r="X195" i="83"/>
  <c r="X194" i="83"/>
  <c r="X193" i="83"/>
  <c r="X192" i="83"/>
  <c r="X191" i="83"/>
  <c r="X190" i="83"/>
  <c r="X189" i="83"/>
  <c r="X188" i="83"/>
  <c r="X187" i="83"/>
  <c r="X186" i="83"/>
  <c r="X185" i="83"/>
  <c r="X184" i="83"/>
  <c r="X183" i="83"/>
  <c r="X182" i="83"/>
  <c r="X181" i="83"/>
  <c r="X180" i="83"/>
  <c r="X179" i="83"/>
  <c r="AF178" i="83"/>
  <c r="AG178" i="83" s="1"/>
  <c r="AH178" i="83" s="1"/>
  <c r="Q180" i="83" s="1"/>
  <c r="D105" i="76" s="1"/>
  <c r="X178" i="83"/>
  <c r="H31" i="83"/>
  <c r="AC225" i="83" s="1"/>
  <c r="G31" i="83"/>
  <c r="AB225" i="83" s="1"/>
  <c r="F31" i="83"/>
  <c r="AA225" i="83" s="1"/>
  <c r="E31" i="83"/>
  <c r="Z225" i="83" s="1"/>
  <c r="D31" i="83"/>
  <c r="Y225" i="83" s="1"/>
  <c r="H29" i="83"/>
  <c r="AC223" i="83" s="1"/>
  <c r="G29" i="83"/>
  <c r="AB223" i="83" s="1"/>
  <c r="F29" i="83"/>
  <c r="AA223" i="83" s="1"/>
  <c r="E29" i="83"/>
  <c r="Z223" i="83" s="1"/>
  <c r="D29" i="83"/>
  <c r="Y223" i="83" s="1"/>
  <c r="AC222" i="83"/>
  <c r="AB222" i="83"/>
  <c r="AA222" i="83"/>
  <c r="Z222" i="83"/>
  <c r="Y222" i="83"/>
  <c r="H27" i="83"/>
  <c r="AC221" i="83" s="1"/>
  <c r="G27" i="83"/>
  <c r="AB221" i="83" s="1"/>
  <c r="F27" i="83"/>
  <c r="AA221" i="83" s="1"/>
  <c r="E27" i="83"/>
  <c r="Z221" i="83" s="1"/>
  <c r="D27" i="83"/>
  <c r="Y221" i="83" s="1"/>
  <c r="H26" i="83"/>
  <c r="AC220" i="83" s="1"/>
  <c r="G26" i="83"/>
  <c r="AB220" i="83" s="1"/>
  <c r="F26" i="83"/>
  <c r="AA220" i="83" s="1"/>
  <c r="E26" i="83"/>
  <c r="Z220" i="83" s="1"/>
  <c r="D26" i="83"/>
  <c r="Y220" i="83" s="1"/>
  <c r="H25" i="83"/>
  <c r="AC219" i="83" s="1"/>
  <c r="G25" i="83"/>
  <c r="AB219" i="83" s="1"/>
  <c r="F25" i="83"/>
  <c r="AA219" i="83" s="1"/>
  <c r="E25" i="83"/>
  <c r="Z219" i="83" s="1"/>
  <c r="D25" i="83"/>
  <c r="Y219" i="83" s="1"/>
  <c r="H24" i="83"/>
  <c r="AC218" i="83" s="1"/>
  <c r="G24" i="83"/>
  <c r="AB218" i="83" s="1"/>
  <c r="E24" i="83"/>
  <c r="Z218" i="83" s="1"/>
  <c r="D24" i="83"/>
  <c r="Y218" i="83" s="1"/>
  <c r="H23" i="83"/>
  <c r="AC217" i="83" s="1"/>
  <c r="G23" i="83"/>
  <c r="AB217" i="83" s="1"/>
  <c r="F23" i="83"/>
  <c r="AA217" i="83" s="1"/>
  <c r="E23" i="83"/>
  <c r="Z217" i="83" s="1"/>
  <c r="D23" i="83"/>
  <c r="Y217" i="83" s="1"/>
  <c r="H22" i="83"/>
  <c r="AC216" i="83" s="1"/>
  <c r="G22" i="83"/>
  <c r="AB216" i="83" s="1"/>
  <c r="F22" i="83"/>
  <c r="AA216" i="83" s="1"/>
  <c r="E22" i="83"/>
  <c r="Z216" i="83" s="1"/>
  <c r="D22" i="83"/>
  <c r="Y216" i="83" s="1"/>
  <c r="H21" i="83"/>
  <c r="AC215" i="83" s="1"/>
  <c r="G21" i="83"/>
  <c r="AB215" i="83" s="1"/>
  <c r="F21" i="83"/>
  <c r="AA215" i="83" s="1"/>
  <c r="E21" i="83"/>
  <c r="Z215" i="83" s="1"/>
  <c r="D21" i="83"/>
  <c r="Y215" i="83" s="1"/>
  <c r="H20" i="83"/>
  <c r="AC214" i="83" s="1"/>
  <c r="G20" i="83"/>
  <c r="AB214" i="83" s="1"/>
  <c r="F20" i="83"/>
  <c r="AA214" i="83" s="1"/>
  <c r="E20" i="83"/>
  <c r="Z214" i="83" s="1"/>
  <c r="D20" i="83"/>
  <c r="Y214" i="83" s="1"/>
  <c r="H19" i="83"/>
  <c r="AC213" i="83" s="1"/>
  <c r="G19" i="83"/>
  <c r="AB213" i="83" s="1"/>
  <c r="F19" i="83"/>
  <c r="AA213" i="83" s="1"/>
  <c r="E19" i="83"/>
  <c r="Z213" i="83" s="1"/>
  <c r="D19" i="83"/>
  <c r="Y213" i="83" s="1"/>
  <c r="H18" i="83"/>
  <c r="AC212" i="83" s="1"/>
  <c r="G18" i="83"/>
  <c r="AB212" i="83" s="1"/>
  <c r="F18" i="83"/>
  <c r="AA212" i="83" s="1"/>
  <c r="E18" i="83"/>
  <c r="Z212" i="83" s="1"/>
  <c r="D18" i="83"/>
  <c r="Y212" i="83" s="1"/>
  <c r="H17" i="83"/>
  <c r="AC211" i="83" s="1"/>
  <c r="G17" i="83"/>
  <c r="AB211" i="83" s="1"/>
  <c r="F17" i="83"/>
  <c r="AA211" i="83" s="1"/>
  <c r="E17" i="83"/>
  <c r="Z211" i="83" s="1"/>
  <c r="D17" i="83"/>
  <c r="Y211" i="83" s="1"/>
  <c r="H16" i="83"/>
  <c r="AC210" i="83" s="1"/>
  <c r="G16" i="83"/>
  <c r="AB210" i="83" s="1"/>
  <c r="F16" i="83"/>
  <c r="AA210" i="83" s="1"/>
  <c r="E16" i="83"/>
  <c r="Z210" i="83" s="1"/>
  <c r="D16" i="83"/>
  <c r="Y210" i="83" s="1"/>
  <c r="H15" i="83"/>
  <c r="AC209" i="83" s="1"/>
  <c r="G15" i="83"/>
  <c r="AB209" i="83" s="1"/>
  <c r="F15" i="83"/>
  <c r="AA209" i="83" s="1"/>
  <c r="E15" i="83"/>
  <c r="Z209" i="83" s="1"/>
  <c r="D15" i="83"/>
  <c r="Y209" i="83" s="1"/>
  <c r="H14" i="83"/>
  <c r="AC208" i="83" s="1"/>
  <c r="G14" i="83"/>
  <c r="AB208" i="83" s="1"/>
  <c r="F14" i="83"/>
  <c r="AA208" i="83" s="1"/>
  <c r="E14" i="83"/>
  <c r="Z208" i="83" s="1"/>
  <c r="D14" i="83"/>
  <c r="Y208" i="83" s="1"/>
  <c r="H13" i="83"/>
  <c r="AC207" i="83" s="1"/>
  <c r="G13" i="83"/>
  <c r="AB207" i="83" s="1"/>
  <c r="F13" i="83"/>
  <c r="AA207" i="83" s="1"/>
  <c r="E13" i="83"/>
  <c r="Z207" i="83" s="1"/>
  <c r="D13" i="83"/>
  <c r="Y207" i="83" s="1"/>
  <c r="AC206" i="83"/>
  <c r="AB206" i="83"/>
  <c r="AA206" i="83"/>
  <c r="Z206" i="83"/>
  <c r="Y206" i="83"/>
  <c r="H11" i="83"/>
  <c r="AC205" i="83" s="1"/>
  <c r="G11" i="83"/>
  <c r="AB205" i="83" s="1"/>
  <c r="F11" i="83"/>
  <c r="AA205" i="83" s="1"/>
  <c r="E11" i="83"/>
  <c r="Z205" i="83" s="1"/>
  <c r="D11" i="83"/>
  <c r="Y205" i="83" s="1"/>
  <c r="B162" i="83"/>
  <c r="B161" i="83"/>
  <c r="B160" i="83"/>
  <c r="B159" i="83"/>
  <c r="B158" i="83"/>
  <c r="B157" i="83"/>
  <c r="B156" i="83"/>
  <c r="B155" i="83"/>
  <c r="B154" i="83"/>
  <c r="B153" i="83"/>
  <c r="B152" i="83"/>
  <c r="B151" i="83"/>
  <c r="B150" i="83"/>
  <c r="B149" i="83"/>
  <c r="B148" i="83"/>
  <c r="B147" i="83"/>
  <c r="B146" i="83"/>
  <c r="B145" i="83"/>
  <c r="B144" i="83"/>
  <c r="B143" i="83"/>
  <c r="B142" i="83"/>
  <c r="B129" i="83"/>
  <c r="X127" i="83" s="1"/>
  <c r="B128" i="83"/>
  <c r="X126" i="83" s="1"/>
  <c r="B127" i="83"/>
  <c r="B126" i="83"/>
  <c r="B125" i="83"/>
  <c r="B124" i="83"/>
  <c r="B123" i="83"/>
  <c r="B122" i="83"/>
  <c r="B121" i="83"/>
  <c r="B120" i="83"/>
  <c r="B119" i="83"/>
  <c r="B118" i="83"/>
  <c r="B117" i="83"/>
  <c r="B116" i="83"/>
  <c r="B115" i="83"/>
  <c r="B114" i="83"/>
  <c r="B113" i="83"/>
  <c r="B112" i="83"/>
  <c r="B111" i="83"/>
  <c r="B110" i="83"/>
  <c r="B109" i="83"/>
  <c r="AK58" i="83"/>
  <c r="AQ58" i="83" s="1"/>
  <c r="S31" i="83" s="1"/>
  <c r="AK57" i="83"/>
  <c r="AK56" i="83"/>
  <c r="AQ56" i="83" s="1"/>
  <c r="S29" i="83" s="1"/>
  <c r="AK55" i="83"/>
  <c r="AQ55" i="83" s="1"/>
  <c r="S28" i="83" s="1"/>
  <c r="AK54" i="83"/>
  <c r="AQ54" i="83" s="1"/>
  <c r="S27" i="83" s="1"/>
  <c r="AK53" i="83"/>
  <c r="AQ53" i="83" s="1"/>
  <c r="S26" i="83" s="1"/>
  <c r="AK52" i="83"/>
  <c r="AQ52" i="83" s="1"/>
  <c r="S25" i="83" s="1"/>
  <c r="AK51" i="83"/>
  <c r="AQ51" i="83" s="1"/>
  <c r="S24" i="83" s="1"/>
  <c r="AK50" i="83"/>
  <c r="AQ50" i="83" s="1"/>
  <c r="S23" i="83" s="1"/>
  <c r="AK49" i="83"/>
  <c r="AQ49" i="83" s="1"/>
  <c r="S22" i="83" s="1"/>
  <c r="AK48" i="83"/>
  <c r="AQ48" i="83" s="1"/>
  <c r="S21" i="83" s="1"/>
  <c r="AK47" i="83"/>
  <c r="AQ47" i="83" s="1"/>
  <c r="S20" i="83" s="1"/>
  <c r="AK46" i="83"/>
  <c r="AQ46" i="83" s="1"/>
  <c r="S19" i="83" s="1"/>
  <c r="AK45" i="83"/>
  <c r="AQ45" i="83" s="1"/>
  <c r="S18" i="83" s="1"/>
  <c r="AK44" i="83"/>
  <c r="AQ44" i="83" s="1"/>
  <c r="S17" i="83" s="1"/>
  <c r="AK43" i="83"/>
  <c r="AQ43" i="83" s="1"/>
  <c r="S16" i="83" s="1"/>
  <c r="AK42" i="83"/>
  <c r="AQ42" i="83" s="1"/>
  <c r="S15" i="83" s="1"/>
  <c r="AK41" i="83"/>
  <c r="AQ41" i="83" s="1"/>
  <c r="S14" i="83" s="1"/>
  <c r="AK40" i="83"/>
  <c r="AQ40" i="83" s="1"/>
  <c r="S13" i="83" s="1"/>
  <c r="AK39" i="83"/>
  <c r="AQ39" i="83" s="1"/>
  <c r="S12" i="83" s="1"/>
  <c r="AK38" i="83"/>
  <c r="AQ38" i="83" s="1"/>
  <c r="S11" i="83" s="1"/>
  <c r="X31" i="83"/>
  <c r="X30" i="83"/>
  <c r="X29" i="83"/>
  <c r="X28" i="83"/>
  <c r="X27" i="83"/>
  <c r="X26" i="83"/>
  <c r="X25" i="83"/>
  <c r="X24" i="83"/>
  <c r="X23" i="83"/>
  <c r="X22" i="83"/>
  <c r="X21" i="83"/>
  <c r="X20" i="83"/>
  <c r="X19" i="83"/>
  <c r="X18" i="83"/>
  <c r="X17" i="83"/>
  <c r="X16" i="83"/>
  <c r="X15" i="83"/>
  <c r="X14" i="83"/>
  <c r="X13" i="83"/>
  <c r="X12" i="83"/>
  <c r="AF11" i="83"/>
  <c r="X11" i="83"/>
  <c r="Y4" i="83"/>
  <c r="A171" i="67"/>
  <c r="AF11" i="86" l="1"/>
  <c r="K11" i="86"/>
  <c r="S109" i="76"/>
  <c r="U109" i="76"/>
  <c r="N109" i="76"/>
  <c r="G109" i="76"/>
  <c r="P109" i="76"/>
  <c r="O109" i="76"/>
  <c r="K109" i="76"/>
  <c r="F109" i="76"/>
  <c r="M109" i="76"/>
  <c r="Q109" i="76"/>
  <c r="T109" i="76"/>
  <c r="L109" i="76"/>
  <c r="H109" i="76"/>
  <c r="E109" i="76"/>
  <c r="D109" i="76"/>
  <c r="I109" i="76"/>
  <c r="J109" i="76"/>
  <c r="R109" i="76"/>
  <c r="V109" i="76"/>
  <c r="K80" i="76"/>
  <c r="U80" i="76"/>
  <c r="H80" i="76"/>
  <c r="P80" i="76"/>
  <c r="R80" i="76"/>
  <c r="F80" i="76"/>
  <c r="E80" i="76"/>
  <c r="M80" i="76"/>
  <c r="N80" i="76"/>
  <c r="J80" i="76"/>
  <c r="T80" i="76"/>
  <c r="G80" i="76"/>
  <c r="O80" i="76"/>
  <c r="T27" i="84"/>
  <c r="D80" i="76"/>
  <c r="L80" i="76"/>
  <c r="Q80" i="76"/>
  <c r="V80" i="76"/>
  <c r="I80" i="76"/>
  <c r="S80" i="76"/>
  <c r="Z76" i="83"/>
  <c r="Z84" i="83"/>
  <c r="Z92" i="83"/>
  <c r="Z87" i="83"/>
  <c r="Z89" i="83"/>
  <c r="Z83" i="83"/>
  <c r="Z77" i="83"/>
  <c r="Z85" i="83"/>
  <c r="Z72" i="83"/>
  <c r="Z86" i="83"/>
  <c r="Y72" i="83"/>
  <c r="Z78" i="83"/>
  <c r="Z90" i="83"/>
  <c r="Z79" i="83"/>
  <c r="Z82" i="83"/>
  <c r="Z80" i="83"/>
  <c r="Z88" i="83"/>
  <c r="Z73" i="83"/>
  <c r="Z91" i="83"/>
  <c r="Z81" i="83"/>
  <c r="Z75" i="83"/>
  <c r="K13" i="85"/>
  <c r="AL40" i="85" s="1"/>
  <c r="D30" i="85"/>
  <c r="K30" i="85" s="1"/>
  <c r="AQ59" i="84"/>
  <c r="Z92" i="84"/>
  <c r="Z91" i="84"/>
  <c r="Z82" i="84"/>
  <c r="Z79" i="84"/>
  <c r="Z84" i="84"/>
  <c r="Z81" i="84"/>
  <c r="Z72" i="84"/>
  <c r="Z90" i="84"/>
  <c r="Z77" i="84"/>
  <c r="Z89" i="84"/>
  <c r="Z75" i="84"/>
  <c r="Z80" i="84"/>
  <c r="Z83" i="84"/>
  <c r="Z85" i="84"/>
  <c r="Z78" i="84"/>
  <c r="Z76" i="84"/>
  <c r="Z86" i="84"/>
  <c r="Y72" i="84"/>
  <c r="Z87" i="84"/>
  <c r="Z88" i="84"/>
  <c r="Z73" i="84"/>
  <c r="Y92" i="83"/>
  <c r="Y91" i="83"/>
  <c r="Y82" i="83"/>
  <c r="Y75" i="83"/>
  <c r="Y89" i="83"/>
  <c r="Y85" i="83"/>
  <c r="Y79" i="83"/>
  <c r="Y76" i="83"/>
  <c r="Y73" i="83"/>
  <c r="Y77" i="83"/>
  <c r="Y80" i="83"/>
  <c r="Y86" i="83"/>
  <c r="Y84" i="83"/>
  <c r="Y88" i="83"/>
  <c r="Y81" i="83"/>
  <c r="Y78" i="83"/>
  <c r="Y87" i="83"/>
  <c r="Y83" i="83"/>
  <c r="Y90" i="83"/>
  <c r="AG27" i="84"/>
  <c r="T72" i="76"/>
  <c r="Y92" i="84"/>
  <c r="Y79" i="84"/>
  <c r="Y78" i="84"/>
  <c r="Y88" i="84"/>
  <c r="Y83" i="84"/>
  <c r="Y77" i="84"/>
  <c r="Y85" i="84"/>
  <c r="Y87" i="84"/>
  <c r="Y81" i="84"/>
  <c r="Y73" i="84"/>
  <c r="Y82" i="84"/>
  <c r="Y91" i="84"/>
  <c r="Y90" i="84"/>
  <c r="Y76" i="84"/>
  <c r="Y80" i="84"/>
  <c r="Y89" i="84"/>
  <c r="Y75" i="84"/>
  <c r="Y84" i="84"/>
  <c r="Y86" i="84"/>
  <c r="Y224" i="83"/>
  <c r="AQ206" i="83"/>
  <c r="AQ214" i="83"/>
  <c r="AQ220" i="83"/>
  <c r="AQ207" i="83"/>
  <c r="AQ215" i="83"/>
  <c r="AQ221" i="83"/>
  <c r="AQ208" i="83"/>
  <c r="AQ216" i="83"/>
  <c r="AQ222" i="83"/>
  <c r="AQ213" i="83"/>
  <c r="AQ209" i="83"/>
  <c r="AQ217" i="83"/>
  <c r="AQ223" i="83"/>
  <c r="AQ210" i="83"/>
  <c r="AQ211" i="83"/>
  <c r="AQ218" i="83"/>
  <c r="AQ225" i="83"/>
  <c r="AQ205" i="83"/>
  <c r="AQ212" i="83"/>
  <c r="AQ219" i="83"/>
  <c r="AQ59" i="83"/>
  <c r="AQ360" i="83"/>
  <c r="AQ226" i="83"/>
  <c r="X160" i="83"/>
  <c r="X144" i="83"/>
  <c r="X116" i="83"/>
  <c r="X153" i="83"/>
  <c r="X152" i="83"/>
  <c r="X109" i="83"/>
  <c r="X146" i="83"/>
  <c r="X118" i="83"/>
  <c r="X148" i="83"/>
  <c r="X112" i="83"/>
  <c r="X157" i="83"/>
  <c r="X142" i="83"/>
  <c r="X158" i="83"/>
  <c r="X143" i="83"/>
  <c r="AH195" i="83"/>
  <c r="Q197" i="83" s="1"/>
  <c r="U105" i="76" s="1"/>
  <c r="X73" i="76"/>
  <c r="X74" i="76"/>
  <c r="AH188" i="84"/>
  <c r="AH122" i="84"/>
  <c r="K11" i="85"/>
  <c r="AL38" i="85" s="1"/>
  <c r="AA11" i="85"/>
  <c r="AU58" i="84"/>
  <c r="AT58" i="84"/>
  <c r="AV58" i="84"/>
  <c r="AS58" i="84"/>
  <c r="AR58" i="84"/>
  <c r="AZ58" i="84"/>
  <c r="AY58" i="84"/>
  <c r="BA58" i="84"/>
  <c r="AW58" i="84"/>
  <c r="AX58" i="84"/>
  <c r="AE122" i="84"/>
  <c r="AE155" i="84"/>
  <c r="AF188" i="84"/>
  <c r="AF122" i="84"/>
  <c r="AF155" i="84"/>
  <c r="X223" i="84"/>
  <c r="AD223" i="84" s="1"/>
  <c r="X211" i="84"/>
  <c r="AD211" i="84" s="1"/>
  <c r="X225" i="84"/>
  <c r="AD225" i="84" s="1"/>
  <c r="X220" i="84"/>
  <c r="AD220" i="84" s="1"/>
  <c r="X216" i="84"/>
  <c r="AD216" i="84" s="1"/>
  <c r="X177" i="84"/>
  <c r="AD177" i="84" s="1"/>
  <c r="B210" i="84"/>
  <c r="AI155" i="84"/>
  <c r="AI122" i="84"/>
  <c r="AI188" i="84"/>
  <c r="AF177" i="84"/>
  <c r="AF111" i="84"/>
  <c r="AF144" i="84"/>
  <c r="AF127" i="84"/>
  <c r="AF160" i="84"/>
  <c r="AF193" i="84"/>
  <c r="AE160" i="84"/>
  <c r="AE127" i="84"/>
  <c r="AE193" i="84"/>
  <c r="AI126" i="84"/>
  <c r="AI159" i="84"/>
  <c r="AI192" i="84"/>
  <c r="AI151" i="84"/>
  <c r="AI184" i="84"/>
  <c r="AI118" i="84"/>
  <c r="AH151" i="84"/>
  <c r="AH184" i="84"/>
  <c r="AH118" i="84"/>
  <c r="AI183" i="84"/>
  <c r="AI117" i="84"/>
  <c r="AI150" i="84"/>
  <c r="AG191" i="84"/>
  <c r="AG158" i="84"/>
  <c r="AG125" i="84"/>
  <c r="AG193" i="84"/>
  <c r="AG160" i="84"/>
  <c r="AG127" i="84"/>
  <c r="AG177" i="84"/>
  <c r="AG111" i="84"/>
  <c r="AG144" i="84"/>
  <c r="AF186" i="84"/>
  <c r="AF120" i="84"/>
  <c r="AF153" i="84"/>
  <c r="AE190" i="84"/>
  <c r="AE157" i="84"/>
  <c r="AE124" i="84"/>
  <c r="AE126" i="84"/>
  <c r="AE159" i="84"/>
  <c r="AE192" i="84"/>
  <c r="AE118" i="84"/>
  <c r="AE184" i="84"/>
  <c r="AE151" i="84"/>
  <c r="AI189" i="84"/>
  <c r="AI156" i="84"/>
  <c r="AI123" i="84"/>
  <c r="AF109" i="84"/>
  <c r="AF175" i="84"/>
  <c r="AF142" i="84"/>
  <c r="AG145" i="84"/>
  <c r="AG112" i="84"/>
  <c r="AG178" i="84"/>
  <c r="AE147" i="84"/>
  <c r="AE114" i="84"/>
  <c r="AE180" i="84"/>
  <c r="AH115" i="84"/>
  <c r="AH148" i="84"/>
  <c r="AH181" i="84"/>
  <c r="AF150" i="84"/>
  <c r="AF117" i="84"/>
  <c r="AF183" i="84"/>
  <c r="AG186" i="84"/>
  <c r="AG153" i="84"/>
  <c r="AG120" i="84"/>
  <c r="AH191" i="84"/>
  <c r="AH158" i="84"/>
  <c r="AH125" i="84"/>
  <c r="AH143" i="84"/>
  <c r="AH110" i="84"/>
  <c r="AH176" i="84"/>
  <c r="AE117" i="84"/>
  <c r="AE183" i="84"/>
  <c r="AE150" i="84"/>
  <c r="AG142" i="84"/>
  <c r="AG175" i="84"/>
  <c r="AG109" i="84"/>
  <c r="AE144" i="84"/>
  <c r="AE177" i="84"/>
  <c r="AE111" i="84"/>
  <c r="AH145" i="84"/>
  <c r="AH178" i="84"/>
  <c r="AH112" i="84"/>
  <c r="AF147" i="84"/>
  <c r="AF114" i="84"/>
  <c r="AF180" i="84"/>
  <c r="AG150" i="84"/>
  <c r="AG183" i="84"/>
  <c r="AG117" i="84"/>
  <c r="AE119" i="84"/>
  <c r="AE185" i="84"/>
  <c r="AE152" i="84"/>
  <c r="AH153" i="84"/>
  <c r="AH186" i="84"/>
  <c r="AH120" i="84"/>
  <c r="AE123" i="84"/>
  <c r="AE189" i="84"/>
  <c r="AE156" i="84"/>
  <c r="AF124" i="84"/>
  <c r="AF190" i="84"/>
  <c r="AF157" i="84"/>
  <c r="AH109" i="84"/>
  <c r="AH175" i="84"/>
  <c r="AH142" i="84"/>
  <c r="AG147" i="84"/>
  <c r="AG180" i="84"/>
  <c r="AG114" i="84"/>
  <c r="AE149" i="84"/>
  <c r="AE116" i="84"/>
  <c r="AE182" i="84"/>
  <c r="AH183" i="84"/>
  <c r="AH150" i="84"/>
  <c r="AH117" i="84"/>
  <c r="AF185" i="84"/>
  <c r="AF152" i="84"/>
  <c r="AF119" i="84"/>
  <c r="AF189" i="84"/>
  <c r="AF156" i="84"/>
  <c r="AF123" i="84"/>
  <c r="AG124" i="84"/>
  <c r="AG190" i="84"/>
  <c r="AG157" i="84"/>
  <c r="AH127" i="84"/>
  <c r="AH193" i="84"/>
  <c r="AH160" i="84"/>
  <c r="AE175" i="84"/>
  <c r="AE109" i="84"/>
  <c r="AE142" i="84"/>
  <c r="AE146" i="84"/>
  <c r="AE113" i="84"/>
  <c r="AE179" i="84"/>
  <c r="AH147" i="84"/>
  <c r="AH114" i="84"/>
  <c r="AH180" i="84"/>
  <c r="AF116" i="84"/>
  <c r="AF182" i="84"/>
  <c r="AF149" i="84"/>
  <c r="AG152" i="84"/>
  <c r="AG119" i="84"/>
  <c r="AG185" i="84"/>
  <c r="AE187" i="84"/>
  <c r="AE121" i="84"/>
  <c r="AE154" i="84"/>
  <c r="AG123" i="84"/>
  <c r="AG156" i="84"/>
  <c r="AG189" i="84"/>
  <c r="AH190" i="84"/>
  <c r="AH124" i="84"/>
  <c r="AH157" i="84"/>
  <c r="AF159" i="84"/>
  <c r="AF126" i="84"/>
  <c r="AF192" i="84"/>
  <c r="AF145" i="84"/>
  <c r="AF112" i="84"/>
  <c r="AF178" i="84"/>
  <c r="AE143" i="84"/>
  <c r="AE176" i="84"/>
  <c r="AE110" i="84"/>
  <c r="AH177" i="84"/>
  <c r="AH144" i="84"/>
  <c r="AH111" i="84"/>
  <c r="AF113" i="84"/>
  <c r="AF179" i="84"/>
  <c r="AF146" i="84"/>
  <c r="AG116" i="84"/>
  <c r="AG182" i="84"/>
  <c r="AG149" i="84"/>
  <c r="AH152" i="84"/>
  <c r="AH119" i="84"/>
  <c r="AH185" i="84"/>
  <c r="AF154" i="84"/>
  <c r="AF121" i="84"/>
  <c r="AF187" i="84"/>
  <c r="AH123" i="84"/>
  <c r="AH189" i="84"/>
  <c r="AH156" i="84"/>
  <c r="AG192" i="84"/>
  <c r="AG159" i="84"/>
  <c r="AG126" i="84"/>
  <c r="AG181" i="84"/>
  <c r="AG148" i="84"/>
  <c r="AG115" i="84"/>
  <c r="AF176" i="84"/>
  <c r="AF143" i="84"/>
  <c r="AF110" i="84"/>
  <c r="AG179" i="84"/>
  <c r="AG113" i="84"/>
  <c r="AG146" i="84"/>
  <c r="AE115" i="84"/>
  <c r="AE181" i="84"/>
  <c r="AE148" i="84"/>
  <c r="AH182" i="84"/>
  <c r="AH149" i="84"/>
  <c r="AH116" i="84"/>
  <c r="AF118" i="84"/>
  <c r="AF184" i="84"/>
  <c r="AF151" i="84"/>
  <c r="AG121" i="84"/>
  <c r="AG187" i="84"/>
  <c r="AG154" i="84"/>
  <c r="AE158" i="84"/>
  <c r="AE191" i="84"/>
  <c r="AE125" i="84"/>
  <c r="AH192" i="84"/>
  <c r="AH126" i="84"/>
  <c r="AH159" i="84"/>
  <c r="AG110" i="84"/>
  <c r="AG176" i="84"/>
  <c r="AG143" i="84"/>
  <c r="AE178" i="84"/>
  <c r="AE145" i="84"/>
  <c r="AE112" i="84"/>
  <c r="AH113" i="84"/>
  <c r="AH179" i="84"/>
  <c r="AH146" i="84"/>
  <c r="AF115" i="84"/>
  <c r="AF181" i="84"/>
  <c r="AF148" i="84"/>
  <c r="AG118" i="84"/>
  <c r="AG184" i="84"/>
  <c r="AG151" i="84"/>
  <c r="AE153" i="84"/>
  <c r="AE120" i="84"/>
  <c r="AE186" i="84"/>
  <c r="AH154" i="84"/>
  <c r="AH121" i="84"/>
  <c r="AH187" i="84"/>
  <c r="AF191" i="84"/>
  <c r="AF125" i="84"/>
  <c r="AF158" i="84"/>
  <c r="AI119" i="84"/>
  <c r="AI185" i="84"/>
  <c r="AI152" i="84"/>
  <c r="AI158" i="84"/>
  <c r="AI125" i="84"/>
  <c r="AI191" i="84"/>
  <c r="AI113" i="84"/>
  <c r="AI179" i="84"/>
  <c r="AI146" i="84"/>
  <c r="AI121" i="84"/>
  <c r="AI187" i="84"/>
  <c r="AI154" i="84"/>
  <c r="AI115" i="84"/>
  <c r="AI181" i="84"/>
  <c r="AI148" i="84"/>
  <c r="AI176" i="84"/>
  <c r="AI110" i="84"/>
  <c r="AI143" i="84"/>
  <c r="AI178" i="84"/>
  <c r="AI145" i="84"/>
  <c r="AI112" i="84"/>
  <c r="AI120" i="84"/>
  <c r="AI186" i="84"/>
  <c r="AI153" i="84"/>
  <c r="AI109" i="84"/>
  <c r="AI142" i="84"/>
  <c r="AI175" i="84"/>
  <c r="AI127" i="84"/>
  <c r="AI193" i="84"/>
  <c r="AI160" i="84"/>
  <c r="AI147" i="84"/>
  <c r="AI180" i="84"/>
  <c r="AI114" i="84"/>
  <c r="AI157" i="84"/>
  <c r="AI124" i="84"/>
  <c r="AI190" i="84"/>
  <c r="AI144" i="84"/>
  <c r="AI177" i="84"/>
  <c r="AI111" i="84"/>
  <c r="AI116" i="84"/>
  <c r="AI149" i="84"/>
  <c r="AI182" i="84"/>
  <c r="K29" i="84"/>
  <c r="AC224" i="83"/>
  <c r="AB224" i="83"/>
  <c r="Z224" i="83"/>
  <c r="X81" i="76"/>
  <c r="X82" i="76"/>
  <c r="B175" i="84"/>
  <c r="Y22" i="83"/>
  <c r="Y27" i="83"/>
  <c r="Y25" i="84"/>
  <c r="AB11" i="85"/>
  <c r="AO40" i="85"/>
  <c r="AD13" i="85"/>
  <c r="AA16" i="85"/>
  <c r="AD17" i="85"/>
  <c r="AC18" i="85"/>
  <c r="AA20" i="85"/>
  <c r="AD21" i="85"/>
  <c r="AB23" i="85"/>
  <c r="AD24" i="85"/>
  <c r="AD27" i="85"/>
  <c r="AN55" i="85"/>
  <c r="AC28" i="85"/>
  <c r="AJ13" i="86"/>
  <c r="AD13" i="86"/>
  <c r="AJ17" i="86"/>
  <c r="AE17" i="86"/>
  <c r="AD17" i="86"/>
  <c r="AJ24" i="86"/>
  <c r="AE24" i="86"/>
  <c r="AD24" i="86"/>
  <c r="AJ26" i="86"/>
  <c r="AD26" i="86"/>
  <c r="AE26" i="86"/>
  <c r="Z13" i="83"/>
  <c r="Y13" i="83"/>
  <c r="Y17" i="83"/>
  <c r="Y21" i="83"/>
  <c r="Z24" i="83"/>
  <c r="Y24" i="83"/>
  <c r="Y26" i="83"/>
  <c r="Y13" i="84"/>
  <c r="Y17" i="84"/>
  <c r="Y21" i="84"/>
  <c r="Z24" i="84"/>
  <c r="Y24" i="84"/>
  <c r="Y26" i="84"/>
  <c r="AG11" i="85"/>
  <c r="Y11" i="85"/>
  <c r="AE11" i="85"/>
  <c r="AD12" i="85"/>
  <c r="AN40" i="85"/>
  <c r="AC13" i="85"/>
  <c r="AB14" i="85"/>
  <c r="AL42" i="85"/>
  <c r="AA15" i="85"/>
  <c r="Y15" i="85"/>
  <c r="AE15" i="85"/>
  <c r="AD16" i="85"/>
  <c r="AC17" i="85"/>
  <c r="AB18" i="85"/>
  <c r="AA19" i="85"/>
  <c r="Y19" i="85"/>
  <c r="AE19" i="85"/>
  <c r="AD20" i="85"/>
  <c r="AN48" i="85"/>
  <c r="AC21" i="85"/>
  <c r="AB22" i="85"/>
  <c r="AL50" i="85"/>
  <c r="AA23" i="85"/>
  <c r="Y23" i="85"/>
  <c r="AE23" i="85"/>
  <c r="AC25" i="85"/>
  <c r="AD26" i="85"/>
  <c r="AC27" i="85"/>
  <c r="AB28" i="85"/>
  <c r="AA29" i="85"/>
  <c r="P29" i="85"/>
  <c r="Y29" i="85"/>
  <c r="AE29" i="85"/>
  <c r="AO58" i="85"/>
  <c r="AD31" i="85"/>
  <c r="AJ12" i="86"/>
  <c r="AD12" i="86"/>
  <c r="AJ16" i="86"/>
  <c r="AD16" i="86"/>
  <c r="AE16" i="86"/>
  <c r="AJ20" i="86"/>
  <c r="AD20" i="86"/>
  <c r="AJ29" i="86"/>
  <c r="AD29" i="86"/>
  <c r="Y22" i="84"/>
  <c r="AA12" i="85"/>
  <c r="AC14" i="85"/>
  <c r="AB19" i="85"/>
  <c r="AC22" i="85"/>
  <c r="AD25" i="85"/>
  <c r="AA26" i="85"/>
  <c r="AB29" i="85"/>
  <c r="AA11" i="83"/>
  <c r="D314" i="83"/>
  <c r="AA311" i="83" s="1"/>
  <c r="Y11" i="83"/>
  <c r="Y15" i="83"/>
  <c r="Y19" i="83"/>
  <c r="Z23" i="83"/>
  <c r="Y23" i="83"/>
  <c r="Y28" i="83"/>
  <c r="D175" i="84"/>
  <c r="AA11" i="84"/>
  <c r="Y11" i="84"/>
  <c r="Y15" i="84"/>
  <c r="Y19" i="84"/>
  <c r="Y23" i="84"/>
  <c r="Z23" i="84"/>
  <c r="Y28" i="84"/>
  <c r="AC11" i="85"/>
  <c r="AB12" i="85"/>
  <c r="AA13" i="85"/>
  <c r="Y13" i="85"/>
  <c r="AE13" i="85"/>
  <c r="AD14" i="85"/>
  <c r="AC15" i="85"/>
  <c r="AB16" i="85"/>
  <c r="AA17" i="85"/>
  <c r="Y17" i="85"/>
  <c r="AE17" i="85"/>
  <c r="AD18" i="85"/>
  <c r="AC19" i="85"/>
  <c r="AB20" i="85"/>
  <c r="AA21" i="85"/>
  <c r="P21" i="85"/>
  <c r="Y21" i="85"/>
  <c r="AE21" i="85"/>
  <c r="AD22" i="85"/>
  <c r="AC23" i="85"/>
  <c r="AA24" i="85"/>
  <c r="Y24" i="85"/>
  <c r="AE24" i="85"/>
  <c r="AG25" i="85"/>
  <c r="Y25" i="85"/>
  <c r="AE25" i="85"/>
  <c r="AB26" i="85"/>
  <c r="AA27" i="85"/>
  <c r="AG27" i="85"/>
  <c r="Y27" i="85"/>
  <c r="AE27" i="85"/>
  <c r="AD28" i="85"/>
  <c r="AC29" i="85"/>
  <c r="AB31" i="85"/>
  <c r="AJ14" i="86"/>
  <c r="AD14" i="86"/>
  <c r="AJ18" i="86"/>
  <c r="AD18" i="86"/>
  <c r="AE18" i="86"/>
  <c r="AJ22" i="86"/>
  <c r="AD22" i="86"/>
  <c r="AE22" i="86"/>
  <c r="AJ25" i="86"/>
  <c r="AD25" i="86"/>
  <c r="AJ27" i="86"/>
  <c r="AD27" i="86"/>
  <c r="Y14" i="83"/>
  <c r="Y18" i="83"/>
  <c r="Y25" i="83"/>
  <c r="Y14" i="84"/>
  <c r="Y18" i="84"/>
  <c r="Y27" i="84"/>
  <c r="P12" i="85"/>
  <c r="Y12" i="85"/>
  <c r="AE12" i="85"/>
  <c r="AB15" i="85"/>
  <c r="Y16" i="85"/>
  <c r="AE16" i="85"/>
  <c r="Y20" i="85"/>
  <c r="AE20" i="85"/>
  <c r="Y26" i="85"/>
  <c r="AE26" i="85"/>
  <c r="AA31" i="85"/>
  <c r="AJ21" i="86"/>
  <c r="AD21" i="86"/>
  <c r="Y12" i="83"/>
  <c r="Y16" i="83"/>
  <c r="Y20" i="83"/>
  <c r="Y29" i="83"/>
  <c r="Y12" i="84"/>
  <c r="Y16" i="84"/>
  <c r="Y20" i="84"/>
  <c r="Y29" i="84"/>
  <c r="AD11" i="85"/>
  <c r="AC12" i="85"/>
  <c r="AB13" i="85"/>
  <c r="AA14" i="85"/>
  <c r="Y14" i="85"/>
  <c r="AE14" i="85"/>
  <c r="AD15" i="85"/>
  <c r="AC16" i="85"/>
  <c r="AB17" i="85"/>
  <c r="AA18" i="85"/>
  <c r="AG18" i="85"/>
  <c r="Y18" i="85"/>
  <c r="AE18" i="85"/>
  <c r="AD19" i="85"/>
  <c r="AC20" i="85"/>
  <c r="AB21" i="85"/>
  <c r="AA22" i="85"/>
  <c r="Y22" i="85"/>
  <c r="AE22" i="85"/>
  <c r="AD23" i="85"/>
  <c r="AB24" i="85"/>
  <c r="AA25" i="85"/>
  <c r="AC26" i="85"/>
  <c r="AB27" i="85"/>
  <c r="AA28" i="85"/>
  <c r="P28" i="85"/>
  <c r="Y28" i="85"/>
  <c r="AE28" i="85"/>
  <c r="AD29" i="85"/>
  <c r="AC31" i="85"/>
  <c r="AD11" i="86"/>
  <c r="AJ15" i="86"/>
  <c r="AD15" i="86"/>
  <c r="AE15" i="86"/>
  <c r="AJ23" i="86"/>
  <c r="AD23" i="86"/>
  <c r="AE23" i="86"/>
  <c r="AJ28" i="86"/>
  <c r="AE28" i="86"/>
  <c r="AD28" i="86"/>
  <c r="AJ11" i="86"/>
  <c r="AF30" i="86"/>
  <c r="AV12" i="86"/>
  <c r="AT14" i="86"/>
  <c r="AV16" i="86"/>
  <c r="AK11" i="85"/>
  <c r="AT11" i="86"/>
  <c r="AW12" i="86"/>
  <c r="AV13" i="86"/>
  <c r="AU14" i="86"/>
  <c r="AT15" i="86"/>
  <c r="AW16" i="86"/>
  <c r="AV17" i="86"/>
  <c r="AU18" i="86"/>
  <c r="AT19" i="86"/>
  <c r="AW20" i="86"/>
  <c r="AV21" i="86"/>
  <c r="AU22" i="86"/>
  <c r="AT23" i="86"/>
  <c r="AU25" i="86"/>
  <c r="AV26" i="86"/>
  <c r="AU27" i="86"/>
  <c r="AT28" i="86"/>
  <c r="AW29" i="86"/>
  <c r="AV31" i="86"/>
  <c r="AW11" i="86"/>
  <c r="AU13" i="86"/>
  <c r="AW15" i="86"/>
  <c r="AU17" i="86"/>
  <c r="AT18" i="86"/>
  <c r="AV20" i="86"/>
  <c r="AU21" i="86"/>
  <c r="AT22" i="86"/>
  <c r="AW23" i="86"/>
  <c r="AT25" i="86"/>
  <c r="AU26" i="86"/>
  <c r="AT27" i="86"/>
  <c r="AW28" i="86"/>
  <c r="AV29" i="86"/>
  <c r="AU31" i="86"/>
  <c r="AK31" i="85"/>
  <c r="AT12" i="86"/>
  <c r="AV14" i="86"/>
  <c r="AT16" i="86"/>
  <c r="AW17" i="86"/>
  <c r="AU19" i="86"/>
  <c r="AW21" i="86"/>
  <c r="AU23" i="86"/>
  <c r="AV25" i="86"/>
  <c r="AW26" i="86"/>
  <c r="AU28" i="86"/>
  <c r="AW31" i="86"/>
  <c r="AL31" i="85"/>
  <c r="AV11" i="86"/>
  <c r="AU12" i="86"/>
  <c r="AT13" i="86"/>
  <c r="AW14" i="86"/>
  <c r="AV15" i="86"/>
  <c r="AU16" i="86"/>
  <c r="AT17" i="86"/>
  <c r="AW18" i="86"/>
  <c r="AV19" i="86"/>
  <c r="AU20" i="86"/>
  <c r="AT21" i="86"/>
  <c r="AW22" i="86"/>
  <c r="AV23" i="86"/>
  <c r="AT24" i="86"/>
  <c r="AW25" i="86"/>
  <c r="AT26" i="86"/>
  <c r="AW27" i="86"/>
  <c r="AV28" i="86"/>
  <c r="AU29" i="86"/>
  <c r="AT31" i="86"/>
  <c r="AU11" i="86"/>
  <c r="AW13" i="86"/>
  <c r="AU15" i="86"/>
  <c r="AV18" i="86"/>
  <c r="AT20" i="86"/>
  <c r="AV22" i="86"/>
  <c r="AW24" i="86"/>
  <c r="AV27" i="86"/>
  <c r="AT29" i="86"/>
  <c r="AM31" i="85"/>
  <c r="AN31" i="85"/>
  <c r="AX39" i="85"/>
  <c r="AS39" i="85"/>
  <c r="AK12" i="85"/>
  <c r="AN13" i="85"/>
  <c r="AL15" i="85"/>
  <c r="AN42" i="85"/>
  <c r="AY42" i="85"/>
  <c r="AT42" i="85"/>
  <c r="AR44" i="85"/>
  <c r="AW44" i="85"/>
  <c r="AM18" i="85"/>
  <c r="AZ45" i="85"/>
  <c r="AM47" i="85"/>
  <c r="AS47" i="85"/>
  <c r="AK20" i="85"/>
  <c r="AX47" i="85"/>
  <c r="AN21" i="85"/>
  <c r="AM22" i="85"/>
  <c r="AZ49" i="85"/>
  <c r="AN25" i="85"/>
  <c r="AX53" i="85"/>
  <c r="AK26" i="85"/>
  <c r="AS53" i="85"/>
  <c r="AM53" i="85"/>
  <c r="AN27" i="85"/>
  <c r="AL29" i="85"/>
  <c r="AY56" i="85"/>
  <c r="AT56" i="85"/>
  <c r="AN56" i="85"/>
  <c r="AL12" i="85"/>
  <c r="AY39" i="85"/>
  <c r="AN39" i="85"/>
  <c r="AT39" i="85"/>
  <c r="AW41" i="85"/>
  <c r="AR41" i="85"/>
  <c r="AN14" i="85"/>
  <c r="AL16" i="85"/>
  <c r="AY43" i="85"/>
  <c r="AT43" i="85"/>
  <c r="AN43" i="85"/>
  <c r="AW45" i="85"/>
  <c r="AR45" i="85"/>
  <c r="AM19" i="85"/>
  <c r="AZ46" i="85"/>
  <c r="AX48" i="85"/>
  <c r="AK21" i="85"/>
  <c r="AS48" i="85"/>
  <c r="AN22" i="85"/>
  <c r="AW52" i="85"/>
  <c r="AR52" i="85"/>
  <c r="AL52" i="85"/>
  <c r="AK25" i="85"/>
  <c r="AW55" i="85"/>
  <c r="AR55" i="85"/>
  <c r="AL55" i="85"/>
  <c r="AX38" i="85"/>
  <c r="AS38" i="85"/>
  <c r="AL39" i="85"/>
  <c r="AW39" i="85"/>
  <c r="AR39" i="85"/>
  <c r="AN12" i="85"/>
  <c r="AM13" i="85"/>
  <c r="AL14" i="85"/>
  <c r="AN41" i="85"/>
  <c r="AY41" i="85"/>
  <c r="AT41" i="85"/>
  <c r="AM42" i="85"/>
  <c r="AK15" i="85"/>
  <c r="AX42" i="85"/>
  <c r="AS42" i="85"/>
  <c r="AL43" i="85"/>
  <c r="AW43" i="85"/>
  <c r="AR43" i="85"/>
  <c r="AN16" i="85"/>
  <c r="AO44" i="85"/>
  <c r="AM17" i="85"/>
  <c r="AZ44" i="85"/>
  <c r="AL18" i="85"/>
  <c r="AN45" i="85"/>
  <c r="AY45" i="85"/>
  <c r="AT45" i="85"/>
  <c r="AM46" i="85"/>
  <c r="AK19" i="85"/>
  <c r="AX46" i="85"/>
  <c r="AS46" i="85"/>
  <c r="AL47" i="85"/>
  <c r="AW47" i="85"/>
  <c r="AR47" i="85"/>
  <c r="AN20" i="85"/>
  <c r="AM21" i="85"/>
  <c r="AZ48" i="85"/>
  <c r="AL22" i="85"/>
  <c r="AN49" i="85"/>
  <c r="AY49" i="85"/>
  <c r="AT49" i="85"/>
  <c r="AK23" i="85"/>
  <c r="AX50" i="85"/>
  <c r="AS50" i="85"/>
  <c r="AZ51" i="85"/>
  <c r="AM25" i="85"/>
  <c r="AO52" i="85"/>
  <c r="AZ52" i="85"/>
  <c r="AL53" i="85"/>
  <c r="AR53" i="85"/>
  <c r="AW53" i="85"/>
  <c r="P26" i="85"/>
  <c r="AN26" i="85"/>
  <c r="AM27" i="85"/>
  <c r="AZ54" i="85"/>
  <c r="AL28" i="85"/>
  <c r="AY55" i="85"/>
  <c r="AT55" i="85"/>
  <c r="AM56" i="85"/>
  <c r="AS56" i="85"/>
  <c r="AK29" i="85"/>
  <c r="AX56" i="85"/>
  <c r="AW58" i="85"/>
  <c r="AR58" i="85"/>
  <c r="AN38" i="85"/>
  <c r="AL11" i="85"/>
  <c r="AY38" i="85"/>
  <c r="AT38" i="85"/>
  <c r="AR40" i="85"/>
  <c r="AM14" i="85"/>
  <c r="AU41" i="85"/>
  <c r="AZ41" i="85"/>
  <c r="AS43" i="85"/>
  <c r="AK16" i="85"/>
  <c r="AX43" i="85"/>
  <c r="AN17" i="85"/>
  <c r="AL19" i="85"/>
  <c r="AN46" i="85"/>
  <c r="AT46" i="85"/>
  <c r="AY46" i="85"/>
  <c r="AR48" i="85"/>
  <c r="AW48" i="85"/>
  <c r="AL23" i="85"/>
  <c r="AT50" i="85"/>
  <c r="AY50" i="85"/>
  <c r="AL51" i="85"/>
  <c r="AW51" i="85"/>
  <c r="AR51" i="85"/>
  <c r="AN24" i="85"/>
  <c r="AW54" i="85"/>
  <c r="AL54" i="85"/>
  <c r="AR54" i="85"/>
  <c r="AM28" i="85"/>
  <c r="AZ55" i="85"/>
  <c r="AO55" i="85"/>
  <c r="AX58" i="85"/>
  <c r="AS58" i="85"/>
  <c r="AM11" i="85"/>
  <c r="AZ38" i="85"/>
  <c r="AU38" i="85"/>
  <c r="AK13" i="85"/>
  <c r="AM15" i="85"/>
  <c r="AZ42" i="85"/>
  <c r="AX44" i="85"/>
  <c r="AK17" i="85"/>
  <c r="AM44" i="85"/>
  <c r="AS44" i="85"/>
  <c r="AN18" i="85"/>
  <c r="AL20" i="85"/>
  <c r="AY47" i="85"/>
  <c r="AN47" i="85"/>
  <c r="AT47" i="85"/>
  <c r="AW49" i="85"/>
  <c r="AL49" i="85"/>
  <c r="AR49" i="85"/>
  <c r="AM23" i="85"/>
  <c r="AZ50" i="85"/>
  <c r="AX51" i="85"/>
  <c r="AK24" i="85"/>
  <c r="AM51" i="85"/>
  <c r="AS51" i="85"/>
  <c r="AL26" i="85"/>
  <c r="AY53" i="85"/>
  <c r="AT53" i="85"/>
  <c r="AN53" i="85"/>
  <c r="AM54" i="85"/>
  <c r="AK27" i="85"/>
  <c r="AS54" i="85"/>
  <c r="AX54" i="85"/>
  <c r="AN28" i="85"/>
  <c r="AM29" i="85"/>
  <c r="AZ56" i="85"/>
  <c r="AO56" i="85"/>
  <c r="AN58" i="85"/>
  <c r="AY58" i="85"/>
  <c r="AT58" i="85"/>
  <c r="AW38" i="85"/>
  <c r="AR38" i="85"/>
  <c r="AN11" i="85"/>
  <c r="AM12" i="85"/>
  <c r="AO39" i="85"/>
  <c r="AZ39" i="85"/>
  <c r="AU39" i="85"/>
  <c r="AL13" i="85"/>
  <c r="AY40" i="85"/>
  <c r="AT40" i="85"/>
  <c r="AM41" i="85"/>
  <c r="AK14" i="85"/>
  <c r="AS41" i="85"/>
  <c r="AX41" i="85"/>
  <c r="AW42" i="85"/>
  <c r="AR42" i="85"/>
  <c r="AN15" i="85"/>
  <c r="AM16" i="85"/>
  <c r="AZ43" i="85"/>
  <c r="AO43" i="85"/>
  <c r="AL17" i="85"/>
  <c r="AN44" i="85"/>
  <c r="AT44" i="85"/>
  <c r="AY44" i="85"/>
  <c r="AK18" i="85"/>
  <c r="AX45" i="85"/>
  <c r="AS45" i="85"/>
  <c r="AM45" i="85"/>
  <c r="AW46" i="85"/>
  <c r="AR46" i="85"/>
  <c r="AN19" i="85"/>
  <c r="AM20" i="85"/>
  <c r="AZ47" i="85"/>
  <c r="AL21" i="85"/>
  <c r="AY48" i="85"/>
  <c r="AT48" i="85"/>
  <c r="AM49" i="85"/>
  <c r="AX49" i="85"/>
  <c r="AK22" i="85"/>
  <c r="AS49" i="85"/>
  <c r="AW50" i="85"/>
  <c r="AR50" i="85"/>
  <c r="AN23" i="85"/>
  <c r="AL25" i="85"/>
  <c r="AN52" i="85"/>
  <c r="AY52" i="85"/>
  <c r="AT52" i="85"/>
  <c r="AM26" i="85"/>
  <c r="AZ53" i="85"/>
  <c r="AL27" i="85"/>
  <c r="AN54" i="85"/>
  <c r="AY54" i="85"/>
  <c r="AT54" i="85"/>
  <c r="AK28" i="85"/>
  <c r="AX55" i="85"/>
  <c r="AS55" i="85"/>
  <c r="AL56" i="85"/>
  <c r="AW56" i="85"/>
  <c r="AR56" i="85"/>
  <c r="AN29" i="85"/>
  <c r="AZ58" i="85"/>
  <c r="Q30" i="85"/>
  <c r="G30" i="85"/>
  <c r="N30" i="85" s="1"/>
  <c r="AL41" i="85"/>
  <c r="Q31" i="85"/>
  <c r="E30" i="85"/>
  <c r="L30" i="85" s="1"/>
  <c r="H30" i="85"/>
  <c r="O30" i="85" s="1"/>
  <c r="AM38" i="85"/>
  <c r="AM50" i="85"/>
  <c r="AM48" i="85"/>
  <c r="Q334" i="83"/>
  <c r="Q333" i="83"/>
  <c r="L11" i="86"/>
  <c r="AD74" i="86" s="1"/>
  <c r="K12" i="86"/>
  <c r="AC75" i="86" s="1"/>
  <c r="O12" i="86"/>
  <c r="N13" i="86"/>
  <c r="M14" i="86"/>
  <c r="AE77" i="86" s="1"/>
  <c r="L15" i="86"/>
  <c r="AD78" i="86" s="1"/>
  <c r="K16" i="86"/>
  <c r="AC79" i="86" s="1"/>
  <c r="I16" i="86"/>
  <c r="O16" i="86"/>
  <c r="N17" i="86"/>
  <c r="AF80" i="86" s="1"/>
  <c r="M18" i="86"/>
  <c r="AE81" i="86" s="1"/>
  <c r="L19" i="86"/>
  <c r="AD82" i="86" s="1"/>
  <c r="K20" i="86"/>
  <c r="AC83" i="86" s="1"/>
  <c r="O20" i="86"/>
  <c r="N21" i="86"/>
  <c r="AF84" i="86" s="1"/>
  <c r="M22" i="86"/>
  <c r="AE85" i="86" s="1"/>
  <c r="L23" i="86"/>
  <c r="AD86" i="86" s="1"/>
  <c r="N24" i="86"/>
  <c r="AF87" i="86" s="1"/>
  <c r="M25" i="86"/>
  <c r="AE88" i="86" s="1"/>
  <c r="N26" i="86"/>
  <c r="AF89" i="86" s="1"/>
  <c r="M27" i="86"/>
  <c r="AE90" i="86" s="1"/>
  <c r="L28" i="86"/>
  <c r="K29" i="86"/>
  <c r="AC92" i="86" s="1"/>
  <c r="O29" i="86"/>
  <c r="N31" i="86"/>
  <c r="AF94" i="86" s="1"/>
  <c r="AI31" i="86"/>
  <c r="L12" i="86"/>
  <c r="AD75" i="86" s="1"/>
  <c r="O13" i="86"/>
  <c r="N14" i="86"/>
  <c r="AF77" i="86" s="1"/>
  <c r="L16" i="86"/>
  <c r="AD79" i="86" s="1"/>
  <c r="O17" i="86"/>
  <c r="L20" i="86"/>
  <c r="AD83" i="86" s="1"/>
  <c r="O26" i="86"/>
  <c r="N11" i="86"/>
  <c r="AF74" i="86" s="1"/>
  <c r="M12" i="86"/>
  <c r="AE75" i="86" s="1"/>
  <c r="L13" i="86"/>
  <c r="AD76" i="86" s="1"/>
  <c r="K14" i="86"/>
  <c r="AC77" i="86" s="1"/>
  <c r="O14" i="86"/>
  <c r="N15" i="86"/>
  <c r="AF78" i="86" s="1"/>
  <c r="M16" i="86"/>
  <c r="AE79" i="86" s="1"/>
  <c r="L17" i="86"/>
  <c r="AD80" i="86" s="1"/>
  <c r="K18" i="86"/>
  <c r="AC81" i="86" s="1"/>
  <c r="O18" i="86"/>
  <c r="N19" i="86"/>
  <c r="AF82" i="86" s="1"/>
  <c r="M20" i="86"/>
  <c r="AE83" i="86" s="1"/>
  <c r="L21" i="86"/>
  <c r="AD84" i="86" s="1"/>
  <c r="K22" i="86"/>
  <c r="AC85" i="86" s="1"/>
  <c r="O22" i="86"/>
  <c r="N23" i="86"/>
  <c r="AF86" i="86" s="1"/>
  <c r="L24" i="86"/>
  <c r="AD87" i="86" s="1"/>
  <c r="K25" i="86"/>
  <c r="AC88" i="86" s="1"/>
  <c r="O25" i="86"/>
  <c r="L26" i="86"/>
  <c r="AD89" i="86" s="1"/>
  <c r="K27" i="86"/>
  <c r="AC90" i="86" s="1"/>
  <c r="O27" i="86"/>
  <c r="N28" i="86"/>
  <c r="AF91" i="86" s="1"/>
  <c r="M29" i="86"/>
  <c r="AE92" i="86" s="1"/>
  <c r="AG31" i="86"/>
  <c r="L31" i="86"/>
  <c r="AD94" i="86" s="1"/>
  <c r="M11" i="86"/>
  <c r="AE74" i="86" s="1"/>
  <c r="K13" i="86"/>
  <c r="AC76" i="86" s="1"/>
  <c r="M15" i="86"/>
  <c r="AE78" i="86" s="1"/>
  <c r="K17" i="86"/>
  <c r="AC80" i="86" s="1"/>
  <c r="N18" i="86"/>
  <c r="AF81" i="86" s="1"/>
  <c r="M19" i="86"/>
  <c r="AE82" i="86" s="1"/>
  <c r="K21" i="86"/>
  <c r="AC84" i="86" s="1"/>
  <c r="O21" i="86"/>
  <c r="N22" i="86"/>
  <c r="AF85" i="86" s="1"/>
  <c r="M23" i="86"/>
  <c r="AE86" i="86" s="1"/>
  <c r="K24" i="86"/>
  <c r="AC87" i="86" s="1"/>
  <c r="O24" i="86"/>
  <c r="N25" i="86"/>
  <c r="AF88" i="86" s="1"/>
  <c r="K26" i="86"/>
  <c r="AC89" i="86" s="1"/>
  <c r="N27" i="86"/>
  <c r="AF90" i="86" s="1"/>
  <c r="M28" i="86"/>
  <c r="AE91" i="86" s="1"/>
  <c r="L29" i="86"/>
  <c r="AD92" i="86" s="1"/>
  <c r="K31" i="86"/>
  <c r="AC94" i="86" s="1"/>
  <c r="AF31" i="86"/>
  <c r="O31" i="86"/>
  <c r="AC74" i="86"/>
  <c r="N12" i="86"/>
  <c r="AF75" i="86" s="1"/>
  <c r="M13" i="86"/>
  <c r="AE76" i="86" s="1"/>
  <c r="L14" i="86"/>
  <c r="AD77" i="86" s="1"/>
  <c r="K15" i="86"/>
  <c r="AC78" i="86" s="1"/>
  <c r="O15" i="86"/>
  <c r="N16" i="86"/>
  <c r="AF79" i="86" s="1"/>
  <c r="M17" i="86"/>
  <c r="AE80" i="86" s="1"/>
  <c r="L18" i="86"/>
  <c r="AD81" i="86" s="1"/>
  <c r="K19" i="86"/>
  <c r="AC82" i="86" s="1"/>
  <c r="N20" i="86"/>
  <c r="AF83" i="86" s="1"/>
  <c r="M21" i="86"/>
  <c r="AE84" i="86" s="1"/>
  <c r="L22" i="86"/>
  <c r="AD85" i="86" s="1"/>
  <c r="K23" i="86"/>
  <c r="AC86" i="86" s="1"/>
  <c r="O23" i="86"/>
  <c r="L25" i="86"/>
  <c r="AD88" i="86" s="1"/>
  <c r="M26" i="86"/>
  <c r="AE89" i="86" s="1"/>
  <c r="L27" i="86"/>
  <c r="AD90" i="86" s="1"/>
  <c r="K28" i="86"/>
  <c r="O28" i="86"/>
  <c r="N29" i="86"/>
  <c r="AF92" i="86" s="1"/>
  <c r="AH31" i="86"/>
  <c r="M31" i="86"/>
  <c r="AE94" i="86" s="1"/>
  <c r="I13" i="86"/>
  <c r="E109" i="84"/>
  <c r="AS38" i="84" s="1"/>
  <c r="E142" i="84"/>
  <c r="AX38" i="84" s="1"/>
  <c r="D110" i="84"/>
  <c r="AR39" i="84" s="1"/>
  <c r="D143" i="84"/>
  <c r="AW39" i="84" s="1"/>
  <c r="H110" i="84"/>
  <c r="H143" i="84"/>
  <c r="G111" i="84"/>
  <c r="G144" i="84"/>
  <c r="AZ40" i="84" s="1"/>
  <c r="F112" i="84"/>
  <c r="AT41" i="84" s="1"/>
  <c r="F145" i="84"/>
  <c r="AY41" i="84" s="1"/>
  <c r="E113" i="84"/>
  <c r="AS42" i="84" s="1"/>
  <c r="E146" i="84"/>
  <c r="AX42" i="84" s="1"/>
  <c r="D114" i="84"/>
  <c r="AR43" i="84" s="1"/>
  <c r="D147" i="84"/>
  <c r="AW43" i="84" s="1"/>
  <c r="H114" i="84"/>
  <c r="H147" i="84"/>
  <c r="G115" i="84"/>
  <c r="G148" i="84"/>
  <c r="AZ44" i="84" s="1"/>
  <c r="F116" i="84"/>
  <c r="AT45" i="84" s="1"/>
  <c r="F149" i="84"/>
  <c r="AY45" i="84" s="1"/>
  <c r="E117" i="84"/>
  <c r="AS46" i="84" s="1"/>
  <c r="E150" i="84"/>
  <c r="AX46" i="84" s="1"/>
  <c r="D118" i="84"/>
  <c r="AR47" i="84" s="1"/>
  <c r="D151" i="84"/>
  <c r="AW47" i="84" s="1"/>
  <c r="H118" i="84"/>
  <c r="H151" i="84"/>
  <c r="G119" i="84"/>
  <c r="G152" i="84"/>
  <c r="AZ48" i="84" s="1"/>
  <c r="F120" i="84"/>
  <c r="AT49" i="84" s="1"/>
  <c r="F153" i="84"/>
  <c r="AY49" i="84" s="1"/>
  <c r="E121" i="84"/>
  <c r="AS50" i="84" s="1"/>
  <c r="E154" i="84"/>
  <c r="AX50" i="84" s="1"/>
  <c r="G122" i="84"/>
  <c r="G155" i="84"/>
  <c r="AZ51" i="84" s="1"/>
  <c r="F123" i="84"/>
  <c r="AT52" i="84" s="1"/>
  <c r="F156" i="84"/>
  <c r="AY52" i="84" s="1"/>
  <c r="G124" i="84"/>
  <c r="G157" i="84"/>
  <c r="AZ53" i="84" s="1"/>
  <c r="F125" i="84"/>
  <c r="AT54" i="84" s="1"/>
  <c r="F158" i="84"/>
  <c r="AY54" i="84" s="1"/>
  <c r="E126" i="84"/>
  <c r="AS55" i="84" s="1"/>
  <c r="E159" i="84"/>
  <c r="AX55" i="84" s="1"/>
  <c r="D127" i="84"/>
  <c r="AR56" i="84" s="1"/>
  <c r="D160" i="84"/>
  <c r="AW56" i="84" s="1"/>
  <c r="H127" i="84"/>
  <c r="H160" i="84"/>
  <c r="F109" i="84"/>
  <c r="AT38" i="84" s="1"/>
  <c r="F142" i="84"/>
  <c r="AY38" i="84" s="1"/>
  <c r="E110" i="84"/>
  <c r="AS39" i="84" s="1"/>
  <c r="E143" i="84"/>
  <c r="AX39" i="84" s="1"/>
  <c r="D111" i="84"/>
  <c r="AR40" i="84" s="1"/>
  <c r="D144" i="84"/>
  <c r="H111" i="84"/>
  <c r="H144" i="84"/>
  <c r="G112" i="84"/>
  <c r="AU41" i="84" s="1"/>
  <c r="G145" i="84"/>
  <c r="AZ41" i="84" s="1"/>
  <c r="F113" i="84"/>
  <c r="AT42" i="84" s="1"/>
  <c r="F146" i="84"/>
  <c r="AY42" i="84" s="1"/>
  <c r="E114" i="84"/>
  <c r="AS43" i="84" s="1"/>
  <c r="E147" i="84"/>
  <c r="AX43" i="84" s="1"/>
  <c r="D115" i="84"/>
  <c r="AR44" i="84" s="1"/>
  <c r="D148" i="84"/>
  <c r="AW44" i="84" s="1"/>
  <c r="H115" i="84"/>
  <c r="H148" i="84"/>
  <c r="G116" i="84"/>
  <c r="G149" i="84"/>
  <c r="AZ45" i="84" s="1"/>
  <c r="F117" i="84"/>
  <c r="AT46" i="84" s="1"/>
  <c r="F150" i="84"/>
  <c r="AY46" i="84" s="1"/>
  <c r="E118" i="84"/>
  <c r="AS47" i="84" s="1"/>
  <c r="E151" i="84"/>
  <c r="AX47" i="84" s="1"/>
  <c r="D119" i="84"/>
  <c r="AR48" i="84" s="1"/>
  <c r="D152" i="84"/>
  <c r="AW48" i="84" s="1"/>
  <c r="H119" i="84"/>
  <c r="H152" i="84"/>
  <c r="G120" i="84"/>
  <c r="G153" i="84"/>
  <c r="AZ49" i="84" s="1"/>
  <c r="F121" i="84"/>
  <c r="AT50" i="84" s="1"/>
  <c r="F154" i="84"/>
  <c r="AY50" i="84" s="1"/>
  <c r="D122" i="84"/>
  <c r="AR51" i="84" s="1"/>
  <c r="D155" i="84"/>
  <c r="AW51" i="84" s="1"/>
  <c r="H122" i="84"/>
  <c r="H155" i="84"/>
  <c r="G123" i="84"/>
  <c r="G156" i="84"/>
  <c r="AZ52" i="84" s="1"/>
  <c r="D124" i="84"/>
  <c r="AR53" i="84" s="1"/>
  <c r="D157" i="84"/>
  <c r="AW53" i="84" s="1"/>
  <c r="H124" i="84"/>
  <c r="H157" i="84"/>
  <c r="G125" i="84"/>
  <c r="G158" i="84"/>
  <c r="AZ54" i="84" s="1"/>
  <c r="F126" i="84"/>
  <c r="AT55" i="84" s="1"/>
  <c r="F159" i="84"/>
  <c r="AY55" i="84" s="1"/>
  <c r="E127" i="84"/>
  <c r="AS56" i="84" s="1"/>
  <c r="E160" i="84"/>
  <c r="AX56" i="84" s="1"/>
  <c r="G109" i="84"/>
  <c r="AU38" i="84" s="1"/>
  <c r="G142" i="84"/>
  <c r="AZ38" i="84" s="1"/>
  <c r="F110" i="84"/>
  <c r="AT39" i="84" s="1"/>
  <c r="F143" i="84"/>
  <c r="AY39" i="84" s="1"/>
  <c r="E111" i="84"/>
  <c r="E144" i="84"/>
  <c r="AX40" i="84" s="1"/>
  <c r="D112" i="84"/>
  <c r="AR41" i="84" s="1"/>
  <c r="D145" i="84"/>
  <c r="AW41" i="84" s="1"/>
  <c r="H112" i="84"/>
  <c r="H145" i="84"/>
  <c r="G113" i="84"/>
  <c r="G146" i="84"/>
  <c r="AZ42" i="84" s="1"/>
  <c r="F114" i="84"/>
  <c r="AT43" i="84" s="1"/>
  <c r="F147" i="84"/>
  <c r="AY43" i="84" s="1"/>
  <c r="E115" i="84"/>
  <c r="AS44" i="84" s="1"/>
  <c r="E148" i="84"/>
  <c r="AX44" i="84" s="1"/>
  <c r="D116" i="84"/>
  <c r="AR45" i="84" s="1"/>
  <c r="D149" i="84"/>
  <c r="AW45" i="84" s="1"/>
  <c r="H116" i="84"/>
  <c r="H149" i="84"/>
  <c r="G117" i="84"/>
  <c r="G150" i="84"/>
  <c r="AZ46" i="84" s="1"/>
  <c r="F118" i="84"/>
  <c r="AT47" i="84" s="1"/>
  <c r="F151" i="84"/>
  <c r="AY47" i="84" s="1"/>
  <c r="E119" i="84"/>
  <c r="AS48" i="84" s="1"/>
  <c r="E152" i="84"/>
  <c r="AX48" i="84" s="1"/>
  <c r="D120" i="84"/>
  <c r="AR49" i="84" s="1"/>
  <c r="D153" i="84"/>
  <c r="AW49" i="84" s="1"/>
  <c r="H120" i="84"/>
  <c r="H153" i="84"/>
  <c r="G121" i="84"/>
  <c r="G154" i="84"/>
  <c r="AZ50" i="84" s="1"/>
  <c r="E122" i="84"/>
  <c r="AS51" i="84" s="1"/>
  <c r="E155" i="84"/>
  <c r="AX51" i="84" s="1"/>
  <c r="D123" i="84"/>
  <c r="AR52" i="84" s="1"/>
  <c r="D156" i="84"/>
  <c r="AW52" i="84" s="1"/>
  <c r="H123" i="84"/>
  <c r="H156" i="84"/>
  <c r="E124" i="84"/>
  <c r="AS53" i="84" s="1"/>
  <c r="E157" i="84"/>
  <c r="AX53" i="84" s="1"/>
  <c r="D125" i="84"/>
  <c r="AR54" i="84" s="1"/>
  <c r="D158" i="84"/>
  <c r="AW54" i="84" s="1"/>
  <c r="H125" i="84"/>
  <c r="H158" i="84"/>
  <c r="G126" i="84"/>
  <c r="G159" i="84"/>
  <c r="AZ55" i="84" s="1"/>
  <c r="F127" i="84"/>
  <c r="AT56" i="84" s="1"/>
  <c r="F160" i="84"/>
  <c r="AY56" i="84" s="1"/>
  <c r="D109" i="84"/>
  <c r="AR38" i="84" s="1"/>
  <c r="D142" i="84"/>
  <c r="AW38" i="84" s="1"/>
  <c r="H109" i="84"/>
  <c r="H142" i="84"/>
  <c r="G110" i="84"/>
  <c r="AU39" i="84" s="1"/>
  <c r="G143" i="84"/>
  <c r="AZ39" i="84" s="1"/>
  <c r="F111" i="84"/>
  <c r="AT40" i="84" s="1"/>
  <c r="F144" i="84"/>
  <c r="E112" i="84"/>
  <c r="AS41" i="84" s="1"/>
  <c r="E145" i="84"/>
  <c r="AX41" i="84" s="1"/>
  <c r="D113" i="84"/>
  <c r="AR42" i="84" s="1"/>
  <c r="D146" i="84"/>
  <c r="AW42" i="84" s="1"/>
  <c r="H113" i="84"/>
  <c r="H146" i="84"/>
  <c r="G114" i="84"/>
  <c r="G147" i="84"/>
  <c r="AZ43" i="84" s="1"/>
  <c r="F115" i="84"/>
  <c r="AT44" i="84" s="1"/>
  <c r="F148" i="84"/>
  <c r="AY44" i="84" s="1"/>
  <c r="E116" i="84"/>
  <c r="AS45" i="84" s="1"/>
  <c r="E149" i="84"/>
  <c r="AX45" i="84" s="1"/>
  <c r="D117" i="84"/>
  <c r="AR46" i="84" s="1"/>
  <c r="D150" i="84"/>
  <c r="AW46" i="84" s="1"/>
  <c r="H117" i="84"/>
  <c r="H150" i="84"/>
  <c r="G118" i="84"/>
  <c r="G151" i="84"/>
  <c r="AZ47" i="84" s="1"/>
  <c r="F119" i="84"/>
  <c r="AT48" i="84" s="1"/>
  <c r="F152" i="84"/>
  <c r="AY48" i="84" s="1"/>
  <c r="E120" i="84"/>
  <c r="AS49" i="84" s="1"/>
  <c r="E153" i="84"/>
  <c r="AX49" i="84" s="1"/>
  <c r="D121" i="84"/>
  <c r="AR50" i="84" s="1"/>
  <c r="D154" i="84"/>
  <c r="AW50" i="84" s="1"/>
  <c r="H121" i="84"/>
  <c r="H154" i="84"/>
  <c r="E123" i="84"/>
  <c r="AS52" i="84" s="1"/>
  <c r="E156" i="84"/>
  <c r="AX52" i="84" s="1"/>
  <c r="F124" i="84"/>
  <c r="AT53" i="84" s="1"/>
  <c r="F157" i="84"/>
  <c r="AY53" i="84" s="1"/>
  <c r="E125" i="84"/>
  <c r="AS54" i="84" s="1"/>
  <c r="E158" i="84"/>
  <c r="AX54" i="84" s="1"/>
  <c r="D126" i="84"/>
  <c r="AR55" i="84" s="1"/>
  <c r="D159" i="84"/>
  <c r="AW55" i="84" s="1"/>
  <c r="H126" i="84"/>
  <c r="H159" i="84"/>
  <c r="G127" i="84"/>
  <c r="G160" i="84"/>
  <c r="AZ56" i="84" s="1"/>
  <c r="N11" i="84"/>
  <c r="AD11" i="84"/>
  <c r="M12" i="84"/>
  <c r="AC12" i="84"/>
  <c r="L13" i="84"/>
  <c r="AB13" i="84"/>
  <c r="K14" i="84"/>
  <c r="AA14" i="84"/>
  <c r="AE14" i="84"/>
  <c r="O14" i="84"/>
  <c r="N15" i="84"/>
  <c r="AD15" i="84"/>
  <c r="M16" i="84"/>
  <c r="AC16" i="84"/>
  <c r="L17" i="84"/>
  <c r="AB17" i="84"/>
  <c r="K18" i="84"/>
  <c r="AA18" i="84"/>
  <c r="AE18" i="84"/>
  <c r="O18" i="84"/>
  <c r="N19" i="84"/>
  <c r="AD19" i="84"/>
  <c r="M20" i="84"/>
  <c r="AC20" i="84"/>
  <c r="L21" i="84"/>
  <c r="AB21" i="84"/>
  <c r="K22" i="84"/>
  <c r="AA22" i="84"/>
  <c r="AE22" i="84"/>
  <c r="O22" i="84"/>
  <c r="N23" i="84"/>
  <c r="AD23" i="84"/>
  <c r="L24" i="84"/>
  <c r="AB24" i="84"/>
  <c r="K25" i="84"/>
  <c r="AA25" i="84"/>
  <c r="AE25" i="84"/>
  <c r="O25" i="84"/>
  <c r="L26" i="84"/>
  <c r="AB26" i="84"/>
  <c r="K27" i="84"/>
  <c r="AA27" i="84"/>
  <c r="AE27" i="84"/>
  <c r="N28" i="84"/>
  <c r="AD28" i="84"/>
  <c r="M29" i="84"/>
  <c r="AC29" i="84"/>
  <c r="M11" i="84"/>
  <c r="AC11" i="84"/>
  <c r="L12" i="84"/>
  <c r="AB12" i="84"/>
  <c r="K13" i="84"/>
  <c r="AA13" i="84"/>
  <c r="AE13" i="84"/>
  <c r="O13" i="84"/>
  <c r="N14" i="84"/>
  <c r="AD14" i="84"/>
  <c r="M15" i="84"/>
  <c r="AC15" i="84"/>
  <c r="L16" i="84"/>
  <c r="AB16" i="84"/>
  <c r="K17" i="84"/>
  <c r="AL44" i="84" s="1"/>
  <c r="AA17" i="84"/>
  <c r="AE17" i="84"/>
  <c r="O17" i="84"/>
  <c r="N18" i="84"/>
  <c r="AD18" i="84"/>
  <c r="M19" i="84"/>
  <c r="AC19" i="84"/>
  <c r="L20" i="84"/>
  <c r="AB20" i="84"/>
  <c r="K21" i="84"/>
  <c r="AL48" i="84" s="1"/>
  <c r="AA21" i="84"/>
  <c r="AE21" i="84"/>
  <c r="O21" i="84"/>
  <c r="N22" i="84"/>
  <c r="AD22" i="84"/>
  <c r="M23" i="84"/>
  <c r="AC23" i="84"/>
  <c r="K24" i="84"/>
  <c r="AL51" i="84" s="1"/>
  <c r="AA24" i="84"/>
  <c r="AE24" i="84"/>
  <c r="O24" i="84"/>
  <c r="N25" i="84"/>
  <c r="AD25" i="84"/>
  <c r="K26" i="84"/>
  <c r="AL53" i="84" s="1"/>
  <c r="AA26" i="84"/>
  <c r="AE26" i="84"/>
  <c r="O26" i="84"/>
  <c r="N27" i="84"/>
  <c r="AD27" i="84"/>
  <c r="M28" i="84"/>
  <c r="AC28" i="84"/>
  <c r="L29" i="84"/>
  <c r="AB29" i="84"/>
  <c r="Q30" i="84"/>
  <c r="K11" i="84"/>
  <c r="AE11" i="84"/>
  <c r="O11" i="84"/>
  <c r="N12" i="84"/>
  <c r="AD12" i="84"/>
  <c r="M13" i="84"/>
  <c r="AC13" i="84"/>
  <c r="L14" i="84"/>
  <c r="AB14" i="84"/>
  <c r="K15" i="84"/>
  <c r="AA15" i="84"/>
  <c r="AE15" i="84"/>
  <c r="O15" i="84"/>
  <c r="N16" i="84"/>
  <c r="AD16" i="84"/>
  <c r="M17" i="84"/>
  <c r="AC17" i="84"/>
  <c r="L18" i="84"/>
  <c r="AB18" i="84"/>
  <c r="K19" i="84"/>
  <c r="AA19" i="84"/>
  <c r="AE19" i="84"/>
  <c r="O19" i="84"/>
  <c r="N20" i="84"/>
  <c r="AD20" i="84"/>
  <c r="M21" i="84"/>
  <c r="AC21" i="84"/>
  <c r="L22" i="84"/>
  <c r="AB22" i="84"/>
  <c r="K23" i="84"/>
  <c r="AA23" i="84"/>
  <c r="AE23" i="84"/>
  <c r="O23" i="84"/>
  <c r="L25" i="84"/>
  <c r="AB25" i="84"/>
  <c r="M26" i="84"/>
  <c r="AC26" i="84"/>
  <c r="L27" i="84"/>
  <c r="AB27" i="84"/>
  <c r="K28" i="84"/>
  <c r="AA28" i="84"/>
  <c r="AE28" i="84"/>
  <c r="O28" i="84"/>
  <c r="N29" i="84"/>
  <c r="AD29" i="84"/>
  <c r="L11" i="84"/>
  <c r="AB11" i="84"/>
  <c r="K12" i="84"/>
  <c r="AL39" i="84" s="1"/>
  <c r="AA12" i="84"/>
  <c r="AE12" i="84"/>
  <c r="O12" i="84"/>
  <c r="N13" i="84"/>
  <c r="AD13" i="84"/>
  <c r="M14" i="84"/>
  <c r="AN41" i="84" s="1"/>
  <c r="AC14" i="84"/>
  <c r="L15" i="84"/>
  <c r="AB15" i="84"/>
  <c r="K16" i="84"/>
  <c r="AL43" i="84" s="1"/>
  <c r="AA16" i="84"/>
  <c r="AE16" i="84"/>
  <c r="O16" i="84"/>
  <c r="N17" i="84"/>
  <c r="AD17" i="84"/>
  <c r="M18" i="84"/>
  <c r="AC18" i="84"/>
  <c r="L19" i="84"/>
  <c r="AB19" i="84"/>
  <c r="K20" i="84"/>
  <c r="AA20" i="84"/>
  <c r="AE20" i="84"/>
  <c r="O20" i="84"/>
  <c r="N21" i="84"/>
  <c r="AD21" i="84"/>
  <c r="M22" i="84"/>
  <c r="AC22" i="84"/>
  <c r="L23" i="84"/>
  <c r="AB23" i="84"/>
  <c r="N24" i="84"/>
  <c r="AD24" i="84"/>
  <c r="M25" i="84"/>
  <c r="AC25" i="84"/>
  <c r="N26" i="84"/>
  <c r="AD26" i="84"/>
  <c r="M27" i="84"/>
  <c r="AC27" i="84"/>
  <c r="L28" i="84"/>
  <c r="AB28" i="84"/>
  <c r="AA29" i="84"/>
  <c r="AE29" i="84"/>
  <c r="O29" i="84"/>
  <c r="H318" i="83"/>
  <c r="AE15" i="83"/>
  <c r="H326" i="83"/>
  <c r="AE23" i="83"/>
  <c r="H331" i="83"/>
  <c r="H316" i="83"/>
  <c r="AE13" i="83"/>
  <c r="H320" i="83"/>
  <c r="AE17" i="83"/>
  <c r="H324" i="83"/>
  <c r="AE21" i="83"/>
  <c r="H327" i="83"/>
  <c r="AE25" i="83"/>
  <c r="H329" i="83"/>
  <c r="AE27" i="83"/>
  <c r="H334" i="83"/>
  <c r="AE31" i="83"/>
  <c r="H317" i="83"/>
  <c r="AE14" i="83"/>
  <c r="H321" i="83"/>
  <c r="AE18" i="83"/>
  <c r="H325" i="83"/>
  <c r="AE22" i="83"/>
  <c r="H328" i="83"/>
  <c r="AE26" i="83"/>
  <c r="H330" i="83"/>
  <c r="AE28" i="83"/>
  <c r="H314" i="83"/>
  <c r="AE11" i="83"/>
  <c r="H322" i="83"/>
  <c r="AE19" i="83"/>
  <c r="H315" i="83"/>
  <c r="AE12" i="83"/>
  <c r="H319" i="83"/>
  <c r="AE16" i="83"/>
  <c r="H323" i="83"/>
  <c r="AE20" i="83"/>
  <c r="H332" i="83"/>
  <c r="AE29" i="83"/>
  <c r="G315" i="83"/>
  <c r="AD12" i="83"/>
  <c r="G317" i="83"/>
  <c r="AD14" i="83"/>
  <c r="G321" i="83"/>
  <c r="AD18" i="83"/>
  <c r="G325" i="83"/>
  <c r="AD22" i="83"/>
  <c r="G328" i="83"/>
  <c r="AD25" i="83"/>
  <c r="G330" i="83"/>
  <c r="AD27" i="83"/>
  <c r="G314" i="83"/>
  <c r="AD11" i="83"/>
  <c r="G318" i="83"/>
  <c r="AD15" i="83"/>
  <c r="G322" i="83"/>
  <c r="AD19" i="83"/>
  <c r="G326" i="83"/>
  <c r="AD23" i="83"/>
  <c r="G331" i="83"/>
  <c r="AD28" i="83"/>
  <c r="G319" i="83"/>
  <c r="AD16" i="83"/>
  <c r="G323" i="83"/>
  <c r="AD20" i="83"/>
  <c r="G332" i="83"/>
  <c r="AD29" i="83"/>
  <c r="G316" i="83"/>
  <c r="AD13" i="83"/>
  <c r="G320" i="83"/>
  <c r="AD17" i="83"/>
  <c r="G324" i="83"/>
  <c r="AD21" i="83"/>
  <c r="G327" i="83"/>
  <c r="AD24" i="83"/>
  <c r="G329" i="83"/>
  <c r="AD26" i="83"/>
  <c r="G334" i="83"/>
  <c r="AD31" i="83"/>
  <c r="F318" i="83"/>
  <c r="AC15" i="83"/>
  <c r="F322" i="83"/>
  <c r="AC19" i="83"/>
  <c r="F331" i="83"/>
  <c r="AC28" i="83"/>
  <c r="F315" i="83"/>
  <c r="AC12" i="83"/>
  <c r="F319" i="83"/>
  <c r="AC16" i="83"/>
  <c r="F323" i="83"/>
  <c r="AC20" i="83"/>
  <c r="F332" i="83"/>
  <c r="AC29" i="83"/>
  <c r="F314" i="83"/>
  <c r="AC11" i="83"/>
  <c r="F326" i="83"/>
  <c r="AC23" i="83"/>
  <c r="F316" i="83"/>
  <c r="AC13" i="83"/>
  <c r="F320" i="83"/>
  <c r="AC17" i="83"/>
  <c r="F324" i="83"/>
  <c r="AC21" i="83"/>
  <c r="F329" i="83"/>
  <c r="AC26" i="83"/>
  <c r="F334" i="83"/>
  <c r="AC31" i="83"/>
  <c r="F317" i="83"/>
  <c r="AC14" i="83"/>
  <c r="F321" i="83"/>
  <c r="AC18" i="83"/>
  <c r="F325" i="83"/>
  <c r="AC22" i="83"/>
  <c r="F328" i="83"/>
  <c r="AC25" i="83"/>
  <c r="F330" i="83"/>
  <c r="AC27" i="83"/>
  <c r="E319" i="83"/>
  <c r="AB16" i="83"/>
  <c r="E323" i="83"/>
  <c r="AB20" i="83"/>
  <c r="E332" i="83"/>
  <c r="AB29" i="83"/>
  <c r="E316" i="83"/>
  <c r="AB13" i="83"/>
  <c r="E320" i="83"/>
  <c r="AB17" i="83"/>
  <c r="E324" i="83"/>
  <c r="AB21" i="83"/>
  <c r="E327" i="83"/>
  <c r="AB24" i="83"/>
  <c r="E329" i="83"/>
  <c r="AB26" i="83"/>
  <c r="E334" i="83"/>
  <c r="AB31" i="83"/>
  <c r="E315" i="83"/>
  <c r="AB12" i="83"/>
  <c r="E317" i="83"/>
  <c r="AB14" i="83"/>
  <c r="E321" i="83"/>
  <c r="AB18" i="83"/>
  <c r="E325" i="83"/>
  <c r="AB22" i="83"/>
  <c r="E328" i="83"/>
  <c r="AB25" i="83"/>
  <c r="E330" i="83"/>
  <c r="AB27" i="83"/>
  <c r="E314" i="83"/>
  <c r="AB11" i="83"/>
  <c r="E318" i="83"/>
  <c r="AB15" i="83"/>
  <c r="E322" i="83"/>
  <c r="AB19" i="83"/>
  <c r="E326" i="83"/>
  <c r="AB23" i="83"/>
  <c r="E331" i="83"/>
  <c r="AB28" i="83"/>
  <c r="D320" i="83"/>
  <c r="AA17" i="83"/>
  <c r="D329" i="83"/>
  <c r="AA26" i="83"/>
  <c r="D334" i="83"/>
  <c r="AA31" i="83"/>
  <c r="D317" i="83"/>
  <c r="AA14" i="83"/>
  <c r="D321" i="83"/>
  <c r="AA18" i="83"/>
  <c r="D325" i="83"/>
  <c r="AA22" i="83"/>
  <c r="D328" i="83"/>
  <c r="AA25" i="83"/>
  <c r="D330" i="83"/>
  <c r="AA327" i="83" s="1"/>
  <c r="AA27" i="83"/>
  <c r="D316" i="83"/>
  <c r="AA13" i="83"/>
  <c r="D324" i="83"/>
  <c r="AA321" i="83" s="1"/>
  <c r="AA21" i="83"/>
  <c r="D327" i="83"/>
  <c r="AA324" i="83" s="1"/>
  <c r="AA24" i="83"/>
  <c r="D318" i="83"/>
  <c r="AA315" i="83" s="1"/>
  <c r="AA15" i="83"/>
  <c r="D322" i="83"/>
  <c r="AA319" i="83" s="1"/>
  <c r="AA19" i="83"/>
  <c r="D326" i="83"/>
  <c r="AA23" i="83"/>
  <c r="D331" i="83"/>
  <c r="AA328" i="83" s="1"/>
  <c r="AA28" i="83"/>
  <c r="D315" i="83"/>
  <c r="AA312" i="83" s="1"/>
  <c r="AA12" i="83"/>
  <c r="D319" i="83"/>
  <c r="AA316" i="83" s="1"/>
  <c r="AA16" i="83"/>
  <c r="D323" i="83"/>
  <c r="AA320" i="83" s="1"/>
  <c r="AA20" i="83"/>
  <c r="D332" i="83"/>
  <c r="AA29" i="83"/>
  <c r="I14" i="86"/>
  <c r="AM13" i="84"/>
  <c r="AK15" i="84"/>
  <c r="AM17" i="84"/>
  <c r="AK19" i="84"/>
  <c r="AM21" i="84"/>
  <c r="AK23" i="84"/>
  <c r="AL25" i="84"/>
  <c r="AM26" i="84"/>
  <c r="AK28" i="84"/>
  <c r="AN29" i="84"/>
  <c r="AN11" i="84"/>
  <c r="AM12" i="84"/>
  <c r="AL13" i="84"/>
  <c r="AK14" i="84"/>
  <c r="AN15" i="84"/>
  <c r="AM16" i="84"/>
  <c r="AL17" i="84"/>
  <c r="AK18" i="84"/>
  <c r="AN19" i="84"/>
  <c r="AM20" i="84"/>
  <c r="AL21" i="84"/>
  <c r="AK22" i="84"/>
  <c r="AN23" i="84"/>
  <c r="AK25" i="84"/>
  <c r="AL26" i="84"/>
  <c r="AK27" i="84"/>
  <c r="AN28" i="84"/>
  <c r="AM29" i="84"/>
  <c r="AL11" i="84"/>
  <c r="AK12" i="84"/>
  <c r="AN13" i="84"/>
  <c r="AM14" i="84"/>
  <c r="AL15" i="84"/>
  <c r="AK16" i="84"/>
  <c r="AN17" i="84"/>
  <c r="AM18" i="84"/>
  <c r="AL19" i="84"/>
  <c r="AK20" i="84"/>
  <c r="AN21" i="84"/>
  <c r="AM22" i="84"/>
  <c r="AL23" i="84"/>
  <c r="AN24" i="84"/>
  <c r="AM25" i="84"/>
  <c r="AN26" i="84"/>
  <c r="AM27" i="84"/>
  <c r="AL28" i="84"/>
  <c r="AK29" i="84"/>
  <c r="AK11" i="84"/>
  <c r="AN12" i="84"/>
  <c r="AL14" i="84"/>
  <c r="AN16" i="84"/>
  <c r="AL18" i="84"/>
  <c r="AN20" i="84"/>
  <c r="AL22" i="84"/>
  <c r="AL27" i="84"/>
  <c r="D142" i="83"/>
  <c r="AM11" i="84"/>
  <c r="AL12" i="84"/>
  <c r="AK13" i="84"/>
  <c r="AN14" i="84"/>
  <c r="AM15" i="84"/>
  <c r="AL16" i="84"/>
  <c r="AK17" i="84"/>
  <c r="AN18" i="84"/>
  <c r="AM19" i="84"/>
  <c r="AL20" i="84"/>
  <c r="AK21" i="84"/>
  <c r="AN22" i="84"/>
  <c r="AM23" i="84"/>
  <c r="AK24" i="84"/>
  <c r="AN25" i="84"/>
  <c r="AK26" i="84"/>
  <c r="AN27" i="84"/>
  <c r="AM28" i="84"/>
  <c r="AL29" i="84"/>
  <c r="AH185" i="83"/>
  <c r="Q187" i="83" s="1"/>
  <c r="K105" i="76" s="1"/>
  <c r="AH193" i="83"/>
  <c r="Q195" i="83" s="1"/>
  <c r="S105" i="76" s="1"/>
  <c r="AH196" i="83"/>
  <c r="Q198" i="83" s="1"/>
  <c r="V105" i="76" s="1"/>
  <c r="AH190" i="83"/>
  <c r="Q192" i="83" s="1"/>
  <c r="P105" i="76" s="1"/>
  <c r="X147" i="83"/>
  <c r="X151" i="83"/>
  <c r="X155" i="83"/>
  <c r="X150" i="83"/>
  <c r="X154" i="83"/>
  <c r="X159" i="83"/>
  <c r="Q200" i="83"/>
  <c r="Q31" i="83"/>
  <c r="Q30" i="83"/>
  <c r="X161" i="83"/>
  <c r="AH183" i="83"/>
  <c r="Q185" i="83" s="1"/>
  <c r="I105" i="76" s="1"/>
  <c r="AH189" i="83"/>
  <c r="Q191" i="83" s="1"/>
  <c r="O105" i="76" s="1"/>
  <c r="AH179" i="83"/>
  <c r="Q181" i="83" s="1"/>
  <c r="E105" i="76" s="1"/>
  <c r="AH192" i="83"/>
  <c r="Q194" i="83" s="1"/>
  <c r="R105" i="76" s="1"/>
  <c r="AH194" i="83"/>
  <c r="Q196" i="83" s="1"/>
  <c r="T105" i="76" s="1"/>
  <c r="AH186" i="83"/>
  <c r="Q188" i="83" s="1"/>
  <c r="L105" i="76" s="1"/>
  <c r="AH188" i="83"/>
  <c r="Q190" i="83" s="1"/>
  <c r="N105" i="76" s="1"/>
  <c r="AH184" i="83"/>
  <c r="Q186" i="83" s="1"/>
  <c r="J105" i="76" s="1"/>
  <c r="AH191" i="83"/>
  <c r="Q193" i="83" s="1"/>
  <c r="Q105" i="76" s="1"/>
  <c r="AH182" i="83"/>
  <c r="Q184" i="83" s="1"/>
  <c r="H105" i="76" s="1"/>
  <c r="AH180" i="83"/>
  <c r="Q182" i="83" s="1"/>
  <c r="F105" i="76" s="1"/>
  <c r="AH187" i="83"/>
  <c r="Q189" i="83" s="1"/>
  <c r="M105" i="76" s="1"/>
  <c r="AH181" i="83"/>
  <c r="Q183" i="83" s="1"/>
  <c r="G105" i="76" s="1"/>
  <c r="X145" i="83"/>
  <c r="X149" i="83"/>
  <c r="X156" i="83"/>
  <c r="X162" i="83"/>
  <c r="AN205" i="83"/>
  <c r="AL205" i="83"/>
  <c r="AM205" i="83"/>
  <c r="AO205" i="83"/>
  <c r="AP205" i="83"/>
  <c r="AM209" i="83"/>
  <c r="AP209" i="83"/>
  <c r="AO209" i="83"/>
  <c r="AL209" i="83"/>
  <c r="AN209" i="83"/>
  <c r="AP213" i="83"/>
  <c r="AN213" i="83"/>
  <c r="AM213" i="83"/>
  <c r="AO213" i="83"/>
  <c r="AL213" i="83"/>
  <c r="AL217" i="83"/>
  <c r="AP217" i="83"/>
  <c r="T190" i="83"/>
  <c r="AN217" i="83"/>
  <c r="AO217" i="83"/>
  <c r="AM217" i="83"/>
  <c r="AN220" i="83"/>
  <c r="AP220" i="83"/>
  <c r="AL220" i="83"/>
  <c r="AO220" i="83"/>
  <c r="AM220" i="83"/>
  <c r="AO226" i="83"/>
  <c r="AM226" i="83"/>
  <c r="AL226" i="83"/>
  <c r="AN226" i="83"/>
  <c r="AP226" i="83"/>
  <c r="AN207" i="83"/>
  <c r="AL207" i="83"/>
  <c r="AM207" i="83"/>
  <c r="AP207" i="83"/>
  <c r="AO207" i="83"/>
  <c r="AN211" i="83"/>
  <c r="AP211" i="83"/>
  <c r="AM211" i="83"/>
  <c r="AL211" i="83"/>
  <c r="AO211" i="83"/>
  <c r="AN215" i="83"/>
  <c r="AM215" i="83"/>
  <c r="AP215" i="83"/>
  <c r="AO215" i="83"/>
  <c r="AL215" i="83"/>
  <c r="AL218" i="83"/>
  <c r="AO218" i="83"/>
  <c r="AP218" i="83"/>
  <c r="AM218" i="83"/>
  <c r="AL222" i="83"/>
  <c r="AN222" i="83"/>
  <c r="AP222" i="83"/>
  <c r="AM222" i="83"/>
  <c r="AO222" i="83"/>
  <c r="AP206" i="83"/>
  <c r="AM206" i="83"/>
  <c r="AO206" i="83"/>
  <c r="AN206" i="83"/>
  <c r="AL206" i="83"/>
  <c r="AM208" i="83"/>
  <c r="AP208" i="83"/>
  <c r="AN208" i="83"/>
  <c r="AL208" i="83"/>
  <c r="AO208" i="83"/>
  <c r="AO210" i="83"/>
  <c r="AM210" i="83"/>
  <c r="AL210" i="83"/>
  <c r="AN210" i="83"/>
  <c r="AP210" i="83"/>
  <c r="AM212" i="83"/>
  <c r="AN212" i="83"/>
  <c r="AP212" i="83"/>
  <c r="AO212" i="83"/>
  <c r="AL212" i="83"/>
  <c r="AO214" i="83"/>
  <c r="AP214" i="83"/>
  <c r="AL214" i="83"/>
  <c r="AN214" i="83"/>
  <c r="AM214" i="83"/>
  <c r="AM216" i="83"/>
  <c r="AO216" i="83"/>
  <c r="AN216" i="83"/>
  <c r="AP216" i="83"/>
  <c r="AL216" i="83"/>
  <c r="AM219" i="83"/>
  <c r="AN219" i="83"/>
  <c r="AP219" i="83"/>
  <c r="AL219" i="83"/>
  <c r="AO219" i="83"/>
  <c r="AM221" i="83"/>
  <c r="AP221" i="83"/>
  <c r="AN221" i="83"/>
  <c r="AL221" i="83"/>
  <c r="AO221" i="83"/>
  <c r="AM223" i="83"/>
  <c r="AN223" i="83"/>
  <c r="AO223" i="83"/>
  <c r="AL223" i="83"/>
  <c r="AP223" i="83"/>
  <c r="AM225" i="83"/>
  <c r="AO225" i="83"/>
  <c r="AL225" i="83"/>
  <c r="AP225" i="83"/>
  <c r="AN225" i="83"/>
  <c r="F142" i="83"/>
  <c r="AY38" i="83" s="1"/>
  <c r="F109" i="83"/>
  <c r="E143" i="83"/>
  <c r="E110" i="83"/>
  <c r="K13" i="83"/>
  <c r="AL40" i="83" s="1"/>
  <c r="D111" i="83"/>
  <c r="D144" i="83"/>
  <c r="H111" i="83"/>
  <c r="H144" i="83"/>
  <c r="G112" i="83"/>
  <c r="G145" i="83"/>
  <c r="F146" i="83"/>
  <c r="F113" i="83"/>
  <c r="E114" i="83"/>
  <c r="E147" i="83"/>
  <c r="K17" i="83"/>
  <c r="D115" i="83"/>
  <c r="D148" i="83"/>
  <c r="AW44" i="83" s="1"/>
  <c r="H115" i="83"/>
  <c r="H148" i="83"/>
  <c r="G149" i="83"/>
  <c r="AZ45" i="83" s="1"/>
  <c r="G116" i="83"/>
  <c r="F117" i="83"/>
  <c r="F150" i="83"/>
  <c r="E118" i="83"/>
  <c r="E151" i="83"/>
  <c r="K21" i="83"/>
  <c r="AL48" i="83" s="1"/>
  <c r="D119" i="83"/>
  <c r="D152" i="83"/>
  <c r="AW48" i="83" s="1"/>
  <c r="H152" i="83"/>
  <c r="H119" i="83"/>
  <c r="G120" i="83"/>
  <c r="G153" i="83"/>
  <c r="AZ49" i="83" s="1"/>
  <c r="F121" i="83"/>
  <c r="F154" i="83"/>
  <c r="K24" i="83"/>
  <c r="AL51" i="83" s="1"/>
  <c r="D155" i="83"/>
  <c r="D122" i="83"/>
  <c r="H122" i="83"/>
  <c r="H155" i="83"/>
  <c r="G123" i="83"/>
  <c r="G156" i="83"/>
  <c r="AZ52" i="83" s="1"/>
  <c r="K26" i="83"/>
  <c r="AL53" i="83" s="1"/>
  <c r="D124" i="83"/>
  <c r="D157" i="83"/>
  <c r="H124" i="83"/>
  <c r="H157" i="83"/>
  <c r="G125" i="83"/>
  <c r="G158" i="83"/>
  <c r="F159" i="83"/>
  <c r="F126" i="83"/>
  <c r="E127" i="83"/>
  <c r="E160" i="83"/>
  <c r="K31" i="83"/>
  <c r="AL58" i="83" s="1"/>
  <c r="D129" i="83"/>
  <c r="AR58" i="83" s="1"/>
  <c r="D162" i="83"/>
  <c r="H129" i="83"/>
  <c r="H162" i="83"/>
  <c r="G142" i="83"/>
  <c r="G109" i="83"/>
  <c r="AL12" i="83"/>
  <c r="F110" i="83"/>
  <c r="F143" i="83"/>
  <c r="AK13" i="83"/>
  <c r="E144" i="83"/>
  <c r="E111" i="83"/>
  <c r="D112" i="83"/>
  <c r="D145" i="83"/>
  <c r="AW41" i="83" s="1"/>
  <c r="H112" i="83"/>
  <c r="H145" i="83"/>
  <c r="AM15" i="83"/>
  <c r="G113" i="83"/>
  <c r="G146" i="83"/>
  <c r="AZ42" i="83" s="1"/>
  <c r="AL16" i="83"/>
  <c r="F147" i="83"/>
  <c r="AY43" i="83" s="1"/>
  <c r="F114" i="83"/>
  <c r="E115" i="83"/>
  <c r="E148" i="83"/>
  <c r="D116" i="83"/>
  <c r="D149" i="83"/>
  <c r="AW45" i="83" s="1"/>
  <c r="H116" i="83"/>
  <c r="H149" i="83"/>
  <c r="AM19" i="83"/>
  <c r="G150" i="83"/>
  <c r="G117" i="83"/>
  <c r="AL20" i="83"/>
  <c r="F151" i="83"/>
  <c r="AY47" i="83" s="1"/>
  <c r="F118" i="83"/>
  <c r="AK21" i="83"/>
  <c r="E119" i="83"/>
  <c r="E152" i="83"/>
  <c r="D120" i="83"/>
  <c r="D153" i="83"/>
  <c r="H153" i="83"/>
  <c r="H120" i="83"/>
  <c r="AM23" i="83"/>
  <c r="G121" i="83"/>
  <c r="G154" i="83"/>
  <c r="E122" i="83"/>
  <c r="E155" i="83"/>
  <c r="D156" i="83"/>
  <c r="AW52" i="83" s="1"/>
  <c r="D123" i="83"/>
  <c r="H156" i="83"/>
  <c r="H123" i="83"/>
  <c r="E157" i="83"/>
  <c r="AX53" i="83" s="1"/>
  <c r="E124" i="83"/>
  <c r="D125" i="83"/>
  <c r="D158" i="83"/>
  <c r="H125" i="83"/>
  <c r="H158" i="83"/>
  <c r="G126" i="83"/>
  <c r="G159" i="83"/>
  <c r="F160" i="83"/>
  <c r="F127" i="83"/>
  <c r="AT56" i="83" s="1"/>
  <c r="AK31" i="83"/>
  <c r="E129" i="83"/>
  <c r="E162" i="83"/>
  <c r="H142" i="83"/>
  <c r="H109" i="83"/>
  <c r="G110" i="83"/>
  <c r="G143" i="83"/>
  <c r="AZ39" i="83" s="1"/>
  <c r="F111" i="83"/>
  <c r="F144" i="83"/>
  <c r="E112" i="83"/>
  <c r="E145" i="83"/>
  <c r="AX41" i="83" s="1"/>
  <c r="K15" i="83"/>
  <c r="AL42" i="83" s="1"/>
  <c r="D113" i="83"/>
  <c r="D146" i="83"/>
  <c r="AW42" i="83" s="1"/>
  <c r="H113" i="83"/>
  <c r="H146" i="83"/>
  <c r="G114" i="83"/>
  <c r="G147" i="83"/>
  <c r="F115" i="83"/>
  <c r="F148" i="83"/>
  <c r="E116" i="83"/>
  <c r="E149" i="83"/>
  <c r="K19" i="83"/>
  <c r="D117" i="83"/>
  <c r="D150" i="83"/>
  <c r="H117" i="83"/>
  <c r="H150" i="83"/>
  <c r="G118" i="83"/>
  <c r="G151" i="83"/>
  <c r="F119" i="83"/>
  <c r="F152" i="83"/>
  <c r="E120" i="83"/>
  <c r="E153" i="83"/>
  <c r="AX49" i="83" s="1"/>
  <c r="K23" i="83"/>
  <c r="AL50" i="83" s="1"/>
  <c r="D121" i="83"/>
  <c r="D154" i="83"/>
  <c r="H121" i="83"/>
  <c r="H154" i="83"/>
  <c r="E123" i="83"/>
  <c r="E156" i="83"/>
  <c r="F124" i="83"/>
  <c r="F157" i="83"/>
  <c r="AY53" i="83" s="1"/>
  <c r="E125" i="83"/>
  <c r="E158" i="83"/>
  <c r="AX54" i="83" s="1"/>
  <c r="D126" i="83"/>
  <c r="H126" i="83"/>
  <c r="H159" i="83"/>
  <c r="G127" i="83"/>
  <c r="G160" i="83"/>
  <c r="F162" i="83"/>
  <c r="F129" i="83"/>
  <c r="E109" i="83"/>
  <c r="E142" i="83"/>
  <c r="AX38" i="83" s="1"/>
  <c r="D143" i="83"/>
  <c r="D110" i="83"/>
  <c r="H110" i="83"/>
  <c r="H143" i="83"/>
  <c r="AM13" i="83"/>
  <c r="G111" i="83"/>
  <c r="G144" i="83"/>
  <c r="F112" i="83"/>
  <c r="F145" i="83"/>
  <c r="AY41" i="83" s="1"/>
  <c r="AK15" i="83"/>
  <c r="E146" i="83"/>
  <c r="AX42" i="83" s="1"/>
  <c r="E113" i="83"/>
  <c r="D114" i="83"/>
  <c r="D147" i="83"/>
  <c r="AW43" i="83" s="1"/>
  <c r="H147" i="83"/>
  <c r="H114" i="83"/>
  <c r="AM17" i="83"/>
  <c r="G148" i="83"/>
  <c r="G115" i="83"/>
  <c r="F149" i="83"/>
  <c r="AY45" i="83" s="1"/>
  <c r="F116" i="83"/>
  <c r="AK19" i="83"/>
  <c r="E117" i="83"/>
  <c r="E150" i="83"/>
  <c r="D151" i="83"/>
  <c r="D118" i="83"/>
  <c r="H118" i="83"/>
  <c r="H151" i="83"/>
  <c r="AM21" i="83"/>
  <c r="G152" i="83"/>
  <c r="G119" i="83"/>
  <c r="F120" i="83"/>
  <c r="F153" i="83"/>
  <c r="AK23" i="83"/>
  <c r="E154" i="83"/>
  <c r="E121" i="83"/>
  <c r="G122" i="83"/>
  <c r="G155" i="83"/>
  <c r="F156" i="83"/>
  <c r="AY52" i="83" s="1"/>
  <c r="F123" i="83"/>
  <c r="AM26" i="83"/>
  <c r="G124" i="83"/>
  <c r="G157" i="83"/>
  <c r="F158" i="83"/>
  <c r="F125" i="83"/>
  <c r="AK28" i="83"/>
  <c r="E159" i="83"/>
  <c r="E126" i="83"/>
  <c r="D127" i="83"/>
  <c r="D160" i="83"/>
  <c r="AW56" i="83" s="1"/>
  <c r="H160" i="83"/>
  <c r="H127" i="83"/>
  <c r="G162" i="83"/>
  <c r="AZ58" i="83" s="1"/>
  <c r="G129" i="83"/>
  <c r="AN22" i="83"/>
  <c r="AN27" i="83"/>
  <c r="AL29" i="83"/>
  <c r="K11" i="83"/>
  <c r="AL38" i="83" s="1"/>
  <c r="D109" i="83"/>
  <c r="AN11" i="83"/>
  <c r="N12" i="83"/>
  <c r="AS12" i="83" s="1"/>
  <c r="AM12" i="83"/>
  <c r="M13" i="83"/>
  <c r="AR13" i="83" s="1"/>
  <c r="AL13" i="83"/>
  <c r="L14" i="83"/>
  <c r="AQ14" i="83" s="1"/>
  <c r="AK14" i="83"/>
  <c r="AN15" i="83"/>
  <c r="N16" i="83"/>
  <c r="AS16" i="83" s="1"/>
  <c r="AM16" i="83"/>
  <c r="AL17" i="83"/>
  <c r="L18" i="83"/>
  <c r="AQ18" i="83" s="1"/>
  <c r="AK18" i="83"/>
  <c r="AN19" i="83"/>
  <c r="N20" i="83"/>
  <c r="AS20" i="83" s="1"/>
  <c r="AM20" i="83"/>
  <c r="M21" i="83"/>
  <c r="AR21" i="83" s="1"/>
  <c r="AL21" i="83"/>
  <c r="L22" i="83"/>
  <c r="AQ22" i="83" s="1"/>
  <c r="AK22" i="83"/>
  <c r="AN23" i="83"/>
  <c r="L25" i="83"/>
  <c r="AQ25" i="83" s="1"/>
  <c r="AK25" i="83"/>
  <c r="M26" i="83"/>
  <c r="AR26" i="83" s="1"/>
  <c r="AL26" i="83"/>
  <c r="L27" i="83"/>
  <c r="AM54" i="83" s="1"/>
  <c r="AK27" i="83"/>
  <c r="AN28" i="83"/>
  <c r="N29" i="83"/>
  <c r="AS29" i="83" s="1"/>
  <c r="AM29" i="83"/>
  <c r="AL31" i="83"/>
  <c r="AM11" i="83"/>
  <c r="L26" i="83"/>
  <c r="AQ26" i="83" s="1"/>
  <c r="AK26" i="83"/>
  <c r="N28" i="83"/>
  <c r="AS28" i="83" s="1"/>
  <c r="AM28" i="83"/>
  <c r="L11" i="83"/>
  <c r="AQ11" i="83" s="1"/>
  <c r="AK11" i="83"/>
  <c r="AN12" i="83"/>
  <c r="AL14" i="83"/>
  <c r="AN16" i="83"/>
  <c r="AL18" i="83"/>
  <c r="AN20" i="83"/>
  <c r="AL22" i="83"/>
  <c r="AL25" i="83"/>
  <c r="AL27" i="83"/>
  <c r="AN29" i="83"/>
  <c r="N31" i="83"/>
  <c r="AS31" i="83" s="1"/>
  <c r="AM31" i="83"/>
  <c r="AN14" i="83"/>
  <c r="L17" i="83"/>
  <c r="AM44" i="83" s="1"/>
  <c r="AK17" i="83"/>
  <c r="AN18" i="83"/>
  <c r="L24" i="83"/>
  <c r="AQ24" i="83" s="1"/>
  <c r="AK24" i="83"/>
  <c r="AN25" i="83"/>
  <c r="M11" i="83"/>
  <c r="AR11" i="83" s="1"/>
  <c r="AL11" i="83"/>
  <c r="L12" i="83"/>
  <c r="AQ12" i="83" s="1"/>
  <c r="AK12" i="83"/>
  <c r="AN13" i="83"/>
  <c r="N14" i="83"/>
  <c r="AS14" i="83" s="1"/>
  <c r="AM14" i="83"/>
  <c r="AL15" i="83"/>
  <c r="L16" i="83"/>
  <c r="AQ16" i="83" s="1"/>
  <c r="AK16" i="83"/>
  <c r="AN17" i="83"/>
  <c r="N18" i="83"/>
  <c r="AS18" i="83" s="1"/>
  <c r="AM18" i="83"/>
  <c r="AL19" i="83"/>
  <c r="L20" i="83"/>
  <c r="AQ20" i="83" s="1"/>
  <c r="AK20" i="83"/>
  <c r="AN21" i="83"/>
  <c r="N22" i="83"/>
  <c r="AS22" i="83" s="1"/>
  <c r="AM22" i="83"/>
  <c r="M23" i="83"/>
  <c r="AR23" i="83" s="1"/>
  <c r="AL23" i="83"/>
  <c r="AN24" i="83"/>
  <c r="N25" i="83"/>
  <c r="AS25" i="83" s="1"/>
  <c r="AM25" i="83"/>
  <c r="AN26" i="83"/>
  <c r="N27" i="83"/>
  <c r="AS27" i="83" s="1"/>
  <c r="AM27" i="83"/>
  <c r="AL28" i="83"/>
  <c r="L29" i="83"/>
  <c r="AQ29" i="83" s="1"/>
  <c r="AK29" i="83"/>
  <c r="AN31" i="83"/>
  <c r="E86" i="86"/>
  <c r="AJ86" i="86" s="1"/>
  <c r="G75" i="86"/>
  <c r="AL75" i="86" s="1"/>
  <c r="AX52" i="85"/>
  <c r="G74" i="86"/>
  <c r="AL74" i="86" s="1"/>
  <c r="E83" i="86"/>
  <c r="AJ83" i="86" s="1"/>
  <c r="F74" i="86"/>
  <c r="AK74" i="86" s="1"/>
  <c r="H81" i="86"/>
  <c r="I18" i="86"/>
  <c r="I15" i="86"/>
  <c r="H88" i="86"/>
  <c r="F143" i="67"/>
  <c r="D90" i="86"/>
  <c r="AI90" i="86" s="1"/>
  <c r="E74" i="86"/>
  <c r="AJ74" i="86" s="1"/>
  <c r="E75" i="86"/>
  <c r="AJ75" i="86" s="1"/>
  <c r="E76" i="86"/>
  <c r="AJ76" i="86" s="1"/>
  <c r="D83" i="86"/>
  <c r="AI83" i="86" s="1"/>
  <c r="H83" i="86"/>
  <c r="E79" i="86"/>
  <c r="AJ79" i="86" s="1"/>
  <c r="H90" i="86"/>
  <c r="D79" i="86"/>
  <c r="AI79" i="86" s="1"/>
  <c r="H79" i="86"/>
  <c r="H80" i="86"/>
  <c r="F81" i="86"/>
  <c r="AK81" i="86" s="1"/>
  <c r="F82" i="86"/>
  <c r="AK82" i="86" s="1"/>
  <c r="F84" i="86"/>
  <c r="AK84" i="86" s="1"/>
  <c r="F89" i="86"/>
  <c r="AK89" i="86" s="1"/>
  <c r="E92" i="86"/>
  <c r="AJ92" i="86" s="1"/>
  <c r="F94" i="86"/>
  <c r="AK94" i="86" s="1"/>
  <c r="AP58" i="85"/>
  <c r="E77" i="86"/>
  <c r="AJ77" i="86" s="1"/>
  <c r="F78" i="86"/>
  <c r="AK78" i="86" s="1"/>
  <c r="D81" i="86"/>
  <c r="AI81" i="86" s="1"/>
  <c r="D84" i="86"/>
  <c r="AI84" i="86" s="1"/>
  <c r="H84" i="86"/>
  <c r="E89" i="86"/>
  <c r="AJ89" i="86" s="1"/>
  <c r="F92" i="86"/>
  <c r="AK92" i="86" s="1"/>
  <c r="D94" i="86"/>
  <c r="AI94" i="86" s="1"/>
  <c r="X84" i="76"/>
  <c r="E143" i="67"/>
  <c r="M19" i="83"/>
  <c r="F75" i="86"/>
  <c r="AK75" i="86" s="1"/>
  <c r="E80" i="86"/>
  <c r="AJ80" i="86" s="1"/>
  <c r="F83" i="86"/>
  <c r="AK83" i="86" s="1"/>
  <c r="D87" i="86"/>
  <c r="AI87" i="86" s="1"/>
  <c r="H87" i="86"/>
  <c r="AS52" i="85"/>
  <c r="I12" i="86"/>
  <c r="I20" i="86"/>
  <c r="I22" i="86"/>
  <c r="D74" i="86"/>
  <c r="AI74" i="86" s="1"/>
  <c r="G76" i="86"/>
  <c r="AL76" i="86" s="1"/>
  <c r="E78" i="86"/>
  <c r="AJ78" i="86" s="1"/>
  <c r="F80" i="86"/>
  <c r="AK80" i="86" s="1"/>
  <c r="E82" i="86"/>
  <c r="AJ82" i="86" s="1"/>
  <c r="D82" i="86"/>
  <c r="AI82" i="86" s="1"/>
  <c r="D85" i="86"/>
  <c r="AI85" i="86" s="1"/>
  <c r="D88" i="86"/>
  <c r="AI88" i="86" s="1"/>
  <c r="F90" i="86"/>
  <c r="AK90" i="86" s="1"/>
  <c r="E91" i="86"/>
  <c r="AJ91" i="86" s="1"/>
  <c r="AN116" i="86"/>
  <c r="AN106" i="86"/>
  <c r="AN112" i="86"/>
  <c r="E84" i="86"/>
  <c r="AJ84" i="86" s="1"/>
  <c r="H85" i="86"/>
  <c r="AN115" i="86"/>
  <c r="H78" i="86"/>
  <c r="F76" i="86"/>
  <c r="AK76" i="86" s="1"/>
  <c r="G77" i="86"/>
  <c r="AL77" i="86" s="1"/>
  <c r="AN114" i="86"/>
  <c r="E87" i="86"/>
  <c r="AJ87" i="86" s="1"/>
  <c r="D76" i="86"/>
  <c r="AI76" i="86" s="1"/>
  <c r="H76" i="86"/>
  <c r="D77" i="86"/>
  <c r="AI77" i="86" s="1"/>
  <c r="H77" i="86"/>
  <c r="D80" i="86"/>
  <c r="AI80" i="86" s="1"/>
  <c r="F86" i="86"/>
  <c r="AK86" i="86" s="1"/>
  <c r="D89" i="86"/>
  <c r="AI89" i="86" s="1"/>
  <c r="D75" i="86"/>
  <c r="AI75" i="86" s="1"/>
  <c r="H75" i="86"/>
  <c r="F77" i="86"/>
  <c r="AK77" i="86" s="1"/>
  <c r="F85" i="86"/>
  <c r="AK85" i="86" s="1"/>
  <c r="F88" i="86"/>
  <c r="AK88" i="86" s="1"/>
  <c r="D92" i="86"/>
  <c r="AI92" i="86" s="1"/>
  <c r="H92" i="86"/>
  <c r="I17" i="86"/>
  <c r="I27" i="86"/>
  <c r="H89" i="86"/>
  <c r="D91" i="86"/>
  <c r="AI91" i="86" s="1"/>
  <c r="H91" i="86"/>
  <c r="M15" i="83"/>
  <c r="I21" i="86"/>
  <c r="I24" i="86"/>
  <c r="I28" i="86"/>
  <c r="E88" i="86"/>
  <c r="AJ88" i="86" s="1"/>
  <c r="AE31" i="86"/>
  <c r="AD31" i="86"/>
  <c r="I31" i="86"/>
  <c r="AE4" i="86"/>
  <c r="L62" i="86" s="1"/>
  <c r="I11" i="86"/>
  <c r="Q31" i="86"/>
  <c r="Q30" i="86"/>
  <c r="I23" i="86"/>
  <c r="I25" i="86"/>
  <c r="I29" i="86"/>
  <c r="F91" i="86"/>
  <c r="AK91" i="86" s="1"/>
  <c r="I26" i="86"/>
  <c r="H74" i="86"/>
  <c r="F79" i="86"/>
  <c r="AK79" i="86" s="1"/>
  <c r="E81" i="86"/>
  <c r="AJ81" i="86" s="1"/>
  <c r="D86" i="86"/>
  <c r="AI86" i="86" s="1"/>
  <c r="H86" i="86"/>
  <c r="AN103" i="86"/>
  <c r="AN105" i="86"/>
  <c r="H82" i="86"/>
  <c r="E90" i="86"/>
  <c r="AJ90" i="86" s="1"/>
  <c r="AJ94" i="86"/>
  <c r="E85" i="86"/>
  <c r="AJ85" i="86" s="1"/>
  <c r="AN111" i="86"/>
  <c r="D78" i="86"/>
  <c r="AI78" i="86" s="1"/>
  <c r="AN120" i="86"/>
  <c r="X74" i="85"/>
  <c r="X77" i="85"/>
  <c r="X84" i="85"/>
  <c r="X83" i="85"/>
  <c r="X120" i="85"/>
  <c r="X80" i="85"/>
  <c r="X89" i="85"/>
  <c r="AM43" i="85"/>
  <c r="BA58" i="85"/>
  <c r="AV58" i="85"/>
  <c r="X108" i="85"/>
  <c r="X117" i="85"/>
  <c r="AM39" i="85"/>
  <c r="Z4" i="85"/>
  <c r="L62" i="85" s="1"/>
  <c r="X126" i="85"/>
  <c r="G148" i="67"/>
  <c r="AN50" i="85"/>
  <c r="AL58" i="85"/>
  <c r="AL45" i="85"/>
  <c r="AL48" i="85"/>
  <c r="X85" i="85"/>
  <c r="X114" i="85"/>
  <c r="AO54" i="85"/>
  <c r="AM40" i="85"/>
  <c r="AL44" i="85"/>
  <c r="X90" i="85"/>
  <c r="F148" i="67"/>
  <c r="E188" i="84"/>
  <c r="Y31" i="85"/>
  <c r="AL46" i="85"/>
  <c r="Z31" i="85"/>
  <c r="X86" i="85"/>
  <c r="AM52" i="85"/>
  <c r="X91" i="85"/>
  <c r="X107" i="85"/>
  <c r="X82" i="85"/>
  <c r="X125" i="85"/>
  <c r="X110" i="85"/>
  <c r="X112" i="85"/>
  <c r="X151" i="84"/>
  <c r="AD151" i="84" s="1"/>
  <c r="X154" i="84"/>
  <c r="AD154" i="84" s="1"/>
  <c r="X156" i="84"/>
  <c r="AD156" i="84" s="1"/>
  <c r="X142" i="84"/>
  <c r="AD142" i="84" s="1"/>
  <c r="X150" i="84"/>
  <c r="AD150" i="84" s="1"/>
  <c r="X159" i="84"/>
  <c r="AD159" i="84" s="1"/>
  <c r="M17" i="83"/>
  <c r="B188" i="84"/>
  <c r="H179" i="84"/>
  <c r="X120" i="84"/>
  <c r="AD120" i="84" s="1"/>
  <c r="B181" i="84"/>
  <c r="X124" i="84"/>
  <c r="AD124" i="84" s="1"/>
  <c r="H178" i="84"/>
  <c r="E190" i="84"/>
  <c r="B179" i="84"/>
  <c r="X146" i="84"/>
  <c r="AD146" i="84" s="1"/>
  <c r="X111" i="84"/>
  <c r="AD111" i="84" s="1"/>
  <c r="B185" i="84"/>
  <c r="B218" i="84" s="1"/>
  <c r="X115" i="84"/>
  <c r="AD115" i="84" s="1"/>
  <c r="X161" i="84"/>
  <c r="AD161" i="84" s="1"/>
  <c r="G178" i="84"/>
  <c r="E184" i="84"/>
  <c r="Z4" i="84"/>
  <c r="L62" i="84" s="1"/>
  <c r="H175" i="84"/>
  <c r="E177" i="84"/>
  <c r="E181" i="84"/>
  <c r="E187" i="84"/>
  <c r="H192" i="84"/>
  <c r="G176" i="84"/>
  <c r="E178" i="84"/>
  <c r="G180" i="84"/>
  <c r="E182" i="84"/>
  <c r="G184" i="84"/>
  <c r="E176" i="84"/>
  <c r="E180" i="84"/>
  <c r="G182" i="84"/>
  <c r="G179" i="84"/>
  <c r="G183" i="84"/>
  <c r="E185" i="84"/>
  <c r="F191" i="84"/>
  <c r="D192" i="84"/>
  <c r="N11" i="83"/>
  <c r="F175" i="84"/>
  <c r="G177" i="84"/>
  <c r="E179" i="84"/>
  <c r="G181" i="84"/>
  <c r="E183" i="84"/>
  <c r="E186" i="84"/>
  <c r="F189" i="84"/>
  <c r="B180" i="84"/>
  <c r="B213" i="84" s="1"/>
  <c r="X147" i="84"/>
  <c r="AD147" i="84" s="1"/>
  <c r="X153" i="84"/>
  <c r="AD153" i="84" s="1"/>
  <c r="B186" i="84"/>
  <c r="B219" i="84" s="1"/>
  <c r="B193" i="84"/>
  <c r="B226" i="84" s="1"/>
  <c r="X160" i="84"/>
  <c r="AD160" i="84" s="1"/>
  <c r="X178" i="84"/>
  <c r="AD178" i="84" s="1"/>
  <c r="G156" i="67"/>
  <c r="D164" i="67"/>
  <c r="H164" i="67"/>
  <c r="G164" i="67"/>
  <c r="G175" i="84"/>
  <c r="F176" i="84"/>
  <c r="F177" i="84"/>
  <c r="F178" i="84"/>
  <c r="F179" i="84"/>
  <c r="F180" i="84"/>
  <c r="F181" i="84"/>
  <c r="F182" i="84"/>
  <c r="F183" i="84"/>
  <c r="F184" i="84"/>
  <c r="F185" i="84"/>
  <c r="F186" i="84"/>
  <c r="F187" i="84"/>
  <c r="F190" i="84"/>
  <c r="E192" i="84"/>
  <c r="F193" i="84"/>
  <c r="X145" i="84"/>
  <c r="AD145" i="84" s="1"/>
  <c r="D177" i="84"/>
  <c r="D181" i="84"/>
  <c r="D183" i="84"/>
  <c r="D185" i="84"/>
  <c r="D187" i="84"/>
  <c r="D188" i="84"/>
  <c r="D190" i="84"/>
  <c r="G185" i="84"/>
  <c r="G187" i="84"/>
  <c r="G188" i="84"/>
  <c r="D189" i="84"/>
  <c r="H189" i="84"/>
  <c r="G190" i="84"/>
  <c r="D191" i="84"/>
  <c r="H191" i="84"/>
  <c r="F192" i="84"/>
  <c r="B191" i="84"/>
  <c r="B224" i="84" s="1"/>
  <c r="X158" i="84"/>
  <c r="AD158" i="84" s="1"/>
  <c r="E164" i="67"/>
  <c r="E175" i="84"/>
  <c r="D176" i="84"/>
  <c r="H176" i="84"/>
  <c r="H177" i="84"/>
  <c r="D178" i="84"/>
  <c r="D179" i="84"/>
  <c r="D180" i="84"/>
  <c r="H180" i="84"/>
  <c r="H181" i="84"/>
  <c r="D182" i="84"/>
  <c r="H182" i="84"/>
  <c r="H183" i="84"/>
  <c r="D184" i="84"/>
  <c r="H184" i="84"/>
  <c r="H185" i="84"/>
  <c r="D186" i="84"/>
  <c r="H186" i="84"/>
  <c r="H187" i="84"/>
  <c r="H188" i="84"/>
  <c r="H190" i="84"/>
  <c r="D193" i="84"/>
  <c r="H193" i="84"/>
  <c r="G186" i="84"/>
  <c r="G189" i="84"/>
  <c r="G191" i="84"/>
  <c r="G193" i="84"/>
  <c r="X109" i="84"/>
  <c r="AD109" i="84" s="1"/>
  <c r="X117" i="84"/>
  <c r="AD117" i="84" s="1"/>
  <c r="B182" i="84"/>
  <c r="B215" i="84" s="1"/>
  <c r="B189" i="84"/>
  <c r="B222" i="84" s="1"/>
  <c r="E189" i="84"/>
  <c r="E191" i="84"/>
  <c r="G192" i="84"/>
  <c r="E193" i="84"/>
  <c r="X113" i="84"/>
  <c r="AD113" i="84" s="1"/>
  <c r="X121" i="84"/>
  <c r="AD121" i="84" s="1"/>
  <c r="X126" i="84"/>
  <c r="AD126" i="84" s="1"/>
  <c r="B176" i="84"/>
  <c r="B209" i="84" s="1"/>
  <c r="B184" i="84"/>
  <c r="B217" i="84" s="1"/>
  <c r="X194" i="84"/>
  <c r="AD194" i="84" s="1"/>
  <c r="X144" i="84"/>
  <c r="AD144" i="84" s="1"/>
  <c r="X148" i="84"/>
  <c r="AD148" i="84" s="1"/>
  <c r="X183" i="84"/>
  <c r="AD183" i="84" s="1"/>
  <c r="X152" i="84"/>
  <c r="AD152" i="84" s="1"/>
  <c r="X187" i="84"/>
  <c r="AD187" i="84" s="1"/>
  <c r="X155" i="84"/>
  <c r="AD155" i="84" s="1"/>
  <c r="X157" i="84"/>
  <c r="AD157" i="84" s="1"/>
  <c r="X192" i="84"/>
  <c r="AD192" i="84" s="1"/>
  <c r="X190" i="84"/>
  <c r="AD190" i="84" s="1"/>
  <c r="Q199" i="83"/>
  <c r="L13" i="83"/>
  <c r="L21" i="83"/>
  <c r="Z198" i="83"/>
  <c r="Y198" i="83"/>
  <c r="Z4" i="83"/>
  <c r="X114" i="83"/>
  <c r="X110" i="83"/>
  <c r="X120" i="83"/>
  <c r="X108" i="83"/>
  <c r="X121" i="83"/>
  <c r="L19" i="83"/>
  <c r="X123" i="83"/>
  <c r="X117" i="83"/>
  <c r="X113" i="83"/>
  <c r="X125" i="83"/>
  <c r="L15" i="83"/>
  <c r="L23" i="83"/>
  <c r="O11" i="83"/>
  <c r="AG11" i="83" s="1"/>
  <c r="O14" i="83"/>
  <c r="O18" i="83"/>
  <c r="O22" i="83"/>
  <c r="O25" i="83"/>
  <c r="O27" i="83"/>
  <c r="O28" i="83"/>
  <c r="O29" i="83"/>
  <c r="M12" i="83"/>
  <c r="K14" i="83"/>
  <c r="O15" i="83"/>
  <c r="M16" i="83"/>
  <c r="K18" i="83"/>
  <c r="AL45" i="83" s="1"/>
  <c r="O19" i="83"/>
  <c r="M20" i="83"/>
  <c r="K22" i="83"/>
  <c r="AL49" i="83" s="1"/>
  <c r="O23" i="83"/>
  <c r="K25" i="83"/>
  <c r="AL52" i="83" s="1"/>
  <c r="K27" i="83"/>
  <c r="K28" i="83"/>
  <c r="K29" i="83"/>
  <c r="Z31" i="83"/>
  <c r="O31" i="83"/>
  <c r="Y31" i="83"/>
  <c r="O12" i="83"/>
  <c r="O16" i="83"/>
  <c r="O20" i="83"/>
  <c r="M28" i="83"/>
  <c r="K12" i="83"/>
  <c r="O13" i="83"/>
  <c r="M14" i="83"/>
  <c r="K16" i="83"/>
  <c r="AL43" i="83" s="1"/>
  <c r="O17" i="83"/>
  <c r="M18" i="83"/>
  <c r="K20" i="83"/>
  <c r="AL47" i="83" s="1"/>
  <c r="O21" i="83"/>
  <c r="M22" i="83"/>
  <c r="AR22" i="83" s="1"/>
  <c r="O24" i="83"/>
  <c r="M25" i="83"/>
  <c r="O26" i="83"/>
  <c r="M27" i="83"/>
  <c r="M29" i="83"/>
  <c r="M31" i="83"/>
  <c r="E148" i="67"/>
  <c r="F164" i="67"/>
  <c r="N13" i="83"/>
  <c r="N15" i="83"/>
  <c r="N17" i="83"/>
  <c r="N19" i="83"/>
  <c r="N21" i="83"/>
  <c r="N23" i="83"/>
  <c r="AS23" i="83" s="1"/>
  <c r="N24" i="83"/>
  <c r="N26" i="83"/>
  <c r="L28" i="83"/>
  <c r="AQ28" i="83" s="1"/>
  <c r="L31" i="83"/>
  <c r="AQ31" i="83" s="1"/>
  <c r="X111" i="83"/>
  <c r="X119" i="83"/>
  <c r="X122" i="83"/>
  <c r="X107" i="83"/>
  <c r="X115" i="83"/>
  <c r="X124" i="83"/>
  <c r="H147" i="67"/>
  <c r="H145" i="67"/>
  <c r="H159" i="67"/>
  <c r="H158" i="67"/>
  <c r="H148" i="67"/>
  <c r="G143" i="67"/>
  <c r="E156" i="67"/>
  <c r="E147" i="67"/>
  <c r="T180" i="83" l="1"/>
  <c r="T188" i="83"/>
  <c r="T183" i="83"/>
  <c r="W80" i="76"/>
  <c r="M66" i="76"/>
  <c r="H66" i="76"/>
  <c r="K66" i="76"/>
  <c r="I67" i="76"/>
  <c r="D67" i="76"/>
  <c r="T67" i="76"/>
  <c r="O67" i="76"/>
  <c r="G67" i="76"/>
  <c r="N67" i="76"/>
  <c r="T25" i="84"/>
  <c r="S67" i="76"/>
  <c r="I66" i="76"/>
  <c r="G66" i="76"/>
  <c r="L67" i="76"/>
  <c r="T26" i="86"/>
  <c r="T16" i="86"/>
  <c r="J67" i="76"/>
  <c r="T22" i="86"/>
  <c r="T29" i="86"/>
  <c r="N66" i="76"/>
  <c r="T21" i="86"/>
  <c r="T18" i="86"/>
  <c r="J66" i="76"/>
  <c r="D66" i="76"/>
  <c r="S66" i="76"/>
  <c r="V66" i="76"/>
  <c r="M67" i="76"/>
  <c r="E67" i="76"/>
  <c r="T28" i="84"/>
  <c r="T11" i="84"/>
  <c r="T24" i="84"/>
  <c r="T23" i="86"/>
  <c r="T24" i="86"/>
  <c r="T27" i="86"/>
  <c r="T17" i="86"/>
  <c r="E66" i="76"/>
  <c r="P31" i="83"/>
  <c r="U66" i="76"/>
  <c r="V67" i="76"/>
  <c r="H67" i="76"/>
  <c r="K67" i="76"/>
  <c r="X67" i="76"/>
  <c r="T29" i="84"/>
  <c r="F74" i="76"/>
  <c r="T15" i="86"/>
  <c r="T20" i="86"/>
  <c r="O66" i="76"/>
  <c r="R67" i="76"/>
  <c r="P66" i="76"/>
  <c r="D84" i="76"/>
  <c r="Q66" i="76"/>
  <c r="F66" i="76"/>
  <c r="L66" i="76"/>
  <c r="T66" i="76"/>
  <c r="U67" i="76"/>
  <c r="F67" i="76"/>
  <c r="T26" i="84"/>
  <c r="E83" i="76"/>
  <c r="R66" i="76"/>
  <c r="P67" i="76"/>
  <c r="Q67" i="76"/>
  <c r="T28" i="86"/>
  <c r="T25" i="86"/>
  <c r="T186" i="83"/>
  <c r="T189" i="83"/>
  <c r="T31" i="86"/>
  <c r="P31" i="86"/>
  <c r="T185" i="83"/>
  <c r="T182" i="83"/>
  <c r="O72" i="76"/>
  <c r="T22" i="84"/>
  <c r="I72" i="76"/>
  <c r="T16" i="84"/>
  <c r="H72" i="76"/>
  <c r="T15" i="84"/>
  <c r="K72" i="76"/>
  <c r="T18" i="84"/>
  <c r="E72" i="76"/>
  <c r="T12" i="84"/>
  <c r="N72" i="76"/>
  <c r="T21" i="84"/>
  <c r="G72" i="76"/>
  <c r="T14" i="84"/>
  <c r="P72" i="76"/>
  <c r="T23" i="84"/>
  <c r="J72" i="76"/>
  <c r="T17" i="84"/>
  <c r="M72" i="76"/>
  <c r="T20" i="84"/>
  <c r="L72" i="76"/>
  <c r="T19" i="84"/>
  <c r="F72" i="76"/>
  <c r="T13" i="84"/>
  <c r="Z74" i="84" s="1"/>
  <c r="AG25" i="84"/>
  <c r="R72" i="76"/>
  <c r="AG29" i="84"/>
  <c r="V72" i="76"/>
  <c r="AG28" i="84"/>
  <c r="U72" i="76"/>
  <c r="AG11" i="84"/>
  <c r="D72" i="76"/>
  <c r="AG24" i="84"/>
  <c r="Q72" i="76"/>
  <c r="AG26" i="84"/>
  <c r="S72" i="76"/>
  <c r="AP38" i="84"/>
  <c r="AL38" i="84"/>
  <c r="AL55" i="84"/>
  <c r="AN44" i="84"/>
  <c r="AL54" i="84"/>
  <c r="AL45" i="84"/>
  <c r="AL47" i="84"/>
  <c r="AL50" i="84"/>
  <c r="AL41" i="84"/>
  <c r="AL46" i="84"/>
  <c r="AL40" i="84"/>
  <c r="AL56" i="84"/>
  <c r="AL42" i="84"/>
  <c r="AL52" i="84"/>
  <c r="AL49" i="84"/>
  <c r="T184" i="83"/>
  <c r="T181" i="83"/>
  <c r="T187" i="83"/>
  <c r="K334" i="83"/>
  <c r="AL359" i="83" s="1"/>
  <c r="AA331" i="83"/>
  <c r="T11" i="86"/>
  <c r="D83" i="76"/>
  <c r="S83" i="76"/>
  <c r="I83" i="76"/>
  <c r="O83" i="76"/>
  <c r="V83" i="76"/>
  <c r="P83" i="76"/>
  <c r="X83" i="76"/>
  <c r="Q83" i="76"/>
  <c r="T83" i="76"/>
  <c r="J83" i="76"/>
  <c r="H83" i="76"/>
  <c r="T14" i="86"/>
  <c r="G83" i="76"/>
  <c r="M83" i="76"/>
  <c r="U83" i="76"/>
  <c r="R83" i="76"/>
  <c r="T13" i="86"/>
  <c r="F83" i="76"/>
  <c r="N83" i="76"/>
  <c r="K83" i="76"/>
  <c r="X75" i="76"/>
  <c r="BB58" i="84"/>
  <c r="BD58" i="84"/>
  <c r="BF58" i="84"/>
  <c r="BC58" i="84"/>
  <c r="BE58" i="84"/>
  <c r="BB38" i="84"/>
  <c r="X226" i="84"/>
  <c r="AD226" i="84" s="1"/>
  <c r="X188" i="84"/>
  <c r="AD188" i="84" s="1"/>
  <c r="B221" i="84"/>
  <c r="X224" i="84"/>
  <c r="AD224" i="84" s="1"/>
  <c r="X219" i="84"/>
  <c r="AD219" i="84" s="1"/>
  <c r="X210" i="84"/>
  <c r="AD210" i="84" s="1"/>
  <c r="X217" i="84"/>
  <c r="AD217" i="84" s="1"/>
  <c r="X213" i="84"/>
  <c r="AD213" i="84" s="1"/>
  <c r="X209" i="84"/>
  <c r="AD209" i="84" s="1"/>
  <c r="X179" i="84"/>
  <c r="AD179" i="84" s="1"/>
  <c r="B212" i="84"/>
  <c r="X222" i="84"/>
  <c r="AD222" i="84" s="1"/>
  <c r="X181" i="84"/>
  <c r="AD181" i="84" s="1"/>
  <c r="B214" i="84"/>
  <c r="X215" i="84"/>
  <c r="AD215" i="84" s="1"/>
  <c r="X218" i="84"/>
  <c r="AD218" i="84" s="1"/>
  <c r="X175" i="84"/>
  <c r="AD175" i="84" s="1"/>
  <c r="B208" i="84"/>
  <c r="BD38" i="84"/>
  <c r="BC38" i="84"/>
  <c r="AE128" i="84"/>
  <c r="AF128" i="84"/>
  <c r="AH128" i="84"/>
  <c r="AH161" i="84"/>
  <c r="AH194" i="84"/>
  <c r="AF161" i="84"/>
  <c r="AE194" i="84"/>
  <c r="AE161" i="84"/>
  <c r="AF194" i="84"/>
  <c r="AI128" i="84"/>
  <c r="H128" i="84" s="1"/>
  <c r="AI161" i="84"/>
  <c r="H161" i="84" s="1"/>
  <c r="AI194" i="84"/>
  <c r="AK311" i="83"/>
  <c r="AG19" i="84"/>
  <c r="AG16" i="84"/>
  <c r="AG12" i="84"/>
  <c r="AG18" i="84"/>
  <c r="AG13" i="84"/>
  <c r="AG21" i="84"/>
  <c r="AG14" i="84"/>
  <c r="AG20" i="84"/>
  <c r="AG17" i="84"/>
  <c r="AG22" i="84"/>
  <c r="AG23" i="84"/>
  <c r="AG15" i="84"/>
  <c r="AK318" i="83"/>
  <c r="AL326" i="83"/>
  <c r="AL322" i="83"/>
  <c r="AL311" i="83"/>
  <c r="AL321" i="83"/>
  <c r="AM327" i="83"/>
  <c r="AM324" i="83"/>
  <c r="AM328" i="83"/>
  <c r="AN330" i="83"/>
  <c r="AN326" i="83"/>
  <c r="AN332" i="83"/>
  <c r="AL319" i="83"/>
  <c r="AK324" i="83"/>
  <c r="AB327" i="83"/>
  <c r="AK328" i="83"/>
  <c r="AB331" i="83"/>
  <c r="AK332" i="83"/>
  <c r="AK330" i="83"/>
  <c r="AC331" i="83"/>
  <c r="AL332" i="83"/>
  <c r="AC312" i="83"/>
  <c r="AL313" i="83"/>
  <c r="AD321" i="83"/>
  <c r="AM322" i="83"/>
  <c r="AM321" i="83"/>
  <c r="AD314" i="83"/>
  <c r="AM315" i="83"/>
  <c r="AE311" i="83"/>
  <c r="AN311" i="83"/>
  <c r="AE318" i="83"/>
  <c r="AN319" i="83"/>
  <c r="AE317" i="83"/>
  <c r="AN318" i="83"/>
  <c r="AK323" i="83"/>
  <c r="AB316" i="83"/>
  <c r="AK317" i="83"/>
  <c r="AD328" i="83"/>
  <c r="AM329" i="83"/>
  <c r="AD315" i="83"/>
  <c r="AM316" i="83"/>
  <c r="AD322" i="83"/>
  <c r="AM323" i="83"/>
  <c r="AE328" i="83"/>
  <c r="AN329" i="83"/>
  <c r="AB319" i="83"/>
  <c r="AK320" i="83"/>
  <c r="AK326" i="83"/>
  <c r="AK319" i="83"/>
  <c r="AB312" i="83"/>
  <c r="AK313" i="83"/>
  <c r="AB326" i="83"/>
  <c r="AK327" i="83"/>
  <c r="AB321" i="83"/>
  <c r="AK322" i="83"/>
  <c r="AK314" i="83"/>
  <c r="AK321" i="83"/>
  <c r="AL328" i="83"/>
  <c r="AL323" i="83"/>
  <c r="AL315" i="83"/>
  <c r="AC326" i="83"/>
  <c r="AL327" i="83"/>
  <c r="AC317" i="83"/>
  <c r="AL318" i="83"/>
  <c r="AC323" i="83"/>
  <c r="AL324" i="83"/>
  <c r="AC329" i="83"/>
  <c r="AL330" i="83"/>
  <c r="AC316" i="83"/>
  <c r="AL317" i="83"/>
  <c r="AL329" i="83"/>
  <c r="AL320" i="83"/>
  <c r="AD331" i="83"/>
  <c r="AM332" i="83"/>
  <c r="AM318" i="83"/>
  <c r="AD329" i="83"/>
  <c r="AM330" i="83"/>
  <c r="AM317" i="83"/>
  <c r="AD319" i="83"/>
  <c r="AM320" i="83"/>
  <c r="AD311" i="83"/>
  <c r="AM311" i="83"/>
  <c r="AM326" i="83"/>
  <c r="AM319" i="83"/>
  <c r="AM313" i="83"/>
  <c r="AE320" i="83"/>
  <c r="AN321" i="83"/>
  <c r="AE312" i="83"/>
  <c r="AN313" i="83"/>
  <c r="AN320" i="83"/>
  <c r="AE327" i="83"/>
  <c r="AN328" i="83"/>
  <c r="AN323" i="83"/>
  <c r="AE314" i="83"/>
  <c r="AN315" i="83"/>
  <c r="AE326" i="83"/>
  <c r="AN327" i="83"/>
  <c r="AE321" i="83"/>
  <c r="AN322" i="83"/>
  <c r="AN314" i="83"/>
  <c r="AN324" i="83"/>
  <c r="AB328" i="83"/>
  <c r="AK329" i="83"/>
  <c r="AK316" i="83"/>
  <c r="AB314" i="83"/>
  <c r="AK315" i="83"/>
  <c r="AB324" i="83"/>
  <c r="AK325" i="83"/>
  <c r="AC313" i="83"/>
  <c r="AL314" i="83"/>
  <c r="AL316" i="83"/>
  <c r="AD313" i="83"/>
  <c r="AM314" i="83"/>
  <c r="AE316" i="83"/>
  <c r="AN317" i="83"/>
  <c r="AE324" i="83"/>
  <c r="AN325" i="83"/>
  <c r="AE315" i="83"/>
  <c r="AN316" i="83"/>
  <c r="BE38" i="84"/>
  <c r="O75" i="76"/>
  <c r="F75" i="76"/>
  <c r="Q75" i="76"/>
  <c r="J75" i="76"/>
  <c r="V75" i="76"/>
  <c r="T75" i="76"/>
  <c r="S75" i="76"/>
  <c r="N75" i="76"/>
  <c r="K75" i="76"/>
  <c r="E75" i="76"/>
  <c r="U75" i="76"/>
  <c r="L75" i="76"/>
  <c r="I75" i="76"/>
  <c r="R75" i="76"/>
  <c r="P75" i="76"/>
  <c r="M75" i="76"/>
  <c r="G75" i="76"/>
  <c r="H75" i="76"/>
  <c r="L334" i="83"/>
  <c r="AM359" i="83" s="1"/>
  <c r="L319" i="83"/>
  <c r="AQ317" i="83" s="1"/>
  <c r="AM94" i="86"/>
  <c r="BA58" i="83"/>
  <c r="L330" i="83"/>
  <c r="AQ328" i="83" s="1"/>
  <c r="AL59" i="83"/>
  <c r="AG94" i="86"/>
  <c r="X66" i="76"/>
  <c r="AC95" i="86"/>
  <c r="AD95" i="86"/>
  <c r="AM81" i="86"/>
  <c r="K84" i="76"/>
  <c r="AM14" i="86"/>
  <c r="AM17" i="86"/>
  <c r="AM12" i="86"/>
  <c r="AM75" i="86"/>
  <c r="E84" i="76"/>
  <c r="AM85" i="86"/>
  <c r="O84" i="76"/>
  <c r="AM87" i="86"/>
  <c r="Q84" i="76"/>
  <c r="AM88" i="86"/>
  <c r="R84" i="76"/>
  <c r="AM26" i="86"/>
  <c r="AM24" i="86"/>
  <c r="AM20" i="86"/>
  <c r="AM86" i="86"/>
  <c r="P84" i="76"/>
  <c r="AM74" i="86"/>
  <c r="AM89" i="86"/>
  <c r="S84" i="76"/>
  <c r="AM92" i="86"/>
  <c r="V84" i="76"/>
  <c r="AM77" i="86"/>
  <c r="G84" i="76"/>
  <c r="AM83" i="86"/>
  <c r="M84" i="76"/>
  <c r="AM15" i="86"/>
  <c r="AM22" i="86"/>
  <c r="AM25" i="86"/>
  <c r="AM27" i="86"/>
  <c r="AM16" i="86"/>
  <c r="AM91" i="86"/>
  <c r="U84" i="76"/>
  <c r="AM76" i="86"/>
  <c r="F84" i="76"/>
  <c r="AM84" i="86"/>
  <c r="N84" i="76"/>
  <c r="AM80" i="86"/>
  <c r="J84" i="76"/>
  <c r="AM21" i="86"/>
  <c r="AM79" i="86"/>
  <c r="I84" i="76"/>
  <c r="AM82" i="86"/>
  <c r="L84" i="76"/>
  <c r="AM78" i="86"/>
  <c r="H84" i="76"/>
  <c r="AM90" i="86"/>
  <c r="T84" i="76"/>
  <c r="AM23" i="86"/>
  <c r="AM11" i="86"/>
  <c r="AM18" i="86"/>
  <c r="AM13" i="86"/>
  <c r="BA46" i="85"/>
  <c r="L82" i="76"/>
  <c r="BA51" i="85"/>
  <c r="Q82" i="76"/>
  <c r="BA54" i="85"/>
  <c r="T82" i="76"/>
  <c r="BA56" i="85"/>
  <c r="V82" i="76"/>
  <c r="AV45" i="85"/>
  <c r="K81" i="76"/>
  <c r="AV53" i="85"/>
  <c r="S81" i="76"/>
  <c r="AV39" i="85"/>
  <c r="E81" i="76"/>
  <c r="BA48" i="85"/>
  <c r="N82" i="76"/>
  <c r="AV40" i="85"/>
  <c r="F81" i="76"/>
  <c r="AV56" i="85"/>
  <c r="V81" i="76"/>
  <c r="BA50" i="85"/>
  <c r="P82" i="76"/>
  <c r="AV42" i="85"/>
  <c r="H81" i="76"/>
  <c r="AV38" i="85"/>
  <c r="D81" i="76"/>
  <c r="BA44" i="85"/>
  <c r="J82" i="76"/>
  <c r="BA53" i="85"/>
  <c r="S82" i="76"/>
  <c r="BA39" i="85"/>
  <c r="E82" i="76"/>
  <c r="AV49" i="85"/>
  <c r="O81" i="76"/>
  <c r="BA41" i="85"/>
  <c r="G82" i="76"/>
  <c r="AV54" i="85"/>
  <c r="T81" i="76"/>
  <c r="BA52" i="85"/>
  <c r="R82" i="76"/>
  <c r="BA40" i="85"/>
  <c r="F82" i="76"/>
  <c r="AV50" i="85"/>
  <c r="P81" i="76"/>
  <c r="BA42" i="85"/>
  <c r="H82" i="76"/>
  <c r="BA38" i="85"/>
  <c r="D82" i="76"/>
  <c r="AV55" i="85"/>
  <c r="U81" i="76"/>
  <c r="BA47" i="85"/>
  <c r="M82" i="76"/>
  <c r="AV43" i="85"/>
  <c r="I81" i="76"/>
  <c r="BA49" i="85"/>
  <c r="O82" i="76"/>
  <c r="AV48" i="85"/>
  <c r="N81" i="76"/>
  <c r="BA55" i="85"/>
  <c r="U82" i="76"/>
  <c r="AV44" i="85"/>
  <c r="J81" i="76"/>
  <c r="AV46" i="85"/>
  <c r="L81" i="76"/>
  <c r="BA45" i="85"/>
  <c r="K82" i="76"/>
  <c r="AV51" i="85"/>
  <c r="Q81" i="76"/>
  <c r="AV47" i="85"/>
  <c r="M81" i="76"/>
  <c r="BA43" i="85"/>
  <c r="I82" i="76"/>
  <c r="AV41" i="85"/>
  <c r="G81" i="76"/>
  <c r="AV52" i="85"/>
  <c r="R81" i="76"/>
  <c r="AV46" i="84"/>
  <c r="L73" i="76"/>
  <c r="AV38" i="84"/>
  <c r="D73" i="76"/>
  <c r="AV54" i="84"/>
  <c r="T73" i="76"/>
  <c r="AV49" i="84"/>
  <c r="O73" i="76"/>
  <c r="AV41" i="84"/>
  <c r="G73" i="76"/>
  <c r="AV53" i="84"/>
  <c r="S73" i="76"/>
  <c r="AV48" i="84"/>
  <c r="N73" i="76"/>
  <c r="AV40" i="84"/>
  <c r="F73" i="76"/>
  <c r="AV56" i="84"/>
  <c r="V73" i="76"/>
  <c r="BA42" i="84"/>
  <c r="H74" i="76"/>
  <c r="BA45" i="84"/>
  <c r="K74" i="76"/>
  <c r="BA51" i="84"/>
  <c r="Q74" i="76"/>
  <c r="BA44" i="84"/>
  <c r="J74" i="76"/>
  <c r="BA39" i="84"/>
  <c r="E74" i="76"/>
  <c r="AV55" i="84"/>
  <c r="U73" i="76"/>
  <c r="AV50" i="84"/>
  <c r="P73" i="76"/>
  <c r="AV42" i="84"/>
  <c r="H73" i="76"/>
  <c r="AV52" i="84"/>
  <c r="R73" i="76"/>
  <c r="AV45" i="84"/>
  <c r="K73" i="76"/>
  <c r="AV51" i="84"/>
  <c r="Q73" i="76"/>
  <c r="AV44" i="84"/>
  <c r="J73" i="76"/>
  <c r="AV47" i="84"/>
  <c r="M73" i="76"/>
  <c r="AV39" i="84"/>
  <c r="E73" i="76"/>
  <c r="AV43" i="84"/>
  <c r="I73" i="76"/>
  <c r="BF38" i="84"/>
  <c r="D75" i="76"/>
  <c r="B54" i="92" s="1"/>
  <c r="BA55" i="84"/>
  <c r="U74" i="76"/>
  <c r="BA50" i="84"/>
  <c r="P74" i="76"/>
  <c r="BA52" i="84"/>
  <c r="R74" i="76"/>
  <c r="BA47" i="84"/>
  <c r="M74" i="76"/>
  <c r="BA46" i="84"/>
  <c r="L74" i="76"/>
  <c r="BA38" i="84"/>
  <c r="D74" i="76"/>
  <c r="BA54" i="84"/>
  <c r="T74" i="76"/>
  <c r="BA49" i="84"/>
  <c r="O74" i="76"/>
  <c r="BA41" i="84"/>
  <c r="G74" i="76"/>
  <c r="BA53" i="84"/>
  <c r="S74" i="76"/>
  <c r="BA48" i="84"/>
  <c r="N74" i="76"/>
  <c r="BA56" i="84"/>
  <c r="V74" i="76"/>
  <c r="BA43" i="84"/>
  <c r="I74" i="76"/>
  <c r="BA55" i="83"/>
  <c r="BA49" i="83"/>
  <c r="BA47" i="83"/>
  <c r="BA39" i="83"/>
  <c r="BA51" i="83"/>
  <c r="BA48" i="83"/>
  <c r="BA52" i="83"/>
  <c r="BA45" i="83"/>
  <c r="BA56" i="83"/>
  <c r="AV47" i="83"/>
  <c r="AV49" i="83"/>
  <c r="P18" i="85"/>
  <c r="AX16" i="86"/>
  <c r="P25" i="85"/>
  <c r="AP55" i="85"/>
  <c r="K316" i="83"/>
  <c r="AL341" i="83" s="1"/>
  <c r="AA313" i="83"/>
  <c r="K328" i="83"/>
  <c r="AL353" i="83" s="1"/>
  <c r="AA325" i="83"/>
  <c r="K321" i="83"/>
  <c r="AL346" i="83" s="1"/>
  <c r="AA318" i="83"/>
  <c r="K320" i="83"/>
  <c r="AL345" i="83" s="1"/>
  <c r="AA317" i="83"/>
  <c r="L314" i="83"/>
  <c r="AQ311" i="83" s="1"/>
  <c r="AB311" i="83"/>
  <c r="L328" i="83"/>
  <c r="AM353" i="83" s="1"/>
  <c r="AB325" i="83"/>
  <c r="L321" i="83"/>
  <c r="AQ319" i="83" s="1"/>
  <c r="AB318" i="83"/>
  <c r="AB313" i="83"/>
  <c r="L323" i="83"/>
  <c r="AM348" i="83" s="1"/>
  <c r="AB320" i="83"/>
  <c r="M330" i="83"/>
  <c r="AR328" i="83" s="1"/>
  <c r="AC327" i="83"/>
  <c r="M325" i="83"/>
  <c r="AR323" i="83" s="1"/>
  <c r="AC322" i="83"/>
  <c r="M317" i="83"/>
  <c r="AR315" i="83" s="1"/>
  <c r="AC314" i="83"/>
  <c r="AC321" i="83"/>
  <c r="M314" i="83"/>
  <c r="AN339" i="83" s="1"/>
  <c r="AC311" i="83"/>
  <c r="M323" i="83"/>
  <c r="AN348" i="83" s="1"/>
  <c r="AC320" i="83"/>
  <c r="M318" i="83"/>
  <c r="AR316" i="83" s="1"/>
  <c r="AC315" i="83"/>
  <c r="N329" i="83"/>
  <c r="AS327" i="83" s="1"/>
  <c r="AD326" i="83"/>
  <c r="N323" i="83"/>
  <c r="AS321" i="83" s="1"/>
  <c r="AD320" i="83"/>
  <c r="N326" i="83"/>
  <c r="AS324" i="83" s="1"/>
  <c r="AD323" i="83"/>
  <c r="N330" i="83"/>
  <c r="AS328" i="83" s="1"/>
  <c r="AD327" i="83"/>
  <c r="O332" i="83"/>
  <c r="AE329" i="83"/>
  <c r="O328" i="83"/>
  <c r="AE325" i="83"/>
  <c r="Y320" i="83"/>
  <c r="Y314" i="83"/>
  <c r="Y315" i="83"/>
  <c r="Y311" i="83"/>
  <c r="AE30" i="85"/>
  <c r="P30" i="85" s="1"/>
  <c r="AA30" i="85"/>
  <c r="Y30" i="84"/>
  <c r="Y326" i="83"/>
  <c r="Y329" i="83"/>
  <c r="Y325" i="83"/>
  <c r="Y318" i="83"/>
  <c r="Y30" i="85"/>
  <c r="AA30" i="84"/>
  <c r="Y319" i="83"/>
  <c r="K326" i="83"/>
  <c r="AL351" i="83" s="1"/>
  <c r="AA323" i="83"/>
  <c r="K325" i="83"/>
  <c r="AL350" i="83" s="1"/>
  <c r="AA322" i="83"/>
  <c r="K317" i="83"/>
  <c r="AL342" i="83" s="1"/>
  <c r="AA314" i="83"/>
  <c r="K329" i="83"/>
  <c r="AL354" i="83" s="1"/>
  <c r="AA326" i="83"/>
  <c r="L326" i="83"/>
  <c r="AM351" i="83" s="1"/>
  <c r="AB323" i="83"/>
  <c r="L318" i="83"/>
  <c r="AM343" i="83" s="1"/>
  <c r="AB315" i="83"/>
  <c r="L325" i="83"/>
  <c r="AM350" i="83" s="1"/>
  <c r="AB322" i="83"/>
  <c r="L320" i="83"/>
  <c r="AM345" i="83" s="1"/>
  <c r="AB317" i="83"/>
  <c r="L332" i="83"/>
  <c r="AM357" i="83" s="1"/>
  <c r="AB329" i="83"/>
  <c r="M328" i="83"/>
  <c r="AN353" i="83" s="1"/>
  <c r="AC325" i="83"/>
  <c r="M321" i="83"/>
  <c r="AN346" i="83" s="1"/>
  <c r="AC318" i="83"/>
  <c r="M331" i="83"/>
  <c r="AN356" i="83" s="1"/>
  <c r="AC328" i="83"/>
  <c r="M322" i="83"/>
  <c r="AR320" i="83" s="1"/>
  <c r="AC319" i="83"/>
  <c r="N327" i="83"/>
  <c r="AO352" i="83" s="1"/>
  <c r="AD324" i="83"/>
  <c r="N320" i="83"/>
  <c r="AO345" i="83" s="1"/>
  <c r="AD317" i="83"/>
  <c r="N319" i="83"/>
  <c r="AO344" i="83" s="1"/>
  <c r="AD316" i="83"/>
  <c r="N328" i="83"/>
  <c r="AS326" i="83" s="1"/>
  <c r="AD325" i="83"/>
  <c r="N321" i="83"/>
  <c r="AO346" i="83" s="1"/>
  <c r="AD318" i="83"/>
  <c r="N315" i="83"/>
  <c r="AS313" i="83" s="1"/>
  <c r="AD312" i="83"/>
  <c r="O322" i="83"/>
  <c r="AE319" i="83"/>
  <c r="O325" i="83"/>
  <c r="AE322" i="83"/>
  <c r="O316" i="83"/>
  <c r="AE313" i="83"/>
  <c r="O326" i="83"/>
  <c r="AE323" i="83"/>
  <c r="AX15" i="86"/>
  <c r="Y316" i="83"/>
  <c r="Y323" i="83"/>
  <c r="Z323" i="83"/>
  <c r="Y317" i="83"/>
  <c r="Z313" i="83"/>
  <c r="Y313" i="83"/>
  <c r="AB30" i="85"/>
  <c r="Y322" i="83"/>
  <c r="AA329" i="83"/>
  <c r="AD30" i="85"/>
  <c r="Y312" i="83"/>
  <c r="Y328" i="83"/>
  <c r="Z324" i="83"/>
  <c r="Y324" i="83"/>
  <c r="Y321" i="83"/>
  <c r="Y327" i="83"/>
  <c r="AX12" i="86"/>
  <c r="AX28" i="86"/>
  <c r="AX23" i="86"/>
  <c r="L317" i="83"/>
  <c r="AM342" i="83" s="1"/>
  <c r="AX31" i="86"/>
  <c r="AX26" i="86"/>
  <c r="AX21" i="86"/>
  <c r="AX17" i="86"/>
  <c r="O334" i="83"/>
  <c r="K318" i="83"/>
  <c r="AL343" i="83" s="1"/>
  <c r="L327" i="83"/>
  <c r="AM352" i="83" s="1"/>
  <c r="K324" i="83"/>
  <c r="AL349" i="83" s="1"/>
  <c r="AG28" i="85"/>
  <c r="N314" i="83"/>
  <c r="AO339" i="83" s="1"/>
  <c r="L331" i="83"/>
  <c r="AM356" i="83" s="1"/>
  <c r="P27" i="85"/>
  <c r="AX11" i="86"/>
  <c r="P11" i="86"/>
  <c r="P27" i="86"/>
  <c r="P22" i="86"/>
  <c r="P26" i="86"/>
  <c r="P17" i="86"/>
  <c r="P16" i="86"/>
  <c r="P12" i="86"/>
  <c r="AO18" i="85"/>
  <c r="I18" i="85" s="1"/>
  <c r="AX20" i="86"/>
  <c r="AP59" i="85"/>
  <c r="K319" i="83"/>
  <c r="AL344" i="83" s="1"/>
  <c r="P28" i="86"/>
  <c r="P23" i="86"/>
  <c r="P21" i="86"/>
  <c r="P25" i="86"/>
  <c r="P18" i="86"/>
  <c r="P29" i="86"/>
  <c r="AO20" i="85"/>
  <c r="I20" i="85" s="1"/>
  <c r="AO19" i="85"/>
  <c r="I19" i="85" s="1"/>
  <c r="AX18" i="86"/>
  <c r="AX14" i="86"/>
  <c r="P15" i="86"/>
  <c r="AO21" i="85"/>
  <c r="I21" i="85" s="1"/>
  <c r="AX29" i="86"/>
  <c r="AP45" i="85"/>
  <c r="P24" i="86"/>
  <c r="P14" i="86"/>
  <c r="P13" i="86"/>
  <c r="P20" i="86"/>
  <c r="AX27" i="86"/>
  <c r="AX22" i="86"/>
  <c r="AX13" i="86"/>
  <c r="AX25" i="86"/>
  <c r="AO31" i="85"/>
  <c r="I31" i="85" s="1"/>
  <c r="AG12" i="85"/>
  <c r="AO27" i="85"/>
  <c r="I27" i="85" s="1"/>
  <c r="AP53" i="85"/>
  <c r="AO17" i="85"/>
  <c r="I17" i="85" s="1"/>
  <c r="AO22" i="85"/>
  <c r="I22" i="85" s="1"/>
  <c r="AP48" i="85"/>
  <c r="P11" i="85"/>
  <c r="AO23" i="85"/>
  <c r="I23" i="85" s="1"/>
  <c r="AN30" i="85"/>
  <c r="AG26" i="85"/>
  <c r="AG21" i="85"/>
  <c r="AG29" i="85"/>
  <c r="AO29" i="85"/>
  <c r="I29" i="85" s="1"/>
  <c r="AO28" i="85"/>
  <c r="I28" i="85" s="1"/>
  <c r="AO14" i="85"/>
  <c r="I14" i="85" s="1"/>
  <c r="AO12" i="85"/>
  <c r="I12" i="85" s="1"/>
  <c r="AK30" i="85"/>
  <c r="AO25" i="85"/>
  <c r="I25" i="85" s="1"/>
  <c r="AO16" i="85"/>
  <c r="I16" i="85" s="1"/>
  <c r="AO15" i="85"/>
  <c r="I15" i="85" s="1"/>
  <c r="AO13" i="85"/>
  <c r="I13" i="85" s="1"/>
  <c r="AO11" i="85"/>
  <c r="AO26" i="85"/>
  <c r="I26" i="85" s="1"/>
  <c r="P16" i="85"/>
  <c r="AG16" i="85"/>
  <c r="P19" i="85"/>
  <c r="AG19" i="85"/>
  <c r="P14" i="85"/>
  <c r="AG14" i="85"/>
  <c r="P17" i="85"/>
  <c r="AG17" i="85"/>
  <c r="P20" i="85"/>
  <c r="AG20" i="85"/>
  <c r="P23" i="85"/>
  <c r="AG23" i="85"/>
  <c r="P15" i="85"/>
  <c r="AG15" i="85"/>
  <c r="P22" i="85"/>
  <c r="AG22" i="85"/>
  <c r="P24" i="85"/>
  <c r="AG24" i="85"/>
  <c r="P13" i="85"/>
  <c r="AG13" i="85"/>
  <c r="AE331" i="83"/>
  <c r="N331" i="83"/>
  <c r="AO356" i="83" s="1"/>
  <c r="N318" i="83"/>
  <c r="AS316" i="83" s="1"/>
  <c r="N324" i="83"/>
  <c r="AO349" i="83" s="1"/>
  <c r="N316" i="83"/>
  <c r="AO341" i="83" s="1"/>
  <c r="M326" i="83"/>
  <c r="AN351" i="83" s="1"/>
  <c r="M334" i="83"/>
  <c r="AR332" i="83" s="1"/>
  <c r="M332" i="83"/>
  <c r="AR330" i="83" s="1"/>
  <c r="M329" i="83"/>
  <c r="AN354" i="83" s="1"/>
  <c r="M324" i="83"/>
  <c r="AN349" i="83" s="1"/>
  <c r="M316" i="83"/>
  <c r="AN341" i="83" s="1"/>
  <c r="M315" i="83"/>
  <c r="AR313" i="83" s="1"/>
  <c r="M319" i="83"/>
  <c r="AN344" i="83" s="1"/>
  <c r="M320" i="83"/>
  <c r="AN345" i="83" s="1"/>
  <c r="K330" i="83"/>
  <c r="AL355" i="83" s="1"/>
  <c r="K331" i="83"/>
  <c r="AL356" i="83" s="1"/>
  <c r="L324" i="83"/>
  <c r="AQ322" i="83" s="1"/>
  <c r="L329" i="83"/>
  <c r="AQ327" i="83" s="1"/>
  <c r="L322" i="83"/>
  <c r="AM347" i="83" s="1"/>
  <c r="L316" i="83"/>
  <c r="AM341" i="83" s="1"/>
  <c r="L315" i="83"/>
  <c r="AQ313" i="83" s="1"/>
  <c r="AM58" i="85"/>
  <c r="AO38" i="85"/>
  <c r="AO45" i="85"/>
  <c r="AO41" i="85"/>
  <c r="AP38" i="85"/>
  <c r="AP44" i="85"/>
  <c r="AM55" i="85"/>
  <c r="AO53" i="85"/>
  <c r="AO51" i="85"/>
  <c r="AO50" i="85"/>
  <c r="AO47" i="85"/>
  <c r="AP51" i="85"/>
  <c r="AP39" i="85"/>
  <c r="AP54" i="85"/>
  <c r="AO49" i="85"/>
  <c r="AO48" i="85"/>
  <c r="AP56" i="85"/>
  <c r="AO46" i="85"/>
  <c r="AO42" i="85"/>
  <c r="AP52" i="85"/>
  <c r="K327" i="83"/>
  <c r="AL352" i="83" s="1"/>
  <c r="AG74" i="86"/>
  <c r="AG92" i="86"/>
  <c r="AC91" i="86"/>
  <c r="AG81" i="86"/>
  <c r="AG78" i="86"/>
  <c r="AG83" i="86"/>
  <c r="AD91" i="86"/>
  <c r="AG88" i="86"/>
  <c r="AI30" i="86"/>
  <c r="AG30" i="86"/>
  <c r="T12" i="86"/>
  <c r="O329" i="83"/>
  <c r="AG89" i="86"/>
  <c r="AG91" i="86"/>
  <c r="AG87" i="86"/>
  <c r="AG84" i="86"/>
  <c r="AG79" i="86"/>
  <c r="AT21" i="83"/>
  <c r="T21" i="83"/>
  <c r="AT29" i="83"/>
  <c r="T29" i="83"/>
  <c r="AT25" i="83"/>
  <c r="T25" i="83"/>
  <c r="AT17" i="83"/>
  <c r="T17" i="83"/>
  <c r="AT16" i="83"/>
  <c r="T16" i="83"/>
  <c r="AT27" i="83"/>
  <c r="T27" i="83"/>
  <c r="AT18" i="83"/>
  <c r="T18" i="83"/>
  <c r="AT11" i="83"/>
  <c r="T11" i="83"/>
  <c r="K323" i="83"/>
  <c r="AL348" i="83" s="1"/>
  <c r="AT26" i="83"/>
  <c r="T26" i="83"/>
  <c r="AT13" i="83"/>
  <c r="T13" i="83"/>
  <c r="Z74" i="83" s="1"/>
  <c r="AT20" i="83"/>
  <c r="T20" i="83"/>
  <c r="AT28" i="83"/>
  <c r="T28" i="83"/>
  <c r="AT24" i="83"/>
  <c r="T24" i="83"/>
  <c r="AT12" i="83"/>
  <c r="T12" i="83"/>
  <c r="AT23" i="83"/>
  <c r="T23" i="83"/>
  <c r="AT19" i="83"/>
  <c r="T19" i="83"/>
  <c r="AT15" i="83"/>
  <c r="T15" i="83"/>
  <c r="AT22" i="83"/>
  <c r="AV22" i="83" s="1"/>
  <c r="T22" i="83"/>
  <c r="AT14" i="83"/>
  <c r="T14" i="83"/>
  <c r="AN46" i="84"/>
  <c r="AN45" i="84"/>
  <c r="AO40" i="84"/>
  <c r="AE30" i="84"/>
  <c r="O30" i="84" s="1"/>
  <c r="AB30" i="84"/>
  <c r="AD30" i="84"/>
  <c r="AN49" i="84"/>
  <c r="AN53" i="84"/>
  <c r="AN40" i="84"/>
  <c r="AO50" i="84"/>
  <c r="AN47" i="84"/>
  <c r="O331" i="83"/>
  <c r="O318" i="83"/>
  <c r="O327" i="83"/>
  <c r="O323" i="83"/>
  <c r="O315" i="83"/>
  <c r="O319" i="83"/>
  <c r="O321" i="83"/>
  <c r="O320" i="83"/>
  <c r="AP46" i="84"/>
  <c r="O314" i="83"/>
  <c r="O317" i="83"/>
  <c r="AK360" i="83"/>
  <c r="L365" i="83"/>
  <c r="O330" i="83"/>
  <c r="O324" i="83"/>
  <c r="N332" i="83"/>
  <c r="AO357" i="83" s="1"/>
  <c r="K322" i="83"/>
  <c r="AL347" i="83" s="1"/>
  <c r="AA30" i="83"/>
  <c r="AE30" i="83"/>
  <c r="N325" i="83"/>
  <c r="AS323" i="83" s="1"/>
  <c r="AD30" i="83"/>
  <c r="AO38" i="84"/>
  <c r="N322" i="83"/>
  <c r="AO347" i="83" s="1"/>
  <c r="N334" i="83"/>
  <c r="AS332" i="83" s="1"/>
  <c r="N317" i="83"/>
  <c r="AS315" i="83" s="1"/>
  <c r="AO46" i="84"/>
  <c r="AB30" i="83"/>
  <c r="K315" i="83"/>
  <c r="AL340" i="83" s="1"/>
  <c r="K332" i="83"/>
  <c r="AL357" i="83" s="1"/>
  <c r="AO49" i="83"/>
  <c r="AO22" i="84"/>
  <c r="I22" i="84" s="1"/>
  <c r="AO41" i="83"/>
  <c r="AN39" i="84"/>
  <c r="AO17" i="84"/>
  <c r="I17" i="84" s="1"/>
  <c r="AM56" i="83"/>
  <c r="AO48" i="84"/>
  <c r="AP43" i="84"/>
  <c r="AO45" i="84"/>
  <c r="AM56" i="84"/>
  <c r="AN42" i="84"/>
  <c r="AO45" i="83"/>
  <c r="P27" i="84"/>
  <c r="AM44" i="84"/>
  <c r="AO39" i="84"/>
  <c r="AO43" i="84"/>
  <c r="AO42" i="84"/>
  <c r="AM41" i="84"/>
  <c r="P24" i="84"/>
  <c r="AO52" i="84"/>
  <c r="AN52" i="84"/>
  <c r="AM49" i="84"/>
  <c r="AM48" i="84"/>
  <c r="AE95" i="86"/>
  <c r="AO29" i="84"/>
  <c r="I29" i="84" s="1"/>
  <c r="AO15" i="84"/>
  <c r="I15" i="84" s="1"/>
  <c r="AO55" i="84"/>
  <c r="AN56" i="84"/>
  <c r="AN43" i="84"/>
  <c r="AO56" i="84"/>
  <c r="AM55" i="84"/>
  <c r="P23" i="84"/>
  <c r="P12" i="84"/>
  <c r="AO41" i="84"/>
  <c r="P28" i="84"/>
  <c r="AM50" i="84"/>
  <c r="AM53" i="84"/>
  <c r="AM45" i="84"/>
  <c r="AN50" i="84"/>
  <c r="AO47" i="84"/>
  <c r="AM52" i="84"/>
  <c r="AM46" i="84"/>
  <c r="AO44" i="84"/>
  <c r="P19" i="84"/>
  <c r="AM38" i="84"/>
  <c r="AO20" i="84"/>
  <c r="I20" i="84" s="1"/>
  <c r="AO16" i="84"/>
  <c r="I16" i="84" s="1"/>
  <c r="AO27" i="84"/>
  <c r="I27" i="84" s="1"/>
  <c r="AO25" i="84"/>
  <c r="I25" i="84" s="1"/>
  <c r="AO18" i="84"/>
  <c r="I18" i="84" s="1"/>
  <c r="AO14" i="84"/>
  <c r="I14" i="84" s="1"/>
  <c r="AO19" i="84"/>
  <c r="I19" i="84" s="1"/>
  <c r="AO53" i="84"/>
  <c r="AO54" i="84"/>
  <c r="P15" i="84"/>
  <c r="AN38" i="84"/>
  <c r="AM43" i="84"/>
  <c r="P11" i="84"/>
  <c r="AM47" i="84"/>
  <c r="AO11" i="84"/>
  <c r="I11" i="84" s="1"/>
  <c r="AN55" i="84"/>
  <c r="AP44" i="84"/>
  <c r="AO49" i="84"/>
  <c r="K314" i="83"/>
  <c r="AL339" i="83" s="1"/>
  <c r="P16" i="84"/>
  <c r="P17" i="84"/>
  <c r="AM54" i="84"/>
  <c r="P26" i="84"/>
  <c r="AO51" i="84"/>
  <c r="AN54" i="84"/>
  <c r="AM39" i="84"/>
  <c r="AN48" i="84"/>
  <c r="AO26" i="84"/>
  <c r="I26" i="84" s="1"/>
  <c r="AO21" i="84"/>
  <c r="I21" i="84" s="1"/>
  <c r="AO13" i="84"/>
  <c r="I13" i="84" s="1"/>
  <c r="AO12" i="84"/>
  <c r="I12" i="84" s="1"/>
  <c r="AO28" i="84"/>
  <c r="I28" i="84" s="1"/>
  <c r="AO23" i="84"/>
  <c r="I23" i="84" s="1"/>
  <c r="AM42" i="84"/>
  <c r="AR56" i="83"/>
  <c r="AT52" i="83"/>
  <c r="AV46" i="83"/>
  <c r="AV45" i="83"/>
  <c r="AS44" i="83"/>
  <c r="AV41" i="83"/>
  <c r="AT49" i="83"/>
  <c r="AR53" i="83"/>
  <c r="AV39" i="83"/>
  <c r="AS38" i="83"/>
  <c r="AS53" i="83"/>
  <c r="AS47" i="83"/>
  <c r="AT48" i="83"/>
  <c r="AR38" i="83"/>
  <c r="AV43" i="83"/>
  <c r="AV50" i="83"/>
  <c r="AR42" i="83"/>
  <c r="AT50" i="83"/>
  <c r="AS43" i="83"/>
  <c r="AS52" i="83"/>
  <c r="AR50" i="83"/>
  <c r="AS48" i="83"/>
  <c r="AS40" i="83"/>
  <c r="AO55" i="83"/>
  <c r="AO47" i="83"/>
  <c r="AO52" i="83"/>
  <c r="AM43" i="83"/>
  <c r="AO19" i="83"/>
  <c r="I19" i="83" s="1"/>
  <c r="AO15" i="83"/>
  <c r="I15" i="83" s="1"/>
  <c r="AM45" i="83"/>
  <c r="AM47" i="83"/>
  <c r="AO54" i="83"/>
  <c r="AM39" i="83"/>
  <c r="AO56" i="83"/>
  <c r="P21" i="84"/>
  <c r="AP52" i="84"/>
  <c r="P25" i="84"/>
  <c r="P13" i="84"/>
  <c r="AP47" i="84"/>
  <c r="P20" i="84"/>
  <c r="AP41" i="84"/>
  <c r="P14" i="84"/>
  <c r="P18" i="84"/>
  <c r="AP56" i="84"/>
  <c r="P29" i="84"/>
  <c r="P22" i="84"/>
  <c r="AM51" i="83"/>
  <c r="AM53" i="83"/>
  <c r="AN53" i="83"/>
  <c r="AN48" i="83"/>
  <c r="L231" i="83"/>
  <c r="AK226" i="83"/>
  <c r="AN50" i="83"/>
  <c r="AO31" i="83"/>
  <c r="I31" i="83" s="1"/>
  <c r="AO28" i="83"/>
  <c r="I28" i="83" s="1"/>
  <c r="AO23" i="83"/>
  <c r="I23" i="83" s="1"/>
  <c r="AN40" i="83"/>
  <c r="AO13" i="83"/>
  <c r="I13" i="83" s="1"/>
  <c r="Y74" i="83" s="1"/>
  <c r="AL46" i="83"/>
  <c r="AM38" i="83"/>
  <c r="AO20" i="83"/>
  <c r="I20" i="83" s="1"/>
  <c r="AO12" i="83"/>
  <c r="I12" i="83" s="1"/>
  <c r="AO21" i="83"/>
  <c r="I21" i="83" s="1"/>
  <c r="AL44" i="83"/>
  <c r="AO58" i="83"/>
  <c r="AN38" i="83"/>
  <c r="AO51" i="83"/>
  <c r="AS24" i="83"/>
  <c r="AN39" i="83"/>
  <c r="AR12" i="83"/>
  <c r="AO26" i="83"/>
  <c r="I26" i="83" s="1"/>
  <c r="AS19" i="83"/>
  <c r="AN54" i="83"/>
  <c r="AR27" i="83"/>
  <c r="AR14" i="83"/>
  <c r="AO39" i="83"/>
  <c r="AN47" i="83"/>
  <c r="AR20" i="83"/>
  <c r="AM42" i="83"/>
  <c r="AQ15" i="83"/>
  <c r="AO43" i="83"/>
  <c r="AQ21" i="83"/>
  <c r="AR19" i="83"/>
  <c r="AO44" i="83"/>
  <c r="AS17" i="83"/>
  <c r="AO38" i="83"/>
  <c r="AS11" i="83"/>
  <c r="AO53" i="83"/>
  <c r="AS26" i="83"/>
  <c r="AO48" i="83"/>
  <c r="AS21" i="83"/>
  <c r="AN45" i="83"/>
  <c r="AR18" i="83"/>
  <c r="AN59" i="83"/>
  <c r="AR28" i="83"/>
  <c r="AM49" i="83"/>
  <c r="AM46" i="83"/>
  <c r="AQ19" i="83"/>
  <c r="AO29" i="83"/>
  <c r="I29" i="83" s="1"/>
  <c r="AO16" i="83"/>
  <c r="I16" i="83" s="1"/>
  <c r="AO17" i="83"/>
  <c r="I17" i="83" s="1"/>
  <c r="AR29" i="83"/>
  <c r="AN52" i="83"/>
  <c r="AR25" i="83"/>
  <c r="AR15" i="83"/>
  <c r="AO11" i="83"/>
  <c r="I11" i="83" s="1"/>
  <c r="AQ27" i="83"/>
  <c r="AO40" i="83"/>
  <c r="AS13" i="83"/>
  <c r="AO42" i="83"/>
  <c r="AS15" i="83"/>
  <c r="AR31" i="83"/>
  <c r="AP58" i="83"/>
  <c r="AT31" i="83"/>
  <c r="AN43" i="83"/>
  <c r="AR16" i="83"/>
  <c r="AM50" i="83"/>
  <c r="AQ23" i="83"/>
  <c r="AM41" i="83"/>
  <c r="AK59" i="83"/>
  <c r="L62" i="83"/>
  <c r="AQ13" i="83"/>
  <c r="AM52" i="83"/>
  <c r="AN44" i="83"/>
  <c r="AR17" i="83"/>
  <c r="AQ17" i="83"/>
  <c r="AO27" i="83"/>
  <c r="I27" i="83" s="1"/>
  <c r="AO25" i="83"/>
  <c r="I25" i="83" s="1"/>
  <c r="AO22" i="83"/>
  <c r="I22" i="83" s="1"/>
  <c r="AO18" i="83"/>
  <c r="I18" i="83" s="1"/>
  <c r="AO14" i="83"/>
  <c r="I14" i="83" s="1"/>
  <c r="AG12" i="83"/>
  <c r="P12" i="83"/>
  <c r="AG29" i="83"/>
  <c r="P29" i="83"/>
  <c r="AG19" i="83"/>
  <c r="P19" i="83"/>
  <c r="P27" i="83"/>
  <c r="AG27" i="83"/>
  <c r="P11" i="83"/>
  <c r="AG16" i="83"/>
  <c r="P16" i="83"/>
  <c r="AG23" i="83"/>
  <c r="P23" i="83"/>
  <c r="P22" i="83"/>
  <c r="AG22" i="83"/>
  <c r="P18" i="83"/>
  <c r="AG18" i="83"/>
  <c r="P26" i="83"/>
  <c r="AG26" i="83"/>
  <c r="AG24" i="83"/>
  <c r="P24" i="83"/>
  <c r="P21" i="83"/>
  <c r="AG21" i="83"/>
  <c r="AG17" i="83"/>
  <c r="P17" i="83"/>
  <c r="P13" i="83"/>
  <c r="AG13" i="83"/>
  <c r="AG15" i="83"/>
  <c r="P15" i="83"/>
  <c r="AG28" i="83"/>
  <c r="P28" i="83"/>
  <c r="P14" i="83"/>
  <c r="AG14" i="83"/>
  <c r="AG20" i="83"/>
  <c r="P20" i="83"/>
  <c r="P25" i="83"/>
  <c r="AG25" i="83"/>
  <c r="AR40" i="83"/>
  <c r="AV54" i="83"/>
  <c r="AX52" i="83"/>
  <c r="AX59" i="85"/>
  <c r="AS41" i="83"/>
  <c r="AS59" i="84"/>
  <c r="AJ95" i="86"/>
  <c r="BA44" i="83"/>
  <c r="AT53" i="83"/>
  <c r="AS58" i="83"/>
  <c r="AX47" i="83"/>
  <c r="AT59" i="83"/>
  <c r="AS59" i="85"/>
  <c r="AM40" i="83"/>
  <c r="AM59" i="84"/>
  <c r="AM59" i="85"/>
  <c r="AL59" i="85"/>
  <c r="AX59" i="83"/>
  <c r="AW55" i="83"/>
  <c r="AW51" i="83"/>
  <c r="AN59" i="84"/>
  <c r="AP43" i="85"/>
  <c r="AZ53" i="83"/>
  <c r="AZ59" i="85"/>
  <c r="AK95" i="86"/>
  <c r="AW59" i="85"/>
  <c r="AR59" i="84"/>
  <c r="AG95" i="86"/>
  <c r="BA59" i="84"/>
  <c r="AT59" i="85"/>
  <c r="AY59" i="84"/>
  <c r="AR54" i="83"/>
  <c r="AW59" i="83"/>
  <c r="AM40" i="84"/>
  <c r="AO59" i="84"/>
  <c r="AW59" i="84"/>
  <c r="AZ59" i="84"/>
  <c r="AV51" i="83"/>
  <c r="AX43" i="83"/>
  <c r="AY40" i="84"/>
  <c r="AV59" i="84"/>
  <c r="AV48" i="83"/>
  <c r="AV59" i="85"/>
  <c r="AP40" i="85"/>
  <c r="AV59" i="83"/>
  <c r="AV40" i="83"/>
  <c r="AG80" i="86"/>
  <c r="AP49" i="85"/>
  <c r="BA38" i="83"/>
  <c r="BA59" i="85"/>
  <c r="AG77" i="86"/>
  <c r="AP41" i="85"/>
  <c r="AT42" i="83"/>
  <c r="AU40" i="83"/>
  <c r="AG76" i="86"/>
  <c r="BA43" i="83"/>
  <c r="AZ47" i="83"/>
  <c r="AR39" i="83"/>
  <c r="BA53" i="83"/>
  <c r="AP40" i="84"/>
  <c r="AP59" i="84"/>
  <c r="AW40" i="85"/>
  <c r="BA40" i="83"/>
  <c r="BA50" i="83"/>
  <c r="AZ55" i="83"/>
  <c r="AR49" i="83"/>
  <c r="AT43" i="83"/>
  <c r="AZ56" i="83"/>
  <c r="AS45" i="83"/>
  <c r="AV58" i="83"/>
  <c r="AS39" i="83"/>
  <c r="AT45" i="83"/>
  <c r="AZ43" i="83"/>
  <c r="AP50" i="85"/>
  <c r="AU39" i="83"/>
  <c r="BA59" i="83"/>
  <c r="AI95" i="86"/>
  <c r="AR52" i="83"/>
  <c r="AY44" i="83"/>
  <c r="AN46" i="83"/>
  <c r="AW40" i="84"/>
  <c r="AR45" i="83"/>
  <c r="BA54" i="83"/>
  <c r="AN42" i="83"/>
  <c r="AM59" i="83"/>
  <c r="AY59" i="85"/>
  <c r="AO59" i="85"/>
  <c r="AF76" i="86"/>
  <c r="AF95" i="86"/>
  <c r="AM95" i="86"/>
  <c r="AG75" i="86"/>
  <c r="AB95" i="86"/>
  <c r="AG85" i="86"/>
  <c r="AY46" i="83"/>
  <c r="AT41" i="83"/>
  <c r="AZ40" i="85"/>
  <c r="AR59" i="85"/>
  <c r="AR59" i="83"/>
  <c r="AR48" i="83"/>
  <c r="AU41" i="83"/>
  <c r="AT38" i="83"/>
  <c r="BA40" i="84"/>
  <c r="AP45" i="84"/>
  <c r="AP48" i="84"/>
  <c r="AG86" i="86"/>
  <c r="AG90" i="86"/>
  <c r="AS40" i="85"/>
  <c r="AU40" i="85"/>
  <c r="AP47" i="85"/>
  <c r="AP42" i="85"/>
  <c r="AP46" i="85"/>
  <c r="AK59" i="85"/>
  <c r="AN59" i="85"/>
  <c r="AS46" i="83"/>
  <c r="AS59" i="83"/>
  <c r="BA41" i="83"/>
  <c r="AW49" i="83"/>
  <c r="AZ38" i="83"/>
  <c r="AU40" i="84"/>
  <c r="AS40" i="84"/>
  <c r="AX40" i="85"/>
  <c r="AX56" i="83"/>
  <c r="AX51" i="83"/>
  <c r="AV44" i="83"/>
  <c r="AX58" i="83"/>
  <c r="AL41" i="83"/>
  <c r="AY42" i="83"/>
  <c r="AX59" i="84"/>
  <c r="AL59" i="84"/>
  <c r="AT59" i="84"/>
  <c r="AP49" i="84"/>
  <c r="AS42" i="83"/>
  <c r="AR47" i="83"/>
  <c r="AN41" i="83"/>
  <c r="AT54" i="83"/>
  <c r="AS50" i="83"/>
  <c r="AR44" i="83"/>
  <c r="X185" i="84"/>
  <c r="AD185" i="84" s="1"/>
  <c r="BE55" i="84"/>
  <c r="X184" i="84"/>
  <c r="AD184" i="84" s="1"/>
  <c r="X176" i="84"/>
  <c r="AD176" i="84" s="1"/>
  <c r="BE56" i="84"/>
  <c r="BB55" i="84"/>
  <c r="BF51" i="84"/>
  <c r="BE49" i="84"/>
  <c r="BB48" i="84"/>
  <c r="BD46" i="84"/>
  <c r="BF44" i="84"/>
  <c r="BE41" i="84"/>
  <c r="BB40" i="84"/>
  <c r="BC56" i="84"/>
  <c r="BF50" i="84"/>
  <c r="BC49" i="84"/>
  <c r="BB46" i="84"/>
  <c r="BD44" i="84"/>
  <c r="BF42" i="84"/>
  <c r="BC41" i="84"/>
  <c r="BB51" i="84"/>
  <c r="BD50" i="84"/>
  <c r="BF48" i="84"/>
  <c r="BB44" i="84"/>
  <c r="BD42" i="84"/>
  <c r="BF40" i="84"/>
  <c r="BD55" i="84"/>
  <c r="BD53" i="84"/>
  <c r="BC52" i="84"/>
  <c r="BD48" i="84"/>
  <c r="BE43" i="84"/>
  <c r="BD40" i="84"/>
  <c r="BF46" i="84"/>
  <c r="BB42" i="84"/>
  <c r="BC45" i="84"/>
  <c r="BB50" i="84"/>
  <c r="BC48" i="84"/>
  <c r="X182" i="84"/>
  <c r="AD182" i="84" s="1"/>
  <c r="BF56" i="84"/>
  <c r="BE44" i="84"/>
  <c r="BC42" i="84"/>
  <c r="BF55" i="84"/>
  <c r="BB52" i="84"/>
  <c r="BD52" i="84"/>
  <c r="BC43" i="84"/>
  <c r="BF54" i="84"/>
  <c r="BB53" i="84"/>
  <c r="BB49" i="84"/>
  <c r="BD49" i="84"/>
  <c r="BB41" i="84"/>
  <c r="BD41" i="84"/>
  <c r="X186" i="84"/>
  <c r="AD186" i="84" s="1"/>
  <c r="BC59" i="84"/>
  <c r="BD59" i="84"/>
  <c r="BD39" i="84"/>
  <c r="BB39" i="84"/>
  <c r="AX45" i="83"/>
  <c r="AT39" i="83"/>
  <c r="BE50" i="84"/>
  <c r="BC44" i="84"/>
  <c r="BE48" i="84"/>
  <c r="BC46" i="84"/>
  <c r="BF52" i="84"/>
  <c r="BB45" i="84"/>
  <c r="BD45" i="84"/>
  <c r="AP51" i="84"/>
  <c r="X191" i="84"/>
  <c r="AD191" i="84" s="1"/>
  <c r="BE54" i="84"/>
  <c r="BC54" i="84"/>
  <c r="BC53" i="84"/>
  <c r="BF49" i="84"/>
  <c r="BF41" i="84"/>
  <c r="AP42" i="84"/>
  <c r="X180" i="84"/>
  <c r="AD180" i="84" s="1"/>
  <c r="BD47" i="84"/>
  <c r="BB47" i="84"/>
  <c r="BF59" i="84"/>
  <c r="BB59" i="84"/>
  <c r="AP39" i="84"/>
  <c r="BF39" i="84"/>
  <c r="AT47" i="83"/>
  <c r="BE46" i="84"/>
  <c r="BC40" i="84"/>
  <c r="BE51" i="84"/>
  <c r="BC50" i="84"/>
  <c r="BC55" i="84"/>
  <c r="BF45" i="84"/>
  <c r="AP53" i="84"/>
  <c r="BD54" i="84"/>
  <c r="BD43" i="84"/>
  <c r="BB43" i="84"/>
  <c r="AP54" i="84"/>
  <c r="BE53" i="84"/>
  <c r="X193" i="84"/>
  <c r="AD193" i="84" s="1"/>
  <c r="BF47" i="84"/>
  <c r="AK59" i="84"/>
  <c r="BE59" i="84"/>
  <c r="BC39" i="84"/>
  <c r="BE39" i="84"/>
  <c r="AS55" i="83"/>
  <c r="AW50" i="83"/>
  <c r="AW40" i="83"/>
  <c r="AR41" i="83"/>
  <c r="BD56" i="84"/>
  <c r="BC51" i="84"/>
  <c r="BE42" i="84"/>
  <c r="X189" i="84"/>
  <c r="AD189" i="84" s="1"/>
  <c r="BB56" i="84"/>
  <c r="BE40" i="84"/>
  <c r="BB54" i="84"/>
  <c r="BF43" i="84"/>
  <c r="BF53" i="84"/>
  <c r="BE52" i="84"/>
  <c r="BE45" i="84"/>
  <c r="AP50" i="84"/>
  <c r="BC47" i="84"/>
  <c r="BE47" i="84"/>
  <c r="AP55" i="84"/>
  <c r="AP45" i="83"/>
  <c r="AZ50" i="83"/>
  <c r="AZ54" i="83"/>
  <c r="AO59" i="83"/>
  <c r="AV56" i="83"/>
  <c r="AV52" i="83"/>
  <c r="AX50" i="83"/>
  <c r="AY55" i="83"/>
  <c r="AY54" i="83"/>
  <c r="AV53" i="83"/>
  <c r="AT46" i="83"/>
  <c r="AR55" i="83"/>
  <c r="AV55" i="83"/>
  <c r="AR51" i="83"/>
  <c r="BA46" i="83"/>
  <c r="AL56" i="83"/>
  <c r="AZ41" i="83"/>
  <c r="AX39" i="83"/>
  <c r="AW54" i="83"/>
  <c r="AZ46" i="83"/>
  <c r="AU38" i="83"/>
  <c r="AP59" i="83"/>
  <c r="AL39" i="83"/>
  <c r="AW58" i="83"/>
  <c r="AW46" i="83"/>
  <c r="AP54" i="83"/>
  <c r="AL55" i="83"/>
  <c r="AY59" i="83"/>
  <c r="AR46" i="83"/>
  <c r="AZ48" i="83"/>
  <c r="AW39" i="83"/>
  <c r="AX55" i="83"/>
  <c r="AW47" i="83"/>
  <c r="AS56" i="83"/>
  <c r="AN56" i="83"/>
  <c r="AS51" i="83"/>
  <c r="BA42" i="83"/>
  <c r="AM55" i="83"/>
  <c r="AO50" i="83"/>
  <c r="AN58" i="83"/>
  <c r="AY56" i="83"/>
  <c r="AZ44" i="83"/>
  <c r="AP49" i="83"/>
  <c r="AP51" i="83"/>
  <c r="AN49" i="83"/>
  <c r="AP44" i="83"/>
  <c r="AW53" i="83"/>
  <c r="AP43" i="83"/>
  <c r="AP39" i="83"/>
  <c r="AL54" i="83"/>
  <c r="AT55" i="83"/>
  <c r="AV42" i="83"/>
  <c r="AY48" i="83"/>
  <c r="AT40" i="83"/>
  <c r="AY50" i="83"/>
  <c r="AR43" i="83"/>
  <c r="AY39" i="83"/>
  <c r="AT58" i="83"/>
  <c r="AX40" i="83"/>
  <c r="AZ51" i="83"/>
  <c r="Y197" i="83"/>
  <c r="AY49" i="83"/>
  <c r="AX46" i="83"/>
  <c r="AW38" i="83"/>
  <c r="AM58" i="83"/>
  <c r="AY58" i="83"/>
  <c r="AX48" i="83"/>
  <c r="AS54" i="83"/>
  <c r="AZ40" i="83"/>
  <c r="AO46" i="83"/>
  <c r="AY40" i="83"/>
  <c r="AM48" i="83"/>
  <c r="AX44" i="83"/>
  <c r="AS49" i="83"/>
  <c r="AP38" i="83"/>
  <c r="AN55" i="83"/>
  <c r="AP56" i="83"/>
  <c r="AP52" i="83"/>
  <c r="AP41" i="83"/>
  <c r="AT44" i="83"/>
  <c r="AV38" i="83"/>
  <c r="AP48" i="83"/>
  <c r="AP50" i="83"/>
  <c r="AP46" i="83"/>
  <c r="AP55" i="83"/>
  <c r="Y30" i="83"/>
  <c r="AP40" i="83"/>
  <c r="AP53" i="83"/>
  <c r="AZ59" i="83"/>
  <c r="AP47" i="83"/>
  <c r="AP42" i="83"/>
  <c r="AH11" i="83" l="1"/>
  <c r="Q11" i="83" s="1"/>
  <c r="D104" i="76" s="1"/>
  <c r="R63" i="92"/>
  <c r="J63" i="92"/>
  <c r="Q63" i="92"/>
  <c r="E63" i="92"/>
  <c r="N63" i="92"/>
  <c r="I63" i="92"/>
  <c r="P54" i="92"/>
  <c r="R54" i="92"/>
  <c r="D62" i="92"/>
  <c r="H62" i="92"/>
  <c r="Q62" i="92"/>
  <c r="H63" i="92"/>
  <c r="M63" i="92"/>
  <c r="G54" i="92"/>
  <c r="T54" i="92"/>
  <c r="R62" i="92"/>
  <c r="B62" i="92"/>
  <c r="F63" i="92"/>
  <c r="T63" i="92"/>
  <c r="J54" i="92"/>
  <c r="H54" i="92"/>
  <c r="P62" i="92"/>
  <c r="O62" i="92"/>
  <c r="C62" i="92"/>
  <c r="L63" i="92"/>
  <c r="C63" i="92"/>
  <c r="S54" i="92"/>
  <c r="O54" i="92"/>
  <c r="S62" i="92"/>
  <c r="F54" i="92"/>
  <c r="C54" i="92"/>
  <c r="D54" i="92"/>
  <c r="K62" i="92"/>
  <c r="N62" i="92"/>
  <c r="D63" i="92"/>
  <c r="P63" i="92"/>
  <c r="E54" i="92"/>
  <c r="I54" i="92"/>
  <c r="M54" i="92"/>
  <c r="E62" i="92"/>
  <c r="T62" i="92"/>
  <c r="G63" i="92"/>
  <c r="K63" i="92"/>
  <c r="B63" i="92"/>
  <c r="K54" i="92"/>
  <c r="L54" i="92"/>
  <c r="I62" i="92"/>
  <c r="M62" i="92"/>
  <c r="S63" i="92"/>
  <c r="O63" i="92"/>
  <c r="N54" i="92"/>
  <c r="Q54" i="92"/>
  <c r="L62" i="92"/>
  <c r="F62" i="92"/>
  <c r="G62" i="92"/>
  <c r="J69" i="76"/>
  <c r="H48" i="92" s="1"/>
  <c r="N69" i="76"/>
  <c r="L48" i="92" s="1"/>
  <c r="K69" i="76"/>
  <c r="I48" i="92" s="1"/>
  <c r="I69" i="76"/>
  <c r="G48" i="92" s="1"/>
  <c r="H69" i="76"/>
  <c r="F48" i="92" s="1"/>
  <c r="E69" i="76"/>
  <c r="C48" i="92" s="1"/>
  <c r="AP347" i="83"/>
  <c r="AG329" i="83"/>
  <c r="W74" i="76"/>
  <c r="D69" i="76"/>
  <c r="B48" i="92" s="1"/>
  <c r="M69" i="76"/>
  <c r="K48" i="92" s="1"/>
  <c r="W73" i="76"/>
  <c r="G69" i="76"/>
  <c r="E48" i="92" s="1"/>
  <c r="W72" i="76"/>
  <c r="T30" i="84"/>
  <c r="AH15" i="84"/>
  <c r="Q15" i="84" s="1"/>
  <c r="H107" i="76" s="1"/>
  <c r="AH18" i="84"/>
  <c r="Q18" i="84" s="1"/>
  <c r="K107" i="76" s="1"/>
  <c r="AH23" i="84"/>
  <c r="Q23" i="84" s="1"/>
  <c r="P107" i="76" s="1"/>
  <c r="AH12" i="84"/>
  <c r="Q12" i="84" s="1"/>
  <c r="E107" i="76" s="1"/>
  <c r="AH11" i="84"/>
  <c r="Q11" i="84" s="1"/>
  <c r="D107" i="76" s="1"/>
  <c r="AH27" i="84"/>
  <c r="Q27" i="84" s="1"/>
  <c r="T107" i="76" s="1"/>
  <c r="AH22" i="84"/>
  <c r="Q22" i="84" s="1"/>
  <c r="O107" i="76" s="1"/>
  <c r="AH16" i="84"/>
  <c r="Q16" i="84" s="1"/>
  <c r="I107" i="76" s="1"/>
  <c r="AH17" i="84"/>
  <c r="Q17" i="84" s="1"/>
  <c r="J107" i="76" s="1"/>
  <c r="AH19" i="84"/>
  <c r="Q19" i="84" s="1"/>
  <c r="L107" i="76" s="1"/>
  <c r="AH24" i="84"/>
  <c r="Q24" i="84" s="1"/>
  <c r="Q107" i="76" s="1"/>
  <c r="AH20" i="84"/>
  <c r="Q20" i="84" s="1"/>
  <c r="M107" i="76" s="1"/>
  <c r="AH28" i="84"/>
  <c r="Q28" i="84" s="1"/>
  <c r="U107" i="76" s="1"/>
  <c r="AH14" i="84"/>
  <c r="Q14" i="84" s="1"/>
  <c r="G107" i="76" s="1"/>
  <c r="AH29" i="84"/>
  <c r="Q29" i="84" s="1"/>
  <c r="V107" i="76" s="1"/>
  <c r="AH21" i="84"/>
  <c r="Q21" i="84" s="1"/>
  <c r="N107" i="76" s="1"/>
  <c r="AH25" i="84"/>
  <c r="Q25" i="84" s="1"/>
  <c r="R107" i="76" s="1"/>
  <c r="AH13" i="84"/>
  <c r="Q13" i="84" s="1"/>
  <c r="F107" i="76" s="1"/>
  <c r="AH26" i="84"/>
  <c r="Q26" i="84" s="1"/>
  <c r="S107" i="76" s="1"/>
  <c r="Y74" i="84"/>
  <c r="U69" i="76"/>
  <c r="S48" i="92" s="1"/>
  <c r="AG328" i="83"/>
  <c r="T69" i="76"/>
  <c r="R48" i="92" s="1"/>
  <c r="AG327" i="83"/>
  <c r="X76" i="76"/>
  <c r="BG41" i="84"/>
  <c r="X69" i="76"/>
  <c r="P334" i="83"/>
  <c r="BG58" i="84"/>
  <c r="BJ58" i="84"/>
  <c r="BH58" i="84"/>
  <c r="BI58" i="84"/>
  <c r="BK58" i="84"/>
  <c r="V76" i="76"/>
  <c r="T55" i="92" s="1"/>
  <c r="N76" i="76"/>
  <c r="L55" i="92" s="1"/>
  <c r="F76" i="76"/>
  <c r="D55" i="92" s="1"/>
  <c r="M76" i="76"/>
  <c r="K55" i="92" s="1"/>
  <c r="P76" i="76"/>
  <c r="N55" i="92" s="1"/>
  <c r="U76" i="76"/>
  <c r="S55" i="92" s="1"/>
  <c r="H76" i="76"/>
  <c r="F55" i="92" s="1"/>
  <c r="S76" i="76"/>
  <c r="Q55" i="92" s="1"/>
  <c r="O76" i="76"/>
  <c r="M55" i="92" s="1"/>
  <c r="Q76" i="76"/>
  <c r="O55" i="92" s="1"/>
  <c r="G76" i="76"/>
  <c r="E55" i="92" s="1"/>
  <c r="R76" i="76"/>
  <c r="P55" i="92" s="1"/>
  <c r="L76" i="76"/>
  <c r="J55" i="92" s="1"/>
  <c r="D76" i="76"/>
  <c r="B55" i="92" s="1"/>
  <c r="K76" i="76"/>
  <c r="I55" i="92" s="1"/>
  <c r="I76" i="76"/>
  <c r="G55" i="92" s="1"/>
  <c r="J76" i="76"/>
  <c r="H55" i="92" s="1"/>
  <c r="T76" i="76"/>
  <c r="R55" i="92" s="1"/>
  <c r="W76" i="76"/>
  <c r="E76" i="76"/>
  <c r="C55" i="92" s="1"/>
  <c r="BG39" i="84"/>
  <c r="BH47" i="84"/>
  <c r="BK46" i="84"/>
  <c r="BG40" i="84"/>
  <c r="BJ54" i="84"/>
  <c r="BJ49" i="84"/>
  <c r="BK55" i="84"/>
  <c r="BJ42" i="84"/>
  <c r="BI50" i="84"/>
  <c r="BG43" i="84"/>
  <c r="BG57" i="84"/>
  <c r="BG38" i="84"/>
  <c r="BG51" i="84"/>
  <c r="BG45" i="84"/>
  <c r="BI59" i="84"/>
  <c r="BJ39" i="84"/>
  <c r="BG47" i="84"/>
  <c r="BJ46" i="84"/>
  <c r="BH48" i="84"/>
  <c r="BI54" i="84"/>
  <c r="BK49" i="84"/>
  <c r="BJ55" i="84"/>
  <c r="BK42" i="84"/>
  <c r="BH56" i="84"/>
  <c r="BH43" i="84"/>
  <c r="BJ57" i="84"/>
  <c r="BH38" i="84"/>
  <c r="BJ51" i="84"/>
  <c r="BJ52" i="84"/>
  <c r="BJ59" i="84"/>
  <c r="BH39" i="84"/>
  <c r="BJ53" i="84"/>
  <c r="BH46" i="84"/>
  <c r="BJ48" i="84"/>
  <c r="BK54" i="84"/>
  <c r="BI49" i="84"/>
  <c r="BI42" i="84"/>
  <c r="BK56" i="84"/>
  <c r="BK43" i="84"/>
  <c r="BH57" i="84"/>
  <c r="BJ44" i="84"/>
  <c r="BK51" i="84"/>
  <c r="BG52" i="84"/>
  <c r="BK59" i="84"/>
  <c r="BI39" i="84"/>
  <c r="BK53" i="84"/>
  <c r="BI46" i="84"/>
  <c r="BG48" i="84"/>
  <c r="BH41" i="84"/>
  <c r="BH49" i="84"/>
  <c r="BH42" i="84"/>
  <c r="BJ56" i="84"/>
  <c r="BI57" i="84"/>
  <c r="BG44" i="84"/>
  <c r="BH51" i="84"/>
  <c r="BH52" i="84"/>
  <c r="BG59" i="84"/>
  <c r="BK39" i="84"/>
  <c r="BI53" i="84"/>
  <c r="BK40" i="84"/>
  <c r="BI48" i="84"/>
  <c r="BK41" i="84"/>
  <c r="BG49" i="84"/>
  <c r="BG50" i="84"/>
  <c r="BI56" i="84"/>
  <c r="BK57" i="84"/>
  <c r="BI44" i="84"/>
  <c r="BI45" i="84"/>
  <c r="BI52" i="84"/>
  <c r="BK47" i="84"/>
  <c r="BH53" i="84"/>
  <c r="BH40" i="84"/>
  <c r="BK48" i="84"/>
  <c r="BJ41" i="84"/>
  <c r="BG55" i="84"/>
  <c r="BK50" i="84"/>
  <c r="BG56" i="84"/>
  <c r="BJ38" i="84"/>
  <c r="BK44" i="84"/>
  <c r="BJ45" i="84"/>
  <c r="BK52" i="84"/>
  <c r="BI47" i="84"/>
  <c r="BG53" i="84"/>
  <c r="BI40" i="84"/>
  <c r="BG54" i="84"/>
  <c r="BI55" i="84"/>
  <c r="BJ50" i="84"/>
  <c r="BI43" i="84"/>
  <c r="BI38" i="84"/>
  <c r="BH44" i="84"/>
  <c r="BK45" i="84"/>
  <c r="BJ47" i="84"/>
  <c r="BG46" i="84"/>
  <c r="BJ40" i="84"/>
  <c r="BH54" i="84"/>
  <c r="BI41" i="84"/>
  <c r="BH55" i="84"/>
  <c r="BG42" i="84"/>
  <c r="BH50" i="84"/>
  <c r="BJ43" i="84"/>
  <c r="BK38" i="84"/>
  <c r="BI51" i="84"/>
  <c r="BH45" i="84"/>
  <c r="BH59" i="84"/>
  <c r="X214" i="84"/>
  <c r="AD214" i="84" s="1"/>
  <c r="X208" i="84"/>
  <c r="AD208" i="84" s="1"/>
  <c r="X212" i="84"/>
  <c r="AD212" i="84" s="1"/>
  <c r="X221" i="84"/>
  <c r="AD221" i="84" s="1"/>
  <c r="AO313" i="83"/>
  <c r="I315" i="83" s="1"/>
  <c r="AM346" i="83"/>
  <c r="AQ332" i="83"/>
  <c r="AM355" i="83"/>
  <c r="AM344" i="83"/>
  <c r="AQ316" i="83"/>
  <c r="AQ315" i="83"/>
  <c r="AS317" i="83"/>
  <c r="AS325" i="83"/>
  <c r="AQ318" i="83"/>
  <c r="AS319" i="83"/>
  <c r="AM339" i="83"/>
  <c r="AR326" i="83"/>
  <c r="AO351" i="83"/>
  <c r="AR329" i="83"/>
  <c r="AN343" i="83"/>
  <c r="AQ321" i="83"/>
  <c r="AN350" i="83"/>
  <c r="AM349" i="83"/>
  <c r="AS318" i="83"/>
  <c r="AN342" i="83"/>
  <c r="AN347" i="83"/>
  <c r="AO343" i="83"/>
  <c r="AR321" i="83"/>
  <c r="AQ324" i="83"/>
  <c r="AO353" i="83"/>
  <c r="AQ323" i="83"/>
  <c r="AQ326" i="83"/>
  <c r="AR319" i="83"/>
  <c r="AN355" i="83"/>
  <c r="AQ330" i="83"/>
  <c r="AQ329" i="83"/>
  <c r="AO340" i="83"/>
  <c r="AO354" i="83"/>
  <c r="AO355" i="83"/>
  <c r="AR311" i="83"/>
  <c r="AN360" i="83"/>
  <c r="AO348" i="83"/>
  <c r="AD330" i="83"/>
  <c r="AA330" i="83"/>
  <c r="T322" i="83"/>
  <c r="L69" i="76"/>
  <c r="T328" i="83"/>
  <c r="R69" i="76"/>
  <c r="T326" i="83"/>
  <c r="P69" i="76"/>
  <c r="T325" i="83"/>
  <c r="O69" i="76"/>
  <c r="T329" i="83"/>
  <c r="S69" i="76"/>
  <c r="T316" i="83"/>
  <c r="F69" i="76"/>
  <c r="T332" i="83"/>
  <c r="V69" i="76"/>
  <c r="AP352" i="83"/>
  <c r="Q69" i="76"/>
  <c r="AT326" i="83"/>
  <c r="AT330" i="83"/>
  <c r="AP357" i="83"/>
  <c r="AT314" i="83"/>
  <c r="P316" i="83"/>
  <c r="AP354" i="83"/>
  <c r="AG324" i="83"/>
  <c r="P332" i="83"/>
  <c r="P328" i="83"/>
  <c r="AG313" i="83"/>
  <c r="AP353" i="83"/>
  <c r="AE330" i="83"/>
  <c r="P322" i="83"/>
  <c r="AP341" i="83"/>
  <c r="AT320" i="83"/>
  <c r="AG319" i="83"/>
  <c r="P326" i="83"/>
  <c r="AG322" i="83"/>
  <c r="AT323" i="83"/>
  <c r="AG323" i="83"/>
  <c r="P325" i="83"/>
  <c r="AP350" i="83"/>
  <c r="AP351" i="83"/>
  <c r="AB330" i="83"/>
  <c r="AT324" i="83"/>
  <c r="AT332" i="83"/>
  <c r="AM360" i="83"/>
  <c r="AR324" i="83"/>
  <c r="AP359" i="83"/>
  <c r="AN340" i="83"/>
  <c r="AN359" i="83"/>
  <c r="AQ320" i="83"/>
  <c r="AQ325" i="83"/>
  <c r="AL360" i="83"/>
  <c r="AO360" i="83"/>
  <c r="AS311" i="83"/>
  <c r="AS322" i="83"/>
  <c r="AM354" i="83"/>
  <c r="AS329" i="83"/>
  <c r="AR317" i="83"/>
  <c r="AO332" i="83"/>
  <c r="I334" i="83" s="1"/>
  <c r="AH21" i="85"/>
  <c r="Q21" i="85" s="1"/>
  <c r="AH24" i="85"/>
  <c r="Q24" i="85" s="1"/>
  <c r="AH15" i="85"/>
  <c r="Q15" i="85" s="1"/>
  <c r="AH25" i="85"/>
  <c r="Q25" i="85" s="1"/>
  <c r="AH17" i="85"/>
  <c r="Q17" i="85" s="1"/>
  <c r="AH19" i="85"/>
  <c r="Q19" i="85" s="1"/>
  <c r="AH13" i="85"/>
  <c r="Q13" i="85" s="1"/>
  <c r="AH22" i="85"/>
  <c r="Q22" i="85" s="1"/>
  <c r="AH23" i="85"/>
  <c r="Q23" i="85" s="1"/>
  <c r="AH12" i="85"/>
  <c r="Q12" i="85" s="1"/>
  <c r="AH14" i="85"/>
  <c r="Q14" i="85" s="1"/>
  <c r="AH16" i="85"/>
  <c r="Q16" i="85" s="1"/>
  <c r="AH29" i="85"/>
  <c r="Q29" i="85" s="1"/>
  <c r="AH26" i="85"/>
  <c r="Q26" i="85" s="1"/>
  <c r="AH27" i="85"/>
  <c r="Q27" i="85" s="1"/>
  <c r="AH20" i="85"/>
  <c r="Q20" i="85" s="1"/>
  <c r="AH28" i="85"/>
  <c r="Q28" i="85" s="1"/>
  <c r="AH18" i="85"/>
  <c r="Q18" i="85" s="1"/>
  <c r="AH11" i="85"/>
  <c r="Q11" i="85" s="1"/>
  <c r="AS314" i="83"/>
  <c r="AR314" i="83"/>
  <c r="AO328" i="83"/>
  <c r="I330" i="83" s="1"/>
  <c r="AN357" i="83"/>
  <c r="AR327" i="83"/>
  <c r="AR322" i="83"/>
  <c r="AR318" i="83"/>
  <c r="AO321" i="83"/>
  <c r="I323" i="83" s="1"/>
  <c r="AQ314" i="83"/>
  <c r="AM340" i="83"/>
  <c r="AT327" i="83"/>
  <c r="P329" i="83"/>
  <c r="AG325" i="83"/>
  <c r="AV28" i="83"/>
  <c r="AU14" i="83"/>
  <c r="AU26" i="83"/>
  <c r="AV20" i="83"/>
  <c r="AO323" i="83"/>
  <c r="I325" i="83" s="1"/>
  <c r="AU29" i="83"/>
  <c r="AU11" i="83"/>
  <c r="AV16" i="83"/>
  <c r="AU25" i="83"/>
  <c r="AV18" i="83"/>
  <c r="P317" i="83"/>
  <c r="T317" i="83"/>
  <c r="T327" i="83"/>
  <c r="AV12" i="83"/>
  <c r="P327" i="83"/>
  <c r="AO327" i="83"/>
  <c r="I329" i="83" s="1"/>
  <c r="AO324" i="83"/>
  <c r="I326" i="83" s="1"/>
  <c r="AG317" i="83"/>
  <c r="T320" i="83"/>
  <c r="AP340" i="83"/>
  <c r="T315" i="83"/>
  <c r="AO319" i="83"/>
  <c r="I321" i="83" s="1"/>
  <c r="AO316" i="83"/>
  <c r="I318" i="83" s="1"/>
  <c r="AT328" i="83"/>
  <c r="AV328" i="83" s="1"/>
  <c r="T330" i="83"/>
  <c r="AG326" i="83"/>
  <c r="T331" i="83"/>
  <c r="AU22" i="83"/>
  <c r="AW22" i="83" s="1"/>
  <c r="AT329" i="83"/>
  <c r="AO322" i="83"/>
  <c r="I324" i="83" s="1"/>
  <c r="P314" i="83"/>
  <c r="T314" i="83"/>
  <c r="AP346" i="83"/>
  <c r="T321" i="83"/>
  <c r="P324" i="83"/>
  <c r="T324" i="83"/>
  <c r="AP344" i="83"/>
  <c r="T319" i="83"/>
  <c r="AG320" i="83"/>
  <c r="T323" i="83"/>
  <c r="AG315" i="83"/>
  <c r="T318" i="83"/>
  <c r="AP356" i="83"/>
  <c r="AO350" i="83"/>
  <c r="P318" i="83"/>
  <c r="P315" i="83"/>
  <c r="AT321" i="83"/>
  <c r="P320" i="83"/>
  <c r="AP348" i="83"/>
  <c r="AG316" i="83"/>
  <c r="AP343" i="83"/>
  <c r="P319" i="83"/>
  <c r="AO329" i="83"/>
  <c r="I331" i="83" s="1"/>
  <c r="AP345" i="83"/>
  <c r="AG312" i="83"/>
  <c r="P323" i="83"/>
  <c r="AT316" i="83"/>
  <c r="AT325" i="83"/>
  <c r="P331" i="83"/>
  <c r="AP360" i="83"/>
  <c r="AO326" i="83"/>
  <c r="I328" i="83" s="1"/>
  <c r="P321" i="83"/>
  <c r="AG318" i="83"/>
  <c r="AT319" i="83"/>
  <c r="AO330" i="83"/>
  <c r="I332" i="83" s="1"/>
  <c r="AT318" i="83"/>
  <c r="AT317" i="83"/>
  <c r="AT313" i="83"/>
  <c r="AV313" i="83" s="1"/>
  <c r="AT315" i="83"/>
  <c r="AT311" i="83"/>
  <c r="AS320" i="83"/>
  <c r="P330" i="83"/>
  <c r="Y330" i="83"/>
  <c r="AP339" i="83"/>
  <c r="AG311" i="83"/>
  <c r="AP349" i="83"/>
  <c r="AG321" i="83"/>
  <c r="AP355" i="83"/>
  <c r="AP342" i="83"/>
  <c r="AG314" i="83"/>
  <c r="AT322" i="83"/>
  <c r="AO314" i="83"/>
  <c r="I316" i="83" s="1"/>
  <c r="AS330" i="83"/>
  <c r="AO342" i="83"/>
  <c r="AO320" i="83"/>
  <c r="I322" i="83" s="1"/>
  <c r="AO317" i="83"/>
  <c r="I319" i="83" s="1"/>
  <c r="AO311" i="83"/>
  <c r="I314" i="83" s="1"/>
  <c r="AO318" i="83"/>
  <c r="I320" i="83" s="1"/>
  <c r="AO315" i="83"/>
  <c r="I317" i="83" s="1"/>
  <c r="AO359" i="83"/>
  <c r="AU16" i="83"/>
  <c r="AV29" i="83"/>
  <c r="AU17" i="83"/>
  <c r="AV26" i="83"/>
  <c r="AV11" i="83"/>
  <c r="AU18" i="83"/>
  <c r="AV17" i="83"/>
  <c r="AU12" i="83"/>
  <c r="AV14" i="83"/>
  <c r="AV31" i="83"/>
  <c r="AV25" i="83"/>
  <c r="AV13" i="83"/>
  <c r="AU13" i="83"/>
  <c r="AU28" i="83"/>
  <c r="AU31" i="83"/>
  <c r="AV19" i="83"/>
  <c r="AU19" i="83"/>
  <c r="AU20" i="83"/>
  <c r="AV23" i="83"/>
  <c r="AU23" i="83"/>
  <c r="AV15" i="83"/>
  <c r="AU15" i="83"/>
  <c r="AV27" i="83"/>
  <c r="AU27" i="83"/>
  <c r="AV21" i="83"/>
  <c r="AU21" i="83"/>
  <c r="AH28" i="83"/>
  <c r="AH29" i="83"/>
  <c r="AH23" i="83"/>
  <c r="AH18" i="83"/>
  <c r="AH27" i="83"/>
  <c r="AH22" i="83"/>
  <c r="AH26" i="83"/>
  <c r="AH12" i="83"/>
  <c r="AH17" i="83"/>
  <c r="AH14" i="83"/>
  <c r="AH15" i="83"/>
  <c r="AH13" i="83"/>
  <c r="AH19" i="83"/>
  <c r="AH21" i="83"/>
  <c r="AH16" i="83"/>
  <c r="AH24" i="83"/>
  <c r="AH25" i="83"/>
  <c r="AH20" i="83"/>
  <c r="N4" i="75"/>
  <c r="W54" i="92" l="1" a="1"/>
  <c r="W54" i="92" s="1"/>
  <c r="X54" i="92" a="1"/>
  <c r="X54" i="92" s="1"/>
  <c r="V54" i="92" a="1"/>
  <c r="V54" i="92" s="1"/>
  <c r="AH316" i="83"/>
  <c r="Q319" i="83" s="1"/>
  <c r="I106" i="76" s="1"/>
  <c r="AH326" i="83"/>
  <c r="Q329" i="83" s="1"/>
  <c r="S106" i="76" s="1"/>
  <c r="AH317" i="83"/>
  <c r="Q320" i="83" s="1"/>
  <c r="J106" i="76" s="1"/>
  <c r="AH324" i="83"/>
  <c r="Q327" i="83" s="1"/>
  <c r="Q106" i="76" s="1"/>
  <c r="AH314" i="83"/>
  <c r="Q317" i="83" s="1"/>
  <c r="G106" i="76" s="1"/>
  <c r="AH315" i="83"/>
  <c r="Q318" i="83" s="1"/>
  <c r="H106" i="76" s="1"/>
  <c r="AH318" i="83"/>
  <c r="Q321" i="83" s="1"/>
  <c r="K106" i="76" s="1"/>
  <c r="AH320" i="83"/>
  <c r="Q323" i="83" s="1"/>
  <c r="M106" i="76" s="1"/>
  <c r="AH325" i="83"/>
  <c r="Q328" i="83" s="1"/>
  <c r="R106" i="76" s="1"/>
  <c r="AH323" i="83"/>
  <c r="Q326" i="83" s="1"/>
  <c r="P106" i="76" s="1"/>
  <c r="AH312" i="83"/>
  <c r="Q315" i="83" s="1"/>
  <c r="E106" i="76" s="1"/>
  <c r="AH322" i="83"/>
  <c r="Q325" i="83" s="1"/>
  <c r="O106" i="76" s="1"/>
  <c r="AH313" i="83"/>
  <c r="Q316" i="83" s="1"/>
  <c r="F106" i="76" s="1"/>
  <c r="AH321" i="83"/>
  <c r="Q324" i="83" s="1"/>
  <c r="N106" i="76" s="1"/>
  <c r="AH311" i="83"/>
  <c r="Q314" i="83" s="1"/>
  <c r="D106" i="76" s="1"/>
  <c r="AH327" i="83"/>
  <c r="Q330" i="83" s="1"/>
  <c r="T106" i="76" s="1"/>
  <c r="AH329" i="83"/>
  <c r="Q332" i="83" s="1"/>
  <c r="V106" i="76" s="1"/>
  <c r="AH328" i="83"/>
  <c r="Q331" i="83" s="1"/>
  <c r="U106" i="76" s="1"/>
  <c r="AH319" i="83"/>
  <c r="Q322" i="83" s="1"/>
  <c r="L106" i="76" s="1"/>
  <c r="N48" i="92"/>
  <c r="D48" i="92"/>
  <c r="Q48" i="92"/>
  <c r="J48" i="92"/>
  <c r="T48" i="92"/>
  <c r="O48" i="92"/>
  <c r="M48" i="92"/>
  <c r="W55" i="92" a="1"/>
  <c r="W55" i="92" s="1"/>
  <c r="V55" i="92" a="1"/>
  <c r="V55" i="92" s="1"/>
  <c r="X55" i="92" a="1"/>
  <c r="X55" i="92" s="1"/>
  <c r="P48" i="92"/>
  <c r="AU319" i="83"/>
  <c r="AV332" i="83"/>
  <c r="AV316" i="83"/>
  <c r="AU315" i="83"/>
  <c r="AV318" i="83"/>
  <c r="AV321" i="83"/>
  <c r="AU324" i="83"/>
  <c r="AU326" i="83"/>
  <c r="AV323" i="83"/>
  <c r="AV326" i="83"/>
  <c r="AV330" i="83"/>
  <c r="AV324" i="83"/>
  <c r="AU323" i="83"/>
  <c r="AU332" i="83"/>
  <c r="AU320" i="83"/>
  <c r="AV322" i="83"/>
  <c r="AU329" i="83"/>
  <c r="AU311" i="83"/>
  <c r="AU314" i="83"/>
  <c r="AV317" i="83"/>
  <c r="AV314" i="83"/>
  <c r="AU327" i="83"/>
  <c r="AW14" i="83"/>
  <c r="AW29" i="83"/>
  <c r="AV327" i="83"/>
  <c r="AW28" i="83"/>
  <c r="AW11" i="83"/>
  <c r="AW26" i="83"/>
  <c r="AV329" i="83"/>
  <c r="AW20" i="83"/>
  <c r="AW16" i="83"/>
  <c r="AW25" i="83"/>
  <c r="AW18" i="83"/>
  <c r="AW12" i="83"/>
  <c r="AU328" i="83"/>
  <c r="AW328" i="83" s="1"/>
  <c r="AU321" i="83"/>
  <c r="AU316" i="83"/>
  <c r="AU318" i="83"/>
  <c r="AV319" i="83"/>
  <c r="AV315" i="83"/>
  <c r="AU330" i="83"/>
  <c r="AU313" i="83"/>
  <c r="AW313" i="83" s="1"/>
  <c r="AV311" i="83"/>
  <c r="AU317" i="83"/>
  <c r="AV320" i="83"/>
  <c r="AU322" i="83"/>
  <c r="Q18" i="83"/>
  <c r="K104" i="76" s="1"/>
  <c r="Q14" i="83"/>
  <c r="G104" i="76" s="1"/>
  <c r="Q27" i="83"/>
  <c r="T104" i="76" s="1"/>
  <c r="Q20" i="83"/>
  <c r="M104" i="76" s="1"/>
  <c r="Q25" i="83"/>
  <c r="R104" i="76" s="1"/>
  <c r="Q24" i="83"/>
  <c r="Q104" i="76" s="1"/>
  <c r="Q17" i="83"/>
  <c r="J104" i="76" s="1"/>
  <c r="Q26" i="83"/>
  <c r="S104" i="76" s="1"/>
  <c r="Q29" i="83"/>
  <c r="V104" i="76" s="1"/>
  <c r="Q16" i="83"/>
  <c r="I104" i="76" s="1"/>
  <c r="Q13" i="83"/>
  <c r="F104" i="76" s="1"/>
  <c r="Q22" i="83"/>
  <c r="O104" i="76" s="1"/>
  <c r="Q21" i="83"/>
  <c r="N104" i="76" s="1"/>
  <c r="Q15" i="83"/>
  <c r="H104" i="76" s="1"/>
  <c r="Q19" i="83"/>
  <c r="L104" i="76" s="1"/>
  <c r="Q12" i="83"/>
  <c r="E104" i="76" s="1"/>
  <c r="Q28" i="83"/>
  <c r="U104" i="76" s="1"/>
  <c r="AW17" i="83"/>
  <c r="AW15" i="83"/>
  <c r="AW31" i="83"/>
  <c r="AW13" i="83"/>
  <c r="AW21" i="83"/>
  <c r="AW19" i="83"/>
  <c r="AW27" i="83"/>
  <c r="AW23" i="83"/>
  <c r="Q23" i="83"/>
  <c r="P104" i="76" s="1"/>
  <c r="M5" i="75"/>
  <c r="V48" i="92" l="1" a="1"/>
  <c r="V48" i="92" s="1"/>
  <c r="Y343" i="83" s="1"/>
  <c r="X48" i="92" a="1"/>
  <c r="X48" i="92" s="1"/>
  <c r="AC342" i="83" s="1"/>
  <c r="W48" i="92" a="1"/>
  <c r="W48" i="92" s="1"/>
  <c r="Z343" i="83" s="1"/>
  <c r="AW319" i="83"/>
  <c r="AW318" i="83"/>
  <c r="AW320" i="83"/>
  <c r="AW322" i="83"/>
  <c r="AW321" i="83"/>
  <c r="AW332" i="83"/>
  <c r="AW316" i="83"/>
  <c r="AW315" i="83"/>
  <c r="AW324" i="83"/>
  <c r="AW326" i="83"/>
  <c r="AW323" i="83"/>
  <c r="AW330" i="83"/>
  <c r="AW314" i="83"/>
  <c r="AW311" i="83"/>
  <c r="AW317" i="83"/>
  <c r="AW329" i="83"/>
  <c r="AW327" i="83"/>
  <c r="N5" i="75"/>
  <c r="M6" i="75"/>
  <c r="M7" i="75" l="1"/>
  <c r="N6" i="75"/>
  <c r="M8" i="75" l="1"/>
  <c r="N7" i="75"/>
  <c r="N8" i="75" l="1"/>
  <c r="M9" i="75"/>
  <c r="B143" i="49"/>
  <c r="N9" i="75" l="1"/>
  <c r="M10" i="75"/>
  <c r="H23" i="75"/>
  <c r="H28" i="75" s="1"/>
  <c r="G23" i="75"/>
  <c r="F23" i="75"/>
  <c r="E23" i="75"/>
  <c r="D23" i="75"/>
  <c r="O10" i="86" l="1"/>
  <c r="O10" i="84"/>
  <c r="H10" i="84"/>
  <c r="O313" i="83"/>
  <c r="O10" i="69"/>
  <c r="H10" i="83"/>
  <c r="O10" i="66"/>
  <c r="H10" i="67"/>
  <c r="H179" i="83"/>
  <c r="H113" i="68"/>
  <c r="O10" i="68"/>
  <c r="H313" i="83"/>
  <c r="H10" i="69"/>
  <c r="H10" i="68"/>
  <c r="H10" i="66"/>
  <c r="O10" i="67"/>
  <c r="O10" i="83"/>
  <c r="O179" i="83"/>
  <c r="O113" i="68"/>
  <c r="O10" i="65"/>
  <c r="H10" i="64"/>
  <c r="H10" i="65"/>
  <c r="O10" i="64"/>
  <c r="H10" i="86"/>
  <c r="AD78" i="70"/>
  <c r="AC239" i="83"/>
  <c r="AC272" i="83"/>
  <c r="N41" i="22"/>
  <c r="AC206" i="84"/>
  <c r="AI206" i="84"/>
  <c r="H207" i="84"/>
  <c r="H242" i="83"/>
  <c r="H275" i="83"/>
  <c r="BK37" i="84"/>
  <c r="N10" i="75"/>
  <c r="M11" i="75"/>
  <c r="E27" i="75"/>
  <c r="D28" i="75"/>
  <c r="D10" i="85" s="1"/>
  <c r="E28" i="75"/>
  <c r="F28" i="75"/>
  <c r="G28" i="75"/>
  <c r="F27" i="75"/>
  <c r="H27" i="75"/>
  <c r="D27" i="75"/>
  <c r="K8" i="86" l="1"/>
  <c r="K8" i="84"/>
  <c r="D8" i="84"/>
  <c r="AW204" i="83"/>
  <c r="AE240" i="83"/>
  <c r="K177" i="83"/>
  <c r="K111" i="68"/>
  <c r="K8" i="66"/>
  <c r="D8" i="67"/>
  <c r="D8" i="83"/>
  <c r="D8" i="68"/>
  <c r="D8" i="66"/>
  <c r="K8" i="83"/>
  <c r="K311" i="83"/>
  <c r="K8" i="69"/>
  <c r="K8" i="67"/>
  <c r="D177" i="83"/>
  <c r="D111" i="68"/>
  <c r="K8" i="68"/>
  <c r="D311" i="83"/>
  <c r="D8" i="69"/>
  <c r="K8" i="65"/>
  <c r="D8" i="64"/>
  <c r="D8" i="65"/>
  <c r="K8" i="64"/>
  <c r="H8" i="86"/>
  <c r="H8" i="84"/>
  <c r="O8" i="84"/>
  <c r="Q7" i="84" s="1"/>
  <c r="BA204" i="83"/>
  <c r="AI240" i="83"/>
  <c r="H8" i="83"/>
  <c r="O8" i="66"/>
  <c r="Q7" i="66" s="1"/>
  <c r="H177" i="83"/>
  <c r="H111" i="68"/>
  <c r="O8" i="68"/>
  <c r="Q7" i="68" s="1"/>
  <c r="O8" i="67"/>
  <c r="Q7" i="67" s="1"/>
  <c r="H8" i="67"/>
  <c r="H311" i="83"/>
  <c r="H8" i="69"/>
  <c r="H8" i="68"/>
  <c r="H8" i="66"/>
  <c r="O111" i="68"/>
  <c r="Q110" i="68" s="1"/>
  <c r="O8" i="83"/>
  <c r="Q7" i="83" s="1"/>
  <c r="O177" i="83"/>
  <c r="Q176" i="83" s="1"/>
  <c r="O8" i="69"/>
  <c r="Q7" i="69" s="1"/>
  <c r="O311" i="83"/>
  <c r="Q310" i="83" s="1"/>
  <c r="H8" i="64"/>
  <c r="H8" i="65"/>
  <c r="O8" i="65"/>
  <c r="Q7" i="65" s="1"/>
  <c r="O8" i="64"/>
  <c r="Q7" i="64" s="1"/>
  <c r="M8" i="86"/>
  <c r="M8" i="84"/>
  <c r="F8" i="84"/>
  <c r="AG240" i="83"/>
  <c r="AY204" i="83"/>
  <c r="M311" i="83"/>
  <c r="M8" i="69"/>
  <c r="M8" i="83"/>
  <c r="F8" i="67"/>
  <c r="F8" i="83"/>
  <c r="F8" i="68"/>
  <c r="F177" i="83"/>
  <c r="F111" i="68"/>
  <c r="M8" i="68"/>
  <c r="M8" i="66"/>
  <c r="F311" i="83"/>
  <c r="F8" i="69"/>
  <c r="M8" i="67"/>
  <c r="F8" i="66"/>
  <c r="M111" i="68"/>
  <c r="M177" i="83"/>
  <c r="M8" i="65"/>
  <c r="F8" i="64"/>
  <c r="F8" i="65"/>
  <c r="M8" i="64"/>
  <c r="N10" i="86"/>
  <c r="N10" i="84"/>
  <c r="G10" i="84"/>
  <c r="G10" i="67"/>
  <c r="N10" i="69"/>
  <c r="N10" i="66"/>
  <c r="N179" i="83"/>
  <c r="N313" i="83"/>
  <c r="G10" i="69"/>
  <c r="G10" i="83"/>
  <c r="G179" i="83"/>
  <c r="G113" i="68"/>
  <c r="N10" i="68"/>
  <c r="N10" i="83"/>
  <c r="G10" i="66"/>
  <c r="G313" i="83"/>
  <c r="N10" i="67"/>
  <c r="G10" i="68"/>
  <c r="N113" i="68"/>
  <c r="N10" i="65"/>
  <c r="G10" i="64"/>
  <c r="G10" i="65"/>
  <c r="N10" i="64"/>
  <c r="M10" i="86"/>
  <c r="F10" i="84"/>
  <c r="M10" i="84"/>
  <c r="M179" i="83"/>
  <c r="M113" i="68"/>
  <c r="F10" i="67"/>
  <c r="M10" i="66"/>
  <c r="F10" i="68"/>
  <c r="M313" i="83"/>
  <c r="M10" i="69"/>
  <c r="M10" i="83"/>
  <c r="F10" i="83"/>
  <c r="F179" i="83"/>
  <c r="F113" i="68"/>
  <c r="M10" i="68"/>
  <c r="M10" i="67"/>
  <c r="F313" i="83"/>
  <c r="F10" i="69"/>
  <c r="F10" i="66"/>
  <c r="M10" i="65"/>
  <c r="F10" i="64"/>
  <c r="F10" i="65"/>
  <c r="M10" i="64"/>
  <c r="L10" i="86"/>
  <c r="E10" i="84"/>
  <c r="L10" i="84"/>
  <c r="L10" i="83"/>
  <c r="L10" i="68"/>
  <c r="L10" i="67"/>
  <c r="L179" i="83"/>
  <c r="L113" i="68"/>
  <c r="L10" i="66"/>
  <c r="E10" i="69"/>
  <c r="E10" i="67"/>
  <c r="AV37" i="67" s="1"/>
  <c r="L313" i="83"/>
  <c r="L10" i="69"/>
  <c r="E313" i="83"/>
  <c r="E10" i="66"/>
  <c r="E10" i="83"/>
  <c r="E10" i="68"/>
  <c r="E179" i="83"/>
  <c r="E113" i="68"/>
  <c r="L10" i="64"/>
  <c r="L10" i="65"/>
  <c r="E10" i="64"/>
  <c r="E10" i="65"/>
  <c r="K10" i="86"/>
  <c r="D10" i="84"/>
  <c r="AL37" i="84"/>
  <c r="K10" i="84"/>
  <c r="D10" i="68"/>
  <c r="D10" i="66"/>
  <c r="K10" i="83"/>
  <c r="K179" i="83"/>
  <c r="K113" i="68"/>
  <c r="D10" i="83"/>
  <c r="D10" i="67"/>
  <c r="K313" i="83"/>
  <c r="K10" i="69"/>
  <c r="K10" i="67"/>
  <c r="D313" i="83"/>
  <c r="D10" i="69"/>
  <c r="D179" i="83"/>
  <c r="D113" i="68"/>
  <c r="K10" i="68"/>
  <c r="K10" i="66"/>
  <c r="K10" i="64"/>
  <c r="K10" i="65"/>
  <c r="D10" i="64"/>
  <c r="D10" i="65"/>
  <c r="L8" i="86"/>
  <c r="L8" i="84"/>
  <c r="E8" i="84"/>
  <c r="AF240" i="83"/>
  <c r="AX204" i="83"/>
  <c r="E8" i="67"/>
  <c r="E8" i="83"/>
  <c r="L311" i="83"/>
  <c r="L8" i="69"/>
  <c r="E8" i="66"/>
  <c r="L111" i="68"/>
  <c r="E8" i="68"/>
  <c r="L8" i="66"/>
  <c r="E8" i="69"/>
  <c r="E177" i="83"/>
  <c r="E111" i="68"/>
  <c r="L8" i="68"/>
  <c r="L8" i="83"/>
  <c r="L177" i="83"/>
  <c r="E311" i="83"/>
  <c r="L8" i="67"/>
  <c r="L8" i="65"/>
  <c r="E8" i="64"/>
  <c r="E8" i="65"/>
  <c r="L8" i="64"/>
  <c r="G10" i="86"/>
  <c r="AB239" i="83"/>
  <c r="AB272" i="83"/>
  <c r="M41" i="22"/>
  <c r="F10" i="86"/>
  <c r="AA272" i="83"/>
  <c r="AA239" i="83"/>
  <c r="L41" i="22"/>
  <c r="E10" i="86"/>
  <c r="Z272" i="83"/>
  <c r="Z239" i="83"/>
  <c r="K41" i="22"/>
  <c r="D10" i="86"/>
  <c r="Y239" i="83"/>
  <c r="Y272" i="83"/>
  <c r="J41" i="22"/>
  <c r="F274" i="83"/>
  <c r="AA240" i="83"/>
  <c r="AA273" i="83"/>
  <c r="F241" i="83"/>
  <c r="L39" i="22"/>
  <c r="G242" i="83"/>
  <c r="G275" i="83"/>
  <c r="F242" i="83"/>
  <c r="F275" i="83"/>
  <c r="E242" i="83"/>
  <c r="E275" i="83"/>
  <c r="Y273" i="83"/>
  <c r="Y240" i="83"/>
  <c r="D241" i="83"/>
  <c r="D274" i="83"/>
  <c r="J39" i="22"/>
  <c r="D242" i="83"/>
  <c r="D275" i="83"/>
  <c r="Z240" i="83"/>
  <c r="Z273" i="83"/>
  <c r="E241" i="83"/>
  <c r="E274" i="83"/>
  <c r="K39" i="22"/>
  <c r="H241" i="83"/>
  <c r="H274" i="83"/>
  <c r="AC240" i="83"/>
  <c r="AC273" i="83"/>
  <c r="N39" i="22"/>
  <c r="Z206" i="84"/>
  <c r="AF206" i="84"/>
  <c r="BH37" i="84"/>
  <c r="E207" i="84"/>
  <c r="AG206" i="84"/>
  <c r="BI37" i="84"/>
  <c r="AA206" i="84"/>
  <c r="F207" i="84"/>
  <c r="E206" i="84"/>
  <c r="BH36" i="84"/>
  <c r="AF207" i="84"/>
  <c r="Z207" i="84"/>
  <c r="Y207" i="84"/>
  <c r="BG36" i="84"/>
  <c r="AE207" i="84"/>
  <c r="D206" i="84"/>
  <c r="Y206" i="84"/>
  <c r="AE206" i="84"/>
  <c r="BG37" i="84"/>
  <c r="D207" i="84"/>
  <c r="BK36" i="84"/>
  <c r="AI207" i="84"/>
  <c r="H206" i="84"/>
  <c r="AC207" i="84"/>
  <c r="BI36" i="84"/>
  <c r="AG207" i="84"/>
  <c r="F206" i="84"/>
  <c r="AA207" i="84"/>
  <c r="BJ37" i="84"/>
  <c r="G207" i="84"/>
  <c r="AB206" i="84"/>
  <c r="AH206" i="84"/>
  <c r="Z203" i="83"/>
  <c r="AF140" i="84"/>
  <c r="AF173" i="84"/>
  <c r="AF107" i="84"/>
  <c r="Y204" i="83"/>
  <c r="AE141" i="84"/>
  <c r="AE174" i="84"/>
  <c r="AE108" i="84"/>
  <c r="Z204" i="83"/>
  <c r="AF174" i="84"/>
  <c r="AF141" i="84"/>
  <c r="AF108" i="84"/>
  <c r="AA204" i="83"/>
  <c r="AG174" i="84"/>
  <c r="AG141" i="84"/>
  <c r="AG108" i="84"/>
  <c r="AC204" i="83"/>
  <c r="AI141" i="84"/>
  <c r="AI174" i="84"/>
  <c r="AI108" i="84"/>
  <c r="AC203" i="83"/>
  <c r="AI140" i="84"/>
  <c r="AI173" i="84"/>
  <c r="AI107" i="84"/>
  <c r="AB203" i="83"/>
  <c r="AH140" i="84"/>
  <c r="AH173" i="84"/>
  <c r="AH107" i="84"/>
  <c r="Y203" i="83"/>
  <c r="AE173" i="84"/>
  <c r="AE140" i="84"/>
  <c r="AE107" i="84"/>
  <c r="AA203" i="83"/>
  <c r="AG173" i="84"/>
  <c r="AG140" i="84"/>
  <c r="AG107" i="84"/>
  <c r="BA36" i="63"/>
  <c r="AC2" i="63"/>
  <c r="AC2" i="66"/>
  <c r="AC2" i="67"/>
  <c r="AP36" i="63"/>
  <c r="BK36" i="63"/>
  <c r="AH105" i="63"/>
  <c r="AC2" i="62"/>
  <c r="BF36" i="63"/>
  <c r="AC105" i="63"/>
  <c r="AC2" i="68"/>
  <c r="AC2" i="49"/>
  <c r="AC2" i="64"/>
  <c r="AG2" i="50"/>
  <c r="AC2" i="65"/>
  <c r="AC138" i="69"/>
  <c r="AH239" i="69"/>
  <c r="AI105" i="69"/>
  <c r="AC2" i="84"/>
  <c r="AH171" i="69"/>
  <c r="AC105" i="69"/>
  <c r="AC171" i="69"/>
  <c r="AC2" i="69"/>
  <c r="AD8" i="70"/>
  <c r="AM72" i="86"/>
  <c r="AC2" i="70"/>
  <c r="AZ36" i="85"/>
  <c r="AG72" i="86"/>
  <c r="AU36" i="85"/>
  <c r="AP36" i="85"/>
  <c r="AJ8" i="86"/>
  <c r="AP38" i="91"/>
  <c r="AH2" i="86"/>
  <c r="AC2" i="91"/>
  <c r="T41" i="22"/>
  <c r="AC140" i="83"/>
  <c r="AP203" i="83"/>
  <c r="AE8" i="83"/>
  <c r="AC2" i="83"/>
  <c r="AV203" i="83"/>
  <c r="AC105" i="83"/>
  <c r="AE176" i="83"/>
  <c r="AC72" i="85"/>
  <c r="AC105" i="85"/>
  <c r="AE8" i="85"/>
  <c r="AC2" i="85"/>
  <c r="AM100" i="86"/>
  <c r="AG100" i="86"/>
  <c r="AS100" i="86"/>
  <c r="AC140" i="84"/>
  <c r="AC173" i="84"/>
  <c r="AC107" i="84"/>
  <c r="AB2" i="62"/>
  <c r="BE36" i="63"/>
  <c r="AB105" i="63"/>
  <c r="AB2" i="68"/>
  <c r="AB2" i="63"/>
  <c r="AB2" i="66"/>
  <c r="AB2" i="49"/>
  <c r="AB2" i="64"/>
  <c r="AF2" i="50"/>
  <c r="BJ36" i="63"/>
  <c r="AG105" i="63"/>
  <c r="AB2" i="65"/>
  <c r="AZ36" i="63"/>
  <c r="AB2" i="67"/>
  <c r="AO36" i="63"/>
  <c r="AB171" i="69"/>
  <c r="AB2" i="69"/>
  <c r="AG239" i="69"/>
  <c r="AH105" i="69"/>
  <c r="AB138" i="69"/>
  <c r="AB2" i="84"/>
  <c r="AG171" i="69"/>
  <c r="AB105" i="69"/>
  <c r="AO36" i="85"/>
  <c r="AI8" i="86"/>
  <c r="AY36" i="85"/>
  <c r="AT36" i="85"/>
  <c r="AC8" i="70"/>
  <c r="AL72" i="86"/>
  <c r="AB2" i="70"/>
  <c r="AF72" i="86"/>
  <c r="S41" i="22"/>
  <c r="AB2" i="91"/>
  <c r="AO38" i="91"/>
  <c r="AG2" i="86"/>
  <c r="AD176" i="83"/>
  <c r="AB2" i="83"/>
  <c r="AU203" i="83"/>
  <c r="AB105" i="83"/>
  <c r="AO203" i="83"/>
  <c r="AB140" i="83"/>
  <c r="AD8" i="83"/>
  <c r="AB105" i="85"/>
  <c r="AD8" i="85"/>
  <c r="AB72" i="85"/>
  <c r="AB2" i="85"/>
  <c r="AR100" i="86"/>
  <c r="AF100" i="86"/>
  <c r="AL100" i="86"/>
  <c r="AB173" i="84"/>
  <c r="AB140" i="84"/>
  <c r="AB107" i="84"/>
  <c r="AE2" i="50"/>
  <c r="BI36" i="63"/>
  <c r="AF105" i="63"/>
  <c r="AA2" i="65"/>
  <c r="AA2" i="62"/>
  <c r="BD36" i="63"/>
  <c r="AA2" i="68"/>
  <c r="AY36" i="63"/>
  <c r="AA2" i="67"/>
  <c r="AA2" i="49"/>
  <c r="AN36" i="63"/>
  <c r="AA2" i="64"/>
  <c r="AA105" i="63"/>
  <c r="AA2" i="63"/>
  <c r="AA2" i="66"/>
  <c r="AF171" i="69"/>
  <c r="AA105" i="69"/>
  <c r="AA138" i="69"/>
  <c r="AA2" i="84"/>
  <c r="AA171" i="69"/>
  <c r="AA2" i="69"/>
  <c r="AF239" i="69"/>
  <c r="AG105" i="69"/>
  <c r="AS36" i="85"/>
  <c r="AB8" i="70"/>
  <c r="AK72" i="86"/>
  <c r="AA2" i="70"/>
  <c r="AE72" i="86"/>
  <c r="AN36" i="85"/>
  <c r="AH8" i="86"/>
  <c r="AX36" i="85"/>
  <c r="AF2" i="86"/>
  <c r="R41" i="22"/>
  <c r="AN38" i="91"/>
  <c r="AA2" i="91"/>
  <c r="AN203" i="83"/>
  <c r="AC8" i="83"/>
  <c r="AT203" i="83"/>
  <c r="AA105" i="83"/>
  <c r="AC176" i="83"/>
  <c r="AA2" i="83"/>
  <c r="AA140" i="83"/>
  <c r="AA2" i="85"/>
  <c r="AC8" i="85"/>
  <c r="AA105" i="85"/>
  <c r="AA72" i="85"/>
  <c r="AE100" i="86"/>
  <c r="AQ100" i="86"/>
  <c r="AK100" i="86"/>
  <c r="AA140" i="84"/>
  <c r="AA173" i="84"/>
  <c r="AA107" i="84"/>
  <c r="AW36" i="63"/>
  <c r="Y2" i="63"/>
  <c r="Y2" i="66"/>
  <c r="Y2" i="67"/>
  <c r="Y2" i="49"/>
  <c r="Y2" i="64"/>
  <c r="AC2" i="50"/>
  <c r="BG36" i="63"/>
  <c r="Y2" i="65"/>
  <c r="Y2" i="62"/>
  <c r="BB36" i="63"/>
  <c r="Y105" i="63"/>
  <c r="Y2" i="68"/>
  <c r="AL36" i="63"/>
  <c r="AD105" i="63"/>
  <c r="Y138" i="69"/>
  <c r="AD171" i="69"/>
  <c r="Y105" i="69"/>
  <c r="Y2" i="69"/>
  <c r="AD239" i="69"/>
  <c r="AE105" i="69"/>
  <c r="Y2" i="84"/>
  <c r="Y171" i="69"/>
  <c r="Z8" i="70"/>
  <c r="AI72" i="86"/>
  <c r="AQ36" i="85"/>
  <c r="AL36" i="85"/>
  <c r="AF8" i="86"/>
  <c r="Y2" i="70"/>
  <c r="AV36" i="85"/>
  <c r="AC72" i="86"/>
  <c r="AL38" i="91"/>
  <c r="P41" i="22"/>
  <c r="Y2" i="91"/>
  <c r="AD2" i="86"/>
  <c r="Y140" i="83"/>
  <c r="AA176" i="83"/>
  <c r="AR203" i="83"/>
  <c r="Y105" i="83"/>
  <c r="AL203" i="83"/>
  <c r="AA8" i="83"/>
  <c r="Y2" i="83"/>
  <c r="Y72" i="85"/>
  <c r="Y105" i="85"/>
  <c r="AA8" i="85"/>
  <c r="Y2" i="85"/>
  <c r="AI100" i="86"/>
  <c r="AC100" i="86"/>
  <c r="AO100" i="86"/>
  <c r="Y140" i="84"/>
  <c r="Y173" i="84"/>
  <c r="Y107" i="84"/>
  <c r="Z2" i="49"/>
  <c r="AM36" i="63"/>
  <c r="Z2" i="64"/>
  <c r="BH36" i="63"/>
  <c r="AE105" i="63"/>
  <c r="Z105" i="63"/>
  <c r="AX36" i="63"/>
  <c r="Z2" i="63"/>
  <c r="Z2" i="66"/>
  <c r="Z2" i="67"/>
  <c r="AD2" i="50"/>
  <c r="Z2" i="65"/>
  <c r="Z2" i="62"/>
  <c r="BC36" i="63"/>
  <c r="Z2" i="68"/>
  <c r="AE239" i="69"/>
  <c r="AF105" i="69"/>
  <c r="Z2" i="84"/>
  <c r="Z138" i="69"/>
  <c r="AE171" i="69"/>
  <c r="Z105" i="69"/>
  <c r="Z171" i="69"/>
  <c r="Z2" i="69"/>
  <c r="Z2" i="70"/>
  <c r="AW36" i="85"/>
  <c r="AD72" i="86"/>
  <c r="AG8" i="86"/>
  <c r="AR36" i="85"/>
  <c r="AM36" i="85"/>
  <c r="AA8" i="70"/>
  <c r="AJ72" i="86"/>
  <c r="Z2" i="91"/>
  <c r="Q41" i="22"/>
  <c r="AE2" i="86"/>
  <c r="AM38" i="91"/>
  <c r="AS203" i="83"/>
  <c r="Z105" i="83"/>
  <c r="AB176" i="83"/>
  <c r="Z2" i="83"/>
  <c r="AM203" i="83"/>
  <c r="AB8" i="83"/>
  <c r="Z140" i="83"/>
  <c r="AB8" i="85"/>
  <c r="Z105" i="85"/>
  <c r="Z2" i="85"/>
  <c r="Z72" i="85"/>
  <c r="AP100" i="86"/>
  <c r="AJ100" i="86"/>
  <c r="AD100" i="86"/>
  <c r="Z173" i="84"/>
  <c r="Z107" i="84"/>
  <c r="Z140" i="84"/>
  <c r="AP37" i="68"/>
  <c r="AP138" i="68"/>
  <c r="AP37" i="64"/>
  <c r="BA37" i="84"/>
  <c r="AP37" i="84"/>
  <c r="AI78" i="70"/>
  <c r="AY105" i="70"/>
  <c r="BF37" i="84"/>
  <c r="AH176" i="70"/>
  <c r="H78" i="70"/>
  <c r="O78" i="70"/>
  <c r="AS105" i="70"/>
  <c r="AV37" i="84"/>
  <c r="BD37" i="70"/>
  <c r="AS37" i="70"/>
  <c r="AY37" i="70"/>
  <c r="AB176" i="70"/>
  <c r="AP109" i="91"/>
  <c r="H79" i="91"/>
  <c r="H9" i="91"/>
  <c r="AE79" i="91"/>
  <c r="AE9" i="91"/>
  <c r="P79" i="91"/>
  <c r="P9" i="91"/>
  <c r="H106" i="85"/>
  <c r="H73" i="85"/>
  <c r="O10" i="85"/>
  <c r="H10" i="85"/>
  <c r="O10" i="70"/>
  <c r="H141" i="84"/>
  <c r="H108" i="84"/>
  <c r="H176" i="70"/>
  <c r="H141" i="70"/>
  <c r="H10" i="70"/>
  <c r="AB141" i="70"/>
  <c r="H174" i="84"/>
  <c r="AC3" i="50"/>
  <c r="BG37" i="63"/>
  <c r="AW37" i="63"/>
  <c r="AD106" i="63"/>
  <c r="Y3" i="63"/>
  <c r="Y3" i="64"/>
  <c r="AL36" i="68"/>
  <c r="Y3" i="66"/>
  <c r="AL36" i="64"/>
  <c r="Y3" i="62"/>
  <c r="AL37" i="63"/>
  <c r="Y3" i="67"/>
  <c r="Y3" i="68"/>
  <c r="Y3" i="49"/>
  <c r="Y3" i="65"/>
  <c r="Y106" i="63"/>
  <c r="AL137" i="68"/>
  <c r="BB37" i="63"/>
  <c r="Y3" i="84"/>
  <c r="D76" i="70"/>
  <c r="Y172" i="69"/>
  <c r="AW36" i="84"/>
  <c r="AE76" i="70"/>
  <c r="AU104" i="70"/>
  <c r="AD172" i="69"/>
  <c r="Y139" i="69"/>
  <c r="Y106" i="69"/>
  <c r="BB36" i="84"/>
  <c r="AR36" i="84"/>
  <c r="K76" i="70"/>
  <c r="AO104" i="70"/>
  <c r="AD240" i="69"/>
  <c r="AE106" i="69"/>
  <c r="AL36" i="84"/>
  <c r="Z10" i="70"/>
  <c r="AV37" i="85"/>
  <c r="BA37" i="85" s="1"/>
  <c r="AL37" i="85"/>
  <c r="AC73" i="86"/>
  <c r="AQ37" i="85"/>
  <c r="AZ36" i="70"/>
  <c r="AO36" i="70"/>
  <c r="AD175" i="70"/>
  <c r="Y3" i="70"/>
  <c r="AI73" i="86"/>
  <c r="AU36" i="70"/>
  <c r="X175" i="70"/>
  <c r="AF10" i="86"/>
  <c r="P39" i="22"/>
  <c r="AD3" i="86"/>
  <c r="AL39" i="91"/>
  <c r="AL108" i="91"/>
  <c r="AR204" i="83"/>
  <c r="AA177" i="83"/>
  <c r="Y106" i="83"/>
  <c r="Y141" i="83"/>
  <c r="AA10" i="83"/>
  <c r="AL204" i="83"/>
  <c r="Y3" i="91"/>
  <c r="AA78" i="91"/>
  <c r="AA8" i="91"/>
  <c r="Y106" i="85"/>
  <c r="AA10" i="85"/>
  <c r="L78" i="91"/>
  <c r="L8" i="91"/>
  <c r="Y73" i="85"/>
  <c r="D78" i="91"/>
  <c r="D8" i="91"/>
  <c r="Y3" i="85"/>
  <c r="D72" i="85"/>
  <c r="D105" i="85"/>
  <c r="AI101" i="86"/>
  <c r="AC101" i="86"/>
  <c r="AO101" i="86"/>
  <c r="D8" i="86"/>
  <c r="X140" i="70"/>
  <c r="Z76" i="70"/>
  <c r="D173" i="84"/>
  <c r="Y108" i="84"/>
  <c r="Y174" i="84"/>
  <c r="D140" i="84"/>
  <c r="D175" i="70"/>
  <c r="D140" i="70"/>
  <c r="K8" i="70"/>
  <c r="Y141" i="84"/>
  <c r="D107" i="84"/>
  <c r="D8" i="70"/>
  <c r="AG3" i="50"/>
  <c r="BK37" i="63"/>
  <c r="BA37" i="63"/>
  <c r="AH106" i="63"/>
  <c r="AC3" i="63"/>
  <c r="AC3" i="64"/>
  <c r="AP36" i="68"/>
  <c r="AC3" i="66"/>
  <c r="AP36" i="64"/>
  <c r="AC106" i="63"/>
  <c r="BF37" i="63"/>
  <c r="AC3" i="65"/>
  <c r="AC3" i="67"/>
  <c r="AC3" i="49"/>
  <c r="AC3" i="68"/>
  <c r="AC3" i="62"/>
  <c r="AP37" i="63"/>
  <c r="AP137" i="68"/>
  <c r="AC3" i="84"/>
  <c r="H76" i="70"/>
  <c r="AH240" i="69"/>
  <c r="AP36" i="84"/>
  <c r="AI76" i="70"/>
  <c r="AY104" i="70"/>
  <c r="AH172" i="69"/>
  <c r="AC139" i="69"/>
  <c r="AC106" i="69"/>
  <c r="BF36" i="84"/>
  <c r="AV36" i="84"/>
  <c r="O76" i="70"/>
  <c r="AS104" i="70"/>
  <c r="AC172" i="69"/>
  <c r="AI106" i="69"/>
  <c r="BA36" i="84"/>
  <c r="AH175" i="70"/>
  <c r="AD10" i="70"/>
  <c r="AZ37" i="85"/>
  <c r="AP37" i="85"/>
  <c r="AG73" i="86"/>
  <c r="AU37" i="85"/>
  <c r="AB175" i="70"/>
  <c r="AJ10" i="86"/>
  <c r="BD36" i="70"/>
  <c r="AS36" i="70"/>
  <c r="AC3" i="70"/>
  <c r="AM73" i="86"/>
  <c r="AY36" i="70"/>
  <c r="T39" i="22"/>
  <c r="AH3" i="86"/>
  <c r="AP108" i="91"/>
  <c r="AP39" i="91"/>
  <c r="AV204" i="83"/>
  <c r="AE177" i="83"/>
  <c r="AC106" i="83"/>
  <c r="AC141" i="83"/>
  <c r="AE10" i="83"/>
  <c r="AP204" i="83"/>
  <c r="P8" i="91"/>
  <c r="AE78" i="91"/>
  <c r="AE8" i="91"/>
  <c r="AC106" i="85"/>
  <c r="AE10" i="85"/>
  <c r="P78" i="91"/>
  <c r="AC3" i="91"/>
  <c r="AC73" i="85"/>
  <c r="H78" i="91"/>
  <c r="H8" i="91"/>
  <c r="H72" i="85"/>
  <c r="AC3" i="85"/>
  <c r="H105" i="85"/>
  <c r="AS101" i="86"/>
  <c r="AM101" i="86"/>
  <c r="AG101" i="86"/>
  <c r="O8" i="86"/>
  <c r="Q7" i="86" s="1"/>
  <c r="AB140" i="70"/>
  <c r="AD76" i="70"/>
  <c r="H173" i="84"/>
  <c r="AC108" i="84"/>
  <c r="H140" i="70"/>
  <c r="O8" i="70"/>
  <c r="AC141" i="84"/>
  <c r="H140" i="84"/>
  <c r="H175" i="70"/>
  <c r="AC174" i="84"/>
  <c r="H107" i="84"/>
  <c r="H8" i="70"/>
  <c r="AN37" i="64"/>
  <c r="AN138" i="68"/>
  <c r="AN37" i="68"/>
  <c r="BD37" i="84"/>
  <c r="AT37" i="84"/>
  <c r="F78" i="70"/>
  <c r="AY37" i="84"/>
  <c r="AW105" i="70"/>
  <c r="M78" i="70"/>
  <c r="AQ105" i="70"/>
  <c r="AN37" i="84"/>
  <c r="AG78" i="70"/>
  <c r="AW37" i="70"/>
  <c r="Z176" i="70"/>
  <c r="BB37" i="70"/>
  <c r="AQ37" i="70"/>
  <c r="AF176" i="70"/>
  <c r="AN109" i="91"/>
  <c r="AC79" i="91"/>
  <c r="AC9" i="91"/>
  <c r="F9" i="91"/>
  <c r="N79" i="91"/>
  <c r="N9" i="91"/>
  <c r="F79" i="91"/>
  <c r="F73" i="85"/>
  <c r="F106" i="85"/>
  <c r="F10" i="85"/>
  <c r="M10" i="85"/>
  <c r="F108" i="84"/>
  <c r="M10" i="70"/>
  <c r="F141" i="84"/>
  <c r="Z141" i="70"/>
  <c r="AB78" i="70"/>
  <c r="F174" i="84"/>
  <c r="F176" i="70"/>
  <c r="F141" i="70"/>
  <c r="F10" i="70"/>
  <c r="AL37" i="68"/>
  <c r="AL138" i="68"/>
  <c r="AL37" i="64"/>
  <c r="AW37" i="84"/>
  <c r="AE78" i="70"/>
  <c r="AU105" i="70"/>
  <c r="BB37" i="84"/>
  <c r="D78" i="70"/>
  <c r="K78" i="70"/>
  <c r="AO105" i="70"/>
  <c r="AR37" i="84"/>
  <c r="AZ37" i="70"/>
  <c r="AO37" i="70"/>
  <c r="AD176" i="70"/>
  <c r="AU37" i="70"/>
  <c r="X176" i="70"/>
  <c r="AL109" i="91"/>
  <c r="D79" i="91"/>
  <c r="D9" i="91"/>
  <c r="AA9" i="91"/>
  <c r="AA79" i="91"/>
  <c r="L79" i="91"/>
  <c r="L9" i="91"/>
  <c r="D73" i="85"/>
  <c r="D106" i="85"/>
  <c r="K10" i="85"/>
  <c r="K10" i="70"/>
  <c r="D141" i="84"/>
  <c r="D10" i="70"/>
  <c r="D108" i="84"/>
  <c r="D176" i="70"/>
  <c r="D141" i="70"/>
  <c r="X141" i="70"/>
  <c r="Z78" i="70"/>
  <c r="D174" i="84"/>
  <c r="AO37" i="68"/>
  <c r="AO37" i="64"/>
  <c r="AO138" i="68"/>
  <c r="AZ37" i="84"/>
  <c r="AH78" i="70"/>
  <c r="N78" i="70"/>
  <c r="AR105" i="70"/>
  <c r="BE37" i="84"/>
  <c r="AU37" i="84"/>
  <c r="G78" i="70"/>
  <c r="AO37" i="84"/>
  <c r="AX105" i="70"/>
  <c r="BC37" i="70"/>
  <c r="AR37" i="70"/>
  <c r="AG176" i="70"/>
  <c r="AX37" i="70"/>
  <c r="AA176" i="70"/>
  <c r="AO109" i="91"/>
  <c r="O79" i="91"/>
  <c r="O9" i="91"/>
  <c r="G79" i="91"/>
  <c r="G9" i="91"/>
  <c r="AD79" i="91"/>
  <c r="AD9" i="91"/>
  <c r="G106" i="85"/>
  <c r="G73" i="85"/>
  <c r="N10" i="85"/>
  <c r="G10" i="85"/>
  <c r="AA141" i="70"/>
  <c r="AC78" i="70"/>
  <c r="G174" i="84"/>
  <c r="G176" i="70"/>
  <c r="G10" i="70"/>
  <c r="N10" i="70"/>
  <c r="G141" i="84"/>
  <c r="G141" i="70"/>
  <c r="G108" i="84"/>
  <c r="Z3" i="66"/>
  <c r="Z3" i="68"/>
  <c r="BC37" i="63"/>
  <c r="AM37" i="63"/>
  <c r="Z3" i="65"/>
  <c r="Z106" i="63"/>
  <c r="Z3" i="67"/>
  <c r="AD3" i="50"/>
  <c r="BH37" i="63"/>
  <c r="AX37" i="63"/>
  <c r="AE106" i="63"/>
  <c r="Z3" i="63"/>
  <c r="Z3" i="64"/>
  <c r="AM36" i="68"/>
  <c r="Z3" i="49"/>
  <c r="Z3" i="62"/>
  <c r="AM137" i="68"/>
  <c r="AM36" i="64"/>
  <c r="AE240" i="69"/>
  <c r="Z172" i="69"/>
  <c r="AF106" i="69"/>
  <c r="AX36" i="84"/>
  <c r="AM36" i="84"/>
  <c r="AF76" i="70"/>
  <c r="Z106" i="69"/>
  <c r="AS36" i="84"/>
  <c r="L76" i="70"/>
  <c r="AP104" i="70"/>
  <c r="Z3" i="84"/>
  <c r="E76" i="70"/>
  <c r="AV104" i="70"/>
  <c r="AE172" i="69"/>
  <c r="Z139" i="69"/>
  <c r="BC36" i="84"/>
  <c r="BA36" i="70"/>
  <c r="AP36" i="70"/>
  <c r="AE175" i="70"/>
  <c r="Y175" i="70"/>
  <c r="AA10" i="70"/>
  <c r="AM37" i="85"/>
  <c r="Z3" i="70"/>
  <c r="AR37" i="85"/>
  <c r="AJ73" i="86"/>
  <c r="AV36" i="70"/>
  <c r="AG10" i="86"/>
  <c r="AW37" i="85"/>
  <c r="AD73" i="86"/>
  <c r="AE3" i="86"/>
  <c r="AM39" i="91"/>
  <c r="AM108" i="91"/>
  <c r="Q39" i="22"/>
  <c r="AB177" i="83"/>
  <c r="AM204" i="83"/>
  <c r="Z141" i="83"/>
  <c r="AB10" i="83"/>
  <c r="AS204" i="83"/>
  <c r="Z106" i="83"/>
  <c r="AB78" i="91"/>
  <c r="AB8" i="91"/>
  <c r="Z106" i="85"/>
  <c r="AB10" i="85"/>
  <c r="E8" i="91"/>
  <c r="Z73" i="85"/>
  <c r="M78" i="91"/>
  <c r="M8" i="91"/>
  <c r="Z3" i="91"/>
  <c r="E78" i="91"/>
  <c r="Z3" i="85"/>
  <c r="E105" i="85"/>
  <c r="E72" i="85"/>
  <c r="AP101" i="86"/>
  <c r="AJ101" i="86"/>
  <c r="AD101" i="86"/>
  <c r="E8" i="86"/>
  <c r="E140" i="84"/>
  <c r="Z174" i="84"/>
  <c r="Z141" i="84"/>
  <c r="E8" i="70"/>
  <c r="Z108" i="84"/>
  <c r="E175" i="70"/>
  <c r="E140" i="70"/>
  <c r="L8" i="70"/>
  <c r="E107" i="84"/>
  <c r="Y140" i="70"/>
  <c r="AA76" i="70"/>
  <c r="E173" i="84"/>
  <c r="AA3" i="49"/>
  <c r="AA3" i="62"/>
  <c r="BD37" i="63"/>
  <c r="AN37" i="63"/>
  <c r="AA106" i="63"/>
  <c r="AA3" i="65"/>
  <c r="AA3" i="67"/>
  <c r="AN137" i="68"/>
  <c r="AN36" i="64"/>
  <c r="AA3" i="66"/>
  <c r="AA3" i="68"/>
  <c r="BI37" i="63"/>
  <c r="AA3" i="64"/>
  <c r="AE3" i="50"/>
  <c r="AY37" i="63"/>
  <c r="AN36" i="68"/>
  <c r="AF106" i="63"/>
  <c r="AA3" i="63"/>
  <c r="AW104" i="70"/>
  <c r="AF172" i="69"/>
  <c r="AA139" i="69"/>
  <c r="AT36" i="84"/>
  <c r="F76" i="70"/>
  <c r="AF240" i="69"/>
  <c r="AA172" i="69"/>
  <c r="AG106" i="69"/>
  <c r="AY36" i="84"/>
  <c r="AN36" i="84"/>
  <c r="AG76" i="70"/>
  <c r="AA106" i="69"/>
  <c r="BD36" i="84"/>
  <c r="M76" i="70"/>
  <c r="AQ104" i="70"/>
  <c r="AA3" i="84"/>
  <c r="AA3" i="70"/>
  <c r="AS37" i="85"/>
  <c r="AK73" i="86"/>
  <c r="AX37" i="85"/>
  <c r="AN37" i="85"/>
  <c r="AE73" i="86"/>
  <c r="BB36" i="70"/>
  <c r="AQ36" i="70"/>
  <c r="AF175" i="70"/>
  <c r="AW36" i="70"/>
  <c r="Z175" i="70"/>
  <c r="AH10" i="86"/>
  <c r="AB10" i="70"/>
  <c r="R39" i="22"/>
  <c r="AN39" i="91"/>
  <c r="AN108" i="91"/>
  <c r="AF3" i="86"/>
  <c r="AN204" i="83"/>
  <c r="AA141" i="83"/>
  <c r="AC10" i="83"/>
  <c r="AT204" i="83"/>
  <c r="AC177" i="83"/>
  <c r="AA106" i="83"/>
  <c r="N78" i="91"/>
  <c r="N8" i="91"/>
  <c r="AA3" i="91"/>
  <c r="F78" i="91"/>
  <c r="F8" i="91"/>
  <c r="AA73" i="85"/>
  <c r="AC78" i="91"/>
  <c r="AC8" i="91"/>
  <c r="AA106" i="85"/>
  <c r="AC10" i="85"/>
  <c r="F105" i="85"/>
  <c r="F72" i="85"/>
  <c r="AA3" i="85"/>
  <c r="AK101" i="86"/>
  <c r="AQ101" i="86"/>
  <c r="AE101" i="86"/>
  <c r="F8" i="86"/>
  <c r="F175" i="70"/>
  <c r="F140" i="70"/>
  <c r="M8" i="70"/>
  <c r="AA174" i="84"/>
  <c r="AA141" i="84"/>
  <c r="F107" i="84"/>
  <c r="F173" i="84"/>
  <c r="F140" i="84"/>
  <c r="F8" i="70"/>
  <c r="Z140" i="70"/>
  <c r="AB76" i="70"/>
  <c r="AA108" i="84"/>
  <c r="AM138" i="68"/>
  <c r="AM37" i="64"/>
  <c r="AM37" i="68"/>
  <c r="L78" i="70"/>
  <c r="AP105" i="70"/>
  <c r="BC37" i="84"/>
  <c r="AX37" i="84"/>
  <c r="AM37" i="84"/>
  <c r="AF78" i="70"/>
  <c r="AV105" i="70"/>
  <c r="AS37" i="84"/>
  <c r="E78" i="70"/>
  <c r="AE176" i="70"/>
  <c r="AV37" i="70"/>
  <c r="Y176" i="70"/>
  <c r="BA37" i="70"/>
  <c r="AP37" i="70"/>
  <c r="AM109" i="91"/>
  <c r="AB79" i="91"/>
  <c r="AB9" i="91"/>
  <c r="M79" i="91"/>
  <c r="M9" i="91"/>
  <c r="E79" i="91"/>
  <c r="E9" i="91"/>
  <c r="E106" i="85"/>
  <c r="E73" i="85"/>
  <c r="L10" i="85"/>
  <c r="E10" i="85"/>
  <c r="E176" i="70"/>
  <c r="E141" i="70"/>
  <c r="E10" i="70"/>
  <c r="E108" i="84"/>
  <c r="Y141" i="70"/>
  <c r="AA78" i="70"/>
  <c r="E174" i="84"/>
  <c r="E141" i="84"/>
  <c r="L10" i="70"/>
  <c r="AE110" i="68"/>
  <c r="AE10" i="84"/>
  <c r="H205" i="63"/>
  <c r="AE10" i="68"/>
  <c r="AE10" i="66"/>
  <c r="AE10" i="64"/>
  <c r="AE10" i="69"/>
  <c r="AE10" i="65"/>
  <c r="H172" i="63"/>
  <c r="AE10" i="67"/>
  <c r="AE10" i="63"/>
  <c r="AI107" i="49"/>
  <c r="AE10" i="62"/>
  <c r="AA110" i="68"/>
  <c r="AA10" i="84"/>
  <c r="D205" i="63"/>
  <c r="AA10" i="69"/>
  <c r="AA10" i="68"/>
  <c r="AA10" i="66"/>
  <c r="AA10" i="64"/>
  <c r="D172" i="63"/>
  <c r="AA10" i="67"/>
  <c r="AA10" i="63"/>
  <c r="AA10" i="65"/>
  <c r="AA10" i="62"/>
  <c r="AE107" i="49"/>
  <c r="AA109" i="68"/>
  <c r="D171" i="63"/>
  <c r="AA8" i="84"/>
  <c r="AA8" i="68"/>
  <c r="AA8" i="66"/>
  <c r="AA8" i="64"/>
  <c r="D204" i="63"/>
  <c r="AA8" i="65"/>
  <c r="AA8" i="69"/>
  <c r="AA8" i="67"/>
  <c r="AA8" i="63"/>
  <c r="AE106" i="49"/>
  <c r="AA8" i="62"/>
  <c r="AD110" i="68"/>
  <c r="G172" i="63"/>
  <c r="AD10" i="84"/>
  <c r="AD10" i="68"/>
  <c r="AD10" i="66"/>
  <c r="AD10" i="64"/>
  <c r="G205" i="63"/>
  <c r="AD10" i="67"/>
  <c r="AD10" i="63"/>
  <c r="AD10" i="69"/>
  <c r="AD10" i="65"/>
  <c r="AH107" i="49"/>
  <c r="AD10" i="62"/>
  <c r="AB109" i="68"/>
  <c r="AB8" i="84"/>
  <c r="E204" i="63"/>
  <c r="AB8" i="68"/>
  <c r="AB8" i="66"/>
  <c r="AB8" i="64"/>
  <c r="E171" i="63"/>
  <c r="AB8" i="69"/>
  <c r="AB8" i="67"/>
  <c r="AB8" i="63"/>
  <c r="AB8" i="65"/>
  <c r="AF106" i="49"/>
  <c r="AB8" i="62"/>
  <c r="AE109" i="68"/>
  <c r="H171" i="63"/>
  <c r="AE8" i="84"/>
  <c r="H204" i="63"/>
  <c r="AE8" i="69"/>
  <c r="AE8" i="68"/>
  <c r="AE8" i="66"/>
  <c r="AE8" i="64"/>
  <c r="AE8" i="63"/>
  <c r="AE8" i="65"/>
  <c r="AE8" i="67"/>
  <c r="AI106" i="49"/>
  <c r="AE8" i="62"/>
  <c r="AC110" i="68"/>
  <c r="AC10" i="69"/>
  <c r="F172" i="63"/>
  <c r="AC10" i="84"/>
  <c r="AC10" i="67"/>
  <c r="AC10" i="65"/>
  <c r="AC10" i="63"/>
  <c r="F205" i="63"/>
  <c r="AC10" i="66"/>
  <c r="AC10" i="68"/>
  <c r="AC10" i="64"/>
  <c r="AC10" i="62"/>
  <c r="AG107" i="49"/>
  <c r="AC109" i="68"/>
  <c r="F204" i="63"/>
  <c r="AC8" i="69"/>
  <c r="AC8" i="67"/>
  <c r="AC8" i="65"/>
  <c r="AC8" i="63"/>
  <c r="AC8" i="68"/>
  <c r="F171" i="63"/>
  <c r="AC8" i="84"/>
  <c r="AC8" i="66"/>
  <c r="AC8" i="64"/>
  <c r="AC8" i="62"/>
  <c r="AG106" i="49"/>
  <c r="AB110" i="68"/>
  <c r="E205" i="63"/>
  <c r="AB10" i="69"/>
  <c r="E172" i="63"/>
  <c r="AB10" i="84"/>
  <c r="AB10" i="67"/>
  <c r="AB10" i="65"/>
  <c r="AB10" i="63"/>
  <c r="AB10" i="66"/>
  <c r="AB10" i="68"/>
  <c r="AB10" i="64"/>
  <c r="AB10" i="62"/>
  <c r="AF107" i="49"/>
  <c r="P9" i="22"/>
  <c r="D41" i="22"/>
  <c r="J9" i="22"/>
  <c r="J7" i="22"/>
  <c r="K7" i="22"/>
  <c r="N7" i="22"/>
  <c r="F41" i="22"/>
  <c r="L9" i="22"/>
  <c r="R9" i="22"/>
  <c r="T9" i="22"/>
  <c r="H41" i="22"/>
  <c r="N9" i="22"/>
  <c r="G41" i="22"/>
  <c r="M9" i="22"/>
  <c r="S9" i="22"/>
  <c r="L7" i="22"/>
  <c r="E41" i="22"/>
  <c r="K9" i="22"/>
  <c r="Q9" i="22"/>
  <c r="H9" i="22"/>
  <c r="G9" i="22"/>
  <c r="D9" i="22"/>
  <c r="F9" i="22"/>
  <c r="E9" i="22"/>
  <c r="H108" i="83"/>
  <c r="H141" i="69"/>
  <c r="H207" i="69"/>
  <c r="H242" i="67"/>
  <c r="H176" i="67"/>
  <c r="H141" i="67"/>
  <c r="AC141" i="67" s="1"/>
  <c r="AI141" i="67" s="1"/>
  <c r="H275" i="67"/>
  <c r="H141" i="83"/>
  <c r="H174" i="69"/>
  <c r="H209" i="67"/>
  <c r="H108" i="69"/>
  <c r="H242" i="69"/>
  <c r="H108" i="67"/>
  <c r="AC108" i="67" s="1"/>
  <c r="H108" i="66"/>
  <c r="H141" i="66"/>
  <c r="D108" i="83"/>
  <c r="D141" i="69"/>
  <c r="D207" i="69"/>
  <c r="D242" i="67"/>
  <c r="D176" i="67"/>
  <c r="D141" i="67"/>
  <c r="Y141" i="67" s="1"/>
  <c r="AE141" i="67" s="1"/>
  <c r="D209" i="67"/>
  <c r="D108" i="69"/>
  <c r="D242" i="69"/>
  <c r="Y240" i="69" s="1"/>
  <c r="D275" i="67"/>
  <c r="D108" i="67"/>
  <c r="Y108" i="67" s="1"/>
  <c r="D141" i="83"/>
  <c r="D174" i="69"/>
  <c r="D108" i="66"/>
  <c r="D141" i="66"/>
  <c r="D7" i="22"/>
  <c r="AL338" i="83"/>
  <c r="AA310" i="83"/>
  <c r="Y3" i="69"/>
  <c r="D140" i="67"/>
  <c r="D107" i="67"/>
  <c r="D140" i="83"/>
  <c r="D107" i="69"/>
  <c r="D173" i="69"/>
  <c r="D241" i="69"/>
  <c r="Y239" i="69" s="1"/>
  <c r="D274" i="67"/>
  <c r="D208" i="67"/>
  <c r="D140" i="69"/>
  <c r="BB37" i="67"/>
  <c r="Y3" i="83"/>
  <c r="D241" i="67"/>
  <c r="BR37" i="67"/>
  <c r="AW37" i="67"/>
  <c r="D107" i="83"/>
  <c r="D206" i="69"/>
  <c r="BL37" i="67"/>
  <c r="AQ37" i="67"/>
  <c r="D175" i="67"/>
  <c r="BG37" i="67"/>
  <c r="AL37" i="67"/>
  <c r="D107" i="66"/>
  <c r="D140" i="66"/>
  <c r="G141" i="67"/>
  <c r="AB141" i="67" s="1"/>
  <c r="AH141" i="67" s="1"/>
  <c r="G108" i="67"/>
  <c r="AB108" i="67" s="1"/>
  <c r="G141" i="83"/>
  <c r="G108" i="69"/>
  <c r="G174" i="69"/>
  <c r="G242" i="69"/>
  <c r="G275" i="67"/>
  <c r="G209" i="67"/>
  <c r="G141" i="69"/>
  <c r="G242" i="67"/>
  <c r="G108" i="83"/>
  <c r="G207" i="69"/>
  <c r="G176" i="67"/>
  <c r="G108" i="66"/>
  <c r="G141" i="66"/>
  <c r="E7" i="22"/>
  <c r="AB310" i="83"/>
  <c r="AM338" i="83"/>
  <c r="E107" i="83"/>
  <c r="E140" i="69"/>
  <c r="E206" i="69"/>
  <c r="E241" i="67"/>
  <c r="E175" i="67"/>
  <c r="BS37" i="67"/>
  <c r="BH37" i="67"/>
  <c r="AX37" i="67"/>
  <c r="AM37" i="67"/>
  <c r="Z3" i="69"/>
  <c r="E140" i="67"/>
  <c r="Z3" i="83"/>
  <c r="E274" i="67"/>
  <c r="E140" i="83"/>
  <c r="E173" i="69"/>
  <c r="E107" i="67"/>
  <c r="BM37" i="67"/>
  <c r="AR37" i="67"/>
  <c r="E208" i="67"/>
  <c r="E107" i="69"/>
  <c r="E241" i="69"/>
  <c r="Z239" i="69" s="1"/>
  <c r="BC37" i="67"/>
  <c r="E107" i="66"/>
  <c r="E140" i="66"/>
  <c r="H7" i="22"/>
  <c r="AP338" i="83"/>
  <c r="AE310" i="83"/>
  <c r="AC3" i="69"/>
  <c r="H140" i="67"/>
  <c r="H107" i="67"/>
  <c r="H140" i="83"/>
  <c r="H107" i="69"/>
  <c r="H173" i="69"/>
  <c r="H241" i="69"/>
  <c r="AC239" i="69" s="1"/>
  <c r="H274" i="67"/>
  <c r="H208" i="67"/>
  <c r="H107" i="83"/>
  <c r="H206" i="69"/>
  <c r="BK37" i="67"/>
  <c r="AP37" i="67"/>
  <c r="H175" i="67"/>
  <c r="BF37" i="67"/>
  <c r="H140" i="69"/>
  <c r="BV37" i="67"/>
  <c r="BA37" i="67"/>
  <c r="AC3" i="83"/>
  <c r="H241" i="67"/>
  <c r="BP37" i="67"/>
  <c r="AU37" i="67"/>
  <c r="H107" i="66"/>
  <c r="H140" i="66"/>
  <c r="F141" i="83"/>
  <c r="F108" i="69"/>
  <c r="F174" i="69"/>
  <c r="F242" i="69"/>
  <c r="F275" i="67"/>
  <c r="F209" i="67"/>
  <c r="F176" i="67"/>
  <c r="F108" i="67"/>
  <c r="AA108" i="67" s="1"/>
  <c r="F141" i="69"/>
  <c r="F141" i="67"/>
  <c r="AA141" i="67" s="1"/>
  <c r="AG141" i="67" s="1"/>
  <c r="F242" i="67"/>
  <c r="F108" i="83"/>
  <c r="F207" i="69"/>
  <c r="F141" i="66"/>
  <c r="F108" i="66"/>
  <c r="F7" i="22"/>
  <c r="AC310" i="83"/>
  <c r="AN338" i="83"/>
  <c r="AA3" i="83"/>
  <c r="F107" i="83"/>
  <c r="F140" i="69"/>
  <c r="F206" i="69"/>
  <c r="F241" i="67"/>
  <c r="F175" i="67"/>
  <c r="F140" i="83"/>
  <c r="F173" i="69"/>
  <c r="F140" i="67"/>
  <c r="F107" i="67"/>
  <c r="BT37" i="67"/>
  <c r="BN37" i="67"/>
  <c r="AY37" i="67"/>
  <c r="AS37" i="67"/>
  <c r="F208" i="67"/>
  <c r="F107" i="69"/>
  <c r="F241" i="69"/>
  <c r="AA239" i="69" s="1"/>
  <c r="BI37" i="67"/>
  <c r="BD37" i="67"/>
  <c r="AN37" i="67"/>
  <c r="AA3" i="69"/>
  <c r="F274" i="67"/>
  <c r="F140" i="66"/>
  <c r="F107" i="66"/>
  <c r="E108" i="83"/>
  <c r="E141" i="69"/>
  <c r="E207" i="69"/>
  <c r="E242" i="67"/>
  <c r="E176" i="67"/>
  <c r="E108" i="69"/>
  <c r="E242" i="69"/>
  <c r="E275" i="67"/>
  <c r="E108" i="67"/>
  <c r="Z108" i="67" s="1"/>
  <c r="E141" i="83"/>
  <c r="E174" i="69"/>
  <c r="E141" i="67"/>
  <c r="Z141" i="67" s="1"/>
  <c r="AF141" i="67" s="1"/>
  <c r="E209" i="67"/>
  <c r="E141" i="66"/>
  <c r="E108" i="66"/>
  <c r="O10" i="63"/>
  <c r="H10" i="62"/>
  <c r="H10" i="63"/>
  <c r="O10" i="62"/>
  <c r="K8" i="63"/>
  <c r="D8" i="63"/>
  <c r="K8" i="62"/>
  <c r="D8" i="62"/>
  <c r="N10" i="62"/>
  <c r="G10" i="63"/>
  <c r="N10" i="63"/>
  <c r="G10" i="62"/>
  <c r="L8" i="62"/>
  <c r="E8" i="63"/>
  <c r="L8" i="63"/>
  <c r="E8" i="62"/>
  <c r="K10" i="63"/>
  <c r="D10" i="62"/>
  <c r="K10" i="62"/>
  <c r="D10" i="63"/>
  <c r="O8" i="63"/>
  <c r="Q7" i="63" s="1"/>
  <c r="O8" i="62"/>
  <c r="Q7" i="62" s="1"/>
  <c r="H8" i="62"/>
  <c r="H8" i="63"/>
  <c r="M10" i="63"/>
  <c r="M10" i="62"/>
  <c r="F10" i="62"/>
  <c r="F10" i="63"/>
  <c r="M8" i="63"/>
  <c r="F8" i="62"/>
  <c r="M8" i="62"/>
  <c r="F8" i="63"/>
  <c r="E10" i="63"/>
  <c r="L10" i="63"/>
  <c r="L10" i="62"/>
  <c r="E10" i="62"/>
  <c r="D107" i="62"/>
  <c r="D108" i="63"/>
  <c r="E106" i="62"/>
  <c r="E107" i="63"/>
  <c r="F108" i="63"/>
  <c r="F107" i="62"/>
  <c r="H107" i="62"/>
  <c r="H108" i="63"/>
  <c r="D107" i="63"/>
  <c r="D106" i="62"/>
  <c r="G107" i="62"/>
  <c r="G108" i="63"/>
  <c r="H106" i="62"/>
  <c r="H107" i="63"/>
  <c r="F107" i="63"/>
  <c r="F106" i="62"/>
  <c r="E108" i="63"/>
  <c r="E107" i="62"/>
  <c r="N11" i="75"/>
  <c r="M12" i="75"/>
  <c r="K8" i="49"/>
  <c r="D107" i="49"/>
  <c r="D141" i="49"/>
  <c r="AR36" i="49"/>
  <c r="AA8" i="49"/>
  <c r="Y141" i="49"/>
  <c r="AW36" i="49"/>
  <c r="AL36" i="49"/>
  <c r="Y106" i="49"/>
  <c r="K10" i="49"/>
  <c r="AL37" i="49"/>
  <c r="AR37" i="49"/>
  <c r="AA10" i="49"/>
  <c r="Y142" i="49"/>
  <c r="D108" i="49"/>
  <c r="AW37" i="49"/>
  <c r="Y107" i="49"/>
  <c r="D142" i="49"/>
  <c r="N8" i="49"/>
  <c r="G107" i="49"/>
  <c r="AZ36" i="49"/>
  <c r="AO36" i="49"/>
  <c r="AB106" i="49"/>
  <c r="G141" i="49"/>
  <c r="AU36" i="49"/>
  <c r="AD8" i="49"/>
  <c r="AB141" i="49"/>
  <c r="M10" i="49"/>
  <c r="AY37" i="49"/>
  <c r="AN37" i="49"/>
  <c r="AA107" i="49"/>
  <c r="F142" i="49"/>
  <c r="AT37" i="49"/>
  <c r="AC10" i="49"/>
  <c r="AA142" i="49"/>
  <c r="F108" i="49"/>
  <c r="M8" i="49"/>
  <c r="AC8" i="49"/>
  <c r="F107" i="49"/>
  <c r="AY36" i="49"/>
  <c r="AN36" i="49"/>
  <c r="AA106" i="49"/>
  <c r="F141" i="49"/>
  <c r="AT36" i="49"/>
  <c r="AA141" i="49"/>
  <c r="L10" i="49"/>
  <c r="Z142" i="49"/>
  <c r="E108" i="49"/>
  <c r="AX37" i="49"/>
  <c r="AM37" i="49"/>
  <c r="Z107" i="49"/>
  <c r="E142" i="49"/>
  <c r="AS37" i="49"/>
  <c r="AB10" i="49"/>
  <c r="O10" i="49"/>
  <c r="BA37" i="49"/>
  <c r="AC107" i="49"/>
  <c r="H142" i="49"/>
  <c r="AV37" i="49"/>
  <c r="AE10" i="49"/>
  <c r="AC142" i="49"/>
  <c r="H108" i="49"/>
  <c r="AP37" i="49"/>
  <c r="O8" i="49"/>
  <c r="Q7" i="49" s="1"/>
  <c r="AC106" i="49"/>
  <c r="AV36" i="49"/>
  <c r="AE8" i="49"/>
  <c r="AC141" i="49"/>
  <c r="H107" i="49"/>
  <c r="BA36" i="49"/>
  <c r="AP36" i="49"/>
  <c r="H141" i="49"/>
  <c r="N10" i="49"/>
  <c r="AO37" i="49"/>
  <c r="G142" i="49"/>
  <c r="AU37" i="49"/>
  <c r="AD10" i="49"/>
  <c r="AB142" i="49"/>
  <c r="G108" i="49"/>
  <c r="AZ37" i="49"/>
  <c r="AB107" i="49"/>
  <c r="L8" i="49"/>
  <c r="AX36" i="49"/>
  <c r="AS36" i="49"/>
  <c r="AB8" i="49"/>
  <c r="Z141" i="49"/>
  <c r="E107" i="49"/>
  <c r="AM36" i="49"/>
  <c r="Z106" i="49"/>
  <c r="E141" i="49"/>
  <c r="H8" i="49"/>
  <c r="G10" i="49"/>
  <c r="G8" i="49"/>
  <c r="F10" i="49"/>
  <c r="F8" i="49"/>
  <c r="E10" i="49"/>
  <c r="D8" i="49"/>
  <c r="H10" i="49"/>
  <c r="D10" i="49"/>
  <c r="E8" i="49"/>
  <c r="Q8" i="70" l="1"/>
  <c r="Q76" i="70"/>
  <c r="R7" i="91"/>
  <c r="R77" i="91"/>
  <c r="X270" i="69"/>
  <c r="B272" i="69" s="1"/>
  <c r="AL37" i="83"/>
  <c r="AV37" i="83"/>
  <c r="BA37" i="83" s="1"/>
  <c r="AP37" i="83"/>
  <c r="AM37" i="83"/>
  <c r="AT37" i="83"/>
  <c r="AY37" i="83" s="1"/>
  <c r="AU37" i="83"/>
  <c r="AZ37" i="83" s="1"/>
  <c r="AO37" i="83"/>
  <c r="AS37" i="83"/>
  <c r="AX37" i="83" s="1"/>
  <c r="AN37" i="83"/>
  <c r="AR37" i="83"/>
  <c r="AW37" i="83" s="1"/>
  <c r="AJ154" i="50"/>
  <c r="DG106" i="50"/>
  <c r="AE130" i="50"/>
  <c r="BX154" i="50"/>
  <c r="BD154" i="50"/>
  <c r="AT130" i="50"/>
  <c r="AE154" i="50"/>
  <c r="DQ106" i="50"/>
  <c r="AO106" i="50"/>
  <c r="DV106" i="50"/>
  <c r="AY106" i="50"/>
  <c r="BX106" i="50"/>
  <c r="BX130" i="50"/>
  <c r="DL106" i="50"/>
  <c r="AT106" i="50"/>
  <c r="CC154" i="50"/>
  <c r="BN130" i="50"/>
  <c r="AY154" i="50"/>
  <c r="AT154" i="50"/>
  <c r="AJ130" i="50"/>
  <c r="BN106" i="50"/>
  <c r="CW106" i="50"/>
  <c r="CH106" i="50"/>
  <c r="BI106" i="50"/>
  <c r="DB106" i="50"/>
  <c r="BS106" i="50"/>
  <c r="EA106" i="50"/>
  <c r="BS130" i="50"/>
  <c r="BI130" i="50"/>
  <c r="AO154" i="50"/>
  <c r="BS154" i="50"/>
  <c r="CC106" i="50"/>
  <c r="CM106" i="50"/>
  <c r="AY130" i="50"/>
  <c r="AJ106" i="50"/>
  <c r="BI154" i="50"/>
  <c r="BD106" i="50"/>
  <c r="BN154" i="50"/>
  <c r="CR106" i="50"/>
  <c r="AO130" i="50"/>
  <c r="AE106" i="50"/>
  <c r="BD130" i="50"/>
  <c r="AC154" i="50"/>
  <c r="AH130" i="50"/>
  <c r="AW130" i="50"/>
  <c r="BV154" i="50"/>
  <c r="AW154" i="50"/>
  <c r="BL130" i="50"/>
  <c r="DY106" i="50"/>
  <c r="AR106" i="50"/>
  <c r="CK106" i="50"/>
  <c r="AM106" i="50"/>
  <c r="BV106" i="50"/>
  <c r="CU106" i="50"/>
  <c r="AW106" i="50"/>
  <c r="CA106" i="50"/>
  <c r="DE106" i="50"/>
  <c r="BB106" i="50"/>
  <c r="CF106" i="50"/>
  <c r="AC130" i="50"/>
  <c r="AR130" i="50"/>
  <c r="AM154" i="50"/>
  <c r="AR154" i="50"/>
  <c r="AH154" i="50"/>
  <c r="AH106" i="50"/>
  <c r="AC106" i="50"/>
  <c r="BG106" i="50"/>
  <c r="DO106" i="50"/>
  <c r="BG130" i="50"/>
  <c r="BL154" i="50"/>
  <c r="BQ154" i="50"/>
  <c r="BG154" i="50"/>
  <c r="CA154" i="50"/>
  <c r="DT106" i="50"/>
  <c r="DJ106" i="50"/>
  <c r="BB154" i="50"/>
  <c r="CP106" i="50"/>
  <c r="BB130" i="50"/>
  <c r="BQ130" i="50"/>
  <c r="CZ106" i="50"/>
  <c r="BQ106" i="50"/>
  <c r="AM130" i="50"/>
  <c r="BV130" i="50"/>
  <c r="BL106" i="50"/>
  <c r="BK130" i="50"/>
  <c r="AL130" i="50"/>
  <c r="BF130" i="50"/>
  <c r="BU130" i="50"/>
  <c r="BA130" i="50"/>
  <c r="AG154" i="50"/>
  <c r="AV106" i="50"/>
  <c r="BU106" i="50"/>
  <c r="CE106" i="50"/>
  <c r="CO106" i="50"/>
  <c r="AL106" i="50"/>
  <c r="CY106" i="50"/>
  <c r="DD106" i="50"/>
  <c r="AQ130" i="50"/>
  <c r="AG130" i="50"/>
  <c r="AV130" i="50"/>
  <c r="AL154" i="50"/>
  <c r="AV154" i="50"/>
  <c r="DN106" i="50"/>
  <c r="DX106" i="50"/>
  <c r="AB106" i="50"/>
  <c r="BP106" i="50"/>
  <c r="BP154" i="50"/>
  <c r="AB130" i="50"/>
  <c r="BF154" i="50"/>
  <c r="BP130" i="50"/>
  <c r="AQ154" i="50"/>
  <c r="CT106" i="50"/>
  <c r="BF106" i="50"/>
  <c r="BZ106" i="50"/>
  <c r="BA154" i="50"/>
  <c r="AB154" i="50"/>
  <c r="BZ154" i="50"/>
  <c r="CJ106" i="50"/>
  <c r="DI106" i="50"/>
  <c r="BK154" i="50"/>
  <c r="AG106" i="50"/>
  <c r="AQ106" i="50"/>
  <c r="DS106" i="50"/>
  <c r="BU154" i="50"/>
  <c r="BA106" i="50"/>
  <c r="BK106" i="50"/>
  <c r="AD154" i="50"/>
  <c r="AI154" i="50"/>
  <c r="DZ106" i="50"/>
  <c r="AI130" i="50"/>
  <c r="BH154" i="50"/>
  <c r="BM154" i="50"/>
  <c r="AD130" i="50"/>
  <c r="BH106" i="50"/>
  <c r="DK106" i="50"/>
  <c r="CB106" i="50"/>
  <c r="AS106" i="50"/>
  <c r="BC106" i="50"/>
  <c r="DF106" i="50"/>
  <c r="BW130" i="50"/>
  <c r="BM130" i="50"/>
  <c r="AN154" i="50"/>
  <c r="AX106" i="50"/>
  <c r="BW106" i="50"/>
  <c r="CG106" i="50"/>
  <c r="CB154" i="50"/>
  <c r="AX130" i="50"/>
  <c r="BR130" i="50"/>
  <c r="AX154" i="50"/>
  <c r="BW154" i="50"/>
  <c r="BR106" i="50"/>
  <c r="AN106" i="50"/>
  <c r="AI106" i="50"/>
  <c r="CV106" i="50"/>
  <c r="AS130" i="50"/>
  <c r="AS154" i="50"/>
  <c r="CL106" i="50"/>
  <c r="CQ106" i="50"/>
  <c r="AD106" i="50"/>
  <c r="BH130" i="50"/>
  <c r="DA106" i="50"/>
  <c r="BM106" i="50"/>
  <c r="BR154" i="50"/>
  <c r="DU106" i="50"/>
  <c r="DP106" i="50"/>
  <c r="BC130" i="50"/>
  <c r="BC154" i="50"/>
  <c r="AN130" i="50"/>
  <c r="BO130" i="50"/>
  <c r="BT154" i="50"/>
  <c r="AK130" i="50"/>
  <c r="BO154" i="50"/>
  <c r="AF130" i="50"/>
  <c r="AK154" i="50"/>
  <c r="CX106" i="50"/>
  <c r="AF106" i="50"/>
  <c r="DC106" i="50"/>
  <c r="AP106" i="50"/>
  <c r="AU106" i="50"/>
  <c r="EB106" i="50"/>
  <c r="BY154" i="50"/>
  <c r="AU130" i="50"/>
  <c r="BE154" i="50"/>
  <c r="BJ154" i="50"/>
  <c r="AU154" i="50"/>
  <c r="BJ130" i="50"/>
  <c r="BT106" i="50"/>
  <c r="DM106" i="50"/>
  <c r="DW106" i="50"/>
  <c r="DR106" i="50"/>
  <c r="BJ106" i="50"/>
  <c r="CS106" i="50"/>
  <c r="CI106" i="50"/>
  <c r="BY130" i="50"/>
  <c r="CD154" i="50"/>
  <c r="AZ154" i="50"/>
  <c r="BE130" i="50"/>
  <c r="AP154" i="50"/>
  <c r="AZ106" i="50"/>
  <c r="DH106" i="50"/>
  <c r="BT130" i="50"/>
  <c r="AF154" i="50"/>
  <c r="BE106" i="50"/>
  <c r="AZ130" i="50"/>
  <c r="CN106" i="50"/>
  <c r="AP130" i="50"/>
  <c r="AK106" i="50"/>
  <c r="CD106" i="50"/>
  <c r="BY106" i="50"/>
  <c r="BO106" i="50"/>
  <c r="AS131" i="50"/>
  <c r="BW131" i="50"/>
  <c r="AD131" i="50"/>
  <c r="AX131" i="50"/>
  <c r="BC131" i="50"/>
  <c r="BW107" i="50"/>
  <c r="CQ107" i="50"/>
  <c r="CL107" i="50"/>
  <c r="BH107" i="50"/>
  <c r="DU107" i="50"/>
  <c r="BR131" i="50"/>
  <c r="BM155" i="50"/>
  <c r="AN155" i="50"/>
  <c r="BW155" i="50"/>
  <c r="AD155" i="50"/>
  <c r="AN107" i="50"/>
  <c r="BC107" i="50"/>
  <c r="CV107" i="50"/>
  <c r="CB107" i="50"/>
  <c r="CB155" i="50"/>
  <c r="BH155" i="50"/>
  <c r="BC155" i="50"/>
  <c r="BR155" i="50"/>
  <c r="AS155" i="50"/>
  <c r="AI155" i="50"/>
  <c r="DP107" i="50"/>
  <c r="DZ107" i="50"/>
  <c r="BH131" i="50"/>
  <c r="DF107" i="50"/>
  <c r="AX107" i="50"/>
  <c r="AS107" i="50"/>
  <c r="AN131" i="50"/>
  <c r="AD107" i="50"/>
  <c r="CG107" i="50"/>
  <c r="DK107" i="50"/>
  <c r="BR107" i="50"/>
  <c r="BM107" i="50"/>
  <c r="BM131" i="50"/>
  <c r="AI131" i="50"/>
  <c r="AI107" i="50"/>
  <c r="DA107" i="50"/>
  <c r="AX155" i="50"/>
  <c r="AB155" i="50"/>
  <c r="DS107" i="50"/>
  <c r="BZ155" i="50"/>
  <c r="BP155" i="50"/>
  <c r="BU155" i="50"/>
  <c r="BK155" i="50"/>
  <c r="DN107" i="50"/>
  <c r="BA107" i="50"/>
  <c r="DD107" i="50"/>
  <c r="AL107" i="50"/>
  <c r="DI107" i="50"/>
  <c r="BP107" i="50"/>
  <c r="BA131" i="50"/>
  <c r="BK131" i="50"/>
  <c r="AB131" i="50"/>
  <c r="BU107" i="50"/>
  <c r="BU131" i="50"/>
  <c r="AV131" i="50"/>
  <c r="BP131" i="50"/>
  <c r="BF155" i="50"/>
  <c r="AV155" i="50"/>
  <c r="AG155" i="50"/>
  <c r="DX107" i="50"/>
  <c r="CE107" i="50"/>
  <c r="BF107" i="50"/>
  <c r="AG107" i="50"/>
  <c r="CY107" i="50"/>
  <c r="AQ131" i="50"/>
  <c r="AQ155" i="50"/>
  <c r="AB107" i="50"/>
  <c r="CT107" i="50"/>
  <c r="BA155" i="50"/>
  <c r="CJ107" i="50"/>
  <c r="AL131" i="50"/>
  <c r="BK107" i="50"/>
  <c r="CO107" i="50"/>
  <c r="BF131" i="50"/>
  <c r="AV107" i="50"/>
  <c r="AQ107" i="50"/>
  <c r="AL155" i="50"/>
  <c r="AG131" i="50"/>
  <c r="BZ107" i="50"/>
  <c r="AF155" i="50"/>
  <c r="DW107" i="50"/>
  <c r="AF131" i="50"/>
  <c r="AP131" i="50"/>
  <c r="BJ131" i="50"/>
  <c r="AZ155" i="50"/>
  <c r="BY107" i="50"/>
  <c r="AF107" i="50"/>
  <c r="BJ107" i="50"/>
  <c r="CS107" i="50"/>
  <c r="AU107" i="50"/>
  <c r="CD155" i="50"/>
  <c r="AU155" i="50"/>
  <c r="AK155" i="50"/>
  <c r="CX107" i="50"/>
  <c r="BE107" i="50"/>
  <c r="BY131" i="50"/>
  <c r="BT155" i="50"/>
  <c r="BY155" i="50"/>
  <c r="BJ155" i="50"/>
  <c r="BO131" i="50"/>
  <c r="BO107" i="50"/>
  <c r="DR107" i="50"/>
  <c r="CD107" i="50"/>
  <c r="AP107" i="50"/>
  <c r="DM107" i="50"/>
  <c r="CN107" i="50"/>
  <c r="AZ107" i="50"/>
  <c r="BE131" i="50"/>
  <c r="AZ131" i="50"/>
  <c r="BE155" i="50"/>
  <c r="EB107" i="50"/>
  <c r="AU131" i="50"/>
  <c r="BT131" i="50"/>
  <c r="DH107" i="50"/>
  <c r="AK131" i="50"/>
  <c r="AP155" i="50"/>
  <c r="BT107" i="50"/>
  <c r="AK107" i="50"/>
  <c r="CI107" i="50"/>
  <c r="DC107" i="50"/>
  <c r="BO155" i="50"/>
  <c r="AC107" i="50"/>
  <c r="BQ131" i="50"/>
  <c r="BG131" i="50"/>
  <c r="AW155" i="50"/>
  <c r="AR131" i="50"/>
  <c r="AH131" i="50"/>
  <c r="DE107" i="50"/>
  <c r="CU107" i="50"/>
  <c r="CK107" i="50"/>
  <c r="CP107" i="50"/>
  <c r="BQ107" i="50"/>
  <c r="AW131" i="50"/>
  <c r="BB131" i="50"/>
  <c r="AR155" i="50"/>
  <c r="AM131" i="50"/>
  <c r="AC155" i="50"/>
  <c r="BL107" i="50"/>
  <c r="BB107" i="50"/>
  <c r="CA107" i="50"/>
  <c r="CZ107" i="50"/>
  <c r="AH107" i="50"/>
  <c r="BV131" i="50"/>
  <c r="AC131" i="50"/>
  <c r="BL155" i="50"/>
  <c r="BV155" i="50"/>
  <c r="BG155" i="50"/>
  <c r="AH155" i="50"/>
  <c r="CF107" i="50"/>
  <c r="CA155" i="50"/>
  <c r="AM155" i="50"/>
  <c r="DO107" i="50"/>
  <c r="DT107" i="50"/>
  <c r="BB155" i="50"/>
  <c r="DY107" i="50"/>
  <c r="AM107" i="50"/>
  <c r="AW107" i="50"/>
  <c r="BL131" i="50"/>
  <c r="BG107" i="50"/>
  <c r="DJ107" i="50"/>
  <c r="BQ155" i="50"/>
  <c r="AR107" i="50"/>
  <c r="BV107" i="50"/>
  <c r="M13" i="75"/>
  <c r="N12" i="75"/>
  <c r="B305" i="69" l="1"/>
  <c r="N13" i="75"/>
  <c r="M14" i="75"/>
  <c r="AZ31" i="50"/>
  <c r="AY31" i="50"/>
  <c r="AX31" i="50"/>
  <c r="AW31" i="50"/>
  <c r="AV31" i="50"/>
  <c r="AU31" i="50"/>
  <c r="AT31" i="50"/>
  <c r="AS31" i="50"/>
  <c r="AR31" i="50"/>
  <c r="AQ31" i="50"/>
  <c r="AP31" i="50"/>
  <c r="AO31" i="50"/>
  <c r="AN31" i="50"/>
  <c r="AM31" i="50"/>
  <c r="AL31" i="50"/>
  <c r="AK31" i="50"/>
  <c r="AJ31" i="50"/>
  <c r="AI31" i="50"/>
  <c r="AH31" i="50"/>
  <c r="AG31" i="50"/>
  <c r="AZ29" i="50"/>
  <c r="AY29" i="50"/>
  <c r="AX29" i="50"/>
  <c r="AW29" i="50"/>
  <c r="AV29" i="50"/>
  <c r="AU29" i="50"/>
  <c r="AT29" i="50"/>
  <c r="AS29" i="50"/>
  <c r="AR29" i="50"/>
  <c r="AQ29" i="50"/>
  <c r="AP29" i="50"/>
  <c r="AO29" i="50"/>
  <c r="AN29" i="50"/>
  <c r="AM29" i="50"/>
  <c r="AL29" i="50"/>
  <c r="AK29" i="50"/>
  <c r="AJ29" i="50"/>
  <c r="AI29" i="50"/>
  <c r="AH29" i="50"/>
  <c r="AG29" i="50"/>
  <c r="AF29" i="50"/>
  <c r="AU27" i="50"/>
  <c r="AT27" i="50"/>
  <c r="AS27" i="50"/>
  <c r="AR27" i="50"/>
  <c r="AQ27" i="50"/>
  <c r="AP27" i="50"/>
  <c r="AO27" i="50"/>
  <c r="AN27" i="50"/>
  <c r="AM27" i="50"/>
  <c r="AL27" i="50"/>
  <c r="AK27" i="50"/>
  <c r="AJ27" i="50"/>
  <c r="AI27" i="50"/>
  <c r="AH27" i="50"/>
  <c r="AG27" i="50"/>
  <c r="AF27" i="50"/>
  <c r="AU26" i="50"/>
  <c r="AT26" i="50"/>
  <c r="AS26" i="50"/>
  <c r="AR26" i="50"/>
  <c r="AQ26" i="50"/>
  <c r="AP26" i="50"/>
  <c r="AO26" i="50"/>
  <c r="AN26" i="50"/>
  <c r="AM26" i="50"/>
  <c r="AL26" i="50"/>
  <c r="AK26" i="50"/>
  <c r="AJ26" i="50"/>
  <c r="AI26" i="50"/>
  <c r="AH26" i="50"/>
  <c r="AG26" i="50"/>
  <c r="AF26" i="50"/>
  <c r="AU25" i="50"/>
  <c r="AT25" i="50"/>
  <c r="AS25" i="50"/>
  <c r="AR25" i="50"/>
  <c r="AQ25" i="50"/>
  <c r="AP25" i="50"/>
  <c r="AO25" i="50"/>
  <c r="AN25" i="50"/>
  <c r="AM25" i="50"/>
  <c r="AL25" i="50"/>
  <c r="AK25" i="50"/>
  <c r="AJ25" i="50"/>
  <c r="AI25" i="50"/>
  <c r="AH25" i="50"/>
  <c r="AG25" i="50"/>
  <c r="AF25" i="50"/>
  <c r="AU24" i="50"/>
  <c r="AT24" i="50"/>
  <c r="AS24" i="50"/>
  <c r="AR24" i="50"/>
  <c r="AQ24" i="50"/>
  <c r="AP24" i="50"/>
  <c r="AO24" i="50"/>
  <c r="AN24" i="50"/>
  <c r="AM24" i="50"/>
  <c r="AL24" i="50"/>
  <c r="AK24" i="50"/>
  <c r="AJ24" i="50"/>
  <c r="AI24" i="50"/>
  <c r="AH24" i="50"/>
  <c r="AG24" i="50"/>
  <c r="AF24" i="50"/>
  <c r="AU23" i="50"/>
  <c r="AT23" i="50"/>
  <c r="AS23" i="50"/>
  <c r="AR23" i="50"/>
  <c r="AQ23" i="50"/>
  <c r="AP23" i="50"/>
  <c r="AO23" i="50"/>
  <c r="AN23" i="50"/>
  <c r="AM23" i="50"/>
  <c r="AL23" i="50"/>
  <c r="AK23" i="50"/>
  <c r="AJ23" i="50"/>
  <c r="AI23" i="50"/>
  <c r="AH23" i="50"/>
  <c r="AG23" i="50"/>
  <c r="AF23" i="50"/>
  <c r="AU22" i="50"/>
  <c r="AT22" i="50"/>
  <c r="AS22" i="50"/>
  <c r="AR22" i="50"/>
  <c r="AQ22" i="50"/>
  <c r="AP22" i="50"/>
  <c r="AO22" i="50"/>
  <c r="AN22" i="50"/>
  <c r="AM22" i="50"/>
  <c r="AL22" i="50"/>
  <c r="AK22" i="50"/>
  <c r="AJ22" i="50"/>
  <c r="AI22" i="50"/>
  <c r="AH22" i="50"/>
  <c r="AG22" i="50"/>
  <c r="AF22" i="50"/>
  <c r="AU21" i="50"/>
  <c r="AT21" i="50"/>
  <c r="AS21" i="50"/>
  <c r="AR21" i="50"/>
  <c r="AQ21" i="50"/>
  <c r="AP21" i="50"/>
  <c r="AO21" i="50"/>
  <c r="AN21" i="50"/>
  <c r="AM21" i="50"/>
  <c r="AL21" i="50"/>
  <c r="AK21" i="50"/>
  <c r="AJ21" i="50"/>
  <c r="AI21" i="50"/>
  <c r="AH21" i="50"/>
  <c r="AG21" i="50"/>
  <c r="AF21" i="50"/>
  <c r="AU20" i="50"/>
  <c r="AT20" i="50"/>
  <c r="AS20" i="50"/>
  <c r="AR20" i="50"/>
  <c r="AQ20" i="50"/>
  <c r="AP20" i="50"/>
  <c r="AO20" i="50"/>
  <c r="AN20" i="50"/>
  <c r="AM20" i="50"/>
  <c r="AL20" i="50"/>
  <c r="AK20" i="50"/>
  <c r="AJ20" i="50"/>
  <c r="AI20" i="50"/>
  <c r="AH20" i="50"/>
  <c r="AG20" i="50"/>
  <c r="AF20" i="50"/>
  <c r="AU19" i="50"/>
  <c r="AT19" i="50"/>
  <c r="AS19" i="50"/>
  <c r="AR19" i="50"/>
  <c r="AQ19" i="50"/>
  <c r="AP19" i="50"/>
  <c r="AO19" i="50"/>
  <c r="AN19" i="50"/>
  <c r="AM19" i="50"/>
  <c r="AL19" i="50"/>
  <c r="AK19" i="50"/>
  <c r="AJ19" i="50"/>
  <c r="AI19" i="50"/>
  <c r="AH19" i="50"/>
  <c r="AG19" i="50"/>
  <c r="AF19" i="50"/>
  <c r="AV18" i="50"/>
  <c r="AU18" i="50"/>
  <c r="AT18" i="50"/>
  <c r="AS18" i="50"/>
  <c r="AR18" i="50"/>
  <c r="AQ18" i="50"/>
  <c r="AP18" i="50"/>
  <c r="AO18" i="50"/>
  <c r="AN18" i="50"/>
  <c r="AM18" i="50"/>
  <c r="AL18" i="50"/>
  <c r="AK18" i="50"/>
  <c r="AJ18" i="50"/>
  <c r="AI18" i="50"/>
  <c r="AH18" i="50"/>
  <c r="AG18" i="50"/>
  <c r="AF18" i="50"/>
  <c r="AU17" i="50"/>
  <c r="AT17" i="50"/>
  <c r="AS17" i="50"/>
  <c r="AR17" i="50"/>
  <c r="AQ17" i="50"/>
  <c r="AP17" i="50"/>
  <c r="AO17" i="50"/>
  <c r="AN17" i="50"/>
  <c r="AM17" i="50"/>
  <c r="AL17" i="50"/>
  <c r="AK17" i="50"/>
  <c r="AJ17" i="50"/>
  <c r="AI17" i="50"/>
  <c r="AH17" i="50"/>
  <c r="AG17" i="50"/>
  <c r="AF17" i="50"/>
  <c r="AU16" i="50"/>
  <c r="AT16" i="50"/>
  <c r="AS16" i="50"/>
  <c r="AR16" i="50"/>
  <c r="AQ16" i="50"/>
  <c r="AP16" i="50"/>
  <c r="AO16" i="50"/>
  <c r="AN16" i="50"/>
  <c r="AM16" i="50"/>
  <c r="AL16" i="50"/>
  <c r="AK16" i="50"/>
  <c r="AJ16" i="50"/>
  <c r="AI16" i="50"/>
  <c r="AH16" i="50"/>
  <c r="AG16" i="50"/>
  <c r="AF16" i="50"/>
  <c r="AU15" i="50"/>
  <c r="AT15" i="50"/>
  <c r="AS15" i="50"/>
  <c r="AR15" i="50"/>
  <c r="AQ15" i="50"/>
  <c r="AP15" i="50"/>
  <c r="AO15" i="50"/>
  <c r="AN15" i="50"/>
  <c r="AM15" i="50"/>
  <c r="AL15" i="50"/>
  <c r="AK15" i="50"/>
  <c r="AJ15" i="50"/>
  <c r="AI15" i="50"/>
  <c r="AH15" i="50"/>
  <c r="AG15" i="50"/>
  <c r="AF15" i="50"/>
  <c r="AU14" i="50"/>
  <c r="AT14" i="50"/>
  <c r="AS14" i="50"/>
  <c r="AR14" i="50"/>
  <c r="AQ14" i="50"/>
  <c r="AP14" i="50"/>
  <c r="AO14" i="50"/>
  <c r="AN14" i="50"/>
  <c r="AM14" i="50"/>
  <c r="AL14" i="50"/>
  <c r="AK14" i="50"/>
  <c r="AJ14" i="50"/>
  <c r="AI14" i="50"/>
  <c r="AH14" i="50"/>
  <c r="AG14" i="50"/>
  <c r="AF14" i="50"/>
  <c r="AU13" i="50"/>
  <c r="AT13" i="50"/>
  <c r="AS13" i="50"/>
  <c r="AR13" i="50"/>
  <c r="AQ13" i="50"/>
  <c r="AP13" i="50"/>
  <c r="AO13" i="50"/>
  <c r="AN13" i="50"/>
  <c r="AM13" i="50"/>
  <c r="AL13" i="50"/>
  <c r="AK13" i="50"/>
  <c r="AJ13" i="50"/>
  <c r="AI13" i="50"/>
  <c r="AH13" i="50"/>
  <c r="AG13" i="50"/>
  <c r="AF13" i="50"/>
  <c r="AU12" i="50"/>
  <c r="AT12" i="50"/>
  <c r="AS12" i="50"/>
  <c r="AR12" i="50"/>
  <c r="AQ12" i="50"/>
  <c r="AP12" i="50"/>
  <c r="AO12" i="50"/>
  <c r="AN12" i="50"/>
  <c r="AM12" i="50"/>
  <c r="AL12" i="50"/>
  <c r="AK12" i="50"/>
  <c r="AJ12" i="50"/>
  <c r="AI12" i="50"/>
  <c r="AH12" i="50"/>
  <c r="AG12" i="50"/>
  <c r="AF12" i="50"/>
  <c r="AU11" i="50"/>
  <c r="AT11" i="50"/>
  <c r="AS11" i="50"/>
  <c r="AR11" i="50"/>
  <c r="AQ11" i="50"/>
  <c r="AP11" i="50"/>
  <c r="AO11" i="50"/>
  <c r="AN11" i="50"/>
  <c r="AM11" i="50"/>
  <c r="AL11" i="50"/>
  <c r="AK11" i="50"/>
  <c r="AJ11" i="50"/>
  <c r="AI11" i="50"/>
  <c r="AH11" i="50"/>
  <c r="AG11" i="50"/>
  <c r="AF11" i="50"/>
  <c r="AU9" i="50"/>
  <c r="AT9" i="50"/>
  <c r="AS9" i="50"/>
  <c r="AR9" i="50"/>
  <c r="AQ9" i="50"/>
  <c r="AP9" i="50"/>
  <c r="AO9" i="50"/>
  <c r="AN9" i="50"/>
  <c r="AM9" i="50"/>
  <c r="AL9" i="50"/>
  <c r="AK9" i="50"/>
  <c r="AJ9" i="50"/>
  <c r="AI9" i="50"/>
  <c r="AH9" i="50"/>
  <c r="AG9" i="50"/>
  <c r="AF9" i="50"/>
  <c r="AZ9" i="50"/>
  <c r="AY9" i="50"/>
  <c r="AX9" i="50"/>
  <c r="AW9" i="50"/>
  <c r="AV9" i="50"/>
  <c r="AZ11" i="50"/>
  <c r="AY11" i="50"/>
  <c r="AX11" i="50"/>
  <c r="AW11" i="50"/>
  <c r="AV11" i="50"/>
  <c r="AZ12" i="50"/>
  <c r="AY12" i="50"/>
  <c r="AX12" i="50"/>
  <c r="AW12" i="50"/>
  <c r="AV12" i="50"/>
  <c r="AZ13" i="50"/>
  <c r="AY13" i="50"/>
  <c r="AX13" i="50"/>
  <c r="AW13" i="50"/>
  <c r="AV13" i="50"/>
  <c r="AZ14" i="50"/>
  <c r="AY14" i="50"/>
  <c r="AX14" i="50"/>
  <c r="AW14" i="50"/>
  <c r="AV14" i="50"/>
  <c r="AZ15" i="50"/>
  <c r="AY15" i="50"/>
  <c r="AX15" i="50"/>
  <c r="AW15" i="50"/>
  <c r="AV15" i="50"/>
  <c r="AZ16" i="50"/>
  <c r="AY16" i="50"/>
  <c r="AX16" i="50"/>
  <c r="AW16" i="50"/>
  <c r="AV16" i="50"/>
  <c r="AZ17" i="50"/>
  <c r="AY17" i="50"/>
  <c r="AX17" i="50"/>
  <c r="AW17" i="50"/>
  <c r="AV17" i="50"/>
  <c r="AZ18" i="50"/>
  <c r="AY18" i="50"/>
  <c r="AX18" i="50"/>
  <c r="AW18" i="50"/>
  <c r="AZ19" i="50"/>
  <c r="AY19" i="50"/>
  <c r="AX19" i="50"/>
  <c r="AW19" i="50"/>
  <c r="AV19" i="50"/>
  <c r="AZ20" i="50"/>
  <c r="AY20" i="50"/>
  <c r="AX20" i="50"/>
  <c r="AW20" i="50"/>
  <c r="AV20" i="50"/>
  <c r="AZ21" i="50"/>
  <c r="AY21" i="50"/>
  <c r="AX21" i="50"/>
  <c r="AW21" i="50"/>
  <c r="AV21" i="50"/>
  <c r="AZ22" i="50"/>
  <c r="AY22" i="50"/>
  <c r="AX22" i="50"/>
  <c r="AW22" i="50"/>
  <c r="AV22" i="50"/>
  <c r="AZ23" i="50"/>
  <c r="AY23" i="50"/>
  <c r="AX23" i="50"/>
  <c r="AW23" i="50"/>
  <c r="AV23" i="50"/>
  <c r="AZ24" i="50"/>
  <c r="AY24" i="50"/>
  <c r="AX24" i="50"/>
  <c r="AW24" i="50"/>
  <c r="AV24" i="50"/>
  <c r="AZ25" i="50"/>
  <c r="AY25" i="50"/>
  <c r="AX25" i="50"/>
  <c r="AW25" i="50"/>
  <c r="AV25" i="50"/>
  <c r="AZ26" i="50"/>
  <c r="AY26" i="50"/>
  <c r="AX26" i="50"/>
  <c r="AW26" i="50"/>
  <c r="AV26" i="50"/>
  <c r="AZ27" i="50"/>
  <c r="AY27" i="50"/>
  <c r="AX27" i="50"/>
  <c r="AW27" i="50"/>
  <c r="AV27" i="50"/>
  <c r="M15" i="75" l="1"/>
  <c r="N14" i="75"/>
  <c r="BA10" i="50"/>
  <c r="AI54" i="50" s="1"/>
  <c r="BA14" i="50"/>
  <c r="AI58" i="50" s="1"/>
  <c r="BA9" i="50"/>
  <c r="BA13" i="50"/>
  <c r="BA27" i="50"/>
  <c r="AJ30" i="50"/>
  <c r="BA24" i="50"/>
  <c r="AI67" i="50" s="1"/>
  <c r="BA20" i="50"/>
  <c r="AI64" i="50" s="1"/>
  <c r="BA17" i="50"/>
  <c r="AI61" i="50" s="1"/>
  <c r="AW30" i="50"/>
  <c r="AG30" i="50"/>
  <c r="AK30" i="50"/>
  <c r="AO30" i="50"/>
  <c r="AS30" i="50"/>
  <c r="BA23" i="50"/>
  <c r="AI66" i="50" s="1"/>
  <c r="BA12" i="50"/>
  <c r="AI56" i="50" s="1"/>
  <c r="AV30" i="50"/>
  <c r="AN30" i="50"/>
  <c r="BA25" i="50"/>
  <c r="BA21" i="50"/>
  <c r="BA18" i="50"/>
  <c r="AX30" i="50"/>
  <c r="AH30" i="50"/>
  <c r="AL30" i="50"/>
  <c r="AP30" i="50"/>
  <c r="AT30" i="50"/>
  <c r="BA26" i="50"/>
  <c r="BA19" i="50"/>
  <c r="BA16" i="50"/>
  <c r="AZ30" i="50"/>
  <c r="AF30" i="50"/>
  <c r="AR30" i="50"/>
  <c r="BA28" i="50"/>
  <c r="AI70" i="50" s="1"/>
  <c r="BA22" i="50"/>
  <c r="BA15" i="50"/>
  <c r="AI59" i="50" s="1"/>
  <c r="BA11" i="50"/>
  <c r="AY30" i="50"/>
  <c r="AI30" i="50"/>
  <c r="AM30" i="50"/>
  <c r="AQ30" i="50"/>
  <c r="AU30" i="50"/>
  <c r="BA29" i="50"/>
  <c r="BA31" i="50"/>
  <c r="AI73" i="50" s="1"/>
  <c r="BI39" i="50" l="1"/>
  <c r="AU60" i="50"/>
  <c r="AM60" i="50"/>
  <c r="AO60" i="50"/>
  <c r="AT60" i="50"/>
  <c r="AL60" i="50"/>
  <c r="AW60" i="50"/>
  <c r="BA60" i="50"/>
  <c r="AS60" i="50"/>
  <c r="AK60" i="50"/>
  <c r="AZ60" i="50"/>
  <c r="AR60" i="50"/>
  <c r="AJ60" i="50"/>
  <c r="AY60" i="50"/>
  <c r="AQ60" i="50"/>
  <c r="AG60" i="50"/>
  <c r="AX60" i="50"/>
  <c r="AP60" i="50"/>
  <c r="AH60" i="50"/>
  <c r="AV60" i="50"/>
  <c r="AN60" i="50"/>
  <c r="AF60" i="50"/>
  <c r="BA69" i="50"/>
  <c r="AS69" i="50"/>
  <c r="AK69" i="50"/>
  <c r="AU69" i="50"/>
  <c r="AT69" i="50"/>
  <c r="AZ69" i="50"/>
  <c r="AR69" i="50"/>
  <c r="AJ69" i="50"/>
  <c r="AM69" i="50"/>
  <c r="AY69" i="50"/>
  <c r="AQ69" i="50"/>
  <c r="AX69" i="50"/>
  <c r="AP69" i="50"/>
  <c r="AH69" i="50"/>
  <c r="AL69" i="50"/>
  <c r="AW69" i="50"/>
  <c r="AO69" i="50"/>
  <c r="AG69" i="50"/>
  <c r="AV69" i="50"/>
  <c r="AN69" i="50"/>
  <c r="AF69" i="50"/>
  <c r="BJ44" i="50"/>
  <c r="AW65" i="50"/>
  <c r="AO65" i="50"/>
  <c r="AG65" i="50"/>
  <c r="AV65" i="50"/>
  <c r="AN65" i="50"/>
  <c r="AF65" i="50"/>
  <c r="AY65" i="50"/>
  <c r="AU65" i="50"/>
  <c r="AM65" i="50"/>
  <c r="AT65" i="50"/>
  <c r="AL65" i="50"/>
  <c r="BA65" i="50"/>
  <c r="AS65" i="50"/>
  <c r="AK65" i="50"/>
  <c r="AZ65" i="50"/>
  <c r="AR65" i="50"/>
  <c r="AJ65" i="50"/>
  <c r="AQ65" i="50"/>
  <c r="AH65" i="50"/>
  <c r="AX65" i="50"/>
  <c r="AP65" i="50"/>
  <c r="BK36" i="50"/>
  <c r="AW57" i="50"/>
  <c r="AO57" i="50"/>
  <c r="AG57" i="50"/>
  <c r="AQ57" i="50"/>
  <c r="AV57" i="50"/>
  <c r="AN57" i="50"/>
  <c r="AF57" i="50"/>
  <c r="AU57" i="50"/>
  <c r="AM57" i="50"/>
  <c r="AT57" i="50"/>
  <c r="AL57" i="50"/>
  <c r="BA57" i="50"/>
  <c r="AS57" i="50"/>
  <c r="AK57" i="50"/>
  <c r="AZ57" i="50"/>
  <c r="AR57" i="50"/>
  <c r="AJ57" i="50"/>
  <c r="AY57" i="50"/>
  <c r="AH57" i="50"/>
  <c r="AX57" i="50"/>
  <c r="AP57" i="50"/>
  <c r="AI69" i="50"/>
  <c r="AI60" i="50"/>
  <c r="AY68" i="50"/>
  <c r="AQ68" i="50"/>
  <c r="AX68" i="50"/>
  <c r="AP68" i="50"/>
  <c r="AH68" i="50"/>
  <c r="AR68" i="50"/>
  <c r="AW68" i="50"/>
  <c r="AO68" i="50"/>
  <c r="AG68" i="50"/>
  <c r="AV68" i="50"/>
  <c r="AN68" i="50"/>
  <c r="AF68" i="50"/>
  <c r="AK68" i="50"/>
  <c r="AU68" i="50"/>
  <c r="AM68" i="50"/>
  <c r="BA68" i="50"/>
  <c r="AZ68" i="50"/>
  <c r="AT68" i="50"/>
  <c r="AL68" i="50"/>
  <c r="AS68" i="50"/>
  <c r="AJ68" i="50"/>
  <c r="BL32" i="50"/>
  <c r="AW53" i="50"/>
  <c r="AO53" i="50"/>
  <c r="AG53" i="50"/>
  <c r="AY53" i="50"/>
  <c r="AV53" i="50"/>
  <c r="AN53" i="50"/>
  <c r="AF53" i="50"/>
  <c r="AT53" i="50"/>
  <c r="AU53" i="50"/>
  <c r="AM53" i="50"/>
  <c r="AL53" i="50"/>
  <c r="BA53" i="50"/>
  <c r="AS53" i="50"/>
  <c r="AK53" i="50"/>
  <c r="AZ53" i="50"/>
  <c r="AR53" i="50"/>
  <c r="AJ53" i="50"/>
  <c r="AQ53" i="50"/>
  <c r="AP53" i="50"/>
  <c r="AX53" i="50"/>
  <c r="AH53" i="50"/>
  <c r="AI68" i="50"/>
  <c r="BI42" i="50"/>
  <c r="BA63" i="50"/>
  <c r="AS63" i="50"/>
  <c r="AK63" i="50"/>
  <c r="AZ63" i="50"/>
  <c r="AR63" i="50"/>
  <c r="AJ63" i="50"/>
  <c r="AY63" i="50"/>
  <c r="AQ63" i="50"/>
  <c r="AX63" i="50"/>
  <c r="AP63" i="50"/>
  <c r="AH63" i="50"/>
  <c r="AM63" i="50"/>
  <c r="AW63" i="50"/>
  <c r="AO63" i="50"/>
  <c r="AG63" i="50"/>
  <c r="AV63" i="50"/>
  <c r="AN63" i="50"/>
  <c r="AF63" i="50"/>
  <c r="AU63" i="50"/>
  <c r="AL63" i="50"/>
  <c r="AT63" i="50"/>
  <c r="AW71" i="50"/>
  <c r="AO71" i="50"/>
  <c r="AG71" i="50"/>
  <c r="AY71" i="50"/>
  <c r="AV71" i="50"/>
  <c r="AN71" i="50"/>
  <c r="AF71" i="50"/>
  <c r="AP71" i="50"/>
  <c r="AH71" i="50"/>
  <c r="AU71" i="50"/>
  <c r="AM71" i="50"/>
  <c r="AT71" i="50"/>
  <c r="AL71" i="50"/>
  <c r="BA71" i="50"/>
  <c r="AS71" i="50"/>
  <c r="AK71" i="50"/>
  <c r="AX71" i="50"/>
  <c r="AZ71" i="50"/>
  <c r="AR71" i="50"/>
  <c r="AJ71" i="50"/>
  <c r="AQ71" i="50"/>
  <c r="AI53" i="50"/>
  <c r="BM34" i="50"/>
  <c r="BA55" i="50"/>
  <c r="AS55" i="50"/>
  <c r="AK55" i="50"/>
  <c r="AM55" i="50"/>
  <c r="AZ55" i="50"/>
  <c r="AR55" i="50"/>
  <c r="AJ55" i="50"/>
  <c r="AY55" i="50"/>
  <c r="AQ55" i="50"/>
  <c r="AX55" i="50"/>
  <c r="AP55" i="50"/>
  <c r="AH55" i="50"/>
  <c r="AW55" i="50"/>
  <c r="AO55" i="50"/>
  <c r="AG55" i="50"/>
  <c r="AV55" i="50"/>
  <c r="AN55" i="50"/>
  <c r="AF55" i="50"/>
  <c r="AU55" i="50"/>
  <c r="AT55" i="50"/>
  <c r="AL55" i="50"/>
  <c r="BA59" i="50"/>
  <c r="AS59" i="50"/>
  <c r="AK59" i="50"/>
  <c r="AZ59" i="50"/>
  <c r="AR59" i="50"/>
  <c r="AJ59" i="50"/>
  <c r="AY59" i="50"/>
  <c r="AQ59" i="50"/>
  <c r="AX59" i="50"/>
  <c r="AP59" i="50"/>
  <c r="AH59" i="50"/>
  <c r="AU59" i="50"/>
  <c r="AW59" i="50"/>
  <c r="AO59" i="50"/>
  <c r="AG59" i="50"/>
  <c r="AV59" i="50"/>
  <c r="AN59" i="50"/>
  <c r="AF59" i="50"/>
  <c r="AM59" i="50"/>
  <c r="AL59" i="50"/>
  <c r="AT59" i="50"/>
  <c r="BI37" i="50"/>
  <c r="AY58" i="50"/>
  <c r="AQ58" i="50"/>
  <c r="BA58" i="50"/>
  <c r="AX58" i="50"/>
  <c r="AP58" i="50"/>
  <c r="AH58" i="50"/>
  <c r="AS58" i="50"/>
  <c r="AW58" i="50"/>
  <c r="AO58" i="50"/>
  <c r="AG58" i="50"/>
  <c r="AV58" i="50"/>
  <c r="AN58" i="50"/>
  <c r="AF58" i="50"/>
  <c r="AU58" i="50"/>
  <c r="AM58" i="50"/>
  <c r="AK58" i="50"/>
  <c r="AT58" i="50"/>
  <c r="AL58" i="50"/>
  <c r="AR58" i="50"/>
  <c r="AZ58" i="50"/>
  <c r="AJ58" i="50"/>
  <c r="BI40" i="50"/>
  <c r="AW61" i="50"/>
  <c r="AO61" i="50"/>
  <c r="AG61" i="50"/>
  <c r="AQ61" i="50"/>
  <c r="AV61" i="50"/>
  <c r="AN61" i="50"/>
  <c r="AF61" i="50"/>
  <c r="AU61" i="50"/>
  <c r="AM61" i="50"/>
  <c r="AT61" i="50"/>
  <c r="AL61" i="50"/>
  <c r="BA61" i="50"/>
  <c r="AS61" i="50"/>
  <c r="AK61" i="50"/>
  <c r="AZ61" i="50"/>
  <c r="AR61" i="50"/>
  <c r="AJ61" i="50"/>
  <c r="AY61" i="50"/>
  <c r="AX61" i="50"/>
  <c r="AP61" i="50"/>
  <c r="AH61" i="50"/>
  <c r="AU64" i="50"/>
  <c r="AM64" i="50"/>
  <c r="AG64" i="50"/>
  <c r="AT64" i="50"/>
  <c r="AL64" i="50"/>
  <c r="AO64" i="50"/>
  <c r="BA64" i="50"/>
  <c r="AS64" i="50"/>
  <c r="AK64" i="50"/>
  <c r="AZ64" i="50"/>
  <c r="AR64" i="50"/>
  <c r="AJ64" i="50"/>
  <c r="AY64" i="50"/>
  <c r="AQ64" i="50"/>
  <c r="AW64" i="50"/>
  <c r="AX64" i="50"/>
  <c r="AP64" i="50"/>
  <c r="AH64" i="50"/>
  <c r="AN64" i="50"/>
  <c r="AV64" i="50"/>
  <c r="AF64" i="50"/>
  <c r="AI57" i="50"/>
  <c r="BK45" i="50"/>
  <c r="BA66" i="50"/>
  <c r="AS66" i="50"/>
  <c r="AK66" i="50"/>
  <c r="AZ66" i="50"/>
  <c r="AR66" i="50"/>
  <c r="AJ66" i="50"/>
  <c r="AY66" i="50"/>
  <c r="AQ66" i="50"/>
  <c r="AX66" i="50"/>
  <c r="AP66" i="50"/>
  <c r="AH66" i="50"/>
  <c r="AW66" i="50"/>
  <c r="AO66" i="50"/>
  <c r="AG66" i="50"/>
  <c r="AU66" i="50"/>
  <c r="AV66" i="50"/>
  <c r="AN66" i="50"/>
  <c r="AF66" i="50"/>
  <c r="AM66" i="50"/>
  <c r="AT66" i="50"/>
  <c r="AL66" i="50"/>
  <c r="BI46" i="50"/>
  <c r="AU67" i="50"/>
  <c r="AM67" i="50"/>
  <c r="AO67" i="50"/>
  <c r="AT67" i="50"/>
  <c r="AL67" i="50"/>
  <c r="AG67" i="50"/>
  <c r="AV67" i="50"/>
  <c r="BA67" i="50"/>
  <c r="AS67" i="50"/>
  <c r="AK67" i="50"/>
  <c r="AZ67" i="50"/>
  <c r="AR67" i="50"/>
  <c r="AJ67" i="50"/>
  <c r="AY67" i="50"/>
  <c r="AQ67" i="50"/>
  <c r="AN67" i="50"/>
  <c r="AX67" i="50"/>
  <c r="AP67" i="50"/>
  <c r="AH67" i="50"/>
  <c r="AW67" i="50"/>
  <c r="AF67" i="50"/>
  <c r="BL41" i="50"/>
  <c r="AY62" i="50"/>
  <c r="AQ62" i="50"/>
  <c r="AS62" i="50"/>
  <c r="AX62" i="50"/>
  <c r="AP62" i="50"/>
  <c r="AH62" i="50"/>
  <c r="BA62" i="50"/>
  <c r="AW62" i="50"/>
  <c r="AO62" i="50"/>
  <c r="AG62" i="50"/>
  <c r="AV62" i="50"/>
  <c r="AN62" i="50"/>
  <c r="AF62" i="50"/>
  <c r="AU62" i="50"/>
  <c r="AM62" i="50"/>
  <c r="AK62" i="50"/>
  <c r="AT62" i="50"/>
  <c r="AL62" i="50"/>
  <c r="AJ62" i="50"/>
  <c r="AR62" i="50"/>
  <c r="AZ62" i="50"/>
  <c r="BA73" i="50"/>
  <c r="AS73" i="50"/>
  <c r="AK73" i="50"/>
  <c r="AZ73" i="50"/>
  <c r="AR73" i="50"/>
  <c r="AJ73" i="50"/>
  <c r="AL73" i="50"/>
  <c r="AY73" i="50"/>
  <c r="AQ73" i="50"/>
  <c r="AX73" i="50"/>
  <c r="AP73" i="50"/>
  <c r="AH73" i="50"/>
  <c r="AW73" i="50"/>
  <c r="AO73" i="50"/>
  <c r="AG73" i="50"/>
  <c r="AM73" i="50"/>
  <c r="AT73" i="50"/>
  <c r="AV73" i="50"/>
  <c r="AN73" i="50"/>
  <c r="AF73" i="50"/>
  <c r="AU73" i="50"/>
  <c r="AU70" i="50"/>
  <c r="AM70" i="50"/>
  <c r="AW70" i="50"/>
  <c r="AT70" i="50"/>
  <c r="AL70" i="50"/>
  <c r="AF70" i="50"/>
  <c r="BA70" i="50"/>
  <c r="AS70" i="50"/>
  <c r="AK70" i="50"/>
  <c r="AZ70" i="50"/>
  <c r="AR70" i="50"/>
  <c r="AJ70" i="50"/>
  <c r="AY70" i="50"/>
  <c r="AQ70" i="50"/>
  <c r="AO70" i="50"/>
  <c r="AV70" i="50"/>
  <c r="AX70" i="50"/>
  <c r="AP70" i="50"/>
  <c r="AH70" i="50"/>
  <c r="AG70" i="50"/>
  <c r="AN70" i="50"/>
  <c r="BL33" i="50"/>
  <c r="AY54" i="50"/>
  <c r="AQ54" i="50"/>
  <c r="AX54" i="50"/>
  <c r="AP54" i="50"/>
  <c r="AH54" i="50"/>
  <c r="AK54" i="50"/>
  <c r="AW54" i="50"/>
  <c r="AO54" i="50"/>
  <c r="AG54" i="50"/>
  <c r="AV54" i="50"/>
  <c r="AN54" i="50"/>
  <c r="AF54" i="50"/>
  <c r="BA54" i="50"/>
  <c r="AU54" i="50"/>
  <c r="AM54" i="50"/>
  <c r="AS54" i="50"/>
  <c r="AT54" i="50"/>
  <c r="AL54" i="50"/>
  <c r="AR54" i="50"/>
  <c r="AJ54" i="50"/>
  <c r="AZ54" i="50"/>
  <c r="BG35" i="50"/>
  <c r="AU56" i="50"/>
  <c r="AM56" i="50"/>
  <c r="AG56" i="50"/>
  <c r="AT56" i="50"/>
  <c r="AL56" i="50"/>
  <c r="AW56" i="50"/>
  <c r="BA56" i="50"/>
  <c r="AS56" i="50"/>
  <c r="AK56" i="50"/>
  <c r="AZ56" i="50"/>
  <c r="AR56" i="50"/>
  <c r="AJ56" i="50"/>
  <c r="AY56" i="50"/>
  <c r="AQ56" i="50"/>
  <c r="AO56" i="50"/>
  <c r="AX56" i="50"/>
  <c r="AP56" i="50"/>
  <c r="AH56" i="50"/>
  <c r="AN56" i="50"/>
  <c r="AF56" i="50"/>
  <c r="AV56" i="50"/>
  <c r="AI71" i="50"/>
  <c r="AI62" i="50"/>
  <c r="AI63" i="50"/>
  <c r="AI55" i="50"/>
  <c r="AI65" i="50"/>
  <c r="M16" i="75"/>
  <c r="N15" i="75"/>
  <c r="BG36" i="50"/>
  <c r="BB27" i="50"/>
  <c r="AS48" i="50" s="1"/>
  <c r="BE46" i="50"/>
  <c r="BG37" i="50"/>
  <c r="BB14" i="50"/>
  <c r="AQ37" i="50" s="1"/>
  <c r="BB13" i="50"/>
  <c r="AY36" i="50" s="1"/>
  <c r="BI48" i="50"/>
  <c r="BL49" i="50"/>
  <c r="BJ37" i="50"/>
  <c r="BH49" i="50"/>
  <c r="BL46" i="50"/>
  <c r="BJ39" i="50"/>
  <c r="BJ32" i="50"/>
  <c r="BM44" i="50"/>
  <c r="BG44" i="50"/>
  <c r="BK35" i="50"/>
  <c r="BH46" i="50"/>
  <c r="BG39" i="50"/>
  <c r="BM35" i="50"/>
  <c r="BI44" i="50"/>
  <c r="BM40" i="50"/>
  <c r="BG40" i="50"/>
  <c r="BM52" i="50"/>
  <c r="BK40" i="50"/>
  <c r="BM43" i="50"/>
  <c r="BM39" i="50"/>
  <c r="BL35" i="50"/>
  <c r="BK46" i="50"/>
  <c r="BK49" i="50"/>
  <c r="BI36" i="50"/>
  <c r="BL44" i="50"/>
  <c r="BK50" i="50"/>
  <c r="BJ50" i="50"/>
  <c r="BF47" i="50"/>
  <c r="BG47" i="50"/>
  <c r="BM38" i="50"/>
  <c r="BE34" i="50"/>
  <c r="BF34" i="50"/>
  <c r="BJ34" i="50"/>
  <c r="BD34" i="50"/>
  <c r="BH34" i="50"/>
  <c r="BL34" i="50"/>
  <c r="BG34" i="50"/>
  <c r="BB10" i="50"/>
  <c r="BA33" i="50" s="1"/>
  <c r="BL50" i="50"/>
  <c r="BD32" i="50"/>
  <c r="BH32" i="50"/>
  <c r="BF32" i="50"/>
  <c r="BE32" i="50"/>
  <c r="BK32" i="50"/>
  <c r="BI32" i="50"/>
  <c r="BK42" i="50"/>
  <c r="BG41" i="50"/>
  <c r="BM42" i="50"/>
  <c r="BG52" i="50"/>
  <c r="BB9" i="50"/>
  <c r="BE48" i="50"/>
  <c r="BF49" i="50"/>
  <c r="BE47" i="50"/>
  <c r="BD49" i="50"/>
  <c r="BJ49" i="50"/>
  <c r="BD37" i="50"/>
  <c r="BH37" i="50"/>
  <c r="BE37" i="50"/>
  <c r="BF37" i="50"/>
  <c r="BK37" i="50"/>
  <c r="BM32" i="50"/>
  <c r="BG32" i="50"/>
  <c r="BM37" i="50"/>
  <c r="BL37" i="50"/>
  <c r="BE38" i="50"/>
  <c r="BF38" i="50"/>
  <c r="BJ38" i="50"/>
  <c r="BD38" i="50"/>
  <c r="BH38" i="50"/>
  <c r="BL38" i="50"/>
  <c r="BI38" i="50"/>
  <c r="BD41" i="50"/>
  <c r="BH41" i="50"/>
  <c r="BE41" i="50"/>
  <c r="BF41" i="50"/>
  <c r="BK41" i="50"/>
  <c r="BI50" i="50"/>
  <c r="BF33" i="50"/>
  <c r="BD33" i="50"/>
  <c r="BH33" i="50"/>
  <c r="BE33" i="50"/>
  <c r="BI33" i="50"/>
  <c r="BG33" i="50"/>
  <c r="BJ33" i="50"/>
  <c r="BJ41" i="50"/>
  <c r="BD52" i="50"/>
  <c r="BH52" i="50"/>
  <c r="BL52" i="50"/>
  <c r="BE52" i="50"/>
  <c r="BF52" i="50"/>
  <c r="BJ52" i="50"/>
  <c r="BK52" i="50"/>
  <c r="BE42" i="50"/>
  <c r="BF42" i="50"/>
  <c r="BD42" i="50"/>
  <c r="BH42" i="50"/>
  <c r="BL42" i="50"/>
  <c r="BG42" i="50"/>
  <c r="BJ42" i="50"/>
  <c r="BD43" i="50"/>
  <c r="BH43" i="50"/>
  <c r="BL43" i="50"/>
  <c r="BE43" i="50"/>
  <c r="BF43" i="50"/>
  <c r="BJ43" i="50"/>
  <c r="BG43" i="50"/>
  <c r="BJ47" i="50"/>
  <c r="BE50" i="50"/>
  <c r="BK33" i="50"/>
  <c r="BI41" i="50"/>
  <c r="BK34" i="50"/>
  <c r="BK38" i="50"/>
  <c r="BK43" i="50"/>
  <c r="BG38" i="50"/>
  <c r="BM33" i="50"/>
  <c r="BM41" i="50"/>
  <c r="BI52" i="50"/>
  <c r="BI34" i="50"/>
  <c r="BI43" i="50"/>
  <c r="BD39" i="50"/>
  <c r="BH39" i="50"/>
  <c r="BE39" i="50"/>
  <c r="BF39" i="50"/>
  <c r="BE44" i="50"/>
  <c r="BF44" i="50"/>
  <c r="BD44" i="50"/>
  <c r="BH44" i="50"/>
  <c r="BD35" i="50"/>
  <c r="BH35" i="50"/>
  <c r="BE35" i="50"/>
  <c r="BF35" i="50"/>
  <c r="BE40" i="50"/>
  <c r="BF40" i="50"/>
  <c r="BJ40" i="50"/>
  <c r="BD40" i="50"/>
  <c r="BH40" i="50"/>
  <c r="BL40" i="50"/>
  <c r="BE36" i="50"/>
  <c r="BF36" i="50"/>
  <c r="BJ36" i="50"/>
  <c r="BD36" i="50"/>
  <c r="BH36" i="50"/>
  <c r="BL36" i="50"/>
  <c r="BI35" i="50"/>
  <c r="BM36" i="50"/>
  <c r="BL39" i="50"/>
  <c r="BK39" i="50"/>
  <c r="BK44" i="50"/>
  <c r="BJ35" i="50"/>
  <c r="BD45" i="50"/>
  <c r="BI49" i="50"/>
  <c r="BM49" i="50"/>
  <c r="BE49" i="50"/>
  <c r="BJ46" i="50"/>
  <c r="BG46" i="50"/>
  <c r="BJ48" i="50"/>
  <c r="BG48" i="50"/>
  <c r="BH48" i="50"/>
  <c r="BD48" i="50"/>
  <c r="BF45" i="50"/>
  <c r="BL48" i="50"/>
  <c r="BD47" i="50"/>
  <c r="BK48" i="50"/>
  <c r="BF48" i="50"/>
  <c r="BF46" i="50"/>
  <c r="BM48" i="50"/>
  <c r="BG50" i="50"/>
  <c r="BD46" i="50"/>
  <c r="BL45" i="50"/>
  <c r="BI45" i="50"/>
  <c r="BM45" i="50"/>
  <c r="BH45" i="50"/>
  <c r="BG45" i="50"/>
  <c r="BL47" i="50"/>
  <c r="BI47" i="50"/>
  <c r="BM47" i="50"/>
  <c r="BH50" i="50"/>
  <c r="BF50" i="50"/>
  <c r="BH47" i="50"/>
  <c r="BE45" i="50"/>
  <c r="BJ45" i="50"/>
  <c r="BG49" i="50"/>
  <c r="BM46" i="50"/>
  <c r="BM50" i="50"/>
  <c r="BD50" i="50"/>
  <c r="BK47" i="50"/>
  <c r="BB19" i="50"/>
  <c r="BA42" i="50" s="1"/>
  <c r="BB17" i="50"/>
  <c r="BA40" i="50" s="1"/>
  <c r="BB31" i="50"/>
  <c r="BB29" i="50"/>
  <c r="BA50" i="50" s="1"/>
  <c r="BB15" i="50"/>
  <c r="BA38" i="50" s="1"/>
  <c r="BB16" i="50"/>
  <c r="BA39" i="50" s="1"/>
  <c r="BB26" i="50"/>
  <c r="BA47" i="50" s="1"/>
  <c r="BB25" i="50"/>
  <c r="BB12" i="50"/>
  <c r="BB23" i="50"/>
  <c r="BA45" i="50" s="1"/>
  <c r="BB22" i="50"/>
  <c r="BB20" i="50"/>
  <c r="BA43" i="50" s="1"/>
  <c r="BB11" i="50"/>
  <c r="BB28" i="50"/>
  <c r="BA49" i="50" s="1"/>
  <c r="BA30" i="50"/>
  <c r="BB21" i="50"/>
  <c r="BA44" i="50" s="1"/>
  <c r="BB18" i="50"/>
  <c r="BA41" i="50" s="1"/>
  <c r="BB24" i="50"/>
  <c r="BA46" i="50" s="1"/>
  <c r="AI72" i="50" l="1"/>
  <c r="BB30" i="50"/>
  <c r="BA51" i="50" s="1"/>
  <c r="AY72" i="50"/>
  <c r="AQ72" i="50"/>
  <c r="BA72" i="50"/>
  <c r="AZ72" i="50"/>
  <c r="AX72" i="50"/>
  <c r="AP72" i="50"/>
  <c r="AH72" i="50"/>
  <c r="AS72" i="50"/>
  <c r="AW72" i="50"/>
  <c r="AO72" i="50"/>
  <c r="AG72" i="50"/>
  <c r="AV72" i="50"/>
  <c r="AN72" i="50"/>
  <c r="AF72" i="50"/>
  <c r="AK72" i="50"/>
  <c r="AR72" i="50"/>
  <c r="AU72" i="50"/>
  <c r="AM72" i="50"/>
  <c r="AT72" i="50"/>
  <c r="AL72" i="50"/>
  <c r="AJ72" i="50"/>
  <c r="AF32" i="50"/>
  <c r="AY32" i="50"/>
  <c r="AW48" i="50"/>
  <c r="N16" i="75"/>
  <c r="M17" i="75"/>
  <c r="AV36" i="50"/>
  <c r="AM36" i="50"/>
  <c r="AI37" i="50"/>
  <c r="AS37" i="50"/>
  <c r="AU37" i="50"/>
  <c r="AG48" i="50"/>
  <c r="AP48" i="50"/>
  <c r="AZ48" i="50"/>
  <c r="AF48" i="50"/>
  <c r="AM48" i="50"/>
  <c r="AG37" i="50"/>
  <c r="AT37" i="50"/>
  <c r="AH37" i="50"/>
  <c r="AM37" i="50"/>
  <c r="AY37" i="50"/>
  <c r="AR37" i="50"/>
  <c r="AK37" i="50"/>
  <c r="AU36" i="50"/>
  <c r="AS36" i="50"/>
  <c r="AR36" i="50"/>
  <c r="AP36" i="50"/>
  <c r="AL48" i="50"/>
  <c r="BA36" i="50"/>
  <c r="AO36" i="50"/>
  <c r="AY48" i="50"/>
  <c r="AN36" i="50"/>
  <c r="AF36" i="50"/>
  <c r="AK36" i="50"/>
  <c r="AI36" i="50"/>
  <c r="BA48" i="50"/>
  <c r="AN48" i="50"/>
  <c r="AO48" i="50"/>
  <c r="AR48" i="50"/>
  <c r="AH48" i="50"/>
  <c r="AQ48" i="50"/>
  <c r="AT48" i="50"/>
  <c r="AX48" i="50"/>
  <c r="AU48" i="50"/>
  <c r="AN37" i="50"/>
  <c r="AP37" i="50"/>
  <c r="AX37" i="50"/>
  <c r="AZ37" i="50"/>
  <c r="AL37" i="50"/>
  <c r="AG36" i="50"/>
  <c r="AW36" i="50"/>
  <c r="AL36" i="50"/>
  <c r="AQ36" i="50"/>
  <c r="AJ37" i="50"/>
  <c r="BA37" i="50"/>
  <c r="AO37" i="50"/>
  <c r="AW37" i="50"/>
  <c r="AF37" i="50"/>
  <c r="AV37" i="50"/>
  <c r="AZ36" i="50"/>
  <c r="AX36" i="50"/>
  <c r="AJ36" i="50"/>
  <c r="AT36" i="50"/>
  <c r="AH36" i="50"/>
  <c r="AV48" i="50"/>
  <c r="AJ48" i="50"/>
  <c r="AI48" i="50"/>
  <c r="AK48" i="50"/>
  <c r="BA32" i="50"/>
  <c r="AG32" i="50"/>
  <c r="AS32" i="50"/>
  <c r="AN32" i="50"/>
  <c r="AH32" i="50"/>
  <c r="AT32" i="50"/>
  <c r="AR32" i="50"/>
  <c r="AI32" i="50"/>
  <c r="AU32" i="50"/>
  <c r="AJ32" i="50"/>
  <c r="AW32" i="50"/>
  <c r="AO32" i="50"/>
  <c r="AX32" i="50"/>
  <c r="AL32" i="50"/>
  <c r="AZ32" i="50"/>
  <c r="AM32" i="50"/>
  <c r="AK32" i="50"/>
  <c r="AV32" i="50"/>
  <c r="AP32" i="50"/>
  <c r="AQ32" i="50"/>
  <c r="AY33" i="50"/>
  <c r="AV33" i="50"/>
  <c r="AK33" i="50"/>
  <c r="AU33" i="50"/>
  <c r="AR33" i="50"/>
  <c r="AH33" i="50"/>
  <c r="AT33" i="50"/>
  <c r="AX33" i="50"/>
  <c r="AQ33" i="50"/>
  <c r="AJ33" i="50"/>
  <c r="AZ33" i="50"/>
  <c r="AG33" i="50"/>
  <c r="AS33" i="50"/>
  <c r="AL33" i="50"/>
  <c r="AI33" i="50"/>
  <c r="AN33" i="50"/>
  <c r="AW33" i="50"/>
  <c r="AP33" i="50"/>
  <c r="AF33" i="50"/>
  <c r="AM33" i="50"/>
  <c r="AO33" i="50"/>
  <c r="BJ51" i="50"/>
  <c r="BH51" i="50"/>
  <c r="BI51" i="50"/>
  <c r="BK51" i="50"/>
  <c r="BD51" i="50"/>
  <c r="BF51" i="50"/>
  <c r="BM51" i="50"/>
  <c r="BE51" i="50"/>
  <c r="BG51" i="50"/>
  <c r="BL51" i="50"/>
  <c r="AX35" i="50"/>
  <c r="AR35" i="50"/>
  <c r="AY35" i="50"/>
  <c r="AK35" i="50"/>
  <c r="AS35" i="50"/>
  <c r="AP35" i="50"/>
  <c r="AM35" i="50"/>
  <c r="AF35" i="50"/>
  <c r="AI35" i="50"/>
  <c r="AU35" i="50"/>
  <c r="AJ35" i="50"/>
  <c r="AG35" i="50"/>
  <c r="AH35" i="50"/>
  <c r="AT35" i="50"/>
  <c r="AN35" i="50"/>
  <c r="AV35" i="50"/>
  <c r="AW35" i="50"/>
  <c r="AL35" i="50"/>
  <c r="AZ35" i="50"/>
  <c r="AQ35" i="50"/>
  <c r="AO35" i="50"/>
  <c r="AL52" i="50"/>
  <c r="AT52" i="50"/>
  <c r="AI52" i="50"/>
  <c r="AQ52" i="50"/>
  <c r="AY52" i="50"/>
  <c r="AF52" i="50"/>
  <c r="AN52" i="50"/>
  <c r="AV52" i="50"/>
  <c r="AK52" i="50"/>
  <c r="AS52" i="50"/>
  <c r="AG52" i="50"/>
  <c r="AJ52" i="50"/>
  <c r="AR52" i="50"/>
  <c r="AZ52" i="50"/>
  <c r="AH52" i="50"/>
  <c r="AP52" i="50"/>
  <c r="AX52" i="50"/>
  <c r="AM52" i="50"/>
  <c r="AU52" i="50"/>
  <c r="AO52" i="50"/>
  <c r="AW52" i="50"/>
  <c r="BA52" i="50"/>
  <c r="AX39" i="50"/>
  <c r="AM39" i="50"/>
  <c r="AU39" i="50"/>
  <c r="AY39" i="50"/>
  <c r="AL39" i="50"/>
  <c r="AW39" i="50"/>
  <c r="AV39" i="50"/>
  <c r="AP39" i="50"/>
  <c r="AN39" i="50"/>
  <c r="AZ39" i="50"/>
  <c r="AQ39" i="50"/>
  <c r="AF39" i="50"/>
  <c r="AR39" i="50"/>
  <c r="AH39" i="50"/>
  <c r="AK39" i="50"/>
  <c r="AS39" i="50"/>
  <c r="AJ39" i="50"/>
  <c r="AT39" i="50"/>
  <c r="AO39" i="50"/>
  <c r="AG39" i="50"/>
  <c r="AI39" i="50"/>
  <c r="AV49" i="50"/>
  <c r="AY49" i="50"/>
  <c r="AW49" i="50"/>
  <c r="AG49" i="50"/>
  <c r="AO49" i="50"/>
  <c r="AF49" i="50"/>
  <c r="AN49" i="50"/>
  <c r="AX49" i="50"/>
  <c r="AH49" i="50"/>
  <c r="AP49" i="50"/>
  <c r="AI49" i="50"/>
  <c r="AQ49" i="50"/>
  <c r="AK49" i="50"/>
  <c r="AS49" i="50"/>
  <c r="AZ49" i="50"/>
  <c r="AM49" i="50"/>
  <c r="AU49" i="50"/>
  <c r="AT49" i="50"/>
  <c r="AR49" i="50"/>
  <c r="AL49" i="50"/>
  <c r="AJ49" i="50"/>
  <c r="AN34" i="50"/>
  <c r="AY34" i="50"/>
  <c r="AG34" i="50"/>
  <c r="AO34" i="50"/>
  <c r="AV34" i="50"/>
  <c r="AT34" i="50"/>
  <c r="AR34" i="50"/>
  <c r="AM34" i="50"/>
  <c r="AJ34" i="50"/>
  <c r="AW34" i="50"/>
  <c r="AS34" i="50"/>
  <c r="AL34" i="50"/>
  <c r="AZ34" i="50"/>
  <c r="AH34" i="50"/>
  <c r="AQ34" i="50"/>
  <c r="AF34" i="50"/>
  <c r="AU34" i="50"/>
  <c r="AP34" i="50"/>
  <c r="AI34" i="50"/>
  <c r="AX34" i="50"/>
  <c r="AK34" i="50"/>
  <c r="BA34" i="50"/>
  <c r="AY45" i="50"/>
  <c r="AW45" i="50"/>
  <c r="AV45" i="50"/>
  <c r="AI45" i="50"/>
  <c r="AQ45" i="50"/>
  <c r="AF45" i="50"/>
  <c r="AN45" i="50"/>
  <c r="AG45" i="50"/>
  <c r="AO45" i="50"/>
  <c r="AL45" i="50"/>
  <c r="AT45" i="50"/>
  <c r="AM45" i="50"/>
  <c r="AU45" i="50"/>
  <c r="AZ45" i="50"/>
  <c r="AJ45" i="50"/>
  <c r="AH45" i="50"/>
  <c r="AX45" i="50"/>
  <c r="AS45" i="50"/>
  <c r="AR45" i="50"/>
  <c r="AK45" i="50"/>
  <c r="AP45" i="50"/>
  <c r="BA35" i="50"/>
  <c r="AZ47" i="50"/>
  <c r="AW47" i="50"/>
  <c r="AV47" i="50"/>
  <c r="AF47" i="50"/>
  <c r="AN47" i="50"/>
  <c r="AH47" i="50"/>
  <c r="AP47" i="50"/>
  <c r="AI47" i="50"/>
  <c r="AQ47" i="50"/>
  <c r="AX47" i="50"/>
  <c r="AG47" i="50"/>
  <c r="AO47" i="50"/>
  <c r="AU47" i="50"/>
  <c r="AJ47" i="50"/>
  <c r="AR47" i="50"/>
  <c r="AL47" i="50"/>
  <c r="AT47" i="50"/>
  <c r="AM47" i="50"/>
  <c r="AY47" i="50"/>
  <c r="AS47" i="50"/>
  <c r="AK47" i="50"/>
  <c r="AK38" i="50"/>
  <c r="AZ38" i="50"/>
  <c r="AS38" i="50"/>
  <c r="AX38" i="50"/>
  <c r="AP38" i="50"/>
  <c r="AJ38" i="50"/>
  <c r="AW38" i="50"/>
  <c r="AG38" i="50"/>
  <c r="AH38" i="50"/>
  <c r="AI38" i="50"/>
  <c r="AQ38" i="50"/>
  <c r="AY38" i="50"/>
  <c r="AV38" i="50"/>
  <c r="AT38" i="50"/>
  <c r="AF38" i="50"/>
  <c r="AO38" i="50"/>
  <c r="AL38" i="50"/>
  <c r="AN38" i="50"/>
  <c r="AM38" i="50"/>
  <c r="AU38" i="50"/>
  <c r="AR38" i="50"/>
  <c r="AZ40" i="50"/>
  <c r="AL40" i="50"/>
  <c r="AT40" i="50"/>
  <c r="AW40" i="50"/>
  <c r="AM40" i="50"/>
  <c r="AP40" i="50"/>
  <c r="AQ40" i="50"/>
  <c r="AF40" i="50"/>
  <c r="AU40" i="50"/>
  <c r="AR40" i="50"/>
  <c r="AY40" i="50"/>
  <c r="AG40" i="50"/>
  <c r="AO40" i="50"/>
  <c r="AH40" i="50"/>
  <c r="AI40" i="50"/>
  <c r="AJ40" i="50"/>
  <c r="AX40" i="50"/>
  <c r="AK40" i="50"/>
  <c r="AS40" i="50"/>
  <c r="AV40" i="50"/>
  <c r="AN40" i="50"/>
  <c r="AT42" i="50"/>
  <c r="AS42" i="50"/>
  <c r="AX42" i="50"/>
  <c r="AY42" i="50"/>
  <c r="AI42" i="50"/>
  <c r="AV42" i="50"/>
  <c r="AH42" i="50"/>
  <c r="AM42" i="50"/>
  <c r="AJ42" i="50"/>
  <c r="AR42" i="50"/>
  <c r="AP42" i="50"/>
  <c r="AQ42" i="50"/>
  <c r="AU42" i="50"/>
  <c r="AW42" i="50"/>
  <c r="AZ42" i="50"/>
  <c r="AF42" i="50"/>
  <c r="AN42" i="50"/>
  <c r="AO42" i="50"/>
  <c r="AK42" i="50"/>
  <c r="AG42" i="50"/>
  <c r="AL42" i="50"/>
  <c r="AV46" i="50"/>
  <c r="AJ46" i="50"/>
  <c r="AR46" i="50"/>
  <c r="AI46" i="50"/>
  <c r="AQ46" i="50"/>
  <c r="AW46" i="50"/>
  <c r="AF46" i="50"/>
  <c r="AG46" i="50"/>
  <c r="AO46" i="50"/>
  <c r="AL46" i="50"/>
  <c r="AT46" i="50"/>
  <c r="AU46" i="50"/>
  <c r="AX46" i="50"/>
  <c r="AN46" i="50"/>
  <c r="AM46" i="50"/>
  <c r="AZ46" i="50"/>
  <c r="AY46" i="50"/>
  <c r="AK46" i="50"/>
  <c r="AP46" i="50"/>
  <c r="AS46" i="50"/>
  <c r="AH46" i="50"/>
  <c r="AL41" i="50"/>
  <c r="AK41" i="50"/>
  <c r="AP41" i="50"/>
  <c r="AI41" i="50"/>
  <c r="AX41" i="50"/>
  <c r="AG41" i="50"/>
  <c r="AF41" i="50"/>
  <c r="AV41" i="50"/>
  <c r="AS41" i="50"/>
  <c r="AW41" i="50"/>
  <c r="AJ41" i="50"/>
  <c r="AM41" i="50"/>
  <c r="AO41" i="50"/>
  <c r="AZ41" i="50"/>
  <c r="AH41" i="50"/>
  <c r="AQ41" i="50"/>
  <c r="AN41" i="50"/>
  <c r="AR41" i="50"/>
  <c r="AT41" i="50"/>
  <c r="AY41" i="50"/>
  <c r="AU41" i="50"/>
  <c r="AZ44" i="50"/>
  <c r="AW44" i="50"/>
  <c r="AX44" i="50"/>
  <c r="AG44" i="50"/>
  <c r="AO44" i="50"/>
  <c r="AV44" i="50"/>
  <c r="AY44" i="50"/>
  <c r="AL44" i="50"/>
  <c r="AT44" i="50"/>
  <c r="AI44" i="50"/>
  <c r="AQ44" i="50"/>
  <c r="AJ44" i="50"/>
  <c r="AR44" i="50"/>
  <c r="AK44" i="50"/>
  <c r="AS44" i="50"/>
  <c r="AP44" i="50"/>
  <c r="AF44" i="50"/>
  <c r="AH44" i="50"/>
  <c r="AU44" i="50"/>
  <c r="AM44" i="50"/>
  <c r="AN44" i="50"/>
  <c r="AV43" i="50"/>
  <c r="AZ43" i="50"/>
  <c r="AL43" i="50"/>
  <c r="AT43" i="50"/>
  <c r="AI43" i="50"/>
  <c r="AQ43" i="50"/>
  <c r="AJ43" i="50"/>
  <c r="AR43" i="50"/>
  <c r="AG43" i="50"/>
  <c r="AO43" i="50"/>
  <c r="AM43" i="50"/>
  <c r="AU43" i="50"/>
  <c r="AF43" i="50"/>
  <c r="AH43" i="50"/>
  <c r="AP43" i="50"/>
  <c r="AK43" i="50"/>
  <c r="AS43" i="50"/>
  <c r="AX43" i="50"/>
  <c r="AY43" i="50"/>
  <c r="AN43" i="50"/>
  <c r="AW43" i="50"/>
  <c r="AJ50" i="50"/>
  <c r="AR50" i="50"/>
  <c r="AZ50" i="50"/>
  <c r="AI50" i="50"/>
  <c r="AQ50" i="50"/>
  <c r="AY50" i="50"/>
  <c r="AH50" i="50"/>
  <c r="AP50" i="50"/>
  <c r="AX50" i="50"/>
  <c r="AF50" i="50"/>
  <c r="AG50" i="50"/>
  <c r="AO50" i="50"/>
  <c r="AW50" i="50"/>
  <c r="AU50" i="50"/>
  <c r="AN50" i="50"/>
  <c r="AV50" i="50"/>
  <c r="AM50" i="50"/>
  <c r="AK50" i="50"/>
  <c r="AL50" i="50"/>
  <c r="AS50" i="50"/>
  <c r="AT50" i="50"/>
  <c r="M18" i="75" l="1"/>
  <c r="N17" i="75"/>
  <c r="AT51" i="50"/>
  <c r="AL51" i="50"/>
  <c r="AZ51" i="50"/>
  <c r="AO51" i="50"/>
  <c r="AR51" i="50"/>
  <c r="AG51" i="50"/>
  <c r="AW51" i="50"/>
  <c r="AJ51" i="50"/>
  <c r="AF51" i="50"/>
  <c r="AI51" i="50"/>
  <c r="AX51" i="50"/>
  <c r="AS51" i="50"/>
  <c r="AH51" i="50"/>
  <c r="AY51" i="50"/>
  <c r="AM51" i="50"/>
  <c r="AP51" i="50"/>
  <c r="AV51" i="50"/>
  <c r="AN51" i="50"/>
  <c r="AK51" i="50"/>
  <c r="AU51" i="50"/>
  <c r="AQ51" i="50"/>
  <c r="M19" i="75" l="1"/>
  <c r="N18" i="75"/>
  <c r="N19" i="75" l="1"/>
  <c r="M20" i="75"/>
  <c r="M21" i="75" s="1"/>
  <c r="A171" i="70"/>
  <c r="A237" i="69"/>
  <c r="N21" i="75" l="1"/>
  <c r="M22" i="75"/>
  <c r="N20" i="75"/>
  <c r="N22" i="75" l="1"/>
  <c r="M23" i="75"/>
  <c r="AI294" i="67"/>
  <c r="AH294" i="67"/>
  <c r="AG294" i="67"/>
  <c r="AF294" i="67"/>
  <c r="AE294" i="67"/>
  <c r="M24" i="75" l="1"/>
  <c r="N24" i="75" s="1"/>
  <c r="N23" i="75"/>
  <c r="A34" i="50"/>
  <c r="AC4" i="50"/>
  <c r="A136" i="49"/>
  <c r="AA2" i="27"/>
  <c r="T5" i="44"/>
  <c r="S24" i="44"/>
  <c r="S25" i="44"/>
  <c r="S26" i="44"/>
  <c r="S27" i="44"/>
  <c r="S10" i="44"/>
  <c r="S11" i="44"/>
  <c r="S12" i="44"/>
  <c r="S13" i="44"/>
  <c r="S14" i="44"/>
  <c r="S15" i="44"/>
  <c r="S16" i="44"/>
  <c r="S17" i="44"/>
  <c r="S18" i="44"/>
  <c r="S19" i="44"/>
  <c r="S20" i="44"/>
  <c r="S21" i="44"/>
  <c r="S22" i="44"/>
  <c r="S23" i="44"/>
  <c r="S9" i="44"/>
  <c r="S34" i="44" s="1"/>
  <c r="AR3" i="75"/>
  <c r="AR4" i="75" s="1"/>
  <c r="U9" i="44" l="1"/>
  <c r="U52" i="44"/>
  <c r="U50" i="44"/>
  <c r="U48" i="44"/>
  <c r="U46" i="44"/>
  <c r="U44" i="44"/>
  <c r="U42" i="44"/>
  <c r="U41" i="44"/>
  <c r="U53" i="44"/>
  <c r="U51" i="44"/>
  <c r="U49" i="44"/>
  <c r="U47" i="44"/>
  <c r="U45" i="44"/>
  <c r="U43" i="44"/>
  <c r="U40" i="44"/>
  <c r="U39" i="44"/>
  <c r="U38" i="44"/>
  <c r="A69" i="50"/>
  <c r="A98" i="50"/>
  <c r="A142" i="84"/>
  <c r="A11" i="85"/>
  <c r="A208" i="84"/>
  <c r="A109" i="84"/>
  <c r="A107" i="85"/>
  <c r="A175" i="84"/>
  <c r="A11" i="84"/>
  <c r="A180" i="83"/>
  <c r="A11" i="83"/>
  <c r="A142" i="83"/>
  <c r="A109" i="83"/>
  <c r="A11" i="86"/>
  <c r="A11" i="63"/>
  <c r="A11" i="65"/>
  <c r="A11" i="49"/>
  <c r="A11" i="64"/>
  <c r="A11" i="62"/>
  <c r="A143" i="49"/>
  <c r="A80" i="91"/>
  <c r="A10" i="91"/>
  <c r="A114" i="68"/>
  <c r="AR7" i="75"/>
  <c r="AR11" i="75"/>
  <c r="AR15" i="75"/>
  <c r="AR19" i="75"/>
  <c r="AR23" i="75"/>
  <c r="AR12" i="75"/>
  <c r="AR16" i="75"/>
  <c r="AR20" i="75"/>
  <c r="AR24" i="75"/>
  <c r="AR5" i="75"/>
  <c r="AR9" i="75"/>
  <c r="AR13" i="75"/>
  <c r="AR17" i="75"/>
  <c r="AR21" i="75"/>
  <c r="AR25" i="75"/>
  <c r="AR6" i="75"/>
  <c r="AR10" i="75"/>
  <c r="AR14" i="75"/>
  <c r="AR18" i="75"/>
  <c r="AR22" i="75"/>
  <c r="AR8" i="75"/>
  <c r="AB73" i="50"/>
  <c r="AB52" i="50"/>
  <c r="AB31" i="50"/>
  <c r="A103" i="50" l="1"/>
  <c r="A74" i="50"/>
  <c r="A114" i="84"/>
  <c r="A112" i="85"/>
  <c r="A180" i="84"/>
  <c r="A84" i="70"/>
  <c r="A147" i="84"/>
  <c r="A16" i="85"/>
  <c r="A213" i="84"/>
  <c r="A319" i="83"/>
  <c r="A16" i="84"/>
  <c r="A16" i="83"/>
  <c r="A185" i="83"/>
  <c r="A114" i="83"/>
  <c r="A147" i="83"/>
  <c r="A109" i="50"/>
  <c r="A80" i="50"/>
  <c r="A22" i="85"/>
  <c r="A219" i="84"/>
  <c r="A90" i="70"/>
  <c r="A120" i="84"/>
  <c r="A118" i="85"/>
  <c r="A186" i="84"/>
  <c r="A153" i="84"/>
  <c r="A325" i="83"/>
  <c r="A22" i="84"/>
  <c r="A22" i="83"/>
  <c r="A191" i="83"/>
  <c r="A120" i="83"/>
  <c r="A153" i="83"/>
  <c r="A79" i="50"/>
  <c r="A108" i="50"/>
  <c r="A152" i="84"/>
  <c r="A21" i="85"/>
  <c r="A89" i="70"/>
  <c r="A218" i="84"/>
  <c r="A119" i="84"/>
  <c r="A117" i="85"/>
  <c r="A185" i="84"/>
  <c r="A190" i="83"/>
  <c r="A324" i="83"/>
  <c r="A21" i="84"/>
  <c r="A21" i="83"/>
  <c r="A152" i="83"/>
  <c r="A119" i="83"/>
  <c r="A70" i="50"/>
  <c r="A99" i="50"/>
  <c r="A80" i="70"/>
  <c r="A143" i="84"/>
  <c r="A12" i="85"/>
  <c r="A209" i="84"/>
  <c r="A110" i="84"/>
  <c r="A108" i="85"/>
  <c r="A176" i="84"/>
  <c r="A181" i="83"/>
  <c r="A12" i="84"/>
  <c r="A315" i="83"/>
  <c r="A12" i="83"/>
  <c r="A143" i="83"/>
  <c r="A110" i="83"/>
  <c r="A105" i="50"/>
  <c r="A76" i="50"/>
  <c r="A182" i="84"/>
  <c r="A149" i="84"/>
  <c r="A18" i="85"/>
  <c r="A215" i="84"/>
  <c r="A86" i="70"/>
  <c r="A116" i="84"/>
  <c r="A114" i="85"/>
  <c r="A187" i="83"/>
  <c r="A18" i="84"/>
  <c r="A18" i="83"/>
  <c r="A321" i="83"/>
  <c r="A149" i="83"/>
  <c r="A116" i="83"/>
  <c r="A111" i="50"/>
  <c r="A82" i="50"/>
  <c r="A122" i="84"/>
  <c r="A120" i="85"/>
  <c r="A188" i="84"/>
  <c r="A92" i="70"/>
  <c r="A155" i="84"/>
  <c r="A24" i="85"/>
  <c r="A221" i="84"/>
  <c r="A327" i="83"/>
  <c r="A24" i="84"/>
  <c r="A24" i="83"/>
  <c r="A193" i="83"/>
  <c r="A155" i="83"/>
  <c r="A122" i="83"/>
  <c r="A101" i="50"/>
  <c r="A72" i="50"/>
  <c r="A14" i="85"/>
  <c r="A211" i="84"/>
  <c r="A82" i="70"/>
  <c r="A112" i="84"/>
  <c r="A110" i="85"/>
  <c r="A178" i="84"/>
  <c r="A145" i="84"/>
  <c r="A317" i="83"/>
  <c r="A14" i="84"/>
  <c r="A14" i="83"/>
  <c r="A183" i="83"/>
  <c r="A112" i="83"/>
  <c r="A145" i="83"/>
  <c r="A104" i="50"/>
  <c r="A75" i="50"/>
  <c r="A113" i="85"/>
  <c r="A181" i="84"/>
  <c r="A148" i="84"/>
  <c r="A17" i="85"/>
  <c r="A85" i="70"/>
  <c r="A214" i="84"/>
  <c r="A115" i="84"/>
  <c r="A186" i="83"/>
  <c r="A17" i="83"/>
  <c r="A17" i="84"/>
  <c r="A320" i="83"/>
  <c r="A115" i="83"/>
  <c r="A148" i="83"/>
  <c r="A86" i="50"/>
  <c r="A115" i="50"/>
  <c r="A96" i="70"/>
  <c r="A159" i="84"/>
  <c r="A28" i="85"/>
  <c r="A225" i="84"/>
  <c r="A126" i="84"/>
  <c r="A124" i="85"/>
  <c r="A192" i="84"/>
  <c r="A28" i="83"/>
  <c r="A197" i="83"/>
  <c r="A331" i="83"/>
  <c r="A28" i="84"/>
  <c r="A126" i="83"/>
  <c r="A159" i="83"/>
  <c r="A71" i="50"/>
  <c r="A100" i="50"/>
  <c r="A144" i="84"/>
  <c r="A13" i="85"/>
  <c r="A81" i="70"/>
  <c r="A210" i="84"/>
  <c r="A111" i="84"/>
  <c r="A109" i="85"/>
  <c r="A177" i="84"/>
  <c r="A316" i="83"/>
  <c r="A13" i="84"/>
  <c r="A13" i="83"/>
  <c r="A182" i="83"/>
  <c r="A111" i="83"/>
  <c r="A144" i="83"/>
  <c r="A87" i="50"/>
  <c r="A116" i="50"/>
  <c r="A160" i="84"/>
  <c r="A29" i="85"/>
  <c r="A97" i="70"/>
  <c r="A226" i="84"/>
  <c r="A127" i="84"/>
  <c r="A125" i="85"/>
  <c r="A193" i="84"/>
  <c r="A198" i="83"/>
  <c r="A29" i="83"/>
  <c r="A332" i="83"/>
  <c r="A29" i="84"/>
  <c r="A160" i="83"/>
  <c r="A127" i="83"/>
  <c r="A110" i="50"/>
  <c r="A81" i="50"/>
  <c r="A220" i="84"/>
  <c r="A121" i="84"/>
  <c r="A119" i="85"/>
  <c r="A91" i="70"/>
  <c r="A187" i="84"/>
  <c r="A154" i="84"/>
  <c r="A23" i="85"/>
  <c r="A23" i="83"/>
  <c r="A192" i="83"/>
  <c r="A23" i="84"/>
  <c r="A326" i="83"/>
  <c r="A154" i="83"/>
  <c r="A121" i="83"/>
  <c r="A77" i="50"/>
  <c r="A106" i="50"/>
  <c r="A150" i="84"/>
  <c r="A19" i="85"/>
  <c r="A216" i="84"/>
  <c r="A117" i="84"/>
  <c r="A115" i="85"/>
  <c r="A87" i="70"/>
  <c r="A183" i="84"/>
  <c r="A188" i="83"/>
  <c r="A19" i="84"/>
  <c r="A322" i="83"/>
  <c r="A19" i="83"/>
  <c r="A150" i="83"/>
  <c r="A117" i="83"/>
  <c r="A85" i="50"/>
  <c r="A114" i="50"/>
  <c r="A158" i="84"/>
  <c r="A27" i="85"/>
  <c r="A224" i="84"/>
  <c r="A125" i="84"/>
  <c r="A123" i="85"/>
  <c r="A95" i="70"/>
  <c r="A191" i="84"/>
  <c r="A330" i="83"/>
  <c r="A27" i="84"/>
  <c r="A27" i="83"/>
  <c r="A196" i="83"/>
  <c r="A158" i="83"/>
  <c r="A125" i="83"/>
  <c r="A102" i="50"/>
  <c r="A73" i="50"/>
  <c r="A212" i="84"/>
  <c r="A113" i="84"/>
  <c r="A111" i="85"/>
  <c r="A83" i="70"/>
  <c r="A179" i="84"/>
  <c r="A146" i="84"/>
  <c r="A15" i="85"/>
  <c r="A184" i="83"/>
  <c r="A15" i="84"/>
  <c r="A318" i="83"/>
  <c r="A15" i="83"/>
  <c r="A146" i="83"/>
  <c r="A113" i="83"/>
  <c r="A113" i="50"/>
  <c r="A84" i="50"/>
  <c r="A190" i="84"/>
  <c r="A157" i="84"/>
  <c r="A26" i="85"/>
  <c r="A223" i="84"/>
  <c r="A94" i="70"/>
  <c r="A124" i="84"/>
  <c r="A122" i="85"/>
  <c r="A26" i="84"/>
  <c r="A195" i="83"/>
  <c r="A26" i="83"/>
  <c r="A329" i="83"/>
  <c r="A157" i="83"/>
  <c r="A124" i="83"/>
  <c r="A78" i="50"/>
  <c r="A107" i="50"/>
  <c r="A88" i="70"/>
  <c r="A151" i="84"/>
  <c r="A20" i="85"/>
  <c r="A217" i="84"/>
  <c r="A118" i="84"/>
  <c r="A116" i="85"/>
  <c r="A184" i="84"/>
  <c r="A189" i="83"/>
  <c r="A323" i="83"/>
  <c r="A20" i="84"/>
  <c r="A20" i="83"/>
  <c r="A118" i="83"/>
  <c r="A151" i="83"/>
  <c r="A112" i="50"/>
  <c r="A83" i="50"/>
  <c r="A121" i="85"/>
  <c r="A189" i="84"/>
  <c r="A156" i="84"/>
  <c r="A25" i="85"/>
  <c r="A93" i="70"/>
  <c r="A222" i="84"/>
  <c r="A123" i="84"/>
  <c r="A328" i="83"/>
  <c r="A25" i="84"/>
  <c r="A194" i="83"/>
  <c r="A25" i="83"/>
  <c r="A123" i="83"/>
  <c r="A156" i="83"/>
  <c r="A13" i="86"/>
  <c r="A13" i="65"/>
  <c r="A13" i="49"/>
  <c r="A13" i="64"/>
  <c r="A13" i="62"/>
  <c r="A13" i="63"/>
  <c r="A13" i="67"/>
  <c r="A13" i="68"/>
  <c r="A13" i="69"/>
  <c r="A17" i="86"/>
  <c r="A17" i="64"/>
  <c r="A17" i="63"/>
  <c r="A17" i="49"/>
  <c r="A17" i="62"/>
  <c r="A17" i="65"/>
  <c r="A17" i="68"/>
  <c r="A17" i="67"/>
  <c r="A17" i="69"/>
  <c r="A29" i="86"/>
  <c r="A29" i="65"/>
  <c r="A29" i="64"/>
  <c r="A29" i="49"/>
  <c r="A29" i="62"/>
  <c r="A29" i="63"/>
  <c r="A29" i="68"/>
  <c r="A29" i="69"/>
  <c r="A29" i="67"/>
  <c r="A23" i="86"/>
  <c r="A23" i="49"/>
  <c r="A23" i="64"/>
  <c r="A23" i="65"/>
  <c r="A23" i="63"/>
  <c r="A23" i="62"/>
  <c r="A23" i="69"/>
  <c r="A23" i="67"/>
  <c r="A23" i="68"/>
  <c r="A27" i="86"/>
  <c r="A27" i="63"/>
  <c r="A27" i="62"/>
  <c r="A27" i="64"/>
  <c r="A27" i="65"/>
  <c r="A27" i="49"/>
  <c r="A27" i="68"/>
  <c r="A27" i="67"/>
  <c r="A27" i="69"/>
  <c r="A26" i="86"/>
  <c r="A26" i="64"/>
  <c r="A26" i="62"/>
  <c r="A26" i="63"/>
  <c r="A26" i="65"/>
  <c r="A26" i="49"/>
  <c r="A26" i="68"/>
  <c r="A26" i="67"/>
  <c r="A26" i="69"/>
  <c r="A20" i="86"/>
  <c r="A20" i="65"/>
  <c r="A20" i="64"/>
  <c r="A20" i="49"/>
  <c r="A20" i="62"/>
  <c r="A20" i="63"/>
  <c r="A20" i="67"/>
  <c r="A20" i="68"/>
  <c r="A20" i="69"/>
  <c r="A25" i="86"/>
  <c r="A25" i="64"/>
  <c r="A25" i="49"/>
  <c r="A25" i="63"/>
  <c r="A25" i="62"/>
  <c r="A25" i="65"/>
  <c r="A25" i="69"/>
  <c r="A25" i="68"/>
  <c r="A25" i="67"/>
  <c r="A24" i="86"/>
  <c r="A24" i="64"/>
  <c r="A24" i="49"/>
  <c r="A24" i="63"/>
  <c r="A24" i="62"/>
  <c r="A24" i="65"/>
  <c r="A24" i="67"/>
  <c r="A24" i="69"/>
  <c r="A24" i="68"/>
  <c r="A16" i="86"/>
  <c r="A16" i="49"/>
  <c r="A16" i="62"/>
  <c r="A16" i="64"/>
  <c r="A16" i="63"/>
  <c r="A16" i="65"/>
  <c r="A16" i="69"/>
  <c r="A16" i="68"/>
  <c r="A16" i="67"/>
  <c r="A22" i="86"/>
  <c r="A22" i="49"/>
  <c r="A22" i="63"/>
  <c r="A22" i="64"/>
  <c r="A22" i="62"/>
  <c r="A22" i="65"/>
  <c r="A22" i="69"/>
  <c r="A22" i="68"/>
  <c r="A22" i="67"/>
  <c r="A19" i="86"/>
  <c r="A19" i="63"/>
  <c r="A19" i="64"/>
  <c r="A19" i="62"/>
  <c r="A19" i="65"/>
  <c r="A19" i="49"/>
  <c r="A19" i="69"/>
  <c r="A19" i="68"/>
  <c r="A19" i="67"/>
  <c r="A21" i="86"/>
  <c r="A21" i="65"/>
  <c r="A21" i="49"/>
  <c r="A21" i="64"/>
  <c r="A21" i="63"/>
  <c r="A21" i="62"/>
  <c r="A21" i="67"/>
  <c r="A21" i="69"/>
  <c r="A21" i="68"/>
  <c r="A12" i="86"/>
  <c r="A12" i="65"/>
  <c r="A12" i="49"/>
  <c r="A12" i="62"/>
  <c r="A12" i="64"/>
  <c r="A12" i="63"/>
  <c r="A12" i="68"/>
  <c r="A12" i="67"/>
  <c r="A12" i="69"/>
  <c r="A18" i="86"/>
  <c r="A18" i="64"/>
  <c r="A18" i="62"/>
  <c r="A18" i="63"/>
  <c r="A18" i="65"/>
  <c r="A18" i="49"/>
  <c r="A18" i="67"/>
  <c r="A18" i="68"/>
  <c r="A18" i="69"/>
  <c r="A15" i="86"/>
  <c r="A15" i="62"/>
  <c r="A15" i="49"/>
  <c r="A15" i="65"/>
  <c r="A15" i="64"/>
  <c r="A15" i="63"/>
  <c r="A15" i="68"/>
  <c r="A15" i="67"/>
  <c r="A15" i="69"/>
  <c r="A28" i="86"/>
  <c r="A28" i="64"/>
  <c r="A28" i="65"/>
  <c r="A28" i="49"/>
  <c r="A28" i="62"/>
  <c r="A28" i="63"/>
  <c r="A28" i="69"/>
  <c r="A28" i="67"/>
  <c r="A28" i="68"/>
  <c r="A14" i="86"/>
  <c r="A14" i="49"/>
  <c r="A14" i="63"/>
  <c r="A14" i="65"/>
  <c r="A14" i="64"/>
  <c r="A14" i="62"/>
  <c r="A14" i="68"/>
  <c r="A14" i="67"/>
  <c r="A14" i="69"/>
  <c r="A128" i="68"/>
  <c r="A27" i="91"/>
  <c r="A97" i="91"/>
  <c r="A129" i="68"/>
  <c r="A28" i="91"/>
  <c r="A98" i="91"/>
  <c r="A130" i="68"/>
  <c r="A127" i="68"/>
  <c r="A99" i="91"/>
  <c r="A29" i="91"/>
  <c r="A131" i="68"/>
  <c r="A100" i="91"/>
  <c r="A30" i="91"/>
  <c r="A132" i="68"/>
  <c r="A84" i="91"/>
  <c r="A14" i="91"/>
  <c r="A118" i="68"/>
  <c r="A93" i="91"/>
  <c r="A23" i="91"/>
  <c r="A12" i="91"/>
  <c r="A82" i="91"/>
  <c r="A116" i="68"/>
  <c r="A89" i="91"/>
  <c r="A19" i="91"/>
  <c r="A123" i="68"/>
  <c r="A26" i="91"/>
  <c r="A96" i="91"/>
  <c r="A95" i="91"/>
  <c r="A25" i="91"/>
  <c r="A24" i="91"/>
  <c r="A94" i="91"/>
  <c r="A31" i="91"/>
  <c r="A101" i="91"/>
  <c r="A133" i="68"/>
  <c r="A85" i="91"/>
  <c r="A15" i="91"/>
  <c r="A119" i="68"/>
  <c r="A22" i="91"/>
  <c r="A92" i="91"/>
  <c r="A126" i="68"/>
  <c r="A21" i="91"/>
  <c r="A91" i="91"/>
  <c r="A125" i="68"/>
  <c r="A16" i="91"/>
  <c r="A86" i="91"/>
  <c r="A120" i="68"/>
  <c r="A83" i="91"/>
  <c r="A13" i="91"/>
  <c r="A117" i="68"/>
  <c r="A20" i="91"/>
  <c r="A90" i="91"/>
  <c r="A124" i="68"/>
  <c r="A11" i="91"/>
  <c r="A81" i="91"/>
  <c r="A115" i="68"/>
  <c r="A88" i="91"/>
  <c r="A18" i="91"/>
  <c r="A122" i="68"/>
  <c r="A87" i="91"/>
  <c r="A17" i="91"/>
  <c r="A121" i="68"/>
  <c r="A44" i="22"/>
  <c r="A314" i="83"/>
  <c r="A60" i="22"/>
  <c r="A59" i="22"/>
  <c r="A46" i="22"/>
  <c r="A58" i="22"/>
  <c r="A57" i="22"/>
  <c r="A62" i="22"/>
  <c r="A49" i="22"/>
  <c r="A56" i="22"/>
  <c r="A55" i="22"/>
  <c r="A50" i="22"/>
  <c r="A61" i="22"/>
  <c r="A53" i="22"/>
  <c r="A48" i="22"/>
  <c r="A54" i="22"/>
  <c r="A45" i="22"/>
  <c r="A52" i="22"/>
  <c r="A51" i="22"/>
  <c r="A47" i="22"/>
  <c r="AE52" i="50"/>
  <c r="AD52" i="50"/>
  <c r="AE73" i="50"/>
  <c r="AD73" i="50"/>
  <c r="BC52" i="50"/>
  <c r="AD31" i="50"/>
  <c r="AE31" i="50"/>
  <c r="A89" i="86"/>
  <c r="A89" i="85"/>
  <c r="A76" i="86"/>
  <c r="A76" i="85"/>
  <c r="A83" i="86"/>
  <c r="A83" i="85"/>
  <c r="A88" i="85"/>
  <c r="A88" i="86"/>
  <c r="A87" i="85"/>
  <c r="A87" i="86"/>
  <c r="A92" i="85"/>
  <c r="A92" i="86"/>
  <c r="A79" i="85"/>
  <c r="A79" i="86"/>
  <c r="A86" i="86"/>
  <c r="A86" i="85"/>
  <c r="A85" i="85"/>
  <c r="A85" i="86"/>
  <c r="A78" i="85"/>
  <c r="A78" i="86"/>
  <c r="A84" i="86"/>
  <c r="A84" i="85"/>
  <c r="A75" i="85"/>
  <c r="A75" i="86"/>
  <c r="A82" i="86"/>
  <c r="A82" i="85"/>
  <c r="A81" i="85"/>
  <c r="A81" i="86"/>
  <c r="A74" i="86"/>
  <c r="A74" i="85"/>
  <c r="A80" i="86"/>
  <c r="A80" i="85"/>
  <c r="A91" i="86"/>
  <c r="A91" i="85"/>
  <c r="A90" i="86"/>
  <c r="A90" i="85"/>
  <c r="A77" i="85"/>
  <c r="A77" i="86"/>
  <c r="Q31" i="70" l="1"/>
  <c r="Q30" i="70"/>
  <c r="Y293" i="69" l="1"/>
  <c r="D295" i="69" s="1"/>
  <c r="H31" i="69" l="1"/>
  <c r="AE31" i="69" s="1"/>
  <c r="G31" i="69"/>
  <c r="AD31" i="69" s="1"/>
  <c r="F31" i="69"/>
  <c r="AC31" i="69" s="1"/>
  <c r="E31" i="69"/>
  <c r="AB31" i="69" s="1"/>
  <c r="D31" i="69"/>
  <c r="AA31" i="69" s="1"/>
  <c r="H29" i="69"/>
  <c r="G29" i="69"/>
  <c r="AD29" i="69" s="1"/>
  <c r="F29" i="69"/>
  <c r="AC29" i="69" s="1"/>
  <c r="E29" i="69"/>
  <c r="AB29" i="69" s="1"/>
  <c r="D29" i="69"/>
  <c r="AD28" i="69"/>
  <c r="AC28" i="69"/>
  <c r="AB28" i="69"/>
  <c r="H27" i="69"/>
  <c r="G27" i="69"/>
  <c r="AD27" i="69" s="1"/>
  <c r="F27" i="69"/>
  <c r="AC27" i="69" s="1"/>
  <c r="E27" i="69"/>
  <c r="AB27" i="69" s="1"/>
  <c r="D27" i="69"/>
  <c r="AA27" i="69" s="1"/>
  <c r="H26" i="69"/>
  <c r="G26" i="69"/>
  <c r="AD26" i="69" s="1"/>
  <c r="F26" i="69"/>
  <c r="AC26" i="69" s="1"/>
  <c r="E26" i="69"/>
  <c r="AB26" i="69" s="1"/>
  <c r="D26" i="69"/>
  <c r="AA26" i="69" s="1"/>
  <c r="H25" i="69"/>
  <c r="G25" i="69"/>
  <c r="AD25" i="69" s="1"/>
  <c r="F25" i="69"/>
  <c r="AC25" i="69" s="1"/>
  <c r="E25" i="69"/>
  <c r="AB25" i="69" s="1"/>
  <c r="D25" i="69"/>
  <c r="AA25" i="69" s="1"/>
  <c r="H24" i="69"/>
  <c r="G24" i="69"/>
  <c r="AD24" i="69" s="1"/>
  <c r="E24" i="69"/>
  <c r="AB24" i="69" s="1"/>
  <c r="D24" i="69"/>
  <c r="AA24" i="69" s="1"/>
  <c r="H23" i="69"/>
  <c r="G23" i="69"/>
  <c r="AD23" i="69" s="1"/>
  <c r="F23" i="69"/>
  <c r="AC23" i="69" s="1"/>
  <c r="E23" i="69"/>
  <c r="AB23" i="69" s="1"/>
  <c r="D23" i="69"/>
  <c r="AA23" i="69" s="1"/>
  <c r="H22" i="69"/>
  <c r="G22" i="69"/>
  <c r="AD22" i="69" s="1"/>
  <c r="F22" i="69"/>
  <c r="AC22" i="69" s="1"/>
  <c r="E22" i="69"/>
  <c r="AB22" i="69" s="1"/>
  <c r="D22" i="69"/>
  <c r="H21" i="69"/>
  <c r="G21" i="69"/>
  <c r="AD21" i="69" s="1"/>
  <c r="F21" i="69"/>
  <c r="AC21" i="69" s="1"/>
  <c r="E21" i="69"/>
  <c r="AB21" i="69" s="1"/>
  <c r="D21" i="69"/>
  <c r="AA21" i="69" s="1"/>
  <c r="H20" i="69"/>
  <c r="G20" i="69"/>
  <c r="AD20" i="69" s="1"/>
  <c r="F20" i="69"/>
  <c r="AC20" i="69" s="1"/>
  <c r="E20" i="69"/>
  <c r="AB20" i="69" s="1"/>
  <c r="D20" i="69"/>
  <c r="H19" i="69"/>
  <c r="G19" i="69"/>
  <c r="AD19" i="69" s="1"/>
  <c r="F19" i="69"/>
  <c r="AC19" i="69" s="1"/>
  <c r="E19" i="69"/>
  <c r="AB19" i="69" s="1"/>
  <c r="D19" i="69"/>
  <c r="AA19" i="69" s="1"/>
  <c r="H18" i="69"/>
  <c r="G18" i="69"/>
  <c r="AD18" i="69" s="1"/>
  <c r="F18" i="69"/>
  <c r="AC18" i="69" s="1"/>
  <c r="E18" i="69"/>
  <c r="AB18" i="69" s="1"/>
  <c r="D18" i="69"/>
  <c r="H17" i="69"/>
  <c r="G17" i="69"/>
  <c r="AD17" i="69" s="1"/>
  <c r="F17" i="69"/>
  <c r="AC17" i="69" s="1"/>
  <c r="E17" i="69"/>
  <c r="AB17" i="69" s="1"/>
  <c r="D17" i="69"/>
  <c r="AA17" i="69" s="1"/>
  <c r="H16" i="69"/>
  <c r="G16" i="69"/>
  <c r="AD16" i="69" s="1"/>
  <c r="F16" i="69"/>
  <c r="AC16" i="69" s="1"/>
  <c r="E16" i="69"/>
  <c r="AB16" i="69" s="1"/>
  <c r="D16" i="69"/>
  <c r="H15" i="69"/>
  <c r="G15" i="69"/>
  <c r="AD15" i="69" s="1"/>
  <c r="F15" i="69"/>
  <c r="AC15" i="69" s="1"/>
  <c r="E15" i="69"/>
  <c r="AB15" i="69" s="1"/>
  <c r="D15" i="69"/>
  <c r="AA15" i="69" s="1"/>
  <c r="H14" i="69"/>
  <c r="G14" i="69"/>
  <c r="AD14" i="69" s="1"/>
  <c r="F14" i="69"/>
  <c r="AC14" i="69" s="1"/>
  <c r="E14" i="69"/>
  <c r="AB14" i="69" s="1"/>
  <c r="D14" i="69"/>
  <c r="AA14" i="69" s="1"/>
  <c r="H13" i="69"/>
  <c r="G13" i="69"/>
  <c r="AD13" i="69" s="1"/>
  <c r="F13" i="69"/>
  <c r="AC13" i="69" s="1"/>
  <c r="E13" i="69"/>
  <c r="AB13" i="69" s="1"/>
  <c r="D13" i="69"/>
  <c r="AA13" i="69" s="1"/>
  <c r="AD12" i="69"/>
  <c r="AC12" i="69"/>
  <c r="AB12" i="69"/>
  <c r="H11" i="69"/>
  <c r="G11" i="69"/>
  <c r="AD11" i="69" s="1"/>
  <c r="F11" i="69"/>
  <c r="AC11" i="69" s="1"/>
  <c r="E11" i="69"/>
  <c r="AB11" i="69" s="1"/>
  <c r="D11" i="69"/>
  <c r="AA11" i="69" s="1"/>
  <c r="AE13" i="69" l="1"/>
  <c r="Y13" i="69"/>
  <c r="AE17" i="69"/>
  <c r="Y17" i="69"/>
  <c r="AE14" i="69"/>
  <c r="Y14" i="69"/>
  <c r="AE18" i="69"/>
  <c r="Y18" i="69"/>
  <c r="AE22" i="69"/>
  <c r="Y22" i="69"/>
  <c r="AE26" i="69"/>
  <c r="Y25" i="69"/>
  <c r="AE28" i="69"/>
  <c r="Y27" i="69"/>
  <c r="AE15" i="69"/>
  <c r="Y15" i="69"/>
  <c r="AE23" i="69"/>
  <c r="Z23" i="69"/>
  <c r="Y23" i="69"/>
  <c r="Y28" i="69"/>
  <c r="AE12" i="69"/>
  <c r="Y12" i="69"/>
  <c r="AE16" i="69"/>
  <c r="Y16" i="69"/>
  <c r="AE20" i="69"/>
  <c r="Y20" i="69"/>
  <c r="AE29" i="69"/>
  <c r="Y29" i="69"/>
  <c r="AE11" i="69"/>
  <c r="Y11" i="69"/>
  <c r="AE19" i="69"/>
  <c r="Y19" i="69"/>
  <c r="AE21" i="69"/>
  <c r="Y21" i="69"/>
  <c r="AE25" i="69"/>
  <c r="Y24" i="69"/>
  <c r="AE27" i="69"/>
  <c r="Y26" i="69"/>
  <c r="N29" i="69"/>
  <c r="K31" i="69"/>
  <c r="AD30" i="69"/>
  <c r="AB30" i="69"/>
  <c r="K12" i="69"/>
  <c r="AA12" i="69"/>
  <c r="K16" i="69"/>
  <c r="AA16" i="69"/>
  <c r="K18" i="69"/>
  <c r="AA18" i="69"/>
  <c r="K22" i="69"/>
  <c r="AA22" i="69"/>
  <c r="K28" i="69"/>
  <c r="AA28" i="69"/>
  <c r="K20" i="69"/>
  <c r="AA20" i="69"/>
  <c r="K29" i="69"/>
  <c r="AA29" i="69"/>
  <c r="AM12" i="69"/>
  <c r="AK14" i="69"/>
  <c r="AM16" i="69"/>
  <c r="AK18" i="69"/>
  <c r="AM20" i="69"/>
  <c r="AK22" i="69"/>
  <c r="AM29" i="69"/>
  <c r="AN11" i="69"/>
  <c r="AL13" i="69"/>
  <c r="AN15" i="69"/>
  <c r="AL17" i="69"/>
  <c r="AN19" i="69"/>
  <c r="AL21" i="69"/>
  <c r="AN23" i="69"/>
  <c r="L25" i="69"/>
  <c r="AK25" i="69"/>
  <c r="M26" i="69"/>
  <c r="AL26" i="69"/>
  <c r="M31" i="69"/>
  <c r="AL31" i="69"/>
  <c r="N13" i="69"/>
  <c r="AM13" i="69"/>
  <c r="L15" i="69"/>
  <c r="AK15" i="69"/>
  <c r="O16" i="69"/>
  <c r="AN16" i="69"/>
  <c r="M18" i="69"/>
  <c r="AL18" i="69"/>
  <c r="AM21" i="69"/>
  <c r="L23" i="69"/>
  <c r="AK23" i="69"/>
  <c r="M25" i="69"/>
  <c r="AL25" i="69"/>
  <c r="N26" i="69"/>
  <c r="AM26" i="69"/>
  <c r="L28" i="69"/>
  <c r="AK28" i="69"/>
  <c r="AN29" i="69"/>
  <c r="AL11" i="69"/>
  <c r="N11" i="69"/>
  <c r="AM11" i="69"/>
  <c r="AL12" i="69"/>
  <c r="L13" i="69"/>
  <c r="AK13" i="69"/>
  <c r="O14" i="69"/>
  <c r="AN14" i="69"/>
  <c r="AM15" i="69"/>
  <c r="M16" i="69"/>
  <c r="AL16" i="69"/>
  <c r="L17" i="69"/>
  <c r="AK17" i="69"/>
  <c r="O18" i="69"/>
  <c r="AN18" i="69"/>
  <c r="N19" i="69"/>
  <c r="AM19" i="69"/>
  <c r="M20" i="69"/>
  <c r="AL20" i="69"/>
  <c r="L21" i="69"/>
  <c r="AK21" i="69"/>
  <c r="AN22" i="69"/>
  <c r="N23" i="69"/>
  <c r="AM23" i="69"/>
  <c r="AK24" i="69"/>
  <c r="AN25" i="69"/>
  <c r="AK26" i="69"/>
  <c r="AN27" i="69"/>
  <c r="AM28" i="69"/>
  <c r="M29" i="69"/>
  <c r="AL29" i="69"/>
  <c r="AK31" i="69"/>
  <c r="L27" i="69"/>
  <c r="AK27" i="69"/>
  <c r="O28" i="69"/>
  <c r="AN28" i="69"/>
  <c r="L11" i="69"/>
  <c r="AK11" i="69"/>
  <c r="O12" i="69"/>
  <c r="AN12" i="69"/>
  <c r="M14" i="69"/>
  <c r="AL14" i="69"/>
  <c r="N17" i="69"/>
  <c r="AM17" i="69"/>
  <c r="L19" i="69"/>
  <c r="AK19" i="69"/>
  <c r="O20" i="69"/>
  <c r="AN20" i="69"/>
  <c r="M22" i="69"/>
  <c r="AL22" i="69"/>
  <c r="N24" i="69"/>
  <c r="M27" i="69"/>
  <c r="AL27" i="69"/>
  <c r="AM31" i="69"/>
  <c r="AK12" i="69"/>
  <c r="AN13" i="69"/>
  <c r="AM14" i="69"/>
  <c r="AL15" i="69"/>
  <c r="AK16" i="69"/>
  <c r="AN17" i="69"/>
  <c r="AM18" i="69"/>
  <c r="AL19" i="69"/>
  <c r="AK20" i="69"/>
  <c r="AN21" i="69"/>
  <c r="AM22" i="69"/>
  <c r="AL23" i="69"/>
  <c r="AN24" i="69"/>
  <c r="AM25" i="69"/>
  <c r="AN26" i="69"/>
  <c r="AM27" i="69"/>
  <c r="AL28" i="69"/>
  <c r="AK29" i="69"/>
  <c r="AN31" i="69"/>
  <c r="O29" i="69"/>
  <c r="O31" i="69"/>
  <c r="M11" i="69"/>
  <c r="L12" i="69"/>
  <c r="K13" i="69"/>
  <c r="O13" i="69"/>
  <c r="N14" i="69"/>
  <c r="M15" i="69"/>
  <c r="L16" i="69"/>
  <c r="K17" i="69"/>
  <c r="O17" i="69"/>
  <c r="N18" i="69"/>
  <c r="M19" i="69"/>
  <c r="L20" i="69"/>
  <c r="K21" i="69"/>
  <c r="O21" i="69"/>
  <c r="N22" i="69"/>
  <c r="M23" i="69"/>
  <c r="K24" i="69"/>
  <c r="O24" i="69"/>
  <c r="N25" i="69"/>
  <c r="K26" i="69"/>
  <c r="O26" i="69"/>
  <c r="N27" i="69"/>
  <c r="M28" i="69"/>
  <c r="L29" i="69"/>
  <c r="N31" i="69"/>
  <c r="M12" i="69"/>
  <c r="K14" i="69"/>
  <c r="N15" i="69"/>
  <c r="K11" i="69"/>
  <c r="O11" i="69"/>
  <c r="N12" i="69"/>
  <c r="M13" i="69"/>
  <c r="L14" i="69"/>
  <c r="K15" i="69"/>
  <c r="O15" i="69"/>
  <c r="N16" i="69"/>
  <c r="M17" i="69"/>
  <c r="L18" i="69"/>
  <c r="K19" i="69"/>
  <c r="O19" i="69"/>
  <c r="N20" i="69"/>
  <c r="M21" i="69"/>
  <c r="K23" i="69"/>
  <c r="O23" i="69"/>
  <c r="L31" i="69"/>
  <c r="O22" i="69"/>
  <c r="L24" i="69"/>
  <c r="K25" i="69"/>
  <c r="O25" i="69"/>
  <c r="L26" i="69"/>
  <c r="K27" i="69"/>
  <c r="O27" i="69"/>
  <c r="N28" i="69"/>
  <c r="N21" i="69"/>
  <c r="L22" i="69"/>
  <c r="O31" i="68"/>
  <c r="N31" i="68"/>
  <c r="M31" i="68"/>
  <c r="L31" i="68"/>
  <c r="K31" i="68"/>
  <c r="O29" i="68"/>
  <c r="N29" i="68"/>
  <c r="M29" i="68"/>
  <c r="L29" i="68"/>
  <c r="K29" i="68"/>
  <c r="O28" i="68"/>
  <c r="N28" i="68"/>
  <c r="M28" i="68"/>
  <c r="L28" i="68"/>
  <c r="K28" i="68"/>
  <c r="O27" i="68"/>
  <c r="N27" i="68"/>
  <c r="M27" i="68"/>
  <c r="L27" i="68"/>
  <c r="K27" i="68"/>
  <c r="O26" i="68"/>
  <c r="N26" i="68"/>
  <c r="M26" i="68"/>
  <c r="L26" i="68"/>
  <c r="K26" i="68"/>
  <c r="O25" i="68"/>
  <c r="N25" i="68"/>
  <c r="M25" i="68"/>
  <c r="L25" i="68"/>
  <c r="K25" i="68"/>
  <c r="O24" i="68"/>
  <c r="N24" i="68"/>
  <c r="M24" i="68"/>
  <c r="L24" i="68"/>
  <c r="K24" i="68"/>
  <c r="O23" i="68"/>
  <c r="N23" i="68"/>
  <c r="M23" i="68"/>
  <c r="L23" i="68"/>
  <c r="K23" i="68"/>
  <c r="O22" i="68"/>
  <c r="N22" i="68"/>
  <c r="M22" i="68"/>
  <c r="L22" i="68"/>
  <c r="K22" i="68"/>
  <c r="O21" i="68"/>
  <c r="N21" i="68"/>
  <c r="M21" i="68"/>
  <c r="L21" i="68"/>
  <c r="K21" i="68"/>
  <c r="O20" i="68"/>
  <c r="N20" i="68"/>
  <c r="M20" i="68"/>
  <c r="L20" i="68"/>
  <c r="K20" i="68"/>
  <c r="O19" i="68"/>
  <c r="N19" i="68"/>
  <c r="M19" i="68"/>
  <c r="L19" i="68"/>
  <c r="K19" i="68"/>
  <c r="O18" i="68"/>
  <c r="N18" i="68"/>
  <c r="M18" i="68"/>
  <c r="L18" i="68"/>
  <c r="K18" i="68"/>
  <c r="O17" i="68"/>
  <c r="N17" i="68"/>
  <c r="M17" i="68"/>
  <c r="L17" i="68"/>
  <c r="K17" i="68"/>
  <c r="O16" i="68"/>
  <c r="N16" i="68"/>
  <c r="M16" i="68"/>
  <c r="L16" i="68"/>
  <c r="K16" i="68"/>
  <c r="O15" i="68"/>
  <c r="N15" i="68"/>
  <c r="M15" i="68"/>
  <c r="L15" i="68"/>
  <c r="K15" i="68"/>
  <c r="O14" i="68"/>
  <c r="N14" i="68"/>
  <c r="M14" i="68"/>
  <c r="L14" i="68"/>
  <c r="K14" i="68"/>
  <c r="O13" i="68"/>
  <c r="N13" i="68"/>
  <c r="M13" i="68"/>
  <c r="L13" i="68"/>
  <c r="K13" i="68"/>
  <c r="O12" i="68"/>
  <c r="N12" i="68"/>
  <c r="M12" i="68"/>
  <c r="L12" i="68"/>
  <c r="K12" i="68"/>
  <c r="O11" i="68"/>
  <c r="N11" i="68"/>
  <c r="M11" i="68"/>
  <c r="L11" i="68"/>
  <c r="K11" i="68"/>
  <c r="P31" i="68" l="1"/>
  <c r="P31" i="69"/>
  <c r="AE30" i="69"/>
  <c r="Y30" i="69"/>
  <c r="AG25" i="69"/>
  <c r="AG22" i="69"/>
  <c r="AG23" i="69"/>
  <c r="AG19" i="69"/>
  <c r="AG24" i="69"/>
  <c r="AG18" i="69"/>
  <c r="AG15" i="69"/>
  <c r="AG21" i="69"/>
  <c r="AG29" i="69"/>
  <c r="AA30" i="69"/>
  <c r="AG17" i="69"/>
  <c r="AG27" i="69"/>
  <c r="AG26" i="69"/>
  <c r="AG13" i="69"/>
  <c r="AG14" i="69"/>
  <c r="AS11" i="68"/>
  <c r="AR12" i="68"/>
  <c r="AQ13" i="68"/>
  <c r="AS19" i="68"/>
  <c r="AR20" i="68"/>
  <c r="AQ21" i="68"/>
  <c r="AS25" i="68"/>
  <c r="AQ27" i="68"/>
  <c r="AS29" i="68"/>
  <c r="AQ31" i="68"/>
  <c r="AS16" i="68"/>
  <c r="AR17" i="68"/>
  <c r="AQ18" i="68"/>
  <c r="AQ24" i="68"/>
  <c r="AR31" i="68"/>
  <c r="AR14" i="68"/>
  <c r="AS17" i="68"/>
  <c r="AR18" i="68"/>
  <c r="AQ19" i="68"/>
  <c r="AS21" i="68"/>
  <c r="AR22" i="68"/>
  <c r="AQ23" i="68"/>
  <c r="AR24" i="68"/>
  <c r="AQ25" i="68"/>
  <c r="AS27" i="68"/>
  <c r="AR28" i="68"/>
  <c r="AQ29" i="68"/>
  <c r="AS31" i="68"/>
  <c r="AS15" i="68"/>
  <c r="AR16" i="68"/>
  <c r="AQ17" i="68"/>
  <c r="AS23" i="68"/>
  <c r="AR26" i="68"/>
  <c r="AS12" i="68"/>
  <c r="AR13" i="68"/>
  <c r="AQ14" i="68"/>
  <c r="AS20" i="68"/>
  <c r="AR21" i="68"/>
  <c r="AQ22" i="68"/>
  <c r="AS26" i="68"/>
  <c r="AR27" i="68"/>
  <c r="AQ28" i="68"/>
  <c r="AQ11" i="68"/>
  <c r="AS13" i="68"/>
  <c r="AQ15" i="68"/>
  <c r="AR11" i="68"/>
  <c r="AQ12" i="68"/>
  <c r="AS14" i="68"/>
  <c r="AR15" i="68"/>
  <c r="AQ16" i="68"/>
  <c r="AS18" i="68"/>
  <c r="AR19" i="68"/>
  <c r="AQ20" i="68"/>
  <c r="AS22" i="68"/>
  <c r="AR23" i="68"/>
  <c r="AS24" i="68"/>
  <c r="AR25" i="68"/>
  <c r="AQ26" i="68"/>
  <c r="AS28" i="68"/>
  <c r="AR29" i="68"/>
  <c r="AG18" i="68"/>
  <c r="AT18" i="68"/>
  <c r="P18" i="68"/>
  <c r="AG28" i="68"/>
  <c r="AT28" i="68"/>
  <c r="P28" i="68"/>
  <c r="AG12" i="68"/>
  <c r="P12" i="68"/>
  <c r="AT12" i="68"/>
  <c r="AT16" i="68"/>
  <c r="P16" i="68"/>
  <c r="AG16" i="68"/>
  <c r="AG20" i="68"/>
  <c r="AT20" i="68"/>
  <c r="P20" i="68"/>
  <c r="P26" i="68"/>
  <c r="AG26" i="68"/>
  <c r="AT26" i="68"/>
  <c r="P13" i="68"/>
  <c r="AG13" i="68"/>
  <c r="AT13" i="68"/>
  <c r="AG14" i="68"/>
  <c r="P14" i="68"/>
  <c r="AT14" i="68"/>
  <c r="AG22" i="68"/>
  <c r="P22" i="68"/>
  <c r="AT22" i="68"/>
  <c r="P24" i="68"/>
  <c r="AT24" i="68"/>
  <c r="AG24" i="68"/>
  <c r="P11" i="68"/>
  <c r="AT11" i="68"/>
  <c r="P15" i="68"/>
  <c r="AG15" i="68"/>
  <c r="AT15" i="68"/>
  <c r="AG19" i="68"/>
  <c r="P19" i="68"/>
  <c r="AT19" i="68"/>
  <c r="P23" i="68"/>
  <c r="AT23" i="68"/>
  <c r="AG23" i="68"/>
  <c r="AG25" i="68"/>
  <c r="P25" i="68"/>
  <c r="AT25" i="68"/>
  <c r="AT29" i="68"/>
  <c r="P29" i="68"/>
  <c r="AG29" i="68"/>
  <c r="P17" i="68"/>
  <c r="AG17" i="68"/>
  <c r="AT17" i="68"/>
  <c r="P21" i="68"/>
  <c r="AG21" i="68"/>
  <c r="AT21" i="68"/>
  <c r="P27" i="68"/>
  <c r="AG27" i="68"/>
  <c r="AT27" i="68"/>
  <c r="X48" i="76"/>
  <c r="AT31" i="68"/>
  <c r="U50" i="76"/>
  <c r="AG28" i="69"/>
  <c r="M50" i="76"/>
  <c r="AG20" i="69"/>
  <c r="I50" i="76"/>
  <c r="AG16" i="69"/>
  <c r="E50" i="76"/>
  <c r="AG12" i="69"/>
  <c r="AO22" i="69"/>
  <c r="I22" i="69" s="1"/>
  <c r="AO14" i="69"/>
  <c r="I14" i="69" s="1"/>
  <c r="K50" i="76"/>
  <c r="AO18" i="69"/>
  <c r="I18" i="69" s="1"/>
  <c r="AO16" i="69"/>
  <c r="I16" i="69" s="1"/>
  <c r="P27" i="69"/>
  <c r="P13" i="69"/>
  <c r="AO23" i="69"/>
  <c r="I23" i="69" s="1"/>
  <c r="P23" i="69"/>
  <c r="P19" i="69"/>
  <c r="P24" i="69"/>
  <c r="AO29" i="69"/>
  <c r="I29" i="69" s="1"/>
  <c r="P12" i="69"/>
  <c r="P14" i="69"/>
  <c r="AO28" i="69"/>
  <c r="I28" i="69" s="1"/>
  <c r="P11" i="69"/>
  <c r="P17" i="69"/>
  <c r="G50" i="76"/>
  <c r="AO21" i="69"/>
  <c r="I21" i="69" s="1"/>
  <c r="AO17" i="69"/>
  <c r="I17" i="69" s="1"/>
  <c r="AO15" i="69"/>
  <c r="I15" i="69" s="1"/>
  <c r="AO25" i="69"/>
  <c r="I25" i="69" s="1"/>
  <c r="P26" i="69"/>
  <c r="P25" i="69"/>
  <c r="P22" i="69"/>
  <c r="AO20" i="69"/>
  <c r="I20" i="69" s="1"/>
  <c r="AO12" i="69"/>
  <c r="I12" i="69" s="1"/>
  <c r="P20" i="69"/>
  <c r="P28" i="69"/>
  <c r="AO31" i="69"/>
  <c r="I31" i="69" s="1"/>
  <c r="P15" i="69"/>
  <c r="P21" i="69"/>
  <c r="P29" i="69"/>
  <c r="AO19" i="69"/>
  <c r="I19" i="69" s="1"/>
  <c r="AO11" i="69"/>
  <c r="I11" i="69" s="1"/>
  <c r="AO27" i="69"/>
  <c r="I27" i="69" s="1"/>
  <c r="AO26" i="69"/>
  <c r="I26" i="69" s="1"/>
  <c r="P18" i="69"/>
  <c r="AO13" i="69"/>
  <c r="I13" i="69" s="1"/>
  <c r="P16" i="69"/>
  <c r="K48" i="76"/>
  <c r="O48" i="76"/>
  <c r="Q48" i="76"/>
  <c r="U48" i="76"/>
  <c r="D48" i="76"/>
  <c r="L48" i="76"/>
  <c r="P48" i="76"/>
  <c r="V48" i="76"/>
  <c r="E48" i="76"/>
  <c r="I48" i="76"/>
  <c r="M48" i="76"/>
  <c r="S48" i="76"/>
  <c r="G48" i="76"/>
  <c r="H48" i="76"/>
  <c r="R48" i="76"/>
  <c r="F48" i="76"/>
  <c r="J48" i="76"/>
  <c r="N48" i="76"/>
  <c r="T48" i="76"/>
  <c r="Q50" i="76"/>
  <c r="L50" i="76"/>
  <c r="N50" i="76"/>
  <c r="F50" i="76"/>
  <c r="T50" i="76"/>
  <c r="H50" i="76"/>
  <c r="X50" i="76"/>
  <c r="P50" i="76"/>
  <c r="R50" i="76"/>
  <c r="O50" i="76"/>
  <c r="D50" i="76"/>
  <c r="S50" i="76"/>
  <c r="J50" i="76"/>
  <c r="V50" i="76"/>
  <c r="Y162" i="66"/>
  <c r="X4" i="70"/>
  <c r="Y4" i="69"/>
  <c r="AQ59" i="69" s="1"/>
  <c r="Y4" i="68"/>
  <c r="AQ59" i="68" s="1"/>
  <c r="Y4" i="67"/>
  <c r="AQ59" i="67" s="1"/>
  <c r="Y4" i="66"/>
  <c r="AQ59" i="66" s="1"/>
  <c r="Y4" i="65"/>
  <c r="AQ59" i="65" s="1"/>
  <c r="Y4" i="64"/>
  <c r="Y161" i="63"/>
  <c r="AC161" i="63"/>
  <c r="Y4" i="63"/>
  <c r="AQ59" i="63" s="1"/>
  <c r="Y4" i="62"/>
  <c r="AQ59" i="62" s="1"/>
  <c r="Y148" i="49"/>
  <c r="AT59" i="70" l="1"/>
  <c r="AX127" i="70"/>
  <c r="AY127" i="70"/>
  <c r="AV127" i="70"/>
  <c r="AW127" i="70"/>
  <c r="AU127" i="70"/>
  <c r="AS127" i="70"/>
  <c r="AT127" i="70"/>
  <c r="AQ59" i="64"/>
  <c r="AD161" i="63"/>
  <c r="AE161" i="63" s="1"/>
  <c r="BQ34" i="67"/>
  <c r="AV16" i="68"/>
  <c r="AU16" i="68"/>
  <c r="AV22" i="68"/>
  <c r="AV21" i="68"/>
  <c r="AU25" i="68"/>
  <c r="AV23" i="68"/>
  <c r="AL160" i="68"/>
  <c r="AO160" i="68"/>
  <c r="AN160" i="68"/>
  <c r="AM160" i="68"/>
  <c r="AP160" i="68"/>
  <c r="AV19" i="68"/>
  <c r="AV18" i="68"/>
  <c r="AV11" i="68"/>
  <c r="AV24" i="68"/>
  <c r="AV26" i="68"/>
  <c r="AU20" i="68"/>
  <c r="AU18" i="68"/>
  <c r="Y194" i="68"/>
  <c r="Y190" i="68"/>
  <c r="Y188" i="68"/>
  <c r="Y185" i="68"/>
  <c r="Y181" i="68"/>
  <c r="Y177" i="68"/>
  <c r="Z194" i="68"/>
  <c r="Z190" i="68"/>
  <c r="Z188" i="68"/>
  <c r="Z185" i="68"/>
  <c r="Z181" i="68"/>
  <c r="Y193" i="68"/>
  <c r="Z184" i="68"/>
  <c r="Y180" i="68"/>
  <c r="Z176" i="68"/>
  <c r="Z193" i="68"/>
  <c r="Y183" i="68"/>
  <c r="Z180" i="68"/>
  <c r="Y176" i="68"/>
  <c r="Y175" i="68"/>
  <c r="Y184" i="68"/>
  <c r="Y187" i="68"/>
  <c r="Y189" i="68"/>
  <c r="Y179" i="68"/>
  <c r="Y192" i="68"/>
  <c r="Y191" i="68"/>
  <c r="Z182" i="68"/>
  <c r="Z186" i="68"/>
  <c r="Z195" i="68"/>
  <c r="Y178" i="68"/>
  <c r="Y182" i="68"/>
  <c r="Z179" i="68"/>
  <c r="Y186" i="68"/>
  <c r="Y195" i="68"/>
  <c r="Z183" i="68"/>
  <c r="Z187" i="68"/>
  <c r="Z175" i="68"/>
  <c r="Z191" i="68"/>
  <c r="AU27" i="68"/>
  <c r="AV31" i="68"/>
  <c r="AV17" i="68"/>
  <c r="AU29" i="68"/>
  <c r="AV15" i="68"/>
  <c r="AU14" i="68"/>
  <c r="AU13" i="68"/>
  <c r="AU12" i="68"/>
  <c r="AV28" i="68"/>
  <c r="AU28" i="68"/>
  <c r="AU22" i="68"/>
  <c r="AV20" i="68"/>
  <c r="AU24" i="68"/>
  <c r="AU23" i="68"/>
  <c r="AV14" i="68"/>
  <c r="AU15" i="68"/>
  <c r="AV25" i="68"/>
  <c r="AU19" i="68"/>
  <c r="AV13" i="68"/>
  <c r="AU11" i="68"/>
  <c r="AU31" i="68"/>
  <c r="AV29" i="68"/>
  <c r="AU26" i="68"/>
  <c r="AU17" i="68"/>
  <c r="AV27" i="68"/>
  <c r="AU21" i="68"/>
  <c r="AV12" i="68"/>
  <c r="F161" i="63" l="1"/>
  <c r="AW22" i="68"/>
  <c r="AW28" i="68"/>
  <c r="AW19" i="68"/>
  <c r="AW16" i="68"/>
  <c r="AW21" i="68"/>
  <c r="AW24" i="68"/>
  <c r="AW17" i="68"/>
  <c r="AW18" i="68"/>
  <c r="AW27" i="68"/>
  <c r="AW31" i="68"/>
  <c r="AW11" i="68"/>
  <c r="AW23" i="68"/>
  <c r="AW25" i="68"/>
  <c r="AW26" i="68"/>
  <c r="AW15" i="68"/>
  <c r="AW20" i="68"/>
  <c r="AW14" i="68"/>
  <c r="AW13" i="68"/>
  <c r="AW12" i="68"/>
  <c r="AW29" i="68"/>
  <c r="E161" i="63"/>
  <c r="H161" i="63"/>
  <c r="G161" i="63"/>
  <c r="D161" i="63"/>
  <c r="AU43" i="84"/>
  <c r="G79" i="86"/>
  <c r="AL79" i="86" s="1"/>
  <c r="AU43" i="85"/>
  <c r="AU42" i="85"/>
  <c r="G78" i="86"/>
  <c r="AL78" i="86" s="1"/>
  <c r="AU42" i="84"/>
  <c r="G89" i="86"/>
  <c r="AL89" i="86" s="1"/>
  <c r="AU53" i="85"/>
  <c r="AU53" i="84"/>
  <c r="AU51" i="84"/>
  <c r="G87" i="86"/>
  <c r="AL87" i="86" s="1"/>
  <c r="AU51" i="85"/>
  <c r="AU48" i="84"/>
  <c r="G84" i="86"/>
  <c r="AL84" i="86" s="1"/>
  <c r="AU48" i="85"/>
  <c r="AU44" i="84"/>
  <c r="AU44" i="85"/>
  <c r="G80" i="86"/>
  <c r="AL80" i="86" s="1"/>
  <c r="G92" i="86"/>
  <c r="AL92" i="86" s="1"/>
  <c r="AU56" i="84"/>
  <c r="AU56" i="85"/>
  <c r="AU47" i="84"/>
  <c r="G83" i="86"/>
  <c r="AL83" i="86" s="1"/>
  <c r="AU47" i="85"/>
  <c r="G91" i="86"/>
  <c r="AU50" i="85"/>
  <c r="AU50" i="84"/>
  <c r="G86" i="86"/>
  <c r="AL86" i="86" s="1"/>
  <c r="G82" i="86"/>
  <c r="AL82" i="86" s="1"/>
  <c r="AU46" i="85"/>
  <c r="AU46" i="84"/>
  <c r="G94" i="86"/>
  <c r="AL94" i="86" s="1"/>
  <c r="AU58" i="85"/>
  <c r="AU54" i="84"/>
  <c r="G90" i="86"/>
  <c r="AL90" i="86" s="1"/>
  <c r="AU54" i="85"/>
  <c r="AU52" i="84"/>
  <c r="G88" i="86"/>
  <c r="AL88" i="86" s="1"/>
  <c r="AU52" i="85"/>
  <c r="AU49" i="85"/>
  <c r="AU49" i="84"/>
  <c r="G85" i="86"/>
  <c r="AL85" i="86" s="1"/>
  <c r="G81" i="86"/>
  <c r="AL81" i="86" s="1"/>
  <c r="AU45" i="84"/>
  <c r="AU45" i="85"/>
  <c r="AU49" i="83" l="1"/>
  <c r="AU44" i="83"/>
  <c r="AU51" i="83"/>
  <c r="AU54" i="83"/>
  <c r="AU58" i="83"/>
  <c r="AU55" i="83"/>
  <c r="AU59" i="83"/>
  <c r="AU53" i="83"/>
  <c r="AU43" i="83"/>
  <c r="AU55" i="85"/>
  <c r="AU59" i="85"/>
  <c r="AU45" i="83"/>
  <c r="AU46" i="83"/>
  <c r="AU55" i="84"/>
  <c r="AU59" i="84"/>
  <c r="AU56" i="83"/>
  <c r="AU42" i="83"/>
  <c r="AU52" i="83"/>
  <c r="AU50" i="83"/>
  <c r="AL91" i="86"/>
  <c r="AL95" i="86"/>
  <c r="AU47" i="83"/>
  <c r="AU48" i="83"/>
  <c r="Y4" i="49" l="1"/>
  <c r="AQ59" i="49" s="1"/>
  <c r="Z84" i="49" l="1"/>
  <c r="Z87" i="49"/>
  <c r="Z93" i="49"/>
  <c r="Z74" i="49"/>
  <c r="Y81" i="49"/>
  <c r="Y85" i="49"/>
  <c r="Y90" i="49"/>
  <c r="Y94" i="49"/>
  <c r="Z81" i="49"/>
  <c r="Y84" i="49"/>
  <c r="Z85" i="49"/>
  <c r="Y87" i="49"/>
  <c r="Z90" i="49"/>
  <c r="Y93" i="49"/>
  <c r="Z94" i="49"/>
  <c r="Y83" i="49"/>
  <c r="Y86" i="49"/>
  <c r="Z78" i="49"/>
  <c r="Z83" i="49"/>
  <c r="Y92" i="49"/>
  <c r="Y79" i="49"/>
  <c r="Y82" i="49"/>
  <c r="Z92" i="49"/>
  <c r="Z79" i="49"/>
  <c r="Y78" i="49"/>
  <c r="Z86" i="49"/>
  <c r="Z75" i="49"/>
  <c r="Y75" i="49"/>
  <c r="Y74" i="49"/>
  <c r="Z82" i="49"/>
  <c r="D101" i="91"/>
  <c r="D31" i="91"/>
  <c r="D93" i="86"/>
  <c r="K30" i="86"/>
  <c r="D126" i="85"/>
  <c r="AL57" i="85"/>
  <c r="D93" i="85"/>
  <c r="D161" i="84"/>
  <c r="D128" i="84"/>
  <c r="D333" i="83"/>
  <c r="K333" i="83" s="1"/>
  <c r="D295" i="67"/>
  <c r="AE127" i="49"/>
  <c r="E101" i="91"/>
  <c r="E31" i="91"/>
  <c r="E93" i="86"/>
  <c r="L30" i="86"/>
  <c r="E126" i="85"/>
  <c r="AM57" i="85"/>
  <c r="E93" i="85"/>
  <c r="E161" i="84"/>
  <c r="E128" i="84"/>
  <c r="AF127" i="49"/>
  <c r="G101" i="91"/>
  <c r="G31" i="91"/>
  <c r="G93" i="86"/>
  <c r="N30" i="86"/>
  <c r="G126" i="85"/>
  <c r="AO57" i="85"/>
  <c r="G93" i="85"/>
  <c r="G161" i="84"/>
  <c r="G128" i="84"/>
  <c r="AH127" i="49"/>
  <c r="AI127" i="49"/>
  <c r="H93" i="86"/>
  <c r="H31" i="91"/>
  <c r="P31" i="91" s="1"/>
  <c r="H101" i="91"/>
  <c r="P101" i="91" s="1"/>
  <c r="H262" i="83" l="1"/>
  <c r="H295" i="83"/>
  <c r="G295" i="83"/>
  <c r="G262" i="83"/>
  <c r="E262" i="83"/>
  <c r="E295" i="83"/>
  <c r="H126" i="85"/>
  <c r="H93" i="85"/>
  <c r="AP61" i="91"/>
  <c r="Q31" i="91"/>
  <c r="D128" i="83"/>
  <c r="Q101" i="91"/>
  <c r="AP131" i="91"/>
  <c r="AN31" i="91"/>
  <c r="O31" i="91"/>
  <c r="AO61" i="91" s="1"/>
  <c r="AN101" i="91"/>
  <c r="O101" i="91"/>
  <c r="AO131" i="91" s="1"/>
  <c r="M31" i="91"/>
  <c r="AM61" i="91" s="1"/>
  <c r="M101" i="91"/>
  <c r="AM131" i="91" s="1"/>
  <c r="L31" i="91"/>
  <c r="AL61" i="91" s="1"/>
  <c r="AK31" i="91"/>
  <c r="L101" i="91"/>
  <c r="AL131" i="91" s="1"/>
  <c r="AK101" i="91"/>
  <c r="W84" i="76"/>
  <c r="K30" i="84"/>
  <c r="AW30" i="86"/>
  <c r="AD93" i="86"/>
  <c r="AT30" i="86"/>
  <c r="AF93" i="86"/>
  <c r="N30" i="84"/>
  <c r="L30" i="84"/>
  <c r="AS57" i="84"/>
  <c r="D194" i="84"/>
  <c r="BB57" i="84" s="1"/>
  <c r="L199" i="83"/>
  <c r="N199" i="83"/>
  <c r="O199" i="83"/>
  <c r="AN199" i="83"/>
  <c r="E333" i="83"/>
  <c r="AC93" i="86"/>
  <c r="E194" i="84"/>
  <c r="BC57" i="84" s="1"/>
  <c r="H333" i="83"/>
  <c r="I30" i="86"/>
  <c r="G194" i="84"/>
  <c r="BE57" i="84" s="1"/>
  <c r="G333" i="83"/>
  <c r="AS57" i="85"/>
  <c r="AJ93" i="86"/>
  <c r="H163" i="70"/>
  <c r="W81" i="76" l="1"/>
  <c r="W82" i="76"/>
  <c r="AL57" i="84"/>
  <c r="K199" i="83"/>
  <c r="AL224" i="83" s="1"/>
  <c r="D262" i="83"/>
  <c r="D295" i="83"/>
  <c r="L333" i="83"/>
  <c r="AK331" i="83"/>
  <c r="O333" i="83"/>
  <c r="AN331" i="83"/>
  <c r="N333" i="83"/>
  <c r="AK199" i="83"/>
  <c r="AN30" i="84"/>
  <c r="BF57" i="84"/>
  <c r="W75" i="76"/>
  <c r="W68" i="76"/>
  <c r="AK30" i="84"/>
  <c r="AI93" i="86"/>
  <c r="AQ199" i="83"/>
  <c r="AM224" i="83"/>
  <c r="AS199" i="83"/>
  <c r="AO224" i="83"/>
  <c r="AR57" i="85"/>
  <c r="AL358" i="83"/>
  <c r="AO57" i="84"/>
  <c r="P30" i="84"/>
  <c r="AT199" i="83"/>
  <c r="P199" i="83"/>
  <c r="AP224" i="83"/>
  <c r="AZ57" i="85"/>
  <c r="AR57" i="84"/>
  <c r="K30" i="83"/>
  <c r="AL57" i="83" s="1"/>
  <c r="D161" i="83"/>
  <c r="E128" i="83"/>
  <c r="E161" i="83"/>
  <c r="AX57" i="83" s="1"/>
  <c r="H128" i="83"/>
  <c r="H161" i="83"/>
  <c r="G128" i="83"/>
  <c r="G161" i="83"/>
  <c r="AZ57" i="83" s="1"/>
  <c r="L30" i="83"/>
  <c r="AV57" i="84"/>
  <c r="AU57" i="85"/>
  <c r="AZ57" i="84"/>
  <c r="AP57" i="84"/>
  <c r="O30" i="83"/>
  <c r="AP57" i="85"/>
  <c r="N30" i="83"/>
  <c r="AW57" i="85"/>
  <c r="AM93" i="86"/>
  <c r="BA57" i="85"/>
  <c r="AX57" i="85"/>
  <c r="AL93" i="86"/>
  <c r="AV57" i="85"/>
  <c r="AW57" i="84"/>
  <c r="BA57" i="84"/>
  <c r="AX57" i="84"/>
  <c r="AU57" i="84"/>
  <c r="H31" i="70"/>
  <c r="G31" i="70"/>
  <c r="F31" i="70"/>
  <c r="E31" i="70"/>
  <c r="D31" i="70"/>
  <c r="H29" i="70"/>
  <c r="G29" i="70"/>
  <c r="F29" i="70"/>
  <c r="E29" i="70"/>
  <c r="D29" i="70"/>
  <c r="H27" i="70"/>
  <c r="G27" i="70"/>
  <c r="F27" i="70"/>
  <c r="E27" i="70"/>
  <c r="D27" i="70"/>
  <c r="H26" i="70"/>
  <c r="G26" i="70"/>
  <c r="F26" i="70"/>
  <c r="E26" i="70"/>
  <c r="D26" i="70"/>
  <c r="H25" i="70"/>
  <c r="G25" i="70"/>
  <c r="F25" i="70"/>
  <c r="E25" i="70"/>
  <c r="D25" i="70"/>
  <c r="H24" i="70"/>
  <c r="G24" i="70"/>
  <c r="E24" i="70"/>
  <c r="D24" i="70"/>
  <c r="H23" i="70"/>
  <c r="G23" i="70"/>
  <c r="F23" i="70"/>
  <c r="E23" i="70"/>
  <c r="D23" i="70"/>
  <c r="H22" i="70"/>
  <c r="G22" i="70"/>
  <c r="F22" i="70"/>
  <c r="E22" i="70"/>
  <c r="D22" i="70"/>
  <c r="H21" i="70"/>
  <c r="G21" i="70"/>
  <c r="F21" i="70"/>
  <c r="E21" i="70"/>
  <c r="D21" i="70"/>
  <c r="H20" i="70"/>
  <c r="G20" i="70"/>
  <c r="F20" i="70"/>
  <c r="E20" i="70"/>
  <c r="D20" i="70"/>
  <c r="H19" i="70"/>
  <c r="G19" i="70"/>
  <c r="F19" i="70"/>
  <c r="E19" i="70"/>
  <c r="D19" i="70"/>
  <c r="H18" i="70"/>
  <c r="G18" i="70"/>
  <c r="F18" i="70"/>
  <c r="E18" i="70"/>
  <c r="D18" i="70"/>
  <c r="H17" i="70"/>
  <c r="G17" i="70"/>
  <c r="F17" i="70"/>
  <c r="E17" i="70"/>
  <c r="D17" i="70"/>
  <c r="H16" i="70"/>
  <c r="G16" i="70"/>
  <c r="F16" i="70"/>
  <c r="E16" i="70"/>
  <c r="D16" i="70"/>
  <c r="H15" i="70"/>
  <c r="G15" i="70"/>
  <c r="F15" i="70"/>
  <c r="E15" i="70"/>
  <c r="D15" i="70"/>
  <c r="H14" i="70"/>
  <c r="G14" i="70"/>
  <c r="F14" i="70"/>
  <c r="E14" i="70"/>
  <c r="D14" i="70"/>
  <c r="H13" i="70"/>
  <c r="G13" i="70"/>
  <c r="F13" i="70"/>
  <c r="E13" i="70"/>
  <c r="D13" i="70"/>
  <c r="H11" i="70"/>
  <c r="G11" i="70"/>
  <c r="F11" i="70"/>
  <c r="E11" i="70"/>
  <c r="D11" i="70"/>
  <c r="W67" i="76" l="1"/>
  <c r="W69" i="76"/>
  <c r="W66" i="76"/>
  <c r="X18" i="70"/>
  <c r="X25" i="70"/>
  <c r="X27" i="70"/>
  <c r="AD31" i="70"/>
  <c r="Y31" i="70"/>
  <c r="X31" i="70"/>
  <c r="X15" i="70"/>
  <c r="X19" i="70"/>
  <c r="X28" i="70"/>
  <c r="X12" i="70"/>
  <c r="X16" i="70"/>
  <c r="X20" i="70"/>
  <c r="X29" i="70"/>
  <c r="X14" i="70"/>
  <c r="X22" i="70"/>
  <c r="X11" i="70"/>
  <c r="X23" i="70"/>
  <c r="Y23" i="70"/>
  <c r="X13" i="70"/>
  <c r="X17" i="70"/>
  <c r="X21" i="70"/>
  <c r="X24" i="70"/>
  <c r="X26" i="70"/>
  <c r="AQ21" i="70"/>
  <c r="AQ24" i="70"/>
  <c r="AP22" i="70"/>
  <c r="AP27" i="70"/>
  <c r="AP25" i="70"/>
  <c r="AO28" i="70"/>
  <c r="AO23" i="70"/>
  <c r="AN29" i="70"/>
  <c r="AP358" i="83"/>
  <c r="AN12" i="70"/>
  <c r="AO15" i="70"/>
  <c r="AN16" i="70"/>
  <c r="AQ17" i="70"/>
  <c r="AN20" i="70"/>
  <c r="AO11" i="70"/>
  <c r="AQ13" i="70"/>
  <c r="AP14" i="70"/>
  <c r="AP18" i="70"/>
  <c r="AO19" i="70"/>
  <c r="AP12" i="70"/>
  <c r="AO13" i="70"/>
  <c r="AN14" i="70"/>
  <c r="AP16" i="70"/>
  <c r="AO17" i="70"/>
  <c r="AN18" i="70"/>
  <c r="AP20" i="70"/>
  <c r="AO21" i="70"/>
  <c r="AN22" i="70"/>
  <c r="AN25" i="70"/>
  <c r="AO26" i="70"/>
  <c r="AN27" i="70"/>
  <c r="AP29" i="70"/>
  <c r="AD26" i="70"/>
  <c r="AQ26" i="70"/>
  <c r="AP11" i="70"/>
  <c r="AO12" i="70"/>
  <c r="AN13" i="70"/>
  <c r="AD14" i="70"/>
  <c r="AQ14" i="70"/>
  <c r="AP15" i="70"/>
  <c r="AO16" i="70"/>
  <c r="AN17" i="70"/>
  <c r="AD18" i="70"/>
  <c r="AQ18" i="70"/>
  <c r="AP19" i="70"/>
  <c r="AO20" i="70"/>
  <c r="AN21" i="70"/>
  <c r="AQ22" i="70"/>
  <c r="AP23" i="70"/>
  <c r="AN24" i="70"/>
  <c r="AD25" i="70"/>
  <c r="AQ25" i="70"/>
  <c r="AN26" i="70"/>
  <c r="AD27" i="70"/>
  <c r="AQ27" i="70"/>
  <c r="AP28" i="70"/>
  <c r="AO29" i="70"/>
  <c r="AD11" i="70"/>
  <c r="AQ11" i="70"/>
  <c r="AD15" i="70"/>
  <c r="AQ15" i="70"/>
  <c r="AD19" i="70"/>
  <c r="AQ19" i="70"/>
  <c r="AD23" i="70"/>
  <c r="AQ23" i="70"/>
  <c r="AD28" i="70"/>
  <c r="AQ28" i="70"/>
  <c r="AN11" i="70"/>
  <c r="AQ12" i="70"/>
  <c r="AP13" i="70"/>
  <c r="AO14" i="70"/>
  <c r="AN15" i="70"/>
  <c r="AQ16" i="70"/>
  <c r="AP17" i="70"/>
  <c r="AO18" i="70"/>
  <c r="AN19" i="70"/>
  <c r="AQ20" i="70"/>
  <c r="AP21" i="70"/>
  <c r="AO22" i="70"/>
  <c r="AN23" i="70"/>
  <c r="AO25" i="70"/>
  <c r="AP26" i="70"/>
  <c r="AO27" i="70"/>
  <c r="AN28" i="70"/>
  <c r="AD29" i="70"/>
  <c r="AQ29" i="70"/>
  <c r="AQ30" i="83"/>
  <c r="AK30" i="83"/>
  <c r="AS30" i="83"/>
  <c r="AN30" i="83"/>
  <c r="O22" i="70"/>
  <c r="AD22" i="70"/>
  <c r="O12" i="70"/>
  <c r="AD12" i="70"/>
  <c r="O16" i="70"/>
  <c r="AD16" i="70"/>
  <c r="O20" i="70"/>
  <c r="AD20" i="70"/>
  <c r="O13" i="70"/>
  <c r="AD13" i="70"/>
  <c r="O17" i="70"/>
  <c r="AD17" i="70"/>
  <c r="O21" i="70"/>
  <c r="AD21" i="70"/>
  <c r="O24" i="70"/>
  <c r="AD24" i="70"/>
  <c r="N13" i="70"/>
  <c r="AC13" i="70"/>
  <c r="N21" i="70"/>
  <c r="AC21" i="70"/>
  <c r="N24" i="70"/>
  <c r="AC24" i="70"/>
  <c r="N11" i="70"/>
  <c r="AC11" i="70"/>
  <c r="N15" i="70"/>
  <c r="AC15" i="70"/>
  <c r="N19" i="70"/>
  <c r="AC19" i="70"/>
  <c r="N23" i="70"/>
  <c r="AC23" i="70"/>
  <c r="N28" i="70"/>
  <c r="AC28" i="70"/>
  <c r="N12" i="70"/>
  <c r="AC12" i="70"/>
  <c r="N16" i="70"/>
  <c r="AC16" i="70"/>
  <c r="N20" i="70"/>
  <c r="AC20" i="70"/>
  <c r="N29" i="70"/>
  <c r="AC29" i="70"/>
  <c r="N17" i="70"/>
  <c r="AC17" i="70"/>
  <c r="N26" i="70"/>
  <c r="AC26" i="70"/>
  <c r="N14" i="70"/>
  <c r="AC14" i="70"/>
  <c r="N18" i="70"/>
  <c r="AC18" i="70"/>
  <c r="N22" i="70"/>
  <c r="AC22" i="70"/>
  <c r="N25" i="70"/>
  <c r="AC25" i="70"/>
  <c r="N27" i="70"/>
  <c r="AC27" i="70"/>
  <c r="N31" i="70"/>
  <c r="AC31" i="70"/>
  <c r="M12" i="70"/>
  <c r="AB12" i="70"/>
  <c r="M16" i="70"/>
  <c r="AB16" i="70"/>
  <c r="M20" i="70"/>
  <c r="AB20" i="70"/>
  <c r="M29" i="70"/>
  <c r="AB29" i="70"/>
  <c r="M13" i="70"/>
  <c r="AB13" i="70"/>
  <c r="M17" i="70"/>
  <c r="AB17" i="70"/>
  <c r="M21" i="70"/>
  <c r="AB21" i="70"/>
  <c r="M26" i="70"/>
  <c r="AB26" i="70"/>
  <c r="M14" i="70"/>
  <c r="AB14" i="70"/>
  <c r="M18" i="70"/>
  <c r="AB18" i="70"/>
  <c r="M22" i="70"/>
  <c r="AB22" i="70"/>
  <c r="M25" i="70"/>
  <c r="AB25" i="70"/>
  <c r="M27" i="70"/>
  <c r="AB27" i="70"/>
  <c r="M31" i="70"/>
  <c r="AB31" i="70"/>
  <c r="M11" i="70"/>
  <c r="AB11" i="70"/>
  <c r="M15" i="70"/>
  <c r="AB15" i="70"/>
  <c r="M19" i="70"/>
  <c r="AB19" i="70"/>
  <c r="M23" i="70"/>
  <c r="AB23" i="70"/>
  <c r="M28" i="70"/>
  <c r="AB28" i="70"/>
  <c r="L20" i="70"/>
  <c r="AA20" i="70"/>
  <c r="L17" i="70"/>
  <c r="AA17" i="70"/>
  <c r="L24" i="70"/>
  <c r="AA24" i="70"/>
  <c r="L14" i="70"/>
  <c r="AA14" i="70"/>
  <c r="L18" i="70"/>
  <c r="AA18" i="70"/>
  <c r="L22" i="70"/>
  <c r="AA22" i="70"/>
  <c r="L25" i="70"/>
  <c r="AA25" i="70"/>
  <c r="L27" i="70"/>
  <c r="AA27" i="70"/>
  <c r="L31" i="70"/>
  <c r="AA31" i="70"/>
  <c r="L12" i="70"/>
  <c r="AA12" i="70"/>
  <c r="L16" i="70"/>
  <c r="AA16" i="70"/>
  <c r="L29" i="70"/>
  <c r="AA29" i="70"/>
  <c r="L13" i="70"/>
  <c r="AA13" i="70"/>
  <c r="L21" i="70"/>
  <c r="AA21" i="70"/>
  <c r="L26" i="70"/>
  <c r="AA26" i="70"/>
  <c r="L11" i="70"/>
  <c r="AA11" i="70"/>
  <c r="L15" i="70"/>
  <c r="AA15" i="70"/>
  <c r="L19" i="70"/>
  <c r="AA19" i="70"/>
  <c r="L23" i="70"/>
  <c r="AA23" i="70"/>
  <c r="L28" i="70"/>
  <c r="AA28" i="70"/>
  <c r="K17" i="70"/>
  <c r="Z17" i="70"/>
  <c r="K24" i="70"/>
  <c r="Z24" i="70"/>
  <c r="K18" i="70"/>
  <c r="Z18" i="70"/>
  <c r="K27" i="70"/>
  <c r="Z27" i="70"/>
  <c r="K15" i="70"/>
  <c r="Z15" i="70"/>
  <c r="K19" i="70"/>
  <c r="Z19" i="70"/>
  <c r="K23" i="70"/>
  <c r="Z23" i="70"/>
  <c r="K28" i="70"/>
  <c r="Z28" i="70"/>
  <c r="K13" i="70"/>
  <c r="Z13" i="70"/>
  <c r="K21" i="70"/>
  <c r="Z21" i="70"/>
  <c r="K26" i="70"/>
  <c r="Z26" i="70"/>
  <c r="K14" i="70"/>
  <c r="Z14" i="70"/>
  <c r="K22" i="70"/>
  <c r="Z22" i="70"/>
  <c r="K25" i="70"/>
  <c r="Z25" i="70"/>
  <c r="K31" i="70"/>
  <c r="Z31" i="70"/>
  <c r="K12" i="70"/>
  <c r="Z12" i="70"/>
  <c r="K16" i="70"/>
  <c r="Z16" i="70"/>
  <c r="K20" i="70"/>
  <c r="Z20" i="70"/>
  <c r="K29" i="70"/>
  <c r="Z29" i="70"/>
  <c r="K11" i="70"/>
  <c r="Z11" i="70"/>
  <c r="AM358" i="83"/>
  <c r="AQ331" i="83"/>
  <c r="AO358" i="83"/>
  <c r="AS331" i="83"/>
  <c r="AT331" i="83"/>
  <c r="P333" i="83"/>
  <c r="AV57" i="83"/>
  <c r="AS57" i="83"/>
  <c r="AR57" i="83"/>
  <c r="AM57" i="83"/>
  <c r="P30" i="83"/>
  <c r="AT30" i="83"/>
  <c r="AO57" i="83"/>
  <c r="AP57" i="83"/>
  <c r="AU57" i="83"/>
  <c r="BA57" i="83"/>
  <c r="AW57" i="83"/>
  <c r="O26" i="70"/>
  <c r="O11" i="70"/>
  <c r="O15" i="70"/>
  <c r="O19" i="70"/>
  <c r="O23" i="70"/>
  <c r="O28" i="70"/>
  <c r="O29" i="70"/>
  <c r="O14" i="70"/>
  <c r="O18" i="70"/>
  <c r="O25" i="70"/>
  <c r="O27" i="70"/>
  <c r="O31" i="70"/>
  <c r="AG197" i="70"/>
  <c r="AF197" i="70"/>
  <c r="AE197" i="70"/>
  <c r="AD197" i="70"/>
  <c r="AG195" i="70"/>
  <c r="AF195" i="70"/>
  <c r="AE195" i="70"/>
  <c r="AD195" i="70"/>
  <c r="AG193" i="70"/>
  <c r="AF193" i="70"/>
  <c r="AE193" i="70"/>
  <c r="AD193" i="70"/>
  <c r="AG192" i="70"/>
  <c r="AF192" i="70"/>
  <c r="AE192" i="70"/>
  <c r="AD192" i="70"/>
  <c r="AG191" i="70"/>
  <c r="AF191" i="70"/>
  <c r="AE191" i="70"/>
  <c r="AD191" i="70"/>
  <c r="AG190" i="70"/>
  <c r="AE190" i="70"/>
  <c r="AD190" i="70"/>
  <c r="AG189" i="70"/>
  <c r="AF189" i="70"/>
  <c r="AE189" i="70"/>
  <c r="AD189" i="70"/>
  <c r="AG188" i="70"/>
  <c r="AF188" i="70"/>
  <c r="AE188" i="70"/>
  <c r="AD188" i="70"/>
  <c r="AG187" i="70"/>
  <c r="AF187" i="70"/>
  <c r="AE187" i="70"/>
  <c r="AD187" i="70"/>
  <c r="AG186" i="70"/>
  <c r="AF186" i="70"/>
  <c r="AE186" i="70"/>
  <c r="AD186" i="70"/>
  <c r="AG185" i="70"/>
  <c r="AF185" i="70"/>
  <c r="AE185" i="70"/>
  <c r="AD185" i="70"/>
  <c r="AG184" i="70"/>
  <c r="AF184" i="70"/>
  <c r="AE184" i="70"/>
  <c r="AD184" i="70"/>
  <c r="AG183" i="70"/>
  <c r="AF183" i="70"/>
  <c r="AE183" i="70"/>
  <c r="AD183" i="70"/>
  <c r="AG182" i="70"/>
  <c r="AF182" i="70"/>
  <c r="AE182" i="70"/>
  <c r="AD182" i="70"/>
  <c r="AG181" i="70"/>
  <c r="AF181" i="70"/>
  <c r="AE181" i="70"/>
  <c r="AD181" i="70"/>
  <c r="AG180" i="70"/>
  <c r="AF180" i="70"/>
  <c r="AE180" i="70"/>
  <c r="AD180" i="70"/>
  <c r="AG179" i="70"/>
  <c r="AF179" i="70"/>
  <c r="AE179" i="70"/>
  <c r="AD179" i="70"/>
  <c r="AG177" i="70"/>
  <c r="AF177" i="70"/>
  <c r="AE177" i="70"/>
  <c r="AD177" i="70"/>
  <c r="AB197" i="70"/>
  <c r="AA197" i="70"/>
  <c r="Z197" i="70"/>
  <c r="Y197" i="70"/>
  <c r="X197" i="70"/>
  <c r="AB195" i="70"/>
  <c r="AA195" i="70"/>
  <c r="Z195" i="70"/>
  <c r="Y195" i="70"/>
  <c r="X195" i="70"/>
  <c r="AB193" i="70"/>
  <c r="AA193" i="70"/>
  <c r="Z193" i="70"/>
  <c r="Y193" i="70"/>
  <c r="X193" i="70"/>
  <c r="AB192" i="70"/>
  <c r="AA192" i="70"/>
  <c r="Z192" i="70"/>
  <c r="Y192" i="70"/>
  <c r="X192" i="70"/>
  <c r="AB191" i="70"/>
  <c r="AA191" i="70"/>
  <c r="Z191" i="70"/>
  <c r="Y191" i="70"/>
  <c r="X191" i="70"/>
  <c r="AB190" i="70"/>
  <c r="AA190" i="70"/>
  <c r="Y190" i="70"/>
  <c r="X190" i="70"/>
  <c r="AB189" i="70"/>
  <c r="AA189" i="70"/>
  <c r="Z189" i="70"/>
  <c r="Y189" i="70"/>
  <c r="X189" i="70"/>
  <c r="AB188" i="70"/>
  <c r="AA188" i="70"/>
  <c r="Z188" i="70"/>
  <c r="Y188" i="70"/>
  <c r="X188" i="70"/>
  <c r="AB187" i="70"/>
  <c r="AA187" i="70"/>
  <c r="Z187" i="70"/>
  <c r="Y187" i="70"/>
  <c r="X187" i="70"/>
  <c r="AB186" i="70"/>
  <c r="AA186" i="70"/>
  <c r="Z186" i="70"/>
  <c r="Y186" i="70"/>
  <c r="X186" i="70"/>
  <c r="AB185" i="70"/>
  <c r="AA185" i="70"/>
  <c r="Z185" i="70"/>
  <c r="Y185" i="70"/>
  <c r="X185" i="70"/>
  <c r="AB184" i="70"/>
  <c r="AA184" i="70"/>
  <c r="Z184" i="70"/>
  <c r="Y184" i="70"/>
  <c r="X184" i="70"/>
  <c r="AB183" i="70"/>
  <c r="AA183" i="70"/>
  <c r="Z183" i="70"/>
  <c r="Y183" i="70"/>
  <c r="X183" i="70"/>
  <c r="AB182" i="70"/>
  <c r="AA182" i="70"/>
  <c r="Z182" i="70"/>
  <c r="Y182" i="70"/>
  <c r="X182" i="70"/>
  <c r="AB181" i="70"/>
  <c r="AA181" i="70"/>
  <c r="Z181" i="70"/>
  <c r="Y181" i="70"/>
  <c r="X181" i="70"/>
  <c r="AB180" i="70"/>
  <c r="AA180" i="70"/>
  <c r="Z180" i="70"/>
  <c r="Y180" i="70"/>
  <c r="X180" i="70"/>
  <c r="AB179" i="70"/>
  <c r="AA179" i="70"/>
  <c r="Z179" i="70"/>
  <c r="Y179" i="70"/>
  <c r="X179" i="70"/>
  <c r="AB177" i="70"/>
  <c r="AA177" i="70"/>
  <c r="Z177" i="70"/>
  <c r="Y177" i="70"/>
  <c r="X177" i="70"/>
  <c r="AB164" i="70"/>
  <c r="H164" i="70" s="1"/>
  <c r="AA164" i="70"/>
  <c r="Z164" i="70"/>
  <c r="Y164" i="70"/>
  <c r="X164" i="70"/>
  <c r="AB162" i="70"/>
  <c r="H162" i="70" s="1"/>
  <c r="AA162" i="70"/>
  <c r="Z162" i="70"/>
  <c r="Y162" i="70"/>
  <c r="X162" i="70"/>
  <c r="H161" i="70"/>
  <c r="AB160" i="70"/>
  <c r="H160" i="70" s="1"/>
  <c r="AA160" i="70"/>
  <c r="Z160" i="70"/>
  <c r="Y160" i="70"/>
  <c r="X160" i="70"/>
  <c r="AB159" i="70"/>
  <c r="H159" i="70" s="1"/>
  <c r="AA159" i="70"/>
  <c r="Z159" i="70"/>
  <c r="Y159" i="70"/>
  <c r="X159" i="70"/>
  <c r="AB158" i="70"/>
  <c r="H158" i="70" s="1"/>
  <c r="AA158" i="70"/>
  <c r="Z158" i="70"/>
  <c r="Y158" i="70"/>
  <c r="X158" i="70"/>
  <c r="AB157" i="70"/>
  <c r="H157" i="70" s="1"/>
  <c r="AA157" i="70"/>
  <c r="Z157" i="70"/>
  <c r="Y157" i="70"/>
  <c r="X157" i="70"/>
  <c r="AB156" i="70"/>
  <c r="H156" i="70" s="1"/>
  <c r="AA156" i="70"/>
  <c r="Y156" i="70"/>
  <c r="X156" i="70"/>
  <c r="AB155" i="70"/>
  <c r="H155" i="70" s="1"/>
  <c r="AA155" i="70"/>
  <c r="Z155" i="70"/>
  <c r="Y155" i="70"/>
  <c r="X155" i="70"/>
  <c r="AB154" i="70"/>
  <c r="H154" i="70" s="1"/>
  <c r="AA154" i="70"/>
  <c r="Z154" i="70"/>
  <c r="Y154" i="70"/>
  <c r="X154" i="70"/>
  <c r="AB153" i="70"/>
  <c r="H153" i="70" s="1"/>
  <c r="AA153" i="70"/>
  <c r="Z153" i="70"/>
  <c r="Y153" i="70"/>
  <c r="X153" i="70"/>
  <c r="AB152" i="70"/>
  <c r="H152" i="70" s="1"/>
  <c r="AA152" i="70"/>
  <c r="Z152" i="70"/>
  <c r="Y152" i="70"/>
  <c r="X152" i="70"/>
  <c r="AB151" i="70"/>
  <c r="H151" i="70" s="1"/>
  <c r="AA151" i="70"/>
  <c r="Z151" i="70"/>
  <c r="Y151" i="70"/>
  <c r="X151" i="70"/>
  <c r="AB150" i="70"/>
  <c r="H150" i="70" s="1"/>
  <c r="AA150" i="70"/>
  <c r="Z150" i="70"/>
  <c r="Y150" i="70"/>
  <c r="X150" i="70"/>
  <c r="AB149" i="70"/>
  <c r="H149" i="70" s="1"/>
  <c r="AA149" i="70"/>
  <c r="Z149" i="70"/>
  <c r="Y149" i="70"/>
  <c r="X149" i="70"/>
  <c r="AB148" i="70"/>
  <c r="H148" i="70" s="1"/>
  <c r="AA148" i="70"/>
  <c r="Z148" i="70"/>
  <c r="Y148" i="70"/>
  <c r="X148" i="70"/>
  <c r="AB147" i="70"/>
  <c r="H147" i="70" s="1"/>
  <c r="AA147" i="70"/>
  <c r="Z147" i="70"/>
  <c r="Y147" i="70"/>
  <c r="X147" i="70"/>
  <c r="AB146" i="70"/>
  <c r="H146" i="70" s="1"/>
  <c r="AA146" i="70"/>
  <c r="Z146" i="70"/>
  <c r="Y146" i="70"/>
  <c r="X146" i="70"/>
  <c r="AB145" i="70"/>
  <c r="H145" i="70" s="1"/>
  <c r="AA145" i="70"/>
  <c r="Z145" i="70"/>
  <c r="Y145" i="70"/>
  <c r="X145" i="70"/>
  <c r="AB144" i="70"/>
  <c r="H144" i="70" s="1"/>
  <c r="AA144" i="70"/>
  <c r="Z144" i="70"/>
  <c r="Y144" i="70"/>
  <c r="X144" i="70"/>
  <c r="H143" i="70"/>
  <c r="AB142" i="70"/>
  <c r="H142" i="70" s="1"/>
  <c r="AA142" i="70"/>
  <c r="Z142" i="70"/>
  <c r="Y142" i="70"/>
  <c r="X142" i="70"/>
  <c r="H99" i="70"/>
  <c r="AI99" i="70" s="1"/>
  <c r="G99" i="70"/>
  <c r="AH99" i="70" s="1"/>
  <c r="F99" i="70"/>
  <c r="AG99" i="70" s="1"/>
  <c r="E99" i="70"/>
  <c r="AF99" i="70" s="1"/>
  <c r="D99" i="70"/>
  <c r="AE99" i="70" s="1"/>
  <c r="H97" i="70"/>
  <c r="AI97" i="70" s="1"/>
  <c r="G97" i="70"/>
  <c r="F97" i="70"/>
  <c r="E97" i="70"/>
  <c r="D97" i="70"/>
  <c r="AE97" i="70" s="1"/>
  <c r="AK96" i="70"/>
  <c r="H95" i="70"/>
  <c r="AI95" i="70" s="1"/>
  <c r="G95" i="70"/>
  <c r="F95" i="70"/>
  <c r="E95" i="70"/>
  <c r="D95" i="70"/>
  <c r="AE95" i="70" s="1"/>
  <c r="H94" i="70"/>
  <c r="AI94" i="70" s="1"/>
  <c r="G94" i="70"/>
  <c r="F94" i="70"/>
  <c r="E94" i="70"/>
  <c r="D94" i="70"/>
  <c r="AE94" i="70" s="1"/>
  <c r="H93" i="70"/>
  <c r="AI93" i="70" s="1"/>
  <c r="G93" i="70"/>
  <c r="F93" i="70"/>
  <c r="E93" i="70"/>
  <c r="D93" i="70"/>
  <c r="AE93" i="70" s="1"/>
  <c r="H92" i="70"/>
  <c r="AI92" i="70" s="1"/>
  <c r="G92" i="70"/>
  <c r="E92" i="70"/>
  <c r="D92" i="70"/>
  <c r="AE92" i="70" s="1"/>
  <c r="H91" i="70"/>
  <c r="AI91" i="70" s="1"/>
  <c r="G91" i="70"/>
  <c r="F91" i="70"/>
  <c r="E91" i="70"/>
  <c r="D91" i="70"/>
  <c r="AE91" i="70" s="1"/>
  <c r="H90" i="70"/>
  <c r="AI90" i="70" s="1"/>
  <c r="G90" i="70"/>
  <c r="F90" i="70"/>
  <c r="E90" i="70"/>
  <c r="D90" i="70"/>
  <c r="AE90" i="70" s="1"/>
  <c r="H89" i="70"/>
  <c r="AI89" i="70" s="1"/>
  <c r="G89" i="70"/>
  <c r="F89" i="70"/>
  <c r="E89" i="70"/>
  <c r="D89" i="70"/>
  <c r="AE89" i="70" s="1"/>
  <c r="H88" i="70"/>
  <c r="AI88" i="70" s="1"/>
  <c r="G88" i="70"/>
  <c r="F88" i="70"/>
  <c r="E88" i="70"/>
  <c r="D88" i="70"/>
  <c r="AE88" i="70" s="1"/>
  <c r="H87" i="70"/>
  <c r="AI87" i="70" s="1"/>
  <c r="G87" i="70"/>
  <c r="F87" i="70"/>
  <c r="E87" i="70"/>
  <c r="D87" i="70"/>
  <c r="AE87" i="70" s="1"/>
  <c r="H86" i="70"/>
  <c r="AI86" i="70" s="1"/>
  <c r="G86" i="70"/>
  <c r="F86" i="70"/>
  <c r="E86" i="70"/>
  <c r="D86" i="70"/>
  <c r="AE86" i="70" s="1"/>
  <c r="H85" i="70"/>
  <c r="AI85" i="70" s="1"/>
  <c r="G85" i="70"/>
  <c r="F85" i="70"/>
  <c r="E85" i="70"/>
  <c r="D85" i="70"/>
  <c r="AE85" i="70" s="1"/>
  <c r="H84" i="70"/>
  <c r="AI84" i="70" s="1"/>
  <c r="G84" i="70"/>
  <c r="F84" i="70"/>
  <c r="E84" i="70"/>
  <c r="D84" i="70"/>
  <c r="AE84" i="70" s="1"/>
  <c r="H83" i="70"/>
  <c r="AI83" i="70" s="1"/>
  <c r="G83" i="70"/>
  <c r="F83" i="70"/>
  <c r="E83" i="70"/>
  <c r="D83" i="70"/>
  <c r="AE83" i="70" s="1"/>
  <c r="H82" i="70"/>
  <c r="AI82" i="70" s="1"/>
  <c r="G82" i="70"/>
  <c r="F82" i="70"/>
  <c r="E82" i="70"/>
  <c r="D82" i="70"/>
  <c r="AE82" i="70" s="1"/>
  <c r="H81" i="70"/>
  <c r="AI81" i="70" s="1"/>
  <c r="AK81" i="70" s="1"/>
  <c r="G81" i="70"/>
  <c r="F81" i="70"/>
  <c r="E81" i="70"/>
  <c r="D81" i="70"/>
  <c r="AE81" i="70" s="1"/>
  <c r="AI80" i="70"/>
  <c r="AK80" i="70" s="1"/>
  <c r="AE80" i="70"/>
  <c r="H79" i="70"/>
  <c r="AI79" i="70" s="1"/>
  <c r="F79" i="70"/>
  <c r="E79" i="70"/>
  <c r="D79" i="70"/>
  <c r="AE79" i="70" s="1"/>
  <c r="AD99" i="70"/>
  <c r="AC99" i="70"/>
  <c r="AB99" i="70"/>
  <c r="AA99" i="70"/>
  <c r="Z99" i="70"/>
  <c r="AD97" i="70"/>
  <c r="AK97" i="70" s="1"/>
  <c r="AC97" i="70"/>
  <c r="AB97" i="70"/>
  <c r="AA97" i="70"/>
  <c r="Z97" i="70"/>
  <c r="AD95" i="70"/>
  <c r="AC95" i="70"/>
  <c r="AB95" i="70"/>
  <c r="AA95" i="70"/>
  <c r="Z95" i="70"/>
  <c r="AD94" i="70"/>
  <c r="AK94" i="70" s="1"/>
  <c r="AC94" i="70"/>
  <c r="AB94" i="70"/>
  <c r="AA94" i="70"/>
  <c r="Z94" i="70"/>
  <c r="AD93" i="70"/>
  <c r="AC93" i="70"/>
  <c r="AB93" i="70"/>
  <c r="AA93" i="70"/>
  <c r="Z93" i="70"/>
  <c r="AD92" i="70"/>
  <c r="AC92" i="70"/>
  <c r="AA92" i="70"/>
  <c r="Z92" i="70"/>
  <c r="AD91" i="70"/>
  <c r="AK91" i="70" s="1"/>
  <c r="AC91" i="70"/>
  <c r="AB91" i="70"/>
  <c r="AA91" i="70"/>
  <c r="Z91" i="70"/>
  <c r="AD90" i="70"/>
  <c r="AC90" i="70"/>
  <c r="AB90" i="70"/>
  <c r="AA90" i="70"/>
  <c r="Z90" i="70"/>
  <c r="AD89" i="70"/>
  <c r="AK89" i="70" s="1"/>
  <c r="AC89" i="70"/>
  <c r="AB89" i="70"/>
  <c r="AA89" i="70"/>
  <c r="Z89" i="70"/>
  <c r="AD88" i="70"/>
  <c r="AC88" i="70"/>
  <c r="AB88" i="70"/>
  <c r="AA88" i="70"/>
  <c r="Z88" i="70"/>
  <c r="AD87" i="70"/>
  <c r="AC87" i="70"/>
  <c r="AB87" i="70"/>
  <c r="AA87" i="70"/>
  <c r="Z87" i="70"/>
  <c r="AD86" i="70"/>
  <c r="AC86" i="70"/>
  <c r="AB86" i="70"/>
  <c r="AA86" i="70"/>
  <c r="Z86" i="70"/>
  <c r="AD85" i="70"/>
  <c r="AK85" i="70" s="1"/>
  <c r="AC85" i="70"/>
  <c r="AB85" i="70"/>
  <c r="AA85" i="70"/>
  <c r="Z85" i="70"/>
  <c r="AD84" i="70"/>
  <c r="AK84" i="70" s="1"/>
  <c r="AC84" i="70"/>
  <c r="AB84" i="70"/>
  <c r="AA84" i="70"/>
  <c r="Z84" i="70"/>
  <c r="AD83" i="70"/>
  <c r="AK83" i="70" s="1"/>
  <c r="AC83" i="70"/>
  <c r="AB83" i="70"/>
  <c r="AA83" i="70"/>
  <c r="Z83" i="70"/>
  <c r="AD82" i="70"/>
  <c r="AC82" i="70"/>
  <c r="AB82" i="70"/>
  <c r="AA82" i="70"/>
  <c r="Z82" i="70"/>
  <c r="AC81" i="70"/>
  <c r="AB81" i="70"/>
  <c r="AA81" i="70"/>
  <c r="Z81" i="70"/>
  <c r="AD79" i="70"/>
  <c r="AK79" i="70" s="1"/>
  <c r="AC79" i="70"/>
  <c r="AB79" i="70"/>
  <c r="AA79" i="70"/>
  <c r="R77" i="76" l="1"/>
  <c r="D77" i="76"/>
  <c r="B59" i="92" s="1"/>
  <c r="F77" i="76"/>
  <c r="D59" i="92" s="1"/>
  <c r="O77" i="76"/>
  <c r="K77" i="76"/>
  <c r="S77" i="76"/>
  <c r="Q59" i="92" s="1"/>
  <c r="G77" i="76"/>
  <c r="E59" i="92" s="1"/>
  <c r="Q77" i="76"/>
  <c r="O59" i="92" s="1"/>
  <c r="M77" i="76"/>
  <c r="T77" i="76"/>
  <c r="R59" i="92" s="1"/>
  <c r="V77" i="76"/>
  <c r="U77" i="76"/>
  <c r="S59" i="92" s="1"/>
  <c r="N77" i="76"/>
  <c r="I77" i="76"/>
  <c r="H77" i="76"/>
  <c r="P77" i="76"/>
  <c r="N59" i="92" s="1"/>
  <c r="X77" i="76"/>
  <c r="L77" i="76"/>
  <c r="J59" i="92" s="1"/>
  <c r="J77" i="76"/>
  <c r="E77" i="76"/>
  <c r="C59" i="92" s="1"/>
  <c r="AF28" i="70"/>
  <c r="AF21" i="70"/>
  <c r="AF16" i="70"/>
  <c r="AF27" i="70"/>
  <c r="AF23" i="70"/>
  <c r="AF25" i="70"/>
  <c r="AF19" i="70"/>
  <c r="AF17" i="70"/>
  <c r="AF12" i="70"/>
  <c r="AF18" i="70"/>
  <c r="AF15" i="70"/>
  <c r="AF14" i="70"/>
  <c r="AF13" i="70"/>
  <c r="AF22" i="70"/>
  <c r="AF29" i="70"/>
  <c r="AF26" i="70"/>
  <c r="AF24" i="70"/>
  <c r="AF20" i="70"/>
  <c r="AK86" i="70"/>
  <c r="AK82" i="70"/>
  <c r="AK90" i="70"/>
  <c r="AK95" i="70"/>
  <c r="AK87" i="70"/>
  <c r="AK92" i="70"/>
  <c r="AK88" i="70"/>
  <c r="AK93" i="70"/>
  <c r="AD242" i="83"/>
  <c r="AD250" i="83"/>
  <c r="AD254" i="83"/>
  <c r="AN31" i="70"/>
  <c r="AD247" i="83"/>
  <c r="AD258" i="83"/>
  <c r="AD241" i="83"/>
  <c r="AD246" i="83"/>
  <c r="AD257" i="83"/>
  <c r="AD249" i="83"/>
  <c r="AD261" i="83"/>
  <c r="AD243" i="83"/>
  <c r="AD251" i="83"/>
  <c r="AD255" i="83"/>
  <c r="AD248" i="83"/>
  <c r="AD259" i="83"/>
  <c r="AD244" i="83"/>
  <c r="AD252" i="83"/>
  <c r="AD245" i="83"/>
  <c r="AD253" i="83"/>
  <c r="AD256" i="83"/>
  <c r="AO31" i="70"/>
  <c r="AP31" i="70"/>
  <c r="AQ31" i="70"/>
  <c r="Q57" i="92"/>
  <c r="F143" i="70"/>
  <c r="F145" i="70"/>
  <c r="F147" i="70"/>
  <c r="F149" i="70"/>
  <c r="F151" i="70"/>
  <c r="F153" i="70"/>
  <c r="F155" i="70"/>
  <c r="G157" i="70"/>
  <c r="G160" i="70"/>
  <c r="G162" i="70"/>
  <c r="E142" i="70"/>
  <c r="E148" i="70"/>
  <c r="E150" i="70"/>
  <c r="E156" i="70"/>
  <c r="F158" i="70"/>
  <c r="G143" i="70"/>
  <c r="G145" i="70"/>
  <c r="G147" i="70"/>
  <c r="G149" i="70"/>
  <c r="G151" i="70"/>
  <c r="G153" i="70"/>
  <c r="G155" i="70"/>
  <c r="D158" i="70"/>
  <c r="D159" i="70"/>
  <c r="D161" i="70"/>
  <c r="D164" i="70"/>
  <c r="D144" i="70"/>
  <c r="D146" i="70"/>
  <c r="D148" i="70"/>
  <c r="D150" i="70"/>
  <c r="D152" i="70"/>
  <c r="D154" i="70"/>
  <c r="D156" i="70"/>
  <c r="E158" i="70"/>
  <c r="E159" i="70"/>
  <c r="E161" i="70"/>
  <c r="E164" i="70"/>
  <c r="E144" i="70"/>
  <c r="E146" i="70"/>
  <c r="E152" i="70"/>
  <c r="E154" i="70"/>
  <c r="F159" i="70"/>
  <c r="F161" i="70"/>
  <c r="F164" i="70"/>
  <c r="F142" i="70"/>
  <c r="F144" i="70"/>
  <c r="F146" i="70"/>
  <c r="F148" i="70"/>
  <c r="F150" i="70"/>
  <c r="F152" i="70"/>
  <c r="F154" i="70"/>
  <c r="G156" i="70"/>
  <c r="G158" i="70"/>
  <c r="G159" i="70"/>
  <c r="G161" i="70"/>
  <c r="G164" i="70"/>
  <c r="G142" i="70"/>
  <c r="G144" i="70"/>
  <c r="G146" i="70"/>
  <c r="G148" i="70"/>
  <c r="G150" i="70"/>
  <c r="G152" i="70"/>
  <c r="G154" i="70"/>
  <c r="D157" i="70"/>
  <c r="D160" i="70"/>
  <c r="D162" i="70"/>
  <c r="D143" i="70"/>
  <c r="D145" i="70"/>
  <c r="D147" i="70"/>
  <c r="D149" i="70"/>
  <c r="D151" i="70"/>
  <c r="D153" i="70"/>
  <c r="D155" i="70"/>
  <c r="E157" i="70"/>
  <c r="E160" i="70"/>
  <c r="E162" i="70"/>
  <c r="E143" i="70"/>
  <c r="E145" i="70"/>
  <c r="E147" i="70"/>
  <c r="E149" i="70"/>
  <c r="E151" i="70"/>
  <c r="E153" i="70"/>
  <c r="E155" i="70"/>
  <c r="F157" i="70"/>
  <c r="F160" i="70"/>
  <c r="F162" i="70"/>
  <c r="D142" i="70"/>
  <c r="AF11" i="70"/>
  <c r="X81" i="70"/>
  <c r="X85" i="70"/>
  <c r="X89" i="70"/>
  <c r="X92" i="70"/>
  <c r="X94" i="70"/>
  <c r="X82" i="70"/>
  <c r="X86" i="70"/>
  <c r="X90" i="70"/>
  <c r="X93" i="70"/>
  <c r="X95" i="70"/>
  <c r="X83" i="70"/>
  <c r="X91" i="70"/>
  <c r="Y91" i="70"/>
  <c r="X96" i="70"/>
  <c r="X80" i="70"/>
  <c r="X84" i="70"/>
  <c r="X88" i="70"/>
  <c r="X97" i="70"/>
  <c r="X79" i="70"/>
  <c r="X87" i="70"/>
  <c r="X30" i="70"/>
  <c r="H57" i="92"/>
  <c r="D57" i="92"/>
  <c r="L57" i="92"/>
  <c r="O57" i="92"/>
  <c r="D177" i="70"/>
  <c r="J57" i="92"/>
  <c r="F57" i="92"/>
  <c r="N57" i="92"/>
  <c r="S57" i="92"/>
  <c r="AH79" i="70"/>
  <c r="AG80" i="70"/>
  <c r="AF81" i="70"/>
  <c r="AH83" i="70"/>
  <c r="AG84" i="70"/>
  <c r="AF85" i="70"/>
  <c r="AH87" i="70"/>
  <c r="AG88" i="70"/>
  <c r="AF89" i="70"/>
  <c r="AH91" i="70"/>
  <c r="AF92" i="70"/>
  <c r="AF94" i="70"/>
  <c r="AH96" i="70"/>
  <c r="AG97" i="70"/>
  <c r="E57" i="92"/>
  <c r="I57" i="92"/>
  <c r="M57" i="92"/>
  <c r="P57" i="92"/>
  <c r="R57" i="92"/>
  <c r="AH80" i="70"/>
  <c r="AG81" i="70"/>
  <c r="AF82" i="70"/>
  <c r="AH84" i="70"/>
  <c r="AG85" i="70"/>
  <c r="AF86" i="70"/>
  <c r="AH88" i="70"/>
  <c r="AG89" i="70"/>
  <c r="AF90" i="70"/>
  <c r="AF93" i="70"/>
  <c r="AG94" i="70"/>
  <c r="AF95" i="70"/>
  <c r="AH97" i="70"/>
  <c r="AF79" i="70"/>
  <c r="AH81" i="70"/>
  <c r="AG82" i="70"/>
  <c r="AF83" i="70"/>
  <c r="AH85" i="70"/>
  <c r="AG86" i="70"/>
  <c r="AF87" i="70"/>
  <c r="AH89" i="70"/>
  <c r="AG90" i="70"/>
  <c r="AF91" i="70"/>
  <c r="AH92" i="70"/>
  <c r="AG93" i="70"/>
  <c r="AH94" i="70"/>
  <c r="AG95" i="70"/>
  <c r="AF96" i="70"/>
  <c r="C57" i="92"/>
  <c r="G57" i="92"/>
  <c r="K57" i="92"/>
  <c r="T57" i="92"/>
  <c r="AG79" i="70"/>
  <c r="AF80" i="70"/>
  <c r="AH82" i="70"/>
  <c r="AG83" i="70"/>
  <c r="AF84" i="70"/>
  <c r="AH86" i="70"/>
  <c r="AG87" i="70"/>
  <c r="AF88" i="70"/>
  <c r="AH90" i="70"/>
  <c r="AG91" i="70"/>
  <c r="AH93" i="70"/>
  <c r="AH95" i="70"/>
  <c r="AG96" i="70"/>
  <c r="AF97" i="70"/>
  <c r="AR20" i="70"/>
  <c r="I20" i="70" s="1"/>
  <c r="AR25" i="70"/>
  <c r="I25" i="70" s="1"/>
  <c r="AR12" i="70"/>
  <c r="I12" i="70" s="1"/>
  <c r="AR15" i="70"/>
  <c r="I15" i="70" s="1"/>
  <c r="AR22" i="70"/>
  <c r="I22" i="70" s="1"/>
  <c r="AR18" i="70"/>
  <c r="I18" i="70" s="1"/>
  <c r="P31" i="70"/>
  <c r="P29" i="70"/>
  <c r="P13" i="70"/>
  <c r="P22" i="70"/>
  <c r="P27" i="70"/>
  <c r="P11" i="70"/>
  <c r="AR27" i="70"/>
  <c r="I27" i="70" s="1"/>
  <c r="AR16" i="70"/>
  <c r="I16" i="70" s="1"/>
  <c r="P18" i="70"/>
  <c r="P19" i="70"/>
  <c r="AR14" i="70"/>
  <c r="I14" i="70" s="1"/>
  <c r="P14" i="70"/>
  <c r="P28" i="70"/>
  <c r="P15" i="70"/>
  <c r="P21" i="70"/>
  <c r="P16" i="70"/>
  <c r="AR28" i="70"/>
  <c r="I28" i="70" s="1"/>
  <c r="P25" i="70"/>
  <c r="P23" i="70"/>
  <c r="P26" i="70"/>
  <c r="P24" i="70"/>
  <c r="P17" i="70"/>
  <c r="P20" i="70"/>
  <c r="P12" i="70"/>
  <c r="AR23" i="70"/>
  <c r="I23" i="70" s="1"/>
  <c r="AR11" i="70"/>
  <c r="I11" i="70" s="1"/>
  <c r="AR29" i="70"/>
  <c r="I29" i="70" s="1"/>
  <c r="AR19" i="70"/>
  <c r="I19" i="70" s="1"/>
  <c r="AR21" i="70"/>
  <c r="I21" i="70" s="1"/>
  <c r="AR17" i="70"/>
  <c r="I17" i="70" s="1"/>
  <c r="AR13" i="70"/>
  <c r="I13" i="70" s="1"/>
  <c r="AR26" i="70"/>
  <c r="I26" i="70" s="1"/>
  <c r="AD30" i="70"/>
  <c r="AC30" i="70"/>
  <c r="AA30" i="70"/>
  <c r="Z30" i="70"/>
  <c r="K30" i="70" s="1"/>
  <c r="H177" i="70"/>
  <c r="E180" i="70"/>
  <c r="E177" i="70"/>
  <c r="D178" i="70"/>
  <c r="H178" i="70"/>
  <c r="F180" i="70"/>
  <c r="E181" i="70"/>
  <c r="D182" i="70"/>
  <c r="H182" i="70"/>
  <c r="G183" i="70"/>
  <c r="F184" i="70"/>
  <c r="E185" i="70"/>
  <c r="D186" i="70"/>
  <c r="H186" i="70"/>
  <c r="G187" i="70"/>
  <c r="F188" i="70"/>
  <c r="E189" i="70"/>
  <c r="G190" i="70"/>
  <c r="F191" i="70"/>
  <c r="G192" i="70"/>
  <c r="F193" i="70"/>
  <c r="E194" i="70"/>
  <c r="D195" i="70"/>
  <c r="H195" i="70"/>
  <c r="G197" i="70"/>
  <c r="F177" i="70"/>
  <c r="E178" i="70"/>
  <c r="D179" i="70"/>
  <c r="H179" i="70"/>
  <c r="G180" i="70"/>
  <c r="F181" i="70"/>
  <c r="E182" i="70"/>
  <c r="D183" i="70"/>
  <c r="H183" i="70"/>
  <c r="G184" i="70"/>
  <c r="F185" i="70"/>
  <c r="E186" i="70"/>
  <c r="D187" i="70"/>
  <c r="H187" i="70"/>
  <c r="G188" i="70"/>
  <c r="F189" i="70"/>
  <c r="D190" i="70"/>
  <c r="H190" i="70"/>
  <c r="G191" i="70"/>
  <c r="D192" i="70"/>
  <c r="H192" i="70"/>
  <c r="G193" i="70"/>
  <c r="F194" i="70"/>
  <c r="E195" i="70"/>
  <c r="D197" i="70"/>
  <c r="H197" i="70"/>
  <c r="G178" i="70"/>
  <c r="F179" i="70"/>
  <c r="G179" i="70"/>
  <c r="G177" i="70"/>
  <c r="F178" i="70"/>
  <c r="E179" i="70"/>
  <c r="D180" i="70"/>
  <c r="H180" i="70"/>
  <c r="G181" i="70"/>
  <c r="F182" i="70"/>
  <c r="E183" i="70"/>
  <c r="D184" i="70"/>
  <c r="H184" i="70"/>
  <c r="G185" i="70"/>
  <c r="F186" i="70"/>
  <c r="E187" i="70"/>
  <c r="D188" i="70"/>
  <c r="H188" i="70"/>
  <c r="G189" i="70"/>
  <c r="E190" i="70"/>
  <c r="D191" i="70"/>
  <c r="H191" i="70"/>
  <c r="E192" i="70"/>
  <c r="D193" i="70"/>
  <c r="H193" i="70"/>
  <c r="G194" i="70"/>
  <c r="F195" i="70"/>
  <c r="E197" i="70"/>
  <c r="D181" i="70"/>
  <c r="H181" i="70"/>
  <c r="G182" i="70"/>
  <c r="F183" i="70"/>
  <c r="E184" i="70"/>
  <c r="D185" i="70"/>
  <c r="H185" i="70"/>
  <c r="G186" i="70"/>
  <c r="F187" i="70"/>
  <c r="E188" i="70"/>
  <c r="D189" i="70"/>
  <c r="H189" i="70"/>
  <c r="E191" i="70"/>
  <c r="F192" i="70"/>
  <c r="E193" i="70"/>
  <c r="D194" i="70"/>
  <c r="H194" i="70"/>
  <c r="G195" i="70"/>
  <c r="F197" i="70"/>
  <c r="J56" i="92" l="1"/>
  <c r="F56" i="92"/>
  <c r="F59" i="92"/>
  <c r="G56" i="92"/>
  <c r="G59" i="92"/>
  <c r="L56" i="92"/>
  <c r="L59" i="92"/>
  <c r="I56" i="92"/>
  <c r="I59" i="92"/>
  <c r="M56" i="92"/>
  <c r="M59" i="92"/>
  <c r="H56" i="92"/>
  <c r="H59" i="92"/>
  <c r="T56" i="92"/>
  <c r="T59" i="92"/>
  <c r="K56" i="92"/>
  <c r="K59" i="92"/>
  <c r="P56" i="92"/>
  <c r="P59" i="92"/>
  <c r="AR96" i="70"/>
  <c r="R96" i="70" s="1"/>
  <c r="B56" i="92"/>
  <c r="E56" i="92"/>
  <c r="R56" i="92"/>
  <c r="Q56" i="92"/>
  <c r="O56" i="92"/>
  <c r="D56" i="92"/>
  <c r="C56" i="92"/>
  <c r="N56" i="92"/>
  <c r="S56" i="92"/>
  <c r="AL94" i="70"/>
  <c r="Q94" i="70" s="1"/>
  <c r="AL91" i="70"/>
  <c r="Q91" i="70" s="1"/>
  <c r="AL84" i="70"/>
  <c r="Q84" i="70" s="1"/>
  <c r="AL97" i="70"/>
  <c r="Q97" i="70" s="1"/>
  <c r="AL88" i="70"/>
  <c r="Q88" i="70" s="1"/>
  <c r="AL86" i="70"/>
  <c r="Q86" i="70" s="1"/>
  <c r="AL92" i="70"/>
  <c r="Q92" i="70" s="1"/>
  <c r="AL96" i="70"/>
  <c r="Q96" i="70" s="1"/>
  <c r="AL95" i="70"/>
  <c r="Q95" i="70" s="1"/>
  <c r="AL79" i="70"/>
  <c r="Q79" i="70" s="1"/>
  <c r="AL90" i="70"/>
  <c r="Q90" i="70" s="1"/>
  <c r="AL85" i="70"/>
  <c r="Q85" i="70" s="1"/>
  <c r="AL89" i="70"/>
  <c r="Q89" i="70" s="1"/>
  <c r="AL93" i="70"/>
  <c r="Q93" i="70" s="1"/>
  <c r="AL87" i="70"/>
  <c r="Q87" i="70" s="1"/>
  <c r="AR31" i="70"/>
  <c r="I31" i="70" s="1"/>
  <c r="AS126" i="70"/>
  <c r="AG29" i="70"/>
  <c r="AG20" i="70"/>
  <c r="AG13" i="70"/>
  <c r="AR116" i="70"/>
  <c r="AR114" i="70"/>
  <c r="AR115" i="70"/>
  <c r="AR122" i="70"/>
  <c r="AO127" i="70"/>
  <c r="AR120" i="70"/>
  <c r="AR109" i="70"/>
  <c r="AR126" i="70"/>
  <c r="AR112" i="70"/>
  <c r="AR127" i="70"/>
  <c r="AR123" i="70"/>
  <c r="AR110" i="70"/>
  <c r="AR111" i="70"/>
  <c r="AR121" i="70"/>
  <c r="AR108" i="70"/>
  <c r="AR106" i="70"/>
  <c r="AQ127" i="70"/>
  <c r="AR119" i="70"/>
  <c r="AR118" i="70"/>
  <c r="AP127" i="70"/>
  <c r="AR124" i="70"/>
  <c r="AR107" i="70"/>
  <c r="AR113" i="70"/>
  <c r="AR117" i="70"/>
  <c r="AS117" i="70"/>
  <c r="AS113" i="70"/>
  <c r="AS124" i="70"/>
  <c r="AS111" i="70"/>
  <c r="AS122" i="70"/>
  <c r="AS109" i="70"/>
  <c r="AS118" i="70"/>
  <c r="AS108" i="70"/>
  <c r="AS121" i="70"/>
  <c r="AS112" i="70"/>
  <c r="AS115" i="70"/>
  <c r="AS123" i="70"/>
  <c r="AS116" i="70"/>
  <c r="AS107" i="70"/>
  <c r="AS120" i="70"/>
  <c r="AS110" i="70"/>
  <c r="AS114" i="70"/>
  <c r="AS119" i="70"/>
  <c r="X98" i="70"/>
  <c r="P94" i="70"/>
  <c r="P85" i="70"/>
  <c r="P89" i="70"/>
  <c r="P92" i="70"/>
  <c r="P81" i="70"/>
  <c r="P99" i="70"/>
  <c r="P97" i="70"/>
  <c r="P84" i="70"/>
  <c r="P95" i="70"/>
  <c r="P82" i="70"/>
  <c r="P83" i="70"/>
  <c r="P87" i="70"/>
  <c r="P80" i="70"/>
  <c r="P93" i="70"/>
  <c r="P90" i="70"/>
  <c r="P96" i="70"/>
  <c r="P88" i="70"/>
  <c r="P86" i="70"/>
  <c r="P91" i="70"/>
  <c r="P79" i="70"/>
  <c r="AR90" i="70"/>
  <c r="R90" i="70" s="1"/>
  <c r="AR82" i="70"/>
  <c r="R82" i="70" s="1"/>
  <c r="AR95" i="70"/>
  <c r="R95" i="70" s="1"/>
  <c r="AR84" i="70"/>
  <c r="R84" i="70" s="1"/>
  <c r="AR91" i="70"/>
  <c r="R91" i="70" s="1"/>
  <c r="AR87" i="70"/>
  <c r="R87" i="70" s="1"/>
  <c r="AR83" i="70"/>
  <c r="R83" i="70" s="1"/>
  <c r="AR79" i="70"/>
  <c r="R79" i="70" s="1"/>
  <c r="AR88" i="70"/>
  <c r="R88" i="70" s="1"/>
  <c r="AR80" i="70"/>
  <c r="R80" i="70" s="1"/>
  <c r="AR97" i="70"/>
  <c r="R97" i="70" s="1"/>
  <c r="AR93" i="70"/>
  <c r="R93" i="70" s="1"/>
  <c r="AR86" i="70"/>
  <c r="R86" i="70" s="1"/>
  <c r="AR94" i="70"/>
  <c r="R94" i="70" s="1"/>
  <c r="AR89" i="70"/>
  <c r="R89" i="70" s="1"/>
  <c r="AR85" i="70"/>
  <c r="R85" i="70" s="1"/>
  <c r="AR81" i="70"/>
  <c r="R81" i="70" s="1"/>
  <c r="AG12" i="70"/>
  <c r="AG25" i="70"/>
  <c r="AG14" i="70"/>
  <c r="AG15" i="70"/>
  <c r="AG27" i="70"/>
  <c r="AG24" i="70"/>
  <c r="AG28" i="70"/>
  <c r="AG18" i="70"/>
  <c r="AG26" i="70"/>
  <c r="AG16" i="70"/>
  <c r="AG11" i="70"/>
  <c r="Q11" i="70" s="1"/>
  <c r="D108" i="76" s="1"/>
  <c r="AG17" i="70"/>
  <c r="AG19" i="70"/>
  <c r="AG23" i="70"/>
  <c r="AG21" i="70"/>
  <c r="AG22" i="70"/>
  <c r="AC293" i="69"/>
  <c r="H295" i="69" s="1"/>
  <c r="H294" i="69"/>
  <c r="AC291" i="69"/>
  <c r="H293" i="69" s="1"/>
  <c r="H292" i="69"/>
  <c r="AC289" i="69"/>
  <c r="H291" i="69" s="1"/>
  <c r="AC288" i="69"/>
  <c r="H290" i="69" s="1"/>
  <c r="AC287" i="69"/>
  <c r="H289" i="69" s="1"/>
  <c r="AC286" i="69"/>
  <c r="H288" i="69" s="1"/>
  <c r="AC285" i="69"/>
  <c r="H287" i="69" s="1"/>
  <c r="AC284" i="69"/>
  <c r="H286" i="69" s="1"/>
  <c r="AC283" i="69"/>
  <c r="H285" i="69" s="1"/>
  <c r="AC282" i="69"/>
  <c r="H284" i="69" s="1"/>
  <c r="AC281" i="69"/>
  <c r="H283" i="69" s="1"/>
  <c r="AC280" i="69"/>
  <c r="H282" i="69" s="1"/>
  <c r="AC279" i="69"/>
  <c r="H281" i="69" s="1"/>
  <c r="AC278" i="69"/>
  <c r="H280" i="69" s="1"/>
  <c r="AC277" i="69"/>
  <c r="H279" i="69" s="1"/>
  <c r="AC276" i="69"/>
  <c r="H278" i="69" s="1"/>
  <c r="AC275" i="69"/>
  <c r="H277" i="69" s="1"/>
  <c r="H276" i="69"/>
  <c r="AC273" i="69"/>
  <c r="H275" i="69" s="1"/>
  <c r="AB293" i="69"/>
  <c r="G295" i="69" s="1"/>
  <c r="G294" i="69"/>
  <c r="AB291" i="69"/>
  <c r="G293" i="69" s="1"/>
  <c r="G292" i="69"/>
  <c r="AB289" i="69"/>
  <c r="G291" i="69" s="1"/>
  <c r="AB288" i="69"/>
  <c r="G290" i="69" s="1"/>
  <c r="AB287" i="69"/>
  <c r="G289" i="69" s="1"/>
  <c r="AB286" i="69"/>
  <c r="G288" i="69" s="1"/>
  <c r="AB285" i="69"/>
  <c r="G287" i="69" s="1"/>
  <c r="AB284" i="69"/>
  <c r="G286" i="69" s="1"/>
  <c r="AB283" i="69"/>
  <c r="G285" i="69" s="1"/>
  <c r="AB282" i="69"/>
  <c r="G284" i="69" s="1"/>
  <c r="AB281" i="69"/>
  <c r="G283" i="69" s="1"/>
  <c r="AB280" i="69"/>
  <c r="G282" i="69" s="1"/>
  <c r="AB279" i="69"/>
  <c r="G281" i="69" s="1"/>
  <c r="AB278" i="69"/>
  <c r="G280" i="69" s="1"/>
  <c r="AB277" i="69"/>
  <c r="G279" i="69" s="1"/>
  <c r="AB276" i="69"/>
  <c r="G278" i="69" s="1"/>
  <c r="AB275" i="69"/>
  <c r="G277" i="69" s="1"/>
  <c r="G276" i="69"/>
  <c r="AB273" i="69"/>
  <c r="G275" i="69" s="1"/>
  <c r="AA293" i="69"/>
  <c r="F295" i="69" s="1"/>
  <c r="F294" i="69"/>
  <c r="AA291" i="69"/>
  <c r="F293" i="69" s="1"/>
  <c r="F292" i="69"/>
  <c r="AA289" i="69"/>
  <c r="F291" i="69" s="1"/>
  <c r="AA288" i="69"/>
  <c r="F290" i="69" s="1"/>
  <c r="AA287" i="69"/>
  <c r="F289" i="69" s="1"/>
  <c r="AA286" i="69"/>
  <c r="F288" i="69" s="1"/>
  <c r="AA285" i="69"/>
  <c r="F287" i="69" s="1"/>
  <c r="AA284" i="69"/>
  <c r="F286" i="69" s="1"/>
  <c r="AA283" i="69"/>
  <c r="F285" i="69" s="1"/>
  <c r="AA282" i="69"/>
  <c r="F284" i="69" s="1"/>
  <c r="AA281" i="69"/>
  <c r="F283" i="69" s="1"/>
  <c r="AA280" i="69"/>
  <c r="F282" i="69" s="1"/>
  <c r="AA279" i="69"/>
  <c r="F281" i="69" s="1"/>
  <c r="AA278" i="69"/>
  <c r="F280" i="69" s="1"/>
  <c r="AA277" i="69"/>
  <c r="F279" i="69" s="1"/>
  <c r="AA276" i="69"/>
  <c r="F278" i="69" s="1"/>
  <c r="AA275" i="69"/>
  <c r="F277" i="69" s="1"/>
  <c r="F276" i="69"/>
  <c r="AA273" i="69"/>
  <c r="F275" i="69" s="1"/>
  <c r="Z293" i="69"/>
  <c r="E295" i="69" s="1"/>
  <c r="E294" i="69"/>
  <c r="Z291" i="69"/>
  <c r="E293" i="69" s="1"/>
  <c r="E292" i="69"/>
  <c r="Z289" i="69"/>
  <c r="E291" i="69" s="1"/>
  <c r="Z288" i="69"/>
  <c r="E290" i="69" s="1"/>
  <c r="Z287" i="69"/>
  <c r="E289" i="69" s="1"/>
  <c r="Z286" i="69"/>
  <c r="E288" i="69" s="1"/>
  <c r="Z285" i="69"/>
  <c r="E287" i="69" s="1"/>
  <c r="Z284" i="69"/>
  <c r="E286" i="69" s="1"/>
  <c r="Z283" i="69"/>
  <c r="E285" i="69" s="1"/>
  <c r="Z282" i="69"/>
  <c r="E284" i="69" s="1"/>
  <c r="Z281" i="69"/>
  <c r="E283" i="69" s="1"/>
  <c r="Z280" i="69"/>
  <c r="E282" i="69" s="1"/>
  <c r="Z279" i="69"/>
  <c r="E281" i="69" s="1"/>
  <c r="Z278" i="69"/>
  <c r="E280" i="69" s="1"/>
  <c r="Z277" i="69"/>
  <c r="E279" i="69" s="1"/>
  <c r="Z276" i="69"/>
  <c r="E278" i="69" s="1"/>
  <c r="Z275" i="69"/>
  <c r="E277" i="69" s="1"/>
  <c r="E276" i="69"/>
  <c r="Z273" i="69"/>
  <c r="E275" i="69" s="1"/>
  <c r="D294" i="69"/>
  <c r="Y291" i="69"/>
  <c r="D293" i="69" s="1"/>
  <c r="D292" i="69"/>
  <c r="Y289" i="69"/>
  <c r="D291" i="69" s="1"/>
  <c r="Y288" i="69"/>
  <c r="D290" i="69" s="1"/>
  <c r="Y287" i="69"/>
  <c r="D289" i="69" s="1"/>
  <c r="Y286" i="69"/>
  <c r="D288" i="69" s="1"/>
  <c r="Y285" i="69"/>
  <c r="D287" i="69" s="1"/>
  <c r="Y284" i="69"/>
  <c r="D286" i="69" s="1"/>
  <c r="Y283" i="69"/>
  <c r="D285" i="69" s="1"/>
  <c r="Y282" i="69"/>
  <c r="D284" i="69" s="1"/>
  <c r="Y281" i="69"/>
  <c r="D283" i="69" s="1"/>
  <c r="Y280" i="69"/>
  <c r="D282" i="69" s="1"/>
  <c r="Y279" i="69"/>
  <c r="D281" i="69" s="1"/>
  <c r="Y278" i="69"/>
  <c r="D280" i="69" s="1"/>
  <c r="Y277" i="69"/>
  <c r="D279" i="69" s="1"/>
  <c r="Y276" i="69"/>
  <c r="D278" i="69" s="1"/>
  <c r="Y275" i="69"/>
  <c r="D277" i="69" s="1"/>
  <c r="D276" i="69"/>
  <c r="Y273" i="69"/>
  <c r="W59" i="92" l="1" a="1"/>
  <c r="W59" i="92" s="1"/>
  <c r="Z39" i="85" s="1"/>
  <c r="V59" i="92" a="1"/>
  <c r="V59" i="92" s="1"/>
  <c r="Y39" i="85" s="1"/>
  <c r="X59" i="92" a="1"/>
  <c r="X59" i="92" s="1"/>
  <c r="AC38" i="85" s="1"/>
  <c r="AC39" i="85" s="1"/>
  <c r="B57" i="92"/>
  <c r="V56" i="92" a="1"/>
  <c r="V56" i="92" s="1"/>
  <c r="X39" i="70" s="1"/>
  <c r="X56" i="92" a="1"/>
  <c r="X56" i="92" s="1"/>
  <c r="AB38" i="70" s="1"/>
  <c r="W56" i="92" a="1"/>
  <c r="W56" i="92" s="1"/>
  <c r="Y39" i="70" s="1"/>
  <c r="AL81" i="70"/>
  <c r="Q81" i="70" s="1"/>
  <c r="AL83" i="70"/>
  <c r="Q83" i="70" s="1"/>
  <c r="AL82" i="70"/>
  <c r="Q82" i="70" s="1"/>
  <c r="AL80" i="70"/>
  <c r="Q80" i="70" s="1"/>
  <c r="AR125" i="70"/>
  <c r="D275" i="69"/>
  <c r="AE273" i="69"/>
  <c r="AC261" i="69"/>
  <c r="H263" i="69" s="1"/>
  <c r="AB261" i="69"/>
  <c r="G263" i="69" s="1"/>
  <c r="AA261" i="69"/>
  <c r="F263" i="69" s="1"/>
  <c r="Z261" i="69"/>
  <c r="E263" i="69" s="1"/>
  <c r="Y261" i="69"/>
  <c r="D263" i="69" s="1"/>
  <c r="AC259" i="69"/>
  <c r="AB259" i="69"/>
  <c r="AA259" i="69"/>
  <c r="Z259" i="69"/>
  <c r="Y259" i="69"/>
  <c r="AC257" i="69"/>
  <c r="AB257" i="69"/>
  <c r="AA257" i="69"/>
  <c r="Z257" i="69"/>
  <c r="Y257" i="69"/>
  <c r="AC256" i="69"/>
  <c r="AB256" i="69"/>
  <c r="AA256" i="69"/>
  <c r="Z256" i="69"/>
  <c r="Y256" i="69"/>
  <c r="AC255" i="69"/>
  <c r="AB255" i="69"/>
  <c r="AA255" i="69"/>
  <c r="Z255" i="69"/>
  <c r="Y255" i="69"/>
  <c r="AC254" i="69"/>
  <c r="AB254" i="69"/>
  <c r="Z254" i="69"/>
  <c r="Y254" i="69"/>
  <c r="AC253" i="69"/>
  <c r="AB253" i="69"/>
  <c r="AA253" i="69"/>
  <c r="Z253" i="69"/>
  <c r="Y253" i="69"/>
  <c r="AC252" i="69"/>
  <c r="AB252" i="69"/>
  <c r="AA252" i="69"/>
  <c r="Z252" i="69"/>
  <c r="Y252" i="69"/>
  <c r="AC251" i="69"/>
  <c r="AB251" i="69"/>
  <c r="AA251" i="69"/>
  <c r="Z251" i="69"/>
  <c r="Y251" i="69"/>
  <c r="AC250" i="69"/>
  <c r="AB250" i="69"/>
  <c r="AA250" i="69"/>
  <c r="Z250" i="69"/>
  <c r="Y250" i="69"/>
  <c r="AC249" i="69"/>
  <c r="AB249" i="69"/>
  <c r="AA249" i="69"/>
  <c r="Z249" i="69"/>
  <c r="Y249" i="69"/>
  <c r="AC248" i="69"/>
  <c r="AB248" i="69"/>
  <c r="AA248" i="69"/>
  <c r="Z248" i="69"/>
  <c r="Y248" i="69"/>
  <c r="AC247" i="69"/>
  <c r="AB247" i="69"/>
  <c r="AA247" i="69"/>
  <c r="Z247" i="69"/>
  <c r="Y247" i="69"/>
  <c r="AC246" i="69"/>
  <c r="AB246" i="69"/>
  <c r="AA246" i="69"/>
  <c r="Z246" i="69"/>
  <c r="Y246" i="69"/>
  <c r="AC245" i="69"/>
  <c r="AB245" i="69"/>
  <c r="AA245" i="69"/>
  <c r="Z245" i="69"/>
  <c r="Y245" i="69"/>
  <c r="AC244" i="69"/>
  <c r="AB244" i="69"/>
  <c r="AA244" i="69"/>
  <c r="Z244" i="69"/>
  <c r="Y244" i="69"/>
  <c r="AC243" i="69"/>
  <c r="AB243" i="69"/>
  <c r="AA243" i="69"/>
  <c r="Z243" i="69"/>
  <c r="Y243" i="69"/>
  <c r="AC241" i="69"/>
  <c r="AB241" i="69"/>
  <c r="AA241" i="69"/>
  <c r="Z241" i="69"/>
  <c r="Y241" i="69"/>
  <c r="AH228" i="69"/>
  <c r="AG228" i="69"/>
  <c r="AF228" i="69"/>
  <c r="AE228" i="69"/>
  <c r="AH226" i="69"/>
  <c r="AG226" i="69"/>
  <c r="AF226" i="69"/>
  <c r="AE226" i="69"/>
  <c r="AH224" i="69"/>
  <c r="AG224" i="69"/>
  <c r="AF224" i="69"/>
  <c r="AE224" i="69"/>
  <c r="AH223" i="69"/>
  <c r="AG223" i="69"/>
  <c r="AF223" i="69"/>
  <c r="AE223" i="69"/>
  <c r="AI222" i="69"/>
  <c r="AH222" i="69"/>
  <c r="AG222" i="69"/>
  <c r="AF222" i="69"/>
  <c r="AE222" i="69"/>
  <c r="AH221" i="69"/>
  <c r="AG221" i="69"/>
  <c r="AF221" i="69"/>
  <c r="AE221" i="69"/>
  <c r="AH220" i="69"/>
  <c r="AF220" i="69"/>
  <c r="AE220" i="69"/>
  <c r="AI219" i="69"/>
  <c r="AH219" i="69"/>
  <c r="AG219" i="69"/>
  <c r="AF219" i="69"/>
  <c r="AE219" i="69"/>
  <c r="AH218" i="69"/>
  <c r="AG218" i="69"/>
  <c r="AF218" i="69"/>
  <c r="AE218" i="69"/>
  <c r="AH217" i="69"/>
  <c r="AG217" i="69"/>
  <c r="AF217" i="69"/>
  <c r="AE217" i="69"/>
  <c r="AH216" i="69"/>
  <c r="AG216" i="69"/>
  <c r="AF216" i="69"/>
  <c r="AE216" i="69"/>
  <c r="AH215" i="69"/>
  <c r="AG215" i="69"/>
  <c r="AF215" i="69"/>
  <c r="AE215" i="69"/>
  <c r="AH214" i="69"/>
  <c r="AG214" i="69"/>
  <c r="AF214" i="69"/>
  <c r="AE214" i="69"/>
  <c r="AH213" i="69"/>
  <c r="AG213" i="69"/>
  <c r="AF213" i="69"/>
  <c r="AE213" i="69"/>
  <c r="AH212" i="69"/>
  <c r="AG212" i="69"/>
  <c r="AF212" i="69"/>
  <c r="AE212" i="69"/>
  <c r="AI211" i="69"/>
  <c r="AH211" i="69"/>
  <c r="AG211" i="69"/>
  <c r="AF211" i="69"/>
  <c r="AE211" i="69"/>
  <c r="AI210" i="69"/>
  <c r="AH210" i="69"/>
  <c r="AG210" i="69"/>
  <c r="AF210" i="69"/>
  <c r="AE210" i="69"/>
  <c r="AI209" i="69"/>
  <c r="AH209" i="69"/>
  <c r="AG209" i="69"/>
  <c r="AF209" i="69"/>
  <c r="AE209" i="69"/>
  <c r="AI208" i="69"/>
  <c r="AH208" i="69"/>
  <c r="AG208" i="69"/>
  <c r="AF208" i="69"/>
  <c r="AE208" i="69"/>
  <c r="AI206" i="69"/>
  <c r="AH206" i="69"/>
  <c r="AG206" i="69"/>
  <c r="AF206" i="69"/>
  <c r="AE206" i="69"/>
  <c r="AB228" i="69"/>
  <c r="AA228" i="69"/>
  <c r="Z228" i="69"/>
  <c r="Y228" i="69"/>
  <c r="AB226" i="69"/>
  <c r="AA226" i="69"/>
  <c r="Z226" i="69"/>
  <c r="Y226" i="69"/>
  <c r="AB224" i="69"/>
  <c r="AA224" i="69"/>
  <c r="Z224" i="69"/>
  <c r="Y224" i="69"/>
  <c r="AB223" i="69"/>
  <c r="AA223" i="69"/>
  <c r="Z223" i="69"/>
  <c r="Y223" i="69"/>
  <c r="AC222" i="69"/>
  <c r="AB222" i="69"/>
  <c r="AA222" i="69"/>
  <c r="Z222" i="69"/>
  <c r="Y222" i="69"/>
  <c r="AB221" i="69"/>
  <c r="AA221" i="69"/>
  <c r="Z221" i="69"/>
  <c r="Y221" i="69"/>
  <c r="AB220" i="69"/>
  <c r="Z220" i="69"/>
  <c r="Y220" i="69"/>
  <c r="AC219" i="69"/>
  <c r="AB219" i="69"/>
  <c r="AA219" i="69"/>
  <c r="Z219" i="69"/>
  <c r="Y219" i="69"/>
  <c r="AB218" i="69"/>
  <c r="AA218" i="69"/>
  <c r="Z218" i="69"/>
  <c r="Y218" i="69"/>
  <c r="AB217" i="69"/>
  <c r="AA217" i="69"/>
  <c r="Z217" i="69"/>
  <c r="Y217" i="69"/>
  <c r="AB216" i="69"/>
  <c r="AA216" i="69"/>
  <c r="Z216" i="69"/>
  <c r="Y216" i="69"/>
  <c r="AB215" i="69"/>
  <c r="AA215" i="69"/>
  <c r="Z215" i="69"/>
  <c r="Y215" i="69"/>
  <c r="AB214" i="69"/>
  <c r="AA214" i="69"/>
  <c r="Z214" i="69"/>
  <c r="Y214" i="69"/>
  <c r="AB213" i="69"/>
  <c r="AA213" i="69"/>
  <c r="Z213" i="69"/>
  <c r="Y213" i="69"/>
  <c r="AB212" i="69"/>
  <c r="AA212" i="69"/>
  <c r="Z212" i="69"/>
  <c r="Y212" i="69"/>
  <c r="AC211" i="69"/>
  <c r="AB211" i="69"/>
  <c r="AA211" i="69"/>
  <c r="Z211" i="69"/>
  <c r="Y211" i="69"/>
  <c r="AC210" i="69"/>
  <c r="AB210" i="69"/>
  <c r="AA210" i="69"/>
  <c r="Z210" i="69"/>
  <c r="Y210" i="69"/>
  <c r="AC209" i="69"/>
  <c r="AB209" i="69"/>
  <c r="AA209" i="69"/>
  <c r="Z209" i="69"/>
  <c r="Y209" i="69"/>
  <c r="AC208" i="69"/>
  <c r="AB208" i="69"/>
  <c r="AA208" i="69"/>
  <c r="Z208" i="69"/>
  <c r="Y208" i="69"/>
  <c r="AC206" i="69"/>
  <c r="AB206" i="69"/>
  <c r="AA206" i="69"/>
  <c r="Z206" i="69"/>
  <c r="Y206" i="69"/>
  <c r="AB195" i="69"/>
  <c r="G195" i="69" s="1"/>
  <c r="AA195" i="69"/>
  <c r="F195" i="69" s="1"/>
  <c r="Z195" i="69"/>
  <c r="E195" i="69" s="1"/>
  <c r="Y195" i="69"/>
  <c r="D195" i="69" s="1"/>
  <c r="AB193" i="69"/>
  <c r="AA193" i="69"/>
  <c r="Z193" i="69"/>
  <c r="Y193" i="69"/>
  <c r="AB191" i="69"/>
  <c r="AA191" i="69"/>
  <c r="Z191" i="69"/>
  <c r="Y191" i="69"/>
  <c r="AB190" i="69"/>
  <c r="AA190" i="69"/>
  <c r="Z190" i="69"/>
  <c r="Y190" i="69"/>
  <c r="AB189" i="69"/>
  <c r="AA189" i="69"/>
  <c r="Z189" i="69"/>
  <c r="Y189" i="69"/>
  <c r="AB188" i="69"/>
  <c r="Z188" i="69"/>
  <c r="Y188" i="69"/>
  <c r="AB185" i="69"/>
  <c r="AA185" i="69"/>
  <c r="Z185" i="69"/>
  <c r="Y185" i="69"/>
  <c r="AB184" i="69"/>
  <c r="AA184" i="69"/>
  <c r="Z184" i="69"/>
  <c r="Y184" i="69"/>
  <c r="AB183" i="69"/>
  <c r="AA183" i="69"/>
  <c r="Z183" i="69"/>
  <c r="Y183" i="69"/>
  <c r="AB182" i="69"/>
  <c r="AA182" i="69"/>
  <c r="Z182" i="69"/>
  <c r="Y182" i="69"/>
  <c r="AB181" i="69"/>
  <c r="AA181" i="69"/>
  <c r="Z181" i="69"/>
  <c r="Y181" i="69"/>
  <c r="AB180" i="69"/>
  <c r="AA180" i="69"/>
  <c r="Z180" i="69"/>
  <c r="Y180" i="69"/>
  <c r="AB179" i="69"/>
  <c r="AA179" i="69"/>
  <c r="Z179" i="69"/>
  <c r="Y179" i="69"/>
  <c r="AC178" i="69"/>
  <c r="AB178" i="69"/>
  <c r="AA178" i="69"/>
  <c r="Z178" i="69"/>
  <c r="Y178" i="69"/>
  <c r="AC177" i="69"/>
  <c r="AB177" i="69"/>
  <c r="AA177" i="69"/>
  <c r="Z177" i="69"/>
  <c r="Y177" i="69"/>
  <c r="AC176" i="69"/>
  <c r="AB176" i="69"/>
  <c r="AA176" i="69"/>
  <c r="Z176" i="69"/>
  <c r="Y176" i="69"/>
  <c r="AC175" i="69"/>
  <c r="AB175" i="69"/>
  <c r="AA175" i="69"/>
  <c r="Z175" i="69"/>
  <c r="Y175" i="69"/>
  <c r="AC173" i="69"/>
  <c r="AB173" i="69"/>
  <c r="AA173" i="69"/>
  <c r="Z173" i="69"/>
  <c r="Y173" i="69"/>
  <c r="AB39" i="85" l="1"/>
  <c r="X39" i="85"/>
  <c r="AB38" i="85"/>
  <c r="W57" i="92" a="1"/>
  <c r="W57" i="92" s="1"/>
  <c r="Y107" i="70" s="1"/>
  <c r="X57" i="92" a="1"/>
  <c r="X57" i="92" s="1"/>
  <c r="AB106" i="70" s="1"/>
  <c r="V57" i="92" a="1"/>
  <c r="V57" i="92" s="1"/>
  <c r="X107" i="70" s="1"/>
  <c r="F175" i="69"/>
  <c r="AF173" i="69"/>
  <c r="H177" i="69"/>
  <c r="AH175" i="69"/>
  <c r="E180" i="69"/>
  <c r="AE178" i="69"/>
  <c r="D181" i="69"/>
  <c r="AD179" i="69"/>
  <c r="F183" i="69"/>
  <c r="AF181" i="69"/>
  <c r="D185" i="69"/>
  <c r="AD183" i="69"/>
  <c r="F187" i="69"/>
  <c r="AF185" i="69"/>
  <c r="G191" i="69"/>
  <c r="AG191" i="69"/>
  <c r="E193" i="69"/>
  <c r="AE193" i="69"/>
  <c r="H244" i="69"/>
  <c r="AH242" i="69"/>
  <c r="E247" i="69"/>
  <c r="AE245" i="69"/>
  <c r="G249" i="69"/>
  <c r="AG247" i="69"/>
  <c r="E251" i="69"/>
  <c r="AE249" i="69"/>
  <c r="H252" i="69"/>
  <c r="AH250" i="69"/>
  <c r="E255" i="69"/>
  <c r="AE253" i="69"/>
  <c r="G256" i="69"/>
  <c r="AG254" i="69"/>
  <c r="G258" i="69"/>
  <c r="AG256" i="69"/>
  <c r="D261" i="69"/>
  <c r="AD259" i="69"/>
  <c r="H261" i="69"/>
  <c r="AH259" i="69"/>
  <c r="F176" i="69"/>
  <c r="AF174" i="69"/>
  <c r="D178" i="69"/>
  <c r="AD176" i="69"/>
  <c r="F180" i="69"/>
  <c r="AF178" i="69"/>
  <c r="F184" i="69"/>
  <c r="AF182" i="69"/>
  <c r="D186" i="69"/>
  <c r="AD184" i="69"/>
  <c r="D189" i="69"/>
  <c r="AD189" i="69"/>
  <c r="D175" i="69"/>
  <c r="AD173" i="69"/>
  <c r="G176" i="69"/>
  <c r="AG174" i="69"/>
  <c r="E178" i="69"/>
  <c r="AE176" i="69"/>
  <c r="G180" i="69"/>
  <c r="AG178" i="69"/>
  <c r="E182" i="69"/>
  <c r="AE180" i="69"/>
  <c r="D183" i="69"/>
  <c r="AD181" i="69"/>
  <c r="G184" i="69"/>
  <c r="AG182" i="69"/>
  <c r="D187" i="69"/>
  <c r="AD185" i="69"/>
  <c r="E191" i="69"/>
  <c r="AE191" i="69"/>
  <c r="D192" i="69"/>
  <c r="AD192" i="69"/>
  <c r="E175" i="69"/>
  <c r="AE173" i="69"/>
  <c r="D176" i="69"/>
  <c r="AD174" i="69"/>
  <c r="H176" i="69"/>
  <c r="AH174" i="69"/>
  <c r="G177" i="69"/>
  <c r="AG175" i="69"/>
  <c r="F178" i="69"/>
  <c r="AF176" i="69"/>
  <c r="E179" i="69"/>
  <c r="AE177" i="69"/>
  <c r="D180" i="69"/>
  <c r="AD178" i="69"/>
  <c r="H180" i="69"/>
  <c r="AH178" i="69"/>
  <c r="G181" i="69"/>
  <c r="AG179" i="69"/>
  <c r="F182" i="69"/>
  <c r="AF180" i="69"/>
  <c r="E183" i="69"/>
  <c r="AE181" i="69"/>
  <c r="D184" i="69"/>
  <c r="AD182" i="69"/>
  <c r="G185" i="69"/>
  <c r="AG183" i="69"/>
  <c r="F186" i="69"/>
  <c r="AF184" i="69"/>
  <c r="E187" i="69"/>
  <c r="AE185" i="69"/>
  <c r="G188" i="69"/>
  <c r="AG188" i="69"/>
  <c r="F189" i="69"/>
  <c r="AF189" i="69"/>
  <c r="G190" i="69"/>
  <c r="AG190" i="69"/>
  <c r="F191" i="69"/>
  <c r="AF191" i="69"/>
  <c r="E192" i="69"/>
  <c r="AE192" i="69"/>
  <c r="D193" i="69"/>
  <c r="AD193" i="69"/>
  <c r="D243" i="69"/>
  <c r="AD241" i="69"/>
  <c r="H243" i="69"/>
  <c r="AH241" i="69"/>
  <c r="G244" i="69"/>
  <c r="AG242" i="69"/>
  <c r="F245" i="69"/>
  <c r="AF243" i="69"/>
  <c r="E246" i="69"/>
  <c r="AE244" i="69"/>
  <c r="D247" i="69"/>
  <c r="AD245" i="69"/>
  <c r="H247" i="69"/>
  <c r="AH245" i="69"/>
  <c r="G248" i="69"/>
  <c r="AG246" i="69"/>
  <c r="F249" i="69"/>
  <c r="AF247" i="69"/>
  <c r="E250" i="69"/>
  <c r="AE248" i="69"/>
  <c r="D251" i="69"/>
  <c r="AD249" i="69"/>
  <c r="H251" i="69"/>
  <c r="AH249" i="69"/>
  <c r="G252" i="69"/>
  <c r="AG250" i="69"/>
  <c r="F253" i="69"/>
  <c r="AF251" i="69"/>
  <c r="E254" i="69"/>
  <c r="AE252" i="69"/>
  <c r="D255" i="69"/>
  <c r="AD253" i="69"/>
  <c r="H255" i="69"/>
  <c r="AH253" i="69"/>
  <c r="E257" i="69"/>
  <c r="AE255" i="69"/>
  <c r="F258" i="69"/>
  <c r="AF256" i="69"/>
  <c r="E259" i="69"/>
  <c r="AE257" i="69"/>
  <c r="D260" i="69"/>
  <c r="AD258" i="69"/>
  <c r="H260" i="69"/>
  <c r="AH258" i="69"/>
  <c r="G261" i="69"/>
  <c r="AG259" i="69"/>
  <c r="D177" i="69"/>
  <c r="AD175" i="69"/>
  <c r="G178" i="69"/>
  <c r="AG176" i="69"/>
  <c r="E184" i="69"/>
  <c r="AE182" i="69"/>
  <c r="G186" i="69"/>
  <c r="AG184" i="69"/>
  <c r="D188" i="69"/>
  <c r="AD188" i="69"/>
  <c r="D190" i="69"/>
  <c r="AD190" i="69"/>
  <c r="F192" i="69"/>
  <c r="AF192" i="69"/>
  <c r="E243" i="69"/>
  <c r="AE241" i="69"/>
  <c r="G245" i="69"/>
  <c r="AG243" i="69"/>
  <c r="D248" i="69"/>
  <c r="AD246" i="69"/>
  <c r="F250" i="69"/>
  <c r="AF248" i="69"/>
  <c r="G253" i="69"/>
  <c r="AG251" i="69"/>
  <c r="F257" i="69"/>
  <c r="AF255" i="69"/>
  <c r="F259" i="69"/>
  <c r="AF257" i="69"/>
  <c r="E177" i="69"/>
  <c r="AE175" i="69"/>
  <c r="G179" i="69"/>
  <c r="AG177" i="69"/>
  <c r="D182" i="69"/>
  <c r="AD180" i="69"/>
  <c r="E185" i="69"/>
  <c r="AE183" i="69"/>
  <c r="G187" i="69"/>
  <c r="AG185" i="69"/>
  <c r="E188" i="69"/>
  <c r="AE188" i="69"/>
  <c r="D191" i="69"/>
  <c r="AD191" i="69"/>
  <c r="G192" i="69"/>
  <c r="AG192" i="69"/>
  <c r="F193" i="69"/>
  <c r="AF193" i="69"/>
  <c r="F243" i="69"/>
  <c r="AF241" i="69"/>
  <c r="E244" i="69"/>
  <c r="AE242" i="69"/>
  <c r="D245" i="69"/>
  <c r="AD243" i="69"/>
  <c r="H245" i="69"/>
  <c r="AH243" i="69"/>
  <c r="G246" i="69"/>
  <c r="AG244" i="69"/>
  <c r="F247" i="69"/>
  <c r="AF245" i="69"/>
  <c r="E248" i="69"/>
  <c r="AE246" i="69"/>
  <c r="D249" i="69"/>
  <c r="AD247" i="69"/>
  <c r="H249" i="69"/>
  <c r="AH247" i="69"/>
  <c r="G250" i="69"/>
  <c r="AG248" i="69"/>
  <c r="F251" i="69"/>
  <c r="AF249" i="69"/>
  <c r="E252" i="69"/>
  <c r="AE250" i="69"/>
  <c r="D253" i="69"/>
  <c r="AD251" i="69"/>
  <c r="H253" i="69"/>
  <c r="AH251" i="69"/>
  <c r="G254" i="69"/>
  <c r="AG252" i="69"/>
  <c r="F255" i="69"/>
  <c r="AF253" i="69"/>
  <c r="D256" i="69"/>
  <c r="AD254" i="69"/>
  <c r="H256" i="69"/>
  <c r="AH254" i="69"/>
  <c r="G257" i="69"/>
  <c r="AG255" i="69"/>
  <c r="D258" i="69"/>
  <c r="AD256" i="69"/>
  <c r="H258" i="69"/>
  <c r="AH256" i="69"/>
  <c r="G259" i="69"/>
  <c r="AG257" i="69"/>
  <c r="F260" i="69"/>
  <c r="AF258" i="69"/>
  <c r="E261" i="69"/>
  <c r="AE259" i="69"/>
  <c r="E176" i="69"/>
  <c r="AE174" i="69"/>
  <c r="F179" i="69"/>
  <c r="AF177" i="69"/>
  <c r="G182" i="69"/>
  <c r="AG180" i="69"/>
  <c r="G189" i="69"/>
  <c r="AG189" i="69"/>
  <c r="D244" i="69"/>
  <c r="AD242" i="69"/>
  <c r="F246" i="69"/>
  <c r="AF244" i="69"/>
  <c r="H248" i="69"/>
  <c r="AH246" i="69"/>
  <c r="D252" i="69"/>
  <c r="AD250" i="69"/>
  <c r="F254" i="69"/>
  <c r="AF252" i="69"/>
  <c r="E260" i="69"/>
  <c r="AE258" i="69"/>
  <c r="G175" i="69"/>
  <c r="AG173" i="69"/>
  <c r="H178" i="69"/>
  <c r="AH176" i="69"/>
  <c r="E181" i="69"/>
  <c r="AE179" i="69"/>
  <c r="G183" i="69"/>
  <c r="AG181" i="69"/>
  <c r="E190" i="69"/>
  <c r="AE190" i="69"/>
  <c r="H175" i="69"/>
  <c r="AH173" i="69"/>
  <c r="F177" i="69"/>
  <c r="AF175" i="69"/>
  <c r="D179" i="69"/>
  <c r="AD177" i="69"/>
  <c r="H179" i="69"/>
  <c r="AH177" i="69"/>
  <c r="F181" i="69"/>
  <c r="AF179" i="69"/>
  <c r="F185" i="69"/>
  <c r="AF183" i="69"/>
  <c r="E186" i="69"/>
  <c r="AE184" i="69"/>
  <c r="E189" i="69"/>
  <c r="AE189" i="69"/>
  <c r="F190" i="69"/>
  <c r="AF190" i="69"/>
  <c r="G193" i="69"/>
  <c r="AG193" i="69"/>
  <c r="G243" i="69"/>
  <c r="AG241" i="69"/>
  <c r="F244" i="69"/>
  <c r="AF242" i="69"/>
  <c r="E245" i="69"/>
  <c r="AE243" i="69"/>
  <c r="D246" i="69"/>
  <c r="AD244" i="69"/>
  <c r="H246" i="69"/>
  <c r="AH244" i="69"/>
  <c r="G247" i="69"/>
  <c r="AG245" i="69"/>
  <c r="F248" i="69"/>
  <c r="AF246" i="69"/>
  <c r="E249" i="69"/>
  <c r="AE247" i="69"/>
  <c r="D250" i="69"/>
  <c r="AD248" i="69"/>
  <c r="H250" i="69"/>
  <c r="AH248" i="69"/>
  <c r="G251" i="69"/>
  <c r="AG249" i="69"/>
  <c r="F252" i="69"/>
  <c r="AF250" i="69"/>
  <c r="E253" i="69"/>
  <c r="AE251" i="69"/>
  <c r="D254" i="69"/>
  <c r="AD252" i="69"/>
  <c r="H254" i="69"/>
  <c r="AH252" i="69"/>
  <c r="G255" i="69"/>
  <c r="AG253" i="69"/>
  <c r="E256" i="69"/>
  <c r="AE254" i="69"/>
  <c r="D257" i="69"/>
  <c r="AD255" i="69"/>
  <c r="H257" i="69"/>
  <c r="AH255" i="69"/>
  <c r="E258" i="69"/>
  <c r="AE256" i="69"/>
  <c r="D259" i="69"/>
  <c r="AD257" i="69"/>
  <c r="H259" i="69"/>
  <c r="AH257" i="69"/>
  <c r="G260" i="69"/>
  <c r="AG258" i="69"/>
  <c r="F261" i="69"/>
  <c r="AF259" i="69"/>
  <c r="D210" i="69"/>
  <c r="D214" i="69"/>
  <c r="D218" i="69"/>
  <c r="D222" i="69"/>
  <c r="D225" i="69"/>
  <c r="D230" i="69"/>
  <c r="D229" i="69"/>
  <c r="D208" i="69"/>
  <c r="D212" i="69"/>
  <c r="D216" i="69"/>
  <c r="D220" i="69"/>
  <c r="D224" i="69"/>
  <c r="D227" i="69"/>
  <c r="D209" i="69"/>
  <c r="D213" i="69"/>
  <c r="D217" i="69"/>
  <c r="D221" i="69"/>
  <c r="D228" i="69"/>
  <c r="D211" i="69"/>
  <c r="D215" i="69"/>
  <c r="D219" i="69"/>
  <c r="D223" i="69"/>
  <c r="D226" i="69"/>
  <c r="E218" i="69"/>
  <c r="E222" i="69"/>
  <c r="E225" i="69"/>
  <c r="E230" i="69"/>
  <c r="E214" i="69"/>
  <c r="E211" i="69"/>
  <c r="E215" i="69"/>
  <c r="E223" i="69"/>
  <c r="E226" i="69"/>
  <c r="H209" i="69"/>
  <c r="F211" i="69"/>
  <c r="H213" i="69"/>
  <c r="F215" i="69"/>
  <c r="F219" i="69"/>
  <c r="H221" i="69"/>
  <c r="F223" i="69"/>
  <c r="F226" i="69"/>
  <c r="E210" i="69"/>
  <c r="E229" i="69"/>
  <c r="F208" i="69"/>
  <c r="H210" i="69"/>
  <c r="F212" i="69"/>
  <c r="F216" i="69"/>
  <c r="F220" i="69"/>
  <c r="F224" i="69"/>
  <c r="F227" i="69"/>
  <c r="G210" i="69"/>
  <c r="E216" i="69"/>
  <c r="G218" i="69"/>
  <c r="E220" i="69"/>
  <c r="G222" i="69"/>
  <c r="E224" i="69"/>
  <c r="G225" i="69"/>
  <c r="E227" i="69"/>
  <c r="G230" i="69"/>
  <c r="E209" i="69"/>
  <c r="E213" i="69"/>
  <c r="E217" i="69"/>
  <c r="E221" i="69"/>
  <c r="E228" i="69"/>
  <c r="F209" i="69"/>
  <c r="H211" i="69"/>
  <c r="F213" i="69"/>
  <c r="F217" i="69"/>
  <c r="F221" i="69"/>
  <c r="F228" i="69"/>
  <c r="E208" i="69"/>
  <c r="E212" i="69"/>
  <c r="G214" i="69"/>
  <c r="H208" i="69"/>
  <c r="F210" i="69"/>
  <c r="H212" i="69"/>
  <c r="F214" i="69"/>
  <c r="F218" i="69"/>
  <c r="E219" i="69"/>
  <c r="H224" i="69"/>
  <c r="F225" i="69"/>
  <c r="F230" i="69"/>
  <c r="G209" i="69"/>
  <c r="G213" i="69"/>
  <c r="G217" i="69"/>
  <c r="G221" i="69"/>
  <c r="G228" i="69"/>
  <c r="G212" i="69"/>
  <c r="G216" i="69"/>
  <c r="G220" i="69"/>
  <c r="G224" i="69"/>
  <c r="G227" i="69"/>
  <c r="G211" i="69"/>
  <c r="G215" i="69"/>
  <c r="G219" i="69"/>
  <c r="G223" i="69"/>
  <c r="G226" i="69"/>
  <c r="G229" i="69"/>
  <c r="G208" i="69"/>
  <c r="AE194" i="69" l="1"/>
  <c r="E194" i="69" s="1"/>
  <c r="AG260" i="69"/>
  <c r="AE260" i="69"/>
  <c r="E262" i="69" s="1"/>
  <c r="AG194" i="69"/>
  <c r="AD194" i="69"/>
  <c r="D194" i="69" s="1"/>
  <c r="AD260" i="69"/>
  <c r="D262" i="69" s="1"/>
  <c r="AH260" i="69"/>
  <c r="E163" i="70"/>
  <c r="D163" i="70"/>
  <c r="D196" i="70" l="1"/>
  <c r="E196" i="70"/>
  <c r="H262" i="69"/>
  <c r="G194" i="69"/>
  <c r="AD260" i="83" l="1"/>
  <c r="AS125" i="70" l="1"/>
  <c r="P98" i="70"/>
  <c r="H196" i="70"/>
  <c r="AC162" i="69"/>
  <c r="AB162" i="69"/>
  <c r="AA162" i="69"/>
  <c r="Z162" i="69"/>
  <c r="Y162" i="69"/>
  <c r="AC160" i="69"/>
  <c r="AB160" i="69"/>
  <c r="AA160" i="69"/>
  <c r="Z160" i="69"/>
  <c r="Y160" i="69"/>
  <c r="AC158" i="69"/>
  <c r="AB158" i="69"/>
  <c r="AA158" i="69"/>
  <c r="Z158" i="69"/>
  <c r="Y158" i="69"/>
  <c r="AC157" i="69"/>
  <c r="AB157" i="69"/>
  <c r="AA157" i="69"/>
  <c r="Z157" i="69"/>
  <c r="Y157" i="69"/>
  <c r="AC156" i="69"/>
  <c r="AB156" i="69"/>
  <c r="AA156" i="69"/>
  <c r="Z156" i="69"/>
  <c r="Y156" i="69"/>
  <c r="AC155" i="69"/>
  <c r="AB155" i="69"/>
  <c r="Z155" i="69"/>
  <c r="Y155" i="69"/>
  <c r="AC152" i="69"/>
  <c r="AB152" i="69"/>
  <c r="AA152" i="69"/>
  <c r="Z152" i="69"/>
  <c r="Y152" i="69"/>
  <c r="AC151" i="69"/>
  <c r="AB151" i="69"/>
  <c r="AA151" i="69"/>
  <c r="Z151" i="69"/>
  <c r="Y151" i="69"/>
  <c r="AC150" i="69"/>
  <c r="AB150" i="69"/>
  <c r="AA150" i="69"/>
  <c r="Z150" i="69"/>
  <c r="Y150" i="69"/>
  <c r="AC149" i="69"/>
  <c r="AB149" i="69"/>
  <c r="AA149" i="69"/>
  <c r="Z149" i="69"/>
  <c r="Y149" i="69"/>
  <c r="AC148" i="69"/>
  <c r="AB148" i="69"/>
  <c r="AA148" i="69"/>
  <c r="Z148" i="69"/>
  <c r="Y148" i="69"/>
  <c r="AC147" i="69"/>
  <c r="AB147" i="69"/>
  <c r="AA147" i="69"/>
  <c r="Z147" i="69"/>
  <c r="Y147" i="69"/>
  <c r="AC146" i="69"/>
  <c r="AB146" i="69"/>
  <c r="AA146" i="69"/>
  <c r="Z146" i="69"/>
  <c r="Y146" i="69"/>
  <c r="AC145" i="69"/>
  <c r="AB145" i="69"/>
  <c r="AA145" i="69"/>
  <c r="Z145" i="69"/>
  <c r="Y145" i="69"/>
  <c r="AC144" i="69"/>
  <c r="AB144" i="69"/>
  <c r="AA144" i="69"/>
  <c r="Z144" i="69"/>
  <c r="Y144" i="69"/>
  <c r="AC143" i="69"/>
  <c r="AB143" i="69"/>
  <c r="AA143" i="69"/>
  <c r="Z143" i="69"/>
  <c r="Y143" i="69"/>
  <c r="AC142" i="69"/>
  <c r="AB142" i="69"/>
  <c r="AA142" i="69"/>
  <c r="Z142" i="69"/>
  <c r="Y142" i="69"/>
  <c r="AC140" i="69"/>
  <c r="AB140" i="69"/>
  <c r="AA140" i="69"/>
  <c r="Z140" i="69"/>
  <c r="Y140" i="69"/>
  <c r="AI127" i="69"/>
  <c r="AH127" i="69"/>
  <c r="AG127" i="69"/>
  <c r="AF127" i="69"/>
  <c r="AE127" i="69"/>
  <c r="AI125" i="69"/>
  <c r="AH125" i="69"/>
  <c r="AG125" i="69"/>
  <c r="AF125" i="69"/>
  <c r="AE125" i="69"/>
  <c r="AI123" i="69"/>
  <c r="AH123" i="69"/>
  <c r="AG123" i="69"/>
  <c r="AF123" i="69"/>
  <c r="AE123" i="69"/>
  <c r="AI122" i="69"/>
  <c r="AH122" i="69"/>
  <c r="AG122" i="69"/>
  <c r="AF122" i="69"/>
  <c r="AE122" i="69"/>
  <c r="AI121" i="69"/>
  <c r="AH121" i="69"/>
  <c r="AG121" i="69"/>
  <c r="AF121" i="69"/>
  <c r="AE121" i="69"/>
  <c r="AI120" i="69"/>
  <c r="AH120" i="69"/>
  <c r="AF120" i="69"/>
  <c r="AE120" i="69"/>
  <c r="AI119" i="69"/>
  <c r="AH119" i="69"/>
  <c r="AG119" i="69"/>
  <c r="AF119" i="69"/>
  <c r="AE119" i="69"/>
  <c r="AI118" i="69"/>
  <c r="AH118" i="69"/>
  <c r="AG118" i="69"/>
  <c r="AF118" i="69"/>
  <c r="AE118" i="69"/>
  <c r="AI117" i="69"/>
  <c r="AH117" i="69"/>
  <c r="AG117" i="69"/>
  <c r="AF117" i="69"/>
  <c r="AE117" i="69"/>
  <c r="AI116" i="69"/>
  <c r="AH116" i="69"/>
  <c r="AG116" i="69"/>
  <c r="AF116" i="69"/>
  <c r="AE116" i="69"/>
  <c r="AI115" i="69"/>
  <c r="AH115" i="69"/>
  <c r="AG115" i="69"/>
  <c r="AF115" i="69"/>
  <c r="AE115" i="69"/>
  <c r="AI114" i="69"/>
  <c r="AH114" i="69"/>
  <c r="AG114" i="69"/>
  <c r="AF114" i="69"/>
  <c r="AE114" i="69"/>
  <c r="AI113" i="69"/>
  <c r="AH113" i="69"/>
  <c r="AG113" i="69"/>
  <c r="AF113" i="69"/>
  <c r="AE113" i="69"/>
  <c r="AI112" i="69"/>
  <c r="AH112" i="69"/>
  <c r="AG112" i="69"/>
  <c r="AF112" i="69"/>
  <c r="AE112" i="69"/>
  <c r="AI111" i="69"/>
  <c r="AH111" i="69"/>
  <c r="AG111" i="69"/>
  <c r="AF111" i="69"/>
  <c r="AE111" i="69"/>
  <c r="AI110" i="69"/>
  <c r="AH110" i="69"/>
  <c r="AG110" i="69"/>
  <c r="AF110" i="69"/>
  <c r="AE110" i="69"/>
  <c r="AI109" i="69"/>
  <c r="AH109" i="69"/>
  <c r="AG109" i="69"/>
  <c r="AF109" i="69"/>
  <c r="AE109" i="69"/>
  <c r="AI107" i="69"/>
  <c r="AH107" i="69"/>
  <c r="AG107" i="69"/>
  <c r="AF107" i="69"/>
  <c r="AE107" i="69"/>
  <c r="AC127" i="69"/>
  <c r="AB127" i="69"/>
  <c r="AA127" i="69"/>
  <c r="Z127" i="69"/>
  <c r="Y127" i="69"/>
  <c r="AC125" i="69"/>
  <c r="AB125" i="69"/>
  <c r="AA125" i="69"/>
  <c r="Z125" i="69"/>
  <c r="Y125" i="69"/>
  <c r="AC123" i="69"/>
  <c r="AB123" i="69"/>
  <c r="AA123" i="69"/>
  <c r="Z123" i="69"/>
  <c r="Y123" i="69"/>
  <c r="AC122" i="69"/>
  <c r="AB122" i="69"/>
  <c r="AA122" i="69"/>
  <c r="Z122" i="69"/>
  <c r="Y122" i="69"/>
  <c r="AC121" i="69"/>
  <c r="AB121" i="69"/>
  <c r="AA121" i="69"/>
  <c r="Z121" i="69"/>
  <c r="Y121" i="69"/>
  <c r="AC120" i="69"/>
  <c r="AB120" i="69"/>
  <c r="Z120" i="69"/>
  <c r="Y120" i="69"/>
  <c r="AC119" i="69"/>
  <c r="AB119" i="69"/>
  <c r="AA119" i="69"/>
  <c r="Z119" i="69"/>
  <c r="Y119" i="69"/>
  <c r="AC118" i="69"/>
  <c r="AB118" i="69"/>
  <c r="AA118" i="69"/>
  <c r="Z118" i="69"/>
  <c r="Y118" i="69"/>
  <c r="AC117" i="69"/>
  <c r="AB117" i="69"/>
  <c r="AA117" i="69"/>
  <c r="Z117" i="69"/>
  <c r="Y117" i="69"/>
  <c r="AC116" i="69"/>
  <c r="AB116" i="69"/>
  <c r="AA116" i="69"/>
  <c r="Z116" i="69"/>
  <c r="Y116" i="69"/>
  <c r="AC115" i="69"/>
  <c r="AB115" i="69"/>
  <c r="AA115" i="69"/>
  <c r="Z115" i="69"/>
  <c r="Y115" i="69"/>
  <c r="AC114" i="69"/>
  <c r="AB114" i="69"/>
  <c r="AA114" i="69"/>
  <c r="Z114" i="69"/>
  <c r="Y114" i="69"/>
  <c r="AC113" i="69"/>
  <c r="AB113" i="69"/>
  <c r="AA113" i="69"/>
  <c r="Z113" i="69"/>
  <c r="Y113" i="69"/>
  <c r="AC112" i="69"/>
  <c r="AB112" i="69"/>
  <c r="AA112" i="69"/>
  <c r="Z112" i="69"/>
  <c r="Y112" i="69"/>
  <c r="AC111" i="69"/>
  <c r="AB111" i="69"/>
  <c r="AA111" i="69"/>
  <c r="Z111" i="69"/>
  <c r="Y111" i="69"/>
  <c r="AC110" i="69"/>
  <c r="AB110" i="69"/>
  <c r="AA110" i="69"/>
  <c r="Z110" i="69"/>
  <c r="Y110" i="69"/>
  <c r="AC109" i="69"/>
  <c r="AB109" i="69"/>
  <c r="AA109" i="69"/>
  <c r="Z109" i="69"/>
  <c r="Y109" i="69"/>
  <c r="AC107" i="69"/>
  <c r="AB107" i="69"/>
  <c r="AA107" i="69"/>
  <c r="Z107" i="69"/>
  <c r="Y107" i="69"/>
  <c r="AF11" i="69"/>
  <c r="AF11" i="68"/>
  <c r="AG11" i="68" s="1"/>
  <c r="AI197" i="67"/>
  <c r="AH197" i="67"/>
  <c r="AG197" i="67"/>
  <c r="AF197" i="67"/>
  <c r="AE197" i="67"/>
  <c r="AI195" i="67"/>
  <c r="AH195" i="67"/>
  <c r="AG195" i="67"/>
  <c r="AF195" i="67"/>
  <c r="AE195" i="67"/>
  <c r="AI193" i="67"/>
  <c r="AH193" i="67"/>
  <c r="AG193" i="67"/>
  <c r="AF193" i="67"/>
  <c r="AE193" i="67"/>
  <c r="AI192" i="67"/>
  <c r="AH192" i="67"/>
  <c r="AG192" i="67"/>
  <c r="AF192" i="67"/>
  <c r="AE192" i="67"/>
  <c r="AI191" i="67"/>
  <c r="AH191" i="67"/>
  <c r="AG191" i="67"/>
  <c r="AF191" i="67"/>
  <c r="AE191" i="67"/>
  <c r="AI190" i="67"/>
  <c r="AH190" i="67"/>
  <c r="AE190" i="67"/>
  <c r="AI189" i="67"/>
  <c r="AH189" i="67"/>
  <c r="AG189" i="67"/>
  <c r="AF189" i="67"/>
  <c r="AE189" i="67"/>
  <c r="AI188" i="67"/>
  <c r="AH188" i="67"/>
  <c r="AG188" i="67"/>
  <c r="AF188" i="67"/>
  <c r="AE188" i="67"/>
  <c r="AI187" i="67"/>
  <c r="AH187" i="67"/>
  <c r="AG187" i="67"/>
  <c r="AF187" i="67"/>
  <c r="AE187" i="67"/>
  <c r="AI186" i="67"/>
  <c r="AH186" i="67"/>
  <c r="AG186" i="67"/>
  <c r="AF186" i="67"/>
  <c r="AE186" i="67"/>
  <c r="AI185" i="67"/>
  <c r="AH185" i="67"/>
  <c r="AG185" i="67"/>
  <c r="AF185" i="67"/>
  <c r="AE185" i="67"/>
  <c r="AI184" i="67"/>
  <c r="AH184" i="67"/>
  <c r="AG184" i="67"/>
  <c r="AF184" i="67"/>
  <c r="AE184" i="67"/>
  <c r="AI183" i="67"/>
  <c r="AH183" i="67"/>
  <c r="AG183" i="67"/>
  <c r="AF183" i="67"/>
  <c r="AE183" i="67"/>
  <c r="AI182" i="67"/>
  <c r="AH182" i="67"/>
  <c r="AG182" i="67"/>
  <c r="AF182" i="67"/>
  <c r="AE182" i="67"/>
  <c r="AI181" i="67"/>
  <c r="AH181" i="67"/>
  <c r="AG181" i="67"/>
  <c r="AF181" i="67"/>
  <c r="AE181" i="67"/>
  <c r="AI180" i="67"/>
  <c r="AH180" i="67"/>
  <c r="AG180" i="67"/>
  <c r="AF180" i="67"/>
  <c r="AE180" i="67"/>
  <c r="AI179" i="67"/>
  <c r="AH179" i="67"/>
  <c r="AG179" i="67"/>
  <c r="AF179" i="67"/>
  <c r="AE179" i="67"/>
  <c r="AI177" i="67"/>
  <c r="AH177" i="67"/>
  <c r="AG177" i="67"/>
  <c r="AF177" i="67"/>
  <c r="AE177" i="67"/>
  <c r="AC197" i="67"/>
  <c r="AB197" i="67"/>
  <c r="AA197" i="67"/>
  <c r="Z197" i="67"/>
  <c r="Y197" i="67"/>
  <c r="AC195" i="67"/>
  <c r="AB195" i="67"/>
  <c r="AA195" i="67"/>
  <c r="Z195" i="67"/>
  <c r="Y195" i="67"/>
  <c r="AC193" i="67"/>
  <c r="AB193" i="67"/>
  <c r="AA193" i="67"/>
  <c r="Z193" i="67"/>
  <c r="Y193" i="67"/>
  <c r="AC192" i="67"/>
  <c r="AB192" i="67"/>
  <c r="AA192" i="67"/>
  <c r="Z192" i="67"/>
  <c r="Y192" i="67"/>
  <c r="AC191" i="67"/>
  <c r="AB191" i="67"/>
  <c r="AA191" i="67"/>
  <c r="Z191" i="67"/>
  <c r="Y191" i="67"/>
  <c r="AC190" i="67"/>
  <c r="AB190" i="67"/>
  <c r="Z190" i="67"/>
  <c r="Y190" i="67"/>
  <c r="AC189" i="67"/>
  <c r="AB189" i="67"/>
  <c r="AA189" i="67"/>
  <c r="Z189" i="67"/>
  <c r="Y189" i="67"/>
  <c r="AC188" i="67"/>
  <c r="AB188" i="67"/>
  <c r="AA188" i="67"/>
  <c r="Z188" i="67"/>
  <c r="Y188" i="67"/>
  <c r="AC187" i="67"/>
  <c r="AB187" i="67"/>
  <c r="AA187" i="67"/>
  <c r="Z187" i="67"/>
  <c r="Y187" i="67"/>
  <c r="AC186" i="67"/>
  <c r="AB186" i="67"/>
  <c r="AA186" i="67"/>
  <c r="Z186" i="67"/>
  <c r="Y186" i="67"/>
  <c r="AC185" i="67"/>
  <c r="AB185" i="67"/>
  <c r="AA185" i="67"/>
  <c r="Z185" i="67"/>
  <c r="Y185" i="67"/>
  <c r="AC184" i="67"/>
  <c r="AB184" i="67"/>
  <c r="AA184" i="67"/>
  <c r="Z184" i="67"/>
  <c r="Y184" i="67"/>
  <c r="AC183" i="67"/>
  <c r="AB183" i="67"/>
  <c r="AA183" i="67"/>
  <c r="Z183" i="67"/>
  <c r="Y183" i="67"/>
  <c r="AC182" i="67"/>
  <c r="AB182" i="67"/>
  <c r="AA182" i="67"/>
  <c r="Z182" i="67"/>
  <c r="Y182" i="67"/>
  <c r="AC181" i="67"/>
  <c r="AB181" i="67"/>
  <c r="AA181" i="67"/>
  <c r="Z181" i="67"/>
  <c r="Y181" i="67"/>
  <c r="AC180" i="67"/>
  <c r="AB180" i="67"/>
  <c r="AA180" i="67"/>
  <c r="Z180" i="67"/>
  <c r="Y180" i="67"/>
  <c r="AC179" i="67"/>
  <c r="AB179" i="67"/>
  <c r="AA179" i="67"/>
  <c r="Z179" i="67"/>
  <c r="Y179" i="67"/>
  <c r="AC177" i="67"/>
  <c r="AB177" i="67"/>
  <c r="AA177" i="67"/>
  <c r="Z177" i="67"/>
  <c r="Y177" i="67"/>
  <c r="AI292" i="67"/>
  <c r="AH292" i="67"/>
  <c r="AG292" i="67"/>
  <c r="AF292" i="67"/>
  <c r="AE292" i="67"/>
  <c r="AI291" i="67"/>
  <c r="AH291" i="67"/>
  <c r="AG291" i="67"/>
  <c r="AF291" i="67"/>
  <c r="AE291" i="67"/>
  <c r="AI290" i="67"/>
  <c r="AH290" i="67"/>
  <c r="AG290" i="67"/>
  <c r="AF290" i="67"/>
  <c r="AE290" i="67"/>
  <c r="AI289" i="67"/>
  <c r="AH289" i="67"/>
  <c r="AF289" i="67"/>
  <c r="AE289" i="67"/>
  <c r="AI288" i="67"/>
  <c r="AH288" i="67"/>
  <c r="AG288" i="67"/>
  <c r="AF288" i="67"/>
  <c r="AE288" i="67"/>
  <c r="AI287" i="67"/>
  <c r="AH287" i="67"/>
  <c r="AG287" i="67"/>
  <c r="AF287" i="67"/>
  <c r="AE287" i="67"/>
  <c r="AI286" i="67"/>
  <c r="AH286" i="67"/>
  <c r="AG286" i="67"/>
  <c r="AF286" i="67"/>
  <c r="AE286" i="67"/>
  <c r="AI285" i="67"/>
  <c r="AH285" i="67"/>
  <c r="AG285" i="67"/>
  <c r="AF285" i="67"/>
  <c r="AE285" i="67"/>
  <c r="AI284" i="67"/>
  <c r="AH284" i="67"/>
  <c r="AG284" i="67"/>
  <c r="AF284" i="67"/>
  <c r="AE284" i="67"/>
  <c r="AI283" i="67"/>
  <c r="AH283" i="67"/>
  <c r="AG283" i="67"/>
  <c r="AF283" i="67"/>
  <c r="AE283" i="67"/>
  <c r="AI282" i="67"/>
  <c r="AH282" i="67"/>
  <c r="AG282" i="67"/>
  <c r="AF282" i="67"/>
  <c r="AE282" i="67"/>
  <c r="AI281" i="67"/>
  <c r="AH281" i="67"/>
  <c r="AG281" i="67"/>
  <c r="AF281" i="67"/>
  <c r="AE281" i="67"/>
  <c r="AI280" i="67"/>
  <c r="AH280" i="67"/>
  <c r="AG280" i="67"/>
  <c r="AF280" i="67"/>
  <c r="AE280" i="67"/>
  <c r="AI279" i="67"/>
  <c r="AH279" i="67"/>
  <c r="AG279" i="67"/>
  <c r="AF279" i="67"/>
  <c r="AE279" i="67"/>
  <c r="AI278" i="67"/>
  <c r="AH278" i="67"/>
  <c r="AG278" i="67"/>
  <c r="AF278" i="67"/>
  <c r="AE278" i="67"/>
  <c r="AI276" i="67"/>
  <c r="AH276" i="67"/>
  <c r="AG276" i="67"/>
  <c r="AF276" i="67"/>
  <c r="AE276" i="67"/>
  <c r="AC294" i="67"/>
  <c r="AB294" i="67"/>
  <c r="AA294" i="67"/>
  <c r="Z294" i="67"/>
  <c r="Y294" i="67"/>
  <c r="AC292" i="67"/>
  <c r="AB292" i="67"/>
  <c r="AA292" i="67"/>
  <c r="Z292" i="67"/>
  <c r="Y292" i="67"/>
  <c r="AC291" i="67"/>
  <c r="AB291" i="67"/>
  <c r="AA291" i="67"/>
  <c r="Z291" i="67"/>
  <c r="Y291" i="67"/>
  <c r="AC290" i="67"/>
  <c r="AB290" i="67"/>
  <c r="AA290" i="67"/>
  <c r="Z290" i="67"/>
  <c r="Y290" i="67"/>
  <c r="AC289" i="67"/>
  <c r="AB289" i="67"/>
  <c r="Z289" i="67"/>
  <c r="Y289" i="67"/>
  <c r="AC288" i="67"/>
  <c r="AB288" i="67"/>
  <c r="AA288" i="67"/>
  <c r="Z288" i="67"/>
  <c r="Y288" i="67"/>
  <c r="AC287" i="67"/>
  <c r="AB287" i="67"/>
  <c r="AA287" i="67"/>
  <c r="Z287" i="67"/>
  <c r="Y287" i="67"/>
  <c r="AC286" i="67"/>
  <c r="AB286" i="67"/>
  <c r="AA286" i="67"/>
  <c r="Z286" i="67"/>
  <c r="Y286" i="67"/>
  <c r="AC285" i="67"/>
  <c r="AB285" i="67"/>
  <c r="AA285" i="67"/>
  <c r="Z285" i="67"/>
  <c r="Y285" i="67"/>
  <c r="AC284" i="67"/>
  <c r="AB284" i="67"/>
  <c r="AA284" i="67"/>
  <c r="Z284" i="67"/>
  <c r="Y284" i="67"/>
  <c r="AC283" i="67"/>
  <c r="AB283" i="67"/>
  <c r="AA283" i="67"/>
  <c r="Z283" i="67"/>
  <c r="Y283" i="67"/>
  <c r="AC282" i="67"/>
  <c r="AB282" i="67"/>
  <c r="AA282" i="67"/>
  <c r="Z282" i="67"/>
  <c r="Y282" i="67"/>
  <c r="AC281" i="67"/>
  <c r="AB281" i="67"/>
  <c r="AA281" i="67"/>
  <c r="Z281" i="67"/>
  <c r="Y281" i="67"/>
  <c r="AC280" i="67"/>
  <c r="AB280" i="67"/>
  <c r="AA280" i="67"/>
  <c r="Z280" i="67"/>
  <c r="Y280" i="67"/>
  <c r="AC279" i="67"/>
  <c r="AB279" i="67"/>
  <c r="AA279" i="67"/>
  <c r="Z279" i="67"/>
  <c r="Y279" i="67"/>
  <c r="AC278" i="67"/>
  <c r="AB278" i="67"/>
  <c r="AA278" i="67"/>
  <c r="Z278" i="67"/>
  <c r="Y278" i="67"/>
  <c r="AC276" i="67"/>
  <c r="AB276" i="67"/>
  <c r="AA276" i="67"/>
  <c r="Z276" i="67"/>
  <c r="Y276" i="67"/>
  <c r="AI263" i="67"/>
  <c r="AH263" i="67"/>
  <c r="AG263" i="67"/>
  <c r="AF263" i="67"/>
  <c r="AE263" i="67"/>
  <c r="AI261" i="67"/>
  <c r="AH261" i="67"/>
  <c r="AG261" i="67"/>
  <c r="AF261" i="67"/>
  <c r="AE261" i="67"/>
  <c r="AI259" i="67"/>
  <c r="AH259" i="67"/>
  <c r="AG259" i="67"/>
  <c r="AF259" i="67"/>
  <c r="AE259" i="67"/>
  <c r="AI258" i="67"/>
  <c r="AH258" i="67"/>
  <c r="AG258" i="67"/>
  <c r="AF258" i="67"/>
  <c r="AE258" i="67"/>
  <c r="AI257" i="67"/>
  <c r="AH257" i="67"/>
  <c r="AG257" i="67"/>
  <c r="AF257" i="67"/>
  <c r="AE257" i="67"/>
  <c r="AI256" i="67"/>
  <c r="AH256" i="67"/>
  <c r="AF256" i="67"/>
  <c r="AE256" i="67"/>
  <c r="AI255" i="67"/>
  <c r="AH255" i="67"/>
  <c r="AG255" i="67"/>
  <c r="AF255" i="67"/>
  <c r="AE255" i="67"/>
  <c r="AI254" i="67"/>
  <c r="AH254" i="67"/>
  <c r="AG254" i="67"/>
  <c r="AF254" i="67"/>
  <c r="AE254" i="67"/>
  <c r="AI253" i="67"/>
  <c r="AH253" i="67"/>
  <c r="AG253" i="67"/>
  <c r="AF253" i="67"/>
  <c r="AE253" i="67"/>
  <c r="AI252" i="67"/>
  <c r="AH252" i="67"/>
  <c r="AG252" i="67"/>
  <c r="AF252" i="67"/>
  <c r="AE252" i="67"/>
  <c r="AI251" i="67"/>
  <c r="AH251" i="67"/>
  <c r="AG251" i="67"/>
  <c r="AF251" i="67"/>
  <c r="AE251" i="67"/>
  <c r="AI250" i="67"/>
  <c r="AH250" i="67"/>
  <c r="AG250" i="67"/>
  <c r="AF250" i="67"/>
  <c r="AE250" i="67"/>
  <c r="AI249" i="67"/>
  <c r="AH249" i="67"/>
  <c r="AG249" i="67"/>
  <c r="AF249" i="67"/>
  <c r="AE249" i="67"/>
  <c r="AI248" i="67"/>
  <c r="AH248" i="67"/>
  <c r="AG248" i="67"/>
  <c r="AF248" i="67"/>
  <c r="AE248" i="67"/>
  <c r="AI247" i="67"/>
  <c r="AH247" i="67"/>
  <c r="AG247" i="67"/>
  <c r="AF247" i="67"/>
  <c r="AE247" i="67"/>
  <c r="AI246" i="67"/>
  <c r="AH246" i="67"/>
  <c r="AG246" i="67"/>
  <c r="AF246" i="67"/>
  <c r="AE246" i="67"/>
  <c r="AI245" i="67"/>
  <c r="AH245" i="67"/>
  <c r="AG245" i="67"/>
  <c r="AF245" i="67"/>
  <c r="AE245" i="67"/>
  <c r="AI243" i="67"/>
  <c r="AH243" i="67"/>
  <c r="AG243" i="67"/>
  <c r="AF243" i="67"/>
  <c r="AE243" i="67"/>
  <c r="AC263" i="67"/>
  <c r="AB263" i="67"/>
  <c r="AA263" i="67"/>
  <c r="Z263" i="67"/>
  <c r="Y263" i="67"/>
  <c r="AC261" i="67"/>
  <c r="AB261" i="67"/>
  <c r="AA261" i="67"/>
  <c r="Z261" i="67"/>
  <c r="Y261" i="67"/>
  <c r="AC259" i="67"/>
  <c r="AB259" i="67"/>
  <c r="AA259" i="67"/>
  <c r="Z259" i="67"/>
  <c r="Y259" i="67"/>
  <c r="AC258" i="67"/>
  <c r="AB258" i="67"/>
  <c r="AA258" i="67"/>
  <c r="Z258" i="67"/>
  <c r="Y258" i="67"/>
  <c r="AC257" i="67"/>
  <c r="AB257" i="67"/>
  <c r="AA257" i="67"/>
  <c r="Z257" i="67"/>
  <c r="Y257" i="67"/>
  <c r="AC256" i="67"/>
  <c r="AB256" i="67"/>
  <c r="Z256" i="67"/>
  <c r="Y256" i="67"/>
  <c r="AC255" i="67"/>
  <c r="AB255" i="67"/>
  <c r="AA255" i="67"/>
  <c r="Z255" i="67"/>
  <c r="Y255" i="67"/>
  <c r="AC254" i="67"/>
  <c r="AB254" i="67"/>
  <c r="AA254" i="67"/>
  <c r="Z254" i="67"/>
  <c r="Y254" i="67"/>
  <c r="AC253" i="67"/>
  <c r="AB253" i="67"/>
  <c r="AA253" i="67"/>
  <c r="Z253" i="67"/>
  <c r="Y253" i="67"/>
  <c r="AC252" i="67"/>
  <c r="AB252" i="67"/>
  <c r="AA252" i="67"/>
  <c r="Z252" i="67"/>
  <c r="Y252" i="67"/>
  <c r="AC251" i="67"/>
  <c r="AB251" i="67"/>
  <c r="AA251" i="67"/>
  <c r="Z251" i="67"/>
  <c r="Y251" i="67"/>
  <c r="AC250" i="67"/>
  <c r="AB250" i="67"/>
  <c r="AA250" i="67"/>
  <c r="Z250" i="67"/>
  <c r="Y250" i="67"/>
  <c r="AC249" i="67"/>
  <c r="AB249" i="67"/>
  <c r="AA249" i="67"/>
  <c r="Z249" i="67"/>
  <c r="Y249" i="67"/>
  <c r="AC248" i="67"/>
  <c r="AB248" i="67"/>
  <c r="AA248" i="67"/>
  <c r="Z248" i="67"/>
  <c r="Y248" i="67"/>
  <c r="AC247" i="67"/>
  <c r="AB247" i="67"/>
  <c r="AA247" i="67"/>
  <c r="Z247" i="67"/>
  <c r="Y247" i="67"/>
  <c r="AC246" i="67"/>
  <c r="AB246" i="67"/>
  <c r="AA246" i="67"/>
  <c r="Z246" i="67"/>
  <c r="Y246" i="67"/>
  <c r="AC245" i="67"/>
  <c r="AB245" i="67"/>
  <c r="AA245" i="67"/>
  <c r="Z245" i="67"/>
  <c r="Y245" i="67"/>
  <c r="AC243" i="67"/>
  <c r="AB243" i="67"/>
  <c r="AA243" i="67"/>
  <c r="Z243" i="67"/>
  <c r="Y243" i="67"/>
  <c r="AI226" i="67"/>
  <c r="AH226" i="67"/>
  <c r="AG226" i="67"/>
  <c r="AF226" i="67"/>
  <c r="AE226" i="67"/>
  <c r="AI224" i="67"/>
  <c r="AH224" i="67"/>
  <c r="AG224" i="67"/>
  <c r="AF224" i="67"/>
  <c r="AE224" i="67"/>
  <c r="AI222" i="67"/>
  <c r="AH222" i="67"/>
  <c r="AG222" i="67"/>
  <c r="AF222" i="67"/>
  <c r="AE222" i="67"/>
  <c r="AI221" i="67"/>
  <c r="AH221" i="67"/>
  <c r="AG221" i="67"/>
  <c r="AF221" i="67"/>
  <c r="AE221" i="67"/>
  <c r="AI220" i="67"/>
  <c r="AH220" i="67"/>
  <c r="AG220" i="67"/>
  <c r="AF220" i="67"/>
  <c r="AE220" i="67"/>
  <c r="AI219" i="67"/>
  <c r="AH219" i="67"/>
  <c r="AF219" i="67"/>
  <c r="AE219" i="67"/>
  <c r="AI218" i="67"/>
  <c r="AH218" i="67"/>
  <c r="AG218" i="67"/>
  <c r="AF218" i="67"/>
  <c r="AE218" i="67"/>
  <c r="AH217" i="67"/>
  <c r="AG217" i="67"/>
  <c r="AF217" i="67"/>
  <c r="AE217" i="67"/>
  <c r="AI216" i="67"/>
  <c r="AH216" i="67"/>
  <c r="AG216" i="67"/>
  <c r="AF216" i="67"/>
  <c r="AE216" i="67"/>
  <c r="AI215" i="67"/>
  <c r="AH215" i="67"/>
  <c r="AG215" i="67"/>
  <c r="AF215" i="67"/>
  <c r="AE215" i="67"/>
  <c r="AI214" i="67"/>
  <c r="AH214" i="67"/>
  <c r="AG214" i="67"/>
  <c r="AF214" i="67"/>
  <c r="AE214" i="67"/>
  <c r="AI213" i="67"/>
  <c r="AH213" i="67"/>
  <c r="AG213" i="67"/>
  <c r="AF213" i="67"/>
  <c r="AE213" i="67"/>
  <c r="AI212" i="67"/>
  <c r="AH212" i="67"/>
  <c r="AG212" i="67"/>
  <c r="AF212" i="67"/>
  <c r="AE212" i="67"/>
  <c r="AI211" i="67"/>
  <c r="AH211" i="67"/>
  <c r="AG211" i="67"/>
  <c r="AF211" i="67"/>
  <c r="AE211" i="67"/>
  <c r="AI210" i="67"/>
  <c r="AH210" i="67"/>
  <c r="AG210" i="67"/>
  <c r="AF210" i="67"/>
  <c r="AE210" i="67"/>
  <c r="AI209" i="67"/>
  <c r="AH209" i="67"/>
  <c r="AG209" i="67"/>
  <c r="AF209" i="67"/>
  <c r="AE209" i="67"/>
  <c r="AI208" i="67"/>
  <c r="AH208" i="67"/>
  <c r="AG208" i="67"/>
  <c r="AF208" i="67"/>
  <c r="AE208" i="67"/>
  <c r="AI206" i="67"/>
  <c r="AH206" i="67"/>
  <c r="AG206" i="67"/>
  <c r="AF206" i="67"/>
  <c r="AE206" i="67"/>
  <c r="AC226" i="67"/>
  <c r="AB226" i="67"/>
  <c r="AA226" i="67"/>
  <c r="Z226" i="67"/>
  <c r="Y226" i="67"/>
  <c r="AC224" i="67"/>
  <c r="AB224" i="67"/>
  <c r="AA224" i="67"/>
  <c r="Z224" i="67"/>
  <c r="Y224" i="67"/>
  <c r="AC222" i="67"/>
  <c r="AB222" i="67"/>
  <c r="AA222" i="67"/>
  <c r="Z222" i="67"/>
  <c r="Y222" i="67"/>
  <c r="AC221" i="67"/>
  <c r="AB221" i="67"/>
  <c r="AA221" i="67"/>
  <c r="Z221" i="67"/>
  <c r="Y221" i="67"/>
  <c r="AC220" i="67"/>
  <c r="AB220" i="67"/>
  <c r="AA220" i="67"/>
  <c r="Z220" i="67"/>
  <c r="Y220" i="67"/>
  <c r="AC219" i="67"/>
  <c r="AB219" i="67"/>
  <c r="Z219" i="67"/>
  <c r="Y219" i="67"/>
  <c r="AC218" i="67"/>
  <c r="AB218" i="67"/>
  <c r="AA218" i="67"/>
  <c r="Z218" i="67"/>
  <c r="Y218" i="67"/>
  <c r="AC217" i="67"/>
  <c r="AB217" i="67"/>
  <c r="AA217" i="67"/>
  <c r="Z217" i="67"/>
  <c r="Y217" i="67"/>
  <c r="AC216" i="67"/>
  <c r="AB216" i="67"/>
  <c r="AA216" i="67"/>
  <c r="Z216" i="67"/>
  <c r="Y216" i="67"/>
  <c r="AC215" i="67"/>
  <c r="AB215" i="67"/>
  <c r="AA215" i="67"/>
  <c r="Z215" i="67"/>
  <c r="Y215" i="67"/>
  <c r="AC214" i="67"/>
  <c r="AB214" i="67"/>
  <c r="AA214" i="67"/>
  <c r="Z214" i="67"/>
  <c r="Y214" i="67"/>
  <c r="AC213" i="67"/>
  <c r="AB213" i="67"/>
  <c r="AA213" i="67"/>
  <c r="Z213" i="67"/>
  <c r="Y213" i="67"/>
  <c r="AC212" i="67"/>
  <c r="AB212" i="67"/>
  <c r="AA212" i="67"/>
  <c r="Z212" i="67"/>
  <c r="Y212" i="67"/>
  <c r="AC211" i="67"/>
  <c r="AB211" i="67"/>
  <c r="AA211" i="67"/>
  <c r="Z211" i="67"/>
  <c r="Y211" i="67"/>
  <c r="AC210" i="67"/>
  <c r="AB210" i="67"/>
  <c r="AA210" i="67"/>
  <c r="Z210" i="67"/>
  <c r="Y210" i="67"/>
  <c r="AC209" i="67"/>
  <c r="AB209" i="67"/>
  <c r="AA209" i="67"/>
  <c r="Z209" i="67"/>
  <c r="Y209" i="67"/>
  <c r="AC208" i="67"/>
  <c r="AB208" i="67"/>
  <c r="AA208" i="67"/>
  <c r="Z208" i="67"/>
  <c r="Y208" i="67"/>
  <c r="AC206" i="67"/>
  <c r="AB206" i="67"/>
  <c r="AA206" i="67"/>
  <c r="Z206" i="67"/>
  <c r="Y206" i="67"/>
  <c r="AF11" i="67"/>
  <c r="H31" i="67"/>
  <c r="G31" i="67"/>
  <c r="F31" i="67"/>
  <c r="E31" i="67"/>
  <c r="D31" i="67"/>
  <c r="AA31" i="67" s="1"/>
  <c r="H128" i="67"/>
  <c r="H29" i="67"/>
  <c r="AC162" i="67" s="1"/>
  <c r="H162" i="67" s="1"/>
  <c r="G29" i="67"/>
  <c r="AB162" i="67" s="1"/>
  <c r="G162" i="67" s="1"/>
  <c r="F29" i="67"/>
  <c r="AA162" i="67" s="1"/>
  <c r="F162" i="67" s="1"/>
  <c r="E29" i="67"/>
  <c r="Z162" i="67" s="1"/>
  <c r="E162" i="67" s="1"/>
  <c r="D29" i="67"/>
  <c r="AC161" i="67"/>
  <c r="H161" i="67" s="1"/>
  <c r="AB161" i="67"/>
  <c r="G161" i="67" s="1"/>
  <c r="AA161" i="67"/>
  <c r="F161" i="67" s="1"/>
  <c r="Z161" i="67"/>
  <c r="E161" i="67" s="1"/>
  <c r="H27" i="67"/>
  <c r="G27" i="67"/>
  <c r="AB160" i="67" s="1"/>
  <c r="G160" i="67" s="1"/>
  <c r="F27" i="67"/>
  <c r="AA160" i="67" s="1"/>
  <c r="F160" i="67" s="1"/>
  <c r="E27" i="67"/>
  <c r="Z160" i="67" s="1"/>
  <c r="E160" i="67" s="1"/>
  <c r="D27" i="67"/>
  <c r="H26" i="67"/>
  <c r="G26" i="67"/>
  <c r="AB159" i="67" s="1"/>
  <c r="G159" i="67" s="1"/>
  <c r="F26" i="67"/>
  <c r="AA159" i="67" s="1"/>
  <c r="F159" i="67" s="1"/>
  <c r="E26" i="67"/>
  <c r="D26" i="67"/>
  <c r="AB158" i="67"/>
  <c r="G158" i="67" s="1"/>
  <c r="AA158" i="67"/>
  <c r="F158" i="67" s="1"/>
  <c r="Z158" i="67"/>
  <c r="E158" i="67" s="1"/>
  <c r="H25" i="67"/>
  <c r="G25" i="67"/>
  <c r="AB157" i="67" s="1"/>
  <c r="G157" i="67" s="1"/>
  <c r="F25" i="67"/>
  <c r="AA157" i="67" s="1"/>
  <c r="F157" i="67" s="1"/>
  <c r="E25" i="67"/>
  <c r="Z157" i="67" s="1"/>
  <c r="E157" i="67" s="1"/>
  <c r="D25" i="67"/>
  <c r="H24" i="67"/>
  <c r="AC156" i="67" s="1"/>
  <c r="H156" i="67" s="1"/>
  <c r="G24" i="67"/>
  <c r="E24" i="67"/>
  <c r="D24" i="67"/>
  <c r="AC155" i="67"/>
  <c r="H155" i="67" s="1"/>
  <c r="AB155" i="67"/>
  <c r="G155" i="67" s="1"/>
  <c r="AA155" i="67"/>
  <c r="F155" i="67" s="1"/>
  <c r="Z155" i="67"/>
  <c r="E155" i="67" s="1"/>
  <c r="H23" i="67"/>
  <c r="G23" i="67"/>
  <c r="AB154" i="67" s="1"/>
  <c r="G154" i="67" s="1"/>
  <c r="F23" i="67"/>
  <c r="AA154" i="67" s="1"/>
  <c r="F154" i="67" s="1"/>
  <c r="E23" i="67"/>
  <c r="Z154" i="67" s="1"/>
  <c r="E154" i="67" s="1"/>
  <c r="D23" i="67"/>
  <c r="H22" i="67"/>
  <c r="AC153" i="67" s="1"/>
  <c r="H153" i="67" s="1"/>
  <c r="G22" i="67"/>
  <c r="AB153" i="67" s="1"/>
  <c r="G153" i="67" s="1"/>
  <c r="F22" i="67"/>
  <c r="AA153" i="67" s="1"/>
  <c r="F153" i="67" s="1"/>
  <c r="E22" i="67"/>
  <c r="D22" i="67"/>
  <c r="H21" i="67"/>
  <c r="G21" i="67"/>
  <c r="AB152" i="67" s="1"/>
  <c r="G152" i="67" s="1"/>
  <c r="F21" i="67"/>
  <c r="AA152" i="67" s="1"/>
  <c r="F152" i="67" s="1"/>
  <c r="E21" i="67"/>
  <c r="Z152" i="67" s="1"/>
  <c r="E152" i="67" s="1"/>
  <c r="D21" i="67"/>
  <c r="H20" i="67"/>
  <c r="AC151" i="67" s="1"/>
  <c r="H151" i="67" s="1"/>
  <c r="G20" i="67"/>
  <c r="AB151" i="67" s="1"/>
  <c r="G151" i="67" s="1"/>
  <c r="F20" i="67"/>
  <c r="AA151" i="67" s="1"/>
  <c r="F151" i="67" s="1"/>
  <c r="E20" i="67"/>
  <c r="Z151" i="67" s="1"/>
  <c r="E151" i="67" s="1"/>
  <c r="D20" i="67"/>
  <c r="H19" i="67"/>
  <c r="G19" i="67"/>
  <c r="AB150" i="67" s="1"/>
  <c r="G150" i="67" s="1"/>
  <c r="F19" i="67"/>
  <c r="AA150" i="67" s="1"/>
  <c r="F150" i="67" s="1"/>
  <c r="E19" i="67"/>
  <c r="Z150" i="67" s="1"/>
  <c r="E150" i="67" s="1"/>
  <c r="D19" i="67"/>
  <c r="H18" i="67"/>
  <c r="G18" i="67"/>
  <c r="AB149" i="67" s="1"/>
  <c r="G149" i="67" s="1"/>
  <c r="F18" i="67"/>
  <c r="AA149" i="67" s="1"/>
  <c r="F149" i="67" s="1"/>
  <c r="E18" i="67"/>
  <c r="Z149" i="67" s="1"/>
  <c r="D18" i="67"/>
  <c r="H17" i="67"/>
  <c r="G17" i="67"/>
  <c r="F17" i="67"/>
  <c r="E17" i="67"/>
  <c r="D17" i="67"/>
  <c r="H16" i="67"/>
  <c r="G16" i="67"/>
  <c r="AB147" i="67" s="1"/>
  <c r="G147" i="67" s="1"/>
  <c r="F16" i="67"/>
  <c r="AA147" i="67" s="1"/>
  <c r="F147" i="67" s="1"/>
  <c r="E16" i="67"/>
  <c r="D16" i="67"/>
  <c r="H15" i="67"/>
  <c r="AC146" i="67" s="1"/>
  <c r="H146" i="67" s="1"/>
  <c r="G15" i="67"/>
  <c r="AB146" i="67" s="1"/>
  <c r="G146" i="67" s="1"/>
  <c r="F15" i="67"/>
  <c r="AA146" i="67" s="1"/>
  <c r="F146" i="67" s="1"/>
  <c r="E15" i="67"/>
  <c r="Z146" i="67" s="1"/>
  <c r="E146" i="67" s="1"/>
  <c r="D15" i="67"/>
  <c r="H14" i="67"/>
  <c r="G14" i="67"/>
  <c r="AB145" i="67" s="1"/>
  <c r="F14" i="67"/>
  <c r="AA145" i="67" s="1"/>
  <c r="E14" i="67"/>
  <c r="Z145" i="67" s="1"/>
  <c r="E145" i="67" s="1"/>
  <c r="D14" i="67"/>
  <c r="H13" i="67"/>
  <c r="AC144" i="67" s="1"/>
  <c r="H144" i="67" s="1"/>
  <c r="G13" i="67"/>
  <c r="AB144" i="67" s="1"/>
  <c r="G144" i="67" s="1"/>
  <c r="F13" i="67"/>
  <c r="AA144" i="67" s="1"/>
  <c r="F144" i="67" s="1"/>
  <c r="E13" i="67"/>
  <c r="Z144" i="67" s="1"/>
  <c r="E144" i="67" s="1"/>
  <c r="D13" i="67"/>
  <c r="AC143" i="67"/>
  <c r="H143" i="67" s="1"/>
  <c r="H11" i="67"/>
  <c r="AC142" i="67" s="1"/>
  <c r="H142" i="67" s="1"/>
  <c r="G11" i="67"/>
  <c r="AB142" i="67" s="1"/>
  <c r="G142" i="67" s="1"/>
  <c r="F11" i="67"/>
  <c r="AA142" i="67" s="1"/>
  <c r="F142" i="67" s="1"/>
  <c r="E11" i="67"/>
  <c r="Z142" i="67" s="1"/>
  <c r="E142" i="67" s="1"/>
  <c r="D11" i="67"/>
  <c r="AC162" i="66"/>
  <c r="AB162" i="66"/>
  <c r="AA162" i="66"/>
  <c r="Z162" i="66"/>
  <c r="AC160" i="66"/>
  <c r="AB160" i="66"/>
  <c r="AA160" i="66"/>
  <c r="Z160" i="66"/>
  <c r="Y160" i="66"/>
  <c r="AC158" i="66"/>
  <c r="AB158" i="66"/>
  <c r="AA158" i="66"/>
  <c r="Z158" i="66"/>
  <c r="Y158" i="66"/>
  <c r="AC157" i="66"/>
  <c r="AB157" i="66"/>
  <c r="AA157" i="66"/>
  <c r="Z157" i="66"/>
  <c r="Y157" i="66"/>
  <c r="AC156" i="66"/>
  <c r="AB156" i="66"/>
  <c r="AA156" i="66"/>
  <c r="Z156" i="66"/>
  <c r="Y156" i="66"/>
  <c r="AC155" i="66"/>
  <c r="AB155" i="66"/>
  <c r="Z155" i="66"/>
  <c r="Y155" i="66"/>
  <c r="AC154" i="66"/>
  <c r="AB154" i="66"/>
  <c r="AA154" i="66"/>
  <c r="Z154" i="66"/>
  <c r="Y154" i="66"/>
  <c r="AC153" i="66"/>
  <c r="AB153" i="66"/>
  <c r="AA153" i="66"/>
  <c r="Z153" i="66"/>
  <c r="Y153" i="66"/>
  <c r="AC152" i="66"/>
  <c r="AB152" i="66"/>
  <c r="AA152" i="66"/>
  <c r="Z152" i="66"/>
  <c r="Y152" i="66"/>
  <c r="AC151" i="66"/>
  <c r="AB151" i="66"/>
  <c r="AA151" i="66"/>
  <c r="Z151" i="66"/>
  <c r="Y151" i="66"/>
  <c r="AC150" i="66"/>
  <c r="AB150" i="66"/>
  <c r="AA150" i="66"/>
  <c r="Z150" i="66"/>
  <c r="Y150" i="66"/>
  <c r="AC149" i="66"/>
  <c r="AB149" i="66"/>
  <c r="AA149" i="66"/>
  <c r="Z149" i="66"/>
  <c r="Y149" i="66"/>
  <c r="AC148" i="66"/>
  <c r="AB148" i="66"/>
  <c r="AA148" i="66"/>
  <c r="Z148" i="66"/>
  <c r="Y148" i="66"/>
  <c r="AC147" i="66"/>
  <c r="AB147" i="66"/>
  <c r="AA147" i="66"/>
  <c r="Z147" i="66"/>
  <c r="Y147" i="66"/>
  <c r="AC146" i="66"/>
  <c r="AB146" i="66"/>
  <c r="AA146" i="66"/>
  <c r="Z146" i="66"/>
  <c r="Y146" i="66"/>
  <c r="AC145" i="66"/>
  <c r="AB145" i="66"/>
  <c r="AA145" i="66"/>
  <c r="Z145" i="66"/>
  <c r="Y145" i="66"/>
  <c r="AC144" i="66"/>
  <c r="AB144" i="66"/>
  <c r="AA144" i="66"/>
  <c r="Z144" i="66"/>
  <c r="Y144" i="66"/>
  <c r="AC142" i="66"/>
  <c r="AB142" i="66"/>
  <c r="AA142" i="66"/>
  <c r="Z142" i="66"/>
  <c r="Y142" i="66"/>
  <c r="AF11" i="66"/>
  <c r="H31" i="66"/>
  <c r="G31" i="66"/>
  <c r="F31" i="66"/>
  <c r="E31" i="66"/>
  <c r="D31" i="66"/>
  <c r="H29" i="66"/>
  <c r="G29" i="66"/>
  <c r="F29" i="66"/>
  <c r="E29" i="66"/>
  <c r="D29" i="66"/>
  <c r="H27" i="66"/>
  <c r="G27" i="66"/>
  <c r="F27" i="66"/>
  <c r="E27" i="66"/>
  <c r="D27" i="66"/>
  <c r="H26" i="66"/>
  <c r="G26" i="66"/>
  <c r="F26" i="66"/>
  <c r="E26" i="66"/>
  <c r="D26" i="66"/>
  <c r="H25" i="66"/>
  <c r="G25" i="66"/>
  <c r="F25" i="66"/>
  <c r="E25" i="66"/>
  <c r="D25" i="66"/>
  <c r="H24" i="66"/>
  <c r="G24" i="66"/>
  <c r="E24" i="66"/>
  <c r="D24" i="66"/>
  <c r="H23" i="66"/>
  <c r="G23" i="66"/>
  <c r="F23" i="66"/>
  <c r="E23" i="66"/>
  <c r="D23" i="66"/>
  <c r="H22" i="66"/>
  <c r="G22" i="66"/>
  <c r="F22" i="66"/>
  <c r="E22" i="66"/>
  <c r="D22" i="66"/>
  <c r="H21" i="66"/>
  <c r="G21" i="66"/>
  <c r="F21" i="66"/>
  <c r="E21" i="66"/>
  <c r="D21" i="66"/>
  <c r="H20" i="66"/>
  <c r="G20" i="66"/>
  <c r="F20" i="66"/>
  <c r="E20" i="66"/>
  <c r="D20" i="66"/>
  <c r="H19" i="66"/>
  <c r="G19" i="66"/>
  <c r="F19" i="66"/>
  <c r="E19" i="66"/>
  <c r="D19" i="66"/>
  <c r="H18" i="66"/>
  <c r="G18" i="66"/>
  <c r="F18" i="66"/>
  <c r="E18" i="66"/>
  <c r="D18" i="66"/>
  <c r="H17" i="66"/>
  <c r="G17" i="66"/>
  <c r="F17" i="66"/>
  <c r="E17" i="66"/>
  <c r="D17" i="66"/>
  <c r="H16" i="66"/>
  <c r="G16" i="66"/>
  <c r="F16" i="66"/>
  <c r="E16" i="66"/>
  <c r="D16" i="66"/>
  <c r="H15" i="66"/>
  <c r="G15" i="66"/>
  <c r="F15" i="66"/>
  <c r="E15" i="66"/>
  <c r="D15" i="66"/>
  <c r="H14" i="66"/>
  <c r="G14" i="66"/>
  <c r="F14" i="66"/>
  <c r="E14" i="66"/>
  <c r="D14" i="66"/>
  <c r="H13" i="66"/>
  <c r="G13" i="66"/>
  <c r="F13" i="66"/>
  <c r="E13" i="66"/>
  <c r="D13" i="66"/>
  <c r="H11" i="66"/>
  <c r="G11" i="66"/>
  <c r="F11" i="66"/>
  <c r="E11" i="66"/>
  <c r="D11" i="66"/>
  <c r="AF11" i="65"/>
  <c r="H31" i="65"/>
  <c r="AE31" i="65" s="1"/>
  <c r="G31" i="65"/>
  <c r="F31" i="65"/>
  <c r="AC31" i="65" s="1"/>
  <c r="E31" i="65"/>
  <c r="AB31" i="65" s="1"/>
  <c r="D31" i="65"/>
  <c r="AA31" i="65" s="1"/>
  <c r="H29" i="65"/>
  <c r="G29" i="65"/>
  <c r="F29" i="65"/>
  <c r="AC29" i="65" s="1"/>
  <c r="E29" i="65"/>
  <c r="AB29" i="65" s="1"/>
  <c r="D29" i="65"/>
  <c r="AA29" i="65" s="1"/>
  <c r="AC28" i="65"/>
  <c r="AB28" i="65"/>
  <c r="AA28" i="65"/>
  <c r="H27" i="65"/>
  <c r="G27" i="65"/>
  <c r="F27" i="65"/>
  <c r="AC27" i="65" s="1"/>
  <c r="E27" i="65"/>
  <c r="AB27" i="65" s="1"/>
  <c r="D27" i="65"/>
  <c r="AA27" i="65" s="1"/>
  <c r="H26" i="65"/>
  <c r="G26" i="65"/>
  <c r="F26" i="65"/>
  <c r="AC26" i="65" s="1"/>
  <c r="E26" i="65"/>
  <c r="AB26" i="65" s="1"/>
  <c r="D26" i="65"/>
  <c r="AA26" i="65" s="1"/>
  <c r="H25" i="65"/>
  <c r="G25" i="65"/>
  <c r="F25" i="65"/>
  <c r="AC25" i="65" s="1"/>
  <c r="E25" i="65"/>
  <c r="AB25" i="65" s="1"/>
  <c r="D25" i="65"/>
  <c r="AA25" i="65" s="1"/>
  <c r="H24" i="65"/>
  <c r="G24" i="65"/>
  <c r="E24" i="65"/>
  <c r="AB24" i="65" s="1"/>
  <c r="D24" i="65"/>
  <c r="AA24" i="65" s="1"/>
  <c r="H23" i="65"/>
  <c r="G23" i="65"/>
  <c r="F23" i="65"/>
  <c r="AC23" i="65" s="1"/>
  <c r="E23" i="65"/>
  <c r="AB23" i="65" s="1"/>
  <c r="D23" i="65"/>
  <c r="AA23" i="65" s="1"/>
  <c r="H22" i="65"/>
  <c r="G22" i="65"/>
  <c r="AD22" i="65" s="1"/>
  <c r="F22" i="65"/>
  <c r="AC22" i="65" s="1"/>
  <c r="E22" i="65"/>
  <c r="AB22" i="65" s="1"/>
  <c r="D22" i="65"/>
  <c r="AA22" i="65" s="1"/>
  <c r="H21" i="65"/>
  <c r="G21" i="65"/>
  <c r="F21" i="65"/>
  <c r="AC21" i="65" s="1"/>
  <c r="E21" i="65"/>
  <c r="AB21" i="65" s="1"/>
  <c r="D21" i="65"/>
  <c r="AA21" i="65" s="1"/>
  <c r="H20" i="65"/>
  <c r="G20" i="65"/>
  <c r="F20" i="65"/>
  <c r="AC20" i="65" s="1"/>
  <c r="E20" i="65"/>
  <c r="AB20" i="65" s="1"/>
  <c r="D20" i="65"/>
  <c r="AA20" i="65" s="1"/>
  <c r="H19" i="65"/>
  <c r="G19" i="65"/>
  <c r="F19" i="65"/>
  <c r="AC19" i="65" s="1"/>
  <c r="E19" i="65"/>
  <c r="AB19" i="65" s="1"/>
  <c r="D19" i="65"/>
  <c r="AA19" i="65" s="1"/>
  <c r="H18" i="65"/>
  <c r="G18" i="65"/>
  <c r="F18" i="65"/>
  <c r="AC18" i="65" s="1"/>
  <c r="E18" i="65"/>
  <c r="AB18" i="65" s="1"/>
  <c r="D18" i="65"/>
  <c r="AA18" i="65" s="1"/>
  <c r="H17" i="65"/>
  <c r="G17" i="65"/>
  <c r="F17" i="65"/>
  <c r="AC17" i="65" s="1"/>
  <c r="E17" i="65"/>
  <c r="AB17" i="65" s="1"/>
  <c r="D17" i="65"/>
  <c r="AA17" i="65" s="1"/>
  <c r="H16" i="65"/>
  <c r="G16" i="65"/>
  <c r="F16" i="65"/>
  <c r="AC16" i="65" s="1"/>
  <c r="E16" i="65"/>
  <c r="AB16" i="65" s="1"/>
  <c r="D16" i="65"/>
  <c r="AA16" i="65" s="1"/>
  <c r="H15" i="65"/>
  <c r="G15" i="65"/>
  <c r="F15" i="65"/>
  <c r="AC15" i="65" s="1"/>
  <c r="E15" i="65"/>
  <c r="AB15" i="65" s="1"/>
  <c r="D15" i="65"/>
  <c r="AA15" i="65" s="1"/>
  <c r="H14" i="65"/>
  <c r="G14" i="65"/>
  <c r="F14" i="65"/>
  <c r="AC14" i="65" s="1"/>
  <c r="E14" i="65"/>
  <c r="AB14" i="65" s="1"/>
  <c r="D14" i="65"/>
  <c r="AA14" i="65" s="1"/>
  <c r="H13" i="65"/>
  <c r="G13" i="65"/>
  <c r="F13" i="65"/>
  <c r="AC13" i="65" s="1"/>
  <c r="E13" i="65"/>
  <c r="AB13" i="65" s="1"/>
  <c r="D13" i="65"/>
  <c r="AA13" i="65" s="1"/>
  <c r="AC12" i="65"/>
  <c r="AB12" i="65"/>
  <c r="AA12" i="65"/>
  <c r="H11" i="65"/>
  <c r="G11" i="65"/>
  <c r="F11" i="65"/>
  <c r="AC11" i="65" s="1"/>
  <c r="E11" i="65"/>
  <c r="AB11" i="65" s="1"/>
  <c r="D11" i="65"/>
  <c r="AF11" i="64"/>
  <c r="H31" i="64"/>
  <c r="AE31" i="64" s="1"/>
  <c r="G31" i="64"/>
  <c r="AD31" i="64" s="1"/>
  <c r="F31" i="64"/>
  <c r="AC31" i="64" s="1"/>
  <c r="E31" i="64"/>
  <c r="AB31" i="64" s="1"/>
  <c r="D31" i="64"/>
  <c r="H29" i="64"/>
  <c r="G29" i="64"/>
  <c r="AD29" i="64" s="1"/>
  <c r="F29" i="64"/>
  <c r="AC29" i="64" s="1"/>
  <c r="E29" i="64"/>
  <c r="AB29" i="64" s="1"/>
  <c r="D29" i="64"/>
  <c r="AD28" i="64"/>
  <c r="AC28" i="64"/>
  <c r="AB28" i="64"/>
  <c r="H27" i="64"/>
  <c r="G27" i="64"/>
  <c r="AD27" i="64" s="1"/>
  <c r="F27" i="64"/>
  <c r="AC27" i="64" s="1"/>
  <c r="E27" i="64"/>
  <c r="AB27" i="64" s="1"/>
  <c r="D27" i="64"/>
  <c r="H26" i="64"/>
  <c r="G26" i="64"/>
  <c r="AD26" i="64" s="1"/>
  <c r="F26" i="64"/>
  <c r="AC26" i="64" s="1"/>
  <c r="E26" i="64"/>
  <c r="AB26" i="64" s="1"/>
  <c r="D26" i="64"/>
  <c r="H25" i="64"/>
  <c r="G25" i="64"/>
  <c r="AD25" i="64" s="1"/>
  <c r="F25" i="64"/>
  <c r="AC25" i="64" s="1"/>
  <c r="E25" i="64"/>
  <c r="AB25" i="64" s="1"/>
  <c r="D25" i="64"/>
  <c r="H24" i="64"/>
  <c r="G24" i="64"/>
  <c r="AD24" i="64" s="1"/>
  <c r="E24" i="64"/>
  <c r="AB24" i="64" s="1"/>
  <c r="D24" i="64"/>
  <c r="H23" i="64"/>
  <c r="G23" i="64"/>
  <c r="AD23" i="64" s="1"/>
  <c r="F23" i="64"/>
  <c r="AC23" i="64" s="1"/>
  <c r="E23" i="64"/>
  <c r="AB23" i="64" s="1"/>
  <c r="D23" i="64"/>
  <c r="H22" i="64"/>
  <c r="G22" i="64"/>
  <c r="AD22" i="64" s="1"/>
  <c r="F22" i="64"/>
  <c r="AC22" i="64" s="1"/>
  <c r="E22" i="64"/>
  <c r="AB22" i="64" s="1"/>
  <c r="D22" i="64"/>
  <c r="H21" i="64"/>
  <c r="G21" i="64"/>
  <c r="AD21" i="64" s="1"/>
  <c r="F21" i="64"/>
  <c r="AC21" i="64" s="1"/>
  <c r="E21" i="64"/>
  <c r="AB21" i="64" s="1"/>
  <c r="D21" i="64"/>
  <c r="H20" i="64"/>
  <c r="G20" i="64"/>
  <c r="AD20" i="64" s="1"/>
  <c r="F20" i="64"/>
  <c r="AC20" i="64" s="1"/>
  <c r="E20" i="64"/>
  <c r="AB20" i="64" s="1"/>
  <c r="D20" i="64"/>
  <c r="H19" i="64"/>
  <c r="G19" i="64"/>
  <c r="AD19" i="64" s="1"/>
  <c r="F19" i="64"/>
  <c r="AC19" i="64" s="1"/>
  <c r="E19" i="64"/>
  <c r="AB19" i="64" s="1"/>
  <c r="D19" i="64"/>
  <c r="H18" i="64"/>
  <c r="G18" i="64"/>
  <c r="AD18" i="64" s="1"/>
  <c r="F18" i="64"/>
  <c r="AC18" i="64" s="1"/>
  <c r="E18" i="64"/>
  <c r="AB18" i="64" s="1"/>
  <c r="D18" i="64"/>
  <c r="H17" i="64"/>
  <c r="G17" i="64"/>
  <c r="AD17" i="64" s="1"/>
  <c r="F17" i="64"/>
  <c r="AC17" i="64" s="1"/>
  <c r="E17" i="64"/>
  <c r="AB17" i="64" s="1"/>
  <c r="D17" i="64"/>
  <c r="H16" i="64"/>
  <c r="G16" i="64"/>
  <c r="AD16" i="64" s="1"/>
  <c r="F16" i="64"/>
  <c r="AC16" i="64" s="1"/>
  <c r="E16" i="64"/>
  <c r="AB16" i="64" s="1"/>
  <c r="D16" i="64"/>
  <c r="H15" i="64"/>
  <c r="G15" i="64"/>
  <c r="AD15" i="64" s="1"/>
  <c r="F15" i="64"/>
  <c r="AC15" i="64" s="1"/>
  <c r="E15" i="64"/>
  <c r="AB15" i="64" s="1"/>
  <c r="D15" i="64"/>
  <c r="H14" i="64"/>
  <c r="G14" i="64"/>
  <c r="AD14" i="64" s="1"/>
  <c r="F14" i="64"/>
  <c r="AC14" i="64" s="1"/>
  <c r="E14" i="64"/>
  <c r="AB14" i="64" s="1"/>
  <c r="D14" i="64"/>
  <c r="H13" i="64"/>
  <c r="G13" i="64"/>
  <c r="AD13" i="64" s="1"/>
  <c r="F13" i="64"/>
  <c r="AC13" i="64" s="1"/>
  <c r="E13" i="64"/>
  <c r="AB13" i="64" s="1"/>
  <c r="D13" i="64"/>
  <c r="AD12" i="64"/>
  <c r="AC12" i="64"/>
  <c r="AB12" i="64"/>
  <c r="H11" i="64"/>
  <c r="G11" i="64"/>
  <c r="AD11" i="64" s="1"/>
  <c r="F11" i="64"/>
  <c r="AC11" i="64" s="1"/>
  <c r="E11" i="64"/>
  <c r="AB11" i="64" s="1"/>
  <c r="D11" i="64"/>
  <c r="AC225" i="63"/>
  <c r="H226" i="63" s="1"/>
  <c r="AB225" i="63"/>
  <c r="AA225" i="63"/>
  <c r="Z225" i="63"/>
  <c r="Y225" i="63"/>
  <c r="AC223" i="63"/>
  <c r="AB223" i="63"/>
  <c r="AA223" i="63"/>
  <c r="Z223" i="63"/>
  <c r="Y223" i="63"/>
  <c r="AC221" i="63"/>
  <c r="AB221" i="63"/>
  <c r="AA221" i="63"/>
  <c r="Z221" i="63"/>
  <c r="Y221" i="63"/>
  <c r="AC220" i="63"/>
  <c r="AB220" i="63"/>
  <c r="AA220" i="63"/>
  <c r="Z220" i="63"/>
  <c r="Y220" i="63"/>
  <c r="AC219" i="63"/>
  <c r="AB219" i="63"/>
  <c r="AA219" i="63"/>
  <c r="Z219" i="63"/>
  <c r="Y219" i="63"/>
  <c r="AC218" i="63"/>
  <c r="AB218" i="63"/>
  <c r="Z218" i="63"/>
  <c r="Y218" i="63"/>
  <c r="AC217" i="63"/>
  <c r="AB217" i="63"/>
  <c r="AA217" i="63"/>
  <c r="Z217" i="63"/>
  <c r="Y217" i="63"/>
  <c r="AC216" i="63"/>
  <c r="AB216" i="63"/>
  <c r="AA216" i="63"/>
  <c r="Z216" i="63"/>
  <c r="Y216" i="63"/>
  <c r="AC215" i="63"/>
  <c r="AB215" i="63"/>
  <c r="AA215" i="63"/>
  <c r="Z215" i="63"/>
  <c r="Y215" i="63"/>
  <c r="AC214" i="63"/>
  <c r="AB214" i="63"/>
  <c r="AA214" i="63"/>
  <c r="Z214" i="63"/>
  <c r="Y214" i="63"/>
  <c r="AC213" i="63"/>
  <c r="AB213" i="63"/>
  <c r="AA213" i="63"/>
  <c r="Z213" i="63"/>
  <c r="Y213" i="63"/>
  <c r="AC212" i="63"/>
  <c r="AB212" i="63"/>
  <c r="AA212" i="63"/>
  <c r="Z212" i="63"/>
  <c r="Y212" i="63"/>
  <c r="AC211" i="63"/>
  <c r="AB211" i="63"/>
  <c r="AA211" i="63"/>
  <c r="Z211" i="63"/>
  <c r="Y211" i="63"/>
  <c r="AC210" i="63"/>
  <c r="AB210" i="63"/>
  <c r="AA210" i="63"/>
  <c r="Z210" i="63"/>
  <c r="Y210" i="63"/>
  <c r="AC209" i="63"/>
  <c r="AB209" i="63"/>
  <c r="AA209" i="63"/>
  <c r="Z209" i="63"/>
  <c r="Y209" i="63"/>
  <c r="AC208" i="63"/>
  <c r="AB208" i="63"/>
  <c r="AA208" i="63"/>
  <c r="Z208" i="63"/>
  <c r="Y208" i="63"/>
  <c r="AC207" i="63"/>
  <c r="AB207" i="63"/>
  <c r="AA207" i="63"/>
  <c r="Z207" i="63"/>
  <c r="Y207" i="63"/>
  <c r="AC205" i="63"/>
  <c r="AB205" i="63"/>
  <c r="AA205" i="63"/>
  <c r="Z205" i="63"/>
  <c r="Y205" i="63"/>
  <c r="AC192" i="63"/>
  <c r="H193" i="63" s="1"/>
  <c r="AB192" i="63"/>
  <c r="AA192" i="63"/>
  <c r="Z192" i="63"/>
  <c r="Y192" i="63"/>
  <c r="AC190" i="63"/>
  <c r="H191" i="63" s="1"/>
  <c r="AB190" i="63"/>
  <c r="G191" i="63" s="1"/>
  <c r="AA190" i="63"/>
  <c r="F191" i="63" s="1"/>
  <c r="Z190" i="63"/>
  <c r="E191" i="63" s="1"/>
  <c r="Y190" i="63"/>
  <c r="AC188" i="63"/>
  <c r="AB188" i="63"/>
  <c r="AA188" i="63"/>
  <c r="Z188" i="63"/>
  <c r="Y188" i="63"/>
  <c r="AC187" i="63"/>
  <c r="AB187" i="63"/>
  <c r="AA187" i="63"/>
  <c r="Z187" i="63"/>
  <c r="Y187" i="63"/>
  <c r="AC186" i="63"/>
  <c r="AB186" i="63"/>
  <c r="AA186" i="63"/>
  <c r="Z186" i="63"/>
  <c r="Y186" i="63"/>
  <c r="AC185" i="63"/>
  <c r="H186" i="63" s="1"/>
  <c r="AB185" i="63"/>
  <c r="G186" i="63" s="1"/>
  <c r="Z185" i="63"/>
  <c r="E186" i="63" s="1"/>
  <c r="Y185" i="63"/>
  <c r="AC184" i="63"/>
  <c r="AB184" i="63"/>
  <c r="AA184" i="63"/>
  <c r="Z184" i="63"/>
  <c r="Y184" i="63"/>
  <c r="AC183" i="63"/>
  <c r="AB183" i="63"/>
  <c r="AA183" i="63"/>
  <c r="Z183" i="63"/>
  <c r="Y183" i="63"/>
  <c r="AC182" i="63"/>
  <c r="AB182" i="63"/>
  <c r="AA182" i="63"/>
  <c r="Z182" i="63"/>
  <c r="Y182" i="63"/>
  <c r="AC181" i="63"/>
  <c r="AB181" i="63"/>
  <c r="AA181" i="63"/>
  <c r="Z181" i="63"/>
  <c r="Y181" i="63"/>
  <c r="AC180" i="63"/>
  <c r="AB180" i="63"/>
  <c r="AA180" i="63"/>
  <c r="Z180" i="63"/>
  <c r="Y180" i="63"/>
  <c r="AC179" i="63"/>
  <c r="AB179" i="63"/>
  <c r="AA179" i="63"/>
  <c r="Z179" i="63"/>
  <c r="Y179" i="63"/>
  <c r="AC178" i="63"/>
  <c r="AB178" i="63"/>
  <c r="AA178" i="63"/>
  <c r="Z178" i="63"/>
  <c r="Y178" i="63"/>
  <c r="AC177" i="63"/>
  <c r="AB177" i="63"/>
  <c r="AA177" i="63"/>
  <c r="Z177" i="63"/>
  <c r="Y177" i="63"/>
  <c r="AC176" i="63"/>
  <c r="AB176" i="63"/>
  <c r="AA176" i="63"/>
  <c r="Z176" i="63"/>
  <c r="Y176" i="63"/>
  <c r="AC175" i="63"/>
  <c r="AB175" i="63"/>
  <c r="AA175" i="63"/>
  <c r="Z175" i="63"/>
  <c r="Y175" i="63"/>
  <c r="AC174" i="63"/>
  <c r="AB174" i="63"/>
  <c r="G175" i="63" s="1"/>
  <c r="AA174" i="63"/>
  <c r="Z174" i="63"/>
  <c r="Y174" i="63"/>
  <c r="G174" i="63"/>
  <c r="E174" i="63"/>
  <c r="AC172" i="63"/>
  <c r="AB172" i="63"/>
  <c r="AA172" i="63"/>
  <c r="Z172" i="63"/>
  <c r="Y172" i="63"/>
  <c r="AH127" i="63"/>
  <c r="AG127" i="63"/>
  <c r="AF127" i="63"/>
  <c r="AE127" i="63"/>
  <c r="AD127" i="63"/>
  <c r="AC127" i="63"/>
  <c r="AB127" i="63"/>
  <c r="AA127" i="63"/>
  <c r="Z127" i="63"/>
  <c r="Y127" i="63"/>
  <c r="AH125" i="63"/>
  <c r="AH123" i="63"/>
  <c r="AH122" i="63"/>
  <c r="AH121" i="63"/>
  <c r="AH120" i="63"/>
  <c r="AH119" i="63"/>
  <c r="AH118" i="63"/>
  <c r="AH117" i="63"/>
  <c r="AH116" i="63"/>
  <c r="AH115" i="63"/>
  <c r="AH114" i="63"/>
  <c r="AH113" i="63"/>
  <c r="AH112" i="63"/>
  <c r="AH111" i="63"/>
  <c r="AH110" i="63"/>
  <c r="AH109" i="63"/>
  <c r="AH107" i="63"/>
  <c r="X127" i="63"/>
  <c r="AC159" i="63"/>
  <c r="Y159" i="63"/>
  <c r="AC157" i="63"/>
  <c r="Y157" i="63"/>
  <c r="AC156" i="63"/>
  <c r="Y156" i="63"/>
  <c r="AC155" i="63"/>
  <c r="Y155" i="63"/>
  <c r="AC154" i="63"/>
  <c r="Y154" i="63"/>
  <c r="AC153" i="63"/>
  <c r="Y153" i="63"/>
  <c r="AC152" i="63"/>
  <c r="Y152" i="63"/>
  <c r="AC151" i="63"/>
  <c r="Y151" i="63"/>
  <c r="AC150" i="63"/>
  <c r="Y150" i="63"/>
  <c r="AC149" i="63"/>
  <c r="Y149" i="63"/>
  <c r="AC148" i="63"/>
  <c r="Y148" i="63"/>
  <c r="AC147" i="63"/>
  <c r="Y147" i="63"/>
  <c r="AC146" i="63"/>
  <c r="Y146" i="63"/>
  <c r="AC145" i="63"/>
  <c r="Y145" i="63"/>
  <c r="AC144" i="63"/>
  <c r="Y144" i="63"/>
  <c r="AC143" i="63"/>
  <c r="Y143" i="63"/>
  <c r="AC141" i="63"/>
  <c r="Y141" i="63"/>
  <c r="AF11" i="63"/>
  <c r="H31" i="63"/>
  <c r="AE31" i="63" s="1"/>
  <c r="G31" i="63"/>
  <c r="AD31" i="63" s="1"/>
  <c r="F31" i="63"/>
  <c r="AC31" i="63" s="1"/>
  <c r="E31" i="63"/>
  <c r="AB31" i="63" s="1"/>
  <c r="D31" i="63"/>
  <c r="H29" i="63"/>
  <c r="G29" i="63"/>
  <c r="AD29" i="63" s="1"/>
  <c r="F29" i="63"/>
  <c r="AC29" i="63" s="1"/>
  <c r="E29" i="63"/>
  <c r="AB29" i="63" s="1"/>
  <c r="D29" i="63"/>
  <c r="AD28" i="63"/>
  <c r="AC28" i="63"/>
  <c r="AB28" i="63"/>
  <c r="H27" i="63"/>
  <c r="G27" i="63"/>
  <c r="AD27" i="63" s="1"/>
  <c r="F27" i="63"/>
  <c r="AC27" i="63" s="1"/>
  <c r="E27" i="63"/>
  <c r="AB27" i="63" s="1"/>
  <c r="D27" i="63"/>
  <c r="H26" i="63"/>
  <c r="G26" i="63"/>
  <c r="AD26" i="63" s="1"/>
  <c r="F26" i="63"/>
  <c r="AC26" i="63" s="1"/>
  <c r="E26" i="63"/>
  <c r="AB26" i="63" s="1"/>
  <c r="D26" i="63"/>
  <c r="H25" i="63"/>
  <c r="G25" i="63"/>
  <c r="AD25" i="63" s="1"/>
  <c r="F25" i="63"/>
  <c r="AC25" i="63" s="1"/>
  <c r="E25" i="63"/>
  <c r="AB25" i="63" s="1"/>
  <c r="D25" i="63"/>
  <c r="H24" i="63"/>
  <c r="G24" i="63"/>
  <c r="AD24" i="63" s="1"/>
  <c r="E24" i="63"/>
  <c r="AB24" i="63" s="1"/>
  <c r="D24" i="63"/>
  <c r="H23" i="63"/>
  <c r="G23" i="63"/>
  <c r="AD23" i="63" s="1"/>
  <c r="F23" i="63"/>
  <c r="AC23" i="63" s="1"/>
  <c r="E23" i="63"/>
  <c r="AB23" i="63" s="1"/>
  <c r="D23" i="63"/>
  <c r="H22" i="63"/>
  <c r="G22" i="63"/>
  <c r="AD22" i="63" s="1"/>
  <c r="F22" i="63"/>
  <c r="AC22" i="63" s="1"/>
  <c r="E22" i="63"/>
  <c r="AB22" i="63" s="1"/>
  <c r="D22" i="63"/>
  <c r="H21" i="63"/>
  <c r="G21" i="63"/>
  <c r="AD21" i="63" s="1"/>
  <c r="F21" i="63"/>
  <c r="AC21" i="63" s="1"/>
  <c r="E21" i="63"/>
  <c r="AB21" i="63" s="1"/>
  <c r="D21" i="63"/>
  <c r="H20" i="63"/>
  <c r="G20" i="63"/>
  <c r="AD20" i="63" s="1"/>
  <c r="F20" i="63"/>
  <c r="AC20" i="63" s="1"/>
  <c r="E20" i="63"/>
  <c r="AB20" i="63" s="1"/>
  <c r="D20" i="63"/>
  <c r="H19" i="63"/>
  <c r="G19" i="63"/>
  <c r="AD19" i="63" s="1"/>
  <c r="F19" i="63"/>
  <c r="AC19" i="63" s="1"/>
  <c r="E19" i="63"/>
  <c r="AB19" i="63" s="1"/>
  <c r="D19" i="63"/>
  <c r="H18" i="63"/>
  <c r="G18" i="63"/>
  <c r="AD18" i="63" s="1"/>
  <c r="F18" i="63"/>
  <c r="AC18" i="63" s="1"/>
  <c r="E18" i="63"/>
  <c r="AB18" i="63" s="1"/>
  <c r="D18" i="63"/>
  <c r="H17" i="63"/>
  <c r="G17" i="63"/>
  <c r="AD17" i="63" s="1"/>
  <c r="F17" i="63"/>
  <c r="AC17" i="63" s="1"/>
  <c r="E17" i="63"/>
  <c r="AB17" i="63" s="1"/>
  <c r="D17" i="63"/>
  <c r="H16" i="63"/>
  <c r="G16" i="63"/>
  <c r="AD16" i="63" s="1"/>
  <c r="F16" i="63"/>
  <c r="AC16" i="63" s="1"/>
  <c r="E16" i="63"/>
  <c r="AB16" i="63" s="1"/>
  <c r="D16" i="63"/>
  <c r="H15" i="63"/>
  <c r="G15" i="63"/>
  <c r="AD15" i="63" s="1"/>
  <c r="F15" i="63"/>
  <c r="AC15" i="63" s="1"/>
  <c r="E15" i="63"/>
  <c r="AB15" i="63" s="1"/>
  <c r="D15" i="63"/>
  <c r="H14" i="63"/>
  <c r="G14" i="63"/>
  <c r="AD14" i="63" s="1"/>
  <c r="F14" i="63"/>
  <c r="AC14" i="63" s="1"/>
  <c r="E14" i="63"/>
  <c r="AB14" i="63" s="1"/>
  <c r="D14" i="63"/>
  <c r="H13" i="63"/>
  <c r="G13" i="63"/>
  <c r="AD13" i="63" s="1"/>
  <c r="F13" i="63"/>
  <c r="AC13" i="63" s="1"/>
  <c r="E13" i="63"/>
  <c r="AB13" i="63" s="1"/>
  <c r="D13" i="63"/>
  <c r="AD12" i="63"/>
  <c r="AC12" i="63"/>
  <c r="AB12" i="63"/>
  <c r="H11" i="63"/>
  <c r="G11" i="63"/>
  <c r="AD11" i="63" s="1"/>
  <c r="F11" i="63"/>
  <c r="AC11" i="63" s="1"/>
  <c r="E11" i="63"/>
  <c r="AB11" i="63" s="1"/>
  <c r="D11" i="63"/>
  <c r="AF11" i="62"/>
  <c r="H31" i="62"/>
  <c r="G31" i="62"/>
  <c r="F31" i="62"/>
  <c r="E31" i="62"/>
  <c r="D31" i="62"/>
  <c r="AA31" i="62" s="1"/>
  <c r="H29" i="62"/>
  <c r="G29" i="62"/>
  <c r="AD29" i="62" s="1"/>
  <c r="F29" i="62"/>
  <c r="AC29" i="62" s="1"/>
  <c r="E29" i="62"/>
  <c r="AB29" i="62" s="1"/>
  <c r="D29" i="62"/>
  <c r="AA29" i="62" s="1"/>
  <c r="AD28" i="62"/>
  <c r="AC28" i="62"/>
  <c r="AB28" i="62"/>
  <c r="AA28" i="62"/>
  <c r="H27" i="62"/>
  <c r="G27" i="62"/>
  <c r="AD27" i="62" s="1"/>
  <c r="F27" i="62"/>
  <c r="AC27" i="62" s="1"/>
  <c r="E27" i="62"/>
  <c r="AB27" i="62" s="1"/>
  <c r="D27" i="62"/>
  <c r="AA27" i="62" s="1"/>
  <c r="H26" i="62"/>
  <c r="G26" i="62"/>
  <c r="AD26" i="62" s="1"/>
  <c r="F26" i="62"/>
  <c r="AC26" i="62" s="1"/>
  <c r="E26" i="62"/>
  <c r="AB26" i="62" s="1"/>
  <c r="D26" i="62"/>
  <c r="AA26" i="62" s="1"/>
  <c r="H25" i="62"/>
  <c r="G25" i="62"/>
  <c r="AD25" i="62" s="1"/>
  <c r="F25" i="62"/>
  <c r="AC25" i="62" s="1"/>
  <c r="E25" i="62"/>
  <c r="AB25" i="62" s="1"/>
  <c r="D25" i="62"/>
  <c r="AA25" i="62" s="1"/>
  <c r="H24" i="62"/>
  <c r="G24" i="62"/>
  <c r="AD24" i="62" s="1"/>
  <c r="E24" i="62"/>
  <c r="AB24" i="62" s="1"/>
  <c r="D24" i="62"/>
  <c r="AA24" i="62" s="1"/>
  <c r="H23" i="62"/>
  <c r="G23" i="62"/>
  <c r="AD23" i="62" s="1"/>
  <c r="F23" i="62"/>
  <c r="AC23" i="62" s="1"/>
  <c r="E23" i="62"/>
  <c r="AB23" i="62" s="1"/>
  <c r="D23" i="62"/>
  <c r="AA23" i="62" s="1"/>
  <c r="H22" i="62"/>
  <c r="G22" i="62"/>
  <c r="AD22" i="62" s="1"/>
  <c r="F22" i="62"/>
  <c r="AC22" i="62" s="1"/>
  <c r="E22" i="62"/>
  <c r="AB22" i="62" s="1"/>
  <c r="D22" i="62"/>
  <c r="AA22" i="62" s="1"/>
  <c r="H21" i="62"/>
  <c r="G21" i="62"/>
  <c r="AD21" i="62" s="1"/>
  <c r="F21" i="62"/>
  <c r="AC21" i="62" s="1"/>
  <c r="E21" i="62"/>
  <c r="AB21" i="62" s="1"/>
  <c r="D21" i="62"/>
  <c r="AA21" i="62" s="1"/>
  <c r="H20" i="62"/>
  <c r="G20" i="62"/>
  <c r="AD20" i="62" s="1"/>
  <c r="F20" i="62"/>
  <c r="AC20" i="62" s="1"/>
  <c r="E20" i="62"/>
  <c r="AB20" i="62" s="1"/>
  <c r="D20" i="62"/>
  <c r="AA20" i="62" s="1"/>
  <c r="H19" i="62"/>
  <c r="G19" i="62"/>
  <c r="AD19" i="62" s="1"/>
  <c r="F19" i="62"/>
  <c r="AC19" i="62" s="1"/>
  <c r="E19" i="62"/>
  <c r="AB19" i="62" s="1"/>
  <c r="D19" i="62"/>
  <c r="AA19" i="62" s="1"/>
  <c r="H18" i="62"/>
  <c r="G18" i="62"/>
  <c r="AD18" i="62" s="1"/>
  <c r="F18" i="62"/>
  <c r="AC18" i="62" s="1"/>
  <c r="E18" i="62"/>
  <c r="AB18" i="62" s="1"/>
  <c r="D18" i="62"/>
  <c r="AA18" i="62" s="1"/>
  <c r="H17" i="62"/>
  <c r="G17" i="62"/>
  <c r="AD17" i="62" s="1"/>
  <c r="F17" i="62"/>
  <c r="AC17" i="62" s="1"/>
  <c r="E17" i="62"/>
  <c r="AB17" i="62" s="1"/>
  <c r="D17" i="62"/>
  <c r="AA17" i="62" s="1"/>
  <c r="H16" i="62"/>
  <c r="G16" i="62"/>
  <c r="AD16" i="62" s="1"/>
  <c r="F16" i="62"/>
  <c r="AC16" i="62" s="1"/>
  <c r="E16" i="62"/>
  <c r="AB16" i="62" s="1"/>
  <c r="D16" i="62"/>
  <c r="AA16" i="62" s="1"/>
  <c r="H15" i="62"/>
  <c r="G15" i="62"/>
  <c r="AD15" i="62" s="1"/>
  <c r="F15" i="62"/>
  <c r="AC15" i="62" s="1"/>
  <c r="E15" i="62"/>
  <c r="AB15" i="62" s="1"/>
  <c r="D15" i="62"/>
  <c r="AA15" i="62" s="1"/>
  <c r="H14" i="62"/>
  <c r="G14" i="62"/>
  <c r="AD14" i="62" s="1"/>
  <c r="F14" i="62"/>
  <c r="AC14" i="62" s="1"/>
  <c r="E14" i="62"/>
  <c r="AB14" i="62" s="1"/>
  <c r="D14" i="62"/>
  <c r="AA14" i="62" s="1"/>
  <c r="H13" i="62"/>
  <c r="G13" i="62"/>
  <c r="AD13" i="62" s="1"/>
  <c r="F13" i="62"/>
  <c r="AC13" i="62" s="1"/>
  <c r="E13" i="62"/>
  <c r="AB13" i="62" s="1"/>
  <c r="D13" i="62"/>
  <c r="AA13" i="62" s="1"/>
  <c r="AD12" i="62"/>
  <c r="AC12" i="62"/>
  <c r="AB12" i="62"/>
  <c r="AA12" i="62"/>
  <c r="H11" i="62"/>
  <c r="G11" i="62"/>
  <c r="AD11" i="62" s="1"/>
  <c r="F11" i="62"/>
  <c r="AC11" i="62" s="1"/>
  <c r="E11" i="62"/>
  <c r="AB11" i="62" s="1"/>
  <c r="D11" i="62"/>
  <c r="AA11" i="62" s="1"/>
  <c r="AD143" i="63" l="1"/>
  <c r="AE143" i="63" s="1"/>
  <c r="AD151" i="63"/>
  <c r="AE151" i="63" s="1"/>
  <c r="AD160" i="63"/>
  <c r="AE160" i="63" s="1"/>
  <c r="AD141" i="63"/>
  <c r="AE141" i="63" s="1"/>
  <c r="AD150" i="63"/>
  <c r="AE150" i="63" s="1"/>
  <c r="AD159" i="63"/>
  <c r="AE159" i="63" s="1"/>
  <c r="AD147" i="63"/>
  <c r="AE147" i="63" s="1"/>
  <c r="AD155" i="63"/>
  <c r="AE155" i="63" s="1"/>
  <c r="AD144" i="63"/>
  <c r="AE144" i="63" s="1"/>
  <c r="AD152" i="63"/>
  <c r="AE152" i="63" s="1"/>
  <c r="AD149" i="63"/>
  <c r="AE149" i="63" s="1"/>
  <c r="AD157" i="63"/>
  <c r="AE157" i="63" s="1"/>
  <c r="AD146" i="63"/>
  <c r="AE146" i="63" s="1"/>
  <c r="AD154" i="63"/>
  <c r="AE154" i="63" s="1"/>
  <c r="AD148" i="63"/>
  <c r="AE148" i="63" s="1"/>
  <c r="AD156" i="63"/>
  <c r="AE156" i="63" s="1"/>
  <c r="AD145" i="63"/>
  <c r="AE145" i="63" s="1"/>
  <c r="AD153" i="63"/>
  <c r="AE153" i="63" s="1"/>
  <c r="Z159" i="67"/>
  <c r="E159" i="67" s="1"/>
  <c r="AK26" i="67"/>
  <c r="AA14" i="67"/>
  <c r="Y145" i="67"/>
  <c r="D145" i="67" s="1"/>
  <c r="AA11" i="67"/>
  <c r="Y142" i="67"/>
  <c r="D142" i="67" s="1"/>
  <c r="AA16" i="67"/>
  <c r="Y147" i="67"/>
  <c r="D147" i="67" s="1"/>
  <c r="AA12" i="67"/>
  <c r="Y143" i="67"/>
  <c r="D143" i="67" s="1"/>
  <c r="AA17" i="67"/>
  <c r="Y148" i="67"/>
  <c r="D148" i="67" s="1"/>
  <c r="AA24" i="67"/>
  <c r="Y156" i="67"/>
  <c r="D156" i="67" s="1"/>
  <c r="AA29" i="67"/>
  <c r="Y162" i="67"/>
  <c r="D162" i="67" s="1"/>
  <c r="AA28" i="67"/>
  <c r="Y161" i="67"/>
  <c r="D161" i="67" s="1"/>
  <c r="Y155" i="67"/>
  <c r="D155" i="67" s="1"/>
  <c r="AA13" i="67"/>
  <c r="Y144" i="67"/>
  <c r="D144" i="67" s="1"/>
  <c r="AA21" i="67"/>
  <c r="Y152" i="67"/>
  <c r="D152" i="67" s="1"/>
  <c r="AA27" i="67"/>
  <c r="Y160" i="67"/>
  <c r="D160" i="67" s="1"/>
  <c r="AA20" i="67"/>
  <c r="Y151" i="67"/>
  <c r="D151" i="67" s="1"/>
  <c r="AA26" i="67"/>
  <c r="Y159" i="67"/>
  <c r="D159" i="67" s="1"/>
  <c r="AA22" i="67"/>
  <c r="Y153" i="67"/>
  <c r="D153" i="67" s="1"/>
  <c r="Y158" i="67"/>
  <c r="D158" i="67" s="1"/>
  <c r="AA19" i="67"/>
  <c r="Y150" i="67"/>
  <c r="D150" i="67" s="1"/>
  <c r="AA15" i="67"/>
  <c r="Y146" i="67"/>
  <c r="D146" i="67" s="1"/>
  <c r="AB22" i="67"/>
  <c r="Z153" i="67"/>
  <c r="E153" i="67" s="1"/>
  <c r="AA18" i="67"/>
  <c r="Y149" i="67"/>
  <c r="D149" i="67" s="1"/>
  <c r="AA25" i="67"/>
  <c r="Y157" i="67"/>
  <c r="D157" i="67" s="1"/>
  <c r="G120" i="66"/>
  <c r="AE22" i="62"/>
  <c r="Y22" i="62"/>
  <c r="AE22" i="63"/>
  <c r="Y22" i="63"/>
  <c r="AE25" i="63"/>
  <c r="Y25" i="63"/>
  <c r="AE11" i="64"/>
  <c r="Y11" i="64"/>
  <c r="AE15" i="64"/>
  <c r="Y15" i="64"/>
  <c r="AE19" i="64"/>
  <c r="Y19" i="64"/>
  <c r="AE14" i="65"/>
  <c r="Y14" i="65"/>
  <c r="AE22" i="65"/>
  <c r="Y22" i="65"/>
  <c r="AC152" i="67"/>
  <c r="H152" i="67" s="1"/>
  <c r="Y21" i="67"/>
  <c r="AE12" i="62"/>
  <c r="Y12" i="62"/>
  <c r="AE16" i="62"/>
  <c r="Y16" i="62"/>
  <c r="AE20" i="62"/>
  <c r="Y20" i="62"/>
  <c r="AE12" i="63"/>
  <c r="Y12" i="63"/>
  <c r="AE20" i="63"/>
  <c r="Y20" i="63"/>
  <c r="AE13" i="62"/>
  <c r="Y13" i="62"/>
  <c r="AE17" i="62"/>
  <c r="Y17" i="62"/>
  <c r="AE21" i="62"/>
  <c r="Y21" i="62"/>
  <c r="AE24" i="62"/>
  <c r="Y24" i="62"/>
  <c r="AE26" i="62"/>
  <c r="Y26" i="62"/>
  <c r="AE13" i="63"/>
  <c r="Y13" i="63"/>
  <c r="AE17" i="63"/>
  <c r="Y17" i="63"/>
  <c r="AE21" i="63"/>
  <c r="Y21" i="63"/>
  <c r="AE24" i="63"/>
  <c r="Y24" i="63"/>
  <c r="AE26" i="63"/>
  <c r="Y26" i="63"/>
  <c r="AE14" i="64"/>
  <c r="Y14" i="64"/>
  <c r="AE18" i="64"/>
  <c r="Y18" i="64"/>
  <c r="AE22" i="64"/>
  <c r="Y22" i="64"/>
  <c r="AE25" i="64"/>
  <c r="Y25" i="64"/>
  <c r="AE27" i="64"/>
  <c r="Y27" i="64"/>
  <c r="AE13" i="65"/>
  <c r="Y13" i="65"/>
  <c r="AE17" i="65"/>
  <c r="Y17" i="65"/>
  <c r="AE21" i="65"/>
  <c r="Y21" i="65"/>
  <c r="AE24" i="65"/>
  <c r="Y24" i="65"/>
  <c r="AE26" i="65"/>
  <c r="Y26" i="65"/>
  <c r="Y12" i="66"/>
  <c r="Y16" i="66"/>
  <c r="Y20" i="66"/>
  <c r="Y29" i="66"/>
  <c r="Y12" i="67"/>
  <c r="Y16" i="67"/>
  <c r="Y20" i="67"/>
  <c r="Y29" i="67"/>
  <c r="AE25" i="62"/>
  <c r="Y25" i="62"/>
  <c r="AE14" i="63"/>
  <c r="Y14" i="63"/>
  <c r="AE23" i="64"/>
  <c r="Z23" i="64"/>
  <c r="Y23" i="64"/>
  <c r="Y13" i="66"/>
  <c r="Y21" i="66"/>
  <c r="Y26" i="66"/>
  <c r="Y13" i="67"/>
  <c r="AE11" i="62"/>
  <c r="Y11" i="62"/>
  <c r="AE15" i="62"/>
  <c r="Y15" i="62"/>
  <c r="AE19" i="62"/>
  <c r="Y19" i="62"/>
  <c r="AE23" i="62"/>
  <c r="Z23" i="62"/>
  <c r="Y23" i="62"/>
  <c r="AE28" i="62"/>
  <c r="Y28" i="62"/>
  <c r="AE11" i="63"/>
  <c r="Y11" i="63"/>
  <c r="AE15" i="63"/>
  <c r="Y15" i="63"/>
  <c r="AE19" i="63"/>
  <c r="Y19" i="63"/>
  <c r="AE23" i="63"/>
  <c r="Y23" i="63"/>
  <c r="Z23" i="63"/>
  <c r="Y28" i="63"/>
  <c r="AE12" i="64"/>
  <c r="Y12" i="64"/>
  <c r="AE16" i="64"/>
  <c r="Y16" i="64"/>
  <c r="AE20" i="64"/>
  <c r="Y20" i="64"/>
  <c r="AE29" i="64"/>
  <c r="Y29" i="64"/>
  <c r="AE11" i="65"/>
  <c r="Y11" i="65"/>
  <c r="AE15" i="65"/>
  <c r="Y15" i="65"/>
  <c r="AE19" i="65"/>
  <c r="Y19" i="65"/>
  <c r="AE23" i="65"/>
  <c r="Y23" i="65"/>
  <c r="Z23" i="65"/>
  <c r="AE28" i="65"/>
  <c r="Y28" i="65"/>
  <c r="Y14" i="66"/>
  <c r="Y18" i="66"/>
  <c r="Y22" i="66"/>
  <c r="Y25" i="66"/>
  <c r="Y27" i="66"/>
  <c r="Y14" i="67"/>
  <c r="AC149" i="67"/>
  <c r="H149" i="67" s="1"/>
  <c r="Y18" i="67"/>
  <c r="Y22" i="67"/>
  <c r="AC157" i="67"/>
  <c r="H157" i="67" s="1"/>
  <c r="Y25" i="67"/>
  <c r="AC160" i="67"/>
  <c r="H160" i="67" s="1"/>
  <c r="Y27" i="67"/>
  <c r="AE14" i="62"/>
  <c r="Y14" i="62"/>
  <c r="AE18" i="62"/>
  <c r="Y18" i="62"/>
  <c r="AE27" i="62"/>
  <c r="Y27" i="62"/>
  <c r="AE18" i="63"/>
  <c r="Y18" i="63"/>
  <c r="AE27" i="63"/>
  <c r="Y27" i="63"/>
  <c r="AE28" i="64"/>
  <c r="Y28" i="64"/>
  <c r="AE18" i="65"/>
  <c r="Y18" i="65"/>
  <c r="AE25" i="65"/>
  <c r="Y25" i="65"/>
  <c r="AE27" i="65"/>
  <c r="Y27" i="65"/>
  <c r="Y17" i="66"/>
  <c r="Y24" i="66"/>
  <c r="Y17" i="67"/>
  <c r="Y24" i="67"/>
  <c r="Y26" i="67"/>
  <c r="AE29" i="62"/>
  <c r="Y29" i="62"/>
  <c r="AE16" i="63"/>
  <c r="Y16" i="63"/>
  <c r="AE29" i="63"/>
  <c r="Y29" i="63"/>
  <c r="AE13" i="64"/>
  <c r="Y13" i="64"/>
  <c r="AE17" i="64"/>
  <c r="Y17" i="64"/>
  <c r="AE21" i="64"/>
  <c r="Y21" i="64"/>
  <c r="AE24" i="64"/>
  <c r="Y24" i="64"/>
  <c r="AE26" i="64"/>
  <c r="Y26" i="64"/>
  <c r="AE12" i="65"/>
  <c r="Y12" i="65"/>
  <c r="AE16" i="65"/>
  <c r="Y16" i="65"/>
  <c r="AE20" i="65"/>
  <c r="Y20" i="65"/>
  <c r="AE29" i="65"/>
  <c r="Y29" i="65"/>
  <c r="Y11" i="66"/>
  <c r="Y15" i="66"/>
  <c r="Y19" i="66"/>
  <c r="Z23" i="66"/>
  <c r="Y23" i="66"/>
  <c r="Y28" i="66"/>
  <c r="AE11" i="67"/>
  <c r="Y11" i="67"/>
  <c r="AE15" i="67"/>
  <c r="Y15" i="67"/>
  <c r="Y19" i="67"/>
  <c r="Z23" i="67"/>
  <c r="Y23" i="67"/>
  <c r="Y28" i="67"/>
  <c r="Q30" i="69"/>
  <c r="Q31" i="69"/>
  <c r="AG11" i="69"/>
  <c r="Q134" i="68"/>
  <c r="Q133" i="68"/>
  <c r="Q31" i="68"/>
  <c r="Q30" i="68"/>
  <c r="AH26" i="68"/>
  <c r="Q26" i="68" s="1"/>
  <c r="S101" i="76" s="1"/>
  <c r="Q31" i="66"/>
  <c r="Q30" i="66"/>
  <c r="Q31" i="62"/>
  <c r="Q30" i="62"/>
  <c r="AB12" i="66"/>
  <c r="E143" i="66"/>
  <c r="E110" i="66"/>
  <c r="AE13" i="66"/>
  <c r="H111" i="66"/>
  <c r="H144" i="66"/>
  <c r="AC15" i="66"/>
  <c r="F113" i="66"/>
  <c r="F146" i="66"/>
  <c r="AB16" i="66"/>
  <c r="E114" i="66"/>
  <c r="E147" i="66"/>
  <c r="AE17" i="66"/>
  <c r="H115" i="66"/>
  <c r="H148" i="66"/>
  <c r="AC19" i="66"/>
  <c r="F117" i="66"/>
  <c r="F150" i="66"/>
  <c r="D119" i="66"/>
  <c r="D152" i="66"/>
  <c r="AE24" i="66"/>
  <c r="H122" i="66"/>
  <c r="H155" i="66"/>
  <c r="D124" i="66"/>
  <c r="D157" i="66"/>
  <c r="AD27" i="66"/>
  <c r="G158" i="66"/>
  <c r="AB29" i="66"/>
  <c r="E127" i="66"/>
  <c r="E160" i="66"/>
  <c r="AD31" i="66"/>
  <c r="G162" i="66"/>
  <c r="D142" i="66"/>
  <c r="D109" i="66"/>
  <c r="AE11" i="66"/>
  <c r="H142" i="66"/>
  <c r="H109" i="66"/>
  <c r="AD12" i="66"/>
  <c r="G143" i="66"/>
  <c r="AC13" i="66"/>
  <c r="F111" i="66"/>
  <c r="F144" i="66"/>
  <c r="AB14" i="66"/>
  <c r="E145" i="66"/>
  <c r="E112" i="66"/>
  <c r="D113" i="66"/>
  <c r="D146" i="66"/>
  <c r="AE15" i="66"/>
  <c r="H146" i="66"/>
  <c r="H113" i="66"/>
  <c r="AD16" i="66"/>
  <c r="G147" i="66"/>
  <c r="AC17" i="66"/>
  <c r="F148" i="66"/>
  <c r="F115" i="66"/>
  <c r="AB18" i="66"/>
  <c r="E149" i="66"/>
  <c r="E116" i="66"/>
  <c r="D117" i="66"/>
  <c r="D150" i="66"/>
  <c r="AE19" i="66"/>
  <c r="H150" i="66"/>
  <c r="H117" i="66"/>
  <c r="AD20" i="66"/>
  <c r="G151" i="66"/>
  <c r="AC21" i="66"/>
  <c r="F152" i="66"/>
  <c r="F119" i="66"/>
  <c r="AB22" i="66"/>
  <c r="E153" i="66"/>
  <c r="E120" i="66"/>
  <c r="D121" i="66"/>
  <c r="D154" i="66"/>
  <c r="AE23" i="66"/>
  <c r="H121" i="66"/>
  <c r="H154" i="66"/>
  <c r="AB25" i="66"/>
  <c r="E156" i="66"/>
  <c r="E123" i="66"/>
  <c r="AC26" i="66"/>
  <c r="F157" i="66"/>
  <c r="F124" i="66"/>
  <c r="AB27" i="66"/>
  <c r="E158" i="66"/>
  <c r="E125" i="66"/>
  <c r="D126" i="66"/>
  <c r="D159" i="66"/>
  <c r="AE28" i="66"/>
  <c r="H126" i="66"/>
  <c r="H159" i="66"/>
  <c r="AD29" i="66"/>
  <c r="G160" i="66"/>
  <c r="AB31" i="66"/>
  <c r="E129" i="66"/>
  <c r="E162" i="66"/>
  <c r="E149" i="67"/>
  <c r="AE19" i="67"/>
  <c r="AC150" i="67"/>
  <c r="H150" i="67" s="1"/>
  <c r="AA23" i="67"/>
  <c r="Y154" i="67"/>
  <c r="AE23" i="67"/>
  <c r="AC154" i="67"/>
  <c r="H154" i="67" s="1"/>
  <c r="AC11" i="66"/>
  <c r="F109" i="66"/>
  <c r="F142" i="66"/>
  <c r="D144" i="66"/>
  <c r="D111" i="66"/>
  <c r="D115" i="66"/>
  <c r="D148" i="66"/>
  <c r="AD18" i="66"/>
  <c r="G149" i="66"/>
  <c r="AB20" i="66"/>
  <c r="E118" i="66"/>
  <c r="E151" i="66"/>
  <c r="AE21" i="66"/>
  <c r="H119" i="66"/>
  <c r="H152" i="66"/>
  <c r="AC23" i="66"/>
  <c r="F121" i="66"/>
  <c r="F154" i="66"/>
  <c r="D122" i="66"/>
  <c r="D155" i="66"/>
  <c r="AD25" i="66"/>
  <c r="G156" i="66"/>
  <c r="AE26" i="66"/>
  <c r="H124" i="66"/>
  <c r="H157" i="66"/>
  <c r="AC28" i="66"/>
  <c r="F159" i="66"/>
  <c r="F126" i="66"/>
  <c r="H161" i="66"/>
  <c r="H128" i="66"/>
  <c r="AB11" i="66"/>
  <c r="E109" i="66"/>
  <c r="E142" i="66"/>
  <c r="D143" i="66"/>
  <c r="D110" i="66"/>
  <c r="AE12" i="66"/>
  <c r="H110" i="66"/>
  <c r="H143" i="66"/>
  <c r="AD13" i="66"/>
  <c r="G144" i="66"/>
  <c r="AB15" i="66"/>
  <c r="E113" i="66"/>
  <c r="E146" i="66"/>
  <c r="D114" i="66"/>
  <c r="D147" i="66"/>
  <c r="AE16" i="66"/>
  <c r="H114" i="66"/>
  <c r="H147" i="66"/>
  <c r="AD17" i="66"/>
  <c r="G148" i="66"/>
  <c r="AC18" i="66"/>
  <c r="F149" i="66"/>
  <c r="F116" i="66"/>
  <c r="AB19" i="66"/>
  <c r="E117" i="66"/>
  <c r="E150" i="66"/>
  <c r="D118" i="66"/>
  <c r="D151" i="66"/>
  <c r="AE20" i="66"/>
  <c r="H118" i="66"/>
  <c r="H151" i="66"/>
  <c r="AD21" i="66"/>
  <c r="G152" i="66"/>
  <c r="AC22" i="66"/>
  <c r="F153" i="66"/>
  <c r="F120" i="66"/>
  <c r="AB23" i="66"/>
  <c r="E154" i="66"/>
  <c r="E121" i="66"/>
  <c r="AD24" i="66"/>
  <c r="G155" i="66"/>
  <c r="AC25" i="66"/>
  <c r="F156" i="66"/>
  <c r="F123" i="66"/>
  <c r="AD26" i="66"/>
  <c r="G157" i="66"/>
  <c r="AC27" i="66"/>
  <c r="F158" i="66"/>
  <c r="F125" i="66"/>
  <c r="AB28" i="66"/>
  <c r="E159" i="66"/>
  <c r="E126" i="66"/>
  <c r="D127" i="66"/>
  <c r="D160" i="66"/>
  <c r="AE29" i="66"/>
  <c r="H160" i="66"/>
  <c r="H127" i="66"/>
  <c r="AC31" i="66"/>
  <c r="F129" i="66"/>
  <c r="F162" i="66"/>
  <c r="AD11" i="66"/>
  <c r="G142" i="66"/>
  <c r="AC12" i="66"/>
  <c r="F110" i="66"/>
  <c r="F143" i="66"/>
  <c r="AB13" i="66"/>
  <c r="E111" i="66"/>
  <c r="E144" i="66"/>
  <c r="D112" i="66"/>
  <c r="D145" i="66"/>
  <c r="AE14" i="66"/>
  <c r="H112" i="66"/>
  <c r="H145" i="66"/>
  <c r="AD15" i="66"/>
  <c r="G146" i="66"/>
  <c r="AC16" i="66"/>
  <c r="F147" i="66"/>
  <c r="F114" i="66"/>
  <c r="AB17" i="66"/>
  <c r="E115" i="66"/>
  <c r="E148" i="66"/>
  <c r="D116" i="66"/>
  <c r="D149" i="66"/>
  <c r="AE18" i="66"/>
  <c r="H116" i="66"/>
  <c r="H149" i="66"/>
  <c r="AD19" i="66"/>
  <c r="G150" i="66"/>
  <c r="AC20" i="66"/>
  <c r="F151" i="66"/>
  <c r="F118" i="66"/>
  <c r="AB21" i="66"/>
  <c r="E119" i="66"/>
  <c r="E152" i="66"/>
  <c r="D120" i="66"/>
  <c r="D153" i="66"/>
  <c r="AE22" i="66"/>
  <c r="H120" i="66"/>
  <c r="H153" i="66"/>
  <c r="AD23" i="66"/>
  <c r="G154" i="66"/>
  <c r="AB24" i="66"/>
  <c r="E122" i="66"/>
  <c r="E155" i="66"/>
  <c r="D123" i="66"/>
  <c r="D156" i="66"/>
  <c r="AE25" i="66"/>
  <c r="H123" i="66"/>
  <c r="H156" i="66"/>
  <c r="AB26" i="66"/>
  <c r="E157" i="66"/>
  <c r="E124" i="66"/>
  <c r="D125" i="66"/>
  <c r="D158" i="66"/>
  <c r="AE27" i="66"/>
  <c r="H125" i="66"/>
  <c r="H158" i="66"/>
  <c r="AD28" i="66"/>
  <c r="G159" i="66"/>
  <c r="AC29" i="66"/>
  <c r="F127" i="66"/>
  <c r="F160" i="66"/>
  <c r="D162" i="66"/>
  <c r="D129" i="66"/>
  <c r="AE31" i="66"/>
  <c r="H162" i="66"/>
  <c r="H129" i="66"/>
  <c r="AD14" i="66"/>
  <c r="G145" i="66"/>
  <c r="AB163" i="67"/>
  <c r="G163" i="67" s="1"/>
  <c r="G145" i="67"/>
  <c r="AC14" i="66"/>
  <c r="F145" i="66"/>
  <c r="F112" i="66"/>
  <c r="F145" i="67"/>
  <c r="AD13" i="65"/>
  <c r="G111" i="66"/>
  <c r="AD17" i="65"/>
  <c r="G115" i="66"/>
  <c r="AD21" i="65"/>
  <c r="G119" i="66"/>
  <c r="AD24" i="65"/>
  <c r="G122" i="66"/>
  <c r="AD26" i="65"/>
  <c r="G124" i="66"/>
  <c r="AD14" i="65"/>
  <c r="G112" i="66"/>
  <c r="AD18" i="65"/>
  <c r="G116" i="66"/>
  <c r="AD25" i="65"/>
  <c r="G123" i="66"/>
  <c r="AD27" i="65"/>
  <c r="G125" i="66"/>
  <c r="AD31" i="65"/>
  <c r="G129" i="66"/>
  <c r="AD11" i="65"/>
  <c r="G109" i="66"/>
  <c r="AD15" i="65"/>
  <c r="G113" i="66"/>
  <c r="AD19" i="65"/>
  <c r="G117" i="66"/>
  <c r="AD23" i="65"/>
  <c r="G121" i="66"/>
  <c r="AD28" i="65"/>
  <c r="G126" i="66"/>
  <c r="AD22" i="66"/>
  <c r="G153" i="66"/>
  <c r="AD12" i="65"/>
  <c r="G110" i="66"/>
  <c r="AD16" i="65"/>
  <c r="G114" i="66"/>
  <c r="AD20" i="65"/>
  <c r="G118" i="66"/>
  <c r="AD29" i="65"/>
  <c r="G127" i="66"/>
  <c r="AE28" i="63"/>
  <c r="E158" i="63"/>
  <c r="H110" i="67"/>
  <c r="AE12" i="67"/>
  <c r="H114" i="67"/>
  <c r="AE16" i="67"/>
  <c r="H118" i="67"/>
  <c r="AE20" i="67"/>
  <c r="H127" i="67"/>
  <c r="AE29" i="67"/>
  <c r="H128" i="62"/>
  <c r="AE31" i="62"/>
  <c r="H111" i="67"/>
  <c r="AE13" i="67"/>
  <c r="H115" i="67"/>
  <c r="AE17" i="67"/>
  <c r="H119" i="67"/>
  <c r="AE21" i="67"/>
  <c r="H122" i="67"/>
  <c r="AE25" i="67"/>
  <c r="H124" i="67"/>
  <c r="AE27" i="67"/>
  <c r="H112" i="67"/>
  <c r="AE14" i="67"/>
  <c r="H116" i="67"/>
  <c r="AE18" i="67"/>
  <c r="H120" i="67"/>
  <c r="AE22" i="67"/>
  <c r="H123" i="67"/>
  <c r="AE26" i="67"/>
  <c r="H125" i="67"/>
  <c r="AE28" i="67"/>
  <c r="H129" i="67"/>
  <c r="AE31" i="67"/>
  <c r="G110" i="67"/>
  <c r="AD12" i="67"/>
  <c r="G114" i="67"/>
  <c r="AD16" i="67"/>
  <c r="G118" i="67"/>
  <c r="AD20" i="67"/>
  <c r="G127" i="67"/>
  <c r="AD29" i="67"/>
  <c r="AD30" i="63"/>
  <c r="AD30" i="64"/>
  <c r="G111" i="67"/>
  <c r="AD13" i="67"/>
  <c r="G115" i="67"/>
  <c r="AD17" i="67"/>
  <c r="G119" i="67"/>
  <c r="AD21" i="67"/>
  <c r="G122" i="67"/>
  <c r="AD24" i="67"/>
  <c r="G124" i="67"/>
  <c r="AD26" i="67"/>
  <c r="G112" i="67"/>
  <c r="AD14" i="67"/>
  <c r="G116" i="67"/>
  <c r="AD18" i="67"/>
  <c r="G120" i="67"/>
  <c r="AD22" i="67"/>
  <c r="G123" i="67"/>
  <c r="AD25" i="67"/>
  <c r="G125" i="67"/>
  <c r="AD27" i="67"/>
  <c r="G129" i="67"/>
  <c r="AD31" i="67"/>
  <c r="G109" i="67"/>
  <c r="AD11" i="67"/>
  <c r="G113" i="67"/>
  <c r="AD15" i="67"/>
  <c r="G117" i="67"/>
  <c r="AD19" i="67"/>
  <c r="G121" i="67"/>
  <c r="AD23" i="67"/>
  <c r="G126" i="67"/>
  <c r="AD28" i="67"/>
  <c r="F115" i="67"/>
  <c r="AC17" i="67"/>
  <c r="F112" i="67"/>
  <c r="AC14" i="67"/>
  <c r="F120" i="67"/>
  <c r="AC22" i="67"/>
  <c r="F123" i="67"/>
  <c r="AC25" i="67"/>
  <c r="F129" i="67"/>
  <c r="AC31" i="67"/>
  <c r="F109" i="67"/>
  <c r="AC11" i="67"/>
  <c r="F113" i="67"/>
  <c r="AC15" i="67"/>
  <c r="F117" i="67"/>
  <c r="AC19" i="67"/>
  <c r="F121" i="67"/>
  <c r="AC23" i="67"/>
  <c r="F126" i="67"/>
  <c r="AC28" i="67"/>
  <c r="F111" i="67"/>
  <c r="AC13" i="67"/>
  <c r="F119" i="67"/>
  <c r="AC21" i="67"/>
  <c r="F124" i="67"/>
  <c r="AC26" i="67"/>
  <c r="F116" i="67"/>
  <c r="AC18" i="67"/>
  <c r="F125" i="67"/>
  <c r="AC27" i="67"/>
  <c r="F110" i="67"/>
  <c r="AC12" i="67"/>
  <c r="F114" i="67"/>
  <c r="AC16" i="67"/>
  <c r="F118" i="67"/>
  <c r="AC20" i="67"/>
  <c r="F127" i="67"/>
  <c r="AC29" i="67"/>
  <c r="AB30" i="65"/>
  <c r="E112" i="67"/>
  <c r="AB14" i="67"/>
  <c r="E116" i="67"/>
  <c r="AB18" i="67"/>
  <c r="E123" i="67"/>
  <c r="AB25" i="67"/>
  <c r="E125" i="67"/>
  <c r="AB27" i="67"/>
  <c r="E129" i="67"/>
  <c r="AB31" i="67"/>
  <c r="E109" i="67"/>
  <c r="AB11" i="67"/>
  <c r="E113" i="67"/>
  <c r="AB15" i="67"/>
  <c r="E117" i="67"/>
  <c r="AB19" i="67"/>
  <c r="E121" i="67"/>
  <c r="AB23" i="67"/>
  <c r="E126" i="67"/>
  <c r="AB28" i="67"/>
  <c r="E110" i="67"/>
  <c r="AB12" i="67"/>
  <c r="E114" i="67"/>
  <c r="AB16" i="67"/>
  <c r="E118" i="67"/>
  <c r="AB20" i="67"/>
  <c r="E127" i="67"/>
  <c r="AB29" i="67"/>
  <c r="AB30" i="63"/>
  <c r="AB30" i="64"/>
  <c r="E111" i="67"/>
  <c r="AB13" i="67"/>
  <c r="E115" i="67"/>
  <c r="AB17" i="67"/>
  <c r="E119" i="67"/>
  <c r="AB21" i="67"/>
  <c r="E122" i="67"/>
  <c r="AB24" i="67"/>
  <c r="E124" i="67"/>
  <c r="AB26" i="67"/>
  <c r="K13" i="63"/>
  <c r="AA13" i="63"/>
  <c r="K17" i="63"/>
  <c r="AA17" i="63"/>
  <c r="K21" i="63"/>
  <c r="AA21" i="63"/>
  <c r="K24" i="63"/>
  <c r="AA24" i="63"/>
  <c r="K26" i="63"/>
  <c r="AA26" i="63"/>
  <c r="K13" i="64"/>
  <c r="AL59" i="64" s="1"/>
  <c r="AA13" i="64"/>
  <c r="K17" i="64"/>
  <c r="AA17" i="64"/>
  <c r="K21" i="64"/>
  <c r="AA21" i="64"/>
  <c r="K24" i="64"/>
  <c r="AA24" i="64"/>
  <c r="K26" i="64"/>
  <c r="AA26" i="64"/>
  <c r="K15" i="66"/>
  <c r="AA15" i="66"/>
  <c r="K19" i="66"/>
  <c r="AA19" i="66"/>
  <c r="K23" i="66"/>
  <c r="AA23" i="66"/>
  <c r="K28" i="66"/>
  <c r="AA28" i="66"/>
  <c r="K14" i="63"/>
  <c r="AA14" i="63"/>
  <c r="K18" i="63"/>
  <c r="AA18" i="63"/>
  <c r="K22" i="63"/>
  <c r="AA22" i="63"/>
  <c r="K25" i="63"/>
  <c r="AA25" i="63"/>
  <c r="K27" i="63"/>
  <c r="AA27" i="63"/>
  <c r="K31" i="63"/>
  <c r="AA31" i="63"/>
  <c r="K14" i="64"/>
  <c r="AA14" i="64"/>
  <c r="K18" i="64"/>
  <c r="AA18" i="64"/>
  <c r="K22" i="64"/>
  <c r="AA22" i="64"/>
  <c r="K25" i="64"/>
  <c r="AA25" i="64"/>
  <c r="K27" i="64"/>
  <c r="AA27" i="64"/>
  <c r="K31" i="64"/>
  <c r="AA31" i="64"/>
  <c r="K12" i="66"/>
  <c r="AA12" i="66"/>
  <c r="K16" i="66"/>
  <c r="AA16" i="66"/>
  <c r="K20" i="66"/>
  <c r="AA20" i="66"/>
  <c r="K29" i="66"/>
  <c r="AA29" i="66"/>
  <c r="K15" i="63"/>
  <c r="AA15" i="63"/>
  <c r="K19" i="63"/>
  <c r="AA19" i="63"/>
  <c r="K23" i="63"/>
  <c r="AA23" i="63"/>
  <c r="K28" i="63"/>
  <c r="AA28" i="63"/>
  <c r="K15" i="64"/>
  <c r="AA15" i="64"/>
  <c r="K19" i="64"/>
  <c r="AA19" i="64"/>
  <c r="K23" i="64"/>
  <c r="AA23" i="64"/>
  <c r="K28" i="64"/>
  <c r="AA28" i="64"/>
  <c r="K13" i="66"/>
  <c r="AA13" i="66"/>
  <c r="K17" i="66"/>
  <c r="AA17" i="66"/>
  <c r="K21" i="66"/>
  <c r="AA21" i="66"/>
  <c r="K24" i="66"/>
  <c r="AA24" i="66"/>
  <c r="K26" i="66"/>
  <c r="AA26" i="66"/>
  <c r="K12" i="63"/>
  <c r="AA12" i="63"/>
  <c r="K16" i="63"/>
  <c r="AA16" i="63"/>
  <c r="K20" i="63"/>
  <c r="AA20" i="63"/>
  <c r="K29" i="63"/>
  <c r="AA29" i="63"/>
  <c r="K12" i="64"/>
  <c r="AA12" i="64"/>
  <c r="K16" i="64"/>
  <c r="AA16" i="64"/>
  <c r="K20" i="64"/>
  <c r="AA20" i="64"/>
  <c r="K29" i="64"/>
  <c r="AA29" i="64"/>
  <c r="K14" i="66"/>
  <c r="AA14" i="66"/>
  <c r="K18" i="66"/>
  <c r="AA18" i="66"/>
  <c r="K22" i="66"/>
  <c r="AA22" i="66"/>
  <c r="K25" i="66"/>
  <c r="AA25" i="66"/>
  <c r="K27" i="66"/>
  <c r="AA27" i="66"/>
  <c r="K31" i="66"/>
  <c r="AA31" i="66"/>
  <c r="K11" i="66"/>
  <c r="AA11" i="66"/>
  <c r="K11" i="63"/>
  <c r="AA11" i="63"/>
  <c r="K11" i="64"/>
  <c r="AA11" i="64"/>
  <c r="K11" i="65"/>
  <c r="AA11" i="65"/>
  <c r="AA30" i="65" s="1"/>
  <c r="AA30" i="62"/>
  <c r="AD30" i="62"/>
  <c r="G128" i="62"/>
  <c r="AD31" i="62"/>
  <c r="E128" i="62"/>
  <c r="AB31" i="62"/>
  <c r="AB30" i="62"/>
  <c r="F128" i="62"/>
  <c r="AC31" i="62"/>
  <c r="AN13" i="64"/>
  <c r="AN17" i="64"/>
  <c r="AN21" i="64"/>
  <c r="AN24" i="64"/>
  <c r="AN26" i="64"/>
  <c r="AN12" i="65"/>
  <c r="AM13" i="65"/>
  <c r="AL14" i="65"/>
  <c r="AK15" i="65"/>
  <c r="AN16" i="65"/>
  <c r="AM17" i="65"/>
  <c r="AL18" i="65"/>
  <c r="AK19" i="65"/>
  <c r="AN20" i="65"/>
  <c r="AL22" i="65"/>
  <c r="AK23" i="65"/>
  <c r="AL25" i="65"/>
  <c r="AL27" i="65"/>
  <c r="AK28" i="65"/>
  <c r="AN29" i="65"/>
  <c r="AL31" i="65"/>
  <c r="AN11" i="66"/>
  <c r="AN15" i="66"/>
  <c r="AN19" i="66"/>
  <c r="AK22" i="66"/>
  <c r="AN23" i="66"/>
  <c r="AN28" i="66"/>
  <c r="G177" i="67"/>
  <c r="D177" i="67"/>
  <c r="H177" i="67"/>
  <c r="E177" i="67"/>
  <c r="F177" i="67"/>
  <c r="AM21" i="65"/>
  <c r="AM26" i="65"/>
  <c r="K16" i="67"/>
  <c r="D114" i="67"/>
  <c r="K29" i="67"/>
  <c r="D127" i="67"/>
  <c r="K17" i="67"/>
  <c r="D115" i="67"/>
  <c r="K24" i="67"/>
  <c r="D122" i="67"/>
  <c r="K26" i="67"/>
  <c r="D124" i="67"/>
  <c r="K11" i="67"/>
  <c r="D109" i="67"/>
  <c r="AN11" i="67"/>
  <c r="H109" i="67"/>
  <c r="K15" i="67"/>
  <c r="D113" i="67"/>
  <c r="AN15" i="67"/>
  <c r="H113" i="67"/>
  <c r="K19" i="67"/>
  <c r="D117" i="67"/>
  <c r="AN19" i="67"/>
  <c r="H117" i="67"/>
  <c r="AK22" i="67"/>
  <c r="E120" i="67"/>
  <c r="K23" i="67"/>
  <c r="D121" i="67"/>
  <c r="AN23" i="67"/>
  <c r="H121" i="67"/>
  <c r="K28" i="67"/>
  <c r="D126" i="67"/>
  <c r="AN28" i="67"/>
  <c r="H126" i="67"/>
  <c r="K12" i="67"/>
  <c r="D110" i="67"/>
  <c r="K20" i="67"/>
  <c r="D118" i="67"/>
  <c r="K13" i="67"/>
  <c r="D111" i="67"/>
  <c r="K21" i="67"/>
  <c r="D119" i="67"/>
  <c r="K14" i="67"/>
  <c r="D112" i="67"/>
  <c r="K18" i="67"/>
  <c r="D116" i="67"/>
  <c r="K22" i="67"/>
  <c r="D120" i="67"/>
  <c r="K25" i="67"/>
  <c r="D123" i="67"/>
  <c r="K27" i="67"/>
  <c r="D125" i="67"/>
  <c r="K31" i="67"/>
  <c r="D129" i="67"/>
  <c r="AN12" i="63"/>
  <c r="AN16" i="63"/>
  <c r="AN20" i="63"/>
  <c r="AN29" i="63"/>
  <c r="AK11" i="64"/>
  <c r="AN14" i="67"/>
  <c r="AN18" i="67"/>
  <c r="AN25" i="67"/>
  <c r="AN27" i="67"/>
  <c r="L11" i="65"/>
  <c r="AK11" i="65"/>
  <c r="N12" i="67"/>
  <c r="AM12" i="67"/>
  <c r="M13" i="67"/>
  <c r="AL13" i="67"/>
  <c r="N16" i="67"/>
  <c r="AM16" i="67"/>
  <c r="L18" i="67"/>
  <c r="AK18" i="67"/>
  <c r="M26" i="67"/>
  <c r="AL26" i="67"/>
  <c r="L27" i="67"/>
  <c r="AK27" i="67"/>
  <c r="L31" i="67"/>
  <c r="AK31" i="67"/>
  <c r="M11" i="65"/>
  <c r="AL11" i="65"/>
  <c r="AM14" i="65"/>
  <c r="AK16" i="65"/>
  <c r="AN17" i="65"/>
  <c r="AK20" i="65"/>
  <c r="AN21" i="65"/>
  <c r="AL23" i="65"/>
  <c r="AM25" i="65"/>
  <c r="AM27" i="65"/>
  <c r="AK29" i="65"/>
  <c r="AM31" i="65"/>
  <c r="N13" i="67"/>
  <c r="AM13" i="67"/>
  <c r="L15" i="67"/>
  <c r="AK15" i="67"/>
  <c r="AN16" i="67"/>
  <c r="M18" i="67"/>
  <c r="AL18" i="67"/>
  <c r="N21" i="67"/>
  <c r="AM21" i="67"/>
  <c r="L23" i="67"/>
  <c r="AK23" i="67"/>
  <c r="N24" i="67"/>
  <c r="N26" i="67"/>
  <c r="AM26" i="67"/>
  <c r="L28" i="67"/>
  <c r="AK28" i="67"/>
  <c r="AN29" i="67"/>
  <c r="N11" i="65"/>
  <c r="AM11" i="65"/>
  <c r="AL12" i="65"/>
  <c r="AK13" i="65"/>
  <c r="AN14" i="65"/>
  <c r="AM15" i="65"/>
  <c r="AL16" i="65"/>
  <c r="AK17" i="65"/>
  <c r="AN18" i="65"/>
  <c r="AM19" i="65"/>
  <c r="AL20" i="65"/>
  <c r="AK21" i="65"/>
  <c r="O22" i="65"/>
  <c r="AN22" i="65"/>
  <c r="AM23" i="65"/>
  <c r="AK24" i="65"/>
  <c r="AN25" i="65"/>
  <c r="AK26" i="65"/>
  <c r="AN27" i="65"/>
  <c r="AM28" i="65"/>
  <c r="AL29" i="65"/>
  <c r="AN31" i="65"/>
  <c r="AN13" i="66"/>
  <c r="AN17" i="66"/>
  <c r="M11" i="67"/>
  <c r="AL11" i="67"/>
  <c r="L12" i="67"/>
  <c r="AK12" i="67"/>
  <c r="AN13" i="67"/>
  <c r="N14" i="67"/>
  <c r="AM14" i="67"/>
  <c r="M15" i="67"/>
  <c r="AL15" i="67"/>
  <c r="L16" i="67"/>
  <c r="AK16" i="67"/>
  <c r="AN17" i="67"/>
  <c r="N18" i="67"/>
  <c r="AM18" i="67"/>
  <c r="M19" i="67"/>
  <c r="AL19" i="67"/>
  <c r="L20" i="67"/>
  <c r="AK20" i="67"/>
  <c r="AN21" i="67"/>
  <c r="N22" i="67"/>
  <c r="AM22" i="67"/>
  <c r="M23" i="67"/>
  <c r="AL23" i="67"/>
  <c r="AN24" i="67"/>
  <c r="N25" i="67"/>
  <c r="AM25" i="67"/>
  <c r="AN26" i="67"/>
  <c r="N27" i="67"/>
  <c r="AM27" i="67"/>
  <c r="M28" i="67"/>
  <c r="AL28" i="67"/>
  <c r="L29" i="67"/>
  <c r="AK29" i="67"/>
  <c r="N31" i="67"/>
  <c r="AM31" i="67"/>
  <c r="L14" i="67"/>
  <c r="AK14" i="67"/>
  <c r="M17" i="67"/>
  <c r="AL17" i="67"/>
  <c r="N20" i="67"/>
  <c r="AM20" i="67"/>
  <c r="M21" i="67"/>
  <c r="AL21" i="67"/>
  <c r="L25" i="67"/>
  <c r="AK25" i="67"/>
  <c r="N29" i="67"/>
  <c r="AM29" i="67"/>
  <c r="AK12" i="65"/>
  <c r="AN13" i="65"/>
  <c r="AL15" i="65"/>
  <c r="AM18" i="65"/>
  <c r="AL19" i="65"/>
  <c r="AM22" i="65"/>
  <c r="AN24" i="65"/>
  <c r="AN26" i="65"/>
  <c r="AL28" i="65"/>
  <c r="L11" i="67"/>
  <c r="AK11" i="67"/>
  <c r="AN12" i="67"/>
  <c r="M14" i="67"/>
  <c r="AL14" i="67"/>
  <c r="N17" i="67"/>
  <c r="AM17" i="67"/>
  <c r="L19" i="67"/>
  <c r="AK19" i="67"/>
  <c r="AN20" i="67"/>
  <c r="M22" i="67"/>
  <c r="AL22" i="67"/>
  <c r="M25" i="67"/>
  <c r="AL25" i="67"/>
  <c r="M27" i="67"/>
  <c r="AL27" i="67"/>
  <c r="M31" i="67"/>
  <c r="AL31" i="67"/>
  <c r="AN11" i="65"/>
  <c r="AM12" i="65"/>
  <c r="AL13" i="65"/>
  <c r="AK14" i="65"/>
  <c r="AN15" i="65"/>
  <c r="AM16" i="65"/>
  <c r="AL17" i="65"/>
  <c r="AK18" i="65"/>
  <c r="AN19" i="65"/>
  <c r="AM20" i="65"/>
  <c r="AL21" i="65"/>
  <c r="AK22" i="65"/>
  <c r="AN23" i="65"/>
  <c r="AK25" i="65"/>
  <c r="AL26" i="65"/>
  <c r="AK27" i="65"/>
  <c r="AN28" i="65"/>
  <c r="AM29" i="65"/>
  <c r="AK31" i="65"/>
  <c r="N11" i="67"/>
  <c r="AM11" i="67"/>
  <c r="M12" i="67"/>
  <c r="AL12" i="67"/>
  <c r="L13" i="67"/>
  <c r="AK13" i="67"/>
  <c r="N15" i="67"/>
  <c r="AM15" i="67"/>
  <c r="M16" i="67"/>
  <c r="AL16" i="67"/>
  <c r="L17" i="67"/>
  <c r="AK17" i="67"/>
  <c r="N19" i="67"/>
  <c r="AM19" i="67"/>
  <c r="M20" i="67"/>
  <c r="AL20" i="67"/>
  <c r="L21" i="67"/>
  <c r="AK21" i="67"/>
  <c r="O22" i="67"/>
  <c r="AN22" i="67"/>
  <c r="N23" i="67"/>
  <c r="AM23" i="67"/>
  <c r="L24" i="67"/>
  <c r="AK24" i="67"/>
  <c r="L26" i="67"/>
  <c r="N28" i="67"/>
  <c r="AM28" i="67"/>
  <c r="M29" i="67"/>
  <c r="AL29" i="67"/>
  <c r="AN31" i="67"/>
  <c r="AN25" i="66"/>
  <c r="AN27" i="66"/>
  <c r="AN31" i="66"/>
  <c r="M13" i="66"/>
  <c r="AR13" i="66" s="1"/>
  <c r="AL13" i="66"/>
  <c r="N16" i="66"/>
  <c r="AS16" i="66" s="1"/>
  <c r="AM16" i="66"/>
  <c r="L18" i="66"/>
  <c r="AQ18" i="66" s="1"/>
  <c r="AK18" i="66"/>
  <c r="N20" i="66"/>
  <c r="AS20" i="66" s="1"/>
  <c r="AM20" i="66"/>
  <c r="M21" i="66"/>
  <c r="AR21" i="66" s="1"/>
  <c r="AL21" i="66"/>
  <c r="L25" i="66"/>
  <c r="AQ25" i="66" s="1"/>
  <c r="AK25" i="66"/>
  <c r="M26" i="66"/>
  <c r="AR26" i="66" s="1"/>
  <c r="AL26" i="66"/>
  <c r="L31" i="66"/>
  <c r="AQ31" i="66" s="1"/>
  <c r="AK31" i="66"/>
  <c r="L11" i="66"/>
  <c r="AQ11" i="66" s="1"/>
  <c r="AK11" i="66"/>
  <c r="AN12" i="66"/>
  <c r="N13" i="66"/>
  <c r="AS13" i="66" s="1"/>
  <c r="AM13" i="66"/>
  <c r="M14" i="66"/>
  <c r="AR14" i="66" s="1"/>
  <c r="AL14" i="66"/>
  <c r="L15" i="66"/>
  <c r="AQ15" i="66" s="1"/>
  <c r="AK15" i="66"/>
  <c r="AN16" i="66"/>
  <c r="N17" i="66"/>
  <c r="AS17" i="66" s="1"/>
  <c r="AM17" i="66"/>
  <c r="M18" i="66"/>
  <c r="AR18" i="66" s="1"/>
  <c r="AL18" i="66"/>
  <c r="L19" i="66"/>
  <c r="AQ19" i="66" s="1"/>
  <c r="AK19" i="66"/>
  <c r="AN20" i="66"/>
  <c r="N21" i="66"/>
  <c r="AS21" i="66" s="1"/>
  <c r="AM21" i="66"/>
  <c r="M22" i="66"/>
  <c r="AR22" i="66" s="1"/>
  <c r="AL22" i="66"/>
  <c r="L23" i="66"/>
  <c r="AQ23" i="66" s="1"/>
  <c r="AK23" i="66"/>
  <c r="N24" i="66"/>
  <c r="AS24" i="66" s="1"/>
  <c r="M25" i="66"/>
  <c r="AR25" i="66" s="1"/>
  <c r="AL25" i="66"/>
  <c r="N26" i="66"/>
  <c r="AS26" i="66" s="1"/>
  <c r="AM26" i="66"/>
  <c r="M27" i="66"/>
  <c r="AR27" i="66" s="1"/>
  <c r="AL27" i="66"/>
  <c r="L28" i="66"/>
  <c r="AQ28" i="66" s="1"/>
  <c r="AK28" i="66"/>
  <c r="AN29" i="66"/>
  <c r="M31" i="66"/>
  <c r="AR31" i="66" s="1"/>
  <c r="AL31" i="66"/>
  <c r="AN24" i="66"/>
  <c r="N25" i="66"/>
  <c r="AS25" i="66" s="1"/>
  <c r="AM25" i="66"/>
  <c r="AN26" i="66"/>
  <c r="N27" i="66"/>
  <c r="AS27" i="66" s="1"/>
  <c r="AM27" i="66"/>
  <c r="M28" i="66"/>
  <c r="AR28" i="66" s="1"/>
  <c r="AL28" i="66"/>
  <c r="L29" i="66"/>
  <c r="AQ29" i="66" s="1"/>
  <c r="AK29" i="66"/>
  <c r="N31" i="66"/>
  <c r="AS31" i="66" s="1"/>
  <c r="AM31" i="66"/>
  <c r="N12" i="66"/>
  <c r="AS12" i="66" s="1"/>
  <c r="AM12" i="66"/>
  <c r="L14" i="66"/>
  <c r="AQ14" i="66" s="1"/>
  <c r="AK14" i="66"/>
  <c r="M17" i="66"/>
  <c r="AR17" i="66" s="1"/>
  <c r="AL17" i="66"/>
  <c r="L27" i="66"/>
  <c r="AQ27" i="66" s="1"/>
  <c r="AK27" i="66"/>
  <c r="N29" i="66"/>
  <c r="AS29" i="66" s="1"/>
  <c r="AM29" i="66"/>
  <c r="M11" i="66"/>
  <c r="AR11" i="66" s="1"/>
  <c r="AL11" i="66"/>
  <c r="L12" i="66"/>
  <c r="AQ12" i="66" s="1"/>
  <c r="AK12" i="66"/>
  <c r="N14" i="66"/>
  <c r="AS14" i="66" s="1"/>
  <c r="AM14" i="66"/>
  <c r="M15" i="66"/>
  <c r="AR15" i="66" s="1"/>
  <c r="AL15" i="66"/>
  <c r="L16" i="66"/>
  <c r="AQ16" i="66" s="1"/>
  <c r="AK16" i="66"/>
  <c r="N18" i="66"/>
  <c r="AS18" i="66" s="1"/>
  <c r="AM18" i="66"/>
  <c r="M19" i="66"/>
  <c r="AR19" i="66" s="1"/>
  <c r="AL19" i="66"/>
  <c r="L20" i="66"/>
  <c r="AQ20" i="66" s="1"/>
  <c r="AK20" i="66"/>
  <c r="AN21" i="66"/>
  <c r="N22" i="66"/>
  <c r="AS22" i="66" s="1"/>
  <c r="AM22" i="66"/>
  <c r="M23" i="66"/>
  <c r="AR23" i="66" s="1"/>
  <c r="AL23" i="66"/>
  <c r="N11" i="66"/>
  <c r="AS11" i="66" s="1"/>
  <c r="AM11" i="66"/>
  <c r="M12" i="66"/>
  <c r="AR12" i="66" s="1"/>
  <c r="AL12" i="66"/>
  <c r="L13" i="66"/>
  <c r="AQ13" i="66" s="1"/>
  <c r="AK13" i="66"/>
  <c r="AN14" i="66"/>
  <c r="N15" i="66"/>
  <c r="AS15" i="66" s="1"/>
  <c r="AM15" i="66"/>
  <c r="M16" i="66"/>
  <c r="AR16" i="66" s="1"/>
  <c r="AL16" i="66"/>
  <c r="L17" i="66"/>
  <c r="AQ17" i="66" s="1"/>
  <c r="AK17" i="66"/>
  <c r="AN18" i="66"/>
  <c r="N19" i="66"/>
  <c r="AS19" i="66" s="1"/>
  <c r="AM19" i="66"/>
  <c r="M20" i="66"/>
  <c r="AR20" i="66" s="1"/>
  <c r="AL20" i="66"/>
  <c r="L21" i="66"/>
  <c r="AQ21" i="66" s="1"/>
  <c r="AK21" i="66"/>
  <c r="O22" i="66"/>
  <c r="AN22" i="66"/>
  <c r="N23" i="66"/>
  <c r="AS23" i="66" s="1"/>
  <c r="AM23" i="66"/>
  <c r="L24" i="66"/>
  <c r="AQ24" i="66" s="1"/>
  <c r="AK24" i="66"/>
  <c r="L26" i="66"/>
  <c r="AQ26" i="66" s="1"/>
  <c r="AK26" i="66"/>
  <c r="N28" i="66"/>
  <c r="AS28" i="66" s="1"/>
  <c r="AM28" i="66"/>
  <c r="M29" i="66"/>
  <c r="AR29" i="66" s="1"/>
  <c r="AL29" i="66"/>
  <c r="Q30" i="65"/>
  <c r="Q31" i="65"/>
  <c r="M13" i="65"/>
  <c r="N16" i="65"/>
  <c r="K12" i="65"/>
  <c r="N13" i="65"/>
  <c r="M14" i="65"/>
  <c r="L15" i="65"/>
  <c r="K16" i="65"/>
  <c r="N17" i="65"/>
  <c r="M18" i="65"/>
  <c r="L19" i="65"/>
  <c r="K20" i="65"/>
  <c r="N21" i="65"/>
  <c r="M22" i="65"/>
  <c r="L23" i="65"/>
  <c r="N24" i="65"/>
  <c r="M25" i="65"/>
  <c r="N26" i="65"/>
  <c r="M27" i="65"/>
  <c r="L28" i="65"/>
  <c r="K29" i="65"/>
  <c r="M31" i="65"/>
  <c r="L14" i="65"/>
  <c r="L12" i="65"/>
  <c r="K13" i="65"/>
  <c r="N14" i="65"/>
  <c r="M15" i="65"/>
  <c r="L16" i="65"/>
  <c r="K17" i="65"/>
  <c r="N18" i="65"/>
  <c r="M19" i="65"/>
  <c r="L20" i="65"/>
  <c r="K21" i="65"/>
  <c r="N22" i="65"/>
  <c r="M23" i="65"/>
  <c r="K24" i="65"/>
  <c r="N25" i="65"/>
  <c r="K26" i="65"/>
  <c r="N27" i="65"/>
  <c r="M28" i="65"/>
  <c r="L29" i="65"/>
  <c r="N31" i="65"/>
  <c r="N12" i="65"/>
  <c r="K15" i="65"/>
  <c r="M12" i="65"/>
  <c r="L13" i="65"/>
  <c r="K14" i="65"/>
  <c r="N15" i="65"/>
  <c r="M16" i="65"/>
  <c r="L17" i="65"/>
  <c r="K18" i="65"/>
  <c r="N19" i="65"/>
  <c r="M20" i="65"/>
  <c r="L21" i="65"/>
  <c r="K22" i="65"/>
  <c r="N23" i="65"/>
  <c r="L24" i="65"/>
  <c r="K25" i="65"/>
  <c r="L26" i="65"/>
  <c r="K27" i="65"/>
  <c r="N28" i="65"/>
  <c r="M29" i="65"/>
  <c r="K31" i="65"/>
  <c r="M17" i="65"/>
  <c r="L18" i="65"/>
  <c r="K19" i="65"/>
  <c r="N20" i="65"/>
  <c r="M21" i="65"/>
  <c r="K23" i="65"/>
  <c r="L25" i="65"/>
  <c r="M26" i="65"/>
  <c r="L27" i="65"/>
  <c r="K28" i="65"/>
  <c r="N29" i="65"/>
  <c r="L31" i="65"/>
  <c r="Q31" i="64"/>
  <c r="Q30" i="64"/>
  <c r="AN12" i="64"/>
  <c r="AN16" i="64"/>
  <c r="AN20" i="64"/>
  <c r="AN29" i="64"/>
  <c r="M11" i="64"/>
  <c r="AL11" i="64"/>
  <c r="N14" i="64"/>
  <c r="AM14" i="64"/>
  <c r="L16" i="64"/>
  <c r="AK16" i="64"/>
  <c r="M19" i="64"/>
  <c r="AL19" i="64"/>
  <c r="N22" i="64"/>
  <c r="AM22" i="64"/>
  <c r="N27" i="64"/>
  <c r="AM27" i="64"/>
  <c r="L29" i="64"/>
  <c r="AK29" i="64"/>
  <c r="N31" i="64"/>
  <c r="AM31" i="64"/>
  <c r="N11" i="64"/>
  <c r="AM11" i="64"/>
  <c r="L13" i="64"/>
  <c r="AK13" i="64"/>
  <c r="AN14" i="64"/>
  <c r="M16" i="64"/>
  <c r="AL16" i="64"/>
  <c r="N19" i="64"/>
  <c r="AM19" i="64"/>
  <c r="L21" i="64"/>
  <c r="AK21" i="64"/>
  <c r="O22" i="64"/>
  <c r="AN22" i="64"/>
  <c r="L26" i="64"/>
  <c r="AK26" i="64"/>
  <c r="AN27" i="64"/>
  <c r="M29" i="64"/>
  <c r="AL29" i="64"/>
  <c r="AN31" i="64"/>
  <c r="AN11" i="64"/>
  <c r="N12" i="64"/>
  <c r="AM12" i="64"/>
  <c r="M13" i="64"/>
  <c r="AL13" i="64"/>
  <c r="L14" i="64"/>
  <c r="AK14" i="64"/>
  <c r="AN15" i="64"/>
  <c r="N16" i="64"/>
  <c r="AM16" i="64"/>
  <c r="M17" i="64"/>
  <c r="AL17" i="64"/>
  <c r="L18" i="64"/>
  <c r="AK18" i="64"/>
  <c r="AN19" i="64"/>
  <c r="N20" i="64"/>
  <c r="AM20" i="64"/>
  <c r="M21" i="64"/>
  <c r="AL21" i="64"/>
  <c r="AK22" i="64"/>
  <c r="AN23" i="64"/>
  <c r="L25" i="64"/>
  <c r="AK25" i="64"/>
  <c r="M26" i="64"/>
  <c r="AL26" i="64"/>
  <c r="L27" i="64"/>
  <c r="AK27" i="64"/>
  <c r="AN28" i="64"/>
  <c r="N29" i="64"/>
  <c r="AM29" i="64"/>
  <c r="L31" i="64"/>
  <c r="AK31" i="64"/>
  <c r="L12" i="64"/>
  <c r="AK12" i="64"/>
  <c r="M15" i="64"/>
  <c r="AL15" i="64"/>
  <c r="N18" i="64"/>
  <c r="AM18" i="64"/>
  <c r="L20" i="64"/>
  <c r="AK20" i="64"/>
  <c r="M23" i="64"/>
  <c r="AL23" i="64"/>
  <c r="N25" i="64"/>
  <c r="AM25" i="64"/>
  <c r="M28" i="64"/>
  <c r="AL28" i="64"/>
  <c r="M12" i="64"/>
  <c r="AL12" i="64"/>
  <c r="N15" i="64"/>
  <c r="AM15" i="64"/>
  <c r="L17" i="64"/>
  <c r="AK17" i="64"/>
  <c r="AN18" i="64"/>
  <c r="M20" i="64"/>
  <c r="AL20" i="64"/>
  <c r="N23" i="64"/>
  <c r="AM23" i="64"/>
  <c r="L24" i="64"/>
  <c r="AK24" i="64"/>
  <c r="AN25" i="64"/>
  <c r="N28" i="64"/>
  <c r="AM28" i="64"/>
  <c r="L11" i="64"/>
  <c r="N13" i="64"/>
  <c r="AM13" i="64"/>
  <c r="M14" i="64"/>
  <c r="AL14" i="64"/>
  <c r="L15" i="64"/>
  <c r="AK15" i="64"/>
  <c r="N17" i="64"/>
  <c r="AM17" i="64"/>
  <c r="M18" i="64"/>
  <c r="AL18" i="64"/>
  <c r="L19" i="64"/>
  <c r="AK19" i="64"/>
  <c r="N21" i="64"/>
  <c r="AM21" i="64"/>
  <c r="M22" i="64"/>
  <c r="AL22" i="64"/>
  <c r="L23" i="64"/>
  <c r="AK23" i="64"/>
  <c r="N24" i="64"/>
  <c r="M25" i="64"/>
  <c r="AL25" i="64"/>
  <c r="N26" i="64"/>
  <c r="AM26" i="64"/>
  <c r="M27" i="64"/>
  <c r="AL27" i="64"/>
  <c r="L28" i="64"/>
  <c r="AK28" i="64"/>
  <c r="M31" i="64"/>
  <c r="AL31" i="64"/>
  <c r="L11" i="63"/>
  <c r="AK11" i="63"/>
  <c r="N13" i="63"/>
  <c r="AM13" i="63"/>
  <c r="L23" i="63"/>
  <c r="AK23" i="63"/>
  <c r="N24" i="63"/>
  <c r="AN13" i="63"/>
  <c r="M28" i="63"/>
  <c r="AL28" i="63"/>
  <c r="N31" i="63"/>
  <c r="AM31" i="63"/>
  <c r="M14" i="63"/>
  <c r="AL14" i="63"/>
  <c r="M18" i="63"/>
  <c r="AL18" i="63"/>
  <c r="L19" i="63"/>
  <c r="AK19" i="63"/>
  <c r="N21" i="63"/>
  <c r="AM21" i="63"/>
  <c r="M25" i="63"/>
  <c r="AL25" i="63"/>
  <c r="M11" i="63"/>
  <c r="AL11" i="63"/>
  <c r="L12" i="63"/>
  <c r="AK12" i="63"/>
  <c r="N14" i="63"/>
  <c r="AM14" i="63"/>
  <c r="M15" i="63"/>
  <c r="AL15" i="63"/>
  <c r="AN17" i="63"/>
  <c r="M19" i="63"/>
  <c r="AL19" i="63"/>
  <c r="AN21" i="63"/>
  <c r="M23" i="63"/>
  <c r="AL23" i="63"/>
  <c r="N25" i="63"/>
  <c r="AM25" i="63"/>
  <c r="AN26" i="63"/>
  <c r="N19" i="63"/>
  <c r="AM19" i="63"/>
  <c r="L21" i="63"/>
  <c r="AK21" i="63"/>
  <c r="O22" i="63"/>
  <c r="AN22" i="63"/>
  <c r="N23" i="63"/>
  <c r="AM23" i="63"/>
  <c r="L24" i="63"/>
  <c r="AK24" i="63"/>
  <c r="AN25" i="63"/>
  <c r="L26" i="63"/>
  <c r="AK26" i="63"/>
  <c r="AN27" i="63"/>
  <c r="N28" i="63"/>
  <c r="AM28" i="63"/>
  <c r="M29" i="63"/>
  <c r="AL29" i="63"/>
  <c r="AN31" i="63"/>
  <c r="L15" i="63"/>
  <c r="AK15" i="63"/>
  <c r="N17" i="63"/>
  <c r="AM17" i="63"/>
  <c r="M22" i="63"/>
  <c r="AL22" i="63"/>
  <c r="N26" i="63"/>
  <c r="AM26" i="63"/>
  <c r="L16" i="63"/>
  <c r="AK16" i="63"/>
  <c r="N18" i="63"/>
  <c r="AM18" i="63"/>
  <c r="L20" i="63"/>
  <c r="AK20" i="63"/>
  <c r="N22" i="63"/>
  <c r="AM22" i="63"/>
  <c r="AN24" i="63"/>
  <c r="N27" i="63"/>
  <c r="AM27" i="63"/>
  <c r="L29" i="63"/>
  <c r="AK29" i="63"/>
  <c r="N11" i="63"/>
  <c r="AM11" i="63"/>
  <c r="M12" i="63"/>
  <c r="AL12" i="63"/>
  <c r="L13" i="63"/>
  <c r="AK13" i="63"/>
  <c r="AN14" i="63"/>
  <c r="N15" i="63"/>
  <c r="AM15" i="63"/>
  <c r="M16" i="63"/>
  <c r="AL16" i="63"/>
  <c r="L17" i="63"/>
  <c r="AK17" i="63"/>
  <c r="AN18" i="63"/>
  <c r="M20" i="63"/>
  <c r="AL20" i="63"/>
  <c r="AN11" i="63"/>
  <c r="N12" i="63"/>
  <c r="AM12" i="63"/>
  <c r="M13" i="63"/>
  <c r="AL13" i="63"/>
  <c r="L14" i="63"/>
  <c r="AK14" i="63"/>
  <c r="AN15" i="63"/>
  <c r="N16" i="63"/>
  <c r="AM16" i="63"/>
  <c r="M17" i="63"/>
  <c r="AL17" i="63"/>
  <c r="L18" i="63"/>
  <c r="AK18" i="63"/>
  <c r="AN19" i="63"/>
  <c r="N20" i="63"/>
  <c r="AM20" i="63"/>
  <c r="M21" i="63"/>
  <c r="AL21" i="63"/>
  <c r="AK22" i="63"/>
  <c r="AN23" i="63"/>
  <c r="L25" i="63"/>
  <c r="AK25" i="63"/>
  <c r="M26" i="63"/>
  <c r="AL26" i="63"/>
  <c r="L27" i="63"/>
  <c r="AK27" i="63"/>
  <c r="AN28" i="63"/>
  <c r="N29" i="63"/>
  <c r="AM29" i="63"/>
  <c r="L31" i="63"/>
  <c r="AK31" i="63"/>
  <c r="M27" i="63"/>
  <c r="AL27" i="63"/>
  <c r="L28" i="63"/>
  <c r="AK28" i="63"/>
  <c r="M31" i="63"/>
  <c r="AL31" i="63"/>
  <c r="K17" i="62"/>
  <c r="K24" i="62"/>
  <c r="K18" i="62"/>
  <c r="K25" i="62"/>
  <c r="K11" i="62"/>
  <c r="K15" i="62"/>
  <c r="K19" i="62"/>
  <c r="K23" i="62"/>
  <c r="K28" i="62"/>
  <c r="K13" i="62"/>
  <c r="K21" i="62"/>
  <c r="K26" i="62"/>
  <c r="K31" i="62"/>
  <c r="D128" i="62"/>
  <c r="K14" i="62"/>
  <c r="K22" i="62"/>
  <c r="K27" i="62"/>
  <c r="AK11" i="62"/>
  <c r="K12" i="62"/>
  <c r="K16" i="62"/>
  <c r="K20" i="62"/>
  <c r="K29" i="62"/>
  <c r="AM11" i="62"/>
  <c r="AL12" i="62"/>
  <c r="AK13" i="62"/>
  <c r="AN14" i="62"/>
  <c r="AM15" i="62"/>
  <c r="AL16" i="62"/>
  <c r="AK17" i="62"/>
  <c r="AN18" i="62"/>
  <c r="AM19" i="62"/>
  <c r="AL20" i="62"/>
  <c r="AK21" i="62"/>
  <c r="AN22" i="62"/>
  <c r="AM23" i="62"/>
  <c r="AK24" i="62"/>
  <c r="AN25" i="62"/>
  <c r="AK26" i="62"/>
  <c r="AN27" i="62"/>
  <c r="AM28" i="62"/>
  <c r="AL29" i="62"/>
  <c r="AK31" i="62"/>
  <c r="AN12" i="62"/>
  <c r="AM13" i="62"/>
  <c r="AL14" i="62"/>
  <c r="AK15" i="62"/>
  <c r="AN16" i="62"/>
  <c r="AM17" i="62"/>
  <c r="AL18" i="62"/>
  <c r="AK19" i="62"/>
  <c r="AN20" i="62"/>
  <c r="AM21" i="62"/>
  <c r="AL22" i="62"/>
  <c r="AK23" i="62"/>
  <c r="AL25" i="62"/>
  <c r="AM26" i="62"/>
  <c r="AL27" i="62"/>
  <c r="AK28" i="62"/>
  <c r="AN29" i="62"/>
  <c r="AM31" i="62"/>
  <c r="AL11" i="62"/>
  <c r="AK12" i="62"/>
  <c r="AN13" i="62"/>
  <c r="AM14" i="62"/>
  <c r="AL15" i="62"/>
  <c r="AK16" i="62"/>
  <c r="AN17" i="62"/>
  <c r="AM18" i="62"/>
  <c r="AL19" i="62"/>
  <c r="AK20" i="62"/>
  <c r="AN21" i="62"/>
  <c r="AM22" i="62"/>
  <c r="AL23" i="62"/>
  <c r="AN24" i="62"/>
  <c r="AM25" i="62"/>
  <c r="AN26" i="62"/>
  <c r="AM27" i="62"/>
  <c r="AL28" i="62"/>
  <c r="AK29" i="62"/>
  <c r="AN31" i="62"/>
  <c r="AN11" i="62"/>
  <c r="AM12" i="62"/>
  <c r="AL13" i="62"/>
  <c r="AK14" i="62"/>
  <c r="AN15" i="62"/>
  <c r="AM16" i="62"/>
  <c r="AL17" i="62"/>
  <c r="AK18" i="62"/>
  <c r="AN19" i="62"/>
  <c r="AM20" i="62"/>
  <c r="AL21" i="62"/>
  <c r="AK22" i="62"/>
  <c r="AN23" i="62"/>
  <c r="AK25" i="62"/>
  <c r="AL26" i="62"/>
  <c r="AK27" i="62"/>
  <c r="AN28" i="62"/>
  <c r="AM29" i="62"/>
  <c r="AL31" i="62"/>
  <c r="M13" i="62"/>
  <c r="L14" i="62"/>
  <c r="N16" i="62"/>
  <c r="L18" i="62"/>
  <c r="L27" i="62"/>
  <c r="M31" i="62"/>
  <c r="N13" i="62"/>
  <c r="L15" i="62"/>
  <c r="N17" i="62"/>
  <c r="L19" i="62"/>
  <c r="M22" i="62"/>
  <c r="N24" i="62"/>
  <c r="N26" i="62"/>
  <c r="L28" i="62"/>
  <c r="M11" i="62"/>
  <c r="L12" i="62"/>
  <c r="N14" i="62"/>
  <c r="M15" i="62"/>
  <c r="L16" i="62"/>
  <c r="N18" i="62"/>
  <c r="M19" i="62"/>
  <c r="L20" i="62"/>
  <c r="N22" i="62"/>
  <c r="M23" i="62"/>
  <c r="N25" i="62"/>
  <c r="N27" i="62"/>
  <c r="M28" i="62"/>
  <c r="L29" i="62"/>
  <c r="N11" i="62"/>
  <c r="M12" i="62"/>
  <c r="L13" i="62"/>
  <c r="N15" i="62"/>
  <c r="M16" i="62"/>
  <c r="L17" i="62"/>
  <c r="N19" i="62"/>
  <c r="M20" i="62"/>
  <c r="L21" i="62"/>
  <c r="O22" i="62"/>
  <c r="N23" i="62"/>
  <c r="L24" i="62"/>
  <c r="L26" i="62"/>
  <c r="N28" i="62"/>
  <c r="M29" i="62"/>
  <c r="L31" i="62"/>
  <c r="N12" i="62"/>
  <c r="M17" i="62"/>
  <c r="N20" i="62"/>
  <c r="M21" i="62"/>
  <c r="L25" i="62"/>
  <c r="M26" i="62"/>
  <c r="N29" i="62"/>
  <c r="L11" i="62"/>
  <c r="M14" i="62"/>
  <c r="M18" i="62"/>
  <c r="N21" i="62"/>
  <c r="L23" i="62"/>
  <c r="M25" i="62"/>
  <c r="M27" i="62"/>
  <c r="N31" i="62"/>
  <c r="Q31" i="67"/>
  <c r="Q30" i="67"/>
  <c r="Q31" i="63"/>
  <c r="Q30" i="63"/>
  <c r="D278" i="67"/>
  <c r="D282" i="67"/>
  <c r="D286" i="67"/>
  <c r="D289" i="67"/>
  <c r="D291" i="67"/>
  <c r="G292" i="67"/>
  <c r="F293" i="67"/>
  <c r="F191" i="67"/>
  <c r="F193" i="67"/>
  <c r="F197" i="67"/>
  <c r="D195" i="67"/>
  <c r="E194" i="67"/>
  <c r="E276" i="67"/>
  <c r="E280" i="67"/>
  <c r="G279" i="67"/>
  <c r="G287" i="67"/>
  <c r="G290" i="67"/>
  <c r="G190" i="67"/>
  <c r="G192" i="67"/>
  <c r="G283" i="67"/>
  <c r="H278" i="67"/>
  <c r="H282" i="67"/>
  <c r="H286" i="67"/>
  <c r="H289" i="67"/>
  <c r="H291" i="67"/>
  <c r="H295" i="67"/>
  <c r="H195" i="67"/>
  <c r="F288" i="67"/>
  <c r="H162" i="69"/>
  <c r="E278" i="67"/>
  <c r="D279" i="67"/>
  <c r="H279" i="67"/>
  <c r="E282" i="67"/>
  <c r="D283" i="67"/>
  <c r="H283" i="67"/>
  <c r="E286" i="67"/>
  <c r="D287" i="67"/>
  <c r="H287" i="67"/>
  <c r="E289" i="67"/>
  <c r="D290" i="67"/>
  <c r="H290" i="67"/>
  <c r="E291" i="67"/>
  <c r="D292" i="67"/>
  <c r="H292" i="67"/>
  <c r="H190" i="67"/>
  <c r="G191" i="67"/>
  <c r="D192" i="67"/>
  <c r="H192" i="67"/>
  <c r="G193" i="67"/>
  <c r="F194" i="67"/>
  <c r="E195" i="67"/>
  <c r="G197" i="67"/>
  <c r="F276" i="67"/>
  <c r="F280" i="67"/>
  <c r="F284" i="67"/>
  <c r="E284" i="67"/>
  <c r="E288" i="67"/>
  <c r="E293" i="67"/>
  <c r="H196" i="67"/>
  <c r="O13" i="62"/>
  <c r="O17" i="62"/>
  <c r="O24" i="62"/>
  <c r="O26" i="62"/>
  <c r="O31" i="62"/>
  <c r="O21" i="63"/>
  <c r="O26" i="63"/>
  <c r="O18" i="64"/>
  <c r="O31" i="64"/>
  <c r="O13" i="65"/>
  <c r="O17" i="65"/>
  <c r="O26" i="65"/>
  <c r="D210" i="67"/>
  <c r="H210" i="67"/>
  <c r="F212" i="67"/>
  <c r="D214" i="67"/>
  <c r="H214" i="67"/>
  <c r="F216" i="67"/>
  <c r="D218" i="67"/>
  <c r="H218" i="67"/>
  <c r="G219" i="67"/>
  <c r="D222" i="67"/>
  <c r="F225" i="67"/>
  <c r="D227" i="67"/>
  <c r="H227" i="67"/>
  <c r="E230" i="67"/>
  <c r="D243" i="67"/>
  <c r="G244" i="67"/>
  <c r="F245" i="67"/>
  <c r="D247" i="67"/>
  <c r="H247" i="67"/>
  <c r="F249" i="67"/>
  <c r="D251" i="67"/>
  <c r="H251" i="67"/>
  <c r="F253" i="67"/>
  <c r="D255" i="67"/>
  <c r="F258" i="67"/>
  <c r="D260" i="67"/>
  <c r="H260" i="67"/>
  <c r="E263" i="67"/>
  <c r="E281" i="67"/>
  <c r="E285" i="67"/>
  <c r="F178" i="67"/>
  <c r="D180" i="67"/>
  <c r="H180" i="67"/>
  <c r="F182" i="67"/>
  <c r="E183" i="67"/>
  <c r="H184" i="67"/>
  <c r="F186" i="67"/>
  <c r="E187" i="67"/>
  <c r="H188" i="67"/>
  <c r="F110" i="69"/>
  <c r="D112" i="69"/>
  <c r="G113" i="69"/>
  <c r="F114" i="69"/>
  <c r="D116" i="69"/>
  <c r="G117" i="69"/>
  <c r="F118" i="69"/>
  <c r="D120" i="69"/>
  <c r="H120" i="69"/>
  <c r="D123" i="69"/>
  <c r="H123" i="69"/>
  <c r="E124" i="69"/>
  <c r="H125" i="69"/>
  <c r="G126" i="69"/>
  <c r="D129" i="69"/>
  <c r="H129" i="69"/>
  <c r="F143" i="69"/>
  <c r="D145" i="69"/>
  <c r="H145" i="69"/>
  <c r="F147" i="69"/>
  <c r="E148" i="69"/>
  <c r="H149" i="69"/>
  <c r="G150" i="69"/>
  <c r="E152" i="69"/>
  <c r="D153" i="69"/>
  <c r="G154" i="69"/>
  <c r="D156" i="69"/>
  <c r="H156" i="69"/>
  <c r="E157" i="69"/>
  <c r="D158" i="69"/>
  <c r="H158" i="69"/>
  <c r="G159" i="69"/>
  <c r="D162" i="69"/>
  <c r="O14" i="62"/>
  <c r="O18" i="62"/>
  <c r="O31" i="63"/>
  <c r="O11" i="64"/>
  <c r="O15" i="64"/>
  <c r="O19" i="64"/>
  <c r="O23" i="64"/>
  <c r="O28" i="64"/>
  <c r="O14" i="65"/>
  <c r="O18" i="65"/>
  <c r="O25" i="65"/>
  <c r="O27" i="65"/>
  <c r="O31" i="65"/>
  <c r="O13" i="66"/>
  <c r="O17" i="66"/>
  <c r="O21" i="66"/>
  <c r="O24" i="66"/>
  <c r="O26" i="66"/>
  <c r="O13" i="67"/>
  <c r="O17" i="67"/>
  <c r="O21" i="67"/>
  <c r="O24" i="67"/>
  <c r="O26" i="67"/>
  <c r="E210" i="67"/>
  <c r="D211" i="67"/>
  <c r="H211" i="67"/>
  <c r="G212" i="67"/>
  <c r="F213" i="67"/>
  <c r="E214" i="67"/>
  <c r="D215" i="67"/>
  <c r="H215" i="67"/>
  <c r="G216" i="67"/>
  <c r="F217" i="67"/>
  <c r="E218" i="67"/>
  <c r="D219" i="67"/>
  <c r="H219" i="67"/>
  <c r="F221" i="67"/>
  <c r="E222" i="67"/>
  <c r="G223" i="67"/>
  <c r="F224" i="67"/>
  <c r="G225" i="67"/>
  <c r="F226" i="67"/>
  <c r="E227" i="67"/>
  <c r="D228" i="67"/>
  <c r="H228" i="67"/>
  <c r="F230" i="67"/>
  <c r="E243" i="67"/>
  <c r="D244" i="67"/>
  <c r="H244" i="67"/>
  <c r="G245" i="67"/>
  <c r="F246" i="67"/>
  <c r="E247" i="67"/>
  <c r="D248" i="67"/>
  <c r="H248" i="67"/>
  <c r="G249" i="67"/>
  <c r="F250" i="67"/>
  <c r="E251" i="67"/>
  <c r="D252" i="67"/>
  <c r="H252" i="67"/>
  <c r="F254" i="67"/>
  <c r="E255" i="67"/>
  <c r="G256" i="67"/>
  <c r="F257" i="67"/>
  <c r="G258" i="67"/>
  <c r="F259" i="67"/>
  <c r="E260" i="67"/>
  <c r="D261" i="67"/>
  <c r="H261" i="67"/>
  <c r="F263" i="67"/>
  <c r="G276" i="67"/>
  <c r="F277" i="67"/>
  <c r="G280" i="67"/>
  <c r="F281" i="67"/>
  <c r="G284" i="67"/>
  <c r="F285" i="67"/>
  <c r="G288" i="67"/>
  <c r="G293" i="67"/>
  <c r="F294" i="67"/>
  <c r="G178" i="67"/>
  <c r="F179" i="67"/>
  <c r="E180" i="67"/>
  <c r="D181" i="67"/>
  <c r="H181" i="67"/>
  <c r="G182" i="67"/>
  <c r="F183" i="67"/>
  <c r="E184" i="67"/>
  <c r="D185" i="67"/>
  <c r="H185" i="67"/>
  <c r="G186" i="67"/>
  <c r="F187" i="67"/>
  <c r="D189" i="67"/>
  <c r="H189" i="67"/>
  <c r="D109" i="69"/>
  <c r="H109" i="69"/>
  <c r="G110" i="69"/>
  <c r="F111" i="69"/>
  <c r="E112" i="69"/>
  <c r="D113" i="69"/>
  <c r="H113" i="69"/>
  <c r="G114" i="69"/>
  <c r="F115" i="69"/>
  <c r="E116" i="69"/>
  <c r="D117" i="69"/>
  <c r="H117" i="69"/>
  <c r="G118" i="69"/>
  <c r="F119" i="69"/>
  <c r="D121" i="69"/>
  <c r="H121" i="69"/>
  <c r="E123" i="69"/>
  <c r="F124" i="69"/>
  <c r="E125" i="69"/>
  <c r="D126" i="69"/>
  <c r="H126" i="69"/>
  <c r="G127" i="69"/>
  <c r="E129" i="69"/>
  <c r="D142" i="69"/>
  <c r="H142" i="69"/>
  <c r="G143" i="69"/>
  <c r="F144" i="69"/>
  <c r="E145" i="69"/>
  <c r="D146" i="69"/>
  <c r="H146" i="69"/>
  <c r="G147" i="69"/>
  <c r="F148" i="69"/>
  <c r="E149" i="69"/>
  <c r="D150" i="69"/>
  <c r="H150" i="69"/>
  <c r="G151" i="69"/>
  <c r="F152" i="69"/>
  <c r="D154" i="69"/>
  <c r="H154" i="69"/>
  <c r="E156" i="69"/>
  <c r="F157" i="69"/>
  <c r="E158" i="69"/>
  <c r="D159" i="69"/>
  <c r="H159" i="69"/>
  <c r="G160" i="69"/>
  <c r="E162" i="69"/>
  <c r="O11" i="62"/>
  <c r="O15" i="62"/>
  <c r="O19" i="62"/>
  <c r="O23" i="62"/>
  <c r="O28" i="62"/>
  <c r="O11" i="63"/>
  <c r="O15" i="63"/>
  <c r="O19" i="63"/>
  <c r="O23" i="63"/>
  <c r="O28" i="63"/>
  <c r="O12" i="64"/>
  <c r="O16" i="64"/>
  <c r="O20" i="64"/>
  <c r="O29" i="64"/>
  <c r="O11" i="65"/>
  <c r="O15" i="65"/>
  <c r="O19" i="65"/>
  <c r="O23" i="65"/>
  <c r="O28" i="65"/>
  <c r="O14" i="66"/>
  <c r="O18" i="66"/>
  <c r="O25" i="66"/>
  <c r="O27" i="66"/>
  <c r="O31" i="66"/>
  <c r="O14" i="67"/>
  <c r="O18" i="67"/>
  <c r="O25" i="67"/>
  <c r="O27" i="67"/>
  <c r="O31" i="67"/>
  <c r="F210" i="67"/>
  <c r="E211" i="67"/>
  <c r="D212" i="67"/>
  <c r="H212" i="67"/>
  <c r="G213" i="67"/>
  <c r="F214" i="67"/>
  <c r="E215" i="67"/>
  <c r="D216" i="67"/>
  <c r="H216" i="67"/>
  <c r="G217" i="67"/>
  <c r="F218" i="67"/>
  <c r="E219" i="67"/>
  <c r="D220" i="67"/>
  <c r="H220" i="67"/>
  <c r="G221" i="67"/>
  <c r="F222" i="67"/>
  <c r="D223" i="67"/>
  <c r="H223" i="67"/>
  <c r="G224" i="67"/>
  <c r="D225" i="67"/>
  <c r="H225" i="67"/>
  <c r="G226" i="67"/>
  <c r="F227" i="67"/>
  <c r="E228" i="67"/>
  <c r="H229" i="67"/>
  <c r="G230" i="67"/>
  <c r="F243" i="67"/>
  <c r="E244" i="67"/>
  <c r="D245" i="67"/>
  <c r="H245" i="67"/>
  <c r="G246" i="67"/>
  <c r="F247" i="67"/>
  <c r="E248" i="67"/>
  <c r="D249" i="67"/>
  <c r="H249" i="67"/>
  <c r="G250" i="67"/>
  <c r="F251" i="67"/>
  <c r="E252" i="67"/>
  <c r="D253" i="67"/>
  <c r="H253" i="67"/>
  <c r="G254" i="67"/>
  <c r="F255" i="67"/>
  <c r="D256" i="67"/>
  <c r="H256" i="67"/>
  <c r="G257" i="67"/>
  <c r="D258" i="67"/>
  <c r="H258" i="67"/>
  <c r="G259" i="67"/>
  <c r="F260" i="67"/>
  <c r="E261" i="67"/>
  <c r="H262" i="67"/>
  <c r="G263" i="67"/>
  <c r="D276" i="67"/>
  <c r="H276" i="67"/>
  <c r="G277" i="67"/>
  <c r="F278" i="67"/>
  <c r="E279" i="67"/>
  <c r="D280" i="67"/>
  <c r="H280" i="67"/>
  <c r="G281" i="67"/>
  <c r="F282" i="67"/>
  <c r="E283" i="67"/>
  <c r="D284" i="67"/>
  <c r="H284" i="67"/>
  <c r="G285" i="67"/>
  <c r="F286" i="67"/>
  <c r="D288" i="67"/>
  <c r="H288" i="67"/>
  <c r="E290" i="67"/>
  <c r="F291" i="67"/>
  <c r="E292" i="67"/>
  <c r="D293" i="67"/>
  <c r="H293" i="67"/>
  <c r="G294" i="67"/>
  <c r="D178" i="67"/>
  <c r="H178" i="67"/>
  <c r="G179" i="67"/>
  <c r="F180" i="67"/>
  <c r="E181" i="67"/>
  <c r="D182" i="67"/>
  <c r="H182" i="67"/>
  <c r="G183" i="67"/>
  <c r="F184" i="67"/>
  <c r="E185" i="67"/>
  <c r="D186" i="67"/>
  <c r="H186" i="67"/>
  <c r="F188" i="67"/>
  <c r="E189" i="67"/>
  <c r="D191" i="67"/>
  <c r="H191" i="67"/>
  <c r="E192" i="67"/>
  <c r="D193" i="67"/>
  <c r="H193" i="67"/>
  <c r="G194" i="67"/>
  <c r="F195" i="67"/>
  <c r="D197" i="67"/>
  <c r="H197" i="67"/>
  <c r="E109" i="69"/>
  <c r="D110" i="69"/>
  <c r="H110" i="69"/>
  <c r="G111" i="69"/>
  <c r="F112" i="69"/>
  <c r="E113" i="69"/>
  <c r="D114" i="69"/>
  <c r="H114" i="69"/>
  <c r="G115" i="69"/>
  <c r="F116" i="69"/>
  <c r="E117" i="69"/>
  <c r="D118" i="69"/>
  <c r="H118" i="69"/>
  <c r="F120" i="69"/>
  <c r="E121" i="69"/>
  <c r="G122" i="69"/>
  <c r="F123" i="69"/>
  <c r="G124" i="69"/>
  <c r="F125" i="69"/>
  <c r="E126" i="69"/>
  <c r="D127" i="69"/>
  <c r="H127" i="69"/>
  <c r="F129" i="69"/>
  <c r="E142" i="69"/>
  <c r="D143" i="69"/>
  <c r="H143" i="69"/>
  <c r="G144" i="69"/>
  <c r="F145" i="69"/>
  <c r="E146" i="69"/>
  <c r="D147" i="69"/>
  <c r="H147" i="69"/>
  <c r="G148" i="69"/>
  <c r="F149" i="69"/>
  <c r="E150" i="69"/>
  <c r="D151" i="69"/>
  <c r="H151" i="69"/>
  <c r="F153" i="69"/>
  <c r="E154" i="69"/>
  <c r="G155" i="69"/>
  <c r="F156" i="69"/>
  <c r="G157" i="69"/>
  <c r="F158" i="69"/>
  <c r="E159" i="69"/>
  <c r="D160" i="69"/>
  <c r="H160" i="69"/>
  <c r="F162" i="69"/>
  <c r="O21" i="62"/>
  <c r="O13" i="63"/>
  <c r="O17" i="63"/>
  <c r="O14" i="64"/>
  <c r="O25" i="64"/>
  <c r="O27" i="64"/>
  <c r="O21" i="65"/>
  <c r="O24" i="65"/>
  <c r="O12" i="66"/>
  <c r="O16" i="66"/>
  <c r="O20" i="66"/>
  <c r="O29" i="66"/>
  <c r="O12" i="67"/>
  <c r="O16" i="67"/>
  <c r="O20" i="67"/>
  <c r="O29" i="67"/>
  <c r="G211" i="67"/>
  <c r="E213" i="67"/>
  <c r="G215" i="67"/>
  <c r="E217" i="67"/>
  <c r="F220" i="67"/>
  <c r="H222" i="67"/>
  <c r="E224" i="67"/>
  <c r="E226" i="67"/>
  <c r="G228" i="67"/>
  <c r="H243" i="67"/>
  <c r="E246" i="67"/>
  <c r="G248" i="67"/>
  <c r="E250" i="67"/>
  <c r="G252" i="67"/>
  <c r="H255" i="67"/>
  <c r="E257" i="67"/>
  <c r="E259" i="67"/>
  <c r="G261" i="67"/>
  <c r="E277" i="67"/>
  <c r="E294" i="67"/>
  <c r="E179" i="67"/>
  <c r="G181" i="67"/>
  <c r="D184" i="67"/>
  <c r="G185" i="67"/>
  <c r="D188" i="67"/>
  <c r="G189" i="67"/>
  <c r="E111" i="69"/>
  <c r="H112" i="69"/>
  <c r="E115" i="69"/>
  <c r="H116" i="69"/>
  <c r="E119" i="69"/>
  <c r="G121" i="69"/>
  <c r="E122" i="69"/>
  <c r="D125" i="69"/>
  <c r="F127" i="69"/>
  <c r="E144" i="69"/>
  <c r="G146" i="69"/>
  <c r="D149" i="69"/>
  <c r="F151" i="69"/>
  <c r="H153" i="69"/>
  <c r="E155" i="69"/>
  <c r="F160" i="69"/>
  <c r="O25" i="62"/>
  <c r="O27" i="62"/>
  <c r="O14" i="63"/>
  <c r="O18" i="63"/>
  <c r="O25" i="63"/>
  <c r="O27" i="63"/>
  <c r="O12" i="62"/>
  <c r="O16" i="62"/>
  <c r="O20" i="62"/>
  <c r="O29" i="62"/>
  <c r="O12" i="63"/>
  <c r="O16" i="63"/>
  <c r="O20" i="63"/>
  <c r="O29" i="63"/>
  <c r="O13" i="64"/>
  <c r="O17" i="64"/>
  <c r="O21" i="64"/>
  <c r="O24" i="64"/>
  <c r="O26" i="64"/>
  <c r="O12" i="65"/>
  <c r="O16" i="65"/>
  <c r="O20" i="65"/>
  <c r="O29" i="65"/>
  <c r="O11" i="66"/>
  <c r="O15" i="66"/>
  <c r="O19" i="66"/>
  <c r="O23" i="66"/>
  <c r="O28" i="66"/>
  <c r="O11" i="67"/>
  <c r="O15" i="67"/>
  <c r="O19" i="67"/>
  <c r="O23" i="67"/>
  <c r="O28" i="67"/>
  <c r="F211" i="67"/>
  <c r="E212" i="67"/>
  <c r="D213" i="67"/>
  <c r="H213" i="67"/>
  <c r="G214" i="67"/>
  <c r="F215" i="67"/>
  <c r="E216" i="67"/>
  <c r="D217" i="67"/>
  <c r="H217" i="67"/>
  <c r="G218" i="67"/>
  <c r="F219" i="67"/>
  <c r="E220" i="67"/>
  <c r="D221" i="67"/>
  <c r="H221" i="67"/>
  <c r="G222" i="67"/>
  <c r="E223" i="67"/>
  <c r="D224" i="67"/>
  <c r="H224" i="67"/>
  <c r="E225" i="67"/>
  <c r="D226" i="67"/>
  <c r="H226" i="67"/>
  <c r="G227" i="67"/>
  <c r="F228" i="67"/>
  <c r="D230" i="67"/>
  <c r="H230" i="67"/>
  <c r="F244" i="67"/>
  <c r="E245" i="67"/>
  <c r="D246" i="67"/>
  <c r="H246" i="67"/>
  <c r="G247" i="67"/>
  <c r="F248" i="67"/>
  <c r="E249" i="67"/>
  <c r="D250" i="67"/>
  <c r="H250" i="67"/>
  <c r="G251" i="67"/>
  <c r="F252" i="67"/>
  <c r="E253" i="67"/>
  <c r="D254" i="67"/>
  <c r="H254" i="67"/>
  <c r="G255" i="67"/>
  <c r="E256" i="67"/>
  <c r="D257" i="67"/>
  <c r="H257" i="67"/>
  <c r="E258" i="67"/>
  <c r="D259" i="67"/>
  <c r="H259" i="67"/>
  <c r="G260" i="67"/>
  <c r="F261" i="67"/>
  <c r="D263" i="67"/>
  <c r="H263" i="67"/>
  <c r="D277" i="67"/>
  <c r="H277" i="67"/>
  <c r="G278" i="67"/>
  <c r="F279" i="67"/>
  <c r="D281" i="67"/>
  <c r="H281" i="67"/>
  <c r="G282" i="67"/>
  <c r="F283" i="67"/>
  <c r="D285" i="67"/>
  <c r="H285" i="67"/>
  <c r="G286" i="67"/>
  <c r="F287" i="67"/>
  <c r="G289" i="67"/>
  <c r="F290" i="67"/>
  <c r="G291" i="67"/>
  <c r="F292" i="67"/>
  <c r="D294" i="67"/>
  <c r="H294" i="67"/>
  <c r="E178" i="67"/>
  <c r="D179" i="67"/>
  <c r="H179" i="67"/>
  <c r="G180" i="67"/>
  <c r="F181" i="67"/>
  <c r="E182" i="67"/>
  <c r="D183" i="67"/>
  <c r="H183" i="67"/>
  <c r="G184" i="67"/>
  <c r="F185" i="67"/>
  <c r="E186" i="67"/>
  <c r="D187" i="67"/>
  <c r="H187" i="67"/>
  <c r="G188" i="67"/>
  <c r="F189" i="67"/>
  <c r="D190" i="67"/>
  <c r="E191" i="67"/>
  <c r="F192" i="67"/>
  <c r="E193" i="67"/>
  <c r="D194" i="67"/>
  <c r="H194" i="67"/>
  <c r="G195" i="67"/>
  <c r="E197" i="67"/>
  <c r="F109" i="69"/>
  <c r="E110" i="69"/>
  <c r="D111" i="69"/>
  <c r="H111" i="69"/>
  <c r="G112" i="69"/>
  <c r="F113" i="69"/>
  <c r="E114" i="69"/>
  <c r="D115" i="69"/>
  <c r="H115" i="69"/>
  <c r="G116" i="69"/>
  <c r="F117" i="69"/>
  <c r="E118" i="69"/>
  <c r="D119" i="69"/>
  <c r="H119" i="69"/>
  <c r="G120" i="69"/>
  <c r="F121" i="69"/>
  <c r="D122" i="69"/>
  <c r="H122" i="69"/>
  <c r="G123" i="69"/>
  <c r="D124" i="69"/>
  <c r="H124" i="69"/>
  <c r="G125" i="69"/>
  <c r="F126" i="69"/>
  <c r="E127" i="69"/>
  <c r="H128" i="69"/>
  <c r="G129" i="69"/>
  <c r="F142" i="69"/>
  <c r="E143" i="69"/>
  <c r="D144" i="69"/>
  <c r="H144" i="69"/>
  <c r="G145" i="69"/>
  <c r="F146" i="69"/>
  <c r="E147" i="69"/>
  <c r="D148" i="69"/>
  <c r="H148" i="69"/>
  <c r="G149" i="69"/>
  <c r="F150" i="69"/>
  <c r="E151" i="69"/>
  <c r="D152" i="69"/>
  <c r="H152" i="69"/>
  <c r="G153" i="69"/>
  <c r="F154" i="69"/>
  <c r="D155" i="69"/>
  <c r="H155" i="69"/>
  <c r="G156" i="69"/>
  <c r="D157" i="69"/>
  <c r="H157" i="69"/>
  <c r="G158" i="69"/>
  <c r="F159" i="69"/>
  <c r="E160" i="69"/>
  <c r="H161" i="69"/>
  <c r="G162" i="69"/>
  <c r="L22" i="64"/>
  <c r="E188" i="67"/>
  <c r="E120" i="69"/>
  <c r="E153" i="69"/>
  <c r="L22" i="62"/>
  <c r="L22" i="63"/>
  <c r="L22" i="65"/>
  <c r="E287" i="67"/>
  <c r="L22" i="66"/>
  <c r="AQ22" i="66" s="1"/>
  <c r="L22" i="67"/>
  <c r="E221" i="67"/>
  <c r="E254" i="67"/>
  <c r="G220" i="67"/>
  <c r="G253" i="67"/>
  <c r="G187" i="67"/>
  <c r="G119" i="69"/>
  <c r="G152" i="69"/>
  <c r="G210" i="67"/>
  <c r="G243" i="67"/>
  <c r="G109" i="69"/>
  <c r="G142" i="69"/>
  <c r="O24" i="63"/>
  <c r="H129" i="63"/>
  <c r="F129" i="63"/>
  <c r="G129" i="63"/>
  <c r="E129" i="63"/>
  <c r="D129" i="63"/>
  <c r="AH16" i="68"/>
  <c r="Q16" i="68" s="1"/>
  <c r="I101" i="76" s="1"/>
  <c r="P31" i="65" l="1"/>
  <c r="P31" i="64"/>
  <c r="P31" i="66"/>
  <c r="P31" i="62"/>
  <c r="P31" i="67"/>
  <c r="E160" i="63"/>
  <c r="D141" i="63"/>
  <c r="X26" i="76"/>
  <c r="P31" i="63"/>
  <c r="AE30" i="65"/>
  <c r="O30" i="65" s="1"/>
  <c r="M26" i="76"/>
  <c r="P26" i="76"/>
  <c r="L26" i="76"/>
  <c r="S26" i="76"/>
  <c r="K26" i="76"/>
  <c r="F26" i="76"/>
  <c r="D26" i="76"/>
  <c r="G26" i="76"/>
  <c r="O26" i="76"/>
  <c r="Q26" i="76"/>
  <c r="V26" i="76"/>
  <c r="I26" i="76"/>
  <c r="T26" i="76"/>
  <c r="E26" i="76"/>
  <c r="R26" i="76"/>
  <c r="J26" i="76"/>
  <c r="U26" i="76"/>
  <c r="H26" i="76"/>
  <c r="N26" i="76"/>
  <c r="Z163" i="67"/>
  <c r="E163" i="67" s="1"/>
  <c r="AA30" i="67"/>
  <c r="AL59" i="67"/>
  <c r="AE30" i="62"/>
  <c r="AE30" i="63"/>
  <c r="AE30" i="64"/>
  <c r="Y30" i="65"/>
  <c r="Y30" i="62"/>
  <c r="Y30" i="66"/>
  <c r="AG11" i="62"/>
  <c r="Y30" i="63"/>
  <c r="AH17" i="68"/>
  <c r="Q17" i="68" s="1"/>
  <c r="J101" i="76" s="1"/>
  <c r="AH22" i="68"/>
  <c r="Q22" i="68" s="1"/>
  <c r="O101" i="76" s="1"/>
  <c r="AH23" i="68"/>
  <c r="Q23" i="68" s="1"/>
  <c r="P101" i="76" s="1"/>
  <c r="AH19" i="68"/>
  <c r="Q19" i="68" s="1"/>
  <c r="L101" i="76" s="1"/>
  <c r="AH24" i="68"/>
  <c r="Q24" i="68" s="1"/>
  <c r="Q101" i="76" s="1"/>
  <c r="AH21" i="68"/>
  <c r="Q21" i="68" s="1"/>
  <c r="N101" i="76" s="1"/>
  <c r="AH14" i="68"/>
  <c r="Q14" i="68" s="1"/>
  <c r="G101" i="76" s="1"/>
  <c r="AH11" i="68"/>
  <c r="Q11" i="68" s="1"/>
  <c r="D101" i="76" s="1"/>
  <c r="AH29" i="68"/>
  <c r="Q29" i="68" s="1"/>
  <c r="V101" i="76" s="1"/>
  <c r="AH13" i="68"/>
  <c r="Q13" i="68" s="1"/>
  <c r="F101" i="76" s="1"/>
  <c r="AH15" i="68"/>
  <c r="Q15" i="68" s="1"/>
  <c r="H101" i="76" s="1"/>
  <c r="AH18" i="68"/>
  <c r="Q18" i="68" s="1"/>
  <c r="K101" i="76" s="1"/>
  <c r="AH25" i="68"/>
  <c r="Q25" i="68" s="1"/>
  <c r="R101" i="76" s="1"/>
  <c r="AH27" i="68"/>
  <c r="Q27" i="68" s="1"/>
  <c r="T101" i="76" s="1"/>
  <c r="AH12" i="68"/>
  <c r="Q12" i="68" s="1"/>
  <c r="E101" i="76" s="1"/>
  <c r="AH20" i="68"/>
  <c r="Q20" i="68" s="1"/>
  <c r="M101" i="76" s="1"/>
  <c r="AH28" i="68"/>
  <c r="Q28" i="68" s="1"/>
  <c r="U101" i="76" s="1"/>
  <c r="O40" i="76"/>
  <c r="AC163" i="67"/>
  <c r="H163" i="67" s="1"/>
  <c r="AB30" i="66"/>
  <c r="AD30" i="66"/>
  <c r="AE30" i="67"/>
  <c r="H141" i="63"/>
  <c r="O43" i="76"/>
  <c r="AE30" i="66"/>
  <c r="Y163" i="67"/>
  <c r="D163" i="67" s="1"/>
  <c r="D154" i="67"/>
  <c r="AD30" i="65"/>
  <c r="D158" i="63"/>
  <c r="H158" i="63"/>
  <c r="G141" i="63"/>
  <c r="E141" i="63"/>
  <c r="G158" i="63"/>
  <c r="F158" i="63"/>
  <c r="F141" i="63"/>
  <c r="H160" i="63"/>
  <c r="D160" i="63"/>
  <c r="F160" i="63"/>
  <c r="G160" i="63"/>
  <c r="AD30" i="67"/>
  <c r="AB30" i="67"/>
  <c r="AA30" i="64"/>
  <c r="AA30" i="66"/>
  <c r="AA30" i="63"/>
  <c r="AO31" i="65"/>
  <c r="I31" i="65" s="1"/>
  <c r="AO28" i="65"/>
  <c r="I28" i="65" s="1"/>
  <c r="AO16" i="65"/>
  <c r="I16" i="65" s="1"/>
  <c r="AO12" i="65"/>
  <c r="I12" i="65" s="1"/>
  <c r="AO23" i="65"/>
  <c r="I23" i="65" s="1"/>
  <c r="AO19" i="67"/>
  <c r="I19" i="67" s="1"/>
  <c r="AO28" i="67"/>
  <c r="I28" i="67" s="1"/>
  <c r="AO18" i="64"/>
  <c r="I18" i="64" s="1"/>
  <c r="AO29" i="64"/>
  <c r="I29" i="64" s="1"/>
  <c r="AO31" i="64"/>
  <c r="I31" i="64" s="1"/>
  <c r="AO17" i="66"/>
  <c r="I17" i="66" s="1"/>
  <c r="AO26" i="67"/>
  <c r="I26" i="67" s="1"/>
  <c r="AO22" i="67"/>
  <c r="I22" i="67" s="1"/>
  <c r="AO17" i="67"/>
  <c r="I17" i="67" s="1"/>
  <c r="AO16" i="67"/>
  <c r="I16" i="67" s="1"/>
  <c r="AO15" i="65"/>
  <c r="I15" i="65" s="1"/>
  <c r="AO19" i="65"/>
  <c r="I19" i="65" s="1"/>
  <c r="AO29" i="65"/>
  <c r="I29" i="65" s="1"/>
  <c r="AG29" i="62"/>
  <c r="P29" i="62"/>
  <c r="AG18" i="63"/>
  <c r="P14" i="64"/>
  <c r="AG14" i="64"/>
  <c r="AG28" i="65"/>
  <c r="P28" i="65"/>
  <c r="AG23" i="65"/>
  <c r="P23" i="65"/>
  <c r="AG12" i="64"/>
  <c r="P12" i="64"/>
  <c r="AG19" i="63"/>
  <c r="P11" i="62"/>
  <c r="P14" i="65"/>
  <c r="AG14" i="65"/>
  <c r="AG17" i="65"/>
  <c r="P17" i="65"/>
  <c r="AG13" i="62"/>
  <c r="P13" i="62"/>
  <c r="AG22" i="63"/>
  <c r="AO12" i="64"/>
  <c r="I12" i="64" s="1"/>
  <c r="P22" i="64"/>
  <c r="AG22" i="64"/>
  <c r="AO27" i="67"/>
  <c r="I27" i="67" s="1"/>
  <c r="AG24" i="63"/>
  <c r="P15" i="67"/>
  <c r="AG15" i="67"/>
  <c r="AG29" i="65"/>
  <c r="P29" i="65"/>
  <c r="AG26" i="64"/>
  <c r="P26" i="64"/>
  <c r="AG20" i="63"/>
  <c r="AG14" i="63"/>
  <c r="AG14" i="67"/>
  <c r="P14" i="67"/>
  <c r="AG15" i="63"/>
  <c r="AG18" i="64"/>
  <c r="P18" i="64"/>
  <c r="AG22" i="62"/>
  <c r="P22" i="62"/>
  <c r="AG22" i="67"/>
  <c r="P22" i="67"/>
  <c r="AO20" i="67"/>
  <c r="I20" i="67" s="1"/>
  <c r="AO26" i="65"/>
  <c r="I26" i="65" s="1"/>
  <c r="P22" i="65"/>
  <c r="AG22" i="65"/>
  <c r="AO18" i="67"/>
  <c r="I18" i="67" s="1"/>
  <c r="AG11" i="67"/>
  <c r="P11" i="67"/>
  <c r="P24" i="64"/>
  <c r="AG24" i="64"/>
  <c r="AG29" i="63"/>
  <c r="AG16" i="63"/>
  <c r="AG27" i="63"/>
  <c r="P27" i="62"/>
  <c r="AG27" i="62"/>
  <c r="P29" i="67"/>
  <c r="AG29" i="67"/>
  <c r="AG16" i="67"/>
  <c r="P16" i="67"/>
  <c r="AG24" i="65"/>
  <c r="P24" i="65"/>
  <c r="AG27" i="64"/>
  <c r="P27" i="64"/>
  <c r="AG13" i="63"/>
  <c r="AG27" i="67"/>
  <c r="P27" i="67"/>
  <c r="P19" i="65"/>
  <c r="AG19" i="65"/>
  <c r="P11" i="65"/>
  <c r="AG11" i="65"/>
  <c r="P20" i="64"/>
  <c r="AG20" i="64"/>
  <c r="AG11" i="63"/>
  <c r="P19" i="62"/>
  <c r="AG19" i="62"/>
  <c r="AG26" i="67"/>
  <c r="P26" i="67"/>
  <c r="AG13" i="67"/>
  <c r="P13" i="67"/>
  <c r="P27" i="65"/>
  <c r="AG27" i="65"/>
  <c r="AG18" i="65"/>
  <c r="P18" i="65"/>
  <c r="AG28" i="64"/>
  <c r="P28" i="64"/>
  <c r="AG15" i="64"/>
  <c r="P15" i="64"/>
  <c r="P14" i="62"/>
  <c r="AG14" i="62"/>
  <c r="AG26" i="65"/>
  <c r="P26" i="65"/>
  <c r="AG13" i="65"/>
  <c r="P13" i="65"/>
  <c r="AG26" i="63"/>
  <c r="P24" i="62"/>
  <c r="AG24" i="62"/>
  <c r="AO21" i="67"/>
  <c r="I21" i="67" s="1"/>
  <c r="AO13" i="67"/>
  <c r="I13" i="67" s="1"/>
  <c r="AO21" i="65"/>
  <c r="I21" i="65" s="1"/>
  <c r="AO17" i="65"/>
  <c r="I17" i="65" s="1"/>
  <c r="AO13" i="65"/>
  <c r="I13" i="65" s="1"/>
  <c r="AO20" i="65"/>
  <c r="I20" i="65" s="1"/>
  <c r="AO31" i="67"/>
  <c r="I31" i="67" s="1"/>
  <c r="P19" i="67"/>
  <c r="AG19" i="67"/>
  <c r="AG17" i="64"/>
  <c r="P17" i="64"/>
  <c r="P16" i="62"/>
  <c r="AG16" i="62"/>
  <c r="AG21" i="65"/>
  <c r="P21" i="65"/>
  <c r="AG18" i="67"/>
  <c r="P18" i="67"/>
  <c r="AG15" i="65"/>
  <c r="P15" i="65"/>
  <c r="AG21" i="67"/>
  <c r="P21" i="67"/>
  <c r="AG25" i="65"/>
  <c r="P25" i="65"/>
  <c r="AG23" i="64"/>
  <c r="P23" i="64"/>
  <c r="AO29" i="67"/>
  <c r="I29" i="67" s="1"/>
  <c r="AO23" i="67"/>
  <c r="I23" i="67" s="1"/>
  <c r="AG28" i="67"/>
  <c r="P28" i="67"/>
  <c r="AG16" i="65"/>
  <c r="P16" i="65"/>
  <c r="P13" i="64"/>
  <c r="AG13" i="64"/>
  <c r="AG12" i="62"/>
  <c r="P12" i="62"/>
  <c r="AG20" i="67"/>
  <c r="P20" i="67"/>
  <c r="AG17" i="63"/>
  <c r="X43" i="76"/>
  <c r="AG28" i="63"/>
  <c r="AG23" i="62"/>
  <c r="P23" i="62"/>
  <c r="AG17" i="67"/>
  <c r="P17" i="67"/>
  <c r="AG19" i="64"/>
  <c r="P19" i="64"/>
  <c r="AG18" i="62"/>
  <c r="P18" i="62"/>
  <c r="AG26" i="62"/>
  <c r="P26" i="62"/>
  <c r="AO16" i="64"/>
  <c r="I16" i="64" s="1"/>
  <c r="AO14" i="67"/>
  <c r="I14" i="67" s="1"/>
  <c r="P23" i="67"/>
  <c r="AG23" i="67"/>
  <c r="AG20" i="65"/>
  <c r="P20" i="65"/>
  <c r="AG12" i="65"/>
  <c r="P12" i="65"/>
  <c r="AG21" i="64"/>
  <c r="P21" i="64"/>
  <c r="AG12" i="63"/>
  <c r="P20" i="62"/>
  <c r="AG20" i="62"/>
  <c r="AG25" i="63"/>
  <c r="AG25" i="62"/>
  <c r="P25" i="62"/>
  <c r="AG12" i="67"/>
  <c r="P12" i="67"/>
  <c r="AG25" i="64"/>
  <c r="P25" i="64"/>
  <c r="P21" i="62"/>
  <c r="AG21" i="62"/>
  <c r="AG25" i="67"/>
  <c r="P25" i="67"/>
  <c r="P29" i="64"/>
  <c r="AG29" i="64"/>
  <c r="P16" i="64"/>
  <c r="AG16" i="64"/>
  <c r="AG23" i="63"/>
  <c r="P28" i="62"/>
  <c r="AG28" i="62"/>
  <c r="AG15" i="62"/>
  <c r="P15" i="62"/>
  <c r="AG24" i="67"/>
  <c r="P24" i="67"/>
  <c r="P11" i="64"/>
  <c r="AG11" i="64"/>
  <c r="AG21" i="63"/>
  <c r="AG17" i="62"/>
  <c r="P17" i="62"/>
  <c r="O39" i="76"/>
  <c r="AO13" i="66"/>
  <c r="I13" i="66" s="1"/>
  <c r="AO27" i="65"/>
  <c r="I27" i="65" s="1"/>
  <c r="AO25" i="65"/>
  <c r="I25" i="65" s="1"/>
  <c r="AO22" i="65"/>
  <c r="I22" i="65" s="1"/>
  <c r="AO18" i="65"/>
  <c r="I18" i="65" s="1"/>
  <c r="AO14" i="65"/>
  <c r="I14" i="65" s="1"/>
  <c r="AO11" i="67"/>
  <c r="I11" i="67" s="1"/>
  <c r="AO25" i="67"/>
  <c r="I25" i="67" s="1"/>
  <c r="AO12" i="67"/>
  <c r="I12" i="67" s="1"/>
  <c r="AO15" i="67"/>
  <c r="I15" i="67" s="1"/>
  <c r="AO11" i="65"/>
  <c r="I11" i="65" s="1"/>
  <c r="AO29" i="66"/>
  <c r="I29" i="66" s="1"/>
  <c r="AO28" i="66"/>
  <c r="I28" i="66" s="1"/>
  <c r="AO22" i="66"/>
  <c r="I22" i="66" s="1"/>
  <c r="AO15" i="66"/>
  <c r="I15" i="66" s="1"/>
  <c r="AO27" i="66"/>
  <c r="I27" i="66" s="1"/>
  <c r="AO11" i="66"/>
  <c r="I11" i="66" s="1"/>
  <c r="AG25" i="66"/>
  <c r="P25" i="66"/>
  <c r="AT25" i="66"/>
  <c r="AV25" i="66" s="1"/>
  <c r="P21" i="66"/>
  <c r="AG21" i="66"/>
  <c r="AT21" i="66"/>
  <c r="AV21" i="66" s="1"/>
  <c r="P22" i="66"/>
  <c r="AG22" i="66"/>
  <c r="AT22" i="66"/>
  <c r="AU22" i="66" s="1"/>
  <c r="AO20" i="66"/>
  <c r="I20" i="66" s="1"/>
  <c r="AO12" i="66"/>
  <c r="I12" i="66" s="1"/>
  <c r="AO19" i="66"/>
  <c r="I19" i="66" s="1"/>
  <c r="AO31" i="66"/>
  <c r="I31" i="66" s="1"/>
  <c r="AO25" i="66"/>
  <c r="I25" i="66" s="1"/>
  <c r="AO18" i="66"/>
  <c r="I18" i="66" s="1"/>
  <c r="P28" i="66"/>
  <c r="AG28" i="66"/>
  <c r="AT28" i="66"/>
  <c r="AU28" i="66" s="1"/>
  <c r="AG15" i="66"/>
  <c r="P15" i="66"/>
  <c r="AT15" i="66"/>
  <c r="AV15" i="66" s="1"/>
  <c r="AG12" i="66"/>
  <c r="P12" i="66"/>
  <c r="AT12" i="66"/>
  <c r="AU12" i="66" s="1"/>
  <c r="AG27" i="66"/>
  <c r="P27" i="66"/>
  <c r="AT27" i="66"/>
  <c r="AV27" i="66" s="1"/>
  <c r="P26" i="66"/>
  <c r="AT26" i="66"/>
  <c r="AV26" i="66" s="1"/>
  <c r="AG26" i="66"/>
  <c r="P13" i="66"/>
  <c r="AG13" i="66"/>
  <c r="AT13" i="66"/>
  <c r="AU13" i="66" s="1"/>
  <c r="AO16" i="66"/>
  <c r="I16" i="66" s="1"/>
  <c r="AG11" i="66"/>
  <c r="P11" i="66"/>
  <c r="AT11" i="66"/>
  <c r="AU11" i="66" s="1"/>
  <c r="P24" i="66"/>
  <c r="AG24" i="66"/>
  <c r="AT24" i="66"/>
  <c r="AO26" i="66"/>
  <c r="I26" i="66" s="1"/>
  <c r="AO14" i="66"/>
  <c r="I14" i="66" s="1"/>
  <c r="AG23" i="66"/>
  <c r="P23" i="66"/>
  <c r="AT23" i="66"/>
  <c r="AU23" i="66" s="1"/>
  <c r="AG20" i="66"/>
  <c r="P20" i="66"/>
  <c r="AT20" i="66"/>
  <c r="AV20" i="66" s="1"/>
  <c r="X40" i="76"/>
  <c r="AT31" i="66"/>
  <c r="AV31" i="66" s="1"/>
  <c r="AG18" i="66"/>
  <c r="P18" i="66"/>
  <c r="AT18" i="66"/>
  <c r="AU18" i="66" s="1"/>
  <c r="AG19" i="66"/>
  <c r="P19" i="66"/>
  <c r="AT19" i="66"/>
  <c r="AU19" i="66" s="1"/>
  <c r="P29" i="66"/>
  <c r="AG29" i="66"/>
  <c r="AT29" i="66"/>
  <c r="AV29" i="66" s="1"/>
  <c r="AG16" i="66"/>
  <c r="P16" i="66"/>
  <c r="AT16" i="66"/>
  <c r="AU16" i="66" s="1"/>
  <c r="AG14" i="66"/>
  <c r="P14" i="66"/>
  <c r="AT14" i="66"/>
  <c r="AU14" i="66" s="1"/>
  <c r="P17" i="66"/>
  <c r="AG17" i="66"/>
  <c r="AT17" i="66"/>
  <c r="AU17" i="66" s="1"/>
  <c r="AO21" i="66"/>
  <c r="I21" i="66" s="1"/>
  <c r="AO23" i="66"/>
  <c r="I23" i="66" s="1"/>
  <c r="AO20" i="64"/>
  <c r="I20" i="64" s="1"/>
  <c r="AO23" i="64"/>
  <c r="I23" i="64" s="1"/>
  <c r="AO21" i="64"/>
  <c r="I21" i="64" s="1"/>
  <c r="P14" i="63"/>
  <c r="P16" i="63"/>
  <c r="P27" i="63"/>
  <c r="P23" i="63"/>
  <c r="P18" i="63"/>
  <c r="P28" i="63"/>
  <c r="P15" i="63"/>
  <c r="P21" i="63"/>
  <c r="AO31" i="63"/>
  <c r="I31" i="63" s="1"/>
  <c r="P22" i="63"/>
  <c r="AO14" i="63"/>
  <c r="I14" i="63" s="1"/>
  <c r="P20" i="63"/>
  <c r="P17" i="63"/>
  <c r="P11" i="63"/>
  <c r="P29" i="63"/>
  <c r="P13" i="63"/>
  <c r="P24" i="63"/>
  <c r="P12" i="63"/>
  <c r="P25" i="63"/>
  <c r="P19" i="63"/>
  <c r="P26" i="63"/>
  <c r="AO27" i="64"/>
  <c r="I27" i="64" s="1"/>
  <c r="AO14" i="64"/>
  <c r="I14" i="64" s="1"/>
  <c r="AO11" i="64"/>
  <c r="I11" i="64" s="1"/>
  <c r="O38" i="76"/>
  <c r="AO28" i="64"/>
  <c r="I28" i="64" s="1"/>
  <c r="AO26" i="64"/>
  <c r="I26" i="64" s="1"/>
  <c r="AO15" i="64"/>
  <c r="I15" i="64" s="1"/>
  <c r="AO13" i="64"/>
  <c r="I13" i="64" s="1"/>
  <c r="AO25" i="64"/>
  <c r="I25" i="64" s="1"/>
  <c r="AO22" i="64"/>
  <c r="I22" i="64" s="1"/>
  <c r="AO19" i="64"/>
  <c r="I19" i="64" s="1"/>
  <c r="AO17" i="64"/>
  <c r="I17" i="64" s="1"/>
  <c r="AO29" i="63"/>
  <c r="I29" i="63" s="1"/>
  <c r="AO16" i="63"/>
  <c r="I16" i="63" s="1"/>
  <c r="AO11" i="62"/>
  <c r="I11" i="62" s="1"/>
  <c r="AO25" i="63"/>
  <c r="I25" i="63" s="1"/>
  <c r="AO27" i="63"/>
  <c r="I27" i="63" s="1"/>
  <c r="AO20" i="63"/>
  <c r="I20" i="63" s="1"/>
  <c r="AO17" i="63"/>
  <c r="I17" i="63" s="1"/>
  <c r="AO13" i="63"/>
  <c r="I13" i="63" s="1"/>
  <c r="AO12" i="63"/>
  <c r="I12" i="63" s="1"/>
  <c r="AO28" i="63"/>
  <c r="I28" i="63" s="1"/>
  <c r="AO26" i="63"/>
  <c r="I26" i="63" s="1"/>
  <c r="AO22" i="63"/>
  <c r="I22" i="63" s="1"/>
  <c r="AO19" i="63"/>
  <c r="I19" i="63" s="1"/>
  <c r="AO11" i="63"/>
  <c r="I11" i="63" s="1"/>
  <c r="AO15" i="63"/>
  <c r="I15" i="63" s="1"/>
  <c r="AO23" i="63"/>
  <c r="I23" i="63" s="1"/>
  <c r="AO21" i="63"/>
  <c r="I21" i="63" s="1"/>
  <c r="AO18" i="63"/>
  <c r="I18" i="63" s="1"/>
  <c r="AO31" i="62"/>
  <c r="I31" i="62" s="1"/>
  <c r="AO21" i="62"/>
  <c r="I21" i="62" s="1"/>
  <c r="AO17" i="62"/>
  <c r="I17" i="62" s="1"/>
  <c r="AO13" i="62"/>
  <c r="I13" i="62" s="1"/>
  <c r="O24" i="76"/>
  <c r="AO23" i="62"/>
  <c r="I23" i="62" s="1"/>
  <c r="AO19" i="62"/>
  <c r="I19" i="62" s="1"/>
  <c r="AO15" i="62"/>
  <c r="I15" i="62" s="1"/>
  <c r="AO27" i="62"/>
  <c r="I27" i="62" s="1"/>
  <c r="AO25" i="62"/>
  <c r="I25" i="62" s="1"/>
  <c r="AO22" i="62"/>
  <c r="I22" i="62" s="1"/>
  <c r="AO18" i="62"/>
  <c r="I18" i="62" s="1"/>
  <c r="AO14" i="62"/>
  <c r="I14" i="62" s="1"/>
  <c r="AO29" i="62"/>
  <c r="I29" i="62" s="1"/>
  <c r="AO26" i="62"/>
  <c r="I26" i="62" s="1"/>
  <c r="AO28" i="62"/>
  <c r="I28" i="62" s="1"/>
  <c r="AO20" i="62"/>
  <c r="I20" i="62" s="1"/>
  <c r="AO16" i="62"/>
  <c r="I16" i="62" s="1"/>
  <c r="AO12" i="62"/>
  <c r="I12" i="62" s="1"/>
  <c r="M24" i="76"/>
  <c r="E24" i="76"/>
  <c r="R43" i="76"/>
  <c r="Q43" i="76"/>
  <c r="S40" i="76"/>
  <c r="F40" i="76"/>
  <c r="K39" i="76"/>
  <c r="P38" i="76"/>
  <c r="X24" i="76"/>
  <c r="Q24" i="76"/>
  <c r="F24" i="76"/>
  <c r="L43" i="76"/>
  <c r="D43" i="76"/>
  <c r="E39" i="76"/>
  <c r="J38" i="76"/>
  <c r="M43" i="76"/>
  <c r="E43" i="76"/>
  <c r="M40" i="76"/>
  <c r="T40" i="76"/>
  <c r="U39" i="76"/>
  <c r="G24" i="76"/>
  <c r="S39" i="76"/>
  <c r="U43" i="76"/>
  <c r="P43" i="76"/>
  <c r="H43" i="76"/>
  <c r="U40" i="76"/>
  <c r="P40" i="76"/>
  <c r="H40" i="76"/>
  <c r="V39" i="76"/>
  <c r="I39" i="76"/>
  <c r="S38" i="76"/>
  <c r="N38" i="76"/>
  <c r="F38" i="76"/>
  <c r="V43" i="76"/>
  <c r="I43" i="76"/>
  <c r="V40" i="76"/>
  <c r="I40" i="76"/>
  <c r="Q39" i="76"/>
  <c r="T38" i="76"/>
  <c r="G38" i="76"/>
  <c r="R40" i="76"/>
  <c r="G40" i="76"/>
  <c r="L39" i="76"/>
  <c r="D39" i="76"/>
  <c r="M38" i="76"/>
  <c r="E38" i="76"/>
  <c r="K24" i="76"/>
  <c r="J39" i="76"/>
  <c r="X38" i="76"/>
  <c r="R24" i="76"/>
  <c r="G43" i="76"/>
  <c r="L24" i="76"/>
  <c r="D24" i="76"/>
  <c r="J43" i="76"/>
  <c r="N40" i="76"/>
  <c r="T39" i="76"/>
  <c r="U38" i="76"/>
  <c r="H38" i="76"/>
  <c r="L40" i="76"/>
  <c r="D40" i="76"/>
  <c r="M39" i="76"/>
  <c r="Q38" i="76"/>
  <c r="E40" i="76"/>
  <c r="N39" i="76"/>
  <c r="R38" i="76"/>
  <c r="K40" i="76"/>
  <c r="P39" i="76"/>
  <c r="H39" i="76"/>
  <c r="V38" i="76"/>
  <c r="I38" i="76"/>
  <c r="F39" i="76"/>
  <c r="K38" i="76"/>
  <c r="V24" i="76"/>
  <c r="I24" i="76"/>
  <c r="T24" i="76"/>
  <c r="N24" i="76"/>
  <c r="T43" i="76"/>
  <c r="K43" i="76"/>
  <c r="U24" i="76"/>
  <c r="P24" i="76"/>
  <c r="H24" i="76"/>
  <c r="S43" i="76"/>
  <c r="N43" i="76"/>
  <c r="F43" i="76"/>
  <c r="Q40" i="76"/>
  <c r="J40" i="76"/>
  <c r="X39" i="76"/>
  <c r="R39" i="76"/>
  <c r="G39" i="76"/>
  <c r="L38" i="76"/>
  <c r="D38" i="76"/>
  <c r="S24" i="76"/>
  <c r="J24" i="76"/>
  <c r="AN31" i="49"/>
  <c r="AC163" i="49"/>
  <c r="H163" i="49" s="1"/>
  <c r="AB163" i="49"/>
  <c r="G163" i="49" s="1"/>
  <c r="AA163" i="49"/>
  <c r="Z163" i="49"/>
  <c r="Y163" i="49"/>
  <c r="AC161" i="49"/>
  <c r="AB161" i="49"/>
  <c r="AA161" i="49"/>
  <c r="Z161" i="49"/>
  <c r="Y161" i="49"/>
  <c r="AC159" i="49"/>
  <c r="AB159" i="49"/>
  <c r="AA159" i="49"/>
  <c r="Z159" i="49"/>
  <c r="Y159" i="49"/>
  <c r="AC158" i="49"/>
  <c r="AB158" i="49"/>
  <c r="AA158" i="49"/>
  <c r="Z158" i="49"/>
  <c r="Y158" i="49"/>
  <c r="AC157" i="49"/>
  <c r="AB157" i="49"/>
  <c r="AA157" i="49"/>
  <c r="Z157" i="49"/>
  <c r="Y157" i="49"/>
  <c r="AC156" i="49"/>
  <c r="AB156" i="49"/>
  <c r="AA156" i="49"/>
  <c r="Z156" i="49"/>
  <c r="Y156" i="49"/>
  <c r="AC155" i="49"/>
  <c r="AB155" i="49"/>
  <c r="AA155" i="49"/>
  <c r="Z155" i="49"/>
  <c r="Y155" i="49"/>
  <c r="AC154" i="49"/>
  <c r="AB154" i="49"/>
  <c r="AA154" i="49"/>
  <c r="Z154" i="49"/>
  <c r="Y154" i="49"/>
  <c r="AC153" i="49"/>
  <c r="AB153" i="49"/>
  <c r="AA153" i="49"/>
  <c r="Z153" i="49"/>
  <c r="Y153" i="49"/>
  <c r="AC152" i="49"/>
  <c r="AB152" i="49"/>
  <c r="AA152" i="49"/>
  <c r="Z152" i="49"/>
  <c r="Y152" i="49"/>
  <c r="AC151" i="49"/>
  <c r="AB151" i="49"/>
  <c r="AA151" i="49"/>
  <c r="Z151" i="49"/>
  <c r="Y151" i="49"/>
  <c r="AC150" i="49"/>
  <c r="AB150" i="49"/>
  <c r="AA150" i="49"/>
  <c r="Z150" i="49"/>
  <c r="Y150" i="49"/>
  <c r="AC149" i="49"/>
  <c r="AB149" i="49"/>
  <c r="AA149" i="49"/>
  <c r="Z149" i="49"/>
  <c r="Y149" i="49"/>
  <c r="AC148" i="49"/>
  <c r="AB148" i="49"/>
  <c r="AA148" i="49"/>
  <c r="Z148" i="49"/>
  <c r="AC147" i="49"/>
  <c r="AB147" i="49"/>
  <c r="AA147" i="49"/>
  <c r="Z147" i="49"/>
  <c r="Y147" i="49"/>
  <c r="AC146" i="49"/>
  <c r="AB146" i="49"/>
  <c r="AA146" i="49"/>
  <c r="Z146" i="49"/>
  <c r="Y146" i="49"/>
  <c r="AC145" i="49"/>
  <c r="AB145" i="49"/>
  <c r="AA145" i="49"/>
  <c r="Z145" i="49"/>
  <c r="Y145" i="49"/>
  <c r="AC143" i="49"/>
  <c r="AB143" i="49"/>
  <c r="AA143" i="49"/>
  <c r="Z143" i="49"/>
  <c r="Y143" i="49"/>
  <c r="AC126" i="49"/>
  <c r="AI126" i="49" s="1"/>
  <c r="H127" i="49" s="1"/>
  <c r="AB126" i="49"/>
  <c r="AH126" i="49" s="1"/>
  <c r="G127" i="49" s="1"/>
  <c r="AA126" i="49"/>
  <c r="AG126" i="49" s="1"/>
  <c r="F127" i="49" s="1"/>
  <c r="Z126" i="49"/>
  <c r="AF126" i="49" s="1"/>
  <c r="E127" i="49" s="1"/>
  <c r="Y126" i="49"/>
  <c r="AE126" i="49" s="1"/>
  <c r="D127" i="49" s="1"/>
  <c r="AC124" i="49"/>
  <c r="AI124" i="49" s="1"/>
  <c r="H125" i="49" s="1"/>
  <c r="AB124" i="49"/>
  <c r="AH124" i="49" s="1"/>
  <c r="G125" i="49" s="1"/>
  <c r="AA124" i="49"/>
  <c r="AG124" i="49" s="1"/>
  <c r="F125" i="49" s="1"/>
  <c r="Z124" i="49"/>
  <c r="AF124" i="49" s="1"/>
  <c r="E125" i="49" s="1"/>
  <c r="Y124" i="49"/>
  <c r="AE124" i="49" s="1"/>
  <c r="D125" i="49" s="1"/>
  <c r="AC123" i="49"/>
  <c r="AI123" i="49" s="1"/>
  <c r="H124" i="49" s="1"/>
  <c r="AB123" i="49"/>
  <c r="AH123" i="49" s="1"/>
  <c r="G124" i="49" s="1"/>
  <c r="AA123" i="49"/>
  <c r="AG123" i="49" s="1"/>
  <c r="F124" i="49" s="1"/>
  <c r="Z123" i="49"/>
  <c r="AF123" i="49" s="1"/>
  <c r="E124" i="49" s="1"/>
  <c r="Y123" i="49"/>
  <c r="AE123" i="49" s="1"/>
  <c r="D124" i="49" s="1"/>
  <c r="AC122" i="49"/>
  <c r="AI122" i="49" s="1"/>
  <c r="H123" i="49" s="1"/>
  <c r="AB122" i="49"/>
  <c r="AH122" i="49" s="1"/>
  <c r="G123" i="49" s="1"/>
  <c r="AA122" i="49"/>
  <c r="AG122" i="49" s="1"/>
  <c r="F123" i="49" s="1"/>
  <c r="Z122" i="49"/>
  <c r="AF122" i="49" s="1"/>
  <c r="E123" i="49" s="1"/>
  <c r="Y122" i="49"/>
  <c r="AE122" i="49" s="1"/>
  <c r="D123" i="49" s="1"/>
  <c r="AC121" i="49"/>
  <c r="AI121" i="49" s="1"/>
  <c r="H122" i="49" s="1"/>
  <c r="AB121" i="49"/>
  <c r="AH121" i="49" s="1"/>
  <c r="G122" i="49" s="1"/>
  <c r="Z121" i="49"/>
  <c r="AF121" i="49" s="1"/>
  <c r="E122" i="49" s="1"/>
  <c r="Y121" i="49"/>
  <c r="AE121" i="49" s="1"/>
  <c r="D122" i="49" s="1"/>
  <c r="AC120" i="49"/>
  <c r="AI120" i="49" s="1"/>
  <c r="H121" i="49" s="1"/>
  <c r="AB120" i="49"/>
  <c r="AH120" i="49" s="1"/>
  <c r="G121" i="49" s="1"/>
  <c r="AA120" i="49"/>
  <c r="AG120" i="49" s="1"/>
  <c r="F121" i="49" s="1"/>
  <c r="Z120" i="49"/>
  <c r="AF120" i="49" s="1"/>
  <c r="E121" i="49" s="1"/>
  <c r="Y120" i="49"/>
  <c r="AE120" i="49" s="1"/>
  <c r="D121" i="49" s="1"/>
  <c r="AC119" i="49"/>
  <c r="AI119" i="49" s="1"/>
  <c r="H120" i="49" s="1"/>
  <c r="AB119" i="49"/>
  <c r="AH119" i="49" s="1"/>
  <c r="G120" i="49" s="1"/>
  <c r="AA119" i="49"/>
  <c r="AG119" i="49" s="1"/>
  <c r="F120" i="49" s="1"/>
  <c r="Z119" i="49"/>
  <c r="AF119" i="49" s="1"/>
  <c r="E120" i="49" s="1"/>
  <c r="Y119" i="49"/>
  <c r="AE119" i="49" s="1"/>
  <c r="D120" i="49" s="1"/>
  <c r="AC118" i="49"/>
  <c r="AI118" i="49" s="1"/>
  <c r="H119" i="49" s="1"/>
  <c r="AB118" i="49"/>
  <c r="AH118" i="49" s="1"/>
  <c r="G119" i="49" s="1"/>
  <c r="AA118" i="49"/>
  <c r="AG118" i="49" s="1"/>
  <c r="F119" i="49" s="1"/>
  <c r="Z118" i="49"/>
  <c r="AF118" i="49" s="1"/>
  <c r="E119" i="49" s="1"/>
  <c r="Y118" i="49"/>
  <c r="AE118" i="49" s="1"/>
  <c r="D119" i="49" s="1"/>
  <c r="AC117" i="49"/>
  <c r="AI117" i="49" s="1"/>
  <c r="H118" i="49" s="1"/>
  <c r="AB117" i="49"/>
  <c r="AH117" i="49" s="1"/>
  <c r="G118" i="49" s="1"/>
  <c r="AA117" i="49"/>
  <c r="AG117" i="49" s="1"/>
  <c r="F118" i="49" s="1"/>
  <c r="Z117" i="49"/>
  <c r="AF117" i="49" s="1"/>
  <c r="E118" i="49" s="1"/>
  <c r="Y117" i="49"/>
  <c r="AE117" i="49" s="1"/>
  <c r="D118" i="49" s="1"/>
  <c r="AC116" i="49"/>
  <c r="AI116" i="49" s="1"/>
  <c r="H117" i="49" s="1"/>
  <c r="AB116" i="49"/>
  <c r="AH116" i="49" s="1"/>
  <c r="G117" i="49" s="1"/>
  <c r="AA116" i="49"/>
  <c r="AG116" i="49" s="1"/>
  <c r="F117" i="49" s="1"/>
  <c r="Z116" i="49"/>
  <c r="AF116" i="49" s="1"/>
  <c r="E117" i="49" s="1"/>
  <c r="Y116" i="49"/>
  <c r="AE116" i="49" s="1"/>
  <c r="D117" i="49" s="1"/>
  <c r="AC115" i="49"/>
  <c r="AI115" i="49" s="1"/>
  <c r="H116" i="49" s="1"/>
  <c r="AB115" i="49"/>
  <c r="AH115" i="49" s="1"/>
  <c r="G116" i="49" s="1"/>
  <c r="AA115" i="49"/>
  <c r="AG115" i="49" s="1"/>
  <c r="F116" i="49" s="1"/>
  <c r="Z115" i="49"/>
  <c r="AF115" i="49" s="1"/>
  <c r="E116" i="49" s="1"/>
  <c r="Y115" i="49"/>
  <c r="AE115" i="49" s="1"/>
  <c r="D116" i="49" s="1"/>
  <c r="AC114" i="49"/>
  <c r="AI114" i="49" s="1"/>
  <c r="H115" i="49" s="1"/>
  <c r="AB114" i="49"/>
  <c r="AH114" i="49" s="1"/>
  <c r="G115" i="49" s="1"/>
  <c r="AA114" i="49"/>
  <c r="AG114" i="49" s="1"/>
  <c r="F115" i="49" s="1"/>
  <c r="Z114" i="49"/>
  <c r="AF114" i="49" s="1"/>
  <c r="E115" i="49" s="1"/>
  <c r="Y114" i="49"/>
  <c r="AE114" i="49" s="1"/>
  <c r="D115" i="49" s="1"/>
  <c r="AC113" i="49"/>
  <c r="AI113" i="49" s="1"/>
  <c r="H114" i="49" s="1"/>
  <c r="AB113" i="49"/>
  <c r="AH113" i="49" s="1"/>
  <c r="G114" i="49" s="1"/>
  <c r="AA113" i="49"/>
  <c r="AG113" i="49" s="1"/>
  <c r="F114" i="49" s="1"/>
  <c r="Z113" i="49"/>
  <c r="AF113" i="49" s="1"/>
  <c r="E114" i="49" s="1"/>
  <c r="Y113" i="49"/>
  <c r="AE113" i="49" s="1"/>
  <c r="D114" i="49" s="1"/>
  <c r="AC112" i="49"/>
  <c r="AI112" i="49" s="1"/>
  <c r="H113" i="49" s="1"/>
  <c r="AB112" i="49"/>
  <c r="AH112" i="49" s="1"/>
  <c r="G113" i="49" s="1"/>
  <c r="AA112" i="49"/>
  <c r="AG112" i="49" s="1"/>
  <c r="F113" i="49" s="1"/>
  <c r="Z112" i="49"/>
  <c r="AF112" i="49" s="1"/>
  <c r="E113" i="49" s="1"/>
  <c r="Y112" i="49"/>
  <c r="AE112" i="49" s="1"/>
  <c r="D113" i="49" s="1"/>
  <c r="AC111" i="49"/>
  <c r="AI111" i="49" s="1"/>
  <c r="H112" i="49" s="1"/>
  <c r="AB111" i="49"/>
  <c r="AH111" i="49" s="1"/>
  <c r="G112" i="49" s="1"/>
  <c r="AA111" i="49"/>
  <c r="AG111" i="49" s="1"/>
  <c r="F112" i="49" s="1"/>
  <c r="Z111" i="49"/>
  <c r="AF111" i="49" s="1"/>
  <c r="E112" i="49" s="1"/>
  <c r="Y111" i="49"/>
  <c r="AE111" i="49" s="1"/>
  <c r="D112" i="49" s="1"/>
  <c r="AC110" i="49"/>
  <c r="AI110" i="49" s="1"/>
  <c r="H111" i="49" s="1"/>
  <c r="AB110" i="49"/>
  <c r="AH110" i="49" s="1"/>
  <c r="G111" i="49" s="1"/>
  <c r="AA110" i="49"/>
  <c r="AG110" i="49" s="1"/>
  <c r="F111" i="49" s="1"/>
  <c r="Z110" i="49"/>
  <c r="AF110" i="49" s="1"/>
  <c r="E111" i="49" s="1"/>
  <c r="Y110" i="49"/>
  <c r="AE110" i="49" s="1"/>
  <c r="D111" i="49" s="1"/>
  <c r="AC108" i="49"/>
  <c r="AI108" i="49" s="1"/>
  <c r="AB108" i="49"/>
  <c r="AH108" i="49" s="1"/>
  <c r="AA108" i="49"/>
  <c r="AG108" i="49" s="1"/>
  <c r="Z108" i="49"/>
  <c r="AF108" i="49" s="1"/>
  <c r="Y108" i="49"/>
  <c r="AE108" i="49" s="1"/>
  <c r="AF11" i="49"/>
  <c r="Q31" i="49" s="1"/>
  <c r="H29" i="49"/>
  <c r="G29" i="49"/>
  <c r="F29" i="49"/>
  <c r="E29" i="49"/>
  <c r="D29" i="49"/>
  <c r="H27" i="49"/>
  <c r="G27" i="49"/>
  <c r="F27" i="49"/>
  <c r="E27" i="49"/>
  <c r="D27" i="49"/>
  <c r="H26" i="49"/>
  <c r="G26" i="49"/>
  <c r="F26" i="49"/>
  <c r="E26" i="49"/>
  <c r="D26" i="49"/>
  <c r="H25" i="49"/>
  <c r="G25" i="49"/>
  <c r="F25" i="49"/>
  <c r="E25" i="49"/>
  <c r="D25" i="49"/>
  <c r="H24" i="49"/>
  <c r="G24" i="49"/>
  <c r="E24" i="49"/>
  <c r="D24" i="49"/>
  <c r="H23" i="49"/>
  <c r="G23" i="49"/>
  <c r="F23" i="49"/>
  <c r="E23" i="49"/>
  <c r="D23" i="49"/>
  <c r="H22" i="49"/>
  <c r="G22" i="49"/>
  <c r="F22" i="49"/>
  <c r="E22" i="49"/>
  <c r="D22" i="49"/>
  <c r="H21" i="49"/>
  <c r="G21" i="49"/>
  <c r="F21" i="49"/>
  <c r="E21" i="49"/>
  <c r="D21" i="49"/>
  <c r="H20" i="49"/>
  <c r="G20" i="49"/>
  <c r="F20" i="49"/>
  <c r="E20" i="49"/>
  <c r="D20" i="49"/>
  <c r="H19" i="49"/>
  <c r="G19" i="49"/>
  <c r="F19" i="49"/>
  <c r="E19" i="49"/>
  <c r="D19" i="49"/>
  <c r="H18" i="49"/>
  <c r="G18" i="49"/>
  <c r="F18" i="49"/>
  <c r="E18" i="49"/>
  <c r="D18" i="49"/>
  <c r="H17" i="49"/>
  <c r="G17" i="49"/>
  <c r="F17" i="49"/>
  <c r="E17" i="49"/>
  <c r="D17" i="49"/>
  <c r="H16" i="49"/>
  <c r="G16" i="49"/>
  <c r="F16" i="49"/>
  <c r="E16" i="49"/>
  <c r="D16" i="49"/>
  <c r="H15" i="49"/>
  <c r="G15" i="49"/>
  <c r="F15" i="49"/>
  <c r="E15" i="49"/>
  <c r="D15" i="49"/>
  <c r="H14" i="49"/>
  <c r="G14" i="49"/>
  <c r="F14" i="49"/>
  <c r="E14" i="49"/>
  <c r="D14" i="49"/>
  <c r="H13" i="49"/>
  <c r="G13" i="49"/>
  <c r="F13" i="49"/>
  <c r="E13" i="49"/>
  <c r="D13" i="49"/>
  <c r="H11" i="49"/>
  <c r="G11" i="49"/>
  <c r="F11" i="49"/>
  <c r="E11" i="49"/>
  <c r="D11" i="49"/>
  <c r="E25" i="92" l="1"/>
  <c r="C25" i="92"/>
  <c r="L25" i="92"/>
  <c r="M25" i="92"/>
  <c r="I25" i="92"/>
  <c r="S25" i="92"/>
  <c r="H25" i="92"/>
  <c r="D25" i="92"/>
  <c r="O25" i="92"/>
  <c r="G25" i="92"/>
  <c r="Q25" i="92"/>
  <c r="P25" i="92"/>
  <c r="B25" i="92"/>
  <c r="T25" i="92"/>
  <c r="F25" i="92"/>
  <c r="K25" i="92"/>
  <c r="J25" i="92"/>
  <c r="N25" i="92"/>
  <c r="R25" i="92"/>
  <c r="F149" i="49"/>
  <c r="AU21" i="66"/>
  <c r="AW21" i="66" s="1"/>
  <c r="Y11" i="49"/>
  <c r="Y15" i="49"/>
  <c r="Y19" i="49"/>
  <c r="Z23" i="49"/>
  <c r="Y23" i="49"/>
  <c r="Y29" i="49"/>
  <c r="Y12" i="49"/>
  <c r="Y16" i="49"/>
  <c r="Y20" i="49"/>
  <c r="Y13" i="49"/>
  <c r="Y17" i="49"/>
  <c r="Y21" i="49"/>
  <c r="Y24" i="49"/>
  <c r="Y27" i="49"/>
  <c r="Y26" i="49"/>
  <c r="Y14" i="49"/>
  <c r="Y18" i="49"/>
  <c r="Y22" i="49"/>
  <c r="Y25" i="49"/>
  <c r="Y28" i="49"/>
  <c r="AV13" i="66"/>
  <c r="AW13" i="66" s="1"/>
  <c r="H111" i="62"/>
  <c r="AE14" i="49"/>
  <c r="H115" i="62"/>
  <c r="AE18" i="49"/>
  <c r="H119" i="62"/>
  <c r="AE22" i="49"/>
  <c r="H122" i="62"/>
  <c r="AE25" i="49"/>
  <c r="H125" i="62"/>
  <c r="AE28" i="49"/>
  <c r="H108" i="62"/>
  <c r="AE11" i="49"/>
  <c r="H112" i="62"/>
  <c r="AE15" i="49"/>
  <c r="H116" i="62"/>
  <c r="AE19" i="49"/>
  <c r="H120" i="62"/>
  <c r="AE23" i="49"/>
  <c r="H126" i="62"/>
  <c r="AE29" i="49"/>
  <c r="H109" i="62"/>
  <c r="AE12" i="49"/>
  <c r="H113" i="62"/>
  <c r="AE16" i="49"/>
  <c r="H117" i="62"/>
  <c r="AE20" i="49"/>
  <c r="H123" i="62"/>
  <c r="AE26" i="49"/>
  <c r="H110" i="62"/>
  <c r="AE13" i="49"/>
  <c r="H114" i="62"/>
  <c r="AE17" i="49"/>
  <c r="H118" i="62"/>
  <c r="AE21" i="49"/>
  <c r="H121" i="62"/>
  <c r="AE24" i="49"/>
  <c r="H124" i="62"/>
  <c r="AE27" i="49"/>
  <c r="F110" i="62"/>
  <c r="AC13" i="49"/>
  <c r="F118" i="62"/>
  <c r="AC21" i="49"/>
  <c r="F111" i="62"/>
  <c r="AC14" i="49"/>
  <c r="F119" i="62"/>
  <c r="AC22" i="49"/>
  <c r="F122" i="62"/>
  <c r="AC25" i="49"/>
  <c r="F125" i="62"/>
  <c r="AC28" i="49"/>
  <c r="F108" i="62"/>
  <c r="AC11" i="49"/>
  <c r="F116" i="62"/>
  <c r="AC19" i="49"/>
  <c r="F114" i="62"/>
  <c r="AC17" i="49"/>
  <c r="F124" i="62"/>
  <c r="AC27" i="49"/>
  <c r="F115" i="62"/>
  <c r="AC18" i="49"/>
  <c r="F112" i="62"/>
  <c r="AC15" i="49"/>
  <c r="F120" i="62"/>
  <c r="AC23" i="49"/>
  <c r="F126" i="62"/>
  <c r="AC29" i="49"/>
  <c r="F109" i="62"/>
  <c r="AC12" i="49"/>
  <c r="F113" i="62"/>
  <c r="AC16" i="49"/>
  <c r="F117" i="62"/>
  <c r="AC20" i="49"/>
  <c r="F123" i="62"/>
  <c r="AC26" i="49"/>
  <c r="G111" i="62"/>
  <c r="AD14" i="49"/>
  <c r="G122" i="62"/>
  <c r="AD25" i="49"/>
  <c r="G116" i="62"/>
  <c r="AD19" i="49"/>
  <c r="G110" i="62"/>
  <c r="AD13" i="49"/>
  <c r="G114" i="62"/>
  <c r="AD17" i="49"/>
  <c r="G118" i="62"/>
  <c r="AD21" i="49"/>
  <c r="G121" i="62"/>
  <c r="AD24" i="49"/>
  <c r="G124" i="62"/>
  <c r="AD27" i="49"/>
  <c r="G115" i="62"/>
  <c r="AD18" i="49"/>
  <c r="G119" i="62"/>
  <c r="AD22" i="49"/>
  <c r="G125" i="62"/>
  <c r="AD28" i="49"/>
  <c r="G112" i="62"/>
  <c r="AD15" i="49"/>
  <c r="G120" i="62"/>
  <c r="AD23" i="49"/>
  <c r="G126" i="62"/>
  <c r="AD29" i="49"/>
  <c r="G109" i="62"/>
  <c r="AD12" i="49"/>
  <c r="G113" i="62"/>
  <c r="AD16" i="49"/>
  <c r="G117" i="62"/>
  <c r="AD20" i="49"/>
  <c r="G123" i="62"/>
  <c r="AD26" i="49"/>
  <c r="G108" i="62"/>
  <c r="AD11" i="49"/>
  <c r="D114" i="62"/>
  <c r="AA17" i="49"/>
  <c r="D118" i="62"/>
  <c r="AA21" i="49"/>
  <c r="D124" i="62"/>
  <c r="AA27" i="49"/>
  <c r="D111" i="62"/>
  <c r="AA14" i="49"/>
  <c r="D119" i="62"/>
  <c r="AA22" i="49"/>
  <c r="D125" i="62"/>
  <c r="AA28" i="49"/>
  <c r="D109" i="62"/>
  <c r="AA12" i="49"/>
  <c r="D113" i="62"/>
  <c r="AA16" i="49"/>
  <c r="D117" i="62"/>
  <c r="AA20" i="49"/>
  <c r="D123" i="62"/>
  <c r="AA26" i="49"/>
  <c r="D110" i="62"/>
  <c r="AA13" i="49"/>
  <c r="D121" i="62"/>
  <c r="AA24" i="49"/>
  <c r="D109" i="49"/>
  <c r="D115" i="62"/>
  <c r="AA18" i="49"/>
  <c r="D122" i="62"/>
  <c r="AA25" i="49"/>
  <c r="D108" i="62"/>
  <c r="AA11" i="49"/>
  <c r="D112" i="62"/>
  <c r="AA15" i="49"/>
  <c r="D116" i="62"/>
  <c r="AA19" i="49"/>
  <c r="D120" i="62"/>
  <c r="AA23" i="49"/>
  <c r="D126" i="62"/>
  <c r="AA29" i="49"/>
  <c r="E108" i="62"/>
  <c r="AB11" i="49"/>
  <c r="E112" i="62"/>
  <c r="AB15" i="49"/>
  <c r="E116" i="62"/>
  <c r="AB19" i="49"/>
  <c r="E120" i="62"/>
  <c r="AB23" i="49"/>
  <c r="E126" i="62"/>
  <c r="AB29" i="49"/>
  <c r="E109" i="62"/>
  <c r="AB12" i="49"/>
  <c r="E113" i="62"/>
  <c r="AB16" i="49"/>
  <c r="E117" i="62"/>
  <c r="AB20" i="49"/>
  <c r="E123" i="62"/>
  <c r="AB26" i="49"/>
  <c r="E110" i="62"/>
  <c r="AB13" i="49"/>
  <c r="E114" i="62"/>
  <c r="AB17" i="49"/>
  <c r="E118" i="62"/>
  <c r="AB21" i="49"/>
  <c r="E121" i="62"/>
  <c r="AB24" i="49"/>
  <c r="E124" i="62"/>
  <c r="AB27" i="49"/>
  <c r="E111" i="62"/>
  <c r="AB14" i="49"/>
  <c r="E115" i="62"/>
  <c r="AB18" i="49"/>
  <c r="E119" i="62"/>
  <c r="AB22" i="49"/>
  <c r="E122" i="62"/>
  <c r="AB25" i="49"/>
  <c r="E125" i="62"/>
  <c r="AB28" i="49"/>
  <c r="E109" i="49"/>
  <c r="F109" i="49"/>
  <c r="H109" i="49"/>
  <c r="G109" i="49"/>
  <c r="AV19" i="66"/>
  <c r="AW19" i="66" s="1"/>
  <c r="AV12" i="66"/>
  <c r="AW12" i="66" s="1"/>
  <c r="AU20" i="66"/>
  <c r="AW20" i="66" s="1"/>
  <c r="AV22" i="66"/>
  <c r="AW22" i="66" s="1"/>
  <c r="AV17" i="66"/>
  <c r="AW17" i="66" s="1"/>
  <c r="AU25" i="66"/>
  <c r="AW25" i="66" s="1"/>
  <c r="AV11" i="66"/>
  <c r="AW11" i="66" s="1"/>
  <c r="AU15" i="66"/>
  <c r="AW15" i="66" s="1"/>
  <c r="AV23" i="66"/>
  <c r="AW23" i="66" s="1"/>
  <c r="AU26" i="66"/>
  <c r="AW26" i="66" s="1"/>
  <c r="AV14" i="66"/>
  <c r="AW14" i="66" s="1"/>
  <c r="AU27" i="66"/>
  <c r="AW27" i="66" s="1"/>
  <c r="AV18" i="66"/>
  <c r="AW18" i="66" s="1"/>
  <c r="AU31" i="66"/>
  <c r="AW31" i="66" s="1"/>
  <c r="AU29" i="66"/>
  <c r="AW29" i="66" s="1"/>
  <c r="AV28" i="66"/>
  <c r="AW28" i="66" s="1"/>
  <c r="AV16" i="66"/>
  <c r="AW16" i="66" s="1"/>
  <c r="AM11" i="49"/>
  <c r="AL12" i="49"/>
  <c r="AM15" i="49"/>
  <c r="AL16" i="49"/>
  <c r="AM19" i="49"/>
  <c r="AL20" i="49"/>
  <c r="AM23" i="49"/>
  <c r="AL26" i="49"/>
  <c r="AM29" i="49"/>
  <c r="AL11" i="49"/>
  <c r="AN13" i="49"/>
  <c r="AM14" i="49"/>
  <c r="AL15" i="49"/>
  <c r="AN17" i="49"/>
  <c r="AM18" i="49"/>
  <c r="AL19" i="49"/>
  <c r="AN21" i="49"/>
  <c r="AM22" i="49"/>
  <c r="AL23" i="49"/>
  <c r="AN24" i="49"/>
  <c r="AM25" i="49"/>
  <c r="AN27" i="49"/>
  <c r="AM28" i="49"/>
  <c r="AN15" i="49"/>
  <c r="AN29" i="49"/>
  <c r="AN11" i="49"/>
  <c r="AN19" i="49"/>
  <c r="AN23" i="49"/>
  <c r="AL17" i="49"/>
  <c r="AL14" i="49"/>
  <c r="AK16" i="49"/>
  <c r="AL18" i="49"/>
  <c r="AL22" i="49"/>
  <c r="AL25" i="49"/>
  <c r="AL28" i="49"/>
  <c r="AL13" i="49"/>
  <c r="AL21" i="49"/>
  <c r="AL27" i="49"/>
  <c r="AL31" i="49"/>
  <c r="AL29" i="49"/>
  <c r="AM16" i="49"/>
  <c r="AM13" i="49"/>
  <c r="AM17" i="49"/>
  <c r="AM21" i="49"/>
  <c r="AM27" i="49"/>
  <c r="AM31" i="49"/>
  <c r="AM12" i="49"/>
  <c r="AM20" i="49"/>
  <c r="AM26" i="49"/>
  <c r="AN14" i="49"/>
  <c r="AN18" i="49"/>
  <c r="AN22" i="49"/>
  <c r="AN25" i="49"/>
  <c r="AN28" i="49"/>
  <c r="AN12" i="49"/>
  <c r="AN16" i="49"/>
  <c r="AN20" i="49"/>
  <c r="AN26" i="49"/>
  <c r="K13" i="49"/>
  <c r="AK13" i="49"/>
  <c r="K21" i="49"/>
  <c r="AK21" i="49"/>
  <c r="K27" i="49"/>
  <c r="AK27" i="49"/>
  <c r="K18" i="49"/>
  <c r="AK18" i="49"/>
  <c r="K25" i="49"/>
  <c r="AK25" i="49"/>
  <c r="AK31" i="49"/>
  <c r="K11" i="49"/>
  <c r="AK11" i="49"/>
  <c r="K15" i="49"/>
  <c r="AK15" i="49"/>
  <c r="K19" i="49"/>
  <c r="AK19" i="49"/>
  <c r="K23" i="49"/>
  <c r="AK23" i="49"/>
  <c r="K29" i="49"/>
  <c r="AK29" i="49"/>
  <c r="K17" i="49"/>
  <c r="AK17" i="49"/>
  <c r="K24" i="49"/>
  <c r="AK24" i="49"/>
  <c r="K14" i="49"/>
  <c r="AK14" i="49"/>
  <c r="K22" i="49"/>
  <c r="AK22" i="49"/>
  <c r="K28" i="49"/>
  <c r="AK28" i="49"/>
  <c r="K12" i="49"/>
  <c r="AK12" i="49"/>
  <c r="K20" i="49"/>
  <c r="AK20" i="49"/>
  <c r="K26" i="49"/>
  <c r="AK26" i="49"/>
  <c r="M11" i="49"/>
  <c r="L12" i="49"/>
  <c r="M15" i="49"/>
  <c r="L16" i="49"/>
  <c r="M19" i="49"/>
  <c r="N22" i="49"/>
  <c r="N28" i="49"/>
  <c r="N13" i="49"/>
  <c r="N17" i="49"/>
  <c r="L19" i="49"/>
  <c r="M22" i="49"/>
  <c r="N24" i="49"/>
  <c r="M28" i="49"/>
  <c r="N11" i="49"/>
  <c r="M12" i="49"/>
  <c r="L13" i="49"/>
  <c r="N15" i="49"/>
  <c r="M16" i="49"/>
  <c r="L17" i="49"/>
  <c r="N19" i="49"/>
  <c r="M20" i="49"/>
  <c r="L21" i="49"/>
  <c r="O22" i="49"/>
  <c r="N23" i="49"/>
  <c r="L24" i="49"/>
  <c r="M26" i="49"/>
  <c r="L27" i="49"/>
  <c r="N29" i="49"/>
  <c r="L11" i="49"/>
  <c r="M14" i="49"/>
  <c r="L15" i="49"/>
  <c r="M18" i="49"/>
  <c r="N21" i="49"/>
  <c r="L23" i="49"/>
  <c r="M25" i="49"/>
  <c r="N27" i="49"/>
  <c r="L29" i="49"/>
  <c r="N14" i="49"/>
  <c r="N18" i="49"/>
  <c r="L20" i="49"/>
  <c r="M23" i="49"/>
  <c r="N25" i="49"/>
  <c r="L26" i="49"/>
  <c r="M29" i="49"/>
  <c r="N12" i="49"/>
  <c r="M13" i="49"/>
  <c r="L14" i="49"/>
  <c r="N16" i="49"/>
  <c r="M17" i="49"/>
  <c r="L18" i="49"/>
  <c r="N20" i="49"/>
  <c r="M21" i="49"/>
  <c r="L25" i="49"/>
  <c r="N26" i="49"/>
  <c r="M27" i="49"/>
  <c r="L28" i="49"/>
  <c r="F143" i="49"/>
  <c r="D143" i="49"/>
  <c r="H143" i="49"/>
  <c r="E143" i="49"/>
  <c r="G143" i="49"/>
  <c r="Q30" i="49"/>
  <c r="E144" i="49"/>
  <c r="D145" i="49"/>
  <c r="H145" i="49"/>
  <c r="G146" i="49"/>
  <c r="F147" i="49"/>
  <c r="F148" i="49"/>
  <c r="E149" i="49"/>
  <c r="D150" i="49"/>
  <c r="G151" i="49"/>
  <c r="F152" i="49"/>
  <c r="E153" i="49"/>
  <c r="D154" i="49"/>
  <c r="G155" i="49"/>
  <c r="E156" i="49"/>
  <c r="D157" i="49"/>
  <c r="F158" i="49"/>
  <c r="E159" i="49"/>
  <c r="D160" i="49"/>
  <c r="G161" i="49"/>
  <c r="D144" i="49"/>
  <c r="G145" i="49"/>
  <c r="F146" i="49"/>
  <c r="E147" i="49"/>
  <c r="E148" i="49"/>
  <c r="D149" i="49"/>
  <c r="G150" i="49"/>
  <c r="F151" i="49"/>
  <c r="E152" i="49"/>
  <c r="D153" i="49"/>
  <c r="G154" i="49"/>
  <c r="F155" i="49"/>
  <c r="D156" i="49"/>
  <c r="G157" i="49"/>
  <c r="E158" i="49"/>
  <c r="D159" i="49"/>
  <c r="G160" i="49"/>
  <c r="F161" i="49"/>
  <c r="O11" i="49"/>
  <c r="O15" i="49"/>
  <c r="O29" i="49"/>
  <c r="O12" i="49"/>
  <c r="D148" i="49"/>
  <c r="K16" i="49"/>
  <c r="O16" i="49"/>
  <c r="O20" i="49"/>
  <c r="O26" i="49"/>
  <c r="O13" i="49"/>
  <c r="O17" i="49"/>
  <c r="O21" i="49"/>
  <c r="O24" i="49"/>
  <c r="O27" i="49"/>
  <c r="F144" i="49"/>
  <c r="E145" i="49"/>
  <c r="D146" i="49"/>
  <c r="G147" i="49"/>
  <c r="G148" i="49"/>
  <c r="E150" i="49"/>
  <c r="D151" i="49"/>
  <c r="G152" i="49"/>
  <c r="F153" i="49"/>
  <c r="D155" i="49"/>
  <c r="E157" i="49"/>
  <c r="G158" i="49"/>
  <c r="F159" i="49"/>
  <c r="E160" i="49"/>
  <c r="D161" i="49"/>
  <c r="O19" i="49"/>
  <c r="O23" i="49"/>
  <c r="O14" i="49"/>
  <c r="O18" i="49"/>
  <c r="O25" i="49"/>
  <c r="O28" i="49"/>
  <c r="G144" i="49"/>
  <c r="F145" i="49"/>
  <c r="E146" i="49"/>
  <c r="D147" i="49"/>
  <c r="H147" i="49"/>
  <c r="G149" i="49"/>
  <c r="F150" i="49"/>
  <c r="E151" i="49"/>
  <c r="D152" i="49"/>
  <c r="F154" i="49"/>
  <c r="E155" i="49"/>
  <c r="G156" i="49"/>
  <c r="F157" i="49"/>
  <c r="D158" i="49"/>
  <c r="G159" i="49"/>
  <c r="F160" i="49"/>
  <c r="E161" i="49"/>
  <c r="E163" i="49"/>
  <c r="E154" i="49"/>
  <c r="L22" i="49"/>
  <c r="G153" i="49"/>
  <c r="D163" i="49"/>
  <c r="F163" i="49"/>
  <c r="H150" i="49"/>
  <c r="H154" i="49"/>
  <c r="H157" i="49"/>
  <c r="H160" i="49"/>
  <c r="H146" i="49"/>
  <c r="H151" i="49"/>
  <c r="H155" i="49"/>
  <c r="H161" i="49"/>
  <c r="H148" i="49"/>
  <c r="H152" i="49"/>
  <c r="H158" i="49"/>
  <c r="H144" i="49"/>
  <c r="H149" i="49"/>
  <c r="H153" i="49"/>
  <c r="H156" i="49"/>
  <c r="H159" i="49"/>
  <c r="X25" i="92" l="1" a="1"/>
  <c r="X25" i="92" s="1"/>
  <c r="AC38" i="66" s="1"/>
  <c r="W25" i="92" a="1"/>
  <c r="W25" i="92" s="1"/>
  <c r="Z39" i="66" s="1"/>
  <c r="V25" i="92" a="1"/>
  <c r="V25" i="92" s="1"/>
  <c r="Y39" i="66" s="1"/>
  <c r="Y30" i="49"/>
  <c r="AE30" i="49"/>
  <c r="AA30" i="49"/>
  <c r="AD30" i="49"/>
  <c r="D128" i="49"/>
  <c r="E128" i="49"/>
  <c r="AB30" i="49"/>
  <c r="H128" i="49"/>
  <c r="G128" i="49"/>
  <c r="P23" i="49"/>
  <c r="P21" i="49"/>
  <c r="P12" i="49"/>
  <c r="AG26" i="49"/>
  <c r="AG29" i="49"/>
  <c r="AG17" i="49"/>
  <c r="P19" i="49"/>
  <c r="AG20" i="49"/>
  <c r="AG15" i="49"/>
  <c r="AG24" i="49"/>
  <c r="P24" i="49"/>
  <c r="P29" i="49"/>
  <c r="AG12" i="49"/>
  <c r="AG21" i="49"/>
  <c r="P22" i="49"/>
  <c r="AG22" i="49"/>
  <c r="P18" i="49"/>
  <c r="P20" i="49"/>
  <c r="AG16" i="49"/>
  <c r="AG27" i="49"/>
  <c r="AG11" i="49"/>
  <c r="AG28" i="49"/>
  <c r="P14" i="49"/>
  <c r="P17" i="49"/>
  <c r="P16" i="49"/>
  <c r="P15" i="49"/>
  <c r="AG18" i="49"/>
  <c r="AG13" i="49"/>
  <c r="P28" i="49"/>
  <c r="P13" i="49"/>
  <c r="P11" i="49"/>
  <c r="AG25" i="49"/>
  <c r="AG14" i="49"/>
  <c r="AG23" i="49"/>
  <c r="AG19" i="49"/>
  <c r="AO11" i="49"/>
  <c r="I11" i="49" s="1"/>
  <c r="AO20" i="49"/>
  <c r="I20" i="49" s="1"/>
  <c r="AO23" i="49"/>
  <c r="I23" i="49" s="1"/>
  <c r="P25" i="49"/>
  <c r="P27" i="49"/>
  <c r="P26" i="49"/>
  <c r="AO14" i="49"/>
  <c r="I14" i="49" s="1"/>
  <c r="Y77" i="49" s="1"/>
  <c r="AO19" i="49"/>
  <c r="I19" i="49" s="1"/>
  <c r="AO18" i="49"/>
  <c r="I18" i="49" s="1"/>
  <c r="AO21" i="49"/>
  <c r="I21" i="49" s="1"/>
  <c r="AO12" i="49"/>
  <c r="I12" i="49" s="1"/>
  <c r="AO17" i="49"/>
  <c r="I17" i="49" s="1"/>
  <c r="Y80" i="49" s="1"/>
  <c r="AO28" i="49"/>
  <c r="I28" i="49" s="1"/>
  <c r="Y91" i="49" s="1"/>
  <c r="AO26" i="49"/>
  <c r="I26" i="49" s="1"/>
  <c r="Y89" i="49" s="1"/>
  <c r="AO22" i="49"/>
  <c r="I22" i="49" s="1"/>
  <c r="AO29" i="49"/>
  <c r="I29" i="49" s="1"/>
  <c r="AO15" i="49"/>
  <c r="I15" i="49" s="1"/>
  <c r="AO31" i="49"/>
  <c r="I31" i="49" s="1"/>
  <c r="AO16" i="49"/>
  <c r="I16" i="49" s="1"/>
  <c r="AO25" i="49"/>
  <c r="I25" i="49" s="1"/>
  <c r="Y88" i="49" s="1"/>
  <c r="AO27" i="49"/>
  <c r="I27" i="49" s="1"/>
  <c r="AO13" i="49"/>
  <c r="I13" i="49" s="1"/>
  <c r="Y76" i="49" s="1"/>
  <c r="U12" i="76"/>
  <c r="T12" i="76"/>
  <c r="I12" i="76"/>
  <c r="H12" i="76"/>
  <c r="Q12" i="76"/>
  <c r="S12" i="76"/>
  <c r="O12" i="76"/>
  <c r="K12" i="76"/>
  <c r="P12" i="76"/>
  <c r="N12" i="76"/>
  <c r="V12" i="76"/>
  <c r="R12" i="76"/>
  <c r="F12" i="76"/>
  <c r="G12" i="76"/>
  <c r="L12" i="76"/>
  <c r="J12" i="76"/>
  <c r="M12" i="76"/>
  <c r="E12" i="76"/>
  <c r="X12" i="76"/>
  <c r="D12" i="76"/>
  <c r="AC125" i="63"/>
  <c r="H127" i="63" s="1"/>
  <c r="H126" i="63"/>
  <c r="AC123" i="63"/>
  <c r="H125" i="63" s="1"/>
  <c r="AC122" i="63"/>
  <c r="H124" i="63" s="1"/>
  <c r="AC121" i="63"/>
  <c r="H123" i="63" s="1"/>
  <c r="AC120" i="63"/>
  <c r="H122" i="63" s="1"/>
  <c r="AC119" i="63"/>
  <c r="H121" i="63" s="1"/>
  <c r="AC118" i="63"/>
  <c r="H120" i="63" s="1"/>
  <c r="AC117" i="63"/>
  <c r="H119" i="63" s="1"/>
  <c r="AC116" i="63"/>
  <c r="H118" i="63" s="1"/>
  <c r="AC115" i="63"/>
  <c r="H117" i="63" s="1"/>
  <c r="AC114" i="63"/>
  <c r="H116" i="63" s="1"/>
  <c r="AC113" i="63"/>
  <c r="H115" i="63" s="1"/>
  <c r="AC112" i="63"/>
  <c r="H114" i="63" s="1"/>
  <c r="AC111" i="63"/>
  <c r="H113" i="63" s="1"/>
  <c r="AC110" i="63"/>
  <c r="H112" i="63" s="1"/>
  <c r="AC109" i="63"/>
  <c r="H111" i="63" s="1"/>
  <c r="H110" i="63"/>
  <c r="O30" i="62"/>
  <c r="AG125" i="63"/>
  <c r="AG123" i="63"/>
  <c r="AG122" i="63"/>
  <c r="AG121" i="63"/>
  <c r="AG120" i="63"/>
  <c r="AG119" i="63"/>
  <c r="AG118" i="63"/>
  <c r="AG117" i="63"/>
  <c r="AG116" i="63"/>
  <c r="AG115" i="63"/>
  <c r="AG114" i="63"/>
  <c r="AG113" i="63"/>
  <c r="AG112" i="63"/>
  <c r="AG111" i="63"/>
  <c r="AG110" i="63"/>
  <c r="AG109" i="63"/>
  <c r="AB125" i="63"/>
  <c r="AB123" i="63"/>
  <c r="AB122" i="63"/>
  <c r="AB121" i="63"/>
  <c r="AB120" i="63"/>
  <c r="AB119" i="63"/>
  <c r="AB118" i="63"/>
  <c r="AB117" i="63"/>
  <c r="AB116" i="63"/>
  <c r="AB115" i="63"/>
  <c r="AB114" i="63"/>
  <c r="AB113" i="63"/>
  <c r="AB112" i="63"/>
  <c r="AB111" i="63"/>
  <c r="AB110" i="63"/>
  <c r="AB109" i="63"/>
  <c r="G262" i="69"/>
  <c r="G128" i="67"/>
  <c r="N30" i="62"/>
  <c r="AF125" i="63"/>
  <c r="AF123" i="63"/>
  <c r="AF122" i="63"/>
  <c r="AF121" i="63"/>
  <c r="AF119" i="63"/>
  <c r="AF118" i="63"/>
  <c r="AF117" i="63"/>
  <c r="AF116" i="63"/>
  <c r="AF115" i="63"/>
  <c r="AF114" i="63"/>
  <c r="AF113" i="63"/>
  <c r="AF112" i="63"/>
  <c r="AF111" i="63"/>
  <c r="AF110" i="63"/>
  <c r="AF109" i="63"/>
  <c r="AA125" i="63"/>
  <c r="AA123" i="63"/>
  <c r="AA122" i="63"/>
  <c r="AA121" i="63"/>
  <c r="AA119" i="63"/>
  <c r="AA118" i="63"/>
  <c r="AA117" i="63"/>
  <c r="AA116" i="63"/>
  <c r="AA115" i="63"/>
  <c r="AA114" i="63"/>
  <c r="AA113" i="63"/>
  <c r="AA112" i="63"/>
  <c r="AA111" i="63"/>
  <c r="AA110" i="63"/>
  <c r="AA109" i="63"/>
  <c r="AE125" i="63"/>
  <c r="AE123" i="63"/>
  <c r="AE122" i="63"/>
  <c r="AE121" i="63"/>
  <c r="AE120" i="63"/>
  <c r="AE119" i="63"/>
  <c r="AE118" i="63"/>
  <c r="AE117" i="63"/>
  <c r="AE116" i="63"/>
  <c r="AE115" i="63"/>
  <c r="AE114" i="63"/>
  <c r="AE113" i="63"/>
  <c r="AE112" i="63"/>
  <c r="AE111" i="63"/>
  <c r="AE110" i="63"/>
  <c r="AE109" i="63"/>
  <c r="Z125" i="63"/>
  <c r="Z123" i="63"/>
  <c r="Z122" i="63"/>
  <c r="Z121" i="63"/>
  <c r="Z120" i="63"/>
  <c r="Z119" i="63"/>
  <c r="Z118" i="63"/>
  <c r="Z117" i="63"/>
  <c r="Z116" i="63"/>
  <c r="Z115" i="63"/>
  <c r="Z114" i="63"/>
  <c r="Z113" i="63"/>
  <c r="Z112" i="63"/>
  <c r="Z111" i="63"/>
  <c r="Z110" i="63"/>
  <c r="Z109" i="63"/>
  <c r="AF190" i="67"/>
  <c r="E190" i="67" s="1"/>
  <c r="E128" i="67"/>
  <c r="L30" i="62"/>
  <c r="AD125" i="63"/>
  <c r="D127" i="63" s="1"/>
  <c r="AD123" i="63"/>
  <c r="AD122" i="63"/>
  <c r="AD121" i="63"/>
  <c r="AD120" i="63"/>
  <c r="AD119" i="63"/>
  <c r="AD118" i="63"/>
  <c r="AD117" i="63"/>
  <c r="AD116" i="63"/>
  <c r="AD115" i="63"/>
  <c r="AD114" i="63"/>
  <c r="AD113" i="63"/>
  <c r="AD112" i="63"/>
  <c r="AD111" i="63"/>
  <c r="AD110" i="63"/>
  <c r="AD107" i="63"/>
  <c r="Y123" i="63"/>
  <c r="Y122" i="63"/>
  <c r="Y121" i="63"/>
  <c r="Y120" i="63"/>
  <c r="Y119" i="63"/>
  <c r="Y118" i="63"/>
  <c r="Y117" i="63"/>
  <c r="Y116" i="63"/>
  <c r="Y115" i="63"/>
  <c r="Y114" i="63"/>
  <c r="Y113" i="63"/>
  <c r="Y112" i="63"/>
  <c r="Y111" i="63"/>
  <c r="Y110" i="63"/>
  <c r="Y109" i="63"/>
  <c r="D128" i="67"/>
  <c r="K30" i="65"/>
  <c r="K30" i="62"/>
  <c r="P3" i="92" l="1"/>
  <c r="R3" i="92"/>
  <c r="C3" i="92"/>
  <c r="G3" i="92"/>
  <c r="L3" i="92"/>
  <c r="H3" i="92"/>
  <c r="N3" i="92"/>
  <c r="S3" i="92"/>
  <c r="O3" i="92"/>
  <c r="F3" i="92"/>
  <c r="K3" i="92"/>
  <c r="J3" i="92"/>
  <c r="I3" i="92"/>
  <c r="E3" i="92"/>
  <c r="M3" i="92"/>
  <c r="T3" i="92"/>
  <c r="B3" i="92"/>
  <c r="D3" i="92"/>
  <c r="Q3" i="92"/>
  <c r="D128" i="66"/>
  <c r="D161" i="66"/>
  <c r="E128" i="66"/>
  <c r="E161" i="66"/>
  <c r="G128" i="66"/>
  <c r="G161" i="66"/>
  <c r="D125" i="63"/>
  <c r="AK30" i="62"/>
  <c r="AN30" i="62"/>
  <c r="D121" i="63"/>
  <c r="K30" i="49"/>
  <c r="E127" i="62"/>
  <c r="D127" i="62"/>
  <c r="G127" i="62"/>
  <c r="H127" i="62"/>
  <c r="G121" i="63"/>
  <c r="G127" i="63"/>
  <c r="D161" i="69"/>
  <c r="D196" i="67"/>
  <c r="D162" i="49"/>
  <c r="G161" i="69"/>
  <c r="D229" i="67"/>
  <c r="D128" i="69"/>
  <c r="E229" i="67"/>
  <c r="E128" i="69"/>
  <c r="E161" i="69"/>
  <c r="G196" i="67"/>
  <c r="G162" i="49"/>
  <c r="G229" i="67"/>
  <c r="G128" i="69"/>
  <c r="E162" i="49"/>
  <c r="H162" i="49"/>
  <c r="E121" i="63"/>
  <c r="E127" i="63"/>
  <c r="AE107" i="63"/>
  <c r="F121" i="63"/>
  <c r="F127" i="63"/>
  <c r="G126" i="63"/>
  <c r="G163" i="70"/>
  <c r="E196" i="67"/>
  <c r="H128" i="63"/>
  <c r="AC107" i="63"/>
  <c r="H109" i="63" s="1"/>
  <c r="G112" i="63"/>
  <c r="G116" i="63"/>
  <c r="G120" i="63"/>
  <c r="G123" i="63"/>
  <c r="G125" i="63"/>
  <c r="G295" i="67"/>
  <c r="G262" i="67"/>
  <c r="G110" i="63"/>
  <c r="G114" i="63"/>
  <c r="G118" i="63"/>
  <c r="AG107" i="63"/>
  <c r="AB107" i="63"/>
  <c r="G113" i="63"/>
  <c r="G117" i="63"/>
  <c r="G111" i="63"/>
  <c r="G115" i="63"/>
  <c r="G119" i="63"/>
  <c r="G122" i="63"/>
  <c r="G124" i="63"/>
  <c r="F110" i="63"/>
  <c r="F114" i="63"/>
  <c r="F118" i="63"/>
  <c r="F113" i="63"/>
  <c r="F117" i="63"/>
  <c r="F126" i="63"/>
  <c r="AA107" i="63"/>
  <c r="F111" i="63"/>
  <c r="F115" i="63"/>
  <c r="F119" i="63"/>
  <c r="F124" i="63"/>
  <c r="AF107" i="63"/>
  <c r="F112" i="63"/>
  <c r="F116" i="63"/>
  <c r="F120" i="63"/>
  <c r="F123" i="63"/>
  <c r="F125" i="63"/>
  <c r="E111" i="63"/>
  <c r="E115" i="63"/>
  <c r="E119" i="63"/>
  <c r="E122" i="63"/>
  <c r="E124" i="63"/>
  <c r="E112" i="63"/>
  <c r="E116" i="63"/>
  <c r="E120" i="63"/>
  <c r="E123" i="63"/>
  <c r="E125" i="63"/>
  <c r="Z107" i="63"/>
  <c r="E113" i="63"/>
  <c r="E117" i="63"/>
  <c r="E126" i="63"/>
  <c r="E295" i="67"/>
  <c r="E262" i="67"/>
  <c r="E110" i="63"/>
  <c r="E114" i="63"/>
  <c r="E118" i="63"/>
  <c r="D110" i="63"/>
  <c r="D114" i="63"/>
  <c r="D118" i="63"/>
  <c r="D115" i="63"/>
  <c r="D119" i="63"/>
  <c r="D122" i="63"/>
  <c r="D124" i="63"/>
  <c r="AD109" i="63"/>
  <c r="D111" i="63" s="1"/>
  <c r="D112" i="63"/>
  <c r="D116" i="63"/>
  <c r="D120" i="63"/>
  <c r="D123" i="63"/>
  <c r="D109" i="63"/>
  <c r="D113" i="63"/>
  <c r="D117" i="63"/>
  <c r="D126" i="63"/>
  <c r="D262" i="67"/>
  <c r="X326" i="69"/>
  <c r="AH172" i="63"/>
  <c r="H173" i="63" s="1"/>
  <c r="AH205" i="63"/>
  <c r="H206" i="63" s="1"/>
  <c r="AD206" i="63"/>
  <c r="D207" i="63" s="1"/>
  <c r="AE206" i="63"/>
  <c r="E207" i="63" s="1"/>
  <c r="AF206" i="63"/>
  <c r="F207" i="63" s="1"/>
  <c r="AG206" i="63"/>
  <c r="G207" i="63" s="1"/>
  <c r="AH206" i="63"/>
  <c r="H207" i="63" s="1"/>
  <c r="AD207" i="63"/>
  <c r="D208" i="63" s="1"/>
  <c r="AE207" i="63"/>
  <c r="E208" i="63" s="1"/>
  <c r="AF207" i="63"/>
  <c r="F208" i="63" s="1"/>
  <c r="AG207" i="63"/>
  <c r="G208" i="63" s="1"/>
  <c r="AH207" i="63"/>
  <c r="H208" i="63" s="1"/>
  <c r="AD208" i="63"/>
  <c r="D209" i="63" s="1"/>
  <c r="AE208" i="63"/>
  <c r="E209" i="63" s="1"/>
  <c r="AF208" i="63"/>
  <c r="F209" i="63" s="1"/>
  <c r="AG208" i="63"/>
  <c r="G209" i="63" s="1"/>
  <c r="AH208" i="63"/>
  <c r="H209" i="63" s="1"/>
  <c r="AD209" i="63"/>
  <c r="D210" i="63" s="1"/>
  <c r="AE209" i="63"/>
  <c r="E210" i="63" s="1"/>
  <c r="AF209" i="63"/>
  <c r="F210" i="63" s="1"/>
  <c r="AG209" i="63"/>
  <c r="G210" i="63" s="1"/>
  <c r="AH209" i="63"/>
  <c r="H210" i="63" s="1"/>
  <c r="AD210" i="63"/>
  <c r="D211" i="63" s="1"/>
  <c r="AE210" i="63"/>
  <c r="E211" i="63" s="1"/>
  <c r="AF210" i="63"/>
  <c r="F211" i="63" s="1"/>
  <c r="AG210" i="63"/>
  <c r="G211" i="63" s="1"/>
  <c r="AH210" i="63"/>
  <c r="H211" i="63" s="1"/>
  <c r="AD211" i="63"/>
  <c r="D212" i="63" s="1"/>
  <c r="AE211" i="63"/>
  <c r="E212" i="63" s="1"/>
  <c r="AF211" i="63"/>
  <c r="F212" i="63" s="1"/>
  <c r="AG211" i="63"/>
  <c r="G212" i="63" s="1"/>
  <c r="AH211" i="63"/>
  <c r="H212" i="63" s="1"/>
  <c r="AD212" i="63"/>
  <c r="D213" i="63" s="1"/>
  <c r="AE212" i="63"/>
  <c r="E213" i="63" s="1"/>
  <c r="AF212" i="63"/>
  <c r="F213" i="63" s="1"/>
  <c r="AG212" i="63"/>
  <c r="G213" i="63" s="1"/>
  <c r="AH212" i="63"/>
  <c r="H213" i="63" s="1"/>
  <c r="AD213" i="63"/>
  <c r="D214" i="63" s="1"/>
  <c r="AE213" i="63"/>
  <c r="E214" i="63" s="1"/>
  <c r="AF213" i="63"/>
  <c r="F214" i="63" s="1"/>
  <c r="AG213" i="63"/>
  <c r="G214" i="63" s="1"/>
  <c r="AH213" i="63"/>
  <c r="H214" i="63" s="1"/>
  <c r="AD214" i="63"/>
  <c r="D215" i="63" s="1"/>
  <c r="AE214" i="63"/>
  <c r="E215" i="63" s="1"/>
  <c r="AF214" i="63"/>
  <c r="F215" i="63" s="1"/>
  <c r="AG214" i="63"/>
  <c r="G215" i="63" s="1"/>
  <c r="AH214" i="63"/>
  <c r="H215" i="63" s="1"/>
  <c r="AD215" i="63"/>
  <c r="D216" i="63" s="1"/>
  <c r="AE215" i="63"/>
  <c r="E216" i="63" s="1"/>
  <c r="AF215" i="63"/>
  <c r="F216" i="63" s="1"/>
  <c r="AG215" i="63"/>
  <c r="G216" i="63" s="1"/>
  <c r="AH215" i="63"/>
  <c r="H216" i="63" s="1"/>
  <c r="AD216" i="63"/>
  <c r="D217" i="63" s="1"/>
  <c r="AE216" i="63"/>
  <c r="E217" i="63" s="1"/>
  <c r="AF216" i="63"/>
  <c r="F217" i="63" s="1"/>
  <c r="AG216" i="63"/>
  <c r="G217" i="63" s="1"/>
  <c r="AH216" i="63"/>
  <c r="H217" i="63" s="1"/>
  <c r="AD217" i="63"/>
  <c r="D218" i="63" s="1"/>
  <c r="AE217" i="63"/>
  <c r="E218" i="63" s="1"/>
  <c r="AF217" i="63"/>
  <c r="F218" i="63" s="1"/>
  <c r="AG217" i="63"/>
  <c r="G218" i="63" s="1"/>
  <c r="AH217" i="63"/>
  <c r="H218" i="63" s="1"/>
  <c r="AD218" i="63"/>
  <c r="D219" i="63" s="1"/>
  <c r="AE218" i="63"/>
  <c r="E219" i="63" s="1"/>
  <c r="AG218" i="63"/>
  <c r="G219" i="63" s="1"/>
  <c r="AH218" i="63"/>
  <c r="H219" i="63" s="1"/>
  <c r="AD219" i="63"/>
  <c r="D220" i="63" s="1"/>
  <c r="AE219" i="63"/>
  <c r="E220" i="63" s="1"/>
  <c r="AF219" i="63"/>
  <c r="F220" i="63" s="1"/>
  <c r="AG219" i="63"/>
  <c r="G220" i="63" s="1"/>
  <c r="AH219" i="63"/>
  <c r="H220" i="63" s="1"/>
  <c r="AD220" i="63"/>
  <c r="D221" i="63" s="1"/>
  <c r="AE220" i="63"/>
  <c r="E221" i="63" s="1"/>
  <c r="AF220" i="63"/>
  <c r="F221" i="63" s="1"/>
  <c r="AG220" i="63"/>
  <c r="G221" i="63" s="1"/>
  <c r="AH220" i="63"/>
  <c r="H221" i="63" s="1"/>
  <c r="AD221" i="63"/>
  <c r="D222" i="63" s="1"/>
  <c r="AE221" i="63"/>
  <c r="E222" i="63" s="1"/>
  <c r="AF221" i="63"/>
  <c r="F222" i="63" s="1"/>
  <c r="AG221" i="63"/>
  <c r="G222" i="63" s="1"/>
  <c r="AH221" i="63"/>
  <c r="H222" i="63" s="1"/>
  <c r="AD222" i="63"/>
  <c r="D223" i="63" s="1"/>
  <c r="AE222" i="63"/>
  <c r="E223" i="63" s="1"/>
  <c r="AF222" i="63"/>
  <c r="F223" i="63" s="1"/>
  <c r="AG222" i="63"/>
  <c r="G223" i="63" s="1"/>
  <c r="AH222" i="63"/>
  <c r="H223" i="63" s="1"/>
  <c r="AD223" i="63"/>
  <c r="D224" i="63" s="1"/>
  <c r="AE223" i="63"/>
  <c r="E224" i="63" s="1"/>
  <c r="AF223" i="63"/>
  <c r="F224" i="63" s="1"/>
  <c r="AG223" i="63"/>
  <c r="G224" i="63" s="1"/>
  <c r="AH223" i="63"/>
  <c r="H224" i="63" s="1"/>
  <c r="AD225" i="63"/>
  <c r="D226" i="63" s="1"/>
  <c r="AE225" i="63"/>
  <c r="E226" i="63" s="1"/>
  <c r="AF225" i="63"/>
  <c r="F226" i="63" s="1"/>
  <c r="AG225" i="63"/>
  <c r="G226" i="63" s="1"/>
  <c r="AH225" i="63"/>
  <c r="AE205" i="63"/>
  <c r="E206" i="63" s="1"/>
  <c r="AF205" i="63"/>
  <c r="F206" i="63" s="1"/>
  <c r="AG205" i="63"/>
  <c r="G206" i="63" s="1"/>
  <c r="AD205" i="63"/>
  <c r="D206" i="63" s="1"/>
  <c r="AD173" i="63"/>
  <c r="D174" i="63" s="1"/>
  <c r="AE173" i="63"/>
  <c r="AF173" i="63"/>
  <c r="F174" i="63" s="1"/>
  <c r="AG173" i="63"/>
  <c r="AH173" i="63"/>
  <c r="H174" i="63" s="1"/>
  <c r="AD174" i="63"/>
  <c r="D175" i="63" s="1"/>
  <c r="AE174" i="63"/>
  <c r="E175" i="63" s="1"/>
  <c r="AF174" i="63"/>
  <c r="F175" i="63" s="1"/>
  <c r="AG174" i="63"/>
  <c r="AH174" i="63"/>
  <c r="H175" i="63" s="1"/>
  <c r="AD175" i="63"/>
  <c r="D176" i="63" s="1"/>
  <c r="AE175" i="63"/>
  <c r="E176" i="63" s="1"/>
  <c r="AF175" i="63"/>
  <c r="F176" i="63" s="1"/>
  <c r="AG175" i="63"/>
  <c r="G176" i="63" s="1"/>
  <c r="AH175" i="63"/>
  <c r="H176" i="63" s="1"/>
  <c r="AD176" i="63"/>
  <c r="D177" i="63" s="1"/>
  <c r="AE176" i="63"/>
  <c r="E177" i="63" s="1"/>
  <c r="AF176" i="63"/>
  <c r="F177" i="63" s="1"/>
  <c r="AG176" i="63"/>
  <c r="G177" i="63" s="1"/>
  <c r="AH176" i="63"/>
  <c r="H177" i="63" s="1"/>
  <c r="AD177" i="63"/>
  <c r="D178" i="63" s="1"/>
  <c r="AE177" i="63"/>
  <c r="E178" i="63" s="1"/>
  <c r="AF177" i="63"/>
  <c r="F178" i="63" s="1"/>
  <c r="AG177" i="63"/>
  <c r="G178" i="63" s="1"/>
  <c r="AH177" i="63"/>
  <c r="H178" i="63" s="1"/>
  <c r="AD178" i="63"/>
  <c r="D179" i="63" s="1"/>
  <c r="AE178" i="63"/>
  <c r="E179" i="63" s="1"/>
  <c r="AF178" i="63"/>
  <c r="F179" i="63" s="1"/>
  <c r="AG178" i="63"/>
  <c r="G179" i="63" s="1"/>
  <c r="AH178" i="63"/>
  <c r="H179" i="63" s="1"/>
  <c r="AD179" i="63"/>
  <c r="D180" i="63" s="1"/>
  <c r="AE179" i="63"/>
  <c r="E180" i="63" s="1"/>
  <c r="AF179" i="63"/>
  <c r="F180" i="63" s="1"/>
  <c r="AG179" i="63"/>
  <c r="G180" i="63" s="1"/>
  <c r="AH179" i="63"/>
  <c r="H180" i="63" s="1"/>
  <c r="AD180" i="63"/>
  <c r="D181" i="63" s="1"/>
  <c r="AE180" i="63"/>
  <c r="E181" i="63" s="1"/>
  <c r="AF180" i="63"/>
  <c r="F181" i="63" s="1"/>
  <c r="AG180" i="63"/>
  <c r="G181" i="63" s="1"/>
  <c r="AH180" i="63"/>
  <c r="H181" i="63" s="1"/>
  <c r="AD181" i="63"/>
  <c r="D182" i="63" s="1"/>
  <c r="AE181" i="63"/>
  <c r="E182" i="63" s="1"/>
  <c r="AF181" i="63"/>
  <c r="F182" i="63" s="1"/>
  <c r="AG181" i="63"/>
  <c r="G182" i="63" s="1"/>
  <c r="AH181" i="63"/>
  <c r="H182" i="63" s="1"/>
  <c r="AD182" i="63"/>
  <c r="D183" i="63" s="1"/>
  <c r="AE182" i="63"/>
  <c r="E183" i="63" s="1"/>
  <c r="AF182" i="63"/>
  <c r="F183" i="63" s="1"/>
  <c r="AG182" i="63"/>
  <c r="G183" i="63" s="1"/>
  <c r="AH182" i="63"/>
  <c r="H183" i="63" s="1"/>
  <c r="AD183" i="63"/>
  <c r="D184" i="63" s="1"/>
  <c r="AE183" i="63"/>
  <c r="E184" i="63" s="1"/>
  <c r="AF183" i="63"/>
  <c r="F184" i="63" s="1"/>
  <c r="AG183" i="63"/>
  <c r="G184" i="63" s="1"/>
  <c r="AH183" i="63"/>
  <c r="H184" i="63" s="1"/>
  <c r="AD184" i="63"/>
  <c r="D185" i="63" s="1"/>
  <c r="AE184" i="63"/>
  <c r="E185" i="63" s="1"/>
  <c r="AF184" i="63"/>
  <c r="F185" i="63" s="1"/>
  <c r="AG184" i="63"/>
  <c r="G185" i="63" s="1"/>
  <c r="AH184" i="63"/>
  <c r="H185" i="63" s="1"/>
  <c r="AD185" i="63"/>
  <c r="D186" i="63" s="1"/>
  <c r="AE185" i="63"/>
  <c r="AG185" i="63"/>
  <c r="AH185" i="63"/>
  <c r="AD186" i="63"/>
  <c r="D187" i="63" s="1"/>
  <c r="AE186" i="63"/>
  <c r="E187" i="63" s="1"/>
  <c r="AF186" i="63"/>
  <c r="F187" i="63" s="1"/>
  <c r="AG186" i="63"/>
  <c r="G187" i="63" s="1"/>
  <c r="AH186" i="63"/>
  <c r="H187" i="63" s="1"/>
  <c r="AD187" i="63"/>
  <c r="D188" i="63" s="1"/>
  <c r="AE187" i="63"/>
  <c r="E188" i="63" s="1"/>
  <c r="AF187" i="63"/>
  <c r="F188" i="63" s="1"/>
  <c r="AG187" i="63"/>
  <c r="G188" i="63" s="1"/>
  <c r="AH187" i="63"/>
  <c r="H188" i="63" s="1"/>
  <c r="AD188" i="63"/>
  <c r="D189" i="63" s="1"/>
  <c r="AE188" i="63"/>
  <c r="E189" i="63" s="1"/>
  <c r="AF188" i="63"/>
  <c r="F189" i="63" s="1"/>
  <c r="AG188" i="63"/>
  <c r="G189" i="63" s="1"/>
  <c r="AH188" i="63"/>
  <c r="H189" i="63" s="1"/>
  <c r="AD189" i="63"/>
  <c r="D190" i="63" s="1"/>
  <c r="AE189" i="63"/>
  <c r="E190" i="63" s="1"/>
  <c r="AF189" i="63"/>
  <c r="F190" i="63" s="1"/>
  <c r="AG189" i="63"/>
  <c r="G190" i="63" s="1"/>
  <c r="AH189" i="63"/>
  <c r="H190" i="63" s="1"/>
  <c r="AD190" i="63"/>
  <c r="D191" i="63" s="1"/>
  <c r="AE190" i="63"/>
  <c r="AF190" i="63"/>
  <c r="AG190" i="63"/>
  <c r="AH190" i="63"/>
  <c r="AD192" i="63"/>
  <c r="D193" i="63" s="1"/>
  <c r="AE192" i="63"/>
  <c r="E193" i="63" s="1"/>
  <c r="AF192" i="63"/>
  <c r="F193" i="63" s="1"/>
  <c r="AG192" i="63"/>
  <c r="G193" i="63" s="1"/>
  <c r="AH192" i="63"/>
  <c r="AE172" i="63"/>
  <c r="E173" i="63" s="1"/>
  <c r="AF172" i="63"/>
  <c r="F173" i="63" s="1"/>
  <c r="AG172" i="63"/>
  <c r="G173" i="63" s="1"/>
  <c r="AD172" i="63"/>
  <c r="D173" i="63" s="1"/>
  <c r="AH191" i="63"/>
  <c r="H192" i="63" s="1"/>
  <c r="AD191" i="63"/>
  <c r="D192" i="63" s="1"/>
  <c r="AH224" i="63"/>
  <c r="H225" i="63" s="1"/>
  <c r="AD224" i="63"/>
  <c r="D225" i="63" s="1"/>
  <c r="Z170" i="63"/>
  <c r="AA170" i="63"/>
  <c r="AF170" i="63" s="1"/>
  <c r="AB170" i="63"/>
  <c r="AG170" i="63" s="1"/>
  <c r="AC170" i="63"/>
  <c r="AH170" i="63" s="1"/>
  <c r="Y170" i="63"/>
  <c r="B193" i="63"/>
  <c r="X161" i="63"/>
  <c r="AF161" i="63" s="1"/>
  <c r="V3" i="92" l="1" a="1"/>
  <c r="V3" i="92" s="1"/>
  <c r="Y39" i="49" s="1"/>
  <c r="W3" i="92" a="1"/>
  <c r="W3" i="92" s="1"/>
  <c r="Z39" i="49" s="1"/>
  <c r="X3" i="92" a="1"/>
  <c r="X3" i="92" s="1"/>
  <c r="AC38" i="49" s="1"/>
  <c r="G196" i="70"/>
  <c r="E109" i="63"/>
  <c r="G128" i="63"/>
  <c r="G109" i="63"/>
  <c r="F109" i="63"/>
  <c r="E128" i="63"/>
  <c r="D128" i="63"/>
  <c r="AG191" i="63"/>
  <c r="G192" i="63" s="1"/>
  <c r="AE191" i="63"/>
  <c r="E192" i="63" s="1"/>
  <c r="AG224" i="63"/>
  <c r="G225" i="63" s="1"/>
  <c r="AE224" i="63"/>
  <c r="E225" i="63" s="1"/>
  <c r="B110" i="49" l="1"/>
  <c r="A110" i="49" s="1"/>
  <c r="B111" i="49"/>
  <c r="B112" i="49"/>
  <c r="B113" i="49"/>
  <c r="B114" i="49"/>
  <c r="B115" i="49"/>
  <c r="B116" i="49"/>
  <c r="B117" i="49"/>
  <c r="B118" i="49"/>
  <c r="B119" i="49"/>
  <c r="B120" i="49"/>
  <c r="B121" i="49"/>
  <c r="B122" i="49"/>
  <c r="B123" i="49"/>
  <c r="B124" i="49"/>
  <c r="B125" i="49"/>
  <c r="B126" i="49"/>
  <c r="B127" i="49"/>
  <c r="B128" i="49"/>
  <c r="X127" i="49" s="1"/>
  <c r="B109" i="49"/>
  <c r="X115" i="49" l="1"/>
  <c r="A116" i="49"/>
  <c r="X114" i="49"/>
  <c r="A115" i="49"/>
  <c r="X121" i="49"/>
  <c r="A122" i="49"/>
  <c r="X113" i="49"/>
  <c r="A114" i="49"/>
  <c r="X117" i="49"/>
  <c r="A118" i="49"/>
  <c r="X126" i="49"/>
  <c r="A127" i="49"/>
  <c r="X120" i="49"/>
  <c r="A121" i="49"/>
  <c r="X112" i="49"/>
  <c r="A113" i="49"/>
  <c r="X123" i="49"/>
  <c r="A124" i="49"/>
  <c r="X122" i="49"/>
  <c r="A123" i="49"/>
  <c r="X125" i="49"/>
  <c r="A126" i="49"/>
  <c r="X119" i="49"/>
  <c r="A120" i="49"/>
  <c r="X111" i="49"/>
  <c r="A112" i="49"/>
  <c r="X116" i="49"/>
  <c r="A117" i="49"/>
  <c r="X124" i="49"/>
  <c r="A125" i="49"/>
  <c r="X118" i="49"/>
  <c r="A119" i="49"/>
  <c r="X110" i="49"/>
  <c r="A111" i="49"/>
  <c r="AX59" i="49"/>
  <c r="X108" i="49"/>
  <c r="AZ59" i="49"/>
  <c r="AY59" i="49"/>
  <c r="AW59" i="49"/>
  <c r="BA59" i="49"/>
  <c r="X109" i="49"/>
  <c r="B110" i="63" l="1"/>
  <c r="A110" i="63" s="1"/>
  <c r="B111" i="63"/>
  <c r="B112" i="63"/>
  <c r="B113" i="63"/>
  <c r="A113" i="63" s="1"/>
  <c r="B114" i="63"/>
  <c r="B115" i="63"/>
  <c r="B116" i="63"/>
  <c r="B117" i="63"/>
  <c r="B118" i="63"/>
  <c r="A118" i="63" s="1"/>
  <c r="B119" i="63"/>
  <c r="B120" i="63"/>
  <c r="B121" i="63"/>
  <c r="A121" i="63" s="1"/>
  <c r="B122" i="63"/>
  <c r="A122" i="63" s="1"/>
  <c r="B123" i="63"/>
  <c r="B124" i="63"/>
  <c r="B125" i="63"/>
  <c r="A125" i="63" s="1"/>
  <c r="B126" i="63"/>
  <c r="B127" i="63"/>
  <c r="B128" i="63"/>
  <c r="X126" i="63" s="1"/>
  <c r="B109" i="63"/>
  <c r="A109" i="63" s="1"/>
  <c r="X114" i="63" l="1"/>
  <c r="A116" i="63"/>
  <c r="X113" i="63"/>
  <c r="A115" i="63"/>
  <c r="X112" i="63"/>
  <c r="A114" i="63"/>
  <c r="X115" i="63"/>
  <c r="A117" i="63"/>
  <c r="X121" i="63"/>
  <c r="A123" i="63"/>
  <c r="X118" i="63"/>
  <c r="A120" i="63"/>
  <c r="X110" i="63"/>
  <c r="A112" i="63"/>
  <c r="X122" i="63"/>
  <c r="A124" i="63"/>
  <c r="X125" i="63"/>
  <c r="A127" i="63"/>
  <c r="X117" i="63"/>
  <c r="A119" i="63"/>
  <c r="X109" i="63"/>
  <c r="A111" i="63"/>
  <c r="X124" i="63"/>
  <c r="A126" i="63"/>
  <c r="B185" i="63"/>
  <c r="X119" i="63"/>
  <c r="B177" i="63"/>
  <c r="X111" i="63"/>
  <c r="B173" i="63"/>
  <c r="X107" i="63"/>
  <c r="B182" i="63"/>
  <c r="X116" i="63"/>
  <c r="B174" i="63"/>
  <c r="X108" i="63"/>
  <c r="B189" i="63"/>
  <c r="X123" i="63"/>
  <c r="B186" i="63"/>
  <c r="X120" i="63"/>
  <c r="AA203" i="63"/>
  <c r="AF203" i="63" s="1"/>
  <c r="Z203" i="63"/>
  <c r="AE203" i="63" s="1"/>
  <c r="Y203" i="63"/>
  <c r="B190" i="63"/>
  <c r="B181" i="63"/>
  <c r="B187" i="63"/>
  <c r="B184" i="63"/>
  <c r="B180" i="63"/>
  <c r="B176" i="63"/>
  <c r="B192" i="63"/>
  <c r="B188" i="63"/>
  <c r="B183" i="63"/>
  <c r="B179" i="63"/>
  <c r="B175" i="63"/>
  <c r="B191" i="63"/>
  <c r="B178" i="63"/>
  <c r="D308" i="69" l="1"/>
  <c r="A28" i="50" l="1"/>
  <c r="A190" i="63"/>
  <c r="A29" i="70"/>
  <c r="A29" i="66"/>
  <c r="A26" i="44"/>
  <c r="A28" i="22"/>
  <c r="A24" i="50" l="1"/>
  <c r="A11" i="50"/>
  <c r="A13" i="50"/>
  <c r="A16" i="50"/>
  <c r="A19" i="50"/>
  <c r="A10" i="50"/>
  <c r="A25" i="50"/>
  <c r="A27" i="50"/>
  <c r="A12" i="50"/>
  <c r="A15" i="50"/>
  <c r="A22" i="50"/>
  <c r="A21" i="50"/>
  <c r="A26" i="50"/>
  <c r="A18" i="50"/>
  <c r="A9" i="50"/>
  <c r="A17" i="50"/>
  <c r="A20" i="50"/>
  <c r="A23" i="50"/>
  <c r="A29" i="50"/>
  <c r="A14" i="50"/>
  <c r="A177" i="63"/>
  <c r="A180" i="63"/>
  <c r="A183" i="63"/>
  <c r="A174" i="63"/>
  <c r="A109" i="49"/>
  <c r="A173" i="63"/>
  <c r="A189" i="63"/>
  <c r="A176" i="63"/>
  <c r="A179" i="63"/>
  <c r="A11" i="67"/>
  <c r="A185" i="63"/>
  <c r="A187" i="63"/>
  <c r="A188" i="63"/>
  <c r="A175" i="63"/>
  <c r="A182" i="63"/>
  <c r="A181" i="63"/>
  <c r="A184" i="63"/>
  <c r="A186" i="63"/>
  <c r="A191" i="63"/>
  <c r="A178" i="63"/>
  <c r="A11" i="22"/>
  <c r="A11" i="66"/>
  <c r="A9" i="44"/>
  <c r="A11" i="69"/>
  <c r="A79" i="70"/>
  <c r="A11" i="70"/>
  <c r="A11" i="68"/>
  <c r="A13" i="70"/>
  <c r="A13" i="66"/>
  <c r="A13" i="22"/>
  <c r="A11" i="44"/>
  <c r="A27" i="70"/>
  <c r="A27" i="66"/>
  <c r="A26" i="22"/>
  <c r="A24" i="44"/>
  <c r="A19" i="70"/>
  <c r="A19" i="22"/>
  <c r="A17" i="44"/>
  <c r="A19" i="66"/>
  <c r="A24" i="70"/>
  <c r="A24" i="66"/>
  <c r="A24" i="22"/>
  <c r="A22" i="44"/>
  <c r="A30" i="70"/>
  <c r="A30" i="66"/>
  <c r="A27" i="44"/>
  <c r="A29" i="22"/>
  <c r="A16" i="70"/>
  <c r="A16" i="66"/>
  <c r="A14" i="44"/>
  <c r="A16" i="22"/>
  <c r="A25" i="70"/>
  <c r="A25" i="66"/>
  <c r="A25" i="22"/>
  <c r="A23" i="44"/>
  <c r="A22" i="66"/>
  <c r="A22" i="70"/>
  <c r="A22" i="22"/>
  <c r="A20" i="44"/>
  <c r="A15" i="70"/>
  <c r="A15" i="66"/>
  <c r="A15" i="22"/>
  <c r="A13" i="44"/>
  <c r="A18" i="70"/>
  <c r="A18" i="66"/>
  <c r="A18" i="22"/>
  <c r="A16" i="44"/>
  <c r="A21" i="66"/>
  <c r="A21" i="70"/>
  <c r="A21" i="22"/>
  <c r="A19" i="44"/>
  <c r="A26" i="70"/>
  <c r="A26" i="66"/>
  <c r="A12" i="70"/>
  <c r="A12" i="66"/>
  <c r="A10" i="44"/>
  <c r="A12" i="22"/>
  <c r="A23" i="70"/>
  <c r="A23" i="22"/>
  <c r="A21" i="44"/>
  <c r="A23" i="66"/>
  <c r="A20" i="70"/>
  <c r="A20" i="66"/>
  <c r="A18" i="44"/>
  <c r="A20" i="22"/>
  <c r="A28" i="66"/>
  <c r="A27" i="22"/>
  <c r="A25" i="44"/>
  <c r="A28" i="70"/>
  <c r="A14" i="66"/>
  <c r="A14" i="22"/>
  <c r="A14" i="70"/>
  <c r="A12" i="44"/>
  <c r="A17" i="70"/>
  <c r="A17" i="66"/>
  <c r="A17" i="22"/>
  <c r="A15" i="44"/>
  <c r="G156" i="63" l="1"/>
  <c r="H156" i="63"/>
  <c r="E156" i="63"/>
  <c r="F156" i="63"/>
  <c r="D156" i="63"/>
  <c r="F154" i="63"/>
  <c r="D154" i="63"/>
  <c r="H154" i="63"/>
  <c r="E154" i="63"/>
  <c r="G154" i="63"/>
  <c r="D150" i="63"/>
  <c r="F150" i="63"/>
  <c r="H150" i="63"/>
  <c r="G150" i="63"/>
  <c r="E150" i="63"/>
  <c r="H146" i="63"/>
  <c r="D146" i="63"/>
  <c r="F146" i="63"/>
  <c r="G146" i="63"/>
  <c r="E146" i="63"/>
  <c r="H142" i="63"/>
  <c r="E142" i="63"/>
  <c r="G142" i="63"/>
  <c r="D142" i="63"/>
  <c r="F142" i="63"/>
  <c r="D149" i="63"/>
  <c r="F149" i="63"/>
  <c r="H149" i="63"/>
  <c r="E149" i="63"/>
  <c r="G149" i="63"/>
  <c r="D159" i="63"/>
  <c r="F159" i="63"/>
  <c r="E159" i="63"/>
  <c r="G159" i="63"/>
  <c r="H159" i="63"/>
  <c r="E152" i="63"/>
  <c r="D152" i="63"/>
  <c r="F152" i="63"/>
  <c r="H152" i="63"/>
  <c r="G152" i="63"/>
  <c r="G148" i="63"/>
  <c r="D148" i="63"/>
  <c r="F148" i="63"/>
  <c r="H148" i="63"/>
  <c r="E148" i="63"/>
  <c r="E144" i="63"/>
  <c r="G144" i="63"/>
  <c r="F144" i="63"/>
  <c r="H144" i="63"/>
  <c r="D144" i="63"/>
  <c r="E153" i="63"/>
  <c r="G153" i="63"/>
  <c r="H153" i="63"/>
  <c r="F153" i="63"/>
  <c r="D153" i="63"/>
  <c r="D157" i="63"/>
  <c r="E157" i="63"/>
  <c r="G157" i="63"/>
  <c r="F157" i="63"/>
  <c r="H157" i="63"/>
  <c r="F155" i="63"/>
  <c r="H155" i="63"/>
  <c r="E155" i="63"/>
  <c r="G155" i="63"/>
  <c r="D155" i="63"/>
  <c r="H151" i="63"/>
  <c r="G151" i="63"/>
  <c r="F151" i="63"/>
  <c r="D151" i="63"/>
  <c r="E151" i="63"/>
  <c r="E147" i="63"/>
  <c r="F147" i="63"/>
  <c r="D147" i="63"/>
  <c r="H147" i="63"/>
  <c r="G147" i="63"/>
  <c r="E143" i="63"/>
  <c r="G143" i="63"/>
  <c r="D143" i="63"/>
  <c r="F143" i="63"/>
  <c r="H143" i="63"/>
  <c r="D145" i="63"/>
  <c r="G145" i="63"/>
  <c r="E145" i="63"/>
  <c r="H145" i="63"/>
  <c r="F145" i="63"/>
  <c r="B277" i="67"/>
  <c r="B278" i="67"/>
  <c r="B279" i="67"/>
  <c r="B280" i="67"/>
  <c r="B281" i="67"/>
  <c r="X281" i="67" s="1"/>
  <c r="AD281" i="67" s="1"/>
  <c r="B282" i="67"/>
  <c r="B283" i="67"/>
  <c r="B284" i="67"/>
  <c r="B285" i="67"/>
  <c r="B286" i="67"/>
  <c r="X286" i="67" s="1"/>
  <c r="AD286" i="67" s="1"/>
  <c r="B287" i="67"/>
  <c r="B288" i="67"/>
  <c r="B289" i="67"/>
  <c r="X289" i="67" s="1"/>
  <c r="AD289" i="67" s="1"/>
  <c r="B290" i="67"/>
  <c r="B291" i="67"/>
  <c r="X291" i="67" s="1"/>
  <c r="AD291" i="67" s="1"/>
  <c r="B292" i="67"/>
  <c r="B293" i="67"/>
  <c r="B294" i="67"/>
  <c r="B295" i="67"/>
  <c r="X295" i="67" s="1"/>
  <c r="AD295" i="67" s="1"/>
  <c r="B276" i="67"/>
  <c r="A292" i="67" l="1"/>
  <c r="X292" i="67"/>
  <c r="AD292" i="67" s="1"/>
  <c r="A287" i="67"/>
  <c r="X287" i="67"/>
  <c r="AD287" i="67" s="1"/>
  <c r="A283" i="67"/>
  <c r="X283" i="67"/>
  <c r="AD283" i="67" s="1"/>
  <c r="A279" i="67"/>
  <c r="X279" i="67"/>
  <c r="AD279" i="67" s="1"/>
  <c r="A282" i="67"/>
  <c r="X282" i="67"/>
  <c r="AD282" i="67" s="1"/>
  <c r="A278" i="67"/>
  <c r="X278" i="67"/>
  <c r="AD278" i="67" s="1"/>
  <c r="A294" i="67"/>
  <c r="X294" i="67"/>
  <c r="AD294" i="67" s="1"/>
  <c r="A285" i="67"/>
  <c r="X285" i="67"/>
  <c r="AD285" i="67" s="1"/>
  <c r="A277" i="67"/>
  <c r="X277" i="67"/>
  <c r="AD277" i="67" s="1"/>
  <c r="X276" i="67"/>
  <c r="AD276" i="67" s="1"/>
  <c r="A290" i="67"/>
  <c r="X290" i="67"/>
  <c r="AD290" i="67" s="1"/>
  <c r="A293" i="67"/>
  <c r="X293" i="67"/>
  <c r="AD293" i="67" s="1"/>
  <c r="A288" i="67"/>
  <c r="X288" i="67"/>
  <c r="AD288" i="67" s="1"/>
  <c r="A284" i="67"/>
  <c r="X284" i="67"/>
  <c r="AD284" i="67" s="1"/>
  <c r="A280" i="67"/>
  <c r="X280" i="67"/>
  <c r="AD280" i="67" s="1"/>
  <c r="A276" i="67"/>
  <c r="A281" i="67"/>
  <c r="A291" i="67"/>
  <c r="A289" i="67"/>
  <c r="A286" i="67"/>
  <c r="Y176" i="67" l="1"/>
  <c r="AE176" i="67" s="1"/>
  <c r="Y275" i="67"/>
  <c r="AE275" i="67" s="1"/>
  <c r="AD203" i="63"/>
  <c r="AA275" i="67" l="1"/>
  <c r="AG275" i="67" s="1"/>
  <c r="AB275" i="67"/>
  <c r="AH275" i="67" s="1"/>
  <c r="Z275" i="67"/>
  <c r="AF275" i="67" s="1"/>
  <c r="AC275" i="67"/>
  <c r="AI275" i="67" s="1"/>
  <c r="Y242" i="67"/>
  <c r="AE242" i="67" s="1"/>
  <c r="AC203" i="63"/>
  <c r="AH203" i="63" s="1"/>
  <c r="AB203" i="63"/>
  <c r="AG203" i="63" s="1"/>
  <c r="T11" i="49" l="1"/>
  <c r="D310" i="69" l="1"/>
  <c r="E310" i="69"/>
  <c r="F310" i="69"/>
  <c r="G310" i="69"/>
  <c r="H310" i="69"/>
  <c r="D311" i="69"/>
  <c r="E311" i="69"/>
  <c r="F311" i="69"/>
  <c r="G311" i="69"/>
  <c r="H311" i="69"/>
  <c r="D312" i="69"/>
  <c r="E312" i="69"/>
  <c r="F312" i="69"/>
  <c r="G312" i="69"/>
  <c r="H312" i="69"/>
  <c r="D313" i="69"/>
  <c r="E313" i="69"/>
  <c r="F313" i="69"/>
  <c r="G313" i="69"/>
  <c r="H313" i="69"/>
  <c r="D314" i="69"/>
  <c r="E314" i="69"/>
  <c r="F314" i="69"/>
  <c r="G314" i="69"/>
  <c r="H314" i="69"/>
  <c r="D315" i="69"/>
  <c r="E315" i="69"/>
  <c r="F315" i="69"/>
  <c r="G315" i="69"/>
  <c r="H315" i="69"/>
  <c r="D316" i="69"/>
  <c r="E316" i="69"/>
  <c r="F316" i="69"/>
  <c r="G316" i="69"/>
  <c r="H316" i="69"/>
  <c r="D317" i="69"/>
  <c r="E317" i="69"/>
  <c r="F317" i="69"/>
  <c r="G317" i="69"/>
  <c r="H317" i="69"/>
  <c r="D318" i="69"/>
  <c r="E318" i="69"/>
  <c r="F318" i="69"/>
  <c r="G318" i="69"/>
  <c r="H318" i="69"/>
  <c r="D319" i="69"/>
  <c r="E319" i="69"/>
  <c r="F319" i="69"/>
  <c r="G319" i="69"/>
  <c r="H319" i="69"/>
  <c r="D320" i="69"/>
  <c r="E320" i="69"/>
  <c r="F320" i="69"/>
  <c r="G320" i="69"/>
  <c r="H320" i="69"/>
  <c r="D321" i="69"/>
  <c r="E321" i="69"/>
  <c r="F321" i="69"/>
  <c r="G321" i="69"/>
  <c r="H321" i="69"/>
  <c r="D322" i="69"/>
  <c r="E322" i="69"/>
  <c r="F322" i="69"/>
  <c r="G322" i="69"/>
  <c r="H322" i="69"/>
  <c r="D323" i="69"/>
  <c r="E323" i="69"/>
  <c r="F323" i="69"/>
  <c r="G323" i="69"/>
  <c r="H323" i="69"/>
  <c r="D324" i="69"/>
  <c r="E324" i="69"/>
  <c r="F324" i="69"/>
  <c r="G324" i="69"/>
  <c r="H324" i="69"/>
  <c r="D325" i="69"/>
  <c r="E325" i="69"/>
  <c r="F325" i="69"/>
  <c r="G325" i="69"/>
  <c r="H325" i="69"/>
  <c r="D326" i="69"/>
  <c r="E326" i="69"/>
  <c r="F326" i="69"/>
  <c r="G326" i="69"/>
  <c r="H326" i="69"/>
  <c r="D327" i="69"/>
  <c r="E327" i="69"/>
  <c r="F327" i="69"/>
  <c r="G327" i="69"/>
  <c r="H327" i="69"/>
  <c r="D328" i="69"/>
  <c r="E328" i="69"/>
  <c r="F328" i="69"/>
  <c r="G328" i="69"/>
  <c r="H328" i="69"/>
  <c r="D309" i="69"/>
  <c r="E309" i="69"/>
  <c r="F309" i="69"/>
  <c r="G309" i="69"/>
  <c r="H309" i="69"/>
  <c r="E308" i="69"/>
  <c r="F308" i="69"/>
  <c r="G308" i="69"/>
  <c r="H308" i="69"/>
  <c r="AE274" i="69"/>
  <c r="J276" i="69" s="1"/>
  <c r="AE275" i="69"/>
  <c r="L277" i="69" s="1"/>
  <c r="AE276" i="69"/>
  <c r="M278" i="69" s="1"/>
  <c r="AE277" i="69"/>
  <c r="N279" i="69" s="1"/>
  <c r="AE278" i="69"/>
  <c r="J280" i="69" s="1"/>
  <c r="AE279" i="69"/>
  <c r="L281" i="69" s="1"/>
  <c r="AE280" i="69"/>
  <c r="M282" i="69" s="1"/>
  <c r="AE281" i="69"/>
  <c r="N283" i="69" s="1"/>
  <c r="AE282" i="69"/>
  <c r="J284" i="69" s="1"/>
  <c r="AE283" i="69"/>
  <c r="L285" i="69" s="1"/>
  <c r="AE284" i="69"/>
  <c r="M286" i="69" s="1"/>
  <c r="AE285" i="69"/>
  <c r="N287" i="69" s="1"/>
  <c r="AE286" i="69"/>
  <c r="L288" i="69" s="1"/>
  <c r="AE287" i="69"/>
  <c r="M289" i="69" s="1"/>
  <c r="AE288" i="69"/>
  <c r="AE289" i="69"/>
  <c r="AE290" i="69"/>
  <c r="AE291" i="69"/>
  <c r="AE293" i="69"/>
  <c r="M295" i="69" s="1"/>
  <c r="L275" i="69"/>
  <c r="J290" i="69" l="1"/>
  <c r="I290" i="69"/>
  <c r="L290" i="69"/>
  <c r="J291" i="69"/>
  <c r="N292" i="69"/>
  <c r="J293" i="69"/>
  <c r="M291" i="69"/>
  <c r="J292" i="69"/>
  <c r="I295" i="69"/>
  <c r="I291" i="69"/>
  <c r="I289" i="69"/>
  <c r="I286" i="69"/>
  <c r="I282" i="69"/>
  <c r="I278" i="69"/>
  <c r="J277" i="69"/>
  <c r="J281" i="69"/>
  <c r="J285" i="69"/>
  <c r="J288" i="69"/>
  <c r="N275" i="69"/>
  <c r="L295" i="69"/>
  <c r="N293" i="69"/>
  <c r="M292" i="69"/>
  <c r="L291" i="69"/>
  <c r="L289" i="69"/>
  <c r="M287" i="69"/>
  <c r="L286" i="69"/>
  <c r="N284" i="69"/>
  <c r="M283" i="69"/>
  <c r="L282" i="69"/>
  <c r="N280" i="69"/>
  <c r="M279" i="69"/>
  <c r="L278" i="69"/>
  <c r="N276" i="69"/>
  <c r="I288" i="69"/>
  <c r="I285" i="69"/>
  <c r="I281" i="69"/>
  <c r="I277" i="69"/>
  <c r="J278" i="69"/>
  <c r="J282" i="69"/>
  <c r="J286" i="69"/>
  <c r="J289" i="69"/>
  <c r="J295" i="69"/>
  <c r="M275" i="69"/>
  <c r="M293" i="69"/>
  <c r="L292" i="69"/>
  <c r="N290" i="69"/>
  <c r="N288" i="69"/>
  <c r="L287" i="69"/>
  <c r="N285" i="69"/>
  <c r="M284" i="69"/>
  <c r="L283" i="69"/>
  <c r="N281" i="69"/>
  <c r="M280" i="69"/>
  <c r="L279" i="69"/>
  <c r="N277" i="69"/>
  <c r="M276" i="69"/>
  <c r="I293" i="69"/>
  <c r="I284" i="69"/>
  <c r="I280" i="69"/>
  <c r="I276" i="69"/>
  <c r="J279" i="69"/>
  <c r="J283" i="69"/>
  <c r="J287" i="69"/>
  <c r="J275" i="69"/>
  <c r="N295" i="69"/>
  <c r="L293" i="69"/>
  <c r="N291" i="69"/>
  <c r="M290" i="69"/>
  <c r="N289" i="69"/>
  <c r="M288" i="69"/>
  <c r="N286" i="69"/>
  <c r="M285" i="69"/>
  <c r="L284" i="69"/>
  <c r="N282" i="69"/>
  <c r="M281" i="69"/>
  <c r="L280" i="69"/>
  <c r="N278" i="69"/>
  <c r="M277" i="69"/>
  <c r="L276" i="69"/>
  <c r="I275" i="69"/>
  <c r="I292" i="69"/>
  <c r="I287" i="69"/>
  <c r="I283" i="69"/>
  <c r="I279" i="69"/>
  <c r="AC205" i="69" l="1"/>
  <c r="AI205" i="69" s="1"/>
  <c r="AB205" i="69"/>
  <c r="AH205" i="69" s="1"/>
  <c r="AA205" i="69"/>
  <c r="AG205" i="69" s="1"/>
  <c r="Z205" i="69"/>
  <c r="AF205" i="69" s="1"/>
  <c r="Y205" i="69"/>
  <c r="AE205" i="69" s="1"/>
  <c r="AC240" i="69" l="1"/>
  <c r="AB240" i="69"/>
  <c r="AA240" i="69"/>
  <c r="Z240" i="69"/>
  <c r="W80" i="70" l="1"/>
  <c r="W81" i="70"/>
  <c r="W82" i="70"/>
  <c r="W83" i="70"/>
  <c r="W84" i="70"/>
  <c r="W85" i="70"/>
  <c r="W86" i="70"/>
  <c r="W87" i="70"/>
  <c r="W88" i="70"/>
  <c r="W89" i="70"/>
  <c r="W90" i="70"/>
  <c r="W91" i="70"/>
  <c r="W92" i="70"/>
  <c r="W93" i="70"/>
  <c r="W94" i="70"/>
  <c r="W95" i="70"/>
  <c r="W96" i="70"/>
  <c r="W97" i="70"/>
  <c r="W98" i="70"/>
  <c r="W79" i="70"/>
  <c r="B197" i="70" l="1"/>
  <c r="B263" i="83" s="1"/>
  <c r="X261" i="83" s="1"/>
  <c r="B196" i="70"/>
  <c r="B262" i="83" s="1"/>
  <c r="X260" i="83" s="1"/>
  <c r="B195" i="70"/>
  <c r="B261" i="83" s="1"/>
  <c r="A261" i="83" s="1"/>
  <c r="B194" i="70"/>
  <c r="B260" i="83" s="1"/>
  <c r="A260" i="83" s="1"/>
  <c r="B193" i="70"/>
  <c r="B259" i="83" s="1"/>
  <c r="A259" i="83" s="1"/>
  <c r="B192" i="70"/>
  <c r="B258" i="83" s="1"/>
  <c r="A258" i="83" s="1"/>
  <c r="B191" i="70"/>
  <c r="B257" i="83" s="1"/>
  <c r="A257" i="83" s="1"/>
  <c r="B190" i="70"/>
  <c r="B256" i="83" s="1"/>
  <c r="A256" i="83" s="1"/>
  <c r="B189" i="70"/>
  <c r="B255" i="83" s="1"/>
  <c r="A255" i="83" s="1"/>
  <c r="B188" i="70"/>
  <c r="B254" i="83" s="1"/>
  <c r="A254" i="83" s="1"/>
  <c r="B187" i="70"/>
  <c r="B253" i="83" s="1"/>
  <c r="A253" i="83" s="1"/>
  <c r="B186" i="70"/>
  <c r="B252" i="83" s="1"/>
  <c r="A252" i="83" s="1"/>
  <c r="B185" i="70"/>
  <c r="B251" i="83" s="1"/>
  <c r="A251" i="83" s="1"/>
  <c r="B184" i="70"/>
  <c r="B250" i="83" s="1"/>
  <c r="A250" i="83" s="1"/>
  <c r="B183" i="70"/>
  <c r="B249" i="83" s="1"/>
  <c r="A249" i="83" s="1"/>
  <c r="B182" i="70"/>
  <c r="B248" i="83" s="1"/>
  <c r="A248" i="83" s="1"/>
  <c r="B181" i="70"/>
  <c r="B247" i="83" s="1"/>
  <c r="A247" i="83" s="1"/>
  <c r="B180" i="70"/>
  <c r="B246" i="83" s="1"/>
  <c r="A246" i="83" s="1"/>
  <c r="B179" i="70"/>
  <c r="B245" i="83" s="1"/>
  <c r="A245" i="83" s="1"/>
  <c r="B178" i="70"/>
  <c r="B244" i="83" s="1"/>
  <c r="A244" i="83" s="1"/>
  <c r="B177" i="70"/>
  <c r="B243" i="83" s="1"/>
  <c r="B164" i="70"/>
  <c r="B296" i="83" s="1"/>
  <c r="X294" i="83" s="1"/>
  <c r="B163" i="70"/>
  <c r="B295" i="83" s="1"/>
  <c r="X293" i="83" s="1"/>
  <c r="B162" i="70"/>
  <c r="B294" i="83" s="1"/>
  <c r="A294" i="83" s="1"/>
  <c r="B161" i="70"/>
  <c r="B293" i="83" s="1"/>
  <c r="A293" i="83" s="1"/>
  <c r="B160" i="70"/>
  <c r="B292" i="83" s="1"/>
  <c r="A292" i="83" s="1"/>
  <c r="B159" i="70"/>
  <c r="B291" i="83" s="1"/>
  <c r="A291" i="83" s="1"/>
  <c r="B158" i="70"/>
  <c r="B157" i="70"/>
  <c r="B290" i="83" s="1"/>
  <c r="A290" i="83" s="1"/>
  <c r="B156" i="70"/>
  <c r="B289" i="83" s="1"/>
  <c r="A289" i="83" s="1"/>
  <c r="B155" i="70"/>
  <c r="B154" i="70"/>
  <c r="B288" i="83" s="1"/>
  <c r="A288" i="83" s="1"/>
  <c r="B153" i="70"/>
  <c r="B287" i="83" s="1"/>
  <c r="A287" i="83" s="1"/>
  <c r="B152" i="70"/>
  <c r="B286" i="83" s="1"/>
  <c r="A286" i="83" s="1"/>
  <c r="B151" i="70"/>
  <c r="B285" i="83" s="1"/>
  <c r="A285" i="83" s="1"/>
  <c r="B150" i="70"/>
  <c r="B284" i="83" s="1"/>
  <c r="A284" i="83" s="1"/>
  <c r="B149" i="70"/>
  <c r="B283" i="83" s="1"/>
  <c r="A283" i="83" s="1"/>
  <c r="B148" i="70"/>
  <c r="B282" i="83" s="1"/>
  <c r="A282" i="83" s="1"/>
  <c r="B147" i="70"/>
  <c r="B281" i="83" s="1"/>
  <c r="A281" i="83" s="1"/>
  <c r="B146" i="70"/>
  <c r="B280" i="83" s="1"/>
  <c r="A280" i="83" s="1"/>
  <c r="B145" i="70"/>
  <c r="B279" i="83" s="1"/>
  <c r="A279" i="83" s="1"/>
  <c r="B144" i="70"/>
  <c r="B278" i="83" s="1"/>
  <c r="A278" i="83" s="1"/>
  <c r="B143" i="70"/>
  <c r="B277" i="83" s="1"/>
  <c r="A277" i="83" s="1"/>
  <c r="B142" i="70"/>
  <c r="B276" i="83" s="1"/>
  <c r="AN58" i="70"/>
  <c r="AT58" i="70" s="1"/>
  <c r="AN57" i="70"/>
  <c r="AN56" i="70"/>
  <c r="AT56" i="70" s="1"/>
  <c r="AN55" i="70"/>
  <c r="AT55" i="70" s="1"/>
  <c r="AN54" i="70"/>
  <c r="AT54" i="70" s="1"/>
  <c r="AN53" i="70"/>
  <c r="AT53" i="70" s="1"/>
  <c r="AN52" i="70"/>
  <c r="AT52" i="70" s="1"/>
  <c r="AN51" i="70"/>
  <c r="AT51" i="70" s="1"/>
  <c r="AN50" i="70"/>
  <c r="AT50" i="70" s="1"/>
  <c r="AN49" i="70"/>
  <c r="AT49" i="70" s="1"/>
  <c r="AN48" i="70"/>
  <c r="AT48" i="70" s="1"/>
  <c r="AN47" i="70"/>
  <c r="AT47" i="70" s="1"/>
  <c r="AN46" i="70"/>
  <c r="AT46" i="70" s="1"/>
  <c r="AN45" i="70"/>
  <c r="AT45" i="70" s="1"/>
  <c r="AN44" i="70"/>
  <c r="AT44" i="70" s="1"/>
  <c r="AN43" i="70"/>
  <c r="AT43" i="70" s="1"/>
  <c r="AN42" i="70"/>
  <c r="AT42" i="70" s="1"/>
  <c r="AN41" i="70"/>
  <c r="AT41" i="70" s="1"/>
  <c r="AN40" i="70"/>
  <c r="AT40" i="70" s="1"/>
  <c r="AN39" i="70"/>
  <c r="AT39" i="70" s="1"/>
  <c r="AN38" i="70"/>
  <c r="W31" i="70"/>
  <c r="W30" i="70"/>
  <c r="L30" i="70"/>
  <c r="AN30" i="70" s="1"/>
  <c r="W29" i="70"/>
  <c r="Q29" i="70"/>
  <c r="V108" i="76" s="1"/>
  <c r="W28" i="70"/>
  <c r="W27" i="70"/>
  <c r="W26" i="70"/>
  <c r="W25" i="70"/>
  <c r="W24" i="70"/>
  <c r="W23" i="70"/>
  <c r="W22" i="70"/>
  <c r="W21" i="70"/>
  <c r="W20" i="70"/>
  <c r="W19" i="70"/>
  <c r="W18" i="70"/>
  <c r="W17" i="70"/>
  <c r="W16" i="70"/>
  <c r="Q16" i="70"/>
  <c r="I108" i="76" s="1"/>
  <c r="W15" i="70"/>
  <c r="W14" i="70"/>
  <c r="W13" i="70"/>
  <c r="W12" i="70"/>
  <c r="W11" i="70"/>
  <c r="AT38" i="70" l="1"/>
  <c r="AS38" i="70"/>
  <c r="A276" i="83"/>
  <c r="AW226" i="83"/>
  <c r="AX207" i="83"/>
  <c r="BA208" i="83"/>
  <c r="AY210" i="83"/>
  <c r="AW212" i="83"/>
  <c r="AZ213" i="83"/>
  <c r="AX215" i="83"/>
  <c r="BA216" i="83"/>
  <c r="AW220" i="83"/>
  <c r="AZ221" i="83"/>
  <c r="AX223" i="83"/>
  <c r="BA224" i="83"/>
  <c r="AZ226" i="83"/>
  <c r="AW215" i="83"/>
  <c r="AW205" i="83"/>
  <c r="AY207" i="83"/>
  <c r="AW209" i="83"/>
  <c r="AZ210" i="83"/>
  <c r="AX212" i="83"/>
  <c r="BA213" i="83"/>
  <c r="AY215" i="83"/>
  <c r="AW217" i="83"/>
  <c r="AZ218" i="83"/>
  <c r="AX220" i="83"/>
  <c r="BA221" i="83"/>
  <c r="AY223" i="83"/>
  <c r="AW225" i="83"/>
  <c r="BA226" i="83"/>
  <c r="AZ216" i="83"/>
  <c r="AW206" i="83"/>
  <c r="AZ207" i="83"/>
  <c r="AX209" i="83"/>
  <c r="BA210" i="83"/>
  <c r="AY212" i="83"/>
  <c r="AW214" i="83"/>
  <c r="AZ215" i="83"/>
  <c r="AX217" i="83"/>
  <c r="BA218" i="83"/>
  <c r="AY220" i="83"/>
  <c r="AW222" i="83"/>
  <c r="AZ223" i="83"/>
  <c r="AX225" i="83"/>
  <c r="AX205" i="83"/>
  <c r="BA211" i="83"/>
  <c r="AZ224" i="83"/>
  <c r="AX206" i="83"/>
  <c r="BA207" i="83"/>
  <c r="AY209" i="83"/>
  <c r="AW211" i="83"/>
  <c r="AZ212" i="83"/>
  <c r="AX214" i="83"/>
  <c r="BA215" i="83"/>
  <c r="AY217" i="83"/>
  <c r="AW219" i="83"/>
  <c r="AZ220" i="83"/>
  <c r="AX222" i="83"/>
  <c r="BA223" i="83"/>
  <c r="AY225" i="83"/>
  <c r="AY205" i="83"/>
  <c r="AX210" i="83"/>
  <c r="AX218" i="83"/>
  <c r="AY226" i="83"/>
  <c r="AY206" i="83"/>
  <c r="AW208" i="83"/>
  <c r="AZ209" i="83"/>
  <c r="AX211" i="83"/>
  <c r="BA212" i="83"/>
  <c r="AY214" i="83"/>
  <c r="AW216" i="83"/>
  <c r="AZ217" i="83"/>
  <c r="AX219" i="83"/>
  <c r="BA220" i="83"/>
  <c r="AY222" i="83"/>
  <c r="AW224" i="83"/>
  <c r="AZ225" i="83"/>
  <c r="AZ205" i="83"/>
  <c r="AZ208" i="83"/>
  <c r="BA219" i="83"/>
  <c r="AZ206" i="83"/>
  <c r="AX208" i="83"/>
  <c r="BA209" i="83"/>
  <c r="AY211" i="83"/>
  <c r="AW213" i="83"/>
  <c r="AZ214" i="83"/>
  <c r="AX216" i="83"/>
  <c r="BA217" i="83"/>
  <c r="AY219" i="83"/>
  <c r="AW221" i="83"/>
  <c r="AZ222" i="83"/>
  <c r="AX224" i="83"/>
  <c r="BA225" i="83"/>
  <c r="BA205" i="83"/>
  <c r="AW207" i="83"/>
  <c r="AY221" i="83"/>
  <c r="BA206" i="83"/>
  <c r="AY208" i="83"/>
  <c r="AW210" i="83"/>
  <c r="AZ211" i="83"/>
  <c r="AX213" i="83"/>
  <c r="BA214" i="83"/>
  <c r="AY216" i="83"/>
  <c r="AW218" i="83"/>
  <c r="AZ219" i="83"/>
  <c r="AX221" i="83"/>
  <c r="BA222" i="83"/>
  <c r="AX226" i="83"/>
  <c r="AY213" i="83"/>
  <c r="AW223" i="83"/>
  <c r="A243" i="83"/>
  <c r="AR226" i="83"/>
  <c r="AV214" i="83"/>
  <c r="AT220" i="83"/>
  <c r="AV207" i="83"/>
  <c r="AU221" i="83"/>
  <c r="AR208" i="83"/>
  <c r="AT216" i="83"/>
  <c r="AU213" i="83"/>
  <c r="AT209" i="83"/>
  <c r="AU217" i="83"/>
  <c r="AT210" i="83"/>
  <c r="AU224" i="83"/>
  <c r="AV225" i="83"/>
  <c r="AV205" i="83"/>
  <c r="AR214" i="83"/>
  <c r="AU220" i="83"/>
  <c r="AV221" i="83"/>
  <c r="AS208" i="83"/>
  <c r="AV213" i="83"/>
  <c r="AU209" i="83"/>
  <c r="AU210" i="83"/>
  <c r="AR224" i="83"/>
  <c r="AS225" i="83"/>
  <c r="AR205" i="83"/>
  <c r="AV219" i="83"/>
  <c r="AV206" i="83"/>
  <c r="AS214" i="83"/>
  <c r="AV220" i="83"/>
  <c r="AS215" i="83"/>
  <c r="AR221" i="83"/>
  <c r="AT208" i="83"/>
  <c r="AR222" i="83"/>
  <c r="AT213" i="83"/>
  <c r="AV209" i="83"/>
  <c r="AS223" i="83"/>
  <c r="AR210" i="83"/>
  <c r="AU218" i="83"/>
  <c r="AT225" i="83"/>
  <c r="AR219" i="83"/>
  <c r="AS209" i="83"/>
  <c r="AR206" i="83"/>
  <c r="AT214" i="83"/>
  <c r="AT215" i="83"/>
  <c r="AS221" i="83"/>
  <c r="AS222" i="83"/>
  <c r="AR213" i="83"/>
  <c r="AT223" i="83"/>
  <c r="AV210" i="83"/>
  <c r="AU211" i="83"/>
  <c r="AR218" i="83"/>
  <c r="AU225" i="83"/>
  <c r="AR212" i="83"/>
  <c r="AS219" i="83"/>
  <c r="AR216" i="83"/>
  <c r="AS206" i="83"/>
  <c r="AU214" i="83"/>
  <c r="AS207" i="83"/>
  <c r="AU215" i="83"/>
  <c r="AT221" i="83"/>
  <c r="AV216" i="83"/>
  <c r="AT222" i="83"/>
  <c r="AS213" i="83"/>
  <c r="AR217" i="83"/>
  <c r="AU223" i="83"/>
  <c r="AS210" i="83"/>
  <c r="AV211" i="83"/>
  <c r="AV218" i="83"/>
  <c r="AS212" i="83"/>
  <c r="AT219" i="83"/>
  <c r="AT206" i="83"/>
  <c r="AT207" i="83"/>
  <c r="AR215" i="83"/>
  <c r="AS216" i="83"/>
  <c r="AU222" i="83"/>
  <c r="AS217" i="83"/>
  <c r="AR223" i="83"/>
  <c r="AV224" i="83"/>
  <c r="AR211" i="83"/>
  <c r="AS218" i="83"/>
  <c r="AS205" i="83"/>
  <c r="AT212" i="83"/>
  <c r="AU219" i="83"/>
  <c r="AS220" i="83"/>
  <c r="AU207" i="83"/>
  <c r="AV217" i="83"/>
  <c r="AT211" i="83"/>
  <c r="AU205" i="83"/>
  <c r="AU206" i="83"/>
  <c r="AR220" i="83"/>
  <c r="AR207" i="83"/>
  <c r="AV215" i="83"/>
  <c r="AV208" i="83"/>
  <c r="AU216" i="83"/>
  <c r="AV222" i="83"/>
  <c r="AR209" i="83"/>
  <c r="AT217" i="83"/>
  <c r="AV223" i="83"/>
  <c r="AS224" i="83"/>
  <c r="AS211" i="83"/>
  <c r="AT205" i="83"/>
  <c r="AU212" i="83"/>
  <c r="AU208" i="83"/>
  <c r="AR225" i="83"/>
  <c r="AV212" i="83"/>
  <c r="AU226" i="83"/>
  <c r="AV226" i="83"/>
  <c r="AS226" i="83"/>
  <c r="AT226" i="83"/>
  <c r="X280" i="83"/>
  <c r="X287" i="83"/>
  <c r="X248" i="83"/>
  <c r="X255" i="83"/>
  <c r="X281" i="83"/>
  <c r="X288" i="83"/>
  <c r="X241" i="83"/>
  <c r="X249" i="83"/>
  <c r="X274" i="83"/>
  <c r="X282" i="83"/>
  <c r="X242" i="83"/>
  <c r="X250" i="83"/>
  <c r="X256" i="83"/>
  <c r="X275" i="83"/>
  <c r="X283" i="83"/>
  <c r="X289" i="83"/>
  <c r="X243" i="83"/>
  <c r="X251" i="83"/>
  <c r="X257" i="83"/>
  <c r="X276" i="83"/>
  <c r="X284" i="83"/>
  <c r="X290" i="83"/>
  <c r="X244" i="83"/>
  <c r="X252" i="83"/>
  <c r="X258" i="83"/>
  <c r="X277" i="83"/>
  <c r="X285" i="83"/>
  <c r="X291" i="83"/>
  <c r="X245" i="83"/>
  <c r="X253" i="83"/>
  <c r="X259" i="83"/>
  <c r="X278" i="83"/>
  <c r="X286" i="83"/>
  <c r="X292" i="83"/>
  <c r="X246" i="83"/>
  <c r="X279" i="83"/>
  <c r="X247" i="83"/>
  <c r="X254" i="83"/>
  <c r="L79" i="76"/>
  <c r="J61" i="92" s="1"/>
  <c r="M79" i="76"/>
  <c r="K61" i="92" s="1"/>
  <c r="J79" i="76"/>
  <c r="H61" i="92" s="1"/>
  <c r="K79" i="76"/>
  <c r="I61" i="92" s="1"/>
  <c r="F79" i="76"/>
  <c r="D61" i="92" s="1"/>
  <c r="P79" i="76"/>
  <c r="N61" i="92" s="1"/>
  <c r="O79" i="76"/>
  <c r="M61" i="92" s="1"/>
  <c r="Q79" i="76"/>
  <c r="O61" i="92" s="1"/>
  <c r="S79" i="76"/>
  <c r="Q61" i="92" s="1"/>
  <c r="H79" i="76"/>
  <c r="F61" i="92" s="1"/>
  <c r="U79" i="76"/>
  <c r="S61" i="92" s="1"/>
  <c r="G79" i="76"/>
  <c r="E61" i="92" s="1"/>
  <c r="V79" i="76"/>
  <c r="T61" i="92" s="1"/>
  <c r="D79" i="76"/>
  <c r="B61" i="92" s="1"/>
  <c r="E79" i="76"/>
  <c r="C61" i="92" s="1"/>
  <c r="T79" i="76"/>
  <c r="R61" i="92" s="1"/>
  <c r="R79" i="76"/>
  <c r="P61" i="92" s="1"/>
  <c r="N79" i="76"/>
  <c r="L61" i="92" s="1"/>
  <c r="X79" i="76"/>
  <c r="I79" i="76"/>
  <c r="G61" i="92" s="1"/>
  <c r="W79" i="76"/>
  <c r="Q25" i="70"/>
  <c r="R108" i="76" s="1"/>
  <c r="Q23" i="70"/>
  <c r="P108" i="76" s="1"/>
  <c r="Q28" i="70"/>
  <c r="U108" i="76" s="1"/>
  <c r="Q27" i="70"/>
  <c r="T108" i="76" s="1"/>
  <c r="Q26" i="70"/>
  <c r="S108" i="76" s="1"/>
  <c r="Q24" i="70"/>
  <c r="Q108" i="76" s="1"/>
  <c r="Q22" i="70"/>
  <c r="O108" i="76" s="1"/>
  <c r="Q21" i="70"/>
  <c r="N108" i="76" s="1"/>
  <c r="Q20" i="70"/>
  <c r="M108" i="76" s="1"/>
  <c r="Q19" i="70"/>
  <c r="L108" i="76" s="1"/>
  <c r="Q18" i="70"/>
  <c r="K108" i="76" s="1"/>
  <c r="Q17" i="70"/>
  <c r="J108" i="76" s="1"/>
  <c r="Q15" i="70"/>
  <c r="H108" i="76" s="1"/>
  <c r="Q14" i="70"/>
  <c r="G108" i="76" s="1"/>
  <c r="Q13" i="70"/>
  <c r="F108" i="76" s="1"/>
  <c r="Q12" i="70"/>
  <c r="E108" i="76" s="1"/>
  <c r="A153" i="70"/>
  <c r="A157" i="70"/>
  <c r="W164" i="70"/>
  <c r="A143" i="70"/>
  <c r="A144" i="70"/>
  <c r="A148" i="70"/>
  <c r="A152" i="70"/>
  <c r="A156" i="70"/>
  <c r="A149" i="70"/>
  <c r="A160" i="70"/>
  <c r="A142" i="70"/>
  <c r="A158" i="70"/>
  <c r="A161" i="70"/>
  <c r="A178" i="70"/>
  <c r="A184" i="70"/>
  <c r="A188" i="70"/>
  <c r="W196" i="70"/>
  <c r="AC196" i="70" s="1"/>
  <c r="W145" i="70"/>
  <c r="A145" i="70"/>
  <c r="W177" i="70"/>
  <c r="AC177" i="70" s="1"/>
  <c r="A177" i="70"/>
  <c r="W185" i="70"/>
  <c r="AC185" i="70" s="1"/>
  <c r="A185" i="70"/>
  <c r="A186" i="70"/>
  <c r="A195" i="70"/>
  <c r="W147" i="70"/>
  <c r="A147" i="70"/>
  <c r="W151" i="70"/>
  <c r="A151" i="70"/>
  <c r="W155" i="70"/>
  <c r="A155" i="70"/>
  <c r="A179" i="70"/>
  <c r="A183" i="70"/>
  <c r="W187" i="70"/>
  <c r="AC187" i="70" s="1"/>
  <c r="A187" i="70"/>
  <c r="W190" i="70"/>
  <c r="AC190" i="70" s="1"/>
  <c r="A190" i="70"/>
  <c r="A192" i="70"/>
  <c r="W162" i="70"/>
  <c r="A162" i="70"/>
  <c r="W181" i="70"/>
  <c r="AC181" i="70" s="1"/>
  <c r="A181" i="70"/>
  <c r="W189" i="70"/>
  <c r="AC189" i="70" s="1"/>
  <c r="A189" i="70"/>
  <c r="W194" i="70"/>
  <c r="AC194" i="70" s="1"/>
  <c r="A194" i="70"/>
  <c r="BD52" i="70"/>
  <c r="W146" i="70"/>
  <c r="A146" i="70"/>
  <c r="W150" i="70"/>
  <c r="A150" i="70"/>
  <c r="W154" i="70"/>
  <c r="A154" i="70"/>
  <c r="W159" i="70"/>
  <c r="A159" i="70"/>
  <c r="A182" i="70"/>
  <c r="O30" i="70"/>
  <c r="A180" i="70"/>
  <c r="A191" i="70"/>
  <c r="A193" i="70"/>
  <c r="AW39" i="70"/>
  <c r="AX47" i="70"/>
  <c r="W186" i="70"/>
  <c r="AC186" i="70" s="1"/>
  <c r="AZ59" i="70"/>
  <c r="BB40" i="70"/>
  <c r="BA48" i="70"/>
  <c r="AW49" i="70"/>
  <c r="BC50" i="70"/>
  <c r="AR58" i="70"/>
  <c r="W144" i="70"/>
  <c r="W152" i="70"/>
  <c r="W158" i="70"/>
  <c r="AW40" i="70"/>
  <c r="BC51" i="70"/>
  <c r="W153" i="70"/>
  <c r="W183" i="70"/>
  <c r="AC183" i="70" s="1"/>
  <c r="W142" i="70"/>
  <c r="W148" i="70"/>
  <c r="W156" i="70"/>
  <c r="W160" i="70"/>
  <c r="W163" i="70"/>
  <c r="W180" i="70"/>
  <c r="AC180" i="70" s="1"/>
  <c r="W193" i="70"/>
  <c r="AC193" i="70" s="1"/>
  <c r="AO38" i="70"/>
  <c r="BA39" i="70"/>
  <c r="AW44" i="70"/>
  <c r="BA46" i="70"/>
  <c r="BB47" i="70"/>
  <c r="W143" i="70"/>
  <c r="W149" i="70"/>
  <c r="W157" i="70"/>
  <c r="W161" i="70"/>
  <c r="BA41" i="70"/>
  <c r="BA43" i="70"/>
  <c r="BB44" i="70"/>
  <c r="AP39" i="70"/>
  <c r="AR47" i="70"/>
  <c r="AO48" i="70"/>
  <c r="AO51" i="70"/>
  <c r="AS51" i="70"/>
  <c r="AO53" i="70"/>
  <c r="AS53" i="70"/>
  <c r="AP54" i="70"/>
  <c r="AP56" i="70"/>
  <c r="BB48" i="70"/>
  <c r="AR38" i="70"/>
  <c r="AO39" i="70"/>
  <c r="AS39" i="70"/>
  <c r="AR42" i="70"/>
  <c r="AO43" i="70"/>
  <c r="AS43" i="70"/>
  <c r="AP44" i="70"/>
  <c r="AP48" i="70"/>
  <c r="AP53" i="70"/>
  <c r="AO55" i="70"/>
  <c r="AQ56" i="70"/>
  <c r="AR41" i="70"/>
  <c r="BB49" i="70"/>
  <c r="AP43" i="70"/>
  <c r="AR45" i="70"/>
  <c r="AP47" i="70"/>
  <c r="AQ48" i="70"/>
  <c r="AR49" i="70"/>
  <c r="AQ53" i="70"/>
  <c r="AO41" i="70"/>
  <c r="AS41" i="70"/>
  <c r="AQ47" i="70"/>
  <c r="AS52" i="70"/>
  <c r="AO54" i="70"/>
  <c r="AQ55" i="70"/>
  <c r="BB39" i="70"/>
  <c r="BB43" i="70"/>
  <c r="AS48" i="70"/>
  <c r="AX51" i="70"/>
  <c r="AX39" i="70"/>
  <c r="AW41" i="70"/>
  <c r="AV46" i="70"/>
  <c r="BC48" i="70"/>
  <c r="AY51" i="70"/>
  <c r="AQ39" i="70"/>
  <c r="AY39" i="70"/>
  <c r="AO40" i="70"/>
  <c r="BA40" i="70"/>
  <c r="AQ43" i="70"/>
  <c r="AY43" i="70"/>
  <c r="AO44" i="70"/>
  <c r="BA44" i="70"/>
  <c r="AX48" i="70"/>
  <c r="AS49" i="70"/>
  <c r="AW50" i="70"/>
  <c r="W179" i="70"/>
  <c r="AC179" i="70" s="1"/>
  <c r="W182" i="70"/>
  <c r="AC182" i="70" s="1"/>
  <c r="W192" i="70"/>
  <c r="AC192" i="70" s="1"/>
  <c r="W195" i="70"/>
  <c r="AC195" i="70" s="1"/>
  <c r="BC39" i="70"/>
  <c r="AX40" i="70"/>
  <c r="AX43" i="70"/>
  <c r="BC43" i="70"/>
  <c r="AX44" i="70"/>
  <c r="AW48" i="70"/>
  <c r="AR50" i="70"/>
  <c r="AS40" i="70"/>
  <c r="AQ46" i="70"/>
  <c r="BC38" i="70"/>
  <c r="AP40" i="70"/>
  <c r="BC42" i="70"/>
  <c r="AS44" i="70"/>
  <c r="AV47" i="70"/>
  <c r="BC47" i="70"/>
  <c r="W191" i="70"/>
  <c r="AC191" i="70" s="1"/>
  <c r="BA59" i="70"/>
  <c r="AW59" i="70"/>
  <c r="AS59" i="70"/>
  <c r="AO59" i="70"/>
  <c r="AU59" i="70"/>
  <c r="AP59" i="70"/>
  <c r="BC59" i="70"/>
  <c r="AR59" i="70"/>
  <c r="BD59" i="70"/>
  <c r="AY59" i="70"/>
  <c r="AX59" i="70"/>
  <c r="AV59" i="70"/>
  <c r="W188" i="70"/>
  <c r="AC188" i="70" s="1"/>
  <c r="BC53" i="70"/>
  <c r="BB56" i="70"/>
  <c r="BA54" i="70"/>
  <c r="BC57" i="70"/>
  <c r="BB53" i="70"/>
  <c r="BA51" i="70"/>
  <c r="BA55" i="70"/>
  <c r="BA53" i="70"/>
  <c r="W197" i="70"/>
  <c r="AC197" i="70" s="1"/>
  <c r="Y4" i="70"/>
  <c r="AS45" i="70"/>
  <c r="BA45" i="70"/>
  <c r="BB46" i="70"/>
  <c r="AX46" i="70"/>
  <c r="AP46" i="70"/>
  <c r="BD46" i="70"/>
  <c r="AY46" i="70"/>
  <c r="AS46" i="70"/>
  <c r="AO46" i="70"/>
  <c r="AW46" i="70"/>
  <c r="BD49" i="70"/>
  <c r="AS50" i="70"/>
  <c r="BD50" i="70"/>
  <c r="AW58" i="70"/>
  <c r="BB59" i="70"/>
  <c r="AV55" i="70"/>
  <c r="AV56" i="70"/>
  <c r="AV54" i="70"/>
  <c r="BB38" i="70"/>
  <c r="AX38" i="70"/>
  <c r="AP38" i="70"/>
  <c r="BA38" i="70"/>
  <c r="AW38" i="70"/>
  <c r="AV38" i="70"/>
  <c r="BD38" i="70"/>
  <c r="BB42" i="70"/>
  <c r="AX42" i="70"/>
  <c r="AP42" i="70"/>
  <c r="BA42" i="70"/>
  <c r="AW42" i="70"/>
  <c r="AS42" i="70"/>
  <c r="AO42" i="70"/>
  <c r="AV42" i="70"/>
  <c r="BD42" i="70"/>
  <c r="BC45" i="70"/>
  <c r="AY45" i="70"/>
  <c r="AQ45" i="70"/>
  <c r="BB45" i="70"/>
  <c r="AX45" i="70"/>
  <c r="AP45" i="70"/>
  <c r="AV45" i="70"/>
  <c r="BD45" i="70"/>
  <c r="BC52" i="70"/>
  <c r="AY52" i="70"/>
  <c r="AQ52" i="70"/>
  <c r="BB52" i="70"/>
  <c r="AW52" i="70"/>
  <c r="AR52" i="70"/>
  <c r="BA52" i="70"/>
  <c r="AV52" i="70"/>
  <c r="AP52" i="70"/>
  <c r="AX52" i="70"/>
  <c r="BB58" i="70"/>
  <c r="N30" i="70"/>
  <c r="AQ38" i="70"/>
  <c r="AY38" i="70"/>
  <c r="BC41" i="70"/>
  <c r="AY41" i="70"/>
  <c r="AQ41" i="70"/>
  <c r="BB41" i="70"/>
  <c r="AX41" i="70"/>
  <c r="AP41" i="70"/>
  <c r="AV41" i="70"/>
  <c r="BD41" i="70"/>
  <c r="AQ42" i="70"/>
  <c r="AY42" i="70"/>
  <c r="AO45" i="70"/>
  <c r="AW45" i="70"/>
  <c r="AR46" i="70"/>
  <c r="BC46" i="70"/>
  <c r="BC49" i="70"/>
  <c r="AY49" i="70"/>
  <c r="AQ49" i="70"/>
  <c r="BA49" i="70"/>
  <c r="AV49" i="70"/>
  <c r="AP49" i="70"/>
  <c r="AO49" i="70"/>
  <c r="AX49" i="70"/>
  <c r="BB50" i="70"/>
  <c r="AX50" i="70"/>
  <c r="AP50" i="70"/>
  <c r="BA50" i="70"/>
  <c r="AV50" i="70"/>
  <c r="AQ50" i="70"/>
  <c r="AO50" i="70"/>
  <c r="AY50" i="70"/>
  <c r="AO52" i="70"/>
  <c r="AY53" i="70"/>
  <c r="BA57" i="70"/>
  <c r="AQ59" i="70"/>
  <c r="AS58" i="70"/>
  <c r="BD58" i="70"/>
  <c r="AR39" i="70"/>
  <c r="AV39" i="70"/>
  <c r="BD39" i="70"/>
  <c r="AQ40" i="70"/>
  <c r="AY40" i="70"/>
  <c r="BC40" i="70"/>
  <c r="AR43" i="70"/>
  <c r="AV43" i="70"/>
  <c r="BD43" i="70"/>
  <c r="AQ44" i="70"/>
  <c r="AY44" i="70"/>
  <c r="BC44" i="70"/>
  <c r="BA47" i="70"/>
  <c r="AW47" i="70"/>
  <c r="AS47" i="70"/>
  <c r="AO47" i="70"/>
  <c r="AY47" i="70"/>
  <c r="BD47" i="70"/>
  <c r="AY48" i="70"/>
  <c r="AW53" i="70"/>
  <c r="AR54" i="70"/>
  <c r="AW54" i="70"/>
  <c r="BB54" i="70"/>
  <c r="AR55" i="70"/>
  <c r="AW55" i="70"/>
  <c r="BC55" i="70"/>
  <c r="AR56" i="70"/>
  <c r="AX56" i="70"/>
  <c r="BC56" i="70"/>
  <c r="AO58" i="70"/>
  <c r="W178" i="70"/>
  <c r="AC178" i="70" s="1"/>
  <c r="W184" i="70"/>
  <c r="AC184" i="70" s="1"/>
  <c r="BC58" i="70"/>
  <c r="AY58" i="70"/>
  <c r="AQ58" i="70"/>
  <c r="AX58" i="70"/>
  <c r="AR40" i="70"/>
  <c r="AV40" i="70"/>
  <c r="BD40" i="70"/>
  <c r="AW43" i="70"/>
  <c r="AR44" i="70"/>
  <c r="AV44" i="70"/>
  <c r="BD44" i="70"/>
  <c r="AX53" i="70"/>
  <c r="BC54" i="70"/>
  <c r="AY54" i="70"/>
  <c r="AQ54" i="70"/>
  <c r="AS54" i="70"/>
  <c r="AX54" i="70"/>
  <c r="BD54" i="70"/>
  <c r="BB55" i="70"/>
  <c r="AX55" i="70"/>
  <c r="AP55" i="70"/>
  <c r="AS55" i="70"/>
  <c r="AY55" i="70"/>
  <c r="BD55" i="70"/>
  <c r="BA56" i="70"/>
  <c r="AW56" i="70"/>
  <c r="AS56" i="70"/>
  <c r="AO56" i="70"/>
  <c r="AY56" i="70"/>
  <c r="BD56" i="70"/>
  <c r="AY57" i="70"/>
  <c r="AP58" i="70"/>
  <c r="AV58" i="70"/>
  <c r="BA58" i="70"/>
  <c r="AR48" i="70"/>
  <c r="AV48" i="70"/>
  <c r="BD48" i="70"/>
  <c r="AR51" i="70"/>
  <c r="AV51" i="70"/>
  <c r="BD51" i="70"/>
  <c r="AR53" i="70"/>
  <c r="AV53" i="70"/>
  <c r="BD53" i="70"/>
  <c r="AV57" i="70"/>
  <c r="BD57" i="70"/>
  <c r="X61" i="92" l="1" a="1"/>
  <c r="X61" i="92" s="1"/>
  <c r="V61" i="92" a="1"/>
  <c r="V61" i="92" s="1"/>
  <c r="W61" i="92" a="1"/>
  <c r="W61" i="92" s="1"/>
  <c r="B58" i="92"/>
  <c r="B60" i="92"/>
  <c r="N58" i="92"/>
  <c r="N60" i="92"/>
  <c r="T58" i="92"/>
  <c r="T60" i="92"/>
  <c r="D58" i="92"/>
  <c r="D60" i="92"/>
  <c r="G58" i="92"/>
  <c r="G60" i="92"/>
  <c r="E58" i="92"/>
  <c r="E60" i="92"/>
  <c r="I58" i="92"/>
  <c r="I60" i="92"/>
  <c r="S58" i="92"/>
  <c r="S60" i="92"/>
  <c r="H58" i="92"/>
  <c r="H60" i="92"/>
  <c r="L58" i="92"/>
  <c r="L60" i="92"/>
  <c r="F58" i="92"/>
  <c r="F60" i="92"/>
  <c r="K58" i="92"/>
  <c r="K60" i="92"/>
  <c r="P58" i="92"/>
  <c r="P60" i="92"/>
  <c r="Q58" i="92"/>
  <c r="Q60" i="92"/>
  <c r="J58" i="92"/>
  <c r="J60" i="92"/>
  <c r="R58" i="92"/>
  <c r="R60" i="92"/>
  <c r="O58" i="92"/>
  <c r="O60" i="92"/>
  <c r="C58" i="92"/>
  <c r="C60" i="92"/>
  <c r="M58" i="92"/>
  <c r="M60" i="92"/>
  <c r="W77" i="76"/>
  <c r="D70" i="76"/>
  <c r="AN127" i="70"/>
  <c r="L130" i="70"/>
  <c r="P30" i="70"/>
  <c r="AQ30" i="70"/>
  <c r="AR57" i="70"/>
  <c r="T70" i="76"/>
  <c r="R70" i="76"/>
  <c r="E70" i="76"/>
  <c r="K70" i="76"/>
  <c r="D71" i="76"/>
  <c r="B53" i="92" s="1"/>
  <c r="N71" i="76"/>
  <c r="L53" i="92" s="1"/>
  <c r="U71" i="76"/>
  <c r="S53" i="92" s="1"/>
  <c r="I71" i="76"/>
  <c r="G53" i="92" s="1"/>
  <c r="R71" i="76"/>
  <c r="P53" i="92" s="1"/>
  <c r="P71" i="76"/>
  <c r="N53" i="92" s="1"/>
  <c r="T71" i="76"/>
  <c r="R53" i="92" s="1"/>
  <c r="M71" i="76"/>
  <c r="K53" i="92" s="1"/>
  <c r="V71" i="76"/>
  <c r="T53" i="92" s="1"/>
  <c r="X71" i="76"/>
  <c r="Q71" i="76"/>
  <c r="O53" i="92" s="1"/>
  <c r="H71" i="76"/>
  <c r="F53" i="92" s="1"/>
  <c r="S71" i="76"/>
  <c r="Q53" i="92" s="1"/>
  <c r="L71" i="76"/>
  <c r="J53" i="92" s="1"/>
  <c r="J71" i="76"/>
  <c r="H53" i="92" s="1"/>
  <c r="K71" i="76"/>
  <c r="I53" i="92" s="1"/>
  <c r="F71" i="76"/>
  <c r="D53" i="92" s="1"/>
  <c r="G71" i="76"/>
  <c r="E53" i="92" s="1"/>
  <c r="O71" i="76"/>
  <c r="M53" i="92" s="1"/>
  <c r="E71" i="76"/>
  <c r="C53" i="92" s="1"/>
  <c r="W71" i="76"/>
  <c r="N70" i="76"/>
  <c r="W70" i="76"/>
  <c r="O70" i="76"/>
  <c r="M70" i="76"/>
  <c r="U70" i="76"/>
  <c r="X70" i="76"/>
  <c r="L70" i="76"/>
  <c r="F70" i="76"/>
  <c r="P70" i="76"/>
  <c r="I70" i="76"/>
  <c r="H70" i="76"/>
  <c r="Q70" i="76"/>
  <c r="G70" i="76"/>
  <c r="J70" i="76"/>
  <c r="V70" i="76"/>
  <c r="S70" i="76"/>
  <c r="AU58" i="70"/>
  <c r="AZ58" i="70"/>
  <c r="AU49" i="70"/>
  <c r="AZ49" i="70"/>
  <c r="AU52" i="70"/>
  <c r="AZ52" i="70"/>
  <c r="AU53" i="70"/>
  <c r="AZ53" i="70"/>
  <c r="AU41" i="70"/>
  <c r="AZ41" i="70"/>
  <c r="AU50" i="70"/>
  <c r="AZ50" i="70"/>
  <c r="AU39" i="70"/>
  <c r="AZ39" i="70"/>
  <c r="AU43" i="70"/>
  <c r="AZ43" i="70"/>
  <c r="AU48" i="70"/>
  <c r="AZ48" i="70"/>
  <c r="AU38" i="70"/>
  <c r="AZ38" i="70"/>
  <c r="AU57" i="70"/>
  <c r="AZ57" i="70"/>
  <c r="AU40" i="70"/>
  <c r="AZ40" i="70"/>
  <c r="AU55" i="70"/>
  <c r="AZ55" i="70"/>
  <c r="AU42" i="70"/>
  <c r="AZ42" i="70"/>
  <c r="AU56" i="70"/>
  <c r="AZ56" i="70"/>
  <c r="AU54" i="70"/>
  <c r="AZ54" i="70"/>
  <c r="AU44" i="70"/>
  <c r="AZ44" i="70"/>
  <c r="AU47" i="70"/>
  <c r="AZ47" i="70"/>
  <c r="AU51" i="70"/>
  <c r="AZ51" i="70"/>
  <c r="AU46" i="70"/>
  <c r="AZ46" i="70"/>
  <c r="AU45" i="70"/>
  <c r="AZ45" i="70"/>
  <c r="AX57" i="70"/>
  <c r="AO57" i="70"/>
  <c r="AS57" i="70"/>
  <c r="AN59" i="70"/>
  <c r="L62" i="70"/>
  <c r="AC305" i="69"/>
  <c r="AB305" i="69"/>
  <c r="AA305" i="69"/>
  <c r="Z305" i="69"/>
  <c r="Y305" i="69"/>
  <c r="X58" i="92" l="1" a="1"/>
  <c r="X58" i="92" s="1"/>
  <c r="W58" i="92" a="1"/>
  <c r="W58" i="92" s="1"/>
  <c r="V53" i="92" a="1"/>
  <c r="V53" i="92" s="1"/>
  <c r="W53" i="92" a="1"/>
  <c r="W53" i="92" s="1"/>
  <c r="X53" i="92" a="1"/>
  <c r="X53" i="92" s="1"/>
  <c r="L49" i="92"/>
  <c r="L51" i="92"/>
  <c r="F50" i="92"/>
  <c r="F52" i="92"/>
  <c r="G50" i="92"/>
  <c r="G52" i="92"/>
  <c r="H49" i="92"/>
  <c r="H51" i="92"/>
  <c r="M50" i="92"/>
  <c r="M52" i="92"/>
  <c r="O50" i="92"/>
  <c r="O52" i="92"/>
  <c r="S50" i="92"/>
  <c r="S52" i="92"/>
  <c r="D49" i="92"/>
  <c r="D51" i="92"/>
  <c r="T49" i="92"/>
  <c r="T51" i="92"/>
  <c r="E49" i="92"/>
  <c r="E51" i="92"/>
  <c r="S49" i="92"/>
  <c r="S51" i="92"/>
  <c r="E50" i="92"/>
  <c r="E52" i="92"/>
  <c r="L50" i="92"/>
  <c r="L52" i="92"/>
  <c r="Q50" i="92"/>
  <c r="Q52" i="92"/>
  <c r="C50" i="92"/>
  <c r="C52" i="92"/>
  <c r="K49" i="92"/>
  <c r="K51" i="92"/>
  <c r="D50" i="92"/>
  <c r="D52" i="92"/>
  <c r="T50" i="92"/>
  <c r="T52" i="92"/>
  <c r="B50" i="92"/>
  <c r="B52" i="92"/>
  <c r="Q49" i="92"/>
  <c r="Q51" i="92"/>
  <c r="J49" i="92"/>
  <c r="J51" i="92"/>
  <c r="M49" i="92"/>
  <c r="M51" i="92"/>
  <c r="I50" i="92"/>
  <c r="I52" i="92"/>
  <c r="K50" i="92"/>
  <c r="K52" i="92"/>
  <c r="I49" i="92"/>
  <c r="I51" i="92"/>
  <c r="O49" i="92"/>
  <c r="O51" i="92"/>
  <c r="F49" i="92"/>
  <c r="F51" i="92"/>
  <c r="G49" i="92"/>
  <c r="G51" i="92"/>
  <c r="H50" i="92"/>
  <c r="H52" i="92"/>
  <c r="R50" i="92"/>
  <c r="R52" i="92"/>
  <c r="C49" i="92"/>
  <c r="C51" i="92"/>
  <c r="B49" i="92"/>
  <c r="B51" i="92"/>
  <c r="J50" i="92"/>
  <c r="J52" i="92"/>
  <c r="N50" i="92"/>
  <c r="N52" i="92"/>
  <c r="P49" i="92"/>
  <c r="P51" i="92"/>
  <c r="V58" i="92" a="1"/>
  <c r="V58" i="92" s="1"/>
  <c r="W60" i="92" a="1"/>
  <c r="W60" i="92" s="1"/>
  <c r="X60" i="92" a="1"/>
  <c r="X60" i="92" s="1"/>
  <c r="V60" i="92" a="1"/>
  <c r="V60" i="92" s="1"/>
  <c r="N49" i="92"/>
  <c r="N51" i="92"/>
  <c r="P50" i="92"/>
  <c r="P52" i="92"/>
  <c r="R49" i="92"/>
  <c r="R51" i="92"/>
  <c r="AC272" i="69"/>
  <c r="AB272" i="69"/>
  <c r="AA272" i="69"/>
  <c r="Z272" i="69"/>
  <c r="Y272" i="69"/>
  <c r="X50" i="92" l="1" a="1"/>
  <c r="X50" i="92" s="1"/>
  <c r="V49" i="92" a="1"/>
  <c r="V49" i="92" s="1"/>
  <c r="V50" i="92" a="1"/>
  <c r="V50" i="92" s="1"/>
  <c r="W50" i="92" a="1"/>
  <c r="W50" i="92" s="1"/>
  <c r="W49" i="92" a="1"/>
  <c r="W49" i="92" s="1"/>
  <c r="X49" i="92" a="1"/>
  <c r="X49" i="92" s="1"/>
  <c r="X52" i="92" a="1"/>
  <c r="X52" i="92" s="1"/>
  <c r="V52" i="92" a="1"/>
  <c r="V52" i="92" s="1"/>
  <c r="W52" i="92" a="1"/>
  <c r="W52" i="92" s="1"/>
  <c r="X51" i="92" a="1"/>
  <c r="X51" i="92" s="1"/>
  <c r="AC38" i="84" s="1"/>
  <c r="W51" i="92" a="1"/>
  <c r="W51" i="92" s="1"/>
  <c r="Z39" i="84" s="1"/>
  <c r="V51" i="92" a="1"/>
  <c r="V51" i="92" s="1"/>
  <c r="Y39" i="84" s="1"/>
  <c r="AE292" i="69"/>
  <c r="L294" i="69" l="1"/>
  <c r="M294" i="69"/>
  <c r="N294" i="69"/>
  <c r="I294" i="69"/>
  <c r="J294" i="69"/>
  <c r="B162" i="69"/>
  <c r="B161" i="69"/>
  <c r="B160" i="69"/>
  <c r="A160" i="69" s="1"/>
  <c r="B159" i="69"/>
  <c r="A159" i="69" s="1"/>
  <c r="B158" i="69"/>
  <c r="A158" i="69" s="1"/>
  <c r="B157" i="69"/>
  <c r="A157" i="69" s="1"/>
  <c r="B156" i="69"/>
  <c r="A156" i="69" s="1"/>
  <c r="B155" i="69"/>
  <c r="A155" i="69" s="1"/>
  <c r="B154" i="69"/>
  <c r="A154" i="69" s="1"/>
  <c r="B153" i="69"/>
  <c r="A153" i="69" s="1"/>
  <c r="B152" i="69"/>
  <c r="A152" i="69" s="1"/>
  <c r="B151" i="69"/>
  <c r="A151" i="69" s="1"/>
  <c r="B150" i="69"/>
  <c r="A150" i="69" s="1"/>
  <c r="B149" i="69"/>
  <c r="A149" i="69" s="1"/>
  <c r="B148" i="69"/>
  <c r="A148" i="69" s="1"/>
  <c r="B147" i="69"/>
  <c r="A147" i="69" s="1"/>
  <c r="B146" i="69"/>
  <c r="A146" i="69" s="1"/>
  <c r="B145" i="69"/>
  <c r="A145" i="69" s="1"/>
  <c r="B144" i="69"/>
  <c r="A144" i="69" s="1"/>
  <c r="B143" i="69"/>
  <c r="A143" i="69" s="1"/>
  <c r="B142" i="69"/>
  <c r="A142" i="69" s="1"/>
  <c r="B129" i="69"/>
  <c r="X127" i="69" s="1"/>
  <c r="AD127" i="69" s="1"/>
  <c r="B128" i="69"/>
  <c r="X126" i="69" s="1"/>
  <c r="AD126" i="69" s="1"/>
  <c r="B127" i="69"/>
  <c r="A127" i="69" s="1"/>
  <c r="B126" i="69"/>
  <c r="A126" i="69" s="1"/>
  <c r="B125" i="69"/>
  <c r="A125" i="69" s="1"/>
  <c r="B124" i="69"/>
  <c r="A124" i="69" s="1"/>
  <c r="B123" i="69"/>
  <c r="A123" i="69" s="1"/>
  <c r="B122" i="69"/>
  <c r="A122" i="69" s="1"/>
  <c r="B121" i="69"/>
  <c r="A121" i="69" s="1"/>
  <c r="B120" i="69"/>
  <c r="A120" i="69" s="1"/>
  <c r="B119" i="69"/>
  <c r="A119" i="69" s="1"/>
  <c r="B118" i="69"/>
  <c r="A118" i="69" s="1"/>
  <c r="B117" i="69"/>
  <c r="A117" i="69" s="1"/>
  <c r="B116" i="69"/>
  <c r="A116" i="69" s="1"/>
  <c r="B115" i="69"/>
  <c r="A115" i="69" s="1"/>
  <c r="B114" i="69"/>
  <c r="A114" i="69" s="1"/>
  <c r="B113" i="69"/>
  <c r="A113" i="69" s="1"/>
  <c r="B112" i="69"/>
  <c r="A112" i="69" s="1"/>
  <c r="B111" i="69"/>
  <c r="A111" i="69" s="1"/>
  <c r="B110" i="69"/>
  <c r="A110" i="69" s="1"/>
  <c r="B109" i="69"/>
  <c r="X92" i="69"/>
  <c r="X91" i="69"/>
  <c r="X90" i="69"/>
  <c r="X89" i="69"/>
  <c r="X88" i="69"/>
  <c r="X87" i="69"/>
  <c r="X86" i="69"/>
  <c r="X85" i="69"/>
  <c r="X84" i="69"/>
  <c r="X83" i="69"/>
  <c r="X82" i="69"/>
  <c r="X81" i="69"/>
  <c r="X80" i="69"/>
  <c r="X79" i="69"/>
  <c r="X78" i="69"/>
  <c r="X77" i="69"/>
  <c r="X76" i="69"/>
  <c r="X75" i="69"/>
  <c r="X74" i="69"/>
  <c r="X73" i="69"/>
  <c r="X72" i="69"/>
  <c r="Y72" i="69" s="1"/>
  <c r="X41" i="69"/>
  <c r="AK58" i="69"/>
  <c r="AQ58" i="69" s="1"/>
  <c r="S31" i="69" s="1"/>
  <c r="AK57" i="69"/>
  <c r="AK56" i="69"/>
  <c r="AQ56" i="69" s="1"/>
  <c r="S29" i="69" s="1"/>
  <c r="AK55" i="69"/>
  <c r="AQ55" i="69" s="1"/>
  <c r="S28" i="69" s="1"/>
  <c r="AK54" i="69"/>
  <c r="AQ54" i="69" s="1"/>
  <c r="S27" i="69" s="1"/>
  <c r="T27" i="69" s="1"/>
  <c r="AK53" i="69"/>
  <c r="AQ53" i="69" s="1"/>
  <c r="S26" i="69" s="1"/>
  <c r="T26" i="69" s="1"/>
  <c r="AK52" i="69"/>
  <c r="AQ52" i="69" s="1"/>
  <c r="S25" i="69" s="1"/>
  <c r="T25" i="69" s="1"/>
  <c r="AK51" i="69"/>
  <c r="AQ51" i="69" s="1"/>
  <c r="S24" i="69" s="1"/>
  <c r="T24" i="69" s="1"/>
  <c r="AK50" i="69"/>
  <c r="AQ50" i="69" s="1"/>
  <c r="S23" i="69" s="1"/>
  <c r="T23" i="69" s="1"/>
  <c r="AK49" i="69"/>
  <c r="AQ49" i="69" s="1"/>
  <c r="S22" i="69" s="1"/>
  <c r="AK48" i="69"/>
  <c r="AQ48" i="69" s="1"/>
  <c r="S21" i="69" s="1"/>
  <c r="T21" i="69" s="1"/>
  <c r="AK47" i="69"/>
  <c r="AQ47" i="69" s="1"/>
  <c r="S20" i="69" s="1"/>
  <c r="T20" i="69" s="1"/>
  <c r="AK46" i="69"/>
  <c r="AQ46" i="69" s="1"/>
  <c r="S19" i="69" s="1"/>
  <c r="T19" i="69" s="1"/>
  <c r="AK45" i="69"/>
  <c r="AQ45" i="69" s="1"/>
  <c r="S18" i="69" s="1"/>
  <c r="AK44" i="69"/>
  <c r="AQ44" i="69" s="1"/>
  <c r="S17" i="69" s="1"/>
  <c r="T17" i="69" s="1"/>
  <c r="AK43" i="69"/>
  <c r="AQ43" i="69" s="1"/>
  <c r="S16" i="69" s="1"/>
  <c r="T16" i="69" s="1"/>
  <c r="AK42" i="69"/>
  <c r="AQ42" i="69" s="1"/>
  <c r="S15" i="69" s="1"/>
  <c r="T15" i="69" s="1"/>
  <c r="AK41" i="69"/>
  <c r="AQ41" i="69" s="1"/>
  <c r="S14" i="69" s="1"/>
  <c r="AK40" i="69"/>
  <c r="AQ40" i="69" s="1"/>
  <c r="S13" i="69" s="1"/>
  <c r="T13" i="69" s="1"/>
  <c r="AK39" i="69"/>
  <c r="AQ39" i="69" s="1"/>
  <c r="S12" i="69" s="1"/>
  <c r="T12" i="69" s="1"/>
  <c r="AK38" i="69"/>
  <c r="AV37" i="69"/>
  <c r="BA37" i="69" s="1"/>
  <c r="BF37" i="69" s="1"/>
  <c r="BK37" i="69" s="1"/>
  <c r="BP37" i="69" s="1"/>
  <c r="AU37" i="69"/>
  <c r="AZ37" i="69" s="1"/>
  <c r="BE37" i="69" s="1"/>
  <c r="BJ37" i="69" s="1"/>
  <c r="BO37" i="69" s="1"/>
  <c r="AT37" i="69"/>
  <c r="AY37" i="69" s="1"/>
  <c r="BD37" i="69" s="1"/>
  <c r="BI37" i="69" s="1"/>
  <c r="BN37" i="69" s="1"/>
  <c r="AS37" i="69"/>
  <c r="AX37" i="69" s="1"/>
  <c r="BC37" i="69" s="1"/>
  <c r="BH37" i="69" s="1"/>
  <c r="BM37" i="69" s="1"/>
  <c r="AR37" i="69"/>
  <c r="AW37" i="69" s="1"/>
  <c r="BB37" i="69" s="1"/>
  <c r="BG37" i="69" s="1"/>
  <c r="BL37" i="69" s="1"/>
  <c r="AP37" i="69"/>
  <c r="AO37" i="69"/>
  <c r="AN37" i="69"/>
  <c r="AM37" i="69"/>
  <c r="AL37" i="69"/>
  <c r="X31" i="69"/>
  <c r="X30" i="69"/>
  <c r="N30" i="69"/>
  <c r="X29" i="69"/>
  <c r="AH29" i="69"/>
  <c r="Q29" i="69" s="1"/>
  <c r="V103" i="76" s="1"/>
  <c r="X28" i="69"/>
  <c r="X27" i="69"/>
  <c r="X26" i="69"/>
  <c r="X25" i="69"/>
  <c r="X24" i="69"/>
  <c r="X23" i="69"/>
  <c r="X22" i="69"/>
  <c r="X21" i="69"/>
  <c r="X20" i="69"/>
  <c r="X19" i="69"/>
  <c r="X18" i="69"/>
  <c r="X17" i="69"/>
  <c r="X16" i="69"/>
  <c r="X15" i="69"/>
  <c r="X14" i="69"/>
  <c r="X13" i="69"/>
  <c r="X12" i="69"/>
  <c r="X11" i="69"/>
  <c r="D51" i="76" l="1"/>
  <c r="B36" i="92" s="1"/>
  <c r="A109" i="69"/>
  <c r="AM38" i="69"/>
  <c r="AQ38" i="69"/>
  <c r="S11" i="69" s="1"/>
  <c r="T11" i="69" s="1"/>
  <c r="L51" i="76"/>
  <c r="J36" i="92" s="1"/>
  <c r="X51" i="76"/>
  <c r="E51" i="76"/>
  <c r="C36" i="92" s="1"/>
  <c r="J51" i="76"/>
  <c r="H36" i="92" s="1"/>
  <c r="N51" i="76"/>
  <c r="L36" i="92" s="1"/>
  <c r="Q51" i="76"/>
  <c r="O36" i="92" s="1"/>
  <c r="G51" i="76"/>
  <c r="E36" i="92" s="1"/>
  <c r="M51" i="76"/>
  <c r="K36" i="92" s="1"/>
  <c r="T51" i="76"/>
  <c r="R36" i="92" s="1"/>
  <c r="R51" i="76"/>
  <c r="P36" i="92" s="1"/>
  <c r="K51" i="76"/>
  <c r="I36" i="92" s="1"/>
  <c r="W51" i="76"/>
  <c r="P51" i="76"/>
  <c r="N36" i="92" s="1"/>
  <c r="V51" i="76"/>
  <c r="T36" i="92" s="1"/>
  <c r="O51" i="76"/>
  <c r="M36" i="92" s="1"/>
  <c r="U51" i="76"/>
  <c r="S36" i="92" s="1"/>
  <c r="S51" i="76"/>
  <c r="Q36" i="92" s="1"/>
  <c r="I51" i="76"/>
  <c r="G36" i="92" s="1"/>
  <c r="H51" i="76"/>
  <c r="F36" i="92" s="1"/>
  <c r="F51" i="76"/>
  <c r="D36" i="92" s="1"/>
  <c r="AL41" i="69"/>
  <c r="AP41" i="69"/>
  <c r="Q52" i="76"/>
  <c r="O37" i="92" s="1"/>
  <c r="E52" i="76"/>
  <c r="C37" i="92" s="1"/>
  <c r="F52" i="76"/>
  <c r="D37" i="92" s="1"/>
  <c r="M52" i="76"/>
  <c r="K37" i="92" s="1"/>
  <c r="I52" i="76"/>
  <c r="G37" i="92" s="1"/>
  <c r="X52" i="76"/>
  <c r="H52" i="76"/>
  <c r="F37" i="92" s="1"/>
  <c r="J52" i="76"/>
  <c r="H37" i="92" s="1"/>
  <c r="T52" i="76"/>
  <c r="R37" i="92" s="1"/>
  <c r="R52" i="76"/>
  <c r="P37" i="92" s="1"/>
  <c r="N52" i="76"/>
  <c r="L37" i="92" s="1"/>
  <c r="K52" i="76"/>
  <c r="I37" i="92" s="1"/>
  <c r="W52" i="76"/>
  <c r="L52" i="76"/>
  <c r="J37" i="92" s="1"/>
  <c r="G52" i="76"/>
  <c r="E37" i="92" s="1"/>
  <c r="O52" i="76"/>
  <c r="M37" i="92" s="1"/>
  <c r="P52" i="76"/>
  <c r="N37" i="92" s="1"/>
  <c r="S52" i="76"/>
  <c r="Q37" i="92" s="1"/>
  <c r="U52" i="76"/>
  <c r="S37" i="92" s="1"/>
  <c r="V52" i="76"/>
  <c r="T37" i="92" s="1"/>
  <c r="D52" i="76"/>
  <c r="B37" i="92" s="1"/>
  <c r="AH23" i="69"/>
  <c r="Q23" i="69" s="1"/>
  <c r="P103" i="76" s="1"/>
  <c r="AH28" i="69"/>
  <c r="Q28" i="69" s="1"/>
  <c r="U103" i="76" s="1"/>
  <c r="AH11" i="69"/>
  <c r="Q11" i="69" s="1"/>
  <c r="D103" i="76" s="1"/>
  <c r="AH13" i="69"/>
  <c r="Q13" i="69" s="1"/>
  <c r="F103" i="76" s="1"/>
  <c r="AH26" i="69"/>
  <c r="Q26" i="69" s="1"/>
  <c r="S103" i="76" s="1"/>
  <c r="AH12" i="69"/>
  <c r="Q12" i="69" s="1"/>
  <c r="E103" i="76" s="1"/>
  <c r="AH14" i="69"/>
  <c r="Q14" i="69" s="1"/>
  <c r="G103" i="76" s="1"/>
  <c r="AH16" i="69"/>
  <c r="Q16" i="69" s="1"/>
  <c r="I103" i="76" s="1"/>
  <c r="AH18" i="69"/>
  <c r="Q18" i="69" s="1"/>
  <c r="K103" i="76" s="1"/>
  <c r="AH20" i="69"/>
  <c r="Q20" i="69" s="1"/>
  <c r="M103" i="76" s="1"/>
  <c r="AH27" i="69"/>
  <c r="Q27" i="69" s="1"/>
  <c r="T103" i="76" s="1"/>
  <c r="AH15" i="69"/>
  <c r="Q15" i="69" s="1"/>
  <c r="H103" i="76" s="1"/>
  <c r="AH17" i="69"/>
  <c r="Q17" i="69" s="1"/>
  <c r="J103" i="76" s="1"/>
  <c r="AH19" i="69"/>
  <c r="Q19" i="69" s="1"/>
  <c r="L103" i="76" s="1"/>
  <c r="AH21" i="69"/>
  <c r="Q21" i="69" s="1"/>
  <c r="N103" i="76" s="1"/>
  <c r="AH24" i="69"/>
  <c r="Q24" i="69" s="1"/>
  <c r="Q103" i="76" s="1"/>
  <c r="AH22" i="69"/>
  <c r="Q22" i="69" s="1"/>
  <c r="O103" i="76" s="1"/>
  <c r="AH25" i="69"/>
  <c r="Q25" i="69" s="1"/>
  <c r="R103" i="76" s="1"/>
  <c r="X109" i="69"/>
  <c r="AD109" i="69" s="1"/>
  <c r="X111" i="69"/>
  <c r="AD111" i="69" s="1"/>
  <c r="X113" i="69"/>
  <c r="AD113" i="69" s="1"/>
  <c r="X117" i="69"/>
  <c r="AD117" i="69" s="1"/>
  <c r="X120" i="69"/>
  <c r="AD120" i="69" s="1"/>
  <c r="X122" i="69"/>
  <c r="AD122" i="69" s="1"/>
  <c r="AN39" i="69"/>
  <c r="X108" i="69"/>
  <c r="AD108" i="69" s="1"/>
  <c r="X110" i="69"/>
  <c r="AD110" i="69" s="1"/>
  <c r="X112" i="69"/>
  <c r="AD112" i="69" s="1"/>
  <c r="X114" i="69"/>
  <c r="AD114" i="69" s="1"/>
  <c r="X116" i="69"/>
  <c r="AD116" i="69" s="1"/>
  <c r="X118" i="69"/>
  <c r="AD118" i="69" s="1"/>
  <c r="X121" i="69"/>
  <c r="AD121" i="69" s="1"/>
  <c r="X123" i="69"/>
  <c r="AD123" i="69" s="1"/>
  <c r="X107" i="69"/>
  <c r="AD107" i="69" s="1"/>
  <c r="X115" i="69"/>
  <c r="AD115" i="69" s="1"/>
  <c r="X119" i="69"/>
  <c r="AD119" i="69" s="1"/>
  <c r="X125" i="69"/>
  <c r="AD125" i="69" s="1"/>
  <c r="X124" i="69"/>
  <c r="AD124" i="69" s="1"/>
  <c r="AN41" i="69"/>
  <c r="AO42" i="69"/>
  <c r="AL43" i="69"/>
  <c r="AN45" i="69"/>
  <c r="AO46" i="69"/>
  <c r="AL47" i="69"/>
  <c r="AN49" i="69"/>
  <c r="AO50" i="69"/>
  <c r="AN56" i="69"/>
  <c r="AM55" i="69"/>
  <c r="AW38" i="69"/>
  <c r="AR38" i="69"/>
  <c r="AT41" i="69"/>
  <c r="AN40" i="69"/>
  <c r="AZ58" i="69"/>
  <c r="AM41" i="69"/>
  <c r="AZ47" i="69"/>
  <c r="AZ49" i="69"/>
  <c r="AW50" i="69"/>
  <c r="AZ54" i="69"/>
  <c r="AU55" i="69"/>
  <c r="AL45" i="69"/>
  <c r="AP45" i="69"/>
  <c r="AM46" i="69"/>
  <c r="AN47" i="69"/>
  <c r="AL49" i="69"/>
  <c r="AM50" i="69"/>
  <c r="AN58" i="69"/>
  <c r="AV56" i="69"/>
  <c r="AO55" i="69"/>
  <c r="AX38" i="69"/>
  <c r="AU41" i="69"/>
  <c r="BA52" i="69"/>
  <c r="AR41" i="69"/>
  <c r="AV41" i="69"/>
  <c r="AZ41" i="69"/>
  <c r="AW42" i="69"/>
  <c r="AT43" i="69"/>
  <c r="AM58" i="69"/>
  <c r="AU50" i="69"/>
  <c r="AP51" i="69"/>
  <c r="AZ43" i="69"/>
  <c r="AV45" i="69"/>
  <c r="AW46" i="69"/>
  <c r="AT47" i="69"/>
  <c r="AZ45" i="69"/>
  <c r="AY56" i="69"/>
  <c r="AR43" i="69"/>
  <c r="AR45" i="69"/>
  <c r="AR47" i="69"/>
  <c r="AV47" i="69"/>
  <c r="AR49" i="69"/>
  <c r="AV49" i="69"/>
  <c r="AT53" i="69"/>
  <c r="AR55" i="69"/>
  <c r="AX39" i="69"/>
  <c r="AX41" i="69"/>
  <c r="AX45" i="69"/>
  <c r="AX47" i="69"/>
  <c r="AX49" i="69"/>
  <c r="AZ55" i="69"/>
  <c r="AX56" i="69"/>
  <c r="AL42" i="69"/>
  <c r="AO54" i="69"/>
  <c r="AT42" i="69"/>
  <c r="AT45" i="69"/>
  <c r="AU46" i="69"/>
  <c r="AT49" i="69"/>
  <c r="AT54" i="69"/>
  <c r="AR56" i="69"/>
  <c r="AZ56" i="69"/>
  <c r="AS38" i="69"/>
  <c r="AS39" i="69"/>
  <c r="AS40" i="69"/>
  <c r="AR54" i="69"/>
  <c r="AT56" i="69"/>
  <c r="AR58" i="69"/>
  <c r="AV58" i="69"/>
  <c r="AY41" i="69"/>
  <c r="AY45" i="69"/>
  <c r="AY49" i="69"/>
  <c r="BA51" i="69"/>
  <c r="AW53" i="69"/>
  <c r="AW55" i="69"/>
  <c r="AP49" i="69"/>
  <c r="AO53" i="69"/>
  <c r="AL54" i="69"/>
  <c r="AL56" i="69"/>
  <c r="AP56" i="69"/>
  <c r="AU45" i="69"/>
  <c r="AU49" i="69"/>
  <c r="AW54" i="69"/>
  <c r="AU56" i="69"/>
  <c r="AO43" i="69"/>
  <c r="AM45" i="69"/>
  <c r="AM49" i="69"/>
  <c r="AL53" i="69"/>
  <c r="AM56" i="69"/>
  <c r="AY40" i="69"/>
  <c r="AY42" i="69"/>
  <c r="AW43" i="69"/>
  <c r="AY46" i="69"/>
  <c r="AY50" i="69"/>
  <c r="AY53" i="69"/>
  <c r="T29" i="69"/>
  <c r="T22" i="69"/>
  <c r="AY44" i="69"/>
  <c r="AY48" i="69"/>
  <c r="AO57" i="69"/>
  <c r="L30" i="69"/>
  <c r="AP47" i="69"/>
  <c r="AP52" i="69"/>
  <c r="AY59" i="69"/>
  <c r="AU59" i="69"/>
  <c r="AM59" i="69"/>
  <c r="AZ59" i="69"/>
  <c r="AV59" i="69"/>
  <c r="AR59" i="69"/>
  <c r="AN59" i="69"/>
  <c r="Z84" i="69"/>
  <c r="Z80" i="69"/>
  <c r="Z76" i="69"/>
  <c r="Z72" i="69"/>
  <c r="BA59" i="69"/>
  <c r="AS59" i="69"/>
  <c r="Y89" i="69"/>
  <c r="Y83" i="69"/>
  <c r="Y76" i="69"/>
  <c r="AP59" i="69"/>
  <c r="Z90" i="69"/>
  <c r="Y88" i="69"/>
  <c r="Y84" i="69"/>
  <c r="Z77" i="69"/>
  <c r="Y75" i="69"/>
  <c r="AW59" i="69"/>
  <c r="AL59" i="69"/>
  <c r="O30" i="69"/>
  <c r="AZ38" i="69"/>
  <c r="AV38" i="69"/>
  <c r="AN38" i="69"/>
  <c r="AP38" i="69"/>
  <c r="AU38" i="69"/>
  <c r="BA38" i="69"/>
  <c r="AY39" i="69"/>
  <c r="AU39" i="69"/>
  <c r="AM39" i="69"/>
  <c r="AP39" i="69"/>
  <c r="AV39" i="69"/>
  <c r="BA39" i="69"/>
  <c r="AX40" i="69"/>
  <c r="AT40" i="69"/>
  <c r="AP40" i="69"/>
  <c r="AL40" i="69"/>
  <c r="AV40" i="69"/>
  <c r="BA40" i="69"/>
  <c r="AO44" i="69"/>
  <c r="AW44" i="69"/>
  <c r="AO48" i="69"/>
  <c r="AW48" i="69"/>
  <c r="AZ51" i="69"/>
  <c r="AV51" i="69"/>
  <c r="AR51" i="69"/>
  <c r="AO51" i="69"/>
  <c r="AW51" i="69"/>
  <c r="AL51" i="69"/>
  <c r="AU51" i="69"/>
  <c r="AY52" i="69"/>
  <c r="AU52" i="69"/>
  <c r="AM52" i="69"/>
  <c r="AZ52" i="69"/>
  <c r="AT52" i="69"/>
  <c r="AO52" i="69"/>
  <c r="AW52" i="69"/>
  <c r="AR52" i="69"/>
  <c r="AL52" i="69"/>
  <c r="AV52" i="69"/>
  <c r="AR57" i="69"/>
  <c r="AO59" i="69"/>
  <c r="Z73" i="69"/>
  <c r="Y77" i="69"/>
  <c r="Y85" i="69"/>
  <c r="Z85" i="69"/>
  <c r="Z4" i="69"/>
  <c r="L62" i="69" s="1"/>
  <c r="K30" i="69"/>
  <c r="AL57" i="69" s="1"/>
  <c r="AL38" i="69"/>
  <c r="AL39" i="69"/>
  <c r="AR39" i="69"/>
  <c r="AW39" i="69"/>
  <c r="AM40" i="69"/>
  <c r="AR40" i="69"/>
  <c r="AW40" i="69"/>
  <c r="AM42" i="69"/>
  <c r="AS42" i="69"/>
  <c r="AX42" i="69"/>
  <c r="AN43" i="69"/>
  <c r="AS43" i="69"/>
  <c r="AX43" i="69"/>
  <c r="AX46" i="69"/>
  <c r="AT46" i="69"/>
  <c r="AP46" i="69"/>
  <c r="AL46" i="69"/>
  <c r="AZ46" i="69"/>
  <c r="AV46" i="69"/>
  <c r="AR46" i="69"/>
  <c r="AN46" i="69"/>
  <c r="AS46" i="69"/>
  <c r="BA46" i="69"/>
  <c r="AX50" i="69"/>
  <c r="AT50" i="69"/>
  <c r="AP50" i="69"/>
  <c r="AL50" i="69"/>
  <c r="AZ50" i="69"/>
  <c r="AV50" i="69"/>
  <c r="AR50" i="69"/>
  <c r="AN50" i="69"/>
  <c r="AS50" i="69"/>
  <c r="BA50" i="69"/>
  <c r="AM51" i="69"/>
  <c r="AX51" i="69"/>
  <c r="AN52" i="69"/>
  <c r="AX52" i="69"/>
  <c r="AT59" i="69"/>
  <c r="Y78" i="69"/>
  <c r="Z78" i="69"/>
  <c r="Y80" i="69"/>
  <c r="Y92" i="69"/>
  <c r="AZ44" i="69"/>
  <c r="AV44" i="69"/>
  <c r="AR44" i="69"/>
  <c r="AN44" i="69"/>
  <c r="AX44" i="69"/>
  <c r="AT44" i="69"/>
  <c r="AP44" i="69"/>
  <c r="AL44" i="69"/>
  <c r="AS44" i="69"/>
  <c r="BA44" i="69"/>
  <c r="AZ48" i="69"/>
  <c r="AV48" i="69"/>
  <c r="AR48" i="69"/>
  <c r="AN48" i="69"/>
  <c r="AX48" i="69"/>
  <c r="AT48" i="69"/>
  <c r="AP48" i="69"/>
  <c r="AL48" i="69"/>
  <c r="AS48" i="69"/>
  <c r="BA48" i="69"/>
  <c r="AU57" i="69"/>
  <c r="AZ57" i="69"/>
  <c r="BA57" i="69"/>
  <c r="AS57" i="69"/>
  <c r="AW57" i="69"/>
  <c r="AX57" i="69"/>
  <c r="AX59" i="69"/>
  <c r="Y86" i="69"/>
  <c r="Y90" i="69"/>
  <c r="AO38" i="69"/>
  <c r="AT38" i="69"/>
  <c r="AY38" i="69"/>
  <c r="AO39" i="69"/>
  <c r="AT39" i="69"/>
  <c r="AZ39" i="69"/>
  <c r="AO40" i="69"/>
  <c r="AU40" i="69"/>
  <c r="AZ40" i="69"/>
  <c r="AZ42" i="69"/>
  <c r="AV42" i="69"/>
  <c r="AR42" i="69"/>
  <c r="AN42" i="69"/>
  <c r="AP42" i="69"/>
  <c r="AU42" i="69"/>
  <c r="BA42" i="69"/>
  <c r="AY43" i="69"/>
  <c r="AU43" i="69"/>
  <c r="AM43" i="69"/>
  <c r="AP43" i="69"/>
  <c r="AV43" i="69"/>
  <c r="BA43" i="69"/>
  <c r="AM44" i="69"/>
  <c r="AU44" i="69"/>
  <c r="AM48" i="69"/>
  <c r="AU48" i="69"/>
  <c r="AS51" i="69"/>
  <c r="AS52" i="69"/>
  <c r="Y79" i="69"/>
  <c r="Z81" i="69"/>
  <c r="Y91" i="69"/>
  <c r="Z91" i="69"/>
  <c r="AO41" i="69"/>
  <c r="AS41" i="69"/>
  <c r="AW41" i="69"/>
  <c r="BA41" i="69"/>
  <c r="AO45" i="69"/>
  <c r="AS45" i="69"/>
  <c r="AW45" i="69"/>
  <c r="BA45" i="69"/>
  <c r="AM47" i="69"/>
  <c r="AU47" i="69"/>
  <c r="AY47" i="69"/>
  <c r="AO49" i="69"/>
  <c r="AS49" i="69"/>
  <c r="AW49" i="69"/>
  <c r="BA49" i="69"/>
  <c r="AM53" i="69"/>
  <c r="AS53" i="69"/>
  <c r="AX53" i="69"/>
  <c r="AN54" i="69"/>
  <c r="AS54" i="69"/>
  <c r="AX54" i="69"/>
  <c r="AN55" i="69"/>
  <c r="AS55" i="69"/>
  <c r="AY55" i="69"/>
  <c r="BA58" i="69"/>
  <c r="AW58" i="69"/>
  <c r="AS58" i="69"/>
  <c r="AO58" i="69"/>
  <c r="AX58" i="69"/>
  <c r="AT58" i="69"/>
  <c r="AP58" i="69"/>
  <c r="AL58" i="69"/>
  <c r="AY58" i="69"/>
  <c r="AU58" i="69"/>
  <c r="Y73" i="69"/>
  <c r="Y82" i="69"/>
  <c r="Z82" i="69"/>
  <c r="AV57" i="69"/>
  <c r="X141" i="69"/>
  <c r="B176" i="69"/>
  <c r="A176" i="69" s="1"/>
  <c r="X143" i="69"/>
  <c r="B178" i="69"/>
  <c r="A178" i="69" s="1"/>
  <c r="X145" i="69"/>
  <c r="B180" i="69"/>
  <c r="A180" i="69" s="1"/>
  <c r="X147" i="69"/>
  <c r="B182" i="69"/>
  <c r="A182" i="69" s="1"/>
  <c r="X149" i="69"/>
  <c r="B184" i="69"/>
  <c r="A184" i="69" s="1"/>
  <c r="X151" i="69"/>
  <c r="B186" i="69"/>
  <c r="A186" i="69" s="1"/>
  <c r="X156" i="69"/>
  <c r="B189" i="69"/>
  <c r="A189" i="69" s="1"/>
  <c r="X158" i="69"/>
  <c r="B191" i="69"/>
  <c r="A191" i="69" s="1"/>
  <c r="X160" i="69"/>
  <c r="B193" i="69"/>
  <c r="A193" i="69" s="1"/>
  <c r="AO47" i="69"/>
  <c r="AS47" i="69"/>
  <c r="AW47" i="69"/>
  <c r="BA47" i="69"/>
  <c r="AZ53" i="69"/>
  <c r="AV53" i="69"/>
  <c r="AR53" i="69"/>
  <c r="AN53" i="69"/>
  <c r="AP53" i="69"/>
  <c r="AU53" i="69"/>
  <c r="BA53" i="69"/>
  <c r="AY54" i="69"/>
  <c r="AU54" i="69"/>
  <c r="AM54" i="69"/>
  <c r="AP54" i="69"/>
  <c r="AV54" i="69"/>
  <c r="BA54" i="69"/>
  <c r="AX55" i="69"/>
  <c r="AT55" i="69"/>
  <c r="AP55" i="69"/>
  <c r="AL55" i="69"/>
  <c r="AV55" i="69"/>
  <c r="BA55" i="69"/>
  <c r="Y74" i="69"/>
  <c r="Z74" i="69"/>
  <c r="Y81" i="69"/>
  <c r="Y87" i="69"/>
  <c r="Z87" i="69"/>
  <c r="X140" i="69"/>
  <c r="B175" i="69"/>
  <c r="X142" i="69"/>
  <c r="B177" i="69"/>
  <c r="A177" i="69" s="1"/>
  <c r="X144" i="69"/>
  <c r="B179" i="69"/>
  <c r="A179" i="69" s="1"/>
  <c r="X146" i="69"/>
  <c r="B181" i="69"/>
  <c r="A181" i="69" s="1"/>
  <c r="X148" i="69"/>
  <c r="B183" i="69"/>
  <c r="A183" i="69" s="1"/>
  <c r="X150" i="69"/>
  <c r="B185" i="69"/>
  <c r="A185" i="69" s="1"/>
  <c r="X152" i="69"/>
  <c r="B187" i="69"/>
  <c r="A187" i="69" s="1"/>
  <c r="X155" i="69"/>
  <c r="B188" i="69"/>
  <c r="A188" i="69" s="1"/>
  <c r="X157" i="69"/>
  <c r="B190" i="69"/>
  <c r="A190" i="69" s="1"/>
  <c r="X159" i="69"/>
  <c r="B192" i="69"/>
  <c r="A192" i="69" s="1"/>
  <c r="X161" i="69"/>
  <c r="B194" i="69"/>
  <c r="B195" i="69"/>
  <c r="X162" i="69"/>
  <c r="AO56" i="69"/>
  <c r="AS56" i="69"/>
  <c r="AW56" i="69"/>
  <c r="BA56" i="69"/>
  <c r="Z83" i="69"/>
  <c r="Z86" i="69"/>
  <c r="Z88" i="69"/>
  <c r="Z92" i="69"/>
  <c r="W36" i="92" l="1" a="1"/>
  <c r="W36" i="92" s="1"/>
  <c r="V36" i="92" a="1"/>
  <c r="V36" i="92" s="1"/>
  <c r="W37" i="92" a="1"/>
  <c r="W37" i="92" s="1"/>
  <c r="X37" i="92" a="1"/>
  <c r="X37" i="92" s="1"/>
  <c r="V37" i="92" a="1"/>
  <c r="V37" i="92" s="1"/>
  <c r="X36" i="92" a="1"/>
  <c r="X36" i="92" s="1"/>
  <c r="T28" i="69"/>
  <c r="Z89" i="69" s="1"/>
  <c r="Z79" i="69"/>
  <c r="T18" i="69"/>
  <c r="T14" i="69"/>
  <c r="Z75" i="69" s="1"/>
  <c r="AK30" i="69"/>
  <c r="AN30" i="69"/>
  <c r="F53" i="76"/>
  <c r="D38" i="92" s="1"/>
  <c r="H53" i="76"/>
  <c r="F38" i="92" s="1"/>
  <c r="G53" i="76"/>
  <c r="E38" i="92" s="1"/>
  <c r="D53" i="76"/>
  <c r="B38" i="92" s="1"/>
  <c r="E53" i="76"/>
  <c r="C38" i="92" s="1"/>
  <c r="I53" i="76"/>
  <c r="G38" i="92" s="1"/>
  <c r="P30" i="69"/>
  <c r="AM57" i="69"/>
  <c r="AP57" i="69"/>
  <c r="W50" i="76"/>
  <c r="B208" i="69"/>
  <c r="A175" i="69"/>
  <c r="B252" i="69"/>
  <c r="A252" i="69" s="1"/>
  <c r="B217" i="69"/>
  <c r="B244" i="69"/>
  <c r="A244" i="69" s="1"/>
  <c r="B209" i="69"/>
  <c r="B260" i="69"/>
  <c r="A260" i="69" s="1"/>
  <c r="B227" i="69"/>
  <c r="B255" i="69"/>
  <c r="A255" i="69" s="1"/>
  <c r="B220" i="69"/>
  <c r="B263" i="69"/>
  <c r="B230" i="69"/>
  <c r="B259" i="69"/>
  <c r="A259" i="69" s="1"/>
  <c r="B226" i="69"/>
  <c r="B257" i="69"/>
  <c r="A257" i="69" s="1"/>
  <c r="B223" i="69"/>
  <c r="B254" i="69"/>
  <c r="A254" i="69" s="1"/>
  <c r="B219" i="69"/>
  <c r="B250" i="69"/>
  <c r="A250" i="69" s="1"/>
  <c r="B215" i="69"/>
  <c r="B246" i="69"/>
  <c r="A246" i="69" s="1"/>
  <c r="B211" i="69"/>
  <c r="B261" i="69"/>
  <c r="A261" i="69" s="1"/>
  <c r="B228" i="69"/>
  <c r="B221" i="69"/>
  <c r="B248" i="69"/>
  <c r="A248" i="69" s="1"/>
  <c r="B213" i="69"/>
  <c r="B224" i="69"/>
  <c r="B251" i="69"/>
  <c r="A251" i="69" s="1"/>
  <c r="B216" i="69"/>
  <c r="B247" i="69"/>
  <c r="A247" i="69" s="1"/>
  <c r="B212" i="69"/>
  <c r="B262" i="69"/>
  <c r="X260" i="69" s="1"/>
  <c r="B229" i="69"/>
  <c r="X227" i="69" s="1"/>
  <c r="AD227" i="69" s="1"/>
  <c r="B258" i="69"/>
  <c r="A258" i="69" s="1"/>
  <c r="B225" i="69"/>
  <c r="B256" i="69"/>
  <c r="A256" i="69" s="1"/>
  <c r="B222" i="69"/>
  <c r="B253" i="69"/>
  <c r="A253" i="69" s="1"/>
  <c r="B218" i="69"/>
  <c r="B249" i="69"/>
  <c r="A249" i="69" s="1"/>
  <c r="B214" i="69"/>
  <c r="B245" i="69"/>
  <c r="A245" i="69" s="1"/>
  <c r="B210" i="69"/>
  <c r="B275" i="69"/>
  <c r="B243" i="69"/>
  <c r="A243" i="69" s="1"/>
  <c r="BB38" i="69"/>
  <c r="BD43" i="69"/>
  <c r="BC52" i="69"/>
  <c r="BC57" i="69"/>
  <c r="BB50" i="69"/>
  <c r="BB46" i="69"/>
  <c r="BB40" i="69"/>
  <c r="X193" i="69"/>
  <c r="B293" i="69"/>
  <c r="A293" i="69" s="1"/>
  <c r="X182" i="69"/>
  <c r="B284" i="69"/>
  <c r="A284" i="69" s="1"/>
  <c r="X178" i="69"/>
  <c r="B280" i="69"/>
  <c r="A280" i="69" s="1"/>
  <c r="X174" i="69"/>
  <c r="B276" i="69"/>
  <c r="A276" i="69" s="1"/>
  <c r="BD54" i="69"/>
  <c r="BE43" i="69"/>
  <c r="BE41" i="69"/>
  <c r="BB44" i="69"/>
  <c r="X195" i="69"/>
  <c r="X191" i="69"/>
  <c r="B291" i="69"/>
  <c r="A291" i="69" s="1"/>
  <c r="X189" i="69"/>
  <c r="B289" i="69"/>
  <c r="A289" i="69" s="1"/>
  <c r="X184" i="69"/>
  <c r="B286" i="69"/>
  <c r="A286" i="69" s="1"/>
  <c r="X180" i="69"/>
  <c r="B282" i="69"/>
  <c r="A282" i="69" s="1"/>
  <c r="X176" i="69"/>
  <c r="B278" i="69"/>
  <c r="A278" i="69" s="1"/>
  <c r="BE47" i="69"/>
  <c r="X194" i="69"/>
  <c r="B294" i="69"/>
  <c r="X190" i="69"/>
  <c r="B290" i="69"/>
  <c r="A290" i="69" s="1"/>
  <c r="X188" i="69"/>
  <c r="B288" i="69"/>
  <c r="A288" i="69" s="1"/>
  <c r="X183" i="69"/>
  <c r="B285" i="69"/>
  <c r="A285" i="69" s="1"/>
  <c r="X179" i="69"/>
  <c r="B281" i="69"/>
  <c r="A281" i="69" s="1"/>
  <c r="X175" i="69"/>
  <c r="B277" i="69"/>
  <c r="A277" i="69" s="1"/>
  <c r="BD53" i="69"/>
  <c r="BB57" i="69"/>
  <c r="BC51" i="69"/>
  <c r="BE48" i="69"/>
  <c r="BE45" i="69"/>
  <c r="BF39" i="69"/>
  <c r="BC39" i="69"/>
  <c r="X192" i="69"/>
  <c r="B292" i="69"/>
  <c r="A292" i="69" s="1"/>
  <c r="X185" i="69"/>
  <c r="B287" i="69"/>
  <c r="A287" i="69" s="1"/>
  <c r="X181" i="69"/>
  <c r="B283" i="69"/>
  <c r="A283" i="69" s="1"/>
  <c r="X177" i="69"/>
  <c r="B279" i="69"/>
  <c r="A279" i="69" s="1"/>
  <c r="BE56" i="69"/>
  <c r="BD52" i="69"/>
  <c r="BD44" i="69"/>
  <c r="BB51" i="69"/>
  <c r="BE51" i="69"/>
  <c r="BD59" i="69"/>
  <c r="BD58" i="69"/>
  <c r="BB58" i="69"/>
  <c r="AK59" i="69"/>
  <c r="X173" i="69"/>
  <c r="BB56" i="69"/>
  <c r="BC49" i="69"/>
  <c r="BC45" i="69"/>
  <c r="BD56" i="69"/>
  <c r="BE55" i="69"/>
  <c r="BE54" i="69"/>
  <c r="BE53" i="69"/>
  <c r="BE50" i="69"/>
  <c r="BB49" i="69"/>
  <c r="BE46" i="69"/>
  <c r="BB45" i="69"/>
  <c r="BF41" i="69"/>
  <c r="BC55" i="69"/>
  <c r="BB54" i="69"/>
  <c r="BB53" i="69"/>
  <c r="BC50" i="69"/>
  <c r="BC46" i="69"/>
  <c r="BF43" i="69"/>
  <c r="BE42" i="69"/>
  <c r="BD41" i="69"/>
  <c r="BD40" i="69"/>
  <c r="BD39" i="69"/>
  <c r="BC38" i="69"/>
  <c r="BC56" i="69"/>
  <c r="BD47" i="69"/>
  <c r="BC41" i="69"/>
  <c r="BC58" i="69"/>
  <c r="BD49" i="69"/>
  <c r="BB47" i="69"/>
  <c r="BD45" i="69"/>
  <c r="BB43" i="69"/>
  <c r="BB42" i="69"/>
  <c r="BB41" i="69"/>
  <c r="BC54" i="69"/>
  <c r="BE59" i="69"/>
  <c r="BD55" i="69"/>
  <c r="BC43" i="69"/>
  <c r="BE40" i="69"/>
  <c r="BE39" i="69"/>
  <c r="BE38" i="69"/>
  <c r="BE57" i="69"/>
  <c r="BD48" i="69"/>
  <c r="BD50" i="69"/>
  <c r="BC40" i="69"/>
  <c r="BB39" i="69"/>
  <c r="BB52" i="69"/>
  <c r="BE52" i="69"/>
  <c r="BE44" i="69"/>
  <c r="BF40" i="69"/>
  <c r="BC59" i="69"/>
  <c r="BE58" i="69"/>
  <c r="BB55" i="69"/>
  <c r="BC47" i="69"/>
  <c r="BC53" i="69"/>
  <c r="BC48" i="69"/>
  <c r="BC44" i="69"/>
  <c r="BF42" i="69"/>
  <c r="BD42" i="69"/>
  <c r="BB48" i="69"/>
  <c r="BD46" i="69"/>
  <c r="BE49" i="69"/>
  <c r="BF38" i="69"/>
  <c r="BD38" i="69"/>
  <c r="BB59" i="69"/>
  <c r="BC42" i="69"/>
  <c r="B308" i="69" l="1"/>
  <c r="A308" i="69" s="1"/>
  <c r="A275" i="69"/>
  <c r="D56" i="76"/>
  <c r="D59" i="76"/>
  <c r="B47" i="92" s="1"/>
  <c r="D55" i="76"/>
  <c r="B40" i="92" s="1"/>
  <c r="D58" i="76"/>
  <c r="M54" i="76"/>
  <c r="K39" i="92" s="1"/>
  <c r="R54" i="76"/>
  <c r="P39" i="92" s="1"/>
  <c r="Q54" i="76"/>
  <c r="O39" i="92" s="1"/>
  <c r="H54" i="76"/>
  <c r="F39" i="92" s="1"/>
  <c r="U54" i="76"/>
  <c r="S39" i="92" s="1"/>
  <c r="S54" i="76"/>
  <c r="Q39" i="92" s="1"/>
  <c r="K54" i="76"/>
  <c r="I39" i="92" s="1"/>
  <c r="F54" i="76"/>
  <c r="D39" i="92" s="1"/>
  <c r="I54" i="76"/>
  <c r="G39" i="92" s="1"/>
  <c r="O54" i="76"/>
  <c r="M39" i="92" s="1"/>
  <c r="N54" i="76"/>
  <c r="L39" i="92" s="1"/>
  <c r="D54" i="76"/>
  <c r="B39" i="92" s="1"/>
  <c r="J54" i="76"/>
  <c r="H39" i="92" s="1"/>
  <c r="G54" i="76"/>
  <c r="E39" i="92" s="1"/>
  <c r="T54" i="76"/>
  <c r="R39" i="92" s="1"/>
  <c r="E54" i="76"/>
  <c r="C39" i="92" s="1"/>
  <c r="L54" i="76"/>
  <c r="J39" i="92" s="1"/>
  <c r="P54" i="76"/>
  <c r="N39" i="92" s="1"/>
  <c r="V54" i="76"/>
  <c r="T39" i="92" s="1"/>
  <c r="W54" i="76"/>
  <c r="X228" i="69"/>
  <c r="AD228" i="69" s="1"/>
  <c r="X261" i="69"/>
  <c r="X54" i="76"/>
  <c r="X243" i="69"/>
  <c r="X256" i="69"/>
  <c r="X209" i="69"/>
  <c r="AD209" i="69" s="1"/>
  <c r="A211" i="69"/>
  <c r="X224" i="69"/>
  <c r="AD224" i="69" s="1"/>
  <c r="A226" i="69"/>
  <c r="X207" i="69"/>
  <c r="AD207" i="69" s="1"/>
  <c r="A209" i="69"/>
  <c r="X214" i="69"/>
  <c r="AD214" i="69" s="1"/>
  <c r="A216" i="69"/>
  <c r="X211" i="69"/>
  <c r="AD211" i="69" s="1"/>
  <c r="A213" i="69"/>
  <c r="X226" i="69"/>
  <c r="AD226" i="69" s="1"/>
  <c r="A228" i="69"/>
  <c r="X252" i="69"/>
  <c r="X257" i="69"/>
  <c r="X253" i="69"/>
  <c r="X242" i="69"/>
  <c r="X273" i="69"/>
  <c r="AD273" i="69" s="1"/>
  <c r="X247" i="69"/>
  <c r="X254" i="69"/>
  <c r="X249" i="69"/>
  <c r="X246" i="69"/>
  <c r="X259" i="69"/>
  <c r="X213" i="69"/>
  <c r="AD213" i="69" s="1"/>
  <c r="A215" i="69"/>
  <c r="X221" i="69"/>
  <c r="AD221" i="69" s="1"/>
  <c r="A223" i="69"/>
  <c r="X225" i="69"/>
  <c r="AD225" i="69" s="1"/>
  <c r="A227" i="69"/>
  <c r="X215" i="69"/>
  <c r="AD215" i="69" s="1"/>
  <c r="A217" i="69"/>
  <c r="X306" i="69"/>
  <c r="X251" i="69"/>
  <c r="X245" i="69"/>
  <c r="X217" i="69"/>
  <c r="AD217" i="69" s="1"/>
  <c r="A219" i="69"/>
  <c r="X218" i="69"/>
  <c r="AD218" i="69" s="1"/>
  <c r="A220" i="69"/>
  <c r="X212" i="69"/>
  <c r="AD212" i="69" s="1"/>
  <c r="A214" i="69"/>
  <c r="X220" i="69"/>
  <c r="AD220" i="69" s="1"/>
  <c r="A222" i="69"/>
  <c r="X244" i="69"/>
  <c r="X208" i="69"/>
  <c r="AD208" i="69" s="1"/>
  <c r="A210" i="69"/>
  <c r="X216" i="69"/>
  <c r="AD216" i="69" s="1"/>
  <c r="A218" i="69"/>
  <c r="X223" i="69"/>
  <c r="AD223" i="69" s="1"/>
  <c r="A225" i="69"/>
  <c r="X210" i="69"/>
  <c r="AD210" i="69" s="1"/>
  <c r="A212" i="69"/>
  <c r="X222" i="69"/>
  <c r="AD222" i="69" s="1"/>
  <c r="A224" i="69"/>
  <c r="X219" i="69"/>
  <c r="AD219" i="69" s="1"/>
  <c r="A221" i="69"/>
  <c r="BK57" i="69"/>
  <c r="X248" i="69"/>
  <c r="X255" i="69"/>
  <c r="X258" i="69"/>
  <c r="X250" i="69"/>
  <c r="X206" i="69"/>
  <c r="AD206" i="69" s="1"/>
  <c r="A208" i="69"/>
  <c r="BL40" i="69"/>
  <c r="BN40" i="69"/>
  <c r="BL44" i="69"/>
  <c r="BN49" i="69"/>
  <c r="BL57" i="69"/>
  <c r="BL38" i="69"/>
  <c r="BN42" i="69"/>
  <c r="BO42" i="69"/>
  <c r="BN46" i="69"/>
  <c r="BN54" i="69"/>
  <c r="BN58" i="69"/>
  <c r="BP39" i="69"/>
  <c r="BN39" i="69"/>
  <c r="BO43" i="69"/>
  <c r="BN47" i="69"/>
  <c r="BL52" i="69"/>
  <c r="BL41" i="69"/>
  <c r="BO50" i="69"/>
  <c r="BN50" i="69"/>
  <c r="BM53" i="69"/>
  <c r="BL59" i="69"/>
  <c r="BO59" i="69"/>
  <c r="BM41" i="69"/>
  <c r="BL45" i="69"/>
  <c r="BP40" i="69"/>
  <c r="BM44" i="69"/>
  <c r="BO49" i="69"/>
  <c r="BM57" i="69"/>
  <c r="BM55" i="69"/>
  <c r="BN55" i="69"/>
  <c r="BP38" i="69"/>
  <c r="BM42" i="69"/>
  <c r="BL46" i="69"/>
  <c r="BO54" i="69"/>
  <c r="BO58" i="69"/>
  <c r="BL48" i="69"/>
  <c r="BO48" i="69"/>
  <c r="BL56" i="69"/>
  <c r="BO39" i="69"/>
  <c r="BM43" i="69"/>
  <c r="BN43" i="69"/>
  <c r="BM47" i="69"/>
  <c r="BO41" i="69"/>
  <c r="BM45" i="69"/>
  <c r="BL53" i="69"/>
  <c r="BM59" i="69"/>
  <c r="BO40" i="69"/>
  <c r="BO44" i="69"/>
  <c r="BL49" i="69"/>
  <c r="BO55" i="69"/>
  <c r="BO38" i="69"/>
  <c r="BL42" i="69"/>
  <c r="BO46" i="69"/>
  <c r="BO51" i="69"/>
  <c r="BL51" i="69"/>
  <c r="BL54" i="69"/>
  <c r="BL58" i="69"/>
  <c r="BM48" i="69"/>
  <c r="BM56" i="69"/>
  <c r="BM39" i="69"/>
  <c r="BP43" i="69"/>
  <c r="BL47" i="69"/>
  <c r="BO52" i="69"/>
  <c r="BN41" i="69"/>
  <c r="BL50" i="69"/>
  <c r="BN53" i="69"/>
  <c r="BM40" i="69"/>
  <c r="BM38" i="69"/>
  <c r="BM51" i="69"/>
  <c r="BN48" i="69"/>
  <c r="BL39" i="69"/>
  <c r="BN52" i="69"/>
  <c r="BN45" i="69"/>
  <c r="BO53" i="69"/>
  <c r="BL55" i="69"/>
  <c r="BN56" i="69"/>
  <c r="BO47" i="69"/>
  <c r="BM46" i="69"/>
  <c r="BM58" i="69"/>
  <c r="BO56" i="69"/>
  <c r="BN44" i="69"/>
  <c r="BO57" i="69"/>
  <c r="BN38" i="69"/>
  <c r="BM54" i="69"/>
  <c r="BL43" i="69"/>
  <c r="BO45" i="69"/>
  <c r="BM49" i="69"/>
  <c r="BP42" i="69"/>
  <c r="BM50" i="69"/>
  <c r="BN59" i="69"/>
  <c r="BM52" i="69"/>
  <c r="BP41" i="69"/>
  <c r="X241" i="69"/>
  <c r="BK39" i="69"/>
  <c r="BJ39" i="69"/>
  <c r="BJ41" i="69"/>
  <c r="BI43" i="69"/>
  <c r="BK45" i="69"/>
  <c r="BH47" i="69"/>
  <c r="BG47" i="69"/>
  <c r="BG49" i="69"/>
  <c r="BH51" i="69"/>
  <c r="BI53" i="69"/>
  <c r="BH55" i="69"/>
  <c r="BG57" i="69"/>
  <c r="BK59" i="69"/>
  <c r="BJ58" i="69"/>
  <c r="BG58" i="69"/>
  <c r="BJ38" i="69"/>
  <c r="BI40" i="69"/>
  <c r="BG42" i="69"/>
  <c r="BK44" i="69"/>
  <c r="BJ44" i="69"/>
  <c r="BI46" i="69"/>
  <c r="BG48" i="69"/>
  <c r="BH50" i="69"/>
  <c r="BH52" i="69"/>
  <c r="BI52" i="69"/>
  <c r="BJ54" i="69"/>
  <c r="BK56" i="69"/>
  <c r="BI44" i="69"/>
  <c r="BJ48" i="69"/>
  <c r="BG52" i="69"/>
  <c r="BH54" i="69"/>
  <c r="BK41" i="69"/>
  <c r="BK43" i="69"/>
  <c r="BG45" i="69"/>
  <c r="BI49" i="69"/>
  <c r="BK51" i="69"/>
  <c r="BG55" i="69"/>
  <c r="BG59" i="69"/>
  <c r="BH58" i="69"/>
  <c r="BK38" i="69"/>
  <c r="BK40" i="69"/>
  <c r="BI42" i="69"/>
  <c r="BG46" i="69"/>
  <c r="BK50" i="69"/>
  <c r="BJ52" i="69"/>
  <c r="BK54" i="69"/>
  <c r="BG56" i="69"/>
  <c r="BH39" i="69"/>
  <c r="BH41" i="69"/>
  <c r="BI41" i="69"/>
  <c r="BJ43" i="69"/>
  <c r="BJ45" i="69"/>
  <c r="BK47" i="69"/>
  <c r="BH49" i="69"/>
  <c r="BJ49" i="69"/>
  <c r="BJ51" i="69"/>
  <c r="BK53" i="69"/>
  <c r="BJ53" i="69"/>
  <c r="BI55" i="69"/>
  <c r="BH59" i="69"/>
  <c r="BI58" i="69"/>
  <c r="BH38" i="69"/>
  <c r="BI38" i="69"/>
  <c r="BJ40" i="69"/>
  <c r="BH42" i="69"/>
  <c r="BH44" i="69"/>
  <c r="BK46" i="69"/>
  <c r="BJ46" i="69"/>
  <c r="BI48" i="69"/>
  <c r="BG50" i="69"/>
  <c r="BK52" i="69"/>
  <c r="BI54" i="69"/>
  <c r="BI56" i="69"/>
  <c r="BG39" i="69"/>
  <c r="BG41" i="69"/>
  <c r="BH43" i="69"/>
  <c r="BG43" i="69"/>
  <c r="BI45" i="69"/>
  <c r="BJ47" i="69"/>
  <c r="BK49" i="69"/>
  <c r="BG51" i="69"/>
  <c r="BH53" i="69"/>
  <c r="BK55" i="69"/>
  <c r="BJ55" i="69"/>
  <c r="BH57" i="69"/>
  <c r="BJ59" i="69"/>
  <c r="BK58" i="69"/>
  <c r="BG38" i="69"/>
  <c r="BH40" i="69"/>
  <c r="BG40" i="69"/>
  <c r="BJ42" i="69"/>
  <c r="BH46" i="69"/>
  <c r="BK48" i="69"/>
  <c r="BJ50" i="69"/>
  <c r="BG54" i="69"/>
  <c r="BJ56" i="69"/>
  <c r="BI39" i="69"/>
  <c r="BH45" i="69"/>
  <c r="BI47" i="69"/>
  <c r="BG53" i="69"/>
  <c r="BJ57" i="69"/>
  <c r="BI59" i="69"/>
  <c r="BK42" i="69"/>
  <c r="BG44" i="69"/>
  <c r="BH48" i="69"/>
  <c r="BI50" i="69"/>
  <c r="BH56" i="69"/>
  <c r="B311" i="69"/>
  <c r="A311" i="69" s="1"/>
  <c r="X276" i="69"/>
  <c r="AD276" i="69" s="1"/>
  <c r="B319" i="69"/>
  <c r="A319" i="69" s="1"/>
  <c r="X284" i="69"/>
  <c r="AD284" i="69" s="1"/>
  <c r="B324" i="69"/>
  <c r="A324" i="69" s="1"/>
  <c r="X289" i="69"/>
  <c r="AD289" i="69" s="1"/>
  <c r="X274" i="69"/>
  <c r="AD274" i="69" s="1"/>
  <c r="B309" i="69"/>
  <c r="X282" i="69"/>
  <c r="AD282" i="69" s="1"/>
  <c r="B317" i="69"/>
  <c r="A317" i="69" s="1"/>
  <c r="X281" i="69"/>
  <c r="AD281" i="69" s="1"/>
  <c r="B316" i="69"/>
  <c r="A316" i="69" s="1"/>
  <c r="B314" i="69"/>
  <c r="A314" i="69" s="1"/>
  <c r="X279" i="69"/>
  <c r="AD279" i="69" s="1"/>
  <c r="B321" i="69"/>
  <c r="A321" i="69" s="1"/>
  <c r="X286" i="69"/>
  <c r="AD286" i="69" s="1"/>
  <c r="B327" i="69"/>
  <c r="X325" i="69" s="1"/>
  <c r="X292" i="69"/>
  <c r="AD292" i="69" s="1"/>
  <c r="B315" i="69"/>
  <c r="A315" i="69" s="1"/>
  <c r="X280" i="69"/>
  <c r="AD280" i="69" s="1"/>
  <c r="B322" i="69"/>
  <c r="A322" i="69" s="1"/>
  <c r="X287" i="69"/>
  <c r="AD287" i="69" s="1"/>
  <c r="X293" i="69"/>
  <c r="AD293" i="69" s="1"/>
  <c r="X278" i="69"/>
  <c r="AD278" i="69" s="1"/>
  <c r="B313" i="69"/>
  <c r="A313" i="69" s="1"/>
  <c r="X291" i="69"/>
  <c r="AD291" i="69" s="1"/>
  <c r="B326" i="69"/>
  <c r="A326" i="69" s="1"/>
  <c r="X277" i="69"/>
  <c r="AD277" i="69" s="1"/>
  <c r="B312" i="69"/>
  <c r="A312" i="69" s="1"/>
  <c r="X285" i="69"/>
  <c r="AD285" i="69" s="1"/>
  <c r="B320" i="69"/>
  <c r="A320" i="69" s="1"/>
  <c r="X290" i="69"/>
  <c r="AD290" i="69" s="1"/>
  <c r="B325" i="69"/>
  <c r="A325" i="69" s="1"/>
  <c r="B310" i="69"/>
  <c r="A310" i="69" s="1"/>
  <c r="X275" i="69"/>
  <c r="AD275" i="69" s="1"/>
  <c r="B318" i="69"/>
  <c r="A318" i="69" s="1"/>
  <c r="X283" i="69"/>
  <c r="AD283" i="69" s="1"/>
  <c r="B323" i="69"/>
  <c r="A323" i="69" s="1"/>
  <c r="X288" i="69"/>
  <c r="AD288" i="69" s="1"/>
  <c r="D57" i="76" l="1"/>
  <c r="B42" i="92" s="1"/>
  <c r="B44" i="92"/>
  <c r="B46" i="92"/>
  <c r="B41" i="92"/>
  <c r="B43" i="92"/>
  <c r="B45" i="92"/>
  <c r="E55" i="76"/>
  <c r="C40" i="92" s="1"/>
  <c r="A309" i="69"/>
  <c r="W39" i="92" a="1"/>
  <c r="W39" i="92" s="1"/>
  <c r="X39" i="92" a="1"/>
  <c r="X39" i="92" s="1"/>
  <c r="V39" i="92" a="1"/>
  <c r="V39" i="92" s="1"/>
  <c r="L56" i="76"/>
  <c r="G56" i="76"/>
  <c r="E41" i="92" s="1"/>
  <c r="F58" i="76"/>
  <c r="E58" i="76"/>
  <c r="G58" i="76"/>
  <c r="R58" i="76"/>
  <c r="E56" i="76"/>
  <c r="C41" i="92" s="1"/>
  <c r="F59" i="76"/>
  <c r="D47" i="92" s="1"/>
  <c r="Q58" i="76"/>
  <c r="I57" i="76"/>
  <c r="Q59" i="76"/>
  <c r="O47" i="92" s="1"/>
  <c r="X56" i="76"/>
  <c r="P59" i="76"/>
  <c r="N47" i="92" s="1"/>
  <c r="T58" i="76"/>
  <c r="N57" i="76"/>
  <c r="P57" i="76"/>
  <c r="R57" i="76"/>
  <c r="J56" i="76"/>
  <c r="J58" i="76"/>
  <c r="O55" i="76"/>
  <c r="J59" i="76"/>
  <c r="H47" i="92" s="1"/>
  <c r="R56" i="76"/>
  <c r="N55" i="76"/>
  <c r="M59" i="76"/>
  <c r="K47" i="92" s="1"/>
  <c r="L59" i="76"/>
  <c r="J47" i="92" s="1"/>
  <c r="W57" i="76"/>
  <c r="J57" i="76"/>
  <c r="U55" i="76"/>
  <c r="H55" i="76"/>
  <c r="F40" i="92" s="1"/>
  <c r="G59" i="76"/>
  <c r="E47" i="92" s="1"/>
  <c r="H57" i="76"/>
  <c r="S55" i="76"/>
  <c r="I59" i="76"/>
  <c r="G47" i="92" s="1"/>
  <c r="H58" i="76"/>
  <c r="O57" i="76"/>
  <c r="M42" i="92" s="1"/>
  <c r="S56" i="76"/>
  <c r="F56" i="76"/>
  <c r="D41" i="92" s="1"/>
  <c r="M55" i="76"/>
  <c r="K59" i="76"/>
  <c r="I47" i="92" s="1"/>
  <c r="V57" i="76"/>
  <c r="P56" i="76"/>
  <c r="G55" i="76"/>
  <c r="E40" i="92" s="1"/>
  <c r="V58" i="76"/>
  <c r="K56" i="76"/>
  <c r="F55" i="76"/>
  <c r="D40" i="92" s="1"/>
  <c r="E59" i="76"/>
  <c r="C47" i="92" s="1"/>
  <c r="U59" i="76"/>
  <c r="S47" i="92" s="1"/>
  <c r="H59" i="76"/>
  <c r="F47" i="92" s="1"/>
  <c r="O58" i="76"/>
  <c r="S57" i="76"/>
  <c r="Q42" i="92" s="1"/>
  <c r="F57" i="76"/>
  <c r="M56" i="76"/>
  <c r="S58" i="76"/>
  <c r="M57" i="76"/>
  <c r="K42" i="92" s="1"/>
  <c r="X55" i="76"/>
  <c r="S59" i="76"/>
  <c r="Q47" i="92" s="1"/>
  <c r="M58" i="76"/>
  <c r="T56" i="76"/>
  <c r="J55" i="76"/>
  <c r="U58" i="76"/>
  <c r="X57" i="76"/>
  <c r="K57" i="76"/>
  <c r="I42" i="92" s="1"/>
  <c r="Q56" i="76"/>
  <c r="V55" i="76"/>
  <c r="I55" i="76"/>
  <c r="G40" i="92" s="1"/>
  <c r="X59" i="76"/>
  <c r="T55" i="76"/>
  <c r="I58" i="76"/>
  <c r="Q55" i="76"/>
  <c r="L55" i="76"/>
  <c r="O59" i="76"/>
  <c r="M47" i="92" s="1"/>
  <c r="K55" i="76"/>
  <c r="L58" i="76"/>
  <c r="W56" i="76"/>
  <c r="R59" i="76"/>
  <c r="P47" i="92" s="1"/>
  <c r="U56" i="76"/>
  <c r="W58" i="76"/>
  <c r="H56" i="76"/>
  <c r="F41" i="92" s="1"/>
  <c r="W59" i="76"/>
  <c r="L57" i="76"/>
  <c r="J42" i="92" s="1"/>
  <c r="W55" i="76"/>
  <c r="X58" i="76"/>
  <c r="K58" i="76"/>
  <c r="Q57" i="76"/>
  <c r="V56" i="76"/>
  <c r="I56" i="76"/>
  <c r="G41" i="92" s="1"/>
  <c r="P55" i="76"/>
  <c r="T59" i="76"/>
  <c r="R47" i="92" s="1"/>
  <c r="N58" i="76"/>
  <c r="E57" i="76"/>
  <c r="C42" i="92" s="1"/>
  <c r="R55" i="76"/>
  <c r="N59" i="76"/>
  <c r="L47" i="92" s="1"/>
  <c r="U57" i="76"/>
  <c r="S42" i="92" s="1"/>
  <c r="O56" i="76"/>
  <c r="V59" i="76"/>
  <c r="T47" i="92" s="1"/>
  <c r="P58" i="76"/>
  <c r="T57" i="76"/>
  <c r="R42" i="92" s="1"/>
  <c r="G57" i="76"/>
  <c r="E42" i="92" s="1"/>
  <c r="N56" i="76"/>
  <c r="X317" i="69"/>
  <c r="X318" i="69"/>
  <c r="X311" i="69"/>
  <c r="X314" i="69"/>
  <c r="X308" i="69"/>
  <c r="X320" i="69"/>
  <c r="AE325" i="69"/>
  <c r="AH325" i="69"/>
  <c r="AF325" i="69"/>
  <c r="AG325" i="69"/>
  <c r="AD325" i="69"/>
  <c r="X312" i="69"/>
  <c r="X322" i="69"/>
  <c r="X309" i="69"/>
  <c r="X316" i="69"/>
  <c r="X313" i="69"/>
  <c r="X319" i="69"/>
  <c r="X324" i="69"/>
  <c r="X315" i="69"/>
  <c r="X321" i="69"/>
  <c r="X323" i="69"/>
  <c r="X310" i="69"/>
  <c r="X307" i="69"/>
  <c r="AG306" i="69"/>
  <c r="AD306" i="69"/>
  <c r="AF306" i="69"/>
  <c r="AH306" i="69"/>
  <c r="AE306" i="69"/>
  <c r="AH326" i="69"/>
  <c r="AF326" i="69"/>
  <c r="AD326" i="69"/>
  <c r="AE326" i="69"/>
  <c r="AG326" i="69"/>
  <c r="X92" i="68"/>
  <c r="X91" i="68"/>
  <c r="X90" i="68"/>
  <c r="X89" i="68"/>
  <c r="X88" i="68"/>
  <c r="X87" i="68"/>
  <c r="X86" i="68"/>
  <c r="X85" i="68"/>
  <c r="X84" i="68"/>
  <c r="X83" i="68"/>
  <c r="X82" i="68"/>
  <c r="X81" i="68"/>
  <c r="X80" i="68"/>
  <c r="X79" i="68"/>
  <c r="X78" i="68"/>
  <c r="X77" i="68"/>
  <c r="X76" i="68"/>
  <c r="X75" i="68"/>
  <c r="X74" i="68"/>
  <c r="X73" i="68"/>
  <c r="X72" i="68"/>
  <c r="X41" i="68"/>
  <c r="Z31" i="68"/>
  <c r="Y31" i="68"/>
  <c r="AK58" i="68"/>
  <c r="AK57" i="68"/>
  <c r="Y29" i="68"/>
  <c r="AK56" i="68"/>
  <c r="AQ56" i="68" s="1"/>
  <c r="S29" i="68" s="1"/>
  <c r="Y28" i="68"/>
  <c r="AK55" i="68"/>
  <c r="Y27" i="68"/>
  <c r="AK54" i="68"/>
  <c r="Y26" i="68"/>
  <c r="AK53" i="68"/>
  <c r="Y25" i="68"/>
  <c r="AK52" i="68"/>
  <c r="Y24" i="68"/>
  <c r="AK51" i="68"/>
  <c r="Y23" i="68"/>
  <c r="AK50" i="68"/>
  <c r="Y22" i="68"/>
  <c r="AK49" i="68"/>
  <c r="Y21" i="68"/>
  <c r="AK48" i="68"/>
  <c r="AQ48" i="68" s="1"/>
  <c r="S21" i="68" s="1"/>
  <c r="Y20" i="68"/>
  <c r="AK47" i="68"/>
  <c r="Y19" i="68"/>
  <c r="AK46" i="68"/>
  <c r="Y18" i="68"/>
  <c r="AK45" i="68"/>
  <c r="Y17" i="68"/>
  <c r="AK44" i="68"/>
  <c r="Y16" i="68"/>
  <c r="AK43" i="68"/>
  <c r="AQ43" i="68" s="1"/>
  <c r="S16" i="68" s="1"/>
  <c r="Y15" i="68"/>
  <c r="AK42" i="68"/>
  <c r="Y14" i="68"/>
  <c r="AK41" i="68"/>
  <c r="Y13" i="68"/>
  <c r="AK40" i="68"/>
  <c r="Y12" i="68"/>
  <c r="AK39" i="68"/>
  <c r="AQ39" i="68" s="1"/>
  <c r="S12" i="68" s="1"/>
  <c r="AK38" i="68"/>
  <c r="X31" i="68"/>
  <c r="X30" i="68"/>
  <c r="O30" i="68"/>
  <c r="M30" i="68"/>
  <c r="L30" i="68"/>
  <c r="X29" i="68"/>
  <c r="X28" i="68"/>
  <c r="X27" i="68"/>
  <c r="X26" i="68"/>
  <c r="X25" i="68"/>
  <c r="X24" i="68"/>
  <c r="X23" i="68"/>
  <c r="X22" i="68"/>
  <c r="X21" i="68"/>
  <c r="X20" i="68"/>
  <c r="X19" i="68"/>
  <c r="X18" i="68"/>
  <c r="X17" i="68"/>
  <c r="X16" i="68"/>
  <c r="X15" i="68"/>
  <c r="X14" i="68"/>
  <c r="X13" i="68"/>
  <c r="X12" i="68"/>
  <c r="X11" i="68"/>
  <c r="V47" i="92" l="1" a="1"/>
  <c r="V47" i="92" s="1"/>
  <c r="Y231" i="83" s="1"/>
  <c r="W47" i="92" a="1"/>
  <c r="W47" i="92" s="1"/>
  <c r="Z231" i="83" s="1"/>
  <c r="X47" i="92" a="1"/>
  <c r="X47" i="92" s="1"/>
  <c r="AC230" i="83" s="1"/>
  <c r="H44" i="92"/>
  <c r="H46" i="92"/>
  <c r="N44" i="92"/>
  <c r="N46" i="92"/>
  <c r="E43" i="92"/>
  <c r="E45" i="92"/>
  <c r="L44" i="92"/>
  <c r="L46" i="92"/>
  <c r="O42" i="92"/>
  <c r="G43" i="92"/>
  <c r="G45" i="92"/>
  <c r="S43" i="92"/>
  <c r="S45" i="92"/>
  <c r="C43" i="92"/>
  <c r="C45" i="92"/>
  <c r="Q43" i="92"/>
  <c r="Q45" i="92"/>
  <c r="I43" i="92"/>
  <c r="I45" i="92"/>
  <c r="P44" i="92"/>
  <c r="P46" i="92"/>
  <c r="D42" i="92"/>
  <c r="T43" i="92"/>
  <c r="T45" i="92"/>
  <c r="H42" i="92"/>
  <c r="H43" i="92"/>
  <c r="H45" i="92"/>
  <c r="O44" i="92"/>
  <c r="O46" i="92"/>
  <c r="D43" i="92"/>
  <c r="D45" i="92"/>
  <c r="F43" i="92"/>
  <c r="F45" i="92"/>
  <c r="G42" i="92"/>
  <c r="L43" i="92"/>
  <c r="L45" i="92"/>
  <c r="J43" i="92"/>
  <c r="J45" i="92"/>
  <c r="K43" i="92"/>
  <c r="K45" i="92"/>
  <c r="M43" i="92"/>
  <c r="M45" i="92"/>
  <c r="G44" i="92"/>
  <c r="G46" i="92"/>
  <c r="J44" i="92"/>
  <c r="J46" i="92"/>
  <c r="P42" i="92"/>
  <c r="O43" i="92"/>
  <c r="O45" i="92"/>
  <c r="N43" i="92"/>
  <c r="N45" i="92"/>
  <c r="R44" i="92"/>
  <c r="R46" i="92"/>
  <c r="Q44" i="92"/>
  <c r="Q46" i="92"/>
  <c r="F44" i="92"/>
  <c r="F46" i="92"/>
  <c r="T42" i="92"/>
  <c r="K44" i="92"/>
  <c r="K46" i="92"/>
  <c r="N42" i="92"/>
  <c r="D44" i="92"/>
  <c r="D46" i="92"/>
  <c r="T44" i="92"/>
  <c r="T46" i="92"/>
  <c r="M44" i="92"/>
  <c r="M46" i="92"/>
  <c r="S44" i="92"/>
  <c r="S46" i="92"/>
  <c r="I44" i="92"/>
  <c r="I46" i="92"/>
  <c r="F42" i="92"/>
  <c r="L42" i="92"/>
  <c r="C44" i="92"/>
  <c r="C46" i="92"/>
  <c r="E44" i="92"/>
  <c r="E46" i="92"/>
  <c r="R43" i="92"/>
  <c r="R45" i="92"/>
  <c r="P43" i="92"/>
  <c r="P45" i="92"/>
  <c r="AP54" i="68"/>
  <c r="AQ54" i="68"/>
  <c r="S27" i="68" s="1"/>
  <c r="T27" i="68" s="1"/>
  <c r="AM42" i="68"/>
  <c r="AQ42" i="68"/>
  <c r="S15" i="68" s="1"/>
  <c r="T15" i="68" s="1"/>
  <c r="AP46" i="68"/>
  <c r="AQ46" i="68"/>
  <c r="S19" i="68" s="1"/>
  <c r="T19" i="68" s="1"/>
  <c r="AM50" i="68"/>
  <c r="AQ50" i="68"/>
  <c r="S23" i="68" s="1"/>
  <c r="T23" i="68" s="1"/>
  <c r="AL38" i="68"/>
  <c r="AQ38" i="68"/>
  <c r="S11" i="68" s="1"/>
  <c r="T11" i="68" s="1"/>
  <c r="AO47" i="68"/>
  <c r="AQ47" i="68"/>
  <c r="S20" i="68" s="1"/>
  <c r="T20" i="68" s="1"/>
  <c r="AO51" i="68"/>
  <c r="AQ51" i="68"/>
  <c r="S24" i="68" s="1"/>
  <c r="T24" i="68" s="1"/>
  <c r="AL55" i="68"/>
  <c r="AQ55" i="68"/>
  <c r="S28" i="68" s="1"/>
  <c r="T28" i="68" s="1"/>
  <c r="AL40" i="68"/>
  <c r="AQ40" i="68"/>
  <c r="S13" i="68" s="1"/>
  <c r="T13" i="68" s="1"/>
  <c r="Z74" i="68" s="1"/>
  <c r="AP44" i="68"/>
  <c r="AQ44" i="68"/>
  <c r="S17" i="68" s="1"/>
  <c r="T17" i="68" s="1"/>
  <c r="AM52" i="68"/>
  <c r="AQ52" i="68"/>
  <c r="S25" i="68" s="1"/>
  <c r="T25" i="68" s="1"/>
  <c r="AL41" i="68"/>
  <c r="AQ41" i="68"/>
  <c r="S14" i="68" s="1"/>
  <c r="T14" i="68" s="1"/>
  <c r="AM45" i="68"/>
  <c r="AQ45" i="68"/>
  <c r="S18" i="68" s="1"/>
  <c r="T18" i="68" s="1"/>
  <c r="AM49" i="68"/>
  <c r="AQ49" i="68"/>
  <c r="S22" i="68" s="1"/>
  <c r="T22" i="68" s="1"/>
  <c r="AL53" i="68"/>
  <c r="AQ53" i="68"/>
  <c r="S26" i="68" s="1"/>
  <c r="T26" i="68" s="1"/>
  <c r="AM58" i="68"/>
  <c r="AQ58" i="68"/>
  <c r="S31" i="68" s="1"/>
  <c r="T120" i="68"/>
  <c r="T116" i="68"/>
  <c r="Z177" i="68" s="1"/>
  <c r="T124" i="68"/>
  <c r="T21" i="68"/>
  <c r="T117" i="68"/>
  <c r="Z178" i="68" s="1"/>
  <c r="T125" i="68"/>
  <c r="T118" i="68"/>
  <c r="T126" i="68"/>
  <c r="T121" i="68"/>
  <c r="Z189" i="68"/>
  <c r="T122" i="68"/>
  <c r="T115" i="68"/>
  <c r="T12" i="68"/>
  <c r="T119" i="68"/>
  <c r="T16" i="68"/>
  <c r="T123" i="68"/>
  <c r="T29" i="68"/>
  <c r="T114" i="68"/>
  <c r="AP55" i="68"/>
  <c r="AN38" i="68"/>
  <c r="AL46" i="68"/>
  <c r="AL49" i="68"/>
  <c r="AM41" i="68"/>
  <c r="AL45" i="68"/>
  <c r="AN46" i="68"/>
  <c r="AP38" i="68"/>
  <c r="Y30" i="68"/>
  <c r="AN47" i="68"/>
  <c r="AP45" i="68"/>
  <c r="AP49" i="68"/>
  <c r="AL51" i="68"/>
  <c r="AL52" i="68"/>
  <c r="AM54" i="68"/>
  <c r="AP41" i="68"/>
  <c r="AL54" i="68"/>
  <c r="AP53" i="68"/>
  <c r="AO53" i="68"/>
  <c r="AQ30" i="68"/>
  <c r="AR30" i="68"/>
  <c r="AL30" i="68"/>
  <c r="W48" i="76"/>
  <c r="P30" i="68"/>
  <c r="AT30" i="68"/>
  <c r="AF315" i="69"/>
  <c r="AG315" i="69"/>
  <c r="AD315" i="69"/>
  <c r="AH315" i="69"/>
  <c r="AE315" i="69"/>
  <c r="AG320" i="69"/>
  <c r="AH320" i="69"/>
  <c r="AE320" i="69"/>
  <c r="AF320" i="69"/>
  <c r="AD320" i="69"/>
  <c r="AH314" i="69"/>
  <c r="AG314" i="69"/>
  <c r="AF314" i="69"/>
  <c r="AD314" i="69"/>
  <c r="AE314" i="69"/>
  <c r="AF318" i="69"/>
  <c r="AE318" i="69"/>
  <c r="AG318" i="69"/>
  <c r="AD318" i="69"/>
  <c r="AH318" i="69"/>
  <c r="AH307" i="69"/>
  <c r="AG307" i="69"/>
  <c r="AF307" i="69"/>
  <c r="AD307" i="69"/>
  <c r="AE307" i="69"/>
  <c r="AF310" i="69"/>
  <c r="AG310" i="69"/>
  <c r="AH310" i="69"/>
  <c r="AD310" i="69"/>
  <c r="AE310" i="69"/>
  <c r="AE321" i="69"/>
  <c r="AH321" i="69"/>
  <c r="AG321" i="69"/>
  <c r="AD321" i="69"/>
  <c r="AF321" i="69"/>
  <c r="AF324" i="69"/>
  <c r="AD324" i="69"/>
  <c r="AE324" i="69"/>
  <c r="AG324" i="69"/>
  <c r="AH324" i="69"/>
  <c r="AF313" i="69"/>
  <c r="AH313" i="69"/>
  <c r="AD313" i="69"/>
  <c r="AE313" i="69"/>
  <c r="AG313" i="69"/>
  <c r="AH309" i="69"/>
  <c r="AE309" i="69"/>
  <c r="AG309" i="69"/>
  <c r="AF309" i="69"/>
  <c r="AD309" i="69"/>
  <c r="AG312" i="69"/>
  <c r="AE312" i="69"/>
  <c r="AD312" i="69"/>
  <c r="AH312" i="69"/>
  <c r="AF312" i="69"/>
  <c r="AG323" i="69"/>
  <c r="AE323" i="69"/>
  <c r="AD323" i="69"/>
  <c r="AH323" i="69"/>
  <c r="AF323" i="69"/>
  <c r="AD319" i="69"/>
  <c r="AE319" i="69"/>
  <c r="AF319" i="69"/>
  <c r="AH319" i="69"/>
  <c r="AG319" i="69"/>
  <c r="AE316" i="69"/>
  <c r="AD316" i="69"/>
  <c r="AF316" i="69"/>
  <c r="AG316" i="69"/>
  <c r="AH316" i="69"/>
  <c r="AF322" i="69"/>
  <c r="AE322" i="69"/>
  <c r="AG322" i="69"/>
  <c r="AD322" i="69"/>
  <c r="AH322" i="69"/>
  <c r="AE308" i="69"/>
  <c r="AG308" i="69"/>
  <c r="AD308" i="69"/>
  <c r="AH308" i="69"/>
  <c r="AF308" i="69"/>
  <c r="AD311" i="69"/>
  <c r="AF311" i="69"/>
  <c r="AH311" i="69"/>
  <c r="AG311" i="69"/>
  <c r="AE311" i="69"/>
  <c r="AE317" i="69"/>
  <c r="AH317" i="69"/>
  <c r="AD317" i="69"/>
  <c r="AF317" i="69"/>
  <c r="AG317" i="69"/>
  <c r="AN55" i="68"/>
  <c r="AM38" i="68"/>
  <c r="AL42" i="68"/>
  <c r="AP42" i="68"/>
  <c r="AL50" i="68"/>
  <c r="AP50" i="68"/>
  <c r="AL58" i="68"/>
  <c r="AP58" i="68"/>
  <c r="AO40" i="68"/>
  <c r="AN42" i="68"/>
  <c r="AM46" i="68"/>
  <c r="AN50" i="68"/>
  <c r="AM55" i="68"/>
  <c r="Y76" i="68"/>
  <c r="Y80" i="68"/>
  <c r="Y84" i="68"/>
  <c r="Y89" i="68"/>
  <c r="Z73" i="68"/>
  <c r="Z77" i="68"/>
  <c r="Z81" i="68"/>
  <c r="Z90" i="68"/>
  <c r="Y72" i="68"/>
  <c r="Y77" i="68"/>
  <c r="Y90" i="68"/>
  <c r="Z85" i="68"/>
  <c r="Y74" i="68"/>
  <c r="Y78" i="68"/>
  <c r="Y82" i="68"/>
  <c r="Y85" i="68"/>
  <c r="Y87" i="68"/>
  <c r="Y91" i="68"/>
  <c r="Z75" i="68"/>
  <c r="Z83" i="68"/>
  <c r="Z86" i="68"/>
  <c r="Z88" i="68"/>
  <c r="Z92" i="68"/>
  <c r="Y75" i="68"/>
  <c r="Y79" i="68"/>
  <c r="Y83" i="68"/>
  <c r="Y86" i="68"/>
  <c r="Y88" i="68"/>
  <c r="Y92" i="68"/>
  <c r="Z76" i="68"/>
  <c r="Z80" i="68"/>
  <c r="Z84" i="68"/>
  <c r="Z72" i="68"/>
  <c r="Y73" i="68"/>
  <c r="Y81" i="68"/>
  <c r="Z82" i="68"/>
  <c r="Z91" i="68"/>
  <c r="Z4" i="68"/>
  <c r="AM59" i="68"/>
  <c r="AP51" i="68"/>
  <c r="AM57" i="68"/>
  <c r="AN57" i="68"/>
  <c r="AP52" i="68"/>
  <c r="Z78" i="68"/>
  <c r="Z87" i="68"/>
  <c r="AM43" i="68"/>
  <c r="AP43" i="68"/>
  <c r="AL43" i="68"/>
  <c r="AN48" i="68"/>
  <c r="AM48" i="68"/>
  <c r="AM56" i="68"/>
  <c r="AP56" i="68"/>
  <c r="AL56" i="68"/>
  <c r="AM39" i="68"/>
  <c r="AP39" i="68"/>
  <c r="AL39" i="68"/>
  <c r="AP40" i="68"/>
  <c r="AN43" i="68"/>
  <c r="AN44" i="68"/>
  <c r="AM44" i="68"/>
  <c r="AL48" i="68"/>
  <c r="AN56" i="68"/>
  <c r="AP59" i="68"/>
  <c r="AN39" i="68"/>
  <c r="AN40" i="68"/>
  <c r="AM40" i="68"/>
  <c r="AO43" i="68"/>
  <c r="AL44" i="68"/>
  <c r="AO48" i="68"/>
  <c r="AN53" i="68"/>
  <c r="AM53" i="68"/>
  <c r="AO56" i="68"/>
  <c r="N30" i="68"/>
  <c r="AN30" i="68" s="1"/>
  <c r="AO59" i="68"/>
  <c r="AN59" i="68"/>
  <c r="K30" i="68"/>
  <c r="AK30" i="68" s="1"/>
  <c r="AO39" i="68"/>
  <c r="AO44" i="68"/>
  <c r="AM47" i="68"/>
  <c r="AP47" i="68"/>
  <c r="AL47" i="68"/>
  <c r="AP48" i="68"/>
  <c r="AN51" i="68"/>
  <c r="AM51" i="68"/>
  <c r="AL59" i="68"/>
  <c r="AO38" i="68"/>
  <c r="AN41" i="68"/>
  <c r="AO42" i="68"/>
  <c r="AN45" i="68"/>
  <c r="AO46" i="68"/>
  <c r="AN49" i="68"/>
  <c r="AO50" i="68"/>
  <c r="AN52" i="68"/>
  <c r="AN54" i="68"/>
  <c r="AO55" i="68"/>
  <c r="AN58" i="68"/>
  <c r="AO41" i="68"/>
  <c r="AO45" i="68"/>
  <c r="AO49" i="68"/>
  <c r="AO52" i="68"/>
  <c r="AO54" i="68"/>
  <c r="AO58" i="68"/>
  <c r="X43" i="92" l="1" a="1"/>
  <c r="X43" i="92" s="1"/>
  <c r="V43" i="92" a="1"/>
  <c r="V43" i="92" s="1"/>
  <c r="W42" i="92" a="1"/>
  <c r="W42" i="92" s="1"/>
  <c r="W44" i="92" a="1"/>
  <c r="W44" i="92" s="1"/>
  <c r="W43" i="92" a="1"/>
  <c r="W43" i="92" s="1"/>
  <c r="X42" i="92" a="1"/>
  <c r="X42" i="92" s="1"/>
  <c r="V42" i="92" a="1"/>
  <c r="V42" i="92" s="1"/>
  <c r="X45" i="92" a="1"/>
  <c r="X45" i="92" s="1"/>
  <c r="AC38" i="83" s="1"/>
  <c r="AC39" i="83" s="1"/>
  <c r="W45" i="92" a="1"/>
  <c r="W45" i="92" s="1"/>
  <c r="Z39" i="83" s="1"/>
  <c r="V44" i="92" a="1"/>
  <c r="V44" i="92" s="1"/>
  <c r="X44" i="92" a="1"/>
  <c r="X44" i="92" s="1"/>
  <c r="X46" i="92" a="1"/>
  <c r="X46" i="92" s="1"/>
  <c r="V45" i="92" a="1"/>
  <c r="V45" i="92" s="1"/>
  <c r="Y39" i="83" s="1"/>
  <c r="W46" i="92" a="1"/>
  <c r="W46" i="92" s="1"/>
  <c r="V46" i="92" a="1"/>
  <c r="V46" i="92" s="1"/>
  <c r="Z192" i="68"/>
  <c r="L165" i="68"/>
  <c r="AK160" i="68"/>
  <c r="AQ160" i="68" s="1"/>
  <c r="Z79" i="68"/>
  <c r="AL57" i="68"/>
  <c r="AM30" i="68"/>
  <c r="AO30" i="68" s="1"/>
  <c r="I30" i="68" s="1"/>
  <c r="AK59" i="68"/>
  <c r="L62" i="68"/>
  <c r="Z89" i="68"/>
  <c r="AO57" i="68"/>
  <c r="AS30" i="68"/>
  <c r="AP57" i="68"/>
  <c r="Z205" i="67"/>
  <c r="AF205" i="67" s="1"/>
  <c r="AA205" i="67"/>
  <c r="AG205" i="67" s="1"/>
  <c r="AB205" i="67"/>
  <c r="AH205" i="67" s="1"/>
  <c r="AC205" i="67"/>
  <c r="AI205" i="67" s="1"/>
  <c r="Y205" i="67"/>
  <c r="AE205" i="67" s="1"/>
  <c r="Z242" i="67"/>
  <c r="AF242" i="67" s="1"/>
  <c r="AA242" i="67"/>
  <c r="AG242" i="67" s="1"/>
  <c r="AB242" i="67"/>
  <c r="AH242" i="67" s="1"/>
  <c r="AC242" i="67"/>
  <c r="AI242" i="67" s="1"/>
  <c r="Z176" i="67"/>
  <c r="AF176" i="67" s="1"/>
  <c r="AA176" i="67"/>
  <c r="AG176" i="67" s="1"/>
  <c r="AB176" i="67"/>
  <c r="AH176" i="67" s="1"/>
  <c r="AC176" i="67"/>
  <c r="AI176" i="67" s="1"/>
  <c r="AB38" i="83" l="1"/>
  <c r="X39" i="83"/>
  <c r="AB39" i="83"/>
  <c r="AU30" i="68"/>
  <c r="AV30" i="68"/>
  <c r="B263" i="67"/>
  <c r="B262" i="67"/>
  <c r="B261" i="67"/>
  <c r="A261" i="67" s="1"/>
  <c r="B260" i="67"/>
  <c r="A260" i="67" s="1"/>
  <c r="B259" i="67"/>
  <c r="A259" i="67" s="1"/>
  <c r="B258" i="67"/>
  <c r="A258" i="67" s="1"/>
  <c r="B257" i="67"/>
  <c r="A257" i="67" s="1"/>
  <c r="B256" i="67"/>
  <c r="A256" i="67" s="1"/>
  <c r="B255" i="67"/>
  <c r="A255" i="67" s="1"/>
  <c r="B254" i="67"/>
  <c r="A254" i="67" s="1"/>
  <c r="B253" i="67"/>
  <c r="A253" i="67" s="1"/>
  <c r="B252" i="67"/>
  <c r="A252" i="67" s="1"/>
  <c r="B251" i="67"/>
  <c r="A251" i="67" s="1"/>
  <c r="B250" i="67"/>
  <c r="A250" i="67" s="1"/>
  <c r="B249" i="67"/>
  <c r="A249" i="67" s="1"/>
  <c r="B248" i="67"/>
  <c r="A248" i="67" s="1"/>
  <c r="B247" i="67"/>
  <c r="A247" i="67" s="1"/>
  <c r="B246" i="67"/>
  <c r="A246" i="67" s="1"/>
  <c r="B245" i="67"/>
  <c r="A245" i="67" s="1"/>
  <c r="B244" i="67"/>
  <c r="A244" i="67" s="1"/>
  <c r="B243" i="67"/>
  <c r="B177" i="67" s="1"/>
  <c r="B230" i="67"/>
  <c r="B229" i="67"/>
  <c r="B228" i="67"/>
  <c r="B162" i="67" s="1"/>
  <c r="B227" i="67"/>
  <c r="B161" i="67" s="1"/>
  <c r="B226" i="67"/>
  <c r="B160" i="67" s="1"/>
  <c r="B225" i="67"/>
  <c r="B159" i="67" s="1"/>
  <c r="B158" i="67"/>
  <c r="B224" i="67"/>
  <c r="B157" i="67" s="1"/>
  <c r="B223" i="67"/>
  <c r="B156" i="67" s="1"/>
  <c r="B155" i="67"/>
  <c r="B222" i="67"/>
  <c r="B154" i="67" s="1"/>
  <c r="B221" i="67"/>
  <c r="B153" i="67" s="1"/>
  <c r="B220" i="67"/>
  <c r="B152" i="67" s="1"/>
  <c r="B219" i="67"/>
  <c r="B151" i="67" s="1"/>
  <c r="B218" i="67"/>
  <c r="B150" i="67" s="1"/>
  <c r="B217" i="67"/>
  <c r="B149" i="67" s="1"/>
  <c r="B216" i="67"/>
  <c r="B148" i="67" s="1"/>
  <c r="B215" i="67"/>
  <c r="B147" i="67" s="1"/>
  <c r="B214" i="67"/>
  <c r="B146" i="67" s="1"/>
  <c r="B213" i="67"/>
  <c r="B145" i="67" s="1"/>
  <c r="B212" i="67"/>
  <c r="B144" i="67" s="1"/>
  <c r="B211" i="67"/>
  <c r="B143" i="67" s="1"/>
  <c r="B210" i="67"/>
  <c r="X92" i="67"/>
  <c r="X91" i="67"/>
  <c r="X90" i="67"/>
  <c r="X89" i="67"/>
  <c r="X88" i="67"/>
  <c r="X87" i="67"/>
  <c r="X86" i="67"/>
  <c r="X85" i="67"/>
  <c r="X84" i="67"/>
  <c r="X83" i="67"/>
  <c r="X82" i="67"/>
  <c r="X81" i="67"/>
  <c r="X80" i="67"/>
  <c r="X79" i="67"/>
  <c r="X78" i="67"/>
  <c r="X77" i="67"/>
  <c r="X76" i="67"/>
  <c r="X75" i="67"/>
  <c r="X74" i="67"/>
  <c r="X73" i="67"/>
  <c r="X72" i="67"/>
  <c r="X41" i="67"/>
  <c r="Z31" i="67"/>
  <c r="Y31" i="67"/>
  <c r="AK58" i="67"/>
  <c r="AQ58" i="67" s="1"/>
  <c r="S31" i="67" s="1"/>
  <c r="AK57" i="67"/>
  <c r="AK56" i="67"/>
  <c r="AQ56" i="67" s="1"/>
  <c r="S29" i="67" s="1"/>
  <c r="T29" i="67" s="1"/>
  <c r="AK55" i="67"/>
  <c r="AQ55" i="67" s="1"/>
  <c r="S28" i="67" s="1"/>
  <c r="AK54" i="67"/>
  <c r="AQ54" i="67" s="1"/>
  <c r="S27" i="67" s="1"/>
  <c r="T27" i="67" s="1"/>
  <c r="AK53" i="67"/>
  <c r="AQ53" i="67" s="1"/>
  <c r="S26" i="67" s="1"/>
  <c r="AK52" i="67"/>
  <c r="AQ52" i="67" s="1"/>
  <c r="S25" i="67" s="1"/>
  <c r="AK51" i="67"/>
  <c r="AQ51" i="67" s="1"/>
  <c r="S24" i="67" s="1"/>
  <c r="AK50" i="67"/>
  <c r="AK49" i="67"/>
  <c r="AQ49" i="67" s="1"/>
  <c r="S22" i="67" s="1"/>
  <c r="AK48" i="67"/>
  <c r="AQ48" i="67" s="1"/>
  <c r="S21" i="67" s="1"/>
  <c r="T21" i="67" s="1"/>
  <c r="AK47" i="67"/>
  <c r="AQ47" i="67" s="1"/>
  <c r="S20" i="67" s="1"/>
  <c r="AK46" i="67"/>
  <c r="AQ46" i="67" s="1"/>
  <c r="S19" i="67" s="1"/>
  <c r="T19" i="67" s="1"/>
  <c r="AK45" i="67"/>
  <c r="AQ45" i="67" s="1"/>
  <c r="S18" i="67" s="1"/>
  <c r="T18" i="67" s="1"/>
  <c r="AK44" i="67"/>
  <c r="AQ44" i="67" s="1"/>
  <c r="S17" i="67" s="1"/>
  <c r="T17" i="67" s="1"/>
  <c r="AK43" i="67"/>
  <c r="AQ43" i="67" s="1"/>
  <c r="S16" i="67" s="1"/>
  <c r="T16" i="67" s="1"/>
  <c r="AK42" i="67"/>
  <c r="AQ42" i="67" s="1"/>
  <c r="S15" i="67" s="1"/>
  <c r="T15" i="67" s="1"/>
  <c r="AK41" i="67"/>
  <c r="AQ41" i="67" s="1"/>
  <c r="S14" i="67" s="1"/>
  <c r="T14" i="67" s="1"/>
  <c r="AK40" i="67"/>
  <c r="AQ40" i="67" s="1"/>
  <c r="S13" i="67" s="1"/>
  <c r="T13" i="67" s="1"/>
  <c r="AK39" i="67"/>
  <c r="AQ39" i="67" s="1"/>
  <c r="S12" i="67" s="1"/>
  <c r="T12" i="67" s="1"/>
  <c r="AK38" i="67"/>
  <c r="X31" i="67"/>
  <c r="L30" i="67"/>
  <c r="X30" i="67"/>
  <c r="N30" i="67"/>
  <c r="X29" i="67"/>
  <c r="X28" i="67"/>
  <c r="X27" i="67"/>
  <c r="X26" i="67"/>
  <c r="X25" i="67"/>
  <c r="X24" i="67"/>
  <c r="X23" i="67"/>
  <c r="X22" i="67"/>
  <c r="X21" i="67"/>
  <c r="X20" i="67"/>
  <c r="T20" i="67"/>
  <c r="X19" i="67"/>
  <c r="X18" i="67"/>
  <c r="X17" i="67"/>
  <c r="X16" i="67"/>
  <c r="X15" i="67"/>
  <c r="X14" i="67"/>
  <c r="X13" i="67"/>
  <c r="X12" i="67"/>
  <c r="X11" i="67"/>
  <c r="B110" i="66"/>
  <c r="A110" i="66" s="1"/>
  <c r="B111" i="66"/>
  <c r="A111" i="66" s="1"/>
  <c r="B112" i="66"/>
  <c r="A112" i="66" s="1"/>
  <c r="B113" i="66"/>
  <c r="A113" i="66" s="1"/>
  <c r="B114" i="66"/>
  <c r="A114" i="66" s="1"/>
  <c r="B115" i="66"/>
  <c r="A115" i="66" s="1"/>
  <c r="B116" i="66"/>
  <c r="A116" i="66" s="1"/>
  <c r="B117" i="66"/>
  <c r="A117" i="66" s="1"/>
  <c r="B118" i="66"/>
  <c r="A118" i="66" s="1"/>
  <c r="B119" i="66"/>
  <c r="A119" i="66" s="1"/>
  <c r="B120" i="66"/>
  <c r="A120" i="66" s="1"/>
  <c r="B121" i="66"/>
  <c r="A121" i="66" s="1"/>
  <c r="B122" i="66"/>
  <c r="A122" i="66" s="1"/>
  <c r="B123" i="66"/>
  <c r="A123" i="66" s="1"/>
  <c r="B124" i="66"/>
  <c r="A124" i="66" s="1"/>
  <c r="B125" i="66"/>
  <c r="A125" i="66" s="1"/>
  <c r="B126" i="66"/>
  <c r="A126" i="66" s="1"/>
  <c r="B127" i="66"/>
  <c r="A127" i="66" s="1"/>
  <c r="B128" i="66"/>
  <c r="B129" i="66"/>
  <c r="B109" i="66"/>
  <c r="D41" i="76" s="1"/>
  <c r="B162" i="66"/>
  <c r="B161" i="66"/>
  <c r="X162" i="66"/>
  <c r="B160" i="66"/>
  <c r="A161" i="66" s="1"/>
  <c r="X161" i="66"/>
  <c r="B159" i="66"/>
  <c r="A160" i="66" s="1"/>
  <c r="X160" i="66"/>
  <c r="B158" i="66"/>
  <c r="A159" i="66" s="1"/>
  <c r="X159" i="66"/>
  <c r="B157" i="66"/>
  <c r="A158" i="66" s="1"/>
  <c r="X158" i="66"/>
  <c r="A157" i="66"/>
  <c r="X157" i="66"/>
  <c r="B156" i="66"/>
  <c r="A156" i="66" s="1"/>
  <c r="B155" i="66"/>
  <c r="A155" i="66" s="1"/>
  <c r="X156" i="66"/>
  <c r="X155" i="66"/>
  <c r="B154" i="66"/>
  <c r="A154" i="66" s="1"/>
  <c r="B153" i="66"/>
  <c r="A153" i="66" s="1"/>
  <c r="X154" i="66"/>
  <c r="B152" i="66"/>
  <c r="A152" i="66" s="1"/>
  <c r="X153" i="66"/>
  <c r="B151" i="66"/>
  <c r="A151" i="66" s="1"/>
  <c r="X152" i="66"/>
  <c r="B150" i="66"/>
  <c r="A150" i="66" s="1"/>
  <c r="X151" i="66"/>
  <c r="B149" i="66"/>
  <c r="A149" i="66" s="1"/>
  <c r="X150" i="66"/>
  <c r="B148" i="66"/>
  <c r="A148" i="66" s="1"/>
  <c r="X149" i="66"/>
  <c r="B147" i="66"/>
  <c r="A147" i="66" s="1"/>
  <c r="X148" i="66"/>
  <c r="B146" i="66"/>
  <c r="A146" i="66" s="1"/>
  <c r="X147" i="66"/>
  <c r="B145" i="66"/>
  <c r="A145" i="66" s="1"/>
  <c r="X146" i="66"/>
  <c r="B144" i="66"/>
  <c r="A144" i="66" s="1"/>
  <c r="X145" i="66"/>
  <c r="B143" i="66"/>
  <c r="A143" i="66" s="1"/>
  <c r="X144" i="66"/>
  <c r="B142" i="66"/>
  <c r="X143" i="66"/>
  <c r="X142" i="66"/>
  <c r="AC141" i="66"/>
  <c r="AB141" i="66"/>
  <c r="AA141" i="66"/>
  <c r="Z141" i="66"/>
  <c r="Y141" i="66"/>
  <c r="X94" i="66"/>
  <c r="X93" i="66"/>
  <c r="X92" i="66"/>
  <c r="X91" i="66"/>
  <c r="X90" i="66"/>
  <c r="X89" i="66"/>
  <c r="X88" i="66"/>
  <c r="X87" i="66"/>
  <c r="X86" i="66"/>
  <c r="X85" i="66"/>
  <c r="X84" i="66"/>
  <c r="X83" i="66"/>
  <c r="X82" i="66"/>
  <c r="X81" i="66"/>
  <c r="X80" i="66"/>
  <c r="X79" i="66"/>
  <c r="X78" i="66"/>
  <c r="X77" i="66"/>
  <c r="X76" i="66"/>
  <c r="X75" i="66"/>
  <c r="X74" i="66"/>
  <c r="X41" i="66"/>
  <c r="Z31" i="66"/>
  <c r="Y31" i="66"/>
  <c r="AK58" i="66"/>
  <c r="AQ58" i="66" s="1"/>
  <c r="S31" i="66" s="1"/>
  <c r="AK57" i="66"/>
  <c r="AK56" i="66"/>
  <c r="AQ56" i="66" s="1"/>
  <c r="S29" i="66" s="1"/>
  <c r="T29" i="66" s="1"/>
  <c r="AK55" i="66"/>
  <c r="AQ55" i="66" s="1"/>
  <c r="S28" i="66" s="1"/>
  <c r="T28" i="66" s="1"/>
  <c r="AK54" i="66"/>
  <c r="AK53" i="66"/>
  <c r="AQ53" i="66" s="1"/>
  <c r="S26" i="66" s="1"/>
  <c r="T26" i="66" s="1"/>
  <c r="AK52" i="66"/>
  <c r="AQ52" i="66" s="1"/>
  <c r="S25" i="66" s="1"/>
  <c r="AK51" i="66"/>
  <c r="AQ51" i="66" s="1"/>
  <c r="S24" i="66" s="1"/>
  <c r="T24" i="66" s="1"/>
  <c r="AK50" i="66"/>
  <c r="AK49" i="66"/>
  <c r="AK48" i="66"/>
  <c r="AK47" i="66"/>
  <c r="AK46" i="66"/>
  <c r="AQ46" i="66" s="1"/>
  <c r="S19" i="66" s="1"/>
  <c r="T19" i="66" s="1"/>
  <c r="AK45" i="66"/>
  <c r="AQ45" i="66" s="1"/>
  <c r="S18" i="66" s="1"/>
  <c r="T18" i="66" s="1"/>
  <c r="AK44" i="66"/>
  <c r="AK43" i="66"/>
  <c r="AK42" i="66"/>
  <c r="AQ42" i="66" s="1"/>
  <c r="S15" i="66" s="1"/>
  <c r="T15" i="66" s="1"/>
  <c r="AK41" i="66"/>
  <c r="AK40" i="66"/>
  <c r="AK39" i="66"/>
  <c r="AK38" i="66"/>
  <c r="AQ38" i="66" s="1"/>
  <c r="S11" i="66" s="1"/>
  <c r="AV37" i="66"/>
  <c r="BA37" i="66" s="1"/>
  <c r="AU37" i="66"/>
  <c r="AZ37" i="66" s="1"/>
  <c r="AT37" i="66"/>
  <c r="AY37" i="66" s="1"/>
  <c r="AS37" i="66"/>
  <c r="AX37" i="66" s="1"/>
  <c r="AR37" i="66"/>
  <c r="AW37" i="66" s="1"/>
  <c r="AP37" i="66"/>
  <c r="AO37" i="66"/>
  <c r="AN37" i="66"/>
  <c r="AM37" i="66"/>
  <c r="AL37" i="66"/>
  <c r="X31" i="66"/>
  <c r="X30" i="66"/>
  <c r="X29" i="66"/>
  <c r="X28" i="66"/>
  <c r="X27" i="66"/>
  <c r="X26" i="66"/>
  <c r="X25" i="66"/>
  <c r="T25" i="66"/>
  <c r="X24" i="66"/>
  <c r="X23" i="66"/>
  <c r="X22" i="66"/>
  <c r="X21" i="66"/>
  <c r="X20" i="66"/>
  <c r="X19" i="66"/>
  <c r="X18" i="66"/>
  <c r="X17" i="66"/>
  <c r="X16" i="66"/>
  <c r="X15" i="66"/>
  <c r="X14" i="66"/>
  <c r="X13" i="66"/>
  <c r="X12" i="66"/>
  <c r="X11" i="66"/>
  <c r="B26" i="92" l="1"/>
  <c r="B28" i="92"/>
  <c r="BQ38" i="67"/>
  <c r="AQ38" i="67"/>
  <c r="S11" i="67" s="1"/>
  <c r="AM50" i="67"/>
  <c r="AQ50" i="67"/>
  <c r="S23" i="67" s="1"/>
  <c r="T23" i="67" s="1"/>
  <c r="AN40" i="66"/>
  <c r="AQ40" i="66"/>
  <c r="S13" i="66" s="1"/>
  <c r="T13" i="66" s="1"/>
  <c r="Z76" i="66" s="1"/>
  <c r="AL48" i="66"/>
  <c r="AQ48" i="66"/>
  <c r="S21" i="66" s="1"/>
  <c r="T21" i="66" s="1"/>
  <c r="AM41" i="66"/>
  <c r="AQ41" i="66"/>
  <c r="S14" i="66" s="1"/>
  <c r="T14" i="66" s="1"/>
  <c r="AP49" i="66"/>
  <c r="AQ49" i="66"/>
  <c r="S22" i="66" s="1"/>
  <c r="T22" i="66" s="1"/>
  <c r="AM47" i="66"/>
  <c r="AQ47" i="66"/>
  <c r="S20" i="66" s="1"/>
  <c r="T20" i="66" s="1"/>
  <c r="AL50" i="66"/>
  <c r="AQ50" i="66"/>
  <c r="S23" i="66" s="1"/>
  <c r="T23" i="66" s="1"/>
  <c r="AN43" i="66"/>
  <c r="AQ43" i="66"/>
  <c r="S16" i="66" s="1"/>
  <c r="T16" i="66" s="1"/>
  <c r="AN44" i="66"/>
  <c r="AQ44" i="66"/>
  <c r="S17" i="66" s="1"/>
  <c r="T17" i="66" s="1"/>
  <c r="AM39" i="66"/>
  <c r="AQ39" i="66"/>
  <c r="S12" i="66" s="1"/>
  <c r="T12" i="66" s="1"/>
  <c r="AM54" i="66"/>
  <c r="AQ54" i="66"/>
  <c r="S27" i="66" s="1"/>
  <c r="T27" i="66" s="1"/>
  <c r="AL40" i="66"/>
  <c r="AN39" i="66"/>
  <c r="AW30" i="68"/>
  <c r="AM54" i="67"/>
  <c r="X144" i="67"/>
  <c r="AD144" i="67" s="1"/>
  <c r="A144" i="67"/>
  <c r="X152" i="67"/>
  <c r="AD152" i="67" s="1"/>
  <c r="A152" i="67"/>
  <c r="X159" i="67"/>
  <c r="AD159" i="67" s="1"/>
  <c r="A159" i="67"/>
  <c r="X225" i="67"/>
  <c r="AD225" i="67" s="1"/>
  <c r="B163" i="67"/>
  <c r="X163" i="67" s="1"/>
  <c r="AD163" i="67" s="1"/>
  <c r="X145" i="67"/>
  <c r="AD145" i="67" s="1"/>
  <c r="A145" i="67"/>
  <c r="X153" i="67"/>
  <c r="AD153" i="67" s="1"/>
  <c r="A153" i="67"/>
  <c r="X160" i="67"/>
  <c r="AD160" i="67" s="1"/>
  <c r="A160" i="67"/>
  <c r="X226" i="67"/>
  <c r="AD226" i="67" s="1"/>
  <c r="B164" i="67"/>
  <c r="X164" i="67" s="1"/>
  <c r="AD164" i="67" s="1"/>
  <c r="AN43" i="67"/>
  <c r="AM56" i="67"/>
  <c r="D46" i="76"/>
  <c r="B142" i="67"/>
  <c r="X146" i="67"/>
  <c r="AD146" i="67" s="1"/>
  <c r="A146" i="67"/>
  <c r="X150" i="67"/>
  <c r="AD150" i="67" s="1"/>
  <c r="A150" i="67"/>
  <c r="X154" i="67"/>
  <c r="AD154" i="67" s="1"/>
  <c r="A154" i="67"/>
  <c r="X158" i="67"/>
  <c r="AD158" i="67" s="1"/>
  <c r="A158" i="67"/>
  <c r="X161" i="67"/>
  <c r="AD161" i="67" s="1"/>
  <c r="A161" i="67"/>
  <c r="X148" i="67"/>
  <c r="AD148" i="67" s="1"/>
  <c r="A148" i="67"/>
  <c r="X156" i="67"/>
  <c r="AD156" i="67" s="1"/>
  <c r="A156" i="67"/>
  <c r="AN40" i="67"/>
  <c r="AN44" i="67"/>
  <c r="AM53" i="67"/>
  <c r="X149" i="67"/>
  <c r="AD149" i="67" s="1"/>
  <c r="A149" i="67"/>
  <c r="X157" i="67"/>
  <c r="AD157" i="67" s="1"/>
  <c r="A157" i="67"/>
  <c r="BB38" i="67"/>
  <c r="X143" i="67"/>
  <c r="AD143" i="67" s="1"/>
  <c r="A143" i="67"/>
  <c r="X147" i="67"/>
  <c r="AD147" i="67" s="1"/>
  <c r="A147" i="67"/>
  <c r="X151" i="67"/>
  <c r="AD151" i="67" s="1"/>
  <c r="A151" i="67"/>
  <c r="X155" i="67"/>
  <c r="AD155" i="67" s="1"/>
  <c r="A155" i="67"/>
  <c r="X162" i="67"/>
  <c r="AD162" i="67" s="1"/>
  <c r="A162" i="67"/>
  <c r="AP38" i="66"/>
  <c r="AO38" i="66"/>
  <c r="AL38" i="66"/>
  <c r="T11" i="66"/>
  <c r="T42" i="76"/>
  <c r="R27" i="92" s="1"/>
  <c r="Q42" i="76"/>
  <c r="O27" i="92" s="1"/>
  <c r="T41" i="76"/>
  <c r="AN42" i="66"/>
  <c r="AM49" i="66"/>
  <c r="D42" i="76"/>
  <c r="B27" i="92" s="1"/>
  <c r="H42" i="76"/>
  <c r="F27" i="92" s="1"/>
  <c r="L42" i="76"/>
  <c r="J27" i="92" s="1"/>
  <c r="P42" i="76"/>
  <c r="N27" i="92" s="1"/>
  <c r="U42" i="76"/>
  <c r="S27" i="92" s="1"/>
  <c r="V41" i="76"/>
  <c r="M41" i="76"/>
  <c r="I41" i="76"/>
  <c r="E41" i="76"/>
  <c r="G42" i="76"/>
  <c r="E27" i="92" s="1"/>
  <c r="K42" i="76"/>
  <c r="I27" i="92" s="1"/>
  <c r="O42" i="76"/>
  <c r="M27" i="92" s="1"/>
  <c r="R42" i="76"/>
  <c r="P27" i="92" s="1"/>
  <c r="U41" i="76"/>
  <c r="P41" i="76"/>
  <c r="L41" i="76"/>
  <c r="H41" i="76"/>
  <c r="AM38" i="66"/>
  <c r="AN50" i="66"/>
  <c r="F42" i="76"/>
  <c r="D27" i="92" s="1"/>
  <c r="J42" i="76"/>
  <c r="H27" i="92" s="1"/>
  <c r="N42" i="76"/>
  <c r="L27" i="92" s="1"/>
  <c r="S42" i="76"/>
  <c r="Q27" i="92" s="1"/>
  <c r="R41" i="76"/>
  <c r="O41" i="76"/>
  <c r="K41" i="76"/>
  <c r="G41" i="76"/>
  <c r="AN46" i="66"/>
  <c r="AL49" i="66"/>
  <c r="AP54" i="66"/>
  <c r="Z91" i="66"/>
  <c r="A142" i="66"/>
  <c r="X42" i="76"/>
  <c r="E42" i="76"/>
  <c r="C27" i="92" s="1"/>
  <c r="I42" i="76"/>
  <c r="G27" i="92" s="1"/>
  <c r="M42" i="76"/>
  <c r="K27" i="92" s="1"/>
  <c r="V42" i="76"/>
  <c r="T27" i="92" s="1"/>
  <c r="X41" i="76"/>
  <c r="S41" i="76"/>
  <c r="Q41" i="76"/>
  <c r="N41" i="76"/>
  <c r="J41" i="76"/>
  <c r="F41" i="76"/>
  <c r="L46" i="76"/>
  <c r="T46" i="76"/>
  <c r="V46" i="76"/>
  <c r="F46" i="76"/>
  <c r="H46" i="76"/>
  <c r="R46" i="76"/>
  <c r="U46" i="76"/>
  <c r="I46" i="76"/>
  <c r="E46" i="76"/>
  <c r="W46" i="76"/>
  <c r="O46" i="76"/>
  <c r="Q46" i="76"/>
  <c r="M46" i="76"/>
  <c r="G46" i="76"/>
  <c r="K46" i="76"/>
  <c r="X46" i="76"/>
  <c r="P46" i="76"/>
  <c r="J46" i="76"/>
  <c r="S46" i="76"/>
  <c r="N46" i="76"/>
  <c r="A243" i="67"/>
  <c r="E47" i="76"/>
  <c r="C35" i="92" s="1"/>
  <c r="O47" i="76"/>
  <c r="M35" i="92" s="1"/>
  <c r="N47" i="76"/>
  <c r="L35" i="92" s="1"/>
  <c r="K47" i="76"/>
  <c r="I35" i="92" s="1"/>
  <c r="U47" i="76"/>
  <c r="S35" i="92" s="1"/>
  <c r="F47" i="76"/>
  <c r="D35" i="92" s="1"/>
  <c r="R47" i="76"/>
  <c r="P35" i="92" s="1"/>
  <c r="P47" i="76"/>
  <c r="N35" i="92" s="1"/>
  <c r="G47" i="76"/>
  <c r="E35" i="92" s="1"/>
  <c r="V47" i="76"/>
  <c r="T35" i="92" s="1"/>
  <c r="X47" i="76"/>
  <c r="S47" i="76"/>
  <c r="Q35" i="92" s="1"/>
  <c r="W47" i="76"/>
  <c r="L47" i="76"/>
  <c r="J35" i="92" s="1"/>
  <c r="H47" i="76"/>
  <c r="F35" i="92" s="1"/>
  <c r="D47" i="76"/>
  <c r="B35" i="92" s="1"/>
  <c r="T47" i="76"/>
  <c r="R35" i="92" s="1"/>
  <c r="Q47" i="76"/>
  <c r="O35" i="92" s="1"/>
  <c r="J47" i="76"/>
  <c r="H35" i="92" s="1"/>
  <c r="I47" i="76"/>
  <c r="G35" i="92" s="1"/>
  <c r="M47" i="76"/>
  <c r="K35" i="92" s="1"/>
  <c r="AO48" i="66"/>
  <c r="AO39" i="66"/>
  <c r="AO47" i="66"/>
  <c r="AO53" i="66"/>
  <c r="AM51" i="67"/>
  <c r="AN41" i="67"/>
  <c r="AN45" i="67"/>
  <c r="AO45" i="67"/>
  <c r="AO53" i="67"/>
  <c r="AN42" i="67"/>
  <c r="AN46" i="67"/>
  <c r="AO49" i="67"/>
  <c r="AO54" i="67"/>
  <c r="AO52" i="67"/>
  <c r="AO56" i="67"/>
  <c r="AO41" i="67"/>
  <c r="AO43" i="67"/>
  <c r="AO44" i="67"/>
  <c r="AO50" i="67"/>
  <c r="AO51" i="67"/>
  <c r="AM38" i="67"/>
  <c r="AO42" i="67"/>
  <c r="AO46" i="67"/>
  <c r="AM55" i="67"/>
  <c r="BC41" i="67"/>
  <c r="AN38" i="67"/>
  <c r="AM52" i="67"/>
  <c r="AO55" i="67"/>
  <c r="AT54" i="66"/>
  <c r="AU51" i="66"/>
  <c r="A109" i="66"/>
  <c r="AZ51" i="66"/>
  <c r="AZ38" i="66"/>
  <c r="AO41" i="66"/>
  <c r="AL42" i="66"/>
  <c r="AP42" i="66"/>
  <c r="AL46" i="66"/>
  <c r="AP46" i="66"/>
  <c r="AZ53" i="66"/>
  <c r="AL41" i="66"/>
  <c r="AM42" i="66"/>
  <c r="AM46" i="66"/>
  <c r="O30" i="66"/>
  <c r="BQ43" i="67"/>
  <c r="BQ47" i="67"/>
  <c r="BQ56" i="67"/>
  <c r="BQ39" i="67"/>
  <c r="BQ48" i="67"/>
  <c r="BQ51" i="67"/>
  <c r="BQ57" i="67"/>
  <c r="BQ45" i="67"/>
  <c r="BQ49" i="67"/>
  <c r="BQ54" i="67"/>
  <c r="BQ58" i="67"/>
  <c r="BQ42" i="67"/>
  <c r="BQ46" i="67"/>
  <c r="BQ50" i="67"/>
  <c r="BK58" i="67"/>
  <c r="BO58" i="67"/>
  <c r="BL58" i="67"/>
  <c r="BN58" i="67"/>
  <c r="BM58" i="67"/>
  <c r="BP58" i="67"/>
  <c r="X212" i="67"/>
  <c r="AD212" i="67" s="1"/>
  <c r="A216" i="67"/>
  <c r="X219" i="67"/>
  <c r="AD219" i="67" s="1"/>
  <c r="A223" i="67"/>
  <c r="BN38" i="67"/>
  <c r="BL38" i="67"/>
  <c r="BM38" i="67"/>
  <c r="BP38" i="67"/>
  <c r="BO38" i="67"/>
  <c r="BJ40" i="67"/>
  <c r="BL40" i="67"/>
  <c r="BO40" i="67"/>
  <c r="BN40" i="67"/>
  <c r="BM40" i="67"/>
  <c r="BP40" i="67"/>
  <c r="BQ40" i="67" s="1"/>
  <c r="X209" i="67"/>
  <c r="AD209" i="67" s="1"/>
  <c r="A213" i="67"/>
  <c r="X213" i="67"/>
  <c r="AD213" i="67" s="1"/>
  <c r="A217" i="67"/>
  <c r="X217" i="67"/>
  <c r="AD217" i="67" s="1"/>
  <c r="A221" i="67"/>
  <c r="X220" i="67"/>
  <c r="AD220" i="67" s="1"/>
  <c r="A224" i="67"/>
  <c r="O30" i="67"/>
  <c r="AN39" i="67"/>
  <c r="AO40" i="67"/>
  <c r="BL42" i="67"/>
  <c r="BO42" i="67"/>
  <c r="BP42" i="67"/>
  <c r="BN42" i="67"/>
  <c r="BM42" i="67"/>
  <c r="BP43" i="67"/>
  <c r="BL43" i="67"/>
  <c r="BM43" i="67"/>
  <c r="BN43" i="67"/>
  <c r="BO43" i="67"/>
  <c r="BM44" i="67"/>
  <c r="BL44" i="67"/>
  <c r="BN44" i="67"/>
  <c r="BO44" i="67"/>
  <c r="BP44" i="67"/>
  <c r="BQ44" i="67" s="1"/>
  <c r="BJ45" i="67"/>
  <c r="BM45" i="67"/>
  <c r="BN45" i="67"/>
  <c r="BP45" i="67"/>
  <c r="BL45" i="67"/>
  <c r="BO45" i="67"/>
  <c r="BM46" i="67"/>
  <c r="BO46" i="67"/>
  <c r="BP46" i="67"/>
  <c r="BL46" i="67"/>
  <c r="BN46" i="67"/>
  <c r="BJ47" i="67"/>
  <c r="BP47" i="67"/>
  <c r="BO47" i="67"/>
  <c r="BN47" i="67"/>
  <c r="BL47" i="67"/>
  <c r="BM47" i="67"/>
  <c r="BI48" i="67"/>
  <c r="BO48" i="67"/>
  <c r="BM48" i="67"/>
  <c r="BP48" i="67"/>
  <c r="BN48" i="67"/>
  <c r="BL48" i="67"/>
  <c r="BL49" i="67"/>
  <c r="BN49" i="67"/>
  <c r="BM49" i="67"/>
  <c r="BO49" i="67"/>
  <c r="BP49" i="67"/>
  <c r="BE50" i="67"/>
  <c r="BN50" i="67"/>
  <c r="BL50" i="67"/>
  <c r="BO50" i="67"/>
  <c r="BM50" i="67"/>
  <c r="BP50" i="67"/>
  <c r="BE51" i="67"/>
  <c r="BP51" i="67"/>
  <c r="BO51" i="67"/>
  <c r="BM51" i="67"/>
  <c r="BL51" i="67"/>
  <c r="BN52" i="67"/>
  <c r="BP52" i="67"/>
  <c r="BQ52" i="67" s="1"/>
  <c r="BO52" i="67"/>
  <c r="BM52" i="67"/>
  <c r="BL52" i="67"/>
  <c r="BO53" i="67"/>
  <c r="BP53" i="67"/>
  <c r="BQ53" i="67" s="1"/>
  <c r="BM53" i="67"/>
  <c r="BL53" i="67"/>
  <c r="BN53" i="67"/>
  <c r="BN54" i="67"/>
  <c r="BP54" i="67"/>
  <c r="BM54" i="67"/>
  <c r="BO54" i="67"/>
  <c r="BL54" i="67"/>
  <c r="BE55" i="67"/>
  <c r="BM55" i="67"/>
  <c r="BL55" i="67"/>
  <c r="BN55" i="67"/>
  <c r="BP55" i="67"/>
  <c r="BQ55" i="67" s="1"/>
  <c r="BO55" i="67"/>
  <c r="BP56" i="67"/>
  <c r="BO56" i="67"/>
  <c r="BL56" i="67"/>
  <c r="BN56" i="67"/>
  <c r="BM56" i="67"/>
  <c r="BP57" i="67"/>
  <c r="BL57" i="67"/>
  <c r="BO57" i="67"/>
  <c r="BM57" i="67"/>
  <c r="X206" i="67"/>
  <c r="AD206" i="67" s="1"/>
  <c r="A210" i="67"/>
  <c r="X210" i="67"/>
  <c r="AD210" i="67" s="1"/>
  <c r="A214" i="67"/>
  <c r="X214" i="67"/>
  <c r="AD214" i="67" s="1"/>
  <c r="A218" i="67"/>
  <c r="X218" i="67"/>
  <c r="AD218" i="67" s="1"/>
  <c r="A222" i="67"/>
  <c r="X223" i="67"/>
  <c r="AD223" i="67" s="1"/>
  <c r="A227" i="67"/>
  <c r="X208" i="67"/>
  <c r="AD208" i="67" s="1"/>
  <c r="A212" i="67"/>
  <c r="X216" i="67"/>
  <c r="AD216" i="67" s="1"/>
  <c r="A220" i="67"/>
  <c r="X221" i="67"/>
  <c r="AD221" i="67" s="1"/>
  <c r="A225" i="67"/>
  <c r="BC39" i="67"/>
  <c r="BL39" i="67"/>
  <c r="BP39" i="67"/>
  <c r="BM39" i="67"/>
  <c r="BO39" i="67"/>
  <c r="BN39" i="67"/>
  <c r="BO41" i="67"/>
  <c r="BN41" i="67"/>
  <c r="BP41" i="67"/>
  <c r="BQ41" i="67" s="1"/>
  <c r="BM41" i="67"/>
  <c r="BL41" i="67"/>
  <c r="X222" i="67"/>
  <c r="AD222" i="67" s="1"/>
  <c r="A226" i="67"/>
  <c r="AO39" i="67"/>
  <c r="X207" i="67"/>
  <c r="AD207" i="67" s="1"/>
  <c r="A211" i="67"/>
  <c r="X211" i="67"/>
  <c r="AD211" i="67" s="1"/>
  <c r="A215" i="67"/>
  <c r="X215" i="67"/>
  <c r="AD215" i="67" s="1"/>
  <c r="A219" i="67"/>
  <c r="X224" i="67"/>
  <c r="AD224" i="67" s="1"/>
  <c r="A228" i="67"/>
  <c r="BB59" i="67"/>
  <c r="BL59" i="67"/>
  <c r="BN59" i="67"/>
  <c r="BP59" i="67"/>
  <c r="BM59" i="67"/>
  <c r="BO59" i="67"/>
  <c r="BD59" i="67"/>
  <c r="BK59" i="67"/>
  <c r="BD40" i="67"/>
  <c r="BC45" i="67"/>
  <c r="BI38" i="67"/>
  <c r="BI53" i="67"/>
  <c r="BF38" i="67"/>
  <c r="BD43" i="67"/>
  <c r="BJ39" i="67"/>
  <c r="B180" i="67"/>
  <c r="B112" i="67" s="1"/>
  <c r="X246" i="67"/>
  <c r="AD246" i="67" s="1"/>
  <c r="BH42" i="67"/>
  <c r="BJ43" i="67"/>
  <c r="B184" i="67"/>
  <c r="B116" i="67" s="1"/>
  <c r="X250" i="67"/>
  <c r="AD250" i="67" s="1"/>
  <c r="X252" i="67"/>
  <c r="AD252" i="67" s="1"/>
  <c r="B186" i="67"/>
  <c r="B118" i="67" s="1"/>
  <c r="B189" i="67"/>
  <c r="B121" i="67" s="1"/>
  <c r="X255" i="67"/>
  <c r="AD255" i="67" s="1"/>
  <c r="B193" i="67"/>
  <c r="B125" i="67" s="1"/>
  <c r="X259" i="67"/>
  <c r="AD259" i="67" s="1"/>
  <c r="BG55" i="67"/>
  <c r="B196" i="67"/>
  <c r="X262" i="67"/>
  <c r="AD262" i="67" s="1"/>
  <c r="BD45" i="67"/>
  <c r="B109" i="67"/>
  <c r="X243" i="67"/>
  <c r="AD243" i="67" s="1"/>
  <c r="B179" i="67"/>
  <c r="B111" i="67" s="1"/>
  <c r="X245" i="67"/>
  <c r="AD245" i="67" s="1"/>
  <c r="BH41" i="67"/>
  <c r="BJ42" i="67"/>
  <c r="B183" i="67"/>
  <c r="B115" i="67" s="1"/>
  <c r="X249" i="67"/>
  <c r="AD249" i="67" s="1"/>
  <c r="BH45" i="67"/>
  <c r="B187" i="67"/>
  <c r="B119" i="67" s="1"/>
  <c r="X253" i="67"/>
  <c r="AD253" i="67" s="1"/>
  <c r="BG50" i="67"/>
  <c r="B191" i="67"/>
  <c r="B123" i="67" s="1"/>
  <c r="X257" i="67"/>
  <c r="AD257" i="67" s="1"/>
  <c r="BG54" i="67"/>
  <c r="BI55" i="67"/>
  <c r="B197" i="67"/>
  <c r="X263" i="67"/>
  <c r="AD263" i="67" s="1"/>
  <c r="BH38" i="67"/>
  <c r="BD39" i="67"/>
  <c r="BC42" i="67"/>
  <c r="BE46" i="67"/>
  <c r="BG56" i="67"/>
  <c r="BD42" i="67"/>
  <c r="BC44" i="67"/>
  <c r="BJ38" i="67"/>
  <c r="BH40" i="67"/>
  <c r="BJ41" i="67"/>
  <c r="X248" i="67"/>
  <c r="AD248" i="67" s="1"/>
  <c r="B182" i="67"/>
  <c r="B114" i="67" s="1"/>
  <c r="BH44" i="67"/>
  <c r="B185" i="67"/>
  <c r="B117" i="67" s="1"/>
  <c r="X251" i="67"/>
  <c r="AD251" i="67" s="1"/>
  <c r="B188" i="67"/>
  <c r="B120" i="67" s="1"/>
  <c r="X254" i="67"/>
  <c r="AD254" i="67" s="1"/>
  <c r="BI50" i="67"/>
  <c r="B190" i="67"/>
  <c r="B122" i="67" s="1"/>
  <c r="X256" i="67"/>
  <c r="AD256" i="67" s="1"/>
  <c r="BG52" i="67"/>
  <c r="B192" i="67"/>
  <c r="B124" i="67" s="1"/>
  <c r="X258" i="67"/>
  <c r="AD258" i="67" s="1"/>
  <c r="BI54" i="67"/>
  <c r="X261" i="67"/>
  <c r="AD261" i="67" s="1"/>
  <c r="B195" i="67"/>
  <c r="B127" i="67" s="1"/>
  <c r="BI58" i="67"/>
  <c r="BE38" i="67"/>
  <c r="BH39" i="67"/>
  <c r="BC43" i="67"/>
  <c r="BE53" i="67"/>
  <c r="BC40" i="67"/>
  <c r="BD44" i="67"/>
  <c r="BF46" i="67"/>
  <c r="BC58" i="67"/>
  <c r="X244" i="67"/>
  <c r="AD244" i="67" s="1"/>
  <c r="B178" i="67"/>
  <c r="B110" i="67" s="1"/>
  <c r="B181" i="67"/>
  <c r="B113" i="67" s="1"/>
  <c r="X247" i="67"/>
  <c r="AD247" i="67" s="1"/>
  <c r="BH43" i="67"/>
  <c r="BJ44" i="67"/>
  <c r="BK46" i="67"/>
  <c r="BI49" i="67"/>
  <c r="BG51" i="67"/>
  <c r="BI52" i="67"/>
  <c r="BG53" i="67"/>
  <c r="B194" i="67"/>
  <c r="B126" i="67" s="1"/>
  <c r="X260" i="67"/>
  <c r="AD260" i="67" s="1"/>
  <c r="BI56" i="67"/>
  <c r="Z78" i="67"/>
  <c r="T28" i="67"/>
  <c r="AX40" i="66"/>
  <c r="AT39" i="66"/>
  <c r="Y80" i="67"/>
  <c r="Z72" i="67"/>
  <c r="Y87" i="67"/>
  <c r="Z91" i="67"/>
  <c r="Y74" i="67"/>
  <c r="AO57" i="67"/>
  <c r="T22" i="67"/>
  <c r="Y72" i="67"/>
  <c r="Z75" i="67"/>
  <c r="Z80" i="67"/>
  <c r="Y82" i="67"/>
  <c r="Z85" i="67"/>
  <c r="T11" i="67"/>
  <c r="T25" i="67"/>
  <c r="BE56" i="67"/>
  <c r="BD41" i="67"/>
  <c r="BC47" i="67"/>
  <c r="BG57" i="67"/>
  <c r="K30" i="67"/>
  <c r="AL57" i="67" s="1"/>
  <c r="BF57" i="67"/>
  <c r="BH47" i="67"/>
  <c r="BD47" i="67"/>
  <c r="AP47" i="67"/>
  <c r="AL47" i="67"/>
  <c r="BG47" i="67"/>
  <c r="BB47" i="67"/>
  <c r="AM47" i="67"/>
  <c r="BI47" i="67"/>
  <c r="BK47" i="67"/>
  <c r="BE47" i="67"/>
  <c r="AN47" i="67"/>
  <c r="BF47" i="67"/>
  <c r="AO47" i="67"/>
  <c r="BH57" i="67"/>
  <c r="BC57" i="67"/>
  <c r="AM57" i="67"/>
  <c r="Y30" i="67"/>
  <c r="BH48" i="67"/>
  <c r="BD48" i="67"/>
  <c r="AP48" i="67"/>
  <c r="AL48" i="67"/>
  <c r="BG48" i="67"/>
  <c r="BB48" i="67"/>
  <c r="AM48" i="67"/>
  <c r="BC48" i="67"/>
  <c r="BJ48" i="67"/>
  <c r="BI59" i="67"/>
  <c r="BE59" i="67"/>
  <c r="AM59" i="67"/>
  <c r="BG59" i="67"/>
  <c r="BC59" i="67"/>
  <c r="AO59" i="67"/>
  <c r="Z92" i="67"/>
  <c r="Z90" i="67"/>
  <c r="Z88" i="67"/>
  <c r="Z86" i="67"/>
  <c r="Z83" i="67"/>
  <c r="Z81" i="67"/>
  <c r="Z79" i="67"/>
  <c r="Z77" i="67"/>
  <c r="Z73" i="67"/>
  <c r="BH59" i="67"/>
  <c r="AP59" i="67"/>
  <c r="BF59" i="67"/>
  <c r="AN59" i="67"/>
  <c r="AO38" i="67"/>
  <c r="BC38" i="67"/>
  <c r="BG38" i="67"/>
  <c r="BK38" i="67"/>
  <c r="BI39" i="67"/>
  <c r="BE39" i="67"/>
  <c r="AM39" i="67"/>
  <c r="AP39" i="67"/>
  <c r="BF39" i="67"/>
  <c r="BK39" i="67"/>
  <c r="BI40" i="67"/>
  <c r="BE40" i="67"/>
  <c r="AM40" i="67"/>
  <c r="AP40" i="67"/>
  <c r="BF40" i="67"/>
  <c r="BK40" i="67"/>
  <c r="BI41" i="67"/>
  <c r="BE41" i="67"/>
  <c r="AM41" i="67"/>
  <c r="AP41" i="67"/>
  <c r="BF41" i="67"/>
  <c r="BK41" i="67"/>
  <c r="BI42" i="67"/>
  <c r="BE42" i="67"/>
  <c r="AM42" i="67"/>
  <c r="AP42" i="67"/>
  <c r="BF42" i="67"/>
  <c r="BK42" i="67"/>
  <c r="BI43" i="67"/>
  <c r="BE43" i="67"/>
  <c r="AM43" i="67"/>
  <c r="AP43" i="67"/>
  <c r="BF43" i="67"/>
  <c r="BK43" i="67"/>
  <c r="BI44" i="67"/>
  <c r="BE44" i="67"/>
  <c r="AM44" i="67"/>
  <c r="AP44" i="67"/>
  <c r="BF44" i="67"/>
  <c r="BK44" i="67"/>
  <c r="BI45" i="67"/>
  <c r="BE45" i="67"/>
  <c r="AM45" i="67"/>
  <c r="AP45" i="67"/>
  <c r="BF45" i="67"/>
  <c r="BK45" i="67"/>
  <c r="BH46" i="67"/>
  <c r="BD46" i="67"/>
  <c r="AP46" i="67"/>
  <c r="BG46" i="67"/>
  <c r="BB46" i="67"/>
  <c r="AM46" i="67"/>
  <c r="BI46" i="67"/>
  <c r="AN48" i="67"/>
  <c r="BE48" i="67"/>
  <c r="BK48" i="67"/>
  <c r="BJ49" i="67"/>
  <c r="BF49" i="67"/>
  <c r="BB49" i="67"/>
  <c r="BH49" i="67"/>
  <c r="BD49" i="67"/>
  <c r="AP49" i="67"/>
  <c r="AL49" i="67"/>
  <c r="BK49" i="67"/>
  <c r="BC49" i="67"/>
  <c r="AM49" i="67"/>
  <c r="BE49" i="67"/>
  <c r="BE52" i="67"/>
  <c r="BE54" i="67"/>
  <c r="BJ59" i="67"/>
  <c r="Z76" i="67"/>
  <c r="Y78" i="67"/>
  <c r="Z84" i="67"/>
  <c r="Y85" i="67"/>
  <c r="Y91" i="67"/>
  <c r="Z4" i="67"/>
  <c r="L62" i="67" s="1"/>
  <c r="T24" i="67"/>
  <c r="T26" i="67"/>
  <c r="BJ57" i="67"/>
  <c r="BE57" i="67"/>
  <c r="AL38" i="67"/>
  <c r="AP38" i="67"/>
  <c r="BD38" i="67"/>
  <c r="AL39" i="67"/>
  <c r="BB39" i="67"/>
  <c r="BG39" i="67"/>
  <c r="AL40" i="67"/>
  <c r="BB40" i="67"/>
  <c r="BG40" i="67"/>
  <c r="AL41" i="67"/>
  <c r="BB41" i="67"/>
  <c r="BG41" i="67"/>
  <c r="AL42" i="67"/>
  <c r="BB42" i="67"/>
  <c r="BG42" i="67"/>
  <c r="AL43" i="67"/>
  <c r="BB43" i="67"/>
  <c r="BG43" i="67"/>
  <c r="AL44" i="67"/>
  <c r="BB44" i="67"/>
  <c r="BG44" i="67"/>
  <c r="AL45" i="67"/>
  <c r="BB45" i="67"/>
  <c r="BG45" i="67"/>
  <c r="AL46" i="67"/>
  <c r="BC46" i="67"/>
  <c r="BJ46" i="67"/>
  <c r="AO48" i="67"/>
  <c r="BF48" i="67"/>
  <c r="AN49" i="67"/>
  <c r="BG49" i="67"/>
  <c r="BJ58" i="67"/>
  <c r="BF58" i="67"/>
  <c r="BB58" i="67"/>
  <c r="AN58" i="67"/>
  <c r="BH58" i="67"/>
  <c r="BD58" i="67"/>
  <c r="AP58" i="67"/>
  <c r="AL58" i="67"/>
  <c r="BG58" i="67"/>
  <c r="AO58" i="67"/>
  <c r="BE58" i="67"/>
  <c r="AM58" i="67"/>
  <c r="Z74" i="67"/>
  <c r="Y76" i="67"/>
  <c r="Z82" i="67"/>
  <c r="Y84" i="67"/>
  <c r="Y89" i="67"/>
  <c r="BJ50" i="67"/>
  <c r="BF50" i="67"/>
  <c r="BB50" i="67"/>
  <c r="AN50" i="67"/>
  <c r="BH50" i="67"/>
  <c r="BD50" i="67"/>
  <c r="AP50" i="67"/>
  <c r="AL50" i="67"/>
  <c r="BC50" i="67"/>
  <c r="BK50" i="67"/>
  <c r="BJ51" i="67"/>
  <c r="BF51" i="67"/>
  <c r="BB51" i="67"/>
  <c r="BH51" i="67"/>
  <c r="AP51" i="67"/>
  <c r="AL51" i="67"/>
  <c r="BC51" i="67"/>
  <c r="BK51" i="67"/>
  <c r="BJ52" i="67"/>
  <c r="BF52" i="67"/>
  <c r="BB52" i="67"/>
  <c r="AN52" i="67"/>
  <c r="BH52" i="67"/>
  <c r="BD52" i="67"/>
  <c r="AP52" i="67"/>
  <c r="AL52" i="67"/>
  <c r="BC52" i="67"/>
  <c r="BK52" i="67"/>
  <c r="BJ53" i="67"/>
  <c r="BF53" i="67"/>
  <c r="BB53" i="67"/>
  <c r="AN53" i="67"/>
  <c r="BH53" i="67"/>
  <c r="BD53" i="67"/>
  <c r="AP53" i="67"/>
  <c r="AL53" i="67"/>
  <c r="BC53" i="67"/>
  <c r="BK53" i="67"/>
  <c r="BJ54" i="67"/>
  <c r="BF54" i="67"/>
  <c r="BB54" i="67"/>
  <c r="AN54" i="67"/>
  <c r="BH54" i="67"/>
  <c r="BD54" i="67"/>
  <c r="AP54" i="67"/>
  <c r="AL54" i="67"/>
  <c r="BC54" i="67"/>
  <c r="BK54" i="67"/>
  <c r="BJ55" i="67"/>
  <c r="BF55" i="67"/>
  <c r="BB55" i="67"/>
  <c r="AN55" i="67"/>
  <c r="BH55" i="67"/>
  <c r="BD55" i="67"/>
  <c r="AP55" i="67"/>
  <c r="AL55" i="67"/>
  <c r="BC55" i="67"/>
  <c r="BK55" i="67"/>
  <c r="BJ56" i="67"/>
  <c r="BF56" i="67"/>
  <c r="BB56" i="67"/>
  <c r="AN56" i="67"/>
  <c r="BH56" i="67"/>
  <c r="BD56" i="67"/>
  <c r="AP56" i="67"/>
  <c r="AL56" i="67"/>
  <c r="BC56" i="67"/>
  <c r="BK56" i="67"/>
  <c r="BB57" i="67"/>
  <c r="BK57" i="67"/>
  <c r="Y73" i="67"/>
  <c r="Y75" i="67"/>
  <c r="Y77" i="67"/>
  <c r="Y79" i="67"/>
  <c r="Y81" i="67"/>
  <c r="Y83" i="67"/>
  <c r="Y86" i="67"/>
  <c r="Y88" i="67"/>
  <c r="Y90" i="67"/>
  <c r="Y92" i="67"/>
  <c r="AZ49" i="66"/>
  <c r="AR47" i="66"/>
  <c r="AT45" i="66"/>
  <c r="AU40" i="66"/>
  <c r="AT41" i="66"/>
  <c r="AV59" i="66"/>
  <c r="AT38" i="66"/>
  <c r="AS46" i="66"/>
  <c r="AV39" i="66"/>
  <c r="AW52" i="66"/>
  <c r="AZ52" i="66"/>
  <c r="AZ45" i="66"/>
  <c r="AZ41" i="66"/>
  <c r="AX38" i="66"/>
  <c r="BA38" i="66"/>
  <c r="BA39" i="66"/>
  <c r="BA40" i="66"/>
  <c r="BA41" i="66"/>
  <c r="BA42" i="66"/>
  <c r="BA43" i="66"/>
  <c r="AY44" i="66"/>
  <c r="AY45" i="66"/>
  <c r="BA46" i="66"/>
  <c r="BA47" i="66"/>
  <c r="BA48" i="66"/>
  <c r="BA49" i="66"/>
  <c r="AV38" i="66"/>
  <c r="AU44" i="66"/>
  <c r="AT59" i="66"/>
  <c r="AW49" i="66"/>
  <c r="AZ48" i="66"/>
  <c r="AZ44" i="66"/>
  <c r="AZ40" i="66"/>
  <c r="AU53" i="66"/>
  <c r="AT52" i="66"/>
  <c r="AS50" i="66"/>
  <c r="AU48" i="66"/>
  <c r="AV43" i="66"/>
  <c r="AS42" i="66"/>
  <c r="AR39" i="66"/>
  <c r="AV47" i="66"/>
  <c r="AW54" i="66"/>
  <c r="AW41" i="66"/>
  <c r="AZ50" i="66"/>
  <c r="AZ46" i="66"/>
  <c r="AZ42" i="66"/>
  <c r="AZ54" i="66"/>
  <c r="AS55" i="66"/>
  <c r="AX56" i="66"/>
  <c r="AU57" i="66"/>
  <c r="AT49" i="66"/>
  <c r="AR43" i="66"/>
  <c r="AW45" i="66"/>
  <c r="AZ47" i="66"/>
  <c r="AZ43" i="66"/>
  <c r="AZ39" i="66"/>
  <c r="AP50" i="66"/>
  <c r="Z89" i="66"/>
  <c r="BA58" i="66"/>
  <c r="AU58" i="66"/>
  <c r="AY58" i="66"/>
  <c r="AS58" i="66"/>
  <c r="AT58" i="66"/>
  <c r="AV56" i="66"/>
  <c r="AW58" i="66"/>
  <c r="AZ58" i="66"/>
  <c r="AZ56" i="66"/>
  <c r="BA50" i="66"/>
  <c r="AW50" i="66"/>
  <c r="AT50" i="66"/>
  <c r="AY50" i="66"/>
  <c r="AR50" i="66"/>
  <c r="AV50" i="66"/>
  <c r="BA51" i="66"/>
  <c r="AR51" i="66"/>
  <c r="AV51" i="66"/>
  <c r="AW51" i="66"/>
  <c r="AP52" i="66"/>
  <c r="BA52" i="66"/>
  <c r="AU52" i="66"/>
  <c r="AY52" i="66"/>
  <c r="AS52" i="66"/>
  <c r="AL52" i="66"/>
  <c r="BA53" i="66"/>
  <c r="Z75" i="66"/>
  <c r="AR58" i="66"/>
  <c r="AT56" i="66"/>
  <c r="AV54" i="66"/>
  <c r="AS53" i="66"/>
  <c r="AR52" i="66"/>
  <c r="AV49" i="66"/>
  <c r="AS48" i="66"/>
  <c r="AU46" i="66"/>
  <c r="AR45" i="66"/>
  <c r="AT43" i="66"/>
  <c r="AV41" i="66"/>
  <c r="AS40" i="66"/>
  <c r="AW56" i="66"/>
  <c r="AW43" i="66"/>
  <c r="AX58" i="66"/>
  <c r="AX54" i="66"/>
  <c r="AX52" i="66"/>
  <c r="AX49" i="66"/>
  <c r="AX47" i="66"/>
  <c r="AX45" i="66"/>
  <c r="AX43" i="66"/>
  <c r="AX41" i="66"/>
  <c r="AX39" i="66"/>
  <c r="AM55" i="66"/>
  <c r="BA55" i="66"/>
  <c r="AW55" i="66"/>
  <c r="AT55" i="66"/>
  <c r="AY55" i="66"/>
  <c r="AR55" i="66"/>
  <c r="AV55" i="66"/>
  <c r="AN56" i="66"/>
  <c r="BA56" i="66"/>
  <c r="AS56" i="66"/>
  <c r="AY56" i="66"/>
  <c r="AU56" i="66"/>
  <c r="AR57" i="66"/>
  <c r="AR56" i="66"/>
  <c r="AZ57" i="66"/>
  <c r="AZ55" i="66"/>
  <c r="AX59" i="66"/>
  <c r="AW59" i="66"/>
  <c r="AU59" i="66"/>
  <c r="AY59" i="66"/>
  <c r="AZ59" i="66"/>
  <c r="AS59" i="66"/>
  <c r="AR59" i="66"/>
  <c r="BA59" i="66"/>
  <c r="AS57" i="66"/>
  <c r="AV58" i="66"/>
  <c r="AU55" i="66"/>
  <c r="AR54" i="66"/>
  <c r="AV52" i="66"/>
  <c r="AS51" i="66"/>
  <c r="AU50" i="66"/>
  <c r="AR49" i="66"/>
  <c r="AT47" i="66"/>
  <c r="AV45" i="66"/>
  <c r="AS44" i="66"/>
  <c r="AU42" i="66"/>
  <c r="AR41" i="66"/>
  <c r="AW47" i="66"/>
  <c r="AW39" i="66"/>
  <c r="AX57" i="66"/>
  <c r="AX55" i="66"/>
  <c r="AX53" i="66"/>
  <c r="AX51" i="66"/>
  <c r="AX50" i="66"/>
  <c r="AX48" i="66"/>
  <c r="AX46" i="66"/>
  <c r="AX44" i="66"/>
  <c r="AX42" i="66"/>
  <c r="AM50" i="66"/>
  <c r="AM52" i="66"/>
  <c r="AN55" i="66"/>
  <c r="AL54" i="66"/>
  <c r="AR38" i="66"/>
  <c r="AS38" i="66"/>
  <c r="AS54" i="66"/>
  <c r="AT53" i="66"/>
  <c r="AS49" i="66"/>
  <c r="AT48" i="66"/>
  <c r="AU47" i="66"/>
  <c r="AV46" i="66"/>
  <c r="AR46" i="66"/>
  <c r="AS45" i="66"/>
  <c r="AT44" i="66"/>
  <c r="AU43" i="66"/>
  <c r="AV42" i="66"/>
  <c r="AR42" i="66"/>
  <c r="AS41" i="66"/>
  <c r="AT40" i="66"/>
  <c r="AU39" i="66"/>
  <c r="AW53" i="66"/>
  <c r="AW48" i="66"/>
  <c r="AW44" i="66"/>
  <c r="AW40" i="66"/>
  <c r="AY54" i="66"/>
  <c r="AY53" i="66"/>
  <c r="AY49" i="66"/>
  <c r="AY48" i="66"/>
  <c r="AY47" i="66"/>
  <c r="AY46" i="66"/>
  <c r="AY43" i="66"/>
  <c r="AY42" i="66"/>
  <c r="AY41" i="66"/>
  <c r="AY40" i="66"/>
  <c r="AY39" i="66"/>
  <c r="AY38" i="66"/>
  <c r="Z80" i="66"/>
  <c r="AO51" i="66"/>
  <c r="AL55" i="66"/>
  <c r="AP55" i="66"/>
  <c r="AL58" i="66"/>
  <c r="AP44" i="66"/>
  <c r="AP45" i="66"/>
  <c r="AU38" i="66"/>
  <c r="AU54" i="66"/>
  <c r="AV53" i="66"/>
  <c r="AR53" i="66"/>
  <c r="AU49" i="66"/>
  <c r="AV48" i="66"/>
  <c r="AR48" i="66"/>
  <c r="AS47" i="66"/>
  <c r="AT46" i="66"/>
  <c r="AU45" i="66"/>
  <c r="AV44" i="66"/>
  <c r="AR44" i="66"/>
  <c r="AS43" i="66"/>
  <c r="AT42" i="66"/>
  <c r="AU41" i="66"/>
  <c r="AV40" i="66"/>
  <c r="AR40" i="66"/>
  <c r="AS39" i="66"/>
  <c r="AW38" i="66"/>
  <c r="AW46" i="66"/>
  <c r="AW42" i="66"/>
  <c r="BA54" i="66"/>
  <c r="BA45" i="66"/>
  <c r="BA44" i="66"/>
  <c r="AN38" i="66"/>
  <c r="AO40" i="66"/>
  <c r="AP58" i="66"/>
  <c r="AM45" i="66"/>
  <c r="AM58" i="66"/>
  <c r="AL59" i="66"/>
  <c r="L30" i="66"/>
  <c r="Z78" i="66"/>
  <c r="Y78" i="66"/>
  <c r="K30" i="66"/>
  <c r="AL57" i="66" s="1"/>
  <c r="AW57" i="66"/>
  <c r="Z82" i="66"/>
  <c r="Y82" i="66"/>
  <c r="AO59" i="66"/>
  <c r="AN59" i="66"/>
  <c r="AM59" i="66"/>
  <c r="Z4" i="66"/>
  <c r="L62" i="66" s="1"/>
  <c r="Y92" i="66"/>
  <c r="Y83" i="66"/>
  <c r="Y79" i="66"/>
  <c r="Y75" i="66"/>
  <c r="Z93" i="66"/>
  <c r="Z87" i="66"/>
  <c r="Z84" i="66"/>
  <c r="AP59" i="66"/>
  <c r="AP43" i="66"/>
  <c r="AL43" i="66"/>
  <c r="AM43" i="66"/>
  <c r="AO43" i="66"/>
  <c r="AM44" i="66"/>
  <c r="AL44" i="66"/>
  <c r="AO44" i="66"/>
  <c r="AN45" i="66"/>
  <c r="AL45" i="66"/>
  <c r="AO45" i="66"/>
  <c r="AN53" i="66"/>
  <c r="AM53" i="66"/>
  <c r="AL53" i="66"/>
  <c r="AP53" i="66"/>
  <c r="AO56" i="66"/>
  <c r="Z79" i="66"/>
  <c r="Z86" i="66"/>
  <c r="Y86" i="66"/>
  <c r="Z92" i="66"/>
  <c r="Y91" i="66"/>
  <c r="AM51" i="66"/>
  <c r="AP51" i="66"/>
  <c r="AL51" i="66"/>
  <c r="Z74" i="66"/>
  <c r="Y74" i="66"/>
  <c r="Z83" i="66"/>
  <c r="N30" i="66"/>
  <c r="AP39" i="66"/>
  <c r="AL39" i="66"/>
  <c r="AM40" i="66"/>
  <c r="AP40" i="66"/>
  <c r="AN41" i="66"/>
  <c r="AP41" i="66"/>
  <c r="AN47" i="66"/>
  <c r="AN48" i="66"/>
  <c r="Y77" i="66"/>
  <c r="Z81" i="66"/>
  <c r="Y81" i="66"/>
  <c r="Z85" i="66"/>
  <c r="Y85" i="66"/>
  <c r="Z88" i="66"/>
  <c r="Y88" i="66"/>
  <c r="Z90" i="66"/>
  <c r="Y90" i="66"/>
  <c r="Z94" i="66"/>
  <c r="Y94" i="66"/>
  <c r="AP47" i="66"/>
  <c r="AL47" i="66"/>
  <c r="AM48" i="66"/>
  <c r="AP48" i="66"/>
  <c r="AM56" i="66"/>
  <c r="AP56" i="66"/>
  <c r="AL56" i="66"/>
  <c r="Y76" i="66"/>
  <c r="Y80" i="66"/>
  <c r="Y84" i="66"/>
  <c r="Y87" i="66"/>
  <c r="Y89" i="66"/>
  <c r="Y93" i="66"/>
  <c r="AO42" i="66"/>
  <c r="AO46" i="66"/>
  <c r="AN49" i="66"/>
  <c r="AO50" i="66"/>
  <c r="AN52" i="66"/>
  <c r="AN54" i="66"/>
  <c r="AO55" i="66"/>
  <c r="AN58" i="66"/>
  <c r="AO49" i="66"/>
  <c r="AO52" i="66"/>
  <c r="AO54" i="66"/>
  <c r="AO58" i="66"/>
  <c r="W35" i="92" l="1" a="1"/>
  <c r="W35" i="92" s="1"/>
  <c r="Z39" i="69" s="1"/>
  <c r="X35" i="92" a="1"/>
  <c r="X35" i="92" s="1"/>
  <c r="AC38" i="69" s="1"/>
  <c r="V35" i="92" a="1"/>
  <c r="V35" i="92" s="1"/>
  <c r="Y39" i="69" s="1"/>
  <c r="K34" i="92"/>
  <c r="G34" i="92"/>
  <c r="Q34" i="92"/>
  <c r="I34" i="92"/>
  <c r="H34" i="92"/>
  <c r="L34" i="92"/>
  <c r="D26" i="92"/>
  <c r="D28" i="92"/>
  <c r="E26" i="92"/>
  <c r="E28" i="92"/>
  <c r="O34" i="92"/>
  <c r="T34" i="92"/>
  <c r="M34" i="92"/>
  <c r="H26" i="92"/>
  <c r="H28" i="92"/>
  <c r="I26" i="92"/>
  <c r="I28" i="92"/>
  <c r="R34" i="92"/>
  <c r="E34" i="92"/>
  <c r="C34" i="92"/>
  <c r="L26" i="92"/>
  <c r="L28" i="92"/>
  <c r="M26" i="92"/>
  <c r="M28" i="92"/>
  <c r="F26" i="92"/>
  <c r="F28" i="92"/>
  <c r="C26" i="92"/>
  <c r="C28" i="92"/>
  <c r="S34" i="92"/>
  <c r="B34" i="92"/>
  <c r="N34" i="92"/>
  <c r="O26" i="92"/>
  <c r="O28" i="92"/>
  <c r="P26" i="92"/>
  <c r="P28" i="92"/>
  <c r="J26" i="92"/>
  <c r="J28" i="92"/>
  <c r="G26" i="92"/>
  <c r="G28" i="92"/>
  <c r="F34" i="92"/>
  <c r="P34" i="92"/>
  <c r="Q26" i="92"/>
  <c r="Q28" i="92"/>
  <c r="N26" i="92"/>
  <c r="N28" i="92"/>
  <c r="K26" i="92"/>
  <c r="K28" i="92"/>
  <c r="J34" i="92"/>
  <c r="D34" i="92"/>
  <c r="S26" i="92"/>
  <c r="S28" i="92"/>
  <c r="T26" i="92"/>
  <c r="T28" i="92"/>
  <c r="R26" i="92"/>
  <c r="R28" i="92"/>
  <c r="X27" i="92" a="1"/>
  <c r="X27" i="92" s="1"/>
  <c r="V27" i="92" a="1"/>
  <c r="V27" i="92" s="1"/>
  <c r="W27" i="92" a="1"/>
  <c r="W27" i="92" s="1"/>
  <c r="E44" i="76"/>
  <c r="C29" i="92" s="1"/>
  <c r="F44" i="76"/>
  <c r="D29" i="92" s="1"/>
  <c r="L44" i="76"/>
  <c r="J29" i="92" s="1"/>
  <c r="U44" i="76"/>
  <c r="S29" i="92" s="1"/>
  <c r="D44" i="76"/>
  <c r="B29" i="92" s="1"/>
  <c r="I44" i="76"/>
  <c r="G29" i="92" s="1"/>
  <c r="P44" i="76"/>
  <c r="N29" i="92" s="1"/>
  <c r="O44" i="76"/>
  <c r="M29" i="92" s="1"/>
  <c r="K44" i="76"/>
  <c r="I29" i="92" s="1"/>
  <c r="J44" i="76"/>
  <c r="H29" i="92" s="1"/>
  <c r="T44" i="76"/>
  <c r="R29" i="92" s="1"/>
  <c r="Q44" i="76"/>
  <c r="O29" i="92" s="1"/>
  <c r="N44" i="76"/>
  <c r="L29" i="92" s="1"/>
  <c r="G44" i="76"/>
  <c r="E29" i="92" s="1"/>
  <c r="H44" i="76"/>
  <c r="F29" i="92" s="1"/>
  <c r="M44" i="76"/>
  <c r="K29" i="92" s="1"/>
  <c r="V44" i="76"/>
  <c r="T29" i="92" s="1"/>
  <c r="R44" i="76"/>
  <c r="P29" i="92" s="1"/>
  <c r="S44" i="76"/>
  <c r="Q29" i="92" s="1"/>
  <c r="AW40" i="67"/>
  <c r="AN30" i="67"/>
  <c r="AK30" i="66"/>
  <c r="AK30" i="67"/>
  <c r="AN30" i="66"/>
  <c r="AW58" i="67"/>
  <c r="BA50" i="67"/>
  <c r="AX42" i="67"/>
  <c r="AX38" i="67"/>
  <c r="AZ47" i="67"/>
  <c r="AX51" i="67"/>
  <c r="AW54" i="67"/>
  <c r="AZ52" i="67"/>
  <c r="BA45" i="67"/>
  <c r="AX41" i="67"/>
  <c r="AW43" i="67"/>
  <c r="AZ40" i="67"/>
  <c r="AZ58" i="67"/>
  <c r="AX50" i="67"/>
  <c r="BA46" i="67"/>
  <c r="AZ42" i="67"/>
  <c r="AY38" i="67"/>
  <c r="AY56" i="67"/>
  <c r="AW47" i="67"/>
  <c r="AZ39" i="67"/>
  <c r="AX44" i="67"/>
  <c r="AY52" i="67"/>
  <c r="AW49" i="67"/>
  <c r="AY41" i="67"/>
  <c r="AZ57" i="67"/>
  <c r="AX40" i="67"/>
  <c r="AY58" i="67"/>
  <c r="AZ55" i="67"/>
  <c r="AW55" i="67"/>
  <c r="AY50" i="67"/>
  <c r="AX46" i="67"/>
  <c r="AY42" i="67"/>
  <c r="AW42" i="67"/>
  <c r="AW38" i="67"/>
  <c r="BA56" i="67"/>
  <c r="AX47" i="67"/>
  <c r="BA39" i="67"/>
  <c r="AZ51" i="67"/>
  <c r="BA44" i="67"/>
  <c r="AY44" i="67"/>
  <c r="BA54" i="67"/>
  <c r="AW52" i="67"/>
  <c r="AY49" i="67"/>
  <c r="AY45" i="67"/>
  <c r="AX45" i="67"/>
  <c r="AW41" i="67"/>
  <c r="BA43" i="67"/>
  <c r="AX57" i="67"/>
  <c r="BA53" i="67"/>
  <c r="AX48" i="67"/>
  <c r="AX59" i="67"/>
  <c r="AY59" i="67"/>
  <c r="AW59" i="67"/>
  <c r="AZ59" i="67"/>
  <c r="BA59" i="67"/>
  <c r="AX55" i="67"/>
  <c r="AZ46" i="67"/>
  <c r="AZ38" i="67"/>
  <c r="AW56" i="67"/>
  <c r="BA47" i="67"/>
  <c r="AW39" i="67"/>
  <c r="AZ44" i="67"/>
  <c r="AX54" i="67"/>
  <c r="BA49" i="67"/>
  <c r="AZ41" i="67"/>
  <c r="BA57" i="67"/>
  <c r="AW53" i="67"/>
  <c r="AY53" i="67"/>
  <c r="BA48" i="67"/>
  <c r="AY55" i="67"/>
  <c r="AW50" i="67"/>
  <c r="AY39" i="67"/>
  <c r="AW51" i="67"/>
  <c r="AZ54" i="67"/>
  <c r="AX52" i="67"/>
  <c r="AW45" i="67"/>
  <c r="AY43" i="67"/>
  <c r="AZ53" i="67"/>
  <c r="AW48" i="67"/>
  <c r="AY48" i="67"/>
  <c r="BA58" i="67"/>
  <c r="AX58" i="67"/>
  <c r="BA55" i="67"/>
  <c r="AZ50" i="67"/>
  <c r="AY46" i="67"/>
  <c r="AW46" i="67"/>
  <c r="BA42" i="67"/>
  <c r="BA38" i="67"/>
  <c r="AX56" i="67"/>
  <c r="AZ56" i="67"/>
  <c r="AY47" i="67"/>
  <c r="AX39" i="67"/>
  <c r="BA51" i="67"/>
  <c r="AW44" i="67"/>
  <c r="AY54" i="67"/>
  <c r="BA52" i="67"/>
  <c r="AZ49" i="67"/>
  <c r="AX49" i="67"/>
  <c r="AZ45" i="67"/>
  <c r="BA41" i="67"/>
  <c r="AX43" i="67"/>
  <c r="AZ43" i="67"/>
  <c r="AW57" i="67"/>
  <c r="AX53" i="67"/>
  <c r="AZ48" i="67"/>
  <c r="BA40" i="67"/>
  <c r="AY40" i="67"/>
  <c r="AS45" i="67"/>
  <c r="AR38" i="67"/>
  <c r="AS41" i="67"/>
  <c r="AU42" i="67"/>
  <c r="AS40" i="67"/>
  <c r="AT45" i="67"/>
  <c r="AR42" i="67"/>
  <c r="AT38" i="67"/>
  <c r="AT40" i="67"/>
  <c r="Z89" i="67"/>
  <c r="AS50" i="67"/>
  <c r="AT53" i="67"/>
  <c r="AR44" i="67"/>
  <c r="AT44" i="67"/>
  <c r="AU52" i="67"/>
  <c r="AR47" i="67"/>
  <c r="AU43" i="67"/>
  <c r="AV45" i="67"/>
  <c r="AS55" i="67"/>
  <c r="AR50" i="67"/>
  <c r="AT42" i="67"/>
  <c r="AS38" i="67"/>
  <c r="AS44" i="67"/>
  <c r="AT52" i="67"/>
  <c r="AR56" i="67"/>
  <c r="AS56" i="67"/>
  <c r="AS51" i="67"/>
  <c r="AU41" i="67"/>
  <c r="AR55" i="67"/>
  <c r="AV50" i="67"/>
  <c r="AT46" i="67"/>
  <c r="AV46" i="67"/>
  <c r="AS42" i="67"/>
  <c r="AV53" i="67"/>
  <c r="AU53" i="67"/>
  <c r="AS48" i="67"/>
  <c r="AT48" i="67"/>
  <c r="AU44" i="67"/>
  <c r="AR40" i="67"/>
  <c r="AU40" i="67"/>
  <c r="AV52" i="67"/>
  <c r="AV56" i="67"/>
  <c r="AS47" i="67"/>
  <c r="AT43" i="67"/>
  <c r="AV43" i="67"/>
  <c r="AT39" i="67"/>
  <c r="AR39" i="67"/>
  <c r="AU54" i="67"/>
  <c r="AU45" i="67"/>
  <c r="AT55" i="67"/>
  <c r="AU50" i="67"/>
  <c r="AS53" i="67"/>
  <c r="AU56" i="67"/>
  <c r="AR51" i="67"/>
  <c r="AU51" i="67"/>
  <c r="AT54" i="67"/>
  <c r="AT49" i="67"/>
  <c r="AV55" i="67"/>
  <c r="AT50" i="67"/>
  <c r="AR46" i="67"/>
  <c r="AU48" i="67"/>
  <c r="AV44" i="67"/>
  <c r="AV47" i="67"/>
  <c r="AS43" i="67"/>
  <c r="AV39" i="67"/>
  <c r="AS54" i="67"/>
  <c r="AR49" i="67"/>
  <c r="AS49" i="67"/>
  <c r="AT41" i="67"/>
  <c r="Z87" i="67"/>
  <c r="AU55" i="67"/>
  <c r="AU46" i="67"/>
  <c r="AS46" i="67"/>
  <c r="AV42" i="67"/>
  <c r="AV38" i="67"/>
  <c r="AU38" i="67"/>
  <c r="AR53" i="67"/>
  <c r="AR48" i="67"/>
  <c r="AV48" i="67"/>
  <c r="AV40" i="67"/>
  <c r="AR52" i="67"/>
  <c r="AS52" i="67"/>
  <c r="X142" i="67"/>
  <c r="AD142" i="67" s="1"/>
  <c r="A142" i="67"/>
  <c r="AT56" i="67"/>
  <c r="AU47" i="67"/>
  <c r="AT47" i="67"/>
  <c r="AR43" i="67"/>
  <c r="AS39" i="67"/>
  <c r="AU39" i="67"/>
  <c r="AV51" i="67"/>
  <c r="AR54" i="67"/>
  <c r="AV54" i="67"/>
  <c r="AV49" i="67"/>
  <c r="AU49" i="67"/>
  <c r="AR45" i="67"/>
  <c r="AV41" i="67"/>
  <c r="AR41" i="67"/>
  <c r="W43" i="76"/>
  <c r="P30" i="67"/>
  <c r="AM57" i="66"/>
  <c r="AQ30" i="66"/>
  <c r="Z77" i="66"/>
  <c r="AO57" i="66"/>
  <c r="AS30" i="66"/>
  <c r="W40" i="76"/>
  <c r="P30" i="66"/>
  <c r="AT30" i="66"/>
  <c r="X126" i="67"/>
  <c r="A126" i="67"/>
  <c r="A115" i="67"/>
  <c r="X115" i="67"/>
  <c r="A111" i="67"/>
  <c r="X111" i="67"/>
  <c r="A125" i="67"/>
  <c r="X125" i="67"/>
  <c r="X118" i="67"/>
  <c r="A118" i="67"/>
  <c r="X113" i="67"/>
  <c r="A113" i="67"/>
  <c r="A120" i="67"/>
  <c r="X120" i="67"/>
  <c r="X114" i="67"/>
  <c r="A114" i="67"/>
  <c r="A123" i="67"/>
  <c r="X123" i="67"/>
  <c r="A119" i="67"/>
  <c r="X119" i="67"/>
  <c r="X196" i="67"/>
  <c r="AD196" i="67" s="1"/>
  <c r="B128" i="67"/>
  <c r="X128" i="67" s="1"/>
  <c r="X110" i="67"/>
  <c r="A110" i="67"/>
  <c r="X127" i="67"/>
  <c r="A127" i="67"/>
  <c r="A124" i="67"/>
  <c r="X124" i="67"/>
  <c r="A122" i="67"/>
  <c r="X122" i="67"/>
  <c r="X109" i="67"/>
  <c r="A109" i="67"/>
  <c r="X117" i="67"/>
  <c r="A117" i="67"/>
  <c r="X197" i="67"/>
  <c r="AD197" i="67" s="1"/>
  <c r="B129" i="67"/>
  <c r="X129" i="67" s="1"/>
  <c r="X121" i="67"/>
  <c r="A121" i="67"/>
  <c r="A116" i="67"/>
  <c r="X116" i="67"/>
  <c r="A112" i="67"/>
  <c r="X112" i="67"/>
  <c r="BU41" i="67"/>
  <c r="U45" i="76"/>
  <c r="S30" i="92" s="1"/>
  <c r="X45" i="76"/>
  <c r="E45" i="76"/>
  <c r="C30" i="92" s="1"/>
  <c r="P45" i="76"/>
  <c r="N30" i="92" s="1"/>
  <c r="H45" i="76"/>
  <c r="F30" i="92" s="1"/>
  <c r="S45" i="76"/>
  <c r="Q30" i="92" s="1"/>
  <c r="Q45" i="76"/>
  <c r="O30" i="92" s="1"/>
  <c r="K45" i="76"/>
  <c r="I30" i="92" s="1"/>
  <c r="M45" i="76"/>
  <c r="K30" i="92" s="1"/>
  <c r="J45" i="76"/>
  <c r="H30" i="92" s="1"/>
  <c r="F45" i="76"/>
  <c r="D30" i="92" s="1"/>
  <c r="W45" i="76"/>
  <c r="N45" i="76"/>
  <c r="L30" i="92" s="1"/>
  <c r="D45" i="76"/>
  <c r="B30" i="92" s="1"/>
  <c r="L45" i="76"/>
  <c r="J30" i="92" s="1"/>
  <c r="G45" i="76"/>
  <c r="E30" i="92" s="1"/>
  <c r="O45" i="76"/>
  <c r="M30" i="92" s="1"/>
  <c r="T45" i="76"/>
  <c r="R30" i="92" s="1"/>
  <c r="R45" i="76"/>
  <c r="P30" i="92" s="1"/>
  <c r="V45" i="76"/>
  <c r="T30" i="92" s="1"/>
  <c r="I45" i="76"/>
  <c r="G30" i="92" s="1"/>
  <c r="BA57" i="66"/>
  <c r="W42" i="76"/>
  <c r="AH23" i="67"/>
  <c r="Q23" i="67" s="1"/>
  <c r="P100" i="76" s="1"/>
  <c r="AH28" i="67"/>
  <c r="Q28" i="67" s="1"/>
  <c r="U100" i="76" s="1"/>
  <c r="AH29" i="67"/>
  <c r="Q29" i="67" s="1"/>
  <c r="V100" i="76" s="1"/>
  <c r="AH23" i="66"/>
  <c r="Q23" i="66" s="1"/>
  <c r="P99" i="76" s="1"/>
  <c r="AH28" i="66"/>
  <c r="Q28" i="66" s="1"/>
  <c r="U99" i="76" s="1"/>
  <c r="AH29" i="66"/>
  <c r="Q29" i="66" s="1"/>
  <c r="V99" i="76" s="1"/>
  <c r="AH16" i="66"/>
  <c r="Q16" i="66" s="1"/>
  <c r="I99" i="76" s="1"/>
  <c r="AH15" i="66"/>
  <c r="Q15" i="66" s="1"/>
  <c r="H99" i="76" s="1"/>
  <c r="AH14" i="66"/>
  <c r="Q14" i="66" s="1"/>
  <c r="G99" i="76" s="1"/>
  <c r="AH25" i="66"/>
  <c r="Q25" i="66" s="1"/>
  <c r="R99" i="76" s="1"/>
  <c r="AH24" i="66"/>
  <c r="Q24" i="66" s="1"/>
  <c r="Q99" i="76" s="1"/>
  <c r="AH19" i="66"/>
  <c r="Q19" i="66" s="1"/>
  <c r="L99" i="76" s="1"/>
  <c r="AH22" i="66"/>
  <c r="Q22" i="66" s="1"/>
  <c r="O99" i="76" s="1"/>
  <c r="AH27" i="66"/>
  <c r="Q27" i="66" s="1"/>
  <c r="T99" i="76" s="1"/>
  <c r="AH20" i="66"/>
  <c r="Q20" i="66" s="1"/>
  <c r="M99" i="76" s="1"/>
  <c r="AH21" i="66"/>
  <c r="Q21" i="66" s="1"/>
  <c r="N99" i="76" s="1"/>
  <c r="AH26" i="66"/>
  <c r="Q26" i="66" s="1"/>
  <c r="S99" i="76" s="1"/>
  <c r="AH13" i="66"/>
  <c r="Q13" i="66" s="1"/>
  <c r="F99" i="76" s="1"/>
  <c r="AH12" i="66"/>
  <c r="Q12" i="66" s="1"/>
  <c r="E99" i="76" s="1"/>
  <c r="AH11" i="66"/>
  <c r="Q11" i="66" s="1"/>
  <c r="D99" i="76" s="1"/>
  <c r="AH18" i="66"/>
  <c r="Q18" i="66" s="1"/>
  <c r="K99" i="76" s="1"/>
  <c r="AH17" i="66"/>
  <c r="Q17" i="66" s="1"/>
  <c r="J99" i="76" s="1"/>
  <c r="AH11" i="67"/>
  <c r="Q11" i="67" s="1"/>
  <c r="D100" i="76" s="1"/>
  <c r="AH15" i="67"/>
  <c r="Q15" i="67" s="1"/>
  <c r="H100" i="76" s="1"/>
  <c r="AH24" i="67"/>
  <c r="Q24" i="67" s="1"/>
  <c r="Q100" i="76" s="1"/>
  <c r="AH20" i="67"/>
  <c r="Q20" i="67" s="1"/>
  <c r="M100" i="76" s="1"/>
  <c r="AH19" i="67"/>
  <c r="Q19" i="67" s="1"/>
  <c r="L100" i="76" s="1"/>
  <c r="AH25" i="67"/>
  <c r="Q25" i="67" s="1"/>
  <c r="R100" i="76" s="1"/>
  <c r="AH17" i="67"/>
  <c r="Q17" i="67" s="1"/>
  <c r="J100" i="76" s="1"/>
  <c r="AH13" i="67"/>
  <c r="Q13" i="67" s="1"/>
  <c r="F100" i="76" s="1"/>
  <c r="AH14" i="67"/>
  <c r="Q14" i="67" s="1"/>
  <c r="G100" i="76" s="1"/>
  <c r="AH27" i="67"/>
  <c r="Q27" i="67" s="1"/>
  <c r="T100" i="76" s="1"/>
  <c r="AH18" i="67"/>
  <c r="Q18" i="67" s="1"/>
  <c r="K100" i="76" s="1"/>
  <c r="AH16" i="67"/>
  <c r="Q16" i="67" s="1"/>
  <c r="I100" i="76" s="1"/>
  <c r="AH21" i="67"/>
  <c r="Q21" i="67" s="1"/>
  <c r="N100" i="76" s="1"/>
  <c r="AH22" i="67"/>
  <c r="Q22" i="67" s="1"/>
  <c r="O100" i="76" s="1"/>
  <c r="AH26" i="67"/>
  <c r="Q26" i="67" s="1"/>
  <c r="S100" i="76" s="1"/>
  <c r="AH12" i="67"/>
  <c r="Q12" i="67" s="1"/>
  <c r="E100" i="76" s="1"/>
  <c r="X182" i="67"/>
  <c r="AD182" i="67" s="1"/>
  <c r="A182" i="67"/>
  <c r="X187" i="67"/>
  <c r="AD187" i="67" s="1"/>
  <c r="A187" i="67"/>
  <c r="X195" i="67"/>
  <c r="AD195" i="67" s="1"/>
  <c r="A195" i="67"/>
  <c r="X177" i="67"/>
  <c r="AD177" i="67" s="1"/>
  <c r="A177" i="67"/>
  <c r="BV59" i="67"/>
  <c r="X185" i="67"/>
  <c r="AD185" i="67" s="1"/>
  <c r="A185" i="67"/>
  <c r="X189" i="67"/>
  <c r="AD189" i="67" s="1"/>
  <c r="A189" i="67"/>
  <c r="X184" i="67"/>
  <c r="AD184" i="67" s="1"/>
  <c r="A184" i="67"/>
  <c r="X180" i="67"/>
  <c r="AD180" i="67" s="1"/>
  <c r="A180" i="67"/>
  <c r="X181" i="67"/>
  <c r="AD181" i="67" s="1"/>
  <c r="A181" i="67"/>
  <c r="X188" i="67"/>
  <c r="AD188" i="67" s="1"/>
  <c r="A188" i="67"/>
  <c r="X191" i="67"/>
  <c r="AD191" i="67" s="1"/>
  <c r="A191" i="67"/>
  <c r="X178" i="67"/>
  <c r="AD178" i="67" s="1"/>
  <c r="A178" i="67"/>
  <c r="X192" i="67"/>
  <c r="AD192" i="67" s="1"/>
  <c r="A192" i="67"/>
  <c r="X190" i="67"/>
  <c r="AD190" i="67" s="1"/>
  <c r="A190" i="67"/>
  <c r="BV38" i="67"/>
  <c r="X194" i="67"/>
  <c r="AD194" i="67" s="1"/>
  <c r="A194" i="67"/>
  <c r="X183" i="67"/>
  <c r="AD183" i="67" s="1"/>
  <c r="A183" i="67"/>
  <c r="X179" i="67"/>
  <c r="AD179" i="67" s="1"/>
  <c r="A179" i="67"/>
  <c r="X193" i="67"/>
  <c r="AD193" i="67" s="1"/>
  <c r="A193" i="67"/>
  <c r="X186" i="67"/>
  <c r="AD186" i="67" s="1"/>
  <c r="A186" i="67"/>
  <c r="BV41" i="67"/>
  <c r="BV51" i="67"/>
  <c r="BR59" i="67"/>
  <c r="BU59" i="67"/>
  <c r="BU56" i="67"/>
  <c r="BU49" i="67"/>
  <c r="BU38" i="67"/>
  <c r="BT49" i="67"/>
  <c r="BV55" i="67"/>
  <c r="BR46" i="67"/>
  <c r="BT55" i="67"/>
  <c r="BU45" i="67"/>
  <c r="BS50" i="67"/>
  <c r="BR55" i="67"/>
  <c r="BR45" i="67"/>
  <c r="BT47" i="67"/>
  <c r="BS40" i="67"/>
  <c r="BS44" i="67"/>
  <c r="BS45" i="67"/>
  <c r="BU47" i="67"/>
  <c r="BR52" i="67"/>
  <c r="BR57" i="67"/>
  <c r="BS47" i="67"/>
  <c r="BR39" i="67"/>
  <c r="BU55" i="67"/>
  <c r="BS43" i="67"/>
  <c r="BS59" i="67"/>
  <c r="BT59" i="67"/>
  <c r="BT53" i="67"/>
  <c r="BS56" i="67"/>
  <c r="BT46" i="67"/>
  <c r="BT52" i="67"/>
  <c r="BR58" i="67"/>
  <c r="BS48" i="67"/>
  <c r="BS41" i="67"/>
  <c r="BR38" i="67"/>
  <c r="BV42" i="67"/>
  <c r="BT58" i="67"/>
  <c r="BR54" i="67"/>
  <c r="BU43" i="67"/>
  <c r="BR43" i="67"/>
  <c r="BV56" i="67"/>
  <c r="BR44" i="67"/>
  <c r="BV49" i="67"/>
  <c r="BV53" i="67"/>
  <c r="BT43" i="67"/>
  <c r="BR41" i="67"/>
  <c r="BS57" i="67"/>
  <c r="BT54" i="67"/>
  <c r="BS52" i="67"/>
  <c r="BT42" i="67"/>
  <c r="BR50" i="67"/>
  <c r="BV46" i="67"/>
  <c r="BR53" i="67"/>
  <c r="BT41" i="67"/>
  <c r="BT40" i="67"/>
  <c r="BV40" i="67"/>
  <c r="BV54" i="67"/>
  <c r="BV44" i="67"/>
  <c r="BR51" i="67"/>
  <c r="BV43" i="67"/>
  <c r="BT38" i="67"/>
  <c r="BU48" i="67"/>
  <c r="BV52" i="67"/>
  <c r="BV57" i="67"/>
  <c r="BR48" i="67"/>
  <c r="BV39" i="67"/>
  <c r="BV47" i="67"/>
  <c r="BR47" i="67"/>
  <c r="BS54" i="67"/>
  <c r="BT56" i="67"/>
  <c r="BU46" i="67"/>
  <c r="BU52" i="67"/>
  <c r="BT45" i="67"/>
  <c r="BS39" i="67"/>
  <c r="BR56" i="67"/>
  <c r="BU53" i="67"/>
  <c r="BV45" i="67"/>
  <c r="BV58" i="67"/>
  <c r="BR49" i="67"/>
  <c r="BT39" i="67"/>
  <c r="BR40" i="67"/>
  <c r="BS49" i="67"/>
  <c r="BU58" i="67"/>
  <c r="BV48" i="67"/>
  <c r="BU40" i="67"/>
  <c r="BU57" i="67"/>
  <c r="BR42" i="67"/>
  <c r="BS58" i="67"/>
  <c r="BT48" i="67"/>
  <c r="BU50" i="67"/>
  <c r="BU54" i="67"/>
  <c r="BT44" i="67"/>
  <c r="BU51" i="67"/>
  <c r="BS55" i="67"/>
  <c r="BV50" i="67"/>
  <c r="BS53" i="67"/>
  <c r="BU42" i="67"/>
  <c r="BT50" i="67"/>
  <c r="BS42" i="67"/>
  <c r="BU39" i="67"/>
  <c r="BS38" i="67"/>
  <c r="BU44" i="67"/>
  <c r="BS51" i="67"/>
  <c r="BS46" i="67"/>
  <c r="AP57" i="66"/>
  <c r="AP57" i="67"/>
  <c r="AK59" i="67"/>
  <c r="AK59" i="66"/>
  <c r="N33" i="92" l="1"/>
  <c r="W28" i="92" a="1"/>
  <c r="W28" i="92" s="1"/>
  <c r="Z39" i="67" s="1"/>
  <c r="P33" i="92"/>
  <c r="T33" i="92"/>
  <c r="X28" i="92" a="1"/>
  <c r="X28" i="92" s="1"/>
  <c r="AC38" i="67" s="1"/>
  <c r="F33" i="92"/>
  <c r="E33" i="92"/>
  <c r="S33" i="92"/>
  <c r="B33" i="92"/>
  <c r="M33" i="92"/>
  <c r="K33" i="92"/>
  <c r="I33" i="92"/>
  <c r="G33" i="92"/>
  <c r="Q33" i="92"/>
  <c r="X26" i="92" a="1"/>
  <c r="X26" i="92" s="1"/>
  <c r="D33" i="92"/>
  <c r="O33" i="92"/>
  <c r="R33" i="92"/>
  <c r="J33" i="92"/>
  <c r="V28" i="92" a="1"/>
  <c r="V28" i="92" s="1"/>
  <c r="Y39" i="67" s="1"/>
  <c r="L33" i="92"/>
  <c r="H33" i="92"/>
  <c r="C33" i="92"/>
  <c r="M31" i="92"/>
  <c r="W34" i="92" a="1"/>
  <c r="W34" i="92" s="1"/>
  <c r="Z140" i="68" s="1"/>
  <c r="X34" i="92" a="1"/>
  <c r="X34" i="92" s="1"/>
  <c r="AC139" i="68" s="1"/>
  <c r="AC140" i="68" s="1"/>
  <c r="V34" i="92" a="1"/>
  <c r="V34" i="92" s="1"/>
  <c r="Y140" i="68" s="1"/>
  <c r="D31" i="92"/>
  <c r="F32" i="92"/>
  <c r="B32" i="92"/>
  <c r="P31" i="92"/>
  <c r="R32" i="92"/>
  <c r="I31" i="92"/>
  <c r="H32" i="92"/>
  <c r="I32" i="92"/>
  <c r="Q31" i="92"/>
  <c r="O31" i="92"/>
  <c r="F31" i="92"/>
  <c r="R31" i="92"/>
  <c r="E31" i="92"/>
  <c r="M32" i="92"/>
  <c r="J31" i="92"/>
  <c r="Q32" i="92"/>
  <c r="W26" i="92" a="1"/>
  <c r="W26" i="92" s="1"/>
  <c r="V26" i="92" a="1"/>
  <c r="V26" i="92" s="1"/>
  <c r="D32" i="92"/>
  <c r="L31" i="92"/>
  <c r="K31" i="92"/>
  <c r="H31" i="92"/>
  <c r="C32" i="92"/>
  <c r="T32" i="92"/>
  <c r="G31" i="92"/>
  <c r="C31" i="92"/>
  <c r="G32" i="92"/>
  <c r="B31" i="92"/>
  <c r="T31" i="92"/>
  <c r="J32" i="92"/>
  <c r="P32" i="92"/>
  <c r="N32" i="92"/>
  <c r="S32" i="92"/>
  <c r="E32" i="92"/>
  <c r="S31" i="92"/>
  <c r="O32" i="92"/>
  <c r="L32" i="92"/>
  <c r="N31" i="92"/>
  <c r="K32" i="92"/>
  <c r="V30" i="92" a="1"/>
  <c r="V30" i="92" s="1"/>
  <c r="W30" i="92" a="1"/>
  <c r="W30" i="92" s="1"/>
  <c r="X30" i="92" a="1"/>
  <c r="X30" i="92" s="1"/>
  <c r="W29" i="92" a="1"/>
  <c r="W29" i="92" s="1"/>
  <c r="X29" i="92" a="1"/>
  <c r="X29" i="92" s="1"/>
  <c r="V29" i="92" a="1"/>
  <c r="V29" i="92" s="1"/>
  <c r="X44" i="76"/>
  <c r="W44" i="76"/>
  <c r="AU59" i="67"/>
  <c r="AV59" i="67"/>
  <c r="AR59" i="67"/>
  <c r="AT59" i="67"/>
  <c r="AS59" i="67"/>
  <c r="AV57" i="67"/>
  <c r="AT58" i="67"/>
  <c r="AV58" i="67"/>
  <c r="AS57" i="67"/>
  <c r="AU57" i="67"/>
  <c r="AS58" i="67"/>
  <c r="AR58" i="67"/>
  <c r="AU58" i="67"/>
  <c r="AR57" i="67"/>
  <c r="BQ59" i="67"/>
  <c r="X33" i="92" l="1" a="1"/>
  <c r="X33" i="92" s="1"/>
  <c r="AC38" i="68" s="1"/>
  <c r="W33" i="92" a="1"/>
  <c r="W33" i="92" s="1"/>
  <c r="Z39" i="68" s="1"/>
  <c r="V33" i="92" a="1"/>
  <c r="V33" i="92" s="1"/>
  <c r="Y39" i="68" s="1"/>
  <c r="X32" i="92" a="1"/>
  <c r="X32" i="92" s="1"/>
  <c r="W32" i="92" a="1"/>
  <c r="W32" i="92" s="1"/>
  <c r="V32" i="92" a="1"/>
  <c r="V32" i="92" s="1"/>
  <c r="AB139" i="68"/>
  <c r="X140" i="68"/>
  <c r="AB140" i="68"/>
  <c r="X31" i="92" a="1"/>
  <c r="X31" i="92" s="1"/>
  <c r="V31" i="92" a="1"/>
  <c r="V31" i="92" s="1"/>
  <c r="W31" i="92" a="1"/>
  <c r="W31" i="92" s="1"/>
  <c r="X94" i="65"/>
  <c r="X93" i="65"/>
  <c r="X92" i="65"/>
  <c r="X91" i="65"/>
  <c r="X90" i="65"/>
  <c r="X89" i="65"/>
  <c r="X88" i="65"/>
  <c r="X87" i="65"/>
  <c r="X86" i="65"/>
  <c r="X85" i="65"/>
  <c r="X84" i="65"/>
  <c r="X83" i="65"/>
  <c r="X82" i="65"/>
  <c r="X81" i="65"/>
  <c r="X80" i="65"/>
  <c r="X79" i="65"/>
  <c r="X78" i="65"/>
  <c r="X77" i="65"/>
  <c r="X76" i="65"/>
  <c r="X75" i="65"/>
  <c r="X74" i="65"/>
  <c r="X41" i="65"/>
  <c r="Z31" i="65"/>
  <c r="Y31" i="65"/>
  <c r="AK58" i="65"/>
  <c r="AQ58" i="65" s="1"/>
  <c r="AK57" i="65"/>
  <c r="AK56" i="65"/>
  <c r="AQ56" i="65" s="1"/>
  <c r="AK55" i="65"/>
  <c r="AQ55" i="65" s="1"/>
  <c r="AK54" i="65"/>
  <c r="AK53" i="65"/>
  <c r="AQ53" i="65" s="1"/>
  <c r="AK52" i="65"/>
  <c r="AQ52" i="65" s="1"/>
  <c r="AK51" i="65"/>
  <c r="AQ51" i="65" s="1"/>
  <c r="AK50" i="65"/>
  <c r="AQ50" i="65" s="1"/>
  <c r="AK49" i="65"/>
  <c r="AQ49" i="65" s="1"/>
  <c r="AK48" i="65"/>
  <c r="AQ48" i="65" s="1"/>
  <c r="AK47" i="65"/>
  <c r="AQ47" i="65" s="1"/>
  <c r="AK46" i="65"/>
  <c r="AQ46" i="65" s="1"/>
  <c r="AK45" i="65"/>
  <c r="AQ45" i="65" s="1"/>
  <c r="AK44" i="65"/>
  <c r="AQ44" i="65" s="1"/>
  <c r="AK43" i="65"/>
  <c r="AQ43" i="65" s="1"/>
  <c r="AK42" i="65"/>
  <c r="AQ42" i="65" s="1"/>
  <c r="AK41" i="65"/>
  <c r="AQ41" i="65" s="1"/>
  <c r="AK40" i="65"/>
  <c r="AQ40" i="65" s="1"/>
  <c r="AK39" i="65"/>
  <c r="AQ39" i="65" s="1"/>
  <c r="AK38" i="65"/>
  <c r="AQ38" i="65" s="1"/>
  <c r="X31" i="65"/>
  <c r="X30" i="65"/>
  <c r="X29" i="65"/>
  <c r="X28" i="65"/>
  <c r="X27" i="65"/>
  <c r="X26" i="65"/>
  <c r="X25" i="65"/>
  <c r="X24" i="65"/>
  <c r="X23" i="65"/>
  <c r="X22" i="65"/>
  <c r="X21" i="65"/>
  <c r="X20" i="65"/>
  <c r="X19" i="65"/>
  <c r="X18" i="65"/>
  <c r="X17" i="65"/>
  <c r="X16" i="65"/>
  <c r="X15" i="65"/>
  <c r="X14" i="65"/>
  <c r="X13" i="65"/>
  <c r="X12" i="65"/>
  <c r="X11" i="65"/>
  <c r="AP54" i="65" l="1"/>
  <c r="AQ54" i="65"/>
  <c r="S12" i="65"/>
  <c r="AM42" i="65"/>
  <c r="AN45" i="65"/>
  <c r="AL54" i="65"/>
  <c r="AL49" i="65"/>
  <c r="AL45" i="65"/>
  <c r="AP49" i="65"/>
  <c r="AN54" i="65"/>
  <c r="AN41" i="65"/>
  <c r="AP45" i="65"/>
  <c r="AN52" i="65"/>
  <c r="AN47" i="65"/>
  <c r="AM38" i="65"/>
  <c r="AM46" i="65"/>
  <c r="AM50" i="65"/>
  <c r="AP58" i="65"/>
  <c r="AP43" i="65"/>
  <c r="AN56" i="65"/>
  <c r="AL43" i="65"/>
  <c r="AO51" i="65"/>
  <c r="AH24" i="65"/>
  <c r="Q24" i="65" s="1"/>
  <c r="Q98" i="76" s="1"/>
  <c r="AL39" i="65"/>
  <c r="AP39" i="65"/>
  <c r="AN39" i="65"/>
  <c r="AO46" i="65"/>
  <c r="AO38" i="65"/>
  <c r="AN43" i="65"/>
  <c r="AL47" i="65"/>
  <c r="AP47" i="65"/>
  <c r="AN49" i="65"/>
  <c r="AL52" i="65"/>
  <c r="AP52" i="65"/>
  <c r="AM55" i="65"/>
  <c r="AL56" i="65"/>
  <c r="AP56" i="65"/>
  <c r="AL58" i="65"/>
  <c r="AO44" i="65"/>
  <c r="AN58" i="65"/>
  <c r="Y89" i="65"/>
  <c r="Y74" i="65"/>
  <c r="Y82" i="65"/>
  <c r="Z92" i="65"/>
  <c r="Y76" i="65"/>
  <c r="Y80" i="65"/>
  <c r="Y84" i="65"/>
  <c r="Y87" i="65"/>
  <c r="Y93" i="65"/>
  <c r="Y78" i="65"/>
  <c r="Y86" i="65"/>
  <c r="Y91" i="65"/>
  <c r="Z4" i="65"/>
  <c r="L62" i="65" s="1"/>
  <c r="AP59" i="65"/>
  <c r="Z85" i="65"/>
  <c r="Z88" i="65"/>
  <c r="Z90" i="65"/>
  <c r="Z94" i="65"/>
  <c r="Z77" i="65"/>
  <c r="Z81" i="65"/>
  <c r="AP41" i="65"/>
  <c r="AL57" i="65"/>
  <c r="Z91" i="65"/>
  <c r="L30" i="65"/>
  <c r="N30" i="65"/>
  <c r="AN30" i="65" s="1"/>
  <c r="AN40" i="65"/>
  <c r="AP40" i="65"/>
  <c r="AL40" i="65"/>
  <c r="AM40" i="65"/>
  <c r="AO40" i="65"/>
  <c r="AL59" i="65"/>
  <c r="AL41" i="65"/>
  <c r="Z89" i="65"/>
  <c r="AN44" i="65"/>
  <c r="AP44" i="65"/>
  <c r="AL44" i="65"/>
  <c r="AO48" i="65"/>
  <c r="AP51" i="65"/>
  <c r="AL51" i="65"/>
  <c r="AO53" i="65"/>
  <c r="AO59" i="65"/>
  <c r="Z83" i="65"/>
  <c r="Z79" i="65"/>
  <c r="Z75" i="65"/>
  <c r="AM59" i="65"/>
  <c r="AP42" i="65"/>
  <c r="AL42" i="65"/>
  <c r="AN42" i="65"/>
  <c r="AM44" i="65"/>
  <c r="AP50" i="65"/>
  <c r="AL50" i="65"/>
  <c r="AN50" i="65"/>
  <c r="AM51" i="65"/>
  <c r="AP55" i="65"/>
  <c r="AL55" i="65"/>
  <c r="AN55" i="65"/>
  <c r="Y75" i="65"/>
  <c r="Y77" i="65"/>
  <c r="Y79" i="65"/>
  <c r="Y81" i="65"/>
  <c r="Y83" i="65"/>
  <c r="Y85" i="65"/>
  <c r="Y88" i="65"/>
  <c r="Y90" i="65"/>
  <c r="Y92" i="65"/>
  <c r="Y94" i="65"/>
  <c r="AN48" i="65"/>
  <c r="AP48" i="65"/>
  <c r="AL48" i="65"/>
  <c r="AN53" i="65"/>
  <c r="AP53" i="65"/>
  <c r="AL53" i="65"/>
  <c r="AP38" i="65"/>
  <c r="AL38" i="65"/>
  <c r="AN38" i="65"/>
  <c r="AO42" i="65"/>
  <c r="AP46" i="65"/>
  <c r="AL46" i="65"/>
  <c r="AN46" i="65"/>
  <c r="AM48" i="65"/>
  <c r="AO50" i="65"/>
  <c r="AM53" i="65"/>
  <c r="AO55" i="65"/>
  <c r="AN59" i="65"/>
  <c r="Z74" i="65"/>
  <c r="Z78" i="65"/>
  <c r="Z80" i="65"/>
  <c r="Z82" i="65"/>
  <c r="Z84" i="65"/>
  <c r="Z86" i="65"/>
  <c r="Z87" i="65"/>
  <c r="Z93" i="65"/>
  <c r="AO39" i="65"/>
  <c r="AM41" i="65"/>
  <c r="AO43" i="65"/>
  <c r="AM45" i="65"/>
  <c r="AO47" i="65"/>
  <c r="AM49" i="65"/>
  <c r="AM52" i="65"/>
  <c r="AM54" i="65"/>
  <c r="AO56" i="65"/>
  <c r="AM58" i="65"/>
  <c r="AM39" i="65"/>
  <c r="AO41" i="65"/>
  <c r="AM43" i="65"/>
  <c r="AO45" i="65"/>
  <c r="AM47" i="65"/>
  <c r="AO49" i="65"/>
  <c r="AO52" i="65"/>
  <c r="AO54" i="65"/>
  <c r="AM56" i="65"/>
  <c r="AO58" i="65"/>
  <c r="S24" i="65" l="1"/>
  <c r="T24" i="65" s="1"/>
  <c r="S23" i="65"/>
  <c r="T23" i="65" s="1"/>
  <c r="S17" i="65"/>
  <c r="T17" i="65" s="1"/>
  <c r="S19" i="65"/>
  <c r="T19" i="65" s="1"/>
  <c r="S26" i="65"/>
  <c r="T26" i="65" s="1"/>
  <c r="S28" i="65"/>
  <c r="T28" i="65" s="1"/>
  <c r="S29" i="65"/>
  <c r="T29" i="65" s="1"/>
  <c r="S21" i="65"/>
  <c r="T21" i="65" s="1"/>
  <c r="S15" i="65"/>
  <c r="T15" i="65" s="1"/>
  <c r="S27" i="65"/>
  <c r="T27" i="65" s="1"/>
  <c r="S13" i="65"/>
  <c r="T13" i="65" s="1"/>
  <c r="Z76" i="65" s="1"/>
  <c r="S16" i="65"/>
  <c r="T16" i="65" s="1"/>
  <c r="S22" i="65"/>
  <c r="T22" i="65" s="1"/>
  <c r="S14" i="65"/>
  <c r="T14" i="65" s="1"/>
  <c r="S20" i="65"/>
  <c r="T20" i="65" s="1"/>
  <c r="S25" i="65"/>
  <c r="T25" i="65" s="1"/>
  <c r="S18" i="65"/>
  <c r="T18" i="65" s="1"/>
  <c r="S11" i="65"/>
  <c r="T11" i="65" s="1"/>
  <c r="T12" i="65"/>
  <c r="AK30" i="65"/>
  <c r="AO57" i="65"/>
  <c r="AM57" i="65"/>
  <c r="AV57" i="66"/>
  <c r="W41" i="76"/>
  <c r="AH29" i="65"/>
  <c r="Q29" i="65" s="1"/>
  <c r="V98" i="76" s="1"/>
  <c r="AH23" i="65"/>
  <c r="Q23" i="65" s="1"/>
  <c r="P98" i="76" s="1"/>
  <c r="AH28" i="65"/>
  <c r="Q28" i="65" s="1"/>
  <c r="U98" i="76" s="1"/>
  <c r="AH27" i="65"/>
  <c r="Q27" i="65" s="1"/>
  <c r="T98" i="76" s="1"/>
  <c r="AH12" i="65"/>
  <c r="Q12" i="65" s="1"/>
  <c r="E98" i="76" s="1"/>
  <c r="AH20" i="65"/>
  <c r="Q20" i="65" s="1"/>
  <c r="M98" i="76" s="1"/>
  <c r="AH18" i="65"/>
  <c r="Q18" i="65" s="1"/>
  <c r="K98" i="76" s="1"/>
  <c r="AH19" i="65"/>
  <c r="Q19" i="65" s="1"/>
  <c r="L98" i="76" s="1"/>
  <c r="AH22" i="65"/>
  <c r="Q22" i="65" s="1"/>
  <c r="O98" i="76" s="1"/>
  <c r="AH16" i="65"/>
  <c r="Q16" i="65" s="1"/>
  <c r="I98" i="76" s="1"/>
  <c r="AH15" i="65"/>
  <c r="Q15" i="65" s="1"/>
  <c r="H98" i="76" s="1"/>
  <c r="AH25" i="65"/>
  <c r="Q25" i="65" s="1"/>
  <c r="R98" i="76" s="1"/>
  <c r="AH17" i="65"/>
  <c r="Q17" i="65" s="1"/>
  <c r="J98" i="76" s="1"/>
  <c r="AH26" i="65"/>
  <c r="Q26" i="65" s="1"/>
  <c r="S98" i="76" s="1"/>
  <c r="AH14" i="65"/>
  <c r="Q14" i="65" s="1"/>
  <c r="G98" i="76" s="1"/>
  <c r="AH11" i="65"/>
  <c r="Q11" i="65" s="1"/>
  <c r="D98" i="76" s="1"/>
  <c r="AH21" i="65"/>
  <c r="Q21" i="65" s="1"/>
  <c r="N98" i="76" s="1"/>
  <c r="AH13" i="65"/>
  <c r="Q13" i="65" s="1"/>
  <c r="F98" i="76" s="1"/>
  <c r="AK59" i="65"/>
  <c r="P30" i="65" l="1"/>
  <c r="AP57" i="65"/>
  <c r="W39" i="76"/>
  <c r="X94" i="64"/>
  <c r="X93" i="64"/>
  <c r="X92" i="64"/>
  <c r="X91" i="64"/>
  <c r="X90" i="64"/>
  <c r="X89" i="64"/>
  <c r="X88" i="64"/>
  <c r="X87" i="64"/>
  <c r="X86" i="64"/>
  <c r="X85" i="64"/>
  <c r="X84" i="64"/>
  <c r="X83" i="64"/>
  <c r="X82" i="64"/>
  <c r="X81" i="64"/>
  <c r="X80" i="64"/>
  <c r="X79" i="64"/>
  <c r="X78" i="64"/>
  <c r="X77" i="64"/>
  <c r="X76" i="64"/>
  <c r="X75" i="64"/>
  <c r="X74" i="64"/>
  <c r="X41" i="64"/>
  <c r="Z31" i="64"/>
  <c r="Y31" i="64"/>
  <c r="AK58" i="64"/>
  <c r="AQ58" i="64" s="1"/>
  <c r="S31" i="64" s="1"/>
  <c r="AK57" i="64"/>
  <c r="AK56" i="64"/>
  <c r="AQ56" i="64" s="1"/>
  <c r="S29" i="64" s="1"/>
  <c r="T29" i="64" s="1"/>
  <c r="AK55" i="64"/>
  <c r="AQ55" i="64" s="1"/>
  <c r="S28" i="64" s="1"/>
  <c r="AK54" i="64"/>
  <c r="AQ54" i="64" s="1"/>
  <c r="S27" i="64" s="1"/>
  <c r="AK53" i="64"/>
  <c r="AQ53" i="64" s="1"/>
  <c r="S26" i="64" s="1"/>
  <c r="T26" i="64" s="1"/>
  <c r="AK52" i="64"/>
  <c r="AQ52" i="64" s="1"/>
  <c r="S25" i="64" s="1"/>
  <c r="T25" i="64" s="1"/>
  <c r="AK51" i="64"/>
  <c r="AQ51" i="64" s="1"/>
  <c r="S24" i="64" s="1"/>
  <c r="T24" i="64" s="1"/>
  <c r="AK50" i="64"/>
  <c r="AQ50" i="64" s="1"/>
  <c r="S23" i="64" s="1"/>
  <c r="T23" i="64" s="1"/>
  <c r="AK49" i="64"/>
  <c r="AQ49" i="64" s="1"/>
  <c r="S22" i="64" s="1"/>
  <c r="AK48" i="64"/>
  <c r="AQ48" i="64" s="1"/>
  <c r="S21" i="64" s="1"/>
  <c r="T21" i="64" s="1"/>
  <c r="AK47" i="64"/>
  <c r="AQ47" i="64" s="1"/>
  <c r="S20" i="64" s="1"/>
  <c r="T20" i="64" s="1"/>
  <c r="AK46" i="64"/>
  <c r="AQ46" i="64" s="1"/>
  <c r="S19" i="64" s="1"/>
  <c r="T19" i="64" s="1"/>
  <c r="AK45" i="64"/>
  <c r="AQ45" i="64" s="1"/>
  <c r="S18" i="64" s="1"/>
  <c r="AK44" i="64"/>
  <c r="AQ44" i="64" s="1"/>
  <c r="S17" i="64" s="1"/>
  <c r="T17" i="64" s="1"/>
  <c r="AK43" i="64"/>
  <c r="AQ43" i="64" s="1"/>
  <c r="S16" i="64" s="1"/>
  <c r="T16" i="64" s="1"/>
  <c r="AK42" i="64"/>
  <c r="AQ42" i="64" s="1"/>
  <c r="S15" i="64" s="1"/>
  <c r="T15" i="64" s="1"/>
  <c r="AK41" i="64"/>
  <c r="AQ41" i="64" s="1"/>
  <c r="S14" i="64" s="1"/>
  <c r="AK40" i="64"/>
  <c r="AQ40" i="64" s="1"/>
  <c r="S13" i="64" s="1"/>
  <c r="AK39" i="64"/>
  <c r="AQ39" i="64" s="1"/>
  <c r="S12" i="64" s="1"/>
  <c r="T12" i="64" s="1"/>
  <c r="AK38" i="64"/>
  <c r="AQ38" i="64" s="1"/>
  <c r="S11" i="64" s="1"/>
  <c r="T11" i="64" s="1"/>
  <c r="X31" i="64"/>
  <c r="X30" i="64"/>
  <c r="N30" i="64"/>
  <c r="X29" i="64"/>
  <c r="X28" i="64"/>
  <c r="X27" i="64"/>
  <c r="X26" i="64"/>
  <c r="X25" i="64"/>
  <c r="X24" i="64"/>
  <c r="X23" i="64"/>
  <c r="X22" i="64"/>
  <c r="X21" i="64"/>
  <c r="X20" i="64"/>
  <c r="X19" i="64"/>
  <c r="X18" i="64"/>
  <c r="X17" i="64"/>
  <c r="X16" i="64"/>
  <c r="X15" i="64"/>
  <c r="X14" i="64"/>
  <c r="X13" i="64"/>
  <c r="X12" i="64"/>
  <c r="X11" i="64"/>
  <c r="T13" i="64" l="1"/>
  <c r="Z76" i="64" s="1"/>
  <c r="AM54" i="64"/>
  <c r="AM41" i="64"/>
  <c r="AL45" i="64"/>
  <c r="AN45" i="64"/>
  <c r="AL41" i="64"/>
  <c r="AM45" i="64"/>
  <c r="AN54" i="64"/>
  <c r="AN41" i="64"/>
  <c r="AN49" i="64"/>
  <c r="AN50" i="64"/>
  <c r="AL38" i="64"/>
  <c r="AP38" i="64"/>
  <c r="AM50" i="64"/>
  <c r="AN58" i="64"/>
  <c r="AM48" i="64"/>
  <c r="AL51" i="64"/>
  <c r="AM51" i="64"/>
  <c r="AL47" i="64"/>
  <c r="AO42" i="64"/>
  <c r="AO44" i="64"/>
  <c r="AO46" i="64"/>
  <c r="AM46" i="64"/>
  <c r="AL49" i="64"/>
  <c r="AP49" i="64"/>
  <c r="AN55" i="64"/>
  <c r="AN46" i="64"/>
  <c r="AM49" i="64"/>
  <c r="Z78" i="64"/>
  <c r="Z82" i="64"/>
  <c r="Z84" i="64"/>
  <c r="Z86" i="64"/>
  <c r="Z87" i="64"/>
  <c r="Z93" i="64"/>
  <c r="Y74" i="64"/>
  <c r="Y75" i="64"/>
  <c r="Y79" i="64"/>
  <c r="Y81" i="64"/>
  <c r="Y85" i="64"/>
  <c r="Y88" i="64"/>
  <c r="Y90" i="64"/>
  <c r="Y94" i="64"/>
  <c r="Z75" i="64"/>
  <c r="Z79" i="64"/>
  <c r="Z83" i="64"/>
  <c r="Z85" i="64"/>
  <c r="Z88" i="64"/>
  <c r="Z90" i="64"/>
  <c r="Z92" i="64"/>
  <c r="Z94" i="64"/>
  <c r="Y76" i="64"/>
  <c r="Y78" i="64"/>
  <c r="Y80" i="64"/>
  <c r="Y82" i="64"/>
  <c r="Y84" i="64"/>
  <c r="Y86" i="64"/>
  <c r="Y87" i="64"/>
  <c r="Y89" i="64"/>
  <c r="Y91" i="64"/>
  <c r="Y93" i="64"/>
  <c r="Z74" i="64"/>
  <c r="Y77" i="64"/>
  <c r="Y83" i="64"/>
  <c r="Y92" i="64"/>
  <c r="AL52" i="64"/>
  <c r="Z4" i="64"/>
  <c r="AN47" i="64"/>
  <c r="AO48" i="64"/>
  <c r="T22" i="64"/>
  <c r="AM52" i="64"/>
  <c r="T27" i="64"/>
  <c r="AL58" i="64"/>
  <c r="AP58" i="64"/>
  <c r="AO43" i="64"/>
  <c r="Z80" i="64"/>
  <c r="AO47" i="64"/>
  <c r="AL48" i="64"/>
  <c r="AN52" i="64"/>
  <c r="Z89" i="64"/>
  <c r="AL54" i="64"/>
  <c r="AP54" i="64"/>
  <c r="AM55" i="64"/>
  <c r="AM58" i="64"/>
  <c r="AP41" i="64"/>
  <c r="AO57" i="64"/>
  <c r="L30" i="64"/>
  <c r="AM59" i="64"/>
  <c r="AO53" i="64"/>
  <c r="Y30" i="64"/>
  <c r="AP53" i="64"/>
  <c r="K30" i="64"/>
  <c r="AL57" i="64" s="1"/>
  <c r="AO38" i="64"/>
  <c r="AO39" i="64"/>
  <c r="AO40" i="64"/>
  <c r="AN42" i="64"/>
  <c r="AN43" i="64"/>
  <c r="AM44" i="64"/>
  <c r="AP50" i="64"/>
  <c r="AL50" i="64"/>
  <c r="AP51" i="64"/>
  <c r="AP52" i="64"/>
  <c r="AN40" i="64"/>
  <c r="AM38" i="64"/>
  <c r="AL39" i="64"/>
  <c r="AL40" i="64"/>
  <c r="AP42" i="64"/>
  <c r="AL42" i="64"/>
  <c r="AM43" i="64"/>
  <c r="AP43" i="64"/>
  <c r="AN44" i="64"/>
  <c r="AP44" i="64"/>
  <c r="AP45" i="64"/>
  <c r="AN53" i="64"/>
  <c r="AM53" i="64"/>
  <c r="AM56" i="64"/>
  <c r="AP56" i="64"/>
  <c r="AL56" i="64"/>
  <c r="AN56" i="64"/>
  <c r="AM39" i="64"/>
  <c r="AP39" i="64"/>
  <c r="AP40" i="64"/>
  <c r="AO59" i="64"/>
  <c r="AN59" i="64"/>
  <c r="AP59" i="64"/>
  <c r="AN38" i="64"/>
  <c r="AN39" i="64"/>
  <c r="AM40" i="64"/>
  <c r="AM42" i="64"/>
  <c r="AL43" i="64"/>
  <c r="AL44" i="64"/>
  <c r="AP46" i="64"/>
  <c r="AL46" i="64"/>
  <c r="AM47" i="64"/>
  <c r="AP47" i="64"/>
  <c r="AN48" i="64"/>
  <c r="AP48" i="64"/>
  <c r="AO50" i="64"/>
  <c r="AO51" i="64"/>
  <c r="AL53" i="64"/>
  <c r="AO56" i="64"/>
  <c r="AO55" i="64"/>
  <c r="AO41" i="64"/>
  <c r="AO45" i="64"/>
  <c r="AO49" i="64"/>
  <c r="AO52" i="64"/>
  <c r="AO54" i="64"/>
  <c r="AL55" i="64"/>
  <c r="AP55" i="64"/>
  <c r="AO58" i="64"/>
  <c r="AK59" i="64" l="1"/>
  <c r="L62" i="64"/>
  <c r="T14" i="64"/>
  <c r="Z77" i="64" s="1"/>
  <c r="T28" i="64"/>
  <c r="Z91" i="64" s="1"/>
  <c r="Z81" i="64"/>
  <c r="T18" i="64"/>
  <c r="AK30" i="64"/>
  <c r="AM57" i="64"/>
  <c r="O30" i="64"/>
  <c r="AH28" i="64"/>
  <c r="Q28" i="64" s="1"/>
  <c r="U97" i="76" s="1"/>
  <c r="AH23" i="64"/>
  <c r="Q23" i="64" s="1"/>
  <c r="P97" i="76" s="1"/>
  <c r="AH29" i="64"/>
  <c r="Q29" i="64" s="1"/>
  <c r="V97" i="76" s="1"/>
  <c r="AH17" i="64"/>
  <c r="Q17" i="64" s="1"/>
  <c r="J97" i="76" s="1"/>
  <c r="AH25" i="64"/>
  <c r="Q25" i="64" s="1"/>
  <c r="R97" i="76" s="1"/>
  <c r="AH20" i="64"/>
  <c r="Q20" i="64" s="1"/>
  <c r="M97" i="76" s="1"/>
  <c r="AH24" i="64"/>
  <c r="Q24" i="64" s="1"/>
  <c r="Q97" i="76" s="1"/>
  <c r="AH26" i="64"/>
  <c r="Q26" i="64" s="1"/>
  <c r="S97" i="76" s="1"/>
  <c r="AH21" i="64"/>
  <c r="Q21" i="64" s="1"/>
  <c r="N97" i="76" s="1"/>
  <c r="AH18" i="64"/>
  <c r="Q18" i="64" s="1"/>
  <c r="K97" i="76" s="1"/>
  <c r="AH19" i="64"/>
  <c r="Q19" i="64" s="1"/>
  <c r="L97" i="76" s="1"/>
  <c r="AH15" i="64"/>
  <c r="Q15" i="64" s="1"/>
  <c r="H97" i="76" s="1"/>
  <c r="AH16" i="64"/>
  <c r="Q16" i="64" s="1"/>
  <c r="I97" i="76" s="1"/>
  <c r="AH22" i="64"/>
  <c r="Q22" i="64" s="1"/>
  <c r="O97" i="76" s="1"/>
  <c r="AH27" i="64"/>
  <c r="Q27" i="64" s="1"/>
  <c r="T97" i="76" s="1"/>
  <c r="AH13" i="64"/>
  <c r="Q13" i="64" s="1"/>
  <c r="F97" i="76" s="1"/>
  <c r="AH11" i="64"/>
  <c r="Q11" i="64" s="1"/>
  <c r="D97" i="76" s="1"/>
  <c r="AH14" i="64"/>
  <c r="Q14" i="64" s="1"/>
  <c r="G97" i="76" s="1"/>
  <c r="AH12" i="64"/>
  <c r="Q12" i="64" s="1"/>
  <c r="E97" i="76" s="1"/>
  <c r="AN30" i="64" l="1"/>
  <c r="P30" i="64"/>
  <c r="AP57" i="64"/>
  <c r="W38" i="76"/>
  <c r="AD170" i="63" l="1"/>
  <c r="AE170" i="63"/>
  <c r="B226" i="63" l="1"/>
  <c r="X192" i="63" l="1"/>
  <c r="X225" i="63" s="1"/>
  <c r="X74" i="63" l="1"/>
  <c r="Z140" i="63" l="1"/>
  <c r="AA140" i="63"/>
  <c r="AB140" i="63"/>
  <c r="AC140" i="63"/>
  <c r="Y140" i="63"/>
  <c r="B160" i="63" l="1"/>
  <c r="B225" i="63" s="1"/>
  <c r="X191" i="63" s="1"/>
  <c r="X224" i="63" s="1"/>
  <c r="B159" i="63"/>
  <c r="A159" i="63" s="1"/>
  <c r="B158" i="63"/>
  <c r="A158" i="63" s="1"/>
  <c r="B157" i="63"/>
  <c r="A157" i="63" s="1"/>
  <c r="B156" i="63"/>
  <c r="A156" i="63" s="1"/>
  <c r="B155" i="63"/>
  <c r="A155" i="63" s="1"/>
  <c r="B154" i="63"/>
  <c r="A154" i="63" s="1"/>
  <c r="B153" i="63"/>
  <c r="A153" i="63" s="1"/>
  <c r="B152" i="63"/>
  <c r="A152" i="63" s="1"/>
  <c r="B151" i="63"/>
  <c r="A151" i="63" s="1"/>
  <c r="B150" i="63"/>
  <c r="A150" i="63" s="1"/>
  <c r="B149" i="63"/>
  <c r="A149" i="63" s="1"/>
  <c r="B148" i="63"/>
  <c r="A148" i="63" s="1"/>
  <c r="B147" i="63"/>
  <c r="A147" i="63" s="1"/>
  <c r="B146" i="63"/>
  <c r="A146" i="63" s="1"/>
  <c r="B145" i="63"/>
  <c r="A145" i="63" s="1"/>
  <c r="B144" i="63"/>
  <c r="A144" i="63" s="1"/>
  <c r="B143" i="63"/>
  <c r="A143" i="63" s="1"/>
  <c r="B142" i="63"/>
  <c r="A142" i="63" s="1"/>
  <c r="B141" i="63"/>
  <c r="A141" i="63" s="1"/>
  <c r="X94" i="63"/>
  <c r="X93" i="63"/>
  <c r="X92" i="63"/>
  <c r="X91" i="63"/>
  <c r="X90" i="63"/>
  <c r="X89" i="63"/>
  <c r="X88" i="63"/>
  <c r="X87" i="63"/>
  <c r="X86" i="63"/>
  <c r="X85" i="63"/>
  <c r="X84" i="63"/>
  <c r="X83" i="63"/>
  <c r="X82" i="63"/>
  <c r="X81" i="63"/>
  <c r="X80" i="63"/>
  <c r="X79" i="63"/>
  <c r="X78" i="63"/>
  <c r="X77" i="63"/>
  <c r="X76" i="63"/>
  <c r="X75" i="63"/>
  <c r="X41" i="63"/>
  <c r="Z31" i="63"/>
  <c r="Y31" i="63"/>
  <c r="AK58" i="63"/>
  <c r="AQ58" i="63" s="1"/>
  <c r="AK57" i="63"/>
  <c r="AK56" i="63"/>
  <c r="AK55" i="63"/>
  <c r="AQ55" i="63" s="1"/>
  <c r="AK54" i="63"/>
  <c r="AQ54" i="63" s="1"/>
  <c r="AK53" i="63"/>
  <c r="AQ53" i="63" s="1"/>
  <c r="AK52" i="63"/>
  <c r="AQ52" i="63" s="1"/>
  <c r="AK51" i="63"/>
  <c r="AQ51" i="63" s="1"/>
  <c r="AK50" i="63"/>
  <c r="AQ50" i="63" s="1"/>
  <c r="AK49" i="63"/>
  <c r="AK48" i="63"/>
  <c r="AQ48" i="63" s="1"/>
  <c r="AK47" i="63"/>
  <c r="AQ47" i="63" s="1"/>
  <c r="AK46" i="63"/>
  <c r="AQ46" i="63" s="1"/>
  <c r="AK45" i="63"/>
  <c r="AQ45" i="63" s="1"/>
  <c r="AK44" i="63"/>
  <c r="AK43" i="63"/>
  <c r="AQ43" i="63" s="1"/>
  <c r="AK42" i="63"/>
  <c r="AQ42" i="63" s="1"/>
  <c r="AK41" i="63"/>
  <c r="AQ41" i="63" s="1"/>
  <c r="AK40" i="63"/>
  <c r="AQ40" i="63" s="1"/>
  <c r="AK39" i="63"/>
  <c r="AQ39" i="63" s="1"/>
  <c r="AK38" i="63"/>
  <c r="AQ38" i="63" s="1"/>
  <c r="X31" i="63"/>
  <c r="X30" i="63"/>
  <c r="X29" i="63"/>
  <c r="T29" i="63"/>
  <c r="X28" i="63"/>
  <c r="X27" i="63"/>
  <c r="T27" i="63"/>
  <c r="X26" i="63"/>
  <c r="T26" i="63"/>
  <c r="X25" i="63"/>
  <c r="T25" i="63"/>
  <c r="X24" i="63"/>
  <c r="T24" i="63"/>
  <c r="X23" i="63"/>
  <c r="T23" i="63"/>
  <c r="X22" i="63"/>
  <c r="T22" i="63"/>
  <c r="X21" i="63"/>
  <c r="T21" i="63"/>
  <c r="X20" i="63"/>
  <c r="T20" i="63"/>
  <c r="X19" i="63"/>
  <c r="T19" i="63"/>
  <c r="X18" i="63"/>
  <c r="T18" i="63"/>
  <c r="X17" i="63"/>
  <c r="T17" i="63"/>
  <c r="X16" i="63"/>
  <c r="T16" i="63"/>
  <c r="X15" i="63"/>
  <c r="T15" i="63"/>
  <c r="X14" i="63"/>
  <c r="T14" i="63"/>
  <c r="X13" i="63"/>
  <c r="T13" i="63"/>
  <c r="X12" i="63"/>
  <c r="T12" i="63"/>
  <c r="X11" i="63"/>
  <c r="T11" i="63"/>
  <c r="X41" i="62"/>
  <c r="X41" i="49"/>
  <c r="AM44" i="63" l="1"/>
  <c r="AQ44" i="63"/>
  <c r="AN49" i="63"/>
  <c r="AQ49" i="63"/>
  <c r="AM56" i="63"/>
  <c r="AQ56" i="63"/>
  <c r="D29" i="76"/>
  <c r="T28" i="63"/>
  <c r="AL43" i="63"/>
  <c r="AP47" i="63"/>
  <c r="AN41" i="63"/>
  <c r="E30" i="76"/>
  <c r="F28" i="76"/>
  <c r="W28" i="76"/>
  <c r="G31" i="76"/>
  <c r="M28" i="76"/>
  <c r="G29" i="76"/>
  <c r="Q27" i="76"/>
  <c r="P31" i="76"/>
  <c r="I31" i="76"/>
  <c r="T27" i="76"/>
  <c r="G27" i="76"/>
  <c r="K29" i="76"/>
  <c r="T28" i="76"/>
  <c r="S30" i="76"/>
  <c r="AL47" i="63"/>
  <c r="O28" i="76"/>
  <c r="R28" i="76"/>
  <c r="X29" i="76"/>
  <c r="X28" i="76"/>
  <c r="T31" i="76"/>
  <c r="I30" i="76"/>
  <c r="M30" i="76"/>
  <c r="D30" i="76"/>
  <c r="U31" i="76"/>
  <c r="W30" i="76"/>
  <c r="H30" i="76"/>
  <c r="S31" i="76"/>
  <c r="J27" i="76"/>
  <c r="K30" i="76"/>
  <c r="H31" i="76"/>
  <c r="I29" i="76"/>
  <c r="V29" i="76"/>
  <c r="N30" i="76"/>
  <c r="AP43" i="63"/>
  <c r="U29" i="76"/>
  <c r="S20" i="92" s="1"/>
  <c r="W27" i="76"/>
  <c r="W29" i="76"/>
  <c r="O31" i="76"/>
  <c r="H28" i="76"/>
  <c r="N28" i="76"/>
  <c r="P29" i="76"/>
  <c r="I27" i="76"/>
  <c r="O27" i="76"/>
  <c r="Q31" i="76"/>
  <c r="O29" i="76"/>
  <c r="P30" i="76"/>
  <c r="V28" i="76"/>
  <c r="Q30" i="76"/>
  <c r="L27" i="76"/>
  <c r="R27" i="76"/>
  <c r="F29" i="76"/>
  <c r="D20" i="92" s="1"/>
  <c r="G30" i="76"/>
  <c r="M31" i="76"/>
  <c r="F31" i="76"/>
  <c r="E27" i="76"/>
  <c r="V30" i="76"/>
  <c r="S27" i="76"/>
  <c r="R29" i="76"/>
  <c r="P20" i="92" s="1"/>
  <c r="K31" i="76"/>
  <c r="J28" i="76"/>
  <c r="X27" i="76"/>
  <c r="U27" i="76"/>
  <c r="X31" i="76"/>
  <c r="L29" i="76"/>
  <c r="J20" i="92" s="1"/>
  <c r="L28" i="76"/>
  <c r="J30" i="76"/>
  <c r="K27" i="76"/>
  <c r="X30" i="76"/>
  <c r="O30" i="76"/>
  <c r="U28" i="76"/>
  <c r="G28" i="76"/>
  <c r="S29" i="76"/>
  <c r="Q20" i="92" s="1"/>
  <c r="V27" i="76"/>
  <c r="F27" i="76"/>
  <c r="D27" i="76"/>
  <c r="N27" i="76"/>
  <c r="E31" i="76"/>
  <c r="Q29" i="76"/>
  <c r="O20" i="92" s="1"/>
  <c r="I28" i="76"/>
  <c r="D31" i="76"/>
  <c r="N31" i="76"/>
  <c r="L22" i="92" s="1"/>
  <c r="U30" i="76"/>
  <c r="H27" i="76"/>
  <c r="P28" i="76"/>
  <c r="S28" i="76"/>
  <c r="R30" i="76"/>
  <c r="V31" i="76"/>
  <c r="T22" i="92" s="1"/>
  <c r="E29" i="76"/>
  <c r="C20" i="92" s="1"/>
  <c r="T29" i="76"/>
  <c r="R20" i="92" s="1"/>
  <c r="R31" i="76"/>
  <c r="Q28" i="76"/>
  <c r="E28" i="76"/>
  <c r="K28" i="76"/>
  <c r="L30" i="76"/>
  <c r="W31" i="76"/>
  <c r="T30" i="76"/>
  <c r="J31" i="76"/>
  <c r="D28" i="76"/>
  <c r="M27" i="76"/>
  <c r="L31" i="76"/>
  <c r="M29" i="76"/>
  <c r="N29" i="76"/>
  <c r="L20" i="92" s="1"/>
  <c r="P27" i="76"/>
  <c r="J29" i="76"/>
  <c r="H20" i="92" s="1"/>
  <c r="H29" i="76"/>
  <c r="F30" i="76"/>
  <c r="AH28" i="63"/>
  <c r="Q28" i="63" s="1"/>
  <c r="U96" i="76" s="1"/>
  <c r="AH23" i="63"/>
  <c r="Q23" i="63" s="1"/>
  <c r="P96" i="76" s="1"/>
  <c r="AH29" i="63"/>
  <c r="Q29" i="63" s="1"/>
  <c r="V96" i="76" s="1"/>
  <c r="AH11" i="63"/>
  <c r="Q11" i="63" s="1"/>
  <c r="D96" i="76" s="1"/>
  <c r="AH13" i="63"/>
  <c r="Q13" i="63" s="1"/>
  <c r="F96" i="76" s="1"/>
  <c r="AH22" i="63"/>
  <c r="Q22" i="63" s="1"/>
  <c r="O96" i="76" s="1"/>
  <c r="BD42" i="63"/>
  <c r="BF42" i="63"/>
  <c r="BB42" i="63"/>
  <c r="BC42" i="63"/>
  <c r="BE42" i="63"/>
  <c r="BE46" i="63"/>
  <c r="BD46" i="63"/>
  <c r="BF46" i="63"/>
  <c r="BC46" i="63"/>
  <c r="BB46" i="63"/>
  <c r="BF52" i="63"/>
  <c r="BE52" i="63"/>
  <c r="BB52" i="63"/>
  <c r="BC52" i="63"/>
  <c r="BD52" i="63"/>
  <c r="AH24" i="63"/>
  <c r="Q24" i="63" s="1"/>
  <c r="Q96" i="76" s="1"/>
  <c r="BE45" i="63"/>
  <c r="BC45" i="63"/>
  <c r="BF45" i="63"/>
  <c r="BD45" i="63"/>
  <c r="BB45" i="63"/>
  <c r="BE54" i="63"/>
  <c r="BD54" i="63"/>
  <c r="BB54" i="63"/>
  <c r="BC54" i="63"/>
  <c r="BF54" i="63"/>
  <c r="BC58" i="63"/>
  <c r="BB58" i="63"/>
  <c r="BD58" i="63"/>
  <c r="BE58" i="63"/>
  <c r="BF58" i="63"/>
  <c r="AH12" i="63"/>
  <c r="Q12" i="63" s="1"/>
  <c r="E96" i="76" s="1"/>
  <c r="AH14" i="63"/>
  <c r="Q14" i="63" s="1"/>
  <c r="G96" i="76" s="1"/>
  <c r="AH16" i="63"/>
  <c r="Q16" i="63" s="1"/>
  <c r="I96" i="76" s="1"/>
  <c r="AH18" i="63"/>
  <c r="Q18" i="63" s="1"/>
  <c r="K96" i="76" s="1"/>
  <c r="AH20" i="63"/>
  <c r="Q20" i="63" s="1"/>
  <c r="M96" i="76" s="1"/>
  <c r="AH25" i="63"/>
  <c r="Q25" i="63" s="1"/>
  <c r="R96" i="76" s="1"/>
  <c r="BE40" i="63"/>
  <c r="BF40" i="63"/>
  <c r="BD40" i="63"/>
  <c r="BC40" i="63"/>
  <c r="BB40" i="63"/>
  <c r="BF44" i="63"/>
  <c r="BE44" i="63"/>
  <c r="BC44" i="63"/>
  <c r="BB44" i="63"/>
  <c r="BD44" i="63"/>
  <c r="BC50" i="63"/>
  <c r="BE50" i="63"/>
  <c r="BF50" i="63"/>
  <c r="BB50" i="63"/>
  <c r="BD50" i="63"/>
  <c r="BE53" i="63"/>
  <c r="BC53" i="63"/>
  <c r="BD53" i="63"/>
  <c r="BF53" i="63"/>
  <c r="BB53" i="63"/>
  <c r="AH15" i="63"/>
  <c r="Q15" i="63" s="1"/>
  <c r="H96" i="76" s="1"/>
  <c r="AH17" i="63"/>
  <c r="Q17" i="63" s="1"/>
  <c r="J96" i="76" s="1"/>
  <c r="AH19" i="63"/>
  <c r="Q19" i="63" s="1"/>
  <c r="L96" i="76" s="1"/>
  <c r="AH27" i="63"/>
  <c r="Q27" i="63" s="1"/>
  <c r="T96" i="76" s="1"/>
  <c r="BE38" i="63"/>
  <c r="BB38" i="63"/>
  <c r="BC38" i="63"/>
  <c r="BD38" i="63"/>
  <c r="BF38" i="63"/>
  <c r="BD55" i="63"/>
  <c r="BB55" i="63"/>
  <c r="BE55" i="63"/>
  <c r="BC55" i="63"/>
  <c r="BF55" i="63"/>
  <c r="AH21" i="63"/>
  <c r="Q21" i="63" s="1"/>
  <c r="N96" i="76" s="1"/>
  <c r="BE41" i="63"/>
  <c r="BB41" i="63"/>
  <c r="BD41" i="63"/>
  <c r="BF41" i="63"/>
  <c r="BC41" i="63"/>
  <c r="BB51" i="63"/>
  <c r="BC51" i="63"/>
  <c r="BF51" i="63"/>
  <c r="BE51" i="63"/>
  <c r="BC59" i="63"/>
  <c r="BB59" i="63"/>
  <c r="BE59" i="63"/>
  <c r="BD59" i="63"/>
  <c r="BF59" i="63"/>
  <c r="AH26" i="63"/>
  <c r="Q26" i="63" s="1"/>
  <c r="S96" i="76" s="1"/>
  <c r="BC39" i="63"/>
  <c r="BE39" i="63"/>
  <c r="BD39" i="63"/>
  <c r="BF39" i="63"/>
  <c r="BB39" i="63"/>
  <c r="BE43" i="63"/>
  <c r="BF43" i="63"/>
  <c r="BB43" i="63"/>
  <c r="BD43" i="63"/>
  <c r="BC43" i="63"/>
  <c r="BD47" i="63"/>
  <c r="BC47" i="63"/>
  <c r="BF47" i="63"/>
  <c r="BE47" i="63"/>
  <c r="BB47" i="63"/>
  <c r="BB48" i="63"/>
  <c r="BF48" i="63"/>
  <c r="BD48" i="63"/>
  <c r="BC48" i="63"/>
  <c r="BE48" i="63"/>
  <c r="BD49" i="63"/>
  <c r="BC49" i="63"/>
  <c r="BF49" i="63"/>
  <c r="BB49" i="63"/>
  <c r="BE49" i="63"/>
  <c r="BE56" i="63"/>
  <c r="BB56" i="63"/>
  <c r="BF56" i="63"/>
  <c r="BD56" i="63"/>
  <c r="BC56" i="63"/>
  <c r="BF57" i="63"/>
  <c r="BB57" i="63"/>
  <c r="BE57" i="63"/>
  <c r="BC57" i="63"/>
  <c r="AY42" i="63"/>
  <c r="AZ42" i="63"/>
  <c r="AW42" i="63"/>
  <c r="BA42" i="63"/>
  <c r="AX42" i="63"/>
  <c r="AY46" i="63"/>
  <c r="AZ46" i="63"/>
  <c r="AW46" i="63"/>
  <c r="BA46" i="63"/>
  <c r="AX46" i="63"/>
  <c r="AZ52" i="63"/>
  <c r="AW52" i="63"/>
  <c r="BA52" i="63"/>
  <c r="AX52" i="63"/>
  <c r="AY52" i="63"/>
  <c r="AY55" i="63"/>
  <c r="AX55" i="63"/>
  <c r="AZ55" i="63"/>
  <c r="AW55" i="63"/>
  <c r="BA55" i="63"/>
  <c r="AZ41" i="63"/>
  <c r="AW41" i="63"/>
  <c r="BA41" i="63"/>
  <c r="AX41" i="63"/>
  <c r="AY41" i="63"/>
  <c r="AZ45" i="63"/>
  <c r="AW45" i="63"/>
  <c r="BA45" i="63"/>
  <c r="AX45" i="63"/>
  <c r="AY45" i="63"/>
  <c r="AW51" i="63"/>
  <c r="BA51" i="63"/>
  <c r="AZ51" i="63"/>
  <c r="AX51" i="63"/>
  <c r="AZ54" i="63"/>
  <c r="AW54" i="63"/>
  <c r="BA54" i="63"/>
  <c r="AX54" i="63"/>
  <c r="AY54" i="63"/>
  <c r="AW58" i="63"/>
  <c r="BA58" i="63"/>
  <c r="AZ58" i="63"/>
  <c r="AX58" i="63"/>
  <c r="AY58" i="63"/>
  <c r="AW40" i="63"/>
  <c r="BA40" i="63"/>
  <c r="AX40" i="63"/>
  <c r="AY40" i="63"/>
  <c r="AZ40" i="63"/>
  <c r="AW44" i="63"/>
  <c r="BA44" i="63"/>
  <c r="AX44" i="63"/>
  <c r="AY44" i="63"/>
  <c r="AZ44" i="63"/>
  <c r="AY50" i="63"/>
  <c r="AZ50" i="63"/>
  <c r="AW50" i="63"/>
  <c r="BA50" i="63"/>
  <c r="AX50" i="63"/>
  <c r="AW53" i="63"/>
  <c r="BA53" i="63"/>
  <c r="AZ53" i="63"/>
  <c r="AX53" i="63"/>
  <c r="AY53" i="63"/>
  <c r="AX39" i="63"/>
  <c r="AY39" i="63"/>
  <c r="AZ39" i="63"/>
  <c r="AW39" i="63"/>
  <c r="BA39" i="63"/>
  <c r="AX43" i="63"/>
  <c r="AY43" i="63"/>
  <c r="AZ43" i="63"/>
  <c r="AW43" i="63"/>
  <c r="BA43" i="63"/>
  <c r="AX47" i="63"/>
  <c r="AY47" i="63"/>
  <c r="AZ47" i="63"/>
  <c r="AW47" i="63"/>
  <c r="BA47" i="63"/>
  <c r="AW48" i="63"/>
  <c r="BA48" i="63"/>
  <c r="AZ48" i="63"/>
  <c r="AX48" i="63"/>
  <c r="AY48" i="63"/>
  <c r="AZ49" i="63"/>
  <c r="AW49" i="63"/>
  <c r="BA49" i="63"/>
  <c r="AX49" i="63"/>
  <c r="AY49" i="63"/>
  <c r="AX56" i="63"/>
  <c r="BA56" i="63"/>
  <c r="AY56" i="63"/>
  <c r="AZ56" i="63"/>
  <c r="AW56" i="63"/>
  <c r="AW57" i="63"/>
  <c r="AX57" i="63"/>
  <c r="AZ57" i="63"/>
  <c r="BA57" i="63"/>
  <c r="O30" i="63"/>
  <c r="AX59" i="63"/>
  <c r="AW59" i="63"/>
  <c r="AY59" i="63"/>
  <c r="AZ59" i="63"/>
  <c r="BA59" i="63"/>
  <c r="Y77" i="63"/>
  <c r="AS41" i="63"/>
  <c r="AO38" i="63"/>
  <c r="AR38" i="63"/>
  <c r="AL38" i="63"/>
  <c r="AM47" i="63"/>
  <c r="Z82" i="63"/>
  <c r="Y82" i="63"/>
  <c r="Y91" i="63"/>
  <c r="B209" i="63"/>
  <c r="B217" i="63"/>
  <c r="B222" i="63"/>
  <c r="Z4" i="63"/>
  <c r="L62" i="63" s="1"/>
  <c r="Z74" i="63"/>
  <c r="Y74" i="63"/>
  <c r="AN43" i="63"/>
  <c r="AO44" i="63"/>
  <c r="AL45" i="63"/>
  <c r="AN47" i="63"/>
  <c r="AM50" i="63"/>
  <c r="Y75" i="63"/>
  <c r="Z75" i="63"/>
  <c r="Y79" i="63"/>
  <c r="Z79" i="63"/>
  <c r="Y83" i="63"/>
  <c r="Z83" i="63"/>
  <c r="Y92" i="63"/>
  <c r="Z92" i="63"/>
  <c r="B206" i="63"/>
  <c r="B210" i="63"/>
  <c r="AS50" i="63"/>
  <c r="B214" i="63"/>
  <c r="B218" i="63"/>
  <c r="B223" i="63"/>
  <c r="Y81" i="63"/>
  <c r="Y85" i="63"/>
  <c r="Z85" i="63"/>
  <c r="Y88" i="63"/>
  <c r="Z88" i="63"/>
  <c r="Y90" i="63"/>
  <c r="Z90" i="63"/>
  <c r="Y94" i="63"/>
  <c r="Z94" i="63"/>
  <c r="B208" i="63"/>
  <c r="B212" i="63"/>
  <c r="B216" i="63"/>
  <c r="B219" i="63"/>
  <c r="B221" i="63"/>
  <c r="AM43" i="63"/>
  <c r="AO45" i="63"/>
  <c r="Z78" i="63"/>
  <c r="Y78" i="63"/>
  <c r="Z86" i="63"/>
  <c r="Y86" i="63"/>
  <c r="B213" i="63"/>
  <c r="B220" i="63"/>
  <c r="AO53" i="63"/>
  <c r="AL56" i="63"/>
  <c r="AP56" i="63"/>
  <c r="Y76" i="63"/>
  <c r="Y80" i="63"/>
  <c r="Y84" i="63"/>
  <c r="Z84" i="63"/>
  <c r="Y87" i="63"/>
  <c r="Z87" i="63"/>
  <c r="Y89" i="63"/>
  <c r="Y93" i="63"/>
  <c r="Z93" i="63"/>
  <c r="B207" i="63"/>
  <c r="B211" i="63"/>
  <c r="B215" i="63"/>
  <c r="B224" i="63"/>
  <c r="X145" i="63"/>
  <c r="AF145" i="63" s="1"/>
  <c r="AV39" i="63"/>
  <c r="AN39" i="63"/>
  <c r="AN56" i="63"/>
  <c r="AS42" i="63"/>
  <c r="X143" i="63"/>
  <c r="AF143" i="63" s="1"/>
  <c r="X147" i="63"/>
  <c r="AF147" i="63" s="1"/>
  <c r="X151" i="63"/>
  <c r="AF151" i="63" s="1"/>
  <c r="X154" i="63"/>
  <c r="AF154" i="63" s="1"/>
  <c r="X156" i="63"/>
  <c r="AF156" i="63" s="1"/>
  <c r="X160" i="63"/>
  <c r="AF160" i="63" s="1"/>
  <c r="AV47" i="63"/>
  <c r="X141" i="63"/>
  <c r="AF141" i="63" s="1"/>
  <c r="AT54" i="63"/>
  <c r="X142" i="63"/>
  <c r="AF142" i="63" s="1"/>
  <c r="X146" i="63"/>
  <c r="AF146" i="63" s="1"/>
  <c r="X150" i="63"/>
  <c r="AF150" i="63" s="1"/>
  <c r="X159" i="63"/>
  <c r="AF159" i="63" s="1"/>
  <c r="AM38" i="63"/>
  <c r="AM55" i="63"/>
  <c r="AR45" i="63"/>
  <c r="AS58" i="63"/>
  <c r="X144" i="63"/>
  <c r="AF144" i="63" s="1"/>
  <c r="X148" i="63"/>
  <c r="AF148" i="63" s="1"/>
  <c r="X152" i="63"/>
  <c r="AF152" i="63" s="1"/>
  <c r="X155" i="63"/>
  <c r="AF155" i="63" s="1"/>
  <c r="X157" i="63"/>
  <c r="AF157" i="63" s="1"/>
  <c r="X149" i="63"/>
  <c r="AF149" i="63" s="1"/>
  <c r="X153" i="63"/>
  <c r="AF153" i="63" s="1"/>
  <c r="X158" i="63"/>
  <c r="AF158" i="63" s="1"/>
  <c r="AV57" i="63"/>
  <c r="AS40" i="63"/>
  <c r="AT59" i="63"/>
  <c r="AR43" i="63"/>
  <c r="AT45" i="63"/>
  <c r="AT52" i="63"/>
  <c r="AU55" i="63"/>
  <c r="AL59" i="63"/>
  <c r="AP59" i="63"/>
  <c r="AM42" i="63"/>
  <c r="AO46" i="63"/>
  <c r="AN52" i="63"/>
  <c r="AL54" i="63"/>
  <c r="AP54" i="63"/>
  <c r="AN58" i="63"/>
  <c r="AT39" i="63"/>
  <c r="AR56" i="63"/>
  <c r="AR58" i="63"/>
  <c r="AV58" i="63"/>
  <c r="AL39" i="63"/>
  <c r="AP39" i="63"/>
  <c r="AL46" i="63"/>
  <c r="AR44" i="63"/>
  <c r="AT47" i="63"/>
  <c r="AV56" i="63"/>
  <c r="AM39" i="63"/>
  <c r="AN40" i="63"/>
  <c r="AL52" i="63"/>
  <c r="AP52" i="63"/>
  <c r="AN54" i="63"/>
  <c r="AL58" i="63"/>
  <c r="AU44" i="63"/>
  <c r="AT38" i="63"/>
  <c r="AU43" i="63"/>
  <c r="AT46" i="63"/>
  <c r="AS49" i="63"/>
  <c r="AS56" i="63"/>
  <c r="AS48" i="63"/>
  <c r="AT49" i="63"/>
  <c r="Z80" i="63"/>
  <c r="Z81" i="63"/>
  <c r="Z76" i="63"/>
  <c r="Z89" i="63"/>
  <c r="AT58" i="63"/>
  <c r="K30" i="63"/>
  <c r="AL57" i="63" s="1"/>
  <c r="AP42" i="63"/>
  <c r="AT50" i="63"/>
  <c r="AS43" i="63"/>
  <c r="Z77" i="63"/>
  <c r="N30" i="63"/>
  <c r="AT40" i="63"/>
  <c r="AP40" i="63"/>
  <c r="AL40" i="63"/>
  <c r="AU40" i="63"/>
  <c r="AO40" i="63"/>
  <c r="AR40" i="63"/>
  <c r="AM40" i="63"/>
  <c r="AV40" i="63"/>
  <c r="AU41" i="63"/>
  <c r="AM41" i="63"/>
  <c r="AT41" i="63"/>
  <c r="AO41" i="63"/>
  <c r="AR41" i="63"/>
  <c r="AL41" i="63"/>
  <c r="AV41" i="63"/>
  <c r="AV42" i="63"/>
  <c r="AR42" i="63"/>
  <c r="AN42" i="63"/>
  <c r="AT42" i="63"/>
  <c r="AO42" i="63"/>
  <c r="AL42" i="63"/>
  <c r="AU42" i="63"/>
  <c r="AT48" i="63"/>
  <c r="AP48" i="63"/>
  <c r="AL48" i="63"/>
  <c r="AR48" i="63"/>
  <c r="AM48" i="63"/>
  <c r="AV48" i="63"/>
  <c r="AU48" i="63"/>
  <c r="AO48" i="63"/>
  <c r="L30" i="63"/>
  <c r="AP58" i="63"/>
  <c r="AP41" i="63"/>
  <c r="AN48" i="63"/>
  <c r="AV51" i="63"/>
  <c r="AR51" i="63"/>
  <c r="AT51" i="63"/>
  <c r="AP51" i="63"/>
  <c r="AL51" i="63"/>
  <c r="AS51" i="63"/>
  <c r="AR57" i="63"/>
  <c r="AT57" i="63"/>
  <c r="AS57" i="63"/>
  <c r="AS59" i="63"/>
  <c r="AO59" i="63"/>
  <c r="AU59" i="63"/>
  <c r="AM59" i="63"/>
  <c r="AS38" i="63"/>
  <c r="AR39" i="63"/>
  <c r="AV43" i="63"/>
  <c r="AT44" i="63"/>
  <c r="AP44" i="63"/>
  <c r="AL44" i="63"/>
  <c r="AV44" i="63"/>
  <c r="AU45" i="63"/>
  <c r="AM45" i="63"/>
  <c r="AP45" i="63"/>
  <c r="AV45" i="63"/>
  <c r="AV46" i="63"/>
  <c r="AR46" i="63"/>
  <c r="AN46" i="63"/>
  <c r="AP46" i="63"/>
  <c r="AU46" i="63"/>
  <c r="AS47" i="63"/>
  <c r="AU47" i="63"/>
  <c r="AO49" i="63"/>
  <c r="AO50" i="63"/>
  <c r="AM51" i="63"/>
  <c r="AU51" i="63"/>
  <c r="AS52" i="63"/>
  <c r="AR52" i="63"/>
  <c r="AV54" i="63"/>
  <c r="AT55" i="63"/>
  <c r="AP55" i="63"/>
  <c r="AL55" i="63"/>
  <c r="AV55" i="63"/>
  <c r="AR55" i="63"/>
  <c r="AN55" i="63"/>
  <c r="AS55" i="63"/>
  <c r="AU57" i="63"/>
  <c r="AR59" i="63"/>
  <c r="AU49" i="63"/>
  <c r="AM49" i="63"/>
  <c r="AP49" i="63"/>
  <c r="AV49" i="63"/>
  <c r="AV50" i="63"/>
  <c r="AR50" i="63"/>
  <c r="AN50" i="63"/>
  <c r="AP50" i="63"/>
  <c r="AU50" i="63"/>
  <c r="AO51" i="63"/>
  <c r="AV53" i="63"/>
  <c r="AR53" i="63"/>
  <c r="AN53" i="63"/>
  <c r="AT53" i="63"/>
  <c r="AP53" i="63"/>
  <c r="AL53" i="63"/>
  <c r="AS53" i="63"/>
  <c r="AU56" i="63"/>
  <c r="AV38" i="63"/>
  <c r="AN38" i="63"/>
  <c r="AP38" i="63"/>
  <c r="AU38" i="63"/>
  <c r="AS39" i="63"/>
  <c r="AU39" i="63"/>
  <c r="AT43" i="63"/>
  <c r="AN44" i="63"/>
  <c r="AS44" i="63"/>
  <c r="AN45" i="63"/>
  <c r="AS45" i="63"/>
  <c r="AM46" i="63"/>
  <c r="AS46" i="63"/>
  <c r="AR47" i="63"/>
  <c r="AL49" i="63"/>
  <c r="AR49" i="63"/>
  <c r="AL50" i="63"/>
  <c r="AV52" i="63"/>
  <c r="AM53" i="63"/>
  <c r="AU53" i="63"/>
  <c r="AS54" i="63"/>
  <c r="AR54" i="63"/>
  <c r="AO55" i="63"/>
  <c r="AT56" i="63"/>
  <c r="AN59" i="63"/>
  <c r="AV59" i="63"/>
  <c r="AO39" i="63"/>
  <c r="AO43" i="63"/>
  <c r="AO47" i="63"/>
  <c r="AM52" i="63"/>
  <c r="AU52" i="63"/>
  <c r="AM54" i="63"/>
  <c r="AU54" i="63"/>
  <c r="AO56" i="63"/>
  <c r="AM58" i="63"/>
  <c r="AU58" i="63"/>
  <c r="AO52" i="63"/>
  <c r="AO54" i="63"/>
  <c r="AO58" i="63"/>
  <c r="H22" i="92" l="1"/>
  <c r="J22" i="92"/>
  <c r="P22" i="92"/>
  <c r="B22" i="92"/>
  <c r="O22" i="92"/>
  <c r="E22" i="92"/>
  <c r="I22" i="92"/>
  <c r="Q22" i="92"/>
  <c r="K20" i="92"/>
  <c r="C22" i="92"/>
  <c r="M21" i="92"/>
  <c r="M23" i="92"/>
  <c r="K22" i="92"/>
  <c r="M20" i="92"/>
  <c r="I21" i="92"/>
  <c r="I23" i="92"/>
  <c r="G21" i="92"/>
  <c r="G23" i="92"/>
  <c r="E21" i="92"/>
  <c r="E23" i="92"/>
  <c r="R22" i="92"/>
  <c r="I20" i="92"/>
  <c r="B20" i="92"/>
  <c r="D21" i="92"/>
  <c r="D23" i="92"/>
  <c r="S21" i="92"/>
  <c r="S23" i="92"/>
  <c r="H21" i="92"/>
  <c r="H23" i="92"/>
  <c r="F21" i="92"/>
  <c r="F23" i="92"/>
  <c r="F20" i="92"/>
  <c r="N20" i="92"/>
  <c r="L21" i="92"/>
  <c r="L23" i="92"/>
  <c r="G22" i="92"/>
  <c r="C21" i="92"/>
  <c r="C23" i="92"/>
  <c r="R21" i="92"/>
  <c r="R23" i="92"/>
  <c r="T21" i="92"/>
  <c r="T23" i="92"/>
  <c r="O21" i="92"/>
  <c r="O23" i="92"/>
  <c r="T20" i="92"/>
  <c r="S22" i="92"/>
  <c r="N22" i="92"/>
  <c r="G20" i="92"/>
  <c r="B21" i="92"/>
  <c r="B23" i="92"/>
  <c r="J21" i="92"/>
  <c r="J23" i="92"/>
  <c r="P21" i="92"/>
  <c r="P23" i="92"/>
  <c r="D22" i="92"/>
  <c r="N21" i="92"/>
  <c r="N23" i="92"/>
  <c r="M22" i="92"/>
  <c r="F22" i="92"/>
  <c r="K21" i="92"/>
  <c r="K23" i="92"/>
  <c r="Q21" i="92"/>
  <c r="Q23" i="92"/>
  <c r="E20" i="92"/>
  <c r="W26" i="76"/>
  <c r="BJ39" i="63"/>
  <c r="AN30" i="63"/>
  <c r="AK30" i="63"/>
  <c r="Z91" i="63"/>
  <c r="AO57" i="63"/>
  <c r="P30" i="63"/>
  <c r="AM57" i="63"/>
  <c r="BK44" i="63"/>
  <c r="BH54" i="63"/>
  <c r="BJ47" i="63"/>
  <c r="BG43" i="63"/>
  <c r="BG40" i="63"/>
  <c r="BG50" i="63"/>
  <c r="BK39" i="63"/>
  <c r="BJ42" i="63"/>
  <c r="BG47" i="63"/>
  <c r="BI38" i="63"/>
  <c r="BH38" i="63"/>
  <c r="BI40" i="63"/>
  <c r="BJ45" i="63"/>
  <c r="BJ46" i="63"/>
  <c r="BJ57" i="63"/>
  <c r="BK49" i="63"/>
  <c r="BG59" i="63"/>
  <c r="BG51" i="63"/>
  <c r="BJ51" i="63"/>
  <c r="BK53" i="63"/>
  <c r="BJ50" i="63"/>
  <c r="BG58" i="63"/>
  <c r="BH52" i="63"/>
  <c r="BK52" i="63"/>
  <c r="BH57" i="63"/>
  <c r="BI56" i="63"/>
  <c r="BK48" i="63"/>
  <c r="BJ48" i="63"/>
  <c r="BI43" i="63"/>
  <c r="BK51" i="63"/>
  <c r="BI53" i="63"/>
  <c r="BJ44" i="63"/>
  <c r="BH58" i="63"/>
  <c r="BG54" i="63"/>
  <c r="BK45" i="63"/>
  <c r="BI45" i="63"/>
  <c r="BG52" i="63"/>
  <c r="BJ52" i="63"/>
  <c r="BI52" i="63"/>
  <c r="BI46" i="63"/>
  <c r="BH42" i="63"/>
  <c r="BK57" i="63"/>
  <c r="BH56" i="63"/>
  <c r="BK56" i="63"/>
  <c r="BI49" i="63"/>
  <c r="BI48" i="63"/>
  <c r="BH47" i="63"/>
  <c r="BH43" i="63"/>
  <c r="BK43" i="63"/>
  <c r="BI39" i="63"/>
  <c r="BK59" i="63"/>
  <c r="BI59" i="63"/>
  <c r="BI41" i="63"/>
  <c r="BK41" i="63"/>
  <c r="BK55" i="63"/>
  <c r="BG38" i="63"/>
  <c r="BH53" i="63"/>
  <c r="BJ53" i="63"/>
  <c r="BK50" i="63"/>
  <c r="BH50" i="63"/>
  <c r="BH44" i="63"/>
  <c r="BG44" i="63"/>
  <c r="BK40" i="63"/>
  <c r="BH40" i="63"/>
  <c r="BJ40" i="63"/>
  <c r="BI58" i="63"/>
  <c r="BJ58" i="63"/>
  <c r="BJ54" i="63"/>
  <c r="BG45" i="63"/>
  <c r="BK46" i="63"/>
  <c r="BG46" i="63"/>
  <c r="BG42" i="63"/>
  <c r="BK42" i="63"/>
  <c r="BG56" i="63"/>
  <c r="BG49" i="63"/>
  <c r="BH59" i="63"/>
  <c r="BH51" i="63"/>
  <c r="BG55" i="63"/>
  <c r="BG53" i="63"/>
  <c r="BI54" i="63"/>
  <c r="BJ56" i="63"/>
  <c r="BG48" i="63"/>
  <c r="BI47" i="63"/>
  <c r="BG41" i="63"/>
  <c r="BJ41" i="63"/>
  <c r="BI55" i="63"/>
  <c r="BH55" i="63"/>
  <c r="BG57" i="63"/>
  <c r="BJ49" i="63"/>
  <c r="BH49" i="63"/>
  <c r="BH48" i="63"/>
  <c r="BK47" i="63"/>
  <c r="BJ43" i="63"/>
  <c r="BH39" i="63"/>
  <c r="BG39" i="63"/>
  <c r="BJ59" i="63"/>
  <c r="BH41" i="63"/>
  <c r="BJ55" i="63"/>
  <c r="BJ38" i="63"/>
  <c r="BK38" i="63"/>
  <c r="BI50" i="63"/>
  <c r="BI44" i="63"/>
  <c r="BK58" i="63"/>
  <c r="BK54" i="63"/>
  <c r="BH45" i="63"/>
  <c r="BH46" i="63"/>
  <c r="BI42" i="63"/>
  <c r="X179" i="63"/>
  <c r="X212" i="63" s="1"/>
  <c r="A213" i="63"/>
  <c r="X187" i="63"/>
  <c r="X220" i="63" s="1"/>
  <c r="A221" i="63"/>
  <c r="X182" i="63"/>
  <c r="X215" i="63" s="1"/>
  <c r="A216" i="63"/>
  <c r="X176" i="63"/>
  <c r="X209" i="63" s="1"/>
  <c r="A210" i="63"/>
  <c r="X188" i="63"/>
  <c r="X221" i="63" s="1"/>
  <c r="A222" i="63"/>
  <c r="X175" i="63"/>
  <c r="X208" i="63" s="1"/>
  <c r="A209" i="63"/>
  <c r="X174" i="63"/>
  <c r="X207" i="63" s="1"/>
  <c r="A208" i="63"/>
  <c r="X186" i="63"/>
  <c r="X219" i="63" s="1"/>
  <c r="A220" i="63"/>
  <c r="X185" i="63"/>
  <c r="X218" i="63" s="1"/>
  <c r="A219" i="63"/>
  <c r="X178" i="63"/>
  <c r="X211" i="63" s="1"/>
  <c r="A212" i="63"/>
  <c r="X172" i="63"/>
  <c r="X205" i="63" s="1"/>
  <c r="A206" i="63"/>
  <c r="X183" i="63"/>
  <c r="X216" i="63" s="1"/>
  <c r="A217" i="63"/>
  <c r="X181" i="63"/>
  <c r="X214" i="63" s="1"/>
  <c r="A215" i="63"/>
  <c r="X173" i="63"/>
  <c r="X206" i="63" s="1"/>
  <c r="A207" i="63"/>
  <c r="X180" i="63"/>
  <c r="X213" i="63" s="1"/>
  <c r="A214" i="63"/>
  <c r="X190" i="63"/>
  <c r="X223" i="63" s="1"/>
  <c r="A224" i="63"/>
  <c r="X177" i="63"/>
  <c r="X210" i="63" s="1"/>
  <c r="A211" i="63"/>
  <c r="X189" i="63"/>
  <c r="X222" i="63" s="1"/>
  <c r="A223" i="63"/>
  <c r="X184" i="63"/>
  <c r="X217" i="63" s="1"/>
  <c r="A218" i="63"/>
  <c r="AK59" i="63"/>
  <c r="AP57" i="63"/>
  <c r="X20" i="92" l="1" a="1"/>
  <c r="X20" i="92" s="1"/>
  <c r="AC39" i="84" s="1"/>
  <c r="X21" i="92" a="1"/>
  <c r="X21" i="92" s="1"/>
  <c r="AB39" i="70" s="1"/>
  <c r="W21" i="92" a="1"/>
  <c r="W21" i="92" s="1"/>
  <c r="X22" i="92" a="1"/>
  <c r="X22" i="92" s="1"/>
  <c r="AB107" i="70" s="1"/>
  <c r="V22" i="92" a="1"/>
  <c r="V22" i="92" s="1"/>
  <c r="V21" i="92" a="1"/>
  <c r="V21" i="92" s="1"/>
  <c r="W22" i="92" a="1"/>
  <c r="W22" i="92" s="1"/>
  <c r="V20" i="92" a="1"/>
  <c r="V20" i="92" s="1"/>
  <c r="W20" i="92" a="1"/>
  <c r="W20" i="92" s="1"/>
  <c r="W23" i="92" a="1"/>
  <c r="W23" i="92" s="1"/>
  <c r="Z39" i="64" s="1"/>
  <c r="V23" i="92" a="1"/>
  <c r="V23" i="92" s="1"/>
  <c r="Y39" i="64" s="1"/>
  <c r="X23" i="92" a="1"/>
  <c r="X23" i="92" s="1"/>
  <c r="AC38" i="64" s="1"/>
  <c r="X39" i="84"/>
  <c r="AB38" i="84"/>
  <c r="AB39" i="84"/>
  <c r="X231" i="83"/>
  <c r="AB231" i="83"/>
  <c r="AB230" i="83"/>
  <c r="W107" i="70"/>
  <c r="AA106" i="70"/>
  <c r="AA107" i="70"/>
  <c r="AA38" i="70"/>
  <c r="AA39" i="70"/>
  <c r="W39" i="70"/>
  <c r="AB342" i="83"/>
  <c r="X343" i="83"/>
  <c r="AB343" i="83"/>
  <c r="B128" i="62"/>
  <c r="B127" i="62"/>
  <c r="B126" i="62"/>
  <c r="A126" i="62" s="1"/>
  <c r="B125" i="62"/>
  <c r="A125" i="62" s="1"/>
  <c r="B124" i="62"/>
  <c r="A124" i="62" s="1"/>
  <c r="B123" i="62"/>
  <c r="A123" i="62" s="1"/>
  <c r="B122" i="62"/>
  <c r="A122" i="62" s="1"/>
  <c r="B121" i="62"/>
  <c r="A121" i="62" s="1"/>
  <c r="B120" i="62"/>
  <c r="A120" i="62" s="1"/>
  <c r="B119" i="62"/>
  <c r="A119" i="62" s="1"/>
  <c r="B118" i="62"/>
  <c r="A118" i="62" s="1"/>
  <c r="B117" i="62"/>
  <c r="A117" i="62" s="1"/>
  <c r="B116" i="62"/>
  <c r="A116" i="62" s="1"/>
  <c r="B115" i="62"/>
  <c r="A115" i="62" s="1"/>
  <c r="B114" i="62"/>
  <c r="A114" i="62" s="1"/>
  <c r="B113" i="62"/>
  <c r="A113" i="62" s="1"/>
  <c r="B112" i="62"/>
  <c r="A112" i="62" s="1"/>
  <c r="B111" i="62"/>
  <c r="A111" i="62" s="1"/>
  <c r="B110" i="62"/>
  <c r="A110" i="62" s="1"/>
  <c r="B109" i="62"/>
  <c r="A109" i="62" s="1"/>
  <c r="B108" i="62"/>
  <c r="A108" i="62" s="1"/>
  <c r="X93" i="62"/>
  <c r="X92" i="62"/>
  <c r="X91" i="62"/>
  <c r="X90" i="62"/>
  <c r="X89" i="62"/>
  <c r="X88" i="62"/>
  <c r="X87" i="62"/>
  <c r="X86" i="62"/>
  <c r="X85" i="62"/>
  <c r="X84" i="62"/>
  <c r="X83" i="62"/>
  <c r="X82" i="62"/>
  <c r="X81" i="62"/>
  <c r="X80" i="62"/>
  <c r="X79" i="62"/>
  <c r="X78" i="62"/>
  <c r="X77" i="62"/>
  <c r="X76" i="62"/>
  <c r="X75" i="62"/>
  <c r="X74" i="62"/>
  <c r="X73" i="62"/>
  <c r="Z31" i="62"/>
  <c r="Y31" i="62"/>
  <c r="AK58" i="62"/>
  <c r="AQ58" i="62" s="1"/>
  <c r="AK57" i="62"/>
  <c r="AK56" i="62"/>
  <c r="AK55" i="62"/>
  <c r="AQ55" i="62" s="1"/>
  <c r="AK54" i="62"/>
  <c r="AQ54" i="62" s="1"/>
  <c r="AK53" i="62"/>
  <c r="AQ53" i="62" s="1"/>
  <c r="AK52" i="62"/>
  <c r="AQ52" i="62" s="1"/>
  <c r="AK51" i="62"/>
  <c r="AQ51" i="62" s="1"/>
  <c r="AK50" i="62"/>
  <c r="AQ50" i="62" s="1"/>
  <c r="AK49" i="62"/>
  <c r="AQ49" i="62" s="1"/>
  <c r="AK48" i="62"/>
  <c r="AQ48" i="62" s="1"/>
  <c r="AK47" i="62"/>
  <c r="AQ47" i="62" s="1"/>
  <c r="AK46" i="62"/>
  <c r="AQ46" i="62" s="1"/>
  <c r="AK45" i="62"/>
  <c r="AQ45" i="62" s="1"/>
  <c r="AK44" i="62"/>
  <c r="AQ44" i="62" s="1"/>
  <c r="AK43" i="62"/>
  <c r="AQ43" i="62" s="1"/>
  <c r="AK42" i="62"/>
  <c r="AQ42" i="62" s="1"/>
  <c r="AK41" i="62"/>
  <c r="AQ41" i="62" s="1"/>
  <c r="AK40" i="62"/>
  <c r="AQ40" i="62" s="1"/>
  <c r="AK39" i="62"/>
  <c r="AQ39" i="62" s="1"/>
  <c r="AK38" i="62"/>
  <c r="AQ38" i="62" s="1"/>
  <c r="AV37" i="62"/>
  <c r="AU37" i="62"/>
  <c r="AT37" i="62"/>
  <c r="AS37" i="62"/>
  <c r="AR37" i="62"/>
  <c r="AP37" i="62"/>
  <c r="AO37" i="62"/>
  <c r="AN37" i="62"/>
  <c r="AM37" i="62"/>
  <c r="AL37" i="62"/>
  <c r="X31" i="62"/>
  <c r="X30" i="62"/>
  <c r="X29" i="62"/>
  <c r="T29" i="62"/>
  <c r="X28" i="62"/>
  <c r="T28" i="62"/>
  <c r="X27" i="62"/>
  <c r="T27" i="62"/>
  <c r="X26" i="62"/>
  <c r="T26" i="62"/>
  <c r="X25" i="62"/>
  <c r="T25" i="62"/>
  <c r="X24" i="62"/>
  <c r="T24" i="62"/>
  <c r="X23" i="62"/>
  <c r="T23" i="62"/>
  <c r="X22" i="62"/>
  <c r="T22" i="62"/>
  <c r="X21" i="62"/>
  <c r="T21" i="62"/>
  <c r="X20" i="62"/>
  <c r="T20" i="62"/>
  <c r="X19" i="62"/>
  <c r="T19" i="62"/>
  <c r="X18" i="62"/>
  <c r="T18" i="62"/>
  <c r="X17" i="62"/>
  <c r="T17" i="62"/>
  <c r="X16" i="62"/>
  <c r="T16" i="62"/>
  <c r="X15" i="62"/>
  <c r="T15" i="62"/>
  <c r="X14" i="62"/>
  <c r="T14" i="62"/>
  <c r="X13" i="62"/>
  <c r="T13" i="62"/>
  <c r="X12" i="62"/>
  <c r="T12" i="62"/>
  <c r="X11" i="62"/>
  <c r="T11" i="62"/>
  <c r="S30" i="62" l="1"/>
  <c r="AN56" i="62"/>
  <c r="AQ56" i="62"/>
  <c r="AM46" i="62"/>
  <c r="AN55" i="62"/>
  <c r="AL52" i="62"/>
  <c r="AL48" i="62"/>
  <c r="AL47" i="62"/>
  <c r="AM55" i="62"/>
  <c r="X25" i="76"/>
  <c r="F25" i="76"/>
  <c r="D19" i="92" s="1"/>
  <c r="K25" i="76"/>
  <c r="I19" i="92" s="1"/>
  <c r="M25" i="76"/>
  <c r="K19" i="92" s="1"/>
  <c r="D25" i="76"/>
  <c r="B19" i="92" s="1"/>
  <c r="N25" i="76"/>
  <c r="L19" i="92" s="1"/>
  <c r="R25" i="76"/>
  <c r="P19" i="92" s="1"/>
  <c r="I25" i="76"/>
  <c r="G19" i="92" s="1"/>
  <c r="Q25" i="76"/>
  <c r="O19" i="92" s="1"/>
  <c r="E25" i="76"/>
  <c r="C19" i="92" s="1"/>
  <c r="U25" i="76"/>
  <c r="S19" i="92" s="1"/>
  <c r="P25" i="76"/>
  <c r="N19" i="92" s="1"/>
  <c r="J25" i="76"/>
  <c r="H19" i="92" s="1"/>
  <c r="O25" i="76"/>
  <c r="M19" i="92" s="1"/>
  <c r="V25" i="76"/>
  <c r="T19" i="92" s="1"/>
  <c r="T25" i="76"/>
  <c r="R19" i="92" s="1"/>
  <c r="S25" i="76"/>
  <c r="Q19" i="92" s="1"/>
  <c r="L25" i="76"/>
  <c r="J19" i="92" s="1"/>
  <c r="G25" i="76"/>
  <c r="E19" i="92" s="1"/>
  <c r="H25" i="76"/>
  <c r="F19" i="92" s="1"/>
  <c r="W25" i="76"/>
  <c r="AM52" i="62"/>
  <c r="AN45" i="62"/>
  <c r="AN46" i="62"/>
  <c r="AN52" i="62"/>
  <c r="AN49" i="62"/>
  <c r="AP52" i="62"/>
  <c r="AP38" i="62"/>
  <c r="AN50" i="62"/>
  <c r="AM49" i="62"/>
  <c r="AR49" i="62"/>
  <c r="AT43" i="62"/>
  <c r="AU42" i="62"/>
  <c r="AN47" i="62"/>
  <c r="AM48" i="62"/>
  <c r="AL49" i="62"/>
  <c r="AP49" i="62"/>
  <c r="AO47" i="62"/>
  <c r="AO56" i="62"/>
  <c r="AL41" i="62"/>
  <c r="AO46" i="62"/>
  <c r="AO48" i="62"/>
  <c r="AM41" i="62"/>
  <c r="AL54" i="62"/>
  <c r="AS47" i="62"/>
  <c r="AU41" i="62"/>
  <c r="AN41" i="62"/>
  <c r="AO44" i="62"/>
  <c r="AL45" i="62"/>
  <c r="AP45" i="62"/>
  <c r="AO53" i="62"/>
  <c r="AM54" i="62"/>
  <c r="AM58" i="62"/>
  <c r="AP54" i="62"/>
  <c r="AM45" i="62"/>
  <c r="AM50" i="62"/>
  <c r="AL53" i="62"/>
  <c r="AP53" i="62"/>
  <c r="AN54" i="62"/>
  <c r="AN58" i="62"/>
  <c r="AU50" i="62"/>
  <c r="Z75" i="62"/>
  <c r="AL58" i="62"/>
  <c r="AP58" i="62"/>
  <c r="Z77" i="62"/>
  <c r="Z81" i="62"/>
  <c r="Z85" i="62"/>
  <c r="Z73" i="62"/>
  <c r="Z84" i="62"/>
  <c r="Z87" i="62"/>
  <c r="Z89" i="62"/>
  <c r="Z93" i="62"/>
  <c r="Z74" i="62"/>
  <c r="Z78" i="62"/>
  <c r="Z82" i="62"/>
  <c r="Z91" i="62"/>
  <c r="Z83" i="62"/>
  <c r="Z86" i="62"/>
  <c r="Z92" i="62"/>
  <c r="Y83" i="62"/>
  <c r="Y91" i="62"/>
  <c r="Z4" i="62"/>
  <c r="L61" i="62" s="1"/>
  <c r="AP59" i="62"/>
  <c r="Y73" i="62"/>
  <c r="Y80" i="62"/>
  <c r="Y84" i="62"/>
  <c r="Y88" i="62"/>
  <c r="Y78" i="62"/>
  <c r="Y81" i="62"/>
  <c r="Y87" i="62"/>
  <c r="Y89" i="62"/>
  <c r="Y75" i="62"/>
  <c r="Y93" i="62"/>
  <c r="AP41" i="62"/>
  <c r="AR57" i="62"/>
  <c r="AS57" i="62"/>
  <c r="Z79" i="62"/>
  <c r="AS41" i="62"/>
  <c r="AS58" i="62"/>
  <c r="AP40" i="62"/>
  <c r="AO43" i="62"/>
  <c r="AL57" i="62"/>
  <c r="AU39" i="62"/>
  <c r="AM39" i="62"/>
  <c r="AT39" i="62"/>
  <c r="AO39" i="62"/>
  <c r="AS39" i="62"/>
  <c r="AN39" i="62"/>
  <c r="AV39" i="62"/>
  <c r="AV58" i="62"/>
  <c r="AR58" i="62"/>
  <c r="AV54" i="62"/>
  <c r="AR54" i="62"/>
  <c r="AV52" i="62"/>
  <c r="AR52" i="62"/>
  <c r="AV55" i="62"/>
  <c r="AT53" i="62"/>
  <c r="AU52" i="62"/>
  <c r="AV49" i="62"/>
  <c r="AR47" i="62"/>
  <c r="AR46" i="62"/>
  <c r="AR45" i="62"/>
  <c r="AT41" i="62"/>
  <c r="AT58" i="62"/>
  <c r="AR55" i="62"/>
  <c r="AU54" i="62"/>
  <c r="AS50" i="62"/>
  <c r="AU46" i="62"/>
  <c r="AU45" i="62"/>
  <c r="AU58" i="62"/>
  <c r="AU55" i="62"/>
  <c r="AT52" i="62"/>
  <c r="AU49" i="62"/>
  <c r="AV45" i="62"/>
  <c r="AR41" i="62"/>
  <c r="AT49" i="62"/>
  <c r="AT48" i="62"/>
  <c r="AT47" i="62"/>
  <c r="AT59" i="62"/>
  <c r="AM38" i="62"/>
  <c r="AV41" i="62"/>
  <c r="AT42" i="62"/>
  <c r="AP42" i="62"/>
  <c r="AL42" i="62"/>
  <c r="AS42" i="62"/>
  <c r="AN42" i="62"/>
  <c r="AR42" i="62"/>
  <c r="AM42" i="62"/>
  <c r="AV42" i="62"/>
  <c r="AV43" i="62"/>
  <c r="AV51" i="62"/>
  <c r="AR51" i="62"/>
  <c r="AU51" i="62"/>
  <c r="AM51" i="62"/>
  <c r="AP51" i="62"/>
  <c r="AO51" i="62"/>
  <c r="AL51" i="62"/>
  <c r="AU57" i="62"/>
  <c r="AP39" i="62"/>
  <c r="AO42" i="62"/>
  <c r="AT45" i="62"/>
  <c r="AS48" i="62"/>
  <c r="AR50" i="62"/>
  <c r="AS51" i="62"/>
  <c r="AT54" i="62"/>
  <c r="AT38" i="62"/>
  <c r="AL38" i="62"/>
  <c r="AU38" i="62"/>
  <c r="AO38" i="62"/>
  <c r="AS38" i="62"/>
  <c r="AN38" i="62"/>
  <c r="AV38" i="62"/>
  <c r="AV40" i="62"/>
  <c r="AR40" i="62"/>
  <c r="AN40" i="62"/>
  <c r="AT40" i="62"/>
  <c r="AO40" i="62"/>
  <c r="AS40" i="62"/>
  <c r="AM40" i="62"/>
  <c r="AU40" i="62"/>
  <c r="Z76" i="62"/>
  <c r="Z88" i="62"/>
  <c r="Z90" i="62"/>
  <c r="AL39" i="62"/>
  <c r="AL40" i="62"/>
  <c r="AU43" i="62"/>
  <c r="AM43" i="62"/>
  <c r="AS43" i="62"/>
  <c r="AN43" i="62"/>
  <c r="AR43" i="62"/>
  <c r="AL43" i="62"/>
  <c r="AS46" i="62"/>
  <c r="AV56" i="62"/>
  <c r="Y76" i="62"/>
  <c r="AR38" i="62"/>
  <c r="AR39" i="62"/>
  <c r="AP43" i="62"/>
  <c r="AT44" i="62"/>
  <c r="AR56" i="62"/>
  <c r="AV44" i="62"/>
  <c r="AR44" i="62"/>
  <c r="AN44" i="62"/>
  <c r="AL44" i="62"/>
  <c r="AT46" i="62"/>
  <c r="AP46" i="62"/>
  <c r="AL46" i="62"/>
  <c r="AV46" i="62"/>
  <c r="AU47" i="62"/>
  <c r="AM47" i="62"/>
  <c r="AP47" i="62"/>
  <c r="AV47" i="62"/>
  <c r="AV48" i="62"/>
  <c r="AR48" i="62"/>
  <c r="AN48" i="62"/>
  <c r="AP48" i="62"/>
  <c r="AU48" i="62"/>
  <c r="AS49" i="62"/>
  <c r="AO50" i="62"/>
  <c r="AV53" i="62"/>
  <c r="AR53" i="62"/>
  <c r="AN53" i="62"/>
  <c r="AU53" i="62"/>
  <c r="AM53" i="62"/>
  <c r="AS53" i="62"/>
  <c r="AL59" i="62"/>
  <c r="Y79" i="62"/>
  <c r="Y86" i="62"/>
  <c r="Y92" i="62"/>
  <c r="AP44" i="62"/>
  <c r="AU44" i="62"/>
  <c r="AS45" i="62"/>
  <c r="AS52" i="62"/>
  <c r="AT55" i="62"/>
  <c r="AS59" i="62"/>
  <c r="AO59" i="62"/>
  <c r="AV59" i="62"/>
  <c r="AR59" i="62"/>
  <c r="AN59" i="62"/>
  <c r="AM44" i="62"/>
  <c r="AS44" i="62"/>
  <c r="AT50" i="62"/>
  <c r="AP50" i="62"/>
  <c r="AL50" i="62"/>
  <c r="AV50" i="62"/>
  <c r="AS54" i="62"/>
  <c r="AU56" i="62"/>
  <c r="AM56" i="62"/>
  <c r="AT56" i="62"/>
  <c r="AP56" i="62"/>
  <c r="AL56" i="62"/>
  <c r="AS56" i="62"/>
  <c r="AM59" i="62"/>
  <c r="AU59" i="62"/>
  <c r="Y74" i="62"/>
  <c r="Y77" i="62"/>
  <c r="Y82" i="62"/>
  <c r="Y85" i="62"/>
  <c r="Y90" i="62"/>
  <c r="AO55" i="62"/>
  <c r="AS55" i="62"/>
  <c r="AO41" i="62"/>
  <c r="AO45" i="62"/>
  <c r="AO49" i="62"/>
  <c r="AO52" i="62"/>
  <c r="AO54" i="62"/>
  <c r="AL55" i="62"/>
  <c r="AP55" i="62"/>
  <c r="AO58" i="62"/>
  <c r="X19" i="92" l="1" a="1"/>
  <c r="X19" i="92" s="1"/>
  <c r="AC343" i="83" s="1"/>
  <c r="V19" i="92" a="1"/>
  <c r="V19" i="92" s="1"/>
  <c r="W19" i="92" a="1"/>
  <c r="W19" i="92" s="1"/>
  <c r="T18" i="92"/>
  <c r="P18" i="92"/>
  <c r="M18" i="92"/>
  <c r="L18" i="92"/>
  <c r="H18" i="92"/>
  <c r="B18" i="92"/>
  <c r="F18" i="92"/>
  <c r="N18" i="92"/>
  <c r="K18" i="92"/>
  <c r="E18" i="92"/>
  <c r="S18" i="92"/>
  <c r="I18" i="92"/>
  <c r="J18" i="92"/>
  <c r="C18" i="92"/>
  <c r="D18" i="92"/>
  <c r="Q18" i="92"/>
  <c r="O18" i="92"/>
  <c r="R18" i="92"/>
  <c r="G18" i="92"/>
  <c r="AM57" i="62"/>
  <c r="P30" i="62"/>
  <c r="AO57" i="62"/>
  <c r="Z80" i="62"/>
  <c r="W24" i="76"/>
  <c r="AH23" i="62"/>
  <c r="Q23" i="62" s="1"/>
  <c r="P95" i="76" s="1"/>
  <c r="AH28" i="62"/>
  <c r="Q28" i="62" s="1"/>
  <c r="U95" i="76" s="1"/>
  <c r="AH29" i="62"/>
  <c r="Q29" i="62" s="1"/>
  <c r="V95" i="76" s="1"/>
  <c r="AH13" i="62"/>
  <c r="Q13" i="62" s="1"/>
  <c r="F95" i="76" s="1"/>
  <c r="AH20" i="62"/>
  <c r="Q20" i="62" s="1"/>
  <c r="M95" i="76" s="1"/>
  <c r="AH16" i="62"/>
  <c r="Q16" i="62" s="1"/>
  <c r="I95" i="76" s="1"/>
  <c r="AH19" i="62"/>
  <c r="Q19" i="62" s="1"/>
  <c r="L95" i="76" s="1"/>
  <c r="AH11" i="62"/>
  <c r="Q11" i="62" s="1"/>
  <c r="D95" i="76" s="1"/>
  <c r="AH17" i="62"/>
  <c r="Q17" i="62" s="1"/>
  <c r="J95" i="76" s="1"/>
  <c r="AH22" i="62"/>
  <c r="Q22" i="62" s="1"/>
  <c r="O95" i="76" s="1"/>
  <c r="AH26" i="62"/>
  <c r="Q26" i="62" s="1"/>
  <c r="S95" i="76" s="1"/>
  <c r="AH24" i="62"/>
  <c r="Q24" i="62" s="1"/>
  <c r="Q95" i="76" s="1"/>
  <c r="AH18" i="62"/>
  <c r="Q18" i="62" s="1"/>
  <c r="K95" i="76" s="1"/>
  <c r="AH21" i="62"/>
  <c r="Q21" i="62" s="1"/>
  <c r="N95" i="76" s="1"/>
  <c r="AH15" i="62"/>
  <c r="Q15" i="62" s="1"/>
  <c r="H95" i="76" s="1"/>
  <c r="AH27" i="62"/>
  <c r="Q27" i="62" s="1"/>
  <c r="T95" i="76" s="1"/>
  <c r="AH25" i="62"/>
  <c r="Q25" i="62" s="1"/>
  <c r="R95" i="76" s="1"/>
  <c r="AH12" i="62"/>
  <c r="Q12" i="62" s="1"/>
  <c r="E95" i="76" s="1"/>
  <c r="AH14" i="62"/>
  <c r="Q14" i="62" s="1"/>
  <c r="G95" i="76" s="1"/>
  <c r="AK59" i="62"/>
  <c r="AP57" i="62"/>
  <c r="B163" i="49"/>
  <c r="X163" i="49"/>
  <c r="X30" i="49"/>
  <c r="X31" i="49"/>
  <c r="AK58" i="49"/>
  <c r="AQ58" i="49" s="1"/>
  <c r="T12" i="49"/>
  <c r="T13" i="49"/>
  <c r="T14" i="49"/>
  <c r="T15" i="49"/>
  <c r="T16" i="49"/>
  <c r="T17" i="49"/>
  <c r="Z80" i="49" s="1"/>
  <c r="T18" i="49"/>
  <c r="T19" i="49"/>
  <c r="T20" i="49"/>
  <c r="T21" i="49"/>
  <c r="T22" i="49"/>
  <c r="T23" i="49"/>
  <c r="T24" i="49"/>
  <c r="T25" i="49"/>
  <c r="Z88" i="49" s="1"/>
  <c r="T26" i="49"/>
  <c r="Z89" i="49" s="1"/>
  <c r="T27" i="49"/>
  <c r="T28" i="49"/>
  <c r="Z91" i="49" s="1"/>
  <c r="T29" i="49"/>
  <c r="V18" i="92" l="1" a="1"/>
  <c r="V18" i="92" s="1"/>
  <c r="W18" i="92" a="1"/>
  <c r="W18" i="92" s="1"/>
  <c r="X18" i="92" a="1"/>
  <c r="X18" i="92" s="1"/>
  <c r="AC231" i="83" s="1"/>
  <c r="X39" i="69"/>
  <c r="AB38" i="69"/>
  <c r="AB39" i="69"/>
  <c r="X11" i="76"/>
  <c r="T102" i="91"/>
  <c r="T32" i="91"/>
  <c r="T31" i="49"/>
  <c r="Z77" i="49"/>
  <c r="AW58" i="49"/>
  <c r="AX58" i="49"/>
  <c r="AY58" i="49"/>
  <c r="BA58" i="49"/>
  <c r="AZ58" i="49"/>
  <c r="AH15" i="49"/>
  <c r="Q15" i="49" s="1"/>
  <c r="H94" i="76" s="1"/>
  <c r="O30" i="49"/>
  <c r="T31" i="66"/>
  <c r="T31" i="63"/>
  <c r="AO58" i="49"/>
  <c r="AP58" i="49"/>
  <c r="Z76" i="49"/>
  <c r="AN58" i="49"/>
  <c r="AM58" i="49"/>
  <c r="AL58" i="49"/>
  <c r="T31" i="68" l="1"/>
  <c r="T31" i="64"/>
  <c r="T31" i="62"/>
  <c r="T334" i="83"/>
  <c r="AQ132" i="91"/>
  <c r="AQ62" i="91"/>
  <c r="T31" i="83"/>
  <c r="T31" i="69"/>
  <c r="T31" i="67"/>
  <c r="P30" i="49"/>
  <c r="AH18" i="49"/>
  <c r="Q18" i="49" s="1"/>
  <c r="K94" i="76" s="1"/>
  <c r="AH14" i="49"/>
  <c r="Q14" i="49" s="1"/>
  <c r="G94" i="76" s="1"/>
  <c r="AH23" i="49"/>
  <c r="Q23" i="49" s="1"/>
  <c r="P94" i="76" s="1"/>
  <c r="AH29" i="49"/>
  <c r="Q29" i="49" s="1"/>
  <c r="V94" i="76" s="1"/>
  <c r="AH28" i="49"/>
  <c r="Q28" i="49" s="1"/>
  <c r="U94" i="76" s="1"/>
  <c r="AH24" i="49"/>
  <c r="Q24" i="49" s="1"/>
  <c r="Q94" i="76" s="1"/>
  <c r="AH27" i="49"/>
  <c r="Q27" i="49" s="1"/>
  <c r="T94" i="76" s="1"/>
  <c r="AH16" i="49"/>
  <c r="Q16" i="49" s="1"/>
  <c r="I94" i="76" s="1"/>
  <c r="AH17" i="49"/>
  <c r="Q17" i="49" s="1"/>
  <c r="J94" i="76" s="1"/>
  <c r="AH19" i="49"/>
  <c r="Q19" i="49" s="1"/>
  <c r="L94" i="76" s="1"/>
  <c r="AH21" i="49"/>
  <c r="Q21" i="49" s="1"/>
  <c r="N94" i="76" s="1"/>
  <c r="AH20" i="49"/>
  <c r="Q20" i="49" s="1"/>
  <c r="M94" i="76" s="1"/>
  <c r="AH22" i="49"/>
  <c r="Q22" i="49" s="1"/>
  <c r="O94" i="76" s="1"/>
  <c r="AH12" i="49"/>
  <c r="Q12" i="49" s="1"/>
  <c r="E94" i="76" s="1"/>
  <c r="AH26" i="49"/>
  <c r="Q26" i="49" s="1"/>
  <c r="S94" i="76" s="1"/>
  <c r="AH11" i="49"/>
  <c r="Q11" i="49" s="1"/>
  <c r="D94" i="76" s="1"/>
  <c r="AH25" i="49"/>
  <c r="Q25" i="49" s="1"/>
  <c r="R94" i="76" s="1"/>
  <c r="AH13" i="49"/>
  <c r="Q13" i="49" s="1"/>
  <c r="F94" i="76" s="1"/>
  <c r="S31" i="65" l="1"/>
  <c r="T31" i="65" s="1"/>
  <c r="V31" i="86"/>
  <c r="AV57" i="62"/>
  <c r="L30" i="49" l="1"/>
  <c r="N30" i="49"/>
  <c r="AN30" i="49" l="1"/>
  <c r="AK30" i="49"/>
  <c r="W12" i="76"/>
  <c r="A40" i="50"/>
  <c r="A41" i="50"/>
  <c r="A42" i="50"/>
  <c r="A46" i="50" l="1"/>
  <c r="A45" i="50"/>
  <c r="A48" i="50"/>
  <c r="A44" i="50"/>
  <c r="A47" i="50"/>
  <c r="A43" i="50"/>
  <c r="AB45" i="50"/>
  <c r="AE45" i="50" l="1"/>
  <c r="AD45" i="50"/>
  <c r="BC45" i="50"/>
  <c r="T24" i="92" l="1"/>
  <c r="E24" i="92"/>
  <c r="J24" i="92"/>
  <c r="Q24" i="92"/>
  <c r="S24" i="92"/>
  <c r="H24" i="92"/>
  <c r="P24" i="92"/>
  <c r="R24" i="92"/>
  <c r="D24" i="92"/>
  <c r="F24" i="92"/>
  <c r="O24" i="92"/>
  <c r="N24" i="92"/>
  <c r="M24" i="92"/>
  <c r="B24" i="92"/>
  <c r="L24" i="92"/>
  <c r="C24" i="92"/>
  <c r="I24" i="92"/>
  <c r="K24" i="92"/>
  <c r="G24" i="92"/>
  <c r="X24" i="92" l="1" a="1"/>
  <c r="X24" i="92" s="1"/>
  <c r="V24" i="92" a="1"/>
  <c r="V24" i="92" s="1"/>
  <c r="W24" i="92" a="1"/>
  <c r="W24" i="92" s="1"/>
  <c r="Z39" i="65" l="1"/>
  <c r="Y39" i="65"/>
  <c r="AC38" i="65"/>
  <c r="AC94" i="50"/>
  <c r="AC92" i="50"/>
  <c r="AC90" i="50"/>
  <c r="AC88" i="50"/>
  <c r="AC86" i="50"/>
  <c r="AC84" i="50"/>
  <c r="AC82" i="50"/>
  <c r="AC80" i="50"/>
  <c r="AC78" i="50"/>
  <c r="AB72" i="50"/>
  <c r="AB68" i="50"/>
  <c r="AB69" i="50"/>
  <c r="AB70" i="50"/>
  <c r="AB71" i="50"/>
  <c r="AB54" i="50"/>
  <c r="AB55" i="50"/>
  <c r="AB56" i="50"/>
  <c r="AB57" i="50"/>
  <c r="AB58" i="50"/>
  <c r="AB59" i="50"/>
  <c r="AB60" i="50"/>
  <c r="AB61" i="50"/>
  <c r="AB62" i="50"/>
  <c r="AB63" i="50"/>
  <c r="AB64" i="50"/>
  <c r="AB65" i="50"/>
  <c r="AB66" i="50"/>
  <c r="AB67" i="50"/>
  <c r="AB53" i="50"/>
  <c r="AB47" i="50"/>
  <c r="AB48" i="50"/>
  <c r="AB49" i="50"/>
  <c r="AB50" i="50"/>
  <c r="AB51" i="50"/>
  <c r="AB33" i="50"/>
  <c r="AB34" i="50"/>
  <c r="AB35" i="50"/>
  <c r="AB36" i="50"/>
  <c r="AB37" i="50"/>
  <c r="AB38" i="50"/>
  <c r="AB39" i="50"/>
  <c r="AB40" i="50"/>
  <c r="AB41" i="50"/>
  <c r="AB42" i="50"/>
  <c r="AB43" i="50"/>
  <c r="AB44" i="50"/>
  <c r="AB46" i="50"/>
  <c r="AB32" i="50"/>
  <c r="AB30" i="50"/>
  <c r="AB10" i="50"/>
  <c r="AB11" i="50"/>
  <c r="AB12" i="50"/>
  <c r="AB13" i="50"/>
  <c r="AB14" i="50"/>
  <c r="AB15" i="50"/>
  <c r="AB16" i="50"/>
  <c r="AB17" i="50"/>
  <c r="AB18" i="50"/>
  <c r="AB19" i="50"/>
  <c r="AB20" i="50"/>
  <c r="AB21" i="50"/>
  <c r="AB22" i="50"/>
  <c r="AB23" i="50"/>
  <c r="AB24" i="50"/>
  <c r="AB25" i="50"/>
  <c r="AB26" i="50"/>
  <c r="AB27" i="50"/>
  <c r="AB28" i="50"/>
  <c r="AB29" i="50"/>
  <c r="AB9" i="50"/>
  <c r="X144" i="49"/>
  <c r="X145" i="49"/>
  <c r="X146" i="49"/>
  <c r="X147" i="49"/>
  <c r="X148" i="49"/>
  <c r="X149" i="49"/>
  <c r="X150" i="49"/>
  <c r="X151" i="49"/>
  <c r="X152" i="49"/>
  <c r="X153" i="49"/>
  <c r="X154" i="49"/>
  <c r="X155" i="49"/>
  <c r="X156" i="49"/>
  <c r="X157" i="49"/>
  <c r="X158" i="49"/>
  <c r="X159" i="49"/>
  <c r="X160" i="49"/>
  <c r="X161" i="49"/>
  <c r="X162" i="49"/>
  <c r="X143" i="49"/>
  <c r="AE18" i="50" l="1"/>
  <c r="AD18" i="50"/>
  <c r="A52" i="50"/>
  <c r="A58" i="50"/>
  <c r="A54" i="50"/>
  <c r="A51" i="50"/>
  <c r="A57" i="50"/>
  <c r="A53" i="50"/>
  <c r="A50" i="50"/>
  <c r="A56" i="50"/>
  <c r="A49" i="50"/>
  <c r="A55" i="50"/>
  <c r="AE27" i="50"/>
  <c r="AD27" i="50"/>
  <c r="AE24" i="50"/>
  <c r="AD24" i="50"/>
  <c r="AE20" i="50"/>
  <c r="AD20" i="50"/>
  <c r="AE16" i="50"/>
  <c r="AD16" i="50"/>
  <c r="AE12" i="50"/>
  <c r="AD12" i="50"/>
  <c r="BC32" i="50"/>
  <c r="AE32" i="50"/>
  <c r="AD32" i="50"/>
  <c r="BC41" i="50"/>
  <c r="AE41" i="50"/>
  <c r="AD41" i="50"/>
  <c r="BC37" i="50"/>
  <c r="AE37" i="50"/>
  <c r="AD37" i="50"/>
  <c r="BC33" i="50"/>
  <c r="AE33" i="50"/>
  <c r="AD33" i="50"/>
  <c r="AE48" i="50"/>
  <c r="AD48" i="50"/>
  <c r="AE66" i="50"/>
  <c r="AD66" i="50"/>
  <c r="AE63" i="50"/>
  <c r="AD63" i="50"/>
  <c r="AE59" i="50"/>
  <c r="AD59" i="50"/>
  <c r="AE55" i="50"/>
  <c r="AD55" i="50"/>
  <c r="AE69" i="50"/>
  <c r="AD69" i="50"/>
  <c r="AE72" i="50"/>
  <c r="AD72" i="50"/>
  <c r="AE9" i="50"/>
  <c r="AD9" i="50"/>
  <c r="AE26" i="50"/>
  <c r="AD26" i="50"/>
  <c r="AE23" i="50"/>
  <c r="AD23" i="50"/>
  <c r="AE19" i="50"/>
  <c r="AD19" i="50"/>
  <c r="AE15" i="50"/>
  <c r="AD15" i="50"/>
  <c r="AE11" i="50"/>
  <c r="AD11" i="50"/>
  <c r="AE44" i="50"/>
  <c r="AD44" i="50"/>
  <c r="AE40" i="50"/>
  <c r="AD40" i="50"/>
  <c r="AE36" i="50"/>
  <c r="AD36" i="50"/>
  <c r="AE51" i="50"/>
  <c r="AD51" i="50"/>
  <c r="AE47" i="50"/>
  <c r="AD47" i="50"/>
  <c r="AE62" i="50"/>
  <c r="AD62" i="50"/>
  <c r="AE58" i="50"/>
  <c r="AD58" i="50"/>
  <c r="AE54" i="50"/>
  <c r="AD54" i="50"/>
  <c r="AE68" i="50"/>
  <c r="AD68" i="50"/>
  <c r="AE29" i="50"/>
  <c r="AD29" i="50"/>
  <c r="AE22" i="50"/>
  <c r="AD22" i="50"/>
  <c r="AE14" i="50"/>
  <c r="AD14" i="50"/>
  <c r="AE10" i="50"/>
  <c r="AD10" i="50"/>
  <c r="AE43" i="50"/>
  <c r="AD43" i="50"/>
  <c r="AE39" i="50"/>
  <c r="AD39" i="50"/>
  <c r="AE35" i="50"/>
  <c r="AD35" i="50"/>
  <c r="BC50" i="50"/>
  <c r="AE50" i="50"/>
  <c r="AD50" i="50"/>
  <c r="AE53" i="50"/>
  <c r="AD53" i="50"/>
  <c r="AE65" i="50"/>
  <c r="AD65" i="50"/>
  <c r="AE61" i="50"/>
  <c r="AD61" i="50"/>
  <c r="AE57" i="50"/>
  <c r="AD57" i="50"/>
  <c r="AE71" i="50"/>
  <c r="AD71" i="50"/>
  <c r="AE28" i="50"/>
  <c r="AD28" i="50"/>
  <c r="AE25" i="50"/>
  <c r="AD25" i="50"/>
  <c r="AE21" i="50"/>
  <c r="AD21" i="50"/>
  <c r="AE17" i="50"/>
  <c r="AD17" i="50"/>
  <c r="AE13" i="50"/>
  <c r="AD13" i="50"/>
  <c r="AE30" i="50"/>
  <c r="AD30" i="50"/>
  <c r="AE46" i="50"/>
  <c r="AD46" i="50"/>
  <c r="AE42" i="50"/>
  <c r="AD42" i="50"/>
  <c r="AE38" i="50"/>
  <c r="AD38" i="50"/>
  <c r="AE34" i="50"/>
  <c r="AD34" i="50"/>
  <c r="AE49" i="50"/>
  <c r="AD49" i="50"/>
  <c r="AE67" i="50"/>
  <c r="AD67" i="50"/>
  <c r="AE64" i="50"/>
  <c r="AD64" i="50"/>
  <c r="AE60" i="50"/>
  <c r="AD60" i="50"/>
  <c r="AE56" i="50"/>
  <c r="AD56" i="50"/>
  <c r="AE70" i="50"/>
  <c r="AD70" i="50"/>
  <c r="BC39" i="50"/>
  <c r="BC35" i="50"/>
  <c r="BC46" i="50"/>
  <c r="BC38" i="50"/>
  <c r="BC49" i="50"/>
  <c r="BC48" i="50"/>
  <c r="BC43" i="50"/>
  <c r="BC42" i="50"/>
  <c r="BC34" i="50"/>
  <c r="BC44" i="50"/>
  <c r="BC40" i="50"/>
  <c r="BC36" i="50"/>
  <c r="BC51" i="50"/>
  <c r="BC47" i="50"/>
  <c r="B144" i="49"/>
  <c r="A144" i="49" s="1"/>
  <c r="B145" i="49"/>
  <c r="A145" i="49" s="1"/>
  <c r="B146" i="49"/>
  <c r="A146" i="49" s="1"/>
  <c r="B147" i="49"/>
  <c r="A147" i="49" s="1"/>
  <c r="B148" i="49"/>
  <c r="A148" i="49" s="1"/>
  <c r="B149" i="49"/>
  <c r="A149" i="49" s="1"/>
  <c r="B150" i="49"/>
  <c r="A150" i="49" s="1"/>
  <c r="B151" i="49"/>
  <c r="A151" i="49" s="1"/>
  <c r="B152" i="49"/>
  <c r="A152" i="49" s="1"/>
  <c r="B153" i="49"/>
  <c r="A153" i="49" s="1"/>
  <c r="B154" i="49"/>
  <c r="A154" i="49" s="1"/>
  <c r="B155" i="49"/>
  <c r="A155" i="49" s="1"/>
  <c r="B156" i="49"/>
  <c r="A156" i="49" s="1"/>
  <c r="B157" i="49"/>
  <c r="A157" i="49" s="1"/>
  <c r="B158" i="49"/>
  <c r="A158" i="49" s="1"/>
  <c r="B159" i="49"/>
  <c r="A159" i="49" s="1"/>
  <c r="B160" i="49"/>
  <c r="A160" i="49" s="1"/>
  <c r="B161" i="49"/>
  <c r="A161" i="49" s="1"/>
  <c r="B162" i="49"/>
  <c r="D31" i="50" l="1"/>
  <c r="D60" i="50" s="1"/>
  <c r="G25" i="50"/>
  <c r="L22" i="50"/>
  <c r="K23" i="50"/>
  <c r="Z96" i="91"/>
  <c r="Q31" i="50"/>
  <c r="L60" i="50" s="1"/>
  <c r="H31" i="50"/>
  <c r="I31" i="50"/>
  <c r="Q27" i="50"/>
  <c r="P31" i="50"/>
  <c r="J31" i="50"/>
  <c r="H60" i="50" s="1"/>
  <c r="E29" i="50"/>
  <c r="J21" i="50"/>
  <c r="J29" i="50"/>
  <c r="E20" i="50"/>
  <c r="J18" i="50"/>
  <c r="N19" i="50"/>
  <c r="F26" i="50"/>
  <c r="Q18" i="50"/>
  <c r="M23" i="50"/>
  <c r="S27" i="50"/>
  <c r="F18" i="50"/>
  <c r="H19" i="50"/>
  <c r="F17" i="50"/>
  <c r="Q26" i="50"/>
  <c r="K25" i="50"/>
  <c r="R25" i="50"/>
  <c r="L23" i="50"/>
  <c r="G16" i="50"/>
  <c r="J16" i="50"/>
  <c r="E22" i="50"/>
  <c r="M27" i="50"/>
  <c r="O23" i="50"/>
  <c r="O16" i="50"/>
  <c r="J27" i="50"/>
  <c r="J20" i="50"/>
  <c r="R18" i="50"/>
  <c r="E24" i="50"/>
  <c r="M29" i="50"/>
  <c r="L21" i="50"/>
  <c r="M21" i="50"/>
  <c r="I18" i="50"/>
  <c r="P24" i="50"/>
  <c r="J54" i="50" s="1"/>
  <c r="L17" i="50"/>
  <c r="P26" i="50"/>
  <c r="J55" i="50" s="1"/>
  <c r="O25" i="50"/>
  <c r="J23" i="50"/>
  <c r="E16" i="50"/>
  <c r="R22" i="50"/>
  <c r="S16" i="50"/>
  <c r="I29" i="50"/>
  <c r="I20" i="50"/>
  <c r="S21" i="50"/>
  <c r="V21" i="50"/>
  <c r="R52" i="50" s="1"/>
  <c r="F24" i="50"/>
  <c r="P19" i="50"/>
  <c r="J50" i="50" s="1"/>
  <c r="O17" i="50"/>
  <c r="S26" i="50"/>
  <c r="F25" i="50"/>
  <c r="K16" i="50"/>
  <c r="M18" i="50"/>
  <c r="I24" i="50"/>
  <c r="J24" i="50"/>
  <c r="H20" i="50"/>
  <c r="P17" i="50"/>
  <c r="J48" i="50" s="1"/>
  <c r="P28" i="50"/>
  <c r="J57" i="50" s="1"/>
  <c r="D9" i="50"/>
  <c r="K27" i="50"/>
  <c r="H18" i="50"/>
  <c r="F20" i="50"/>
  <c r="N24" i="50"/>
  <c r="E25" i="50"/>
  <c r="O27" i="50"/>
  <c r="S20" i="50"/>
  <c r="Q19" i="50"/>
  <c r="G23" i="50"/>
  <c r="N22" i="50"/>
  <c r="Q20" i="50"/>
  <c r="L24" i="50"/>
  <c r="E21" i="50"/>
  <c r="H24" i="50"/>
  <c r="K26" i="50"/>
  <c r="L29" i="50"/>
  <c r="H21" i="50"/>
  <c r="H17" i="50"/>
  <c r="I16" i="50"/>
  <c r="R29" i="50"/>
  <c r="F21" i="50"/>
  <c r="G24" i="50"/>
  <c r="R19" i="50"/>
  <c r="N17" i="50"/>
  <c r="M26" i="50"/>
  <c r="Q25" i="50"/>
  <c r="H23" i="50"/>
  <c r="G28" i="50"/>
  <c r="P16" i="50"/>
  <c r="J47" i="50" s="1"/>
  <c r="I22" i="50"/>
  <c r="H27" i="50"/>
  <c r="N25" i="50"/>
  <c r="I28" i="50"/>
  <c r="J22" i="50"/>
  <c r="S29" i="50"/>
  <c r="O29" i="50"/>
  <c r="N20" i="50"/>
  <c r="G21" i="50"/>
  <c r="N18" i="50"/>
  <c r="L19" i="50"/>
  <c r="G29" i="50"/>
  <c r="M20" i="50"/>
  <c r="P21" i="50"/>
  <c r="J52" i="50" s="1"/>
  <c r="P18" i="50"/>
  <c r="J49" i="50" s="1"/>
  <c r="K24" i="50"/>
  <c r="O19" i="50"/>
  <c r="S17" i="50"/>
  <c r="N26" i="50"/>
  <c r="J25" i="50"/>
  <c r="Q28" i="50"/>
  <c r="N16" i="50"/>
  <c r="L27" i="50"/>
  <c r="H28" i="50"/>
  <c r="F27" i="50"/>
  <c r="P20" i="50"/>
  <c r="J51" i="50" s="1"/>
  <c r="O21" i="50"/>
  <c r="K18" i="50"/>
  <c r="O24" i="50"/>
  <c r="Q17" i="50"/>
  <c r="I26" i="50"/>
  <c r="L26" i="50"/>
  <c r="F23" i="50"/>
  <c r="J28" i="50"/>
  <c r="R16" i="50"/>
  <c r="H22" i="50"/>
  <c r="P27" i="50"/>
  <c r="J56" i="50" s="1"/>
  <c r="K17" i="50"/>
  <c r="Q23" i="50"/>
  <c r="N28" i="50"/>
  <c r="N27" i="50"/>
  <c r="M28" i="50"/>
  <c r="L20" i="50"/>
  <c r="R20" i="50"/>
  <c r="G18" i="50"/>
  <c r="M19" i="50"/>
  <c r="R26" i="50"/>
  <c r="I25" i="50"/>
  <c r="K28" i="50"/>
  <c r="F16" i="50"/>
  <c r="O28" i="50"/>
  <c r="G22" i="50"/>
  <c r="N21" i="50"/>
  <c r="E17" i="50"/>
  <c r="S25" i="50"/>
  <c r="F28" i="50"/>
  <c r="P29" i="50"/>
  <c r="J58" i="50" s="1"/>
  <c r="G19" i="50"/>
  <c r="J26" i="50"/>
  <c r="P23" i="50"/>
  <c r="J53" i="50" s="1"/>
  <c r="H16" i="50"/>
  <c r="S28" i="50"/>
  <c r="K29" i="50"/>
  <c r="J19" i="50"/>
  <c r="N29" i="50"/>
  <c r="X21" i="50"/>
  <c r="V52" i="50" s="1"/>
  <c r="E19" i="50"/>
  <c r="E26" i="50"/>
  <c r="Q16" i="50"/>
  <c r="S23" i="50"/>
  <c r="Q21" i="50"/>
  <c r="M24" i="50"/>
  <c r="R17" i="50"/>
  <c r="O26" i="50"/>
  <c r="E28" i="50"/>
  <c r="K21" i="50"/>
  <c r="F19" i="50"/>
  <c r="L18" i="50"/>
  <c r="I19" i="50"/>
  <c r="H26" i="50"/>
  <c r="S18" i="50"/>
  <c r="L25" i="50"/>
  <c r="O22" i="50"/>
  <c r="H29" i="50"/>
  <c r="T21" i="50"/>
  <c r="N52" i="50" s="1"/>
  <c r="S19" i="50"/>
  <c r="I17" i="50"/>
  <c r="J17" i="50"/>
  <c r="G26" i="50"/>
  <c r="M25" i="50"/>
  <c r="R23" i="50"/>
  <c r="L28" i="50"/>
  <c r="L16" i="50"/>
  <c r="S22" i="50"/>
  <c r="R27" i="50"/>
  <c r="N23" i="50"/>
  <c r="M16" i="50"/>
  <c r="I27" i="50"/>
  <c r="K20" i="50"/>
  <c r="U21" i="50"/>
  <c r="P52" i="50" s="1"/>
  <c r="S24" i="50"/>
  <c r="Q29" i="50"/>
  <c r="O20" i="50"/>
  <c r="R21" i="50"/>
  <c r="E18" i="50"/>
  <c r="R24" i="50"/>
  <c r="K19" i="50"/>
  <c r="H25" i="50"/>
  <c r="K22" i="50"/>
  <c r="E27" i="50"/>
  <c r="W21" i="50"/>
  <c r="T52" i="50" s="1"/>
  <c r="G17" i="50"/>
  <c r="M22" i="50"/>
  <c r="E23" i="50"/>
  <c r="F29" i="50"/>
  <c r="G20" i="50"/>
  <c r="Q24" i="50"/>
  <c r="P25" i="50"/>
  <c r="F22" i="50"/>
  <c r="Q22" i="50"/>
  <c r="I21" i="50"/>
  <c r="D21" i="50"/>
  <c r="M17" i="50"/>
  <c r="R28" i="50"/>
  <c r="P22" i="50"/>
  <c r="O18" i="50"/>
  <c r="I23" i="50"/>
  <c r="G27" i="50"/>
  <c r="O30" i="50"/>
  <c r="R30" i="50"/>
  <c r="K30" i="50"/>
  <c r="J30" i="50"/>
  <c r="E30" i="50"/>
  <c r="S30" i="50"/>
  <c r="N30" i="50"/>
  <c r="L30" i="50"/>
  <c r="F30" i="50"/>
  <c r="M30" i="50"/>
  <c r="H30" i="50"/>
  <c r="G30" i="50"/>
  <c r="Q30" i="50"/>
  <c r="P30" i="50"/>
  <c r="J59" i="50" s="1"/>
  <c r="I30" i="50"/>
  <c r="O15" i="50"/>
  <c r="X27" i="50"/>
  <c r="V56" i="50" s="1"/>
  <c r="U28" i="50"/>
  <c r="P57" i="50" s="1"/>
  <c r="M11" i="50"/>
  <c r="X20" i="50"/>
  <c r="V51" i="50" s="1"/>
  <c r="U23" i="50"/>
  <c r="P53" i="50" s="1"/>
  <c r="W12" i="50"/>
  <c r="T43" i="50" s="1"/>
  <c r="U25" i="50"/>
  <c r="T19" i="50"/>
  <c r="N50" i="50" s="1"/>
  <c r="J14" i="50"/>
  <c r="T11" i="50"/>
  <c r="N42" i="50" s="1"/>
  <c r="V23" i="50"/>
  <c r="R53" i="50" s="1"/>
  <c r="V25" i="50"/>
  <c r="T15" i="50"/>
  <c r="N46" i="50" s="1"/>
  <c r="W22" i="50"/>
  <c r="X10" i="50"/>
  <c r="V41" i="50" s="1"/>
  <c r="D12" i="50"/>
  <c r="D18" i="50"/>
  <c r="G14" i="50"/>
  <c r="K9" i="50"/>
  <c r="X24" i="50"/>
  <c r="V54" i="50" s="1"/>
  <c r="N13" i="50"/>
  <c r="V12" i="50"/>
  <c r="R43" i="50" s="1"/>
  <c r="M10" i="50"/>
  <c r="T26" i="50"/>
  <c r="N55" i="50" s="1"/>
  <c r="V16" i="50"/>
  <c r="R47" i="50" s="1"/>
  <c r="D29" i="50"/>
  <c r="X25" i="50"/>
  <c r="N15" i="50"/>
  <c r="X9" i="50"/>
  <c r="V40" i="50" s="1"/>
  <c r="W26" i="50"/>
  <c r="T55" i="50" s="1"/>
  <c r="H9" i="50"/>
  <c r="O14" i="50"/>
  <c r="Q14" i="50"/>
  <c r="N14" i="50"/>
  <c r="P12" i="50"/>
  <c r="J43" i="50" s="1"/>
  <c r="D26" i="50"/>
  <c r="T18" i="50"/>
  <c r="N49" i="50" s="1"/>
  <c r="X17" i="50"/>
  <c r="V48" i="50" s="1"/>
  <c r="T25" i="50"/>
  <c r="T20" i="50"/>
  <c r="N51" i="50" s="1"/>
  <c r="N9" i="50"/>
  <c r="V11" i="50"/>
  <c r="R42" i="50" s="1"/>
  <c r="U12" i="50"/>
  <c r="P43" i="50" s="1"/>
  <c r="U9" i="50"/>
  <c r="P40" i="50" s="1"/>
  <c r="K14" i="50"/>
  <c r="L9" i="50"/>
  <c r="S13" i="50"/>
  <c r="W14" i="50"/>
  <c r="T45" i="50" s="1"/>
  <c r="J10" i="50"/>
  <c r="E15" i="50"/>
  <c r="W17" i="50"/>
  <c r="T48" i="50" s="1"/>
  <c r="U22" i="50"/>
  <c r="V31" i="50"/>
  <c r="F15" i="50"/>
  <c r="S11" i="50"/>
  <c r="D16" i="50"/>
  <c r="X12" i="50"/>
  <c r="V43" i="50" s="1"/>
  <c r="J15" i="50"/>
  <c r="X11" i="50"/>
  <c r="V42" i="50" s="1"/>
  <c r="Q12" i="50"/>
  <c r="L15" i="50"/>
  <c r="P15" i="50"/>
  <c r="J46" i="50" s="1"/>
  <c r="M9" i="50"/>
  <c r="R14" i="50"/>
  <c r="V13" i="50"/>
  <c r="R44" i="50" s="1"/>
  <c r="J13" i="50"/>
  <c r="D23" i="50"/>
  <c r="W16" i="50"/>
  <c r="T47" i="50" s="1"/>
  <c r="E10" i="50"/>
  <c r="R13" i="50"/>
  <c r="Q11" i="50"/>
  <c r="I12" i="50"/>
  <c r="W28" i="50"/>
  <c r="T57" i="50" s="1"/>
  <c r="U18" i="50"/>
  <c r="P49" i="50" s="1"/>
  <c r="Q10" i="50"/>
  <c r="L10" i="50"/>
  <c r="I10" i="50"/>
  <c r="N12" i="50"/>
  <c r="P14" i="50"/>
  <c r="J45" i="50" s="1"/>
  <c r="X16" i="50"/>
  <c r="V47" i="50" s="1"/>
  <c r="H15" i="50"/>
  <c r="X29" i="50"/>
  <c r="V58" i="50" s="1"/>
  <c r="I11" i="50"/>
  <c r="I9" i="50"/>
  <c r="D22" i="50"/>
  <c r="W27" i="50"/>
  <c r="T56" i="50" s="1"/>
  <c r="E13" i="50"/>
  <c r="V24" i="50"/>
  <c r="R54" i="50" s="1"/>
  <c r="V28" i="50"/>
  <c r="R57" i="50" s="1"/>
  <c r="G13" i="50"/>
  <c r="O11" i="50"/>
  <c r="D17" i="50"/>
  <c r="U19" i="50"/>
  <c r="P50" i="50" s="1"/>
  <c r="Q15" i="50"/>
  <c r="H12" i="50"/>
  <c r="T27" i="50"/>
  <c r="N56" i="50" s="1"/>
  <c r="R11" i="50"/>
  <c r="V22" i="50"/>
  <c r="T12" i="50"/>
  <c r="N43" i="50" s="1"/>
  <c r="W15" i="50"/>
  <c r="T46" i="50" s="1"/>
  <c r="T17" i="50"/>
  <c r="N48" i="50" s="1"/>
  <c r="K10" i="50"/>
  <c r="R10" i="50"/>
  <c r="W11" i="50"/>
  <c r="T42" i="50" s="1"/>
  <c r="H11" i="50"/>
  <c r="V29" i="50"/>
  <c r="R58" i="50" s="1"/>
  <c r="R12" i="50"/>
  <c r="X15" i="50"/>
  <c r="V46" i="50" s="1"/>
  <c r="T31" i="50"/>
  <c r="H10" i="50"/>
  <c r="L11" i="50"/>
  <c r="W20" i="50"/>
  <c r="T51" i="50" s="1"/>
  <c r="V27" i="50"/>
  <c r="R56" i="50" s="1"/>
  <c r="O13" i="50"/>
  <c r="I15" i="50"/>
  <c r="W9" i="50"/>
  <c r="T40" i="50" s="1"/>
  <c r="U20" i="50"/>
  <c r="P51" i="50" s="1"/>
  <c r="X22" i="50"/>
  <c r="S12" i="50"/>
  <c r="T24" i="50"/>
  <c r="N54" i="50" s="1"/>
  <c r="X23" i="50"/>
  <c r="V53" i="50" s="1"/>
  <c r="G15" i="50"/>
  <c r="X18" i="50"/>
  <c r="V49" i="50" s="1"/>
  <c r="V18" i="50"/>
  <c r="R49" i="50" s="1"/>
  <c r="V20" i="50"/>
  <c r="R51" i="50" s="1"/>
  <c r="T16" i="50"/>
  <c r="N47" i="50" s="1"/>
  <c r="Q13" i="50"/>
  <c r="U27" i="50"/>
  <c r="P56" i="50" s="1"/>
  <c r="D28" i="50"/>
  <c r="F14" i="50"/>
  <c r="L13" i="50"/>
  <c r="G11" i="50"/>
  <c r="U31" i="50"/>
  <c r="D19" i="50"/>
  <c r="W25" i="50"/>
  <c r="T22" i="50"/>
  <c r="D14" i="50"/>
  <c r="N11" i="50"/>
  <c r="F12" i="50"/>
  <c r="D27" i="50"/>
  <c r="M13" i="50"/>
  <c r="H13" i="50"/>
  <c r="U10" i="50"/>
  <c r="P41" i="50" s="1"/>
  <c r="D15" i="50"/>
  <c r="U11" i="50"/>
  <c r="P42" i="50" s="1"/>
  <c r="J11" i="50"/>
  <c r="L12" i="50"/>
  <c r="X19" i="50"/>
  <c r="V50" i="50" s="1"/>
  <c r="R15" i="50"/>
  <c r="D25" i="50"/>
  <c r="S10" i="50"/>
  <c r="F9" i="50"/>
  <c r="U17" i="50"/>
  <c r="P48" i="50" s="1"/>
  <c r="U26" i="50"/>
  <c r="P55" i="50" s="1"/>
  <c r="F11" i="50"/>
  <c r="W23" i="50"/>
  <c r="T53" i="50" s="1"/>
  <c r="X31" i="50"/>
  <c r="O10" i="50"/>
  <c r="W18" i="50"/>
  <c r="T49" i="50" s="1"/>
  <c r="K11" i="50"/>
  <c r="T9" i="50"/>
  <c r="N40" i="50" s="1"/>
  <c r="V14" i="50"/>
  <c r="R45" i="50" s="1"/>
  <c r="S14" i="50"/>
  <c r="T13" i="50"/>
  <c r="N44" i="50" s="1"/>
  <c r="U13" i="50"/>
  <c r="P44" i="50" s="1"/>
  <c r="E12" i="50"/>
  <c r="X14" i="50"/>
  <c r="V45" i="50" s="1"/>
  <c r="T23" i="50"/>
  <c r="N53" i="50" s="1"/>
  <c r="S9" i="50"/>
  <c r="E14" i="50"/>
  <c r="V19" i="50"/>
  <c r="R50" i="50" s="1"/>
  <c r="W31" i="50"/>
  <c r="R9" i="50"/>
  <c r="Q9" i="50"/>
  <c r="P13" i="50"/>
  <c r="J44" i="50" s="1"/>
  <c r="J12" i="50"/>
  <c r="E11" i="50"/>
  <c r="V15" i="50"/>
  <c r="R46" i="50" s="1"/>
  <c r="U16" i="50"/>
  <c r="P47" i="50" s="1"/>
  <c r="T28" i="50"/>
  <c r="N57" i="50" s="1"/>
  <c r="F10" i="50"/>
  <c r="P11" i="50"/>
  <c r="J42" i="50" s="1"/>
  <c r="O9" i="50"/>
  <c r="K12" i="50"/>
  <c r="W24" i="50"/>
  <c r="T54" i="50" s="1"/>
  <c r="K13" i="50"/>
  <c r="N10" i="50"/>
  <c r="E9" i="50"/>
  <c r="P10" i="50"/>
  <c r="J41" i="50" s="1"/>
  <c r="S15" i="50"/>
  <c r="V9" i="50"/>
  <c r="R40" i="50" s="1"/>
  <c r="P9" i="50"/>
  <c r="J40" i="50" s="1"/>
  <c r="H14" i="50"/>
  <c r="D13" i="50"/>
  <c r="X28" i="50"/>
  <c r="V57" i="50" s="1"/>
  <c r="D20" i="50"/>
  <c r="M15" i="50"/>
  <c r="W10" i="50"/>
  <c r="T41" i="50" s="1"/>
  <c r="V17" i="50"/>
  <c r="R48" i="50" s="1"/>
  <c r="W29" i="50"/>
  <c r="T58" i="50" s="1"/>
  <c r="T29" i="50"/>
  <c r="N58" i="50" s="1"/>
  <c r="V26" i="50"/>
  <c r="R55" i="50" s="1"/>
  <c r="U29" i="50"/>
  <c r="P58" i="50" s="1"/>
  <c r="I14" i="50"/>
  <c r="K15" i="50"/>
  <c r="U15" i="50"/>
  <c r="P46" i="50" s="1"/>
  <c r="W19" i="50"/>
  <c r="T50" i="50" s="1"/>
  <c r="M14" i="50"/>
  <c r="G12" i="50"/>
  <c r="I13" i="50"/>
  <c r="L14" i="50"/>
  <c r="U24" i="50"/>
  <c r="P54" i="50" s="1"/>
  <c r="G10" i="50"/>
  <c r="M12" i="50"/>
  <c r="V10" i="50"/>
  <c r="R41" i="50" s="1"/>
  <c r="D10" i="50"/>
  <c r="O12" i="50"/>
  <c r="T14" i="50"/>
  <c r="N45" i="50" s="1"/>
  <c r="D24" i="50"/>
  <c r="J9" i="50"/>
  <c r="G9" i="50"/>
  <c r="T10" i="50"/>
  <c r="N41" i="50" s="1"/>
  <c r="F13" i="50"/>
  <c r="X26" i="50"/>
  <c r="V55" i="50" s="1"/>
  <c r="X13" i="50"/>
  <c r="V44" i="50" s="1"/>
  <c r="U14" i="50"/>
  <c r="P45" i="50" s="1"/>
  <c r="D11" i="50"/>
  <c r="W13" i="50"/>
  <c r="T44" i="50" s="1"/>
  <c r="U30" i="50"/>
  <c r="P59" i="50" s="1"/>
  <c r="W30" i="50"/>
  <c r="T59" i="50" s="1"/>
  <c r="X30" i="50"/>
  <c r="V59" i="50" s="1"/>
  <c r="T30" i="50"/>
  <c r="N59" i="50" s="1"/>
  <c r="D30" i="50"/>
  <c r="V30" i="50"/>
  <c r="R59" i="50" s="1"/>
  <c r="AR59" i="49"/>
  <c r="N13" i="76"/>
  <c r="L4" i="92" s="1"/>
  <c r="T13" i="76"/>
  <c r="R4" i="92" s="1"/>
  <c r="G13" i="76"/>
  <c r="E4" i="92" s="1"/>
  <c r="Q13" i="76"/>
  <c r="O4" i="92" s="1"/>
  <c r="K13" i="76"/>
  <c r="I4" i="92" s="1"/>
  <c r="I13" i="76"/>
  <c r="G4" i="92" s="1"/>
  <c r="X13" i="76"/>
  <c r="E13" i="76"/>
  <c r="C4" i="92" s="1"/>
  <c r="O13" i="76"/>
  <c r="M4" i="92" s="1"/>
  <c r="J13" i="76"/>
  <c r="H4" i="92" s="1"/>
  <c r="M13" i="76"/>
  <c r="K4" i="92" s="1"/>
  <c r="U13" i="76"/>
  <c r="S4" i="92" s="1"/>
  <c r="R13" i="76"/>
  <c r="P4" i="92" s="1"/>
  <c r="D13" i="76"/>
  <c r="B4" i="92" s="1"/>
  <c r="S13" i="76"/>
  <c r="Q4" i="92" s="1"/>
  <c r="F13" i="76"/>
  <c r="D4" i="92" s="1"/>
  <c r="H13" i="76"/>
  <c r="F4" i="92" s="1"/>
  <c r="V13" i="76"/>
  <c r="T4" i="92" s="1"/>
  <c r="P13" i="76"/>
  <c r="N4" i="92" s="1"/>
  <c r="L13" i="76"/>
  <c r="J4" i="92" s="1"/>
  <c r="W13" i="76"/>
  <c r="AR58" i="49"/>
  <c r="AV58" i="49"/>
  <c r="AT58" i="49"/>
  <c r="AS58" i="49"/>
  <c r="AU58" i="49"/>
  <c r="V4" i="92" l="1" a="1"/>
  <c r="V4" i="92" s="1"/>
  <c r="W4" i="92" a="1"/>
  <c r="W4" i="92" s="1"/>
  <c r="X4" i="92" a="1"/>
  <c r="X4" i="92" s="1"/>
  <c r="F58" i="50"/>
  <c r="D52" i="50"/>
  <c r="D48" i="50"/>
  <c r="D55" i="50"/>
  <c r="F49" i="50"/>
  <c r="L48" i="50"/>
  <c r="F48" i="50"/>
  <c r="H48" i="50"/>
  <c r="D57" i="50"/>
  <c r="F57" i="50"/>
  <c r="L57" i="50"/>
  <c r="H57" i="50"/>
  <c r="L44" i="50"/>
  <c r="D53" i="50"/>
  <c r="F47" i="50"/>
  <c r="D56" i="50"/>
  <c r="L47" i="50"/>
  <c r="L54" i="50"/>
  <c r="F43" i="50"/>
  <c r="L59" i="50"/>
  <c r="F42" i="50"/>
  <c r="D50" i="50"/>
  <c r="D58" i="50"/>
  <c r="D49" i="50"/>
  <c r="F54" i="50"/>
  <c r="D59" i="50"/>
  <c r="AD75" i="50" s="1"/>
  <c r="D41" i="50"/>
  <c r="D47" i="50"/>
  <c r="F51" i="50"/>
  <c r="L42" i="50"/>
  <c r="F40" i="50"/>
  <c r="L52" i="50"/>
  <c r="L53" i="50"/>
  <c r="H53" i="50"/>
  <c r="F45" i="50"/>
  <c r="D45" i="50"/>
  <c r="F46" i="50"/>
  <c r="L45" i="50"/>
  <c r="H50" i="50"/>
  <c r="H54" i="50"/>
  <c r="F50" i="50"/>
  <c r="L40" i="50"/>
  <c r="F44" i="50"/>
  <c r="F41" i="50"/>
  <c r="L46" i="50"/>
  <c r="L58" i="50"/>
  <c r="F53" i="50"/>
  <c r="L51" i="50"/>
  <c r="H47" i="50"/>
  <c r="H58" i="50"/>
  <c r="H52" i="50"/>
  <c r="H40" i="50"/>
  <c r="L43" i="50"/>
  <c r="H59" i="50"/>
  <c r="AD79" i="50" s="1"/>
  <c r="F52" i="50"/>
  <c r="H51" i="50"/>
  <c r="D51" i="50"/>
  <c r="D42" i="50"/>
  <c r="D54" i="50"/>
  <c r="L41" i="50"/>
  <c r="F59" i="50"/>
  <c r="AD77" i="50" s="1"/>
  <c r="H55" i="50"/>
  <c r="L50" i="50"/>
  <c r="D40" i="50"/>
  <c r="H56" i="50"/>
  <c r="L49" i="50"/>
  <c r="D44" i="50"/>
  <c r="H42" i="50"/>
  <c r="H44" i="50"/>
  <c r="H46" i="50"/>
  <c r="F56" i="50"/>
  <c r="H45" i="50"/>
  <c r="L55" i="50"/>
  <c r="H41" i="50"/>
  <c r="H43" i="50"/>
  <c r="D46" i="50"/>
  <c r="D43" i="50"/>
  <c r="F55" i="50"/>
  <c r="H49" i="50"/>
  <c r="L56" i="50"/>
  <c r="F60" i="50"/>
  <c r="AD83" i="50" l="1"/>
  <c r="AD4" i="50" l="1"/>
  <c r="AK57" i="49"/>
  <c r="AK56" i="49"/>
  <c r="AQ56" i="49" s="1"/>
  <c r="AK55" i="49"/>
  <c r="AQ55" i="49" s="1"/>
  <c r="AK54" i="49"/>
  <c r="AQ54" i="49" s="1"/>
  <c r="AK53" i="49"/>
  <c r="AQ53" i="49" s="1"/>
  <c r="AK52" i="49"/>
  <c r="AQ52" i="49" s="1"/>
  <c r="AK51" i="49"/>
  <c r="AQ51" i="49" s="1"/>
  <c r="AK50" i="49"/>
  <c r="AQ50" i="49" s="1"/>
  <c r="AK49" i="49"/>
  <c r="AQ49" i="49" s="1"/>
  <c r="AK48" i="49"/>
  <c r="AQ48" i="49" s="1"/>
  <c r="AK47" i="49"/>
  <c r="AQ47" i="49" s="1"/>
  <c r="AK46" i="49"/>
  <c r="AQ46" i="49" s="1"/>
  <c r="AK45" i="49"/>
  <c r="AQ45" i="49" s="1"/>
  <c r="AK44" i="49"/>
  <c r="AQ44" i="49" s="1"/>
  <c r="AK43" i="49"/>
  <c r="AQ43" i="49" s="1"/>
  <c r="AK42" i="49"/>
  <c r="AQ42" i="49" s="1"/>
  <c r="AK41" i="49"/>
  <c r="AQ41" i="49" s="1"/>
  <c r="AK40" i="49"/>
  <c r="AQ40" i="49" s="1"/>
  <c r="AK39" i="49"/>
  <c r="AQ39" i="49" s="1"/>
  <c r="AK38" i="49"/>
  <c r="AQ38" i="49" s="1"/>
  <c r="X29" i="49"/>
  <c r="X28" i="49"/>
  <c r="X27" i="49"/>
  <c r="X26" i="49"/>
  <c r="X25" i="49"/>
  <c r="X24" i="49"/>
  <c r="X23" i="49"/>
  <c r="X22" i="49"/>
  <c r="X21" i="49"/>
  <c r="X20" i="49"/>
  <c r="X19" i="49"/>
  <c r="X18" i="49"/>
  <c r="X17" i="49"/>
  <c r="X16" i="49"/>
  <c r="X15" i="49"/>
  <c r="X14" i="49"/>
  <c r="X13" i="49"/>
  <c r="X12" i="49"/>
  <c r="X11" i="49"/>
  <c r="BA38" i="49" l="1"/>
  <c r="AX38" i="49"/>
  <c r="AY38" i="49"/>
  <c r="AZ38" i="49"/>
  <c r="AW38" i="49"/>
  <c r="AR38" i="49"/>
  <c r="AZ50" i="49"/>
  <c r="BA50" i="49"/>
  <c r="AY50" i="49"/>
  <c r="AW50" i="49"/>
  <c r="AX50" i="49"/>
  <c r="AW51" i="49"/>
  <c r="AZ51" i="49"/>
  <c r="AX51" i="49"/>
  <c r="BA51" i="49"/>
  <c r="AZ40" i="49"/>
  <c r="AY40" i="49"/>
  <c r="AX40" i="49"/>
  <c r="AW40" i="49"/>
  <c r="BA40" i="49"/>
  <c r="AW44" i="49"/>
  <c r="AY44" i="49"/>
  <c r="AX44" i="49"/>
  <c r="AZ44" i="49"/>
  <c r="BA44" i="49"/>
  <c r="AY48" i="49"/>
  <c r="AX48" i="49"/>
  <c r="AW48" i="49"/>
  <c r="AZ48" i="49"/>
  <c r="BA48" i="49"/>
  <c r="AX52" i="49"/>
  <c r="AZ52" i="49"/>
  <c r="AW52" i="49"/>
  <c r="AY52" i="49"/>
  <c r="BA52" i="49"/>
  <c r="AY56" i="49"/>
  <c r="AZ56" i="49"/>
  <c r="BA56" i="49"/>
  <c r="AX56" i="49"/>
  <c r="AW56" i="49"/>
  <c r="BA39" i="49"/>
  <c r="AY39" i="49"/>
  <c r="AX39" i="49"/>
  <c r="AZ39" i="49"/>
  <c r="AW39" i="49"/>
  <c r="AX43" i="49"/>
  <c r="AY43" i="49"/>
  <c r="AZ43" i="49"/>
  <c r="BA43" i="49"/>
  <c r="AW43" i="49"/>
  <c r="AW47" i="49"/>
  <c r="AZ47" i="49"/>
  <c r="AY47" i="49"/>
  <c r="AX47" i="49"/>
  <c r="BA47" i="49"/>
  <c r="AY53" i="49"/>
  <c r="AZ53" i="49"/>
  <c r="AW53" i="49"/>
  <c r="AX53" i="49"/>
  <c r="BA53" i="49"/>
  <c r="AZ57" i="49"/>
  <c r="BA57" i="49"/>
  <c r="AX57" i="49"/>
  <c r="AW57" i="49"/>
  <c r="AY42" i="49"/>
  <c r="AX42" i="49"/>
  <c r="AZ42" i="49"/>
  <c r="AW42" i="49"/>
  <c r="BA42" i="49"/>
  <c r="AX46" i="49"/>
  <c r="AZ46" i="49"/>
  <c r="AW46" i="49"/>
  <c r="AY46" i="49"/>
  <c r="BA46" i="49"/>
  <c r="AX54" i="49"/>
  <c r="AW54" i="49"/>
  <c r="AY54" i="49"/>
  <c r="AZ54" i="49"/>
  <c r="BA54" i="49"/>
  <c r="AX41" i="49"/>
  <c r="AZ41" i="49"/>
  <c r="AY41" i="49"/>
  <c r="AW41" i="49"/>
  <c r="BA41" i="49"/>
  <c r="AZ45" i="49"/>
  <c r="BA45" i="49"/>
  <c r="AX45" i="49"/>
  <c r="AY45" i="49"/>
  <c r="AW45" i="49"/>
  <c r="AZ49" i="49"/>
  <c r="AW49" i="49"/>
  <c r="AY49" i="49"/>
  <c r="AX49" i="49"/>
  <c r="BA49" i="49"/>
  <c r="AY55" i="49"/>
  <c r="AW55" i="49"/>
  <c r="AX55" i="49"/>
  <c r="BA55" i="49"/>
  <c r="AZ55" i="49"/>
  <c r="AT42" i="49"/>
  <c r="AR42" i="49"/>
  <c r="AS42" i="49"/>
  <c r="AU42" i="49"/>
  <c r="AV42" i="49"/>
  <c r="AT46" i="49"/>
  <c r="AR46" i="49"/>
  <c r="AS46" i="49"/>
  <c r="AU46" i="49"/>
  <c r="AV46" i="49"/>
  <c r="AT50" i="49"/>
  <c r="AR50" i="49"/>
  <c r="AU50" i="49"/>
  <c r="AV50" i="49"/>
  <c r="AS50" i="49"/>
  <c r="AU54" i="49"/>
  <c r="AR54" i="49"/>
  <c r="AV54" i="49"/>
  <c r="AS54" i="49"/>
  <c r="AT54" i="49"/>
  <c r="AU49" i="49"/>
  <c r="AT49" i="49"/>
  <c r="AR49" i="49"/>
  <c r="AV49" i="49"/>
  <c r="AS49" i="49"/>
  <c r="AT55" i="49"/>
  <c r="AR55" i="49"/>
  <c r="AS55" i="49"/>
  <c r="AU55" i="49"/>
  <c r="AV55" i="49"/>
  <c r="AR44" i="49"/>
  <c r="AV44" i="49"/>
  <c r="AT44" i="49"/>
  <c r="AU44" i="49"/>
  <c r="AS44" i="49"/>
  <c r="AS39" i="49"/>
  <c r="AR39" i="49"/>
  <c r="AV39" i="49"/>
  <c r="AT39" i="49"/>
  <c r="AU39" i="49"/>
  <c r="AS43" i="49"/>
  <c r="AR43" i="49"/>
  <c r="AT43" i="49"/>
  <c r="AU43" i="49"/>
  <c r="AV43" i="49"/>
  <c r="AS47" i="49"/>
  <c r="AV47" i="49"/>
  <c r="AT47" i="49"/>
  <c r="AU47" i="49"/>
  <c r="AR47" i="49"/>
  <c r="AR53" i="49"/>
  <c r="AV53" i="49"/>
  <c r="AT53" i="49"/>
  <c r="AU53" i="49"/>
  <c r="AS53" i="49"/>
  <c r="AR57" i="49"/>
  <c r="AV57" i="49"/>
  <c r="AS57" i="49"/>
  <c r="AU57" i="49"/>
  <c r="AV38" i="49"/>
  <c r="AU38" i="49"/>
  <c r="AS38" i="49"/>
  <c r="AT38" i="49"/>
  <c r="AR51" i="49"/>
  <c r="AV51" i="49"/>
  <c r="AS51" i="49"/>
  <c r="AU51" i="49"/>
  <c r="AU41" i="49"/>
  <c r="AT41" i="49"/>
  <c r="AR41" i="49"/>
  <c r="AV41" i="49"/>
  <c r="AS41" i="49"/>
  <c r="AU45" i="49"/>
  <c r="AR45" i="49"/>
  <c r="AV45" i="49"/>
  <c r="AS45" i="49"/>
  <c r="AT45" i="49"/>
  <c r="AR40" i="49"/>
  <c r="AV40" i="49"/>
  <c r="AT40" i="49"/>
  <c r="AU40" i="49"/>
  <c r="AS40" i="49"/>
  <c r="AR48" i="49"/>
  <c r="AV48" i="49"/>
  <c r="AT48" i="49"/>
  <c r="AS48" i="49"/>
  <c r="AU48" i="49"/>
  <c r="AU52" i="49"/>
  <c r="AS52" i="49"/>
  <c r="AT52" i="49"/>
  <c r="AR52" i="49"/>
  <c r="AV52" i="49"/>
  <c r="AS56" i="49"/>
  <c r="AV56" i="49"/>
  <c r="AT56" i="49"/>
  <c r="AU56" i="49"/>
  <c r="AR56" i="49"/>
  <c r="AV59" i="49"/>
  <c r="AT59" i="49"/>
  <c r="AS59" i="49"/>
  <c r="AU59" i="49"/>
  <c r="AN48" i="49"/>
  <c r="AL48" i="49"/>
  <c r="AP48" i="49"/>
  <c r="AM48" i="49"/>
  <c r="AO48" i="49"/>
  <c r="AM52" i="49"/>
  <c r="AL52" i="49"/>
  <c r="AP52" i="49"/>
  <c r="AN52" i="49"/>
  <c r="AO52" i="49"/>
  <c r="AO56" i="49"/>
  <c r="AL56" i="49"/>
  <c r="AN56" i="49"/>
  <c r="AP56" i="49"/>
  <c r="AM56" i="49"/>
  <c r="AO47" i="49"/>
  <c r="AP47" i="49"/>
  <c r="AM47" i="49"/>
  <c r="AN47" i="49"/>
  <c r="AL47" i="49"/>
  <c r="AL38" i="49"/>
  <c r="AP38" i="49"/>
  <c r="AN38" i="49"/>
  <c r="AO38" i="49"/>
  <c r="AM38" i="49"/>
  <c r="AL42" i="49"/>
  <c r="AP42" i="49"/>
  <c r="AN42" i="49"/>
  <c r="AO42" i="49"/>
  <c r="AM42" i="49"/>
  <c r="AL46" i="49"/>
  <c r="AP46" i="49"/>
  <c r="AM46" i="49"/>
  <c r="AN46" i="49"/>
  <c r="AO46" i="49"/>
  <c r="AL50" i="49"/>
  <c r="AP50" i="49"/>
  <c r="AN50" i="49"/>
  <c r="AO50" i="49"/>
  <c r="AM50" i="49"/>
  <c r="AO51" i="49"/>
  <c r="AM51" i="49"/>
  <c r="AL51" i="49"/>
  <c r="AP51" i="49"/>
  <c r="AM54" i="49"/>
  <c r="AN54" i="49"/>
  <c r="AL54" i="49"/>
  <c r="AP54" i="49"/>
  <c r="AO54" i="49"/>
  <c r="AN40" i="49"/>
  <c r="AL40" i="49"/>
  <c r="AP40" i="49"/>
  <c r="AM40" i="49"/>
  <c r="AO40" i="49"/>
  <c r="AN44" i="49"/>
  <c r="AO44" i="49"/>
  <c r="AL44" i="49"/>
  <c r="AP44" i="49"/>
  <c r="AM44" i="49"/>
  <c r="AO39" i="49"/>
  <c r="AL39" i="49"/>
  <c r="AM39" i="49"/>
  <c r="AN39" i="49"/>
  <c r="AP39" i="49"/>
  <c r="AO43" i="49"/>
  <c r="AL43" i="49"/>
  <c r="AM43" i="49"/>
  <c r="AN43" i="49"/>
  <c r="AP43" i="49"/>
  <c r="AN53" i="49"/>
  <c r="AM53" i="49"/>
  <c r="AO53" i="49"/>
  <c r="AP53" i="49"/>
  <c r="AL53" i="49"/>
  <c r="AO57" i="49"/>
  <c r="AM57" i="49"/>
  <c r="AL57" i="49"/>
  <c r="AP57" i="49"/>
  <c r="AM41" i="49"/>
  <c r="AN41" i="49"/>
  <c r="AO41" i="49"/>
  <c r="AL41" i="49"/>
  <c r="AP41" i="49"/>
  <c r="AM45" i="49"/>
  <c r="AO45" i="49"/>
  <c r="AL45" i="49"/>
  <c r="AP45" i="49"/>
  <c r="AN45" i="49"/>
  <c r="AM49" i="49"/>
  <c r="AN49" i="49"/>
  <c r="AO49" i="49"/>
  <c r="AL49" i="49"/>
  <c r="AP49" i="49"/>
  <c r="AL55" i="49"/>
  <c r="AP55" i="49"/>
  <c r="AO55" i="49"/>
  <c r="AM55" i="49"/>
  <c r="AN55" i="49"/>
  <c r="AM59" i="49"/>
  <c r="AL59" i="49"/>
  <c r="AN59" i="49"/>
  <c r="AO59" i="49"/>
  <c r="AP59" i="49"/>
  <c r="Z4" i="49"/>
  <c r="AK59" i="49" l="1"/>
  <c r="L62" i="49"/>
  <c r="Z123" i="68" l="1"/>
  <c r="Z23" i="85"/>
  <c r="Z115" i="68"/>
  <c r="Z14" i="91"/>
  <c r="Z84" i="91"/>
  <c r="Z182" i="83"/>
  <c r="Z15" i="84"/>
  <c r="Z15" i="85"/>
  <c r="Z15" i="83"/>
  <c r="Z315" i="83"/>
  <c r="Z15" i="69"/>
  <c r="Y15" i="70"/>
  <c r="Y83" i="70"/>
  <c r="Z15" i="63"/>
  <c r="Z15" i="64"/>
  <c r="Z15" i="65"/>
  <c r="Z15" i="67"/>
  <c r="Z15" i="66"/>
  <c r="Z15" i="62"/>
  <c r="Z15" i="49"/>
  <c r="Z114" i="68"/>
  <c r="Z13" i="91"/>
  <c r="Z83" i="91"/>
  <c r="Z181" i="83"/>
  <c r="Z14" i="85"/>
  <c r="Z14" i="84"/>
  <c r="Z14" i="83"/>
  <c r="AE14" i="86"/>
  <c r="Z314" i="83"/>
  <c r="Z14" i="69"/>
  <c r="Y14" i="70"/>
  <c r="Y82" i="70"/>
  <c r="Z14" i="65"/>
  <c r="Z14" i="66"/>
  <c r="Z14" i="62"/>
  <c r="Z14" i="67"/>
  <c r="Z14" i="64"/>
  <c r="Z14" i="63"/>
  <c r="Z14" i="49"/>
  <c r="Z124" i="68"/>
  <c r="Z191" i="83"/>
  <c r="Z24" i="85"/>
  <c r="Z24" i="69"/>
  <c r="Y24" i="70"/>
  <c r="Y92" i="70"/>
  <c r="Z24" i="67"/>
  <c r="Z24" i="63"/>
  <c r="Z24" i="65"/>
  <c r="Z24" i="66"/>
  <c r="Z24" i="64"/>
  <c r="Z24" i="62"/>
  <c r="Z24" i="49"/>
  <c r="Z129" i="68"/>
  <c r="Z196" i="83"/>
  <c r="Z29" i="85"/>
  <c r="Z29" i="84"/>
  <c r="AE29" i="86"/>
  <c r="Z29" i="83"/>
  <c r="Z329" i="83"/>
  <c r="Z29" i="69"/>
  <c r="Y29" i="70"/>
  <c r="Y97" i="70"/>
  <c r="Z29" i="62"/>
  <c r="Z29" i="63"/>
  <c r="Z29" i="66"/>
  <c r="Z29" i="65"/>
  <c r="Z29" i="67"/>
  <c r="Z29" i="64"/>
  <c r="Z29" i="49"/>
  <c r="Z117" i="68"/>
  <c r="Z184" i="83"/>
  <c r="Z17" i="83"/>
  <c r="Z17" i="84"/>
  <c r="Z17" i="85"/>
  <c r="Z317" i="83"/>
  <c r="Z17" i="69"/>
  <c r="Y17" i="70"/>
  <c r="Y85" i="70"/>
  <c r="Z17" i="64"/>
  <c r="Z17" i="62"/>
  <c r="Z17" i="63"/>
  <c r="Z17" i="65"/>
  <c r="Z17" i="66"/>
  <c r="Z17" i="67"/>
  <c r="Z17" i="49"/>
  <c r="Z127" i="68"/>
  <c r="Z28" i="91"/>
  <c r="Z98" i="91"/>
  <c r="Z194" i="83"/>
  <c r="Z27" i="83"/>
  <c r="Z27" i="85"/>
  <c r="AE27" i="86"/>
  <c r="Z27" i="84"/>
  <c r="Z327" i="83"/>
  <c r="Z27" i="69"/>
  <c r="Y27" i="70"/>
  <c r="Y95" i="70"/>
  <c r="Z27" i="64"/>
  <c r="Z27" i="66"/>
  <c r="Z27" i="62"/>
  <c r="Z27" i="65"/>
  <c r="Z27" i="67"/>
  <c r="Z27" i="63"/>
  <c r="Z27" i="49"/>
  <c r="Z122" i="68"/>
  <c r="Z91" i="91"/>
  <c r="Z189" i="83"/>
  <c r="Z22" i="84"/>
  <c r="Z22" i="85"/>
  <c r="Z22" i="83"/>
  <c r="Z322" i="83"/>
  <c r="Z22" i="69"/>
  <c r="Y22" i="70"/>
  <c r="Y90" i="70"/>
  <c r="Z22" i="67"/>
  <c r="Z22" i="63"/>
  <c r="Z22" i="62"/>
  <c r="Z22" i="64"/>
  <c r="Z22" i="65"/>
  <c r="Z22" i="66"/>
  <c r="Z22" i="49"/>
  <c r="Z116" i="68"/>
  <c r="Z85" i="91"/>
  <c r="Z183" i="83"/>
  <c r="Z16" i="84"/>
  <c r="Z16" i="85"/>
  <c r="Z16" i="83"/>
  <c r="Z316" i="83"/>
  <c r="Z16" i="69"/>
  <c r="Y16" i="70"/>
  <c r="Y84" i="70"/>
  <c r="Z16" i="65"/>
  <c r="Z16" i="67"/>
  <c r="Z16" i="64"/>
  <c r="Z16" i="66"/>
  <c r="Z16" i="62"/>
  <c r="Z16" i="63"/>
  <c r="Z16" i="49"/>
  <c r="Z23" i="91"/>
  <c r="Z93" i="91"/>
  <c r="Z118" i="68"/>
  <c r="Z17" i="91"/>
  <c r="Z87" i="91"/>
  <c r="Z185" i="83"/>
  <c r="Z18" i="85"/>
  <c r="Z18" i="84"/>
  <c r="Z18" i="83"/>
  <c r="Z318" i="83"/>
  <c r="Z18" i="69"/>
  <c r="Y18" i="70"/>
  <c r="Y86" i="70"/>
  <c r="Z18" i="64"/>
  <c r="Z18" i="63"/>
  <c r="Z18" i="66"/>
  <c r="Z18" i="62"/>
  <c r="Z18" i="65"/>
  <c r="Z18" i="67"/>
  <c r="Z18" i="49"/>
  <c r="Z125" i="68"/>
  <c r="Z25" i="91"/>
  <c r="Z95" i="91"/>
  <c r="Z192" i="83"/>
  <c r="Z25" i="85"/>
  <c r="AE25" i="86"/>
  <c r="Z25" i="83"/>
  <c r="Z25" i="84"/>
  <c r="Z325" i="83"/>
  <c r="Z25" i="69"/>
  <c r="Y25" i="70"/>
  <c r="Y93" i="70"/>
  <c r="Z25" i="65"/>
  <c r="Z25" i="63"/>
  <c r="Z25" i="62"/>
  <c r="Z25" i="67"/>
  <c r="Z25" i="64"/>
  <c r="Z25" i="66"/>
  <c r="Z25" i="49"/>
  <c r="Z111" i="68"/>
  <c r="Z11" i="68"/>
  <c r="Z10" i="91"/>
  <c r="Z80" i="91"/>
  <c r="Z178" i="83"/>
  <c r="Z11" i="83"/>
  <c r="AE11" i="86"/>
  <c r="Z11" i="85"/>
  <c r="Z11" i="84"/>
  <c r="Z311" i="83"/>
  <c r="Z11" i="69"/>
  <c r="Y11" i="70"/>
  <c r="Y79" i="70"/>
  <c r="Z11" i="65"/>
  <c r="Z11" i="62"/>
  <c r="Z11" i="67"/>
  <c r="Z11" i="64"/>
  <c r="Z11" i="63"/>
  <c r="Z11" i="66"/>
  <c r="Z11" i="49"/>
  <c r="Z119" i="68"/>
  <c r="Z18" i="91"/>
  <c r="Z88" i="91"/>
  <c r="Z186" i="83"/>
  <c r="Z19" i="85"/>
  <c r="Z19" i="84"/>
  <c r="Z19" i="83"/>
  <c r="Z319" i="83"/>
  <c r="Z19" i="69"/>
  <c r="Y19" i="70"/>
  <c r="Y87" i="70"/>
  <c r="Z19" i="62"/>
  <c r="Z19" i="66"/>
  <c r="Z19" i="64"/>
  <c r="Z19" i="67"/>
  <c r="Z19" i="65"/>
  <c r="Z19" i="63"/>
  <c r="Z19" i="49"/>
  <c r="Z126" i="68"/>
  <c r="Z27" i="91"/>
  <c r="Z97" i="91"/>
  <c r="Z193" i="83"/>
  <c r="Z26" i="84"/>
  <c r="Z26" i="83"/>
  <c r="Z26" i="85"/>
  <c r="Z326" i="83"/>
  <c r="Z26" i="69"/>
  <c r="Y26" i="70"/>
  <c r="Y94" i="70"/>
  <c r="Z26" i="65"/>
  <c r="Z26" i="64"/>
  <c r="Z26" i="62"/>
  <c r="Z26" i="63"/>
  <c r="Z26" i="67"/>
  <c r="Z26" i="66"/>
  <c r="Z26" i="49"/>
  <c r="Z112" i="68"/>
  <c r="Z11" i="91"/>
  <c r="Z81" i="91"/>
  <c r="Z179" i="83"/>
  <c r="AE12" i="86"/>
  <c r="Z12" i="85"/>
  <c r="Z12" i="84"/>
  <c r="Z12" i="83"/>
  <c r="Z312" i="83"/>
  <c r="Z12" i="69"/>
  <c r="Y12" i="70"/>
  <c r="Y80" i="70"/>
  <c r="Z12" i="62"/>
  <c r="Z12" i="66"/>
  <c r="Z12" i="63"/>
  <c r="Z12" i="67"/>
  <c r="Z12" i="65"/>
  <c r="Z12" i="64"/>
  <c r="Z12" i="49"/>
  <c r="Z120" i="68"/>
  <c r="Z89" i="91"/>
  <c r="Z187" i="83"/>
  <c r="Z20" i="83"/>
  <c r="Z20" i="85"/>
  <c r="AE20" i="86"/>
  <c r="Z20" i="84"/>
  <c r="Z320" i="83"/>
  <c r="Z20" i="69"/>
  <c r="Y20" i="70"/>
  <c r="Y88" i="70"/>
  <c r="Z20" i="63"/>
  <c r="Z20" i="67"/>
  <c r="Z20" i="65"/>
  <c r="Z20" i="66"/>
  <c r="Z20" i="64"/>
  <c r="Z20" i="62"/>
  <c r="Z20" i="49"/>
  <c r="Z113" i="68"/>
  <c r="Z12" i="91"/>
  <c r="Z82" i="91"/>
  <c r="Z180" i="83"/>
  <c r="Z13" i="84"/>
  <c r="AE13" i="86"/>
  <c r="Z13" i="85"/>
  <c r="Z13" i="69"/>
  <c r="Y13" i="70"/>
  <c r="Y81" i="70"/>
  <c r="Z13" i="67"/>
  <c r="Z13" i="66"/>
  <c r="Z13" i="65"/>
  <c r="Z13" i="64"/>
  <c r="Z13" i="62"/>
  <c r="Z13" i="63"/>
  <c r="Z13" i="49"/>
  <c r="Z121" i="68"/>
  <c r="Z188" i="83"/>
  <c r="Z21" i="83"/>
  <c r="AE21" i="86"/>
  <c r="Z21" i="84"/>
  <c r="Z21" i="85"/>
  <c r="Z321" i="83"/>
  <c r="Z21" i="69"/>
  <c r="Y21" i="70"/>
  <c r="Y89" i="70"/>
  <c r="Z21" i="65"/>
  <c r="Z21" i="64"/>
  <c r="Z21" i="62"/>
  <c r="Z21" i="63"/>
  <c r="Z21" i="66"/>
  <c r="Z21" i="67"/>
  <c r="Z21" i="49"/>
  <c r="Z128" i="68"/>
  <c r="Z195" i="83"/>
  <c r="Z28" i="84"/>
  <c r="Z28" i="83"/>
  <c r="Z28" i="85"/>
  <c r="Z328" i="83"/>
  <c r="Z28" i="69"/>
  <c r="Y28" i="70"/>
  <c r="Y96" i="70"/>
  <c r="Z28" i="65"/>
  <c r="Z28" i="64"/>
  <c r="Z28" i="67"/>
  <c r="Z28" i="62"/>
  <c r="Z28" i="63"/>
  <c r="Z28" i="66"/>
  <c r="Z28" i="49"/>
  <c r="Z29" i="68"/>
  <c r="Z23" i="68"/>
  <c r="Z21" i="68"/>
  <c r="Z12" i="68"/>
  <c r="Z24" i="68"/>
  <c r="Z28" i="68"/>
  <c r="W11" i="76"/>
  <c r="Z15" i="68"/>
  <c r="Z19" i="68"/>
  <c r="Z26" i="68"/>
  <c r="Z16" i="68"/>
  <c r="Z20" i="68"/>
  <c r="Z27" i="68"/>
  <c r="Z13" i="68"/>
  <c r="Z17" i="68"/>
  <c r="Z14" i="68"/>
  <c r="Z18" i="68"/>
  <c r="Z22" i="68"/>
  <c r="Z25" i="68"/>
  <c r="Z30" i="65" l="1"/>
  <c r="Z30" i="63"/>
  <c r="Z197" i="83"/>
  <c r="Z330" i="83"/>
  <c r="Z31" i="91"/>
  <c r="T31" i="91" s="1"/>
  <c r="Z130" i="68"/>
  <c r="Z30" i="84"/>
  <c r="AQ58" i="84" s="1"/>
  <c r="S31" i="84" s="1"/>
  <c r="T31" i="84" s="1"/>
  <c r="Y98" i="70"/>
  <c r="AT125" i="70" s="1"/>
  <c r="Z30" i="83"/>
  <c r="Z30" i="49"/>
  <c r="AQ57" i="49" s="1"/>
  <c r="Y30" i="70"/>
  <c r="Z30" i="62"/>
  <c r="Z30" i="69"/>
  <c r="Z30" i="66"/>
  <c r="Z30" i="85"/>
  <c r="AQ57" i="85" s="1"/>
  <c r="S30" i="85" s="1"/>
  <c r="Z30" i="68"/>
  <c r="Z30" i="64"/>
  <c r="Z30" i="67"/>
  <c r="AQ57" i="67" s="1"/>
  <c r="S30" i="67" s="1"/>
  <c r="AT57" i="70" l="1"/>
  <c r="AQ358" i="83"/>
  <c r="AQ224" i="83"/>
  <c r="AQ57" i="68"/>
  <c r="S30" i="68" s="1"/>
  <c r="T30" i="68" s="1"/>
  <c r="AQ57" i="69"/>
  <c r="S30" i="69" s="1"/>
  <c r="T30" i="69" s="1"/>
  <c r="AQ57" i="83"/>
  <c r="S30" i="83" s="1"/>
  <c r="T30" i="83" s="1"/>
  <c r="AQ57" i="66"/>
  <c r="S30" i="66" s="1"/>
  <c r="T30" i="66" s="1"/>
  <c r="AQ57" i="65"/>
  <c r="S30" i="65" s="1"/>
  <c r="T30" i="65" s="1"/>
  <c r="AQ57" i="64"/>
  <c r="S30" i="64" s="1"/>
  <c r="T30" i="64" s="1"/>
  <c r="AQ57" i="63"/>
  <c r="S30" i="63" s="1"/>
  <c r="T30" i="63" s="1"/>
  <c r="AQ57" i="62"/>
  <c r="Y32" i="49"/>
  <c r="S30" i="49"/>
  <c r="T30" i="49" s="1"/>
  <c r="AQ131" i="91"/>
  <c r="AQ61" i="91"/>
  <c r="T30" i="85"/>
  <c r="T30" i="62"/>
  <c r="T30" i="67"/>
  <c r="S333" i="83" l="1"/>
  <c r="T333" i="83" s="1"/>
  <c r="S199" i="83"/>
  <c r="T199" i="83" s="1"/>
  <c r="U10" i="44"/>
  <c r="U14" i="44"/>
  <c r="U18" i="44"/>
  <c r="U25" i="44"/>
  <c r="U20" i="44"/>
  <c r="U27" i="44"/>
  <c r="U17" i="44"/>
  <c r="S5" i="44"/>
  <c r="U11" i="44"/>
  <c r="U15" i="44"/>
  <c r="U19" i="44"/>
  <c r="U22" i="44"/>
  <c r="U26" i="44"/>
  <c r="U12" i="44"/>
  <c r="U16" i="44"/>
  <c r="U23" i="44"/>
  <c r="U13" i="44"/>
  <c r="U21" i="44"/>
  <c r="U24" i="44"/>
  <c r="U5" i="44"/>
  <c r="BA38" i="63" l="1"/>
  <c r="AY38" i="63"/>
  <c r="AZ38" i="63"/>
  <c r="AW38" i="63"/>
  <c r="AX38" i="63"/>
  <c r="BC9" i="50" l="1"/>
  <c r="BC29" i="50"/>
  <c r="BC28" i="50"/>
  <c r="BC27" i="50"/>
  <c r="BC26" i="50"/>
  <c r="BC24" i="50"/>
  <c r="BC25" i="50"/>
  <c r="BC23" i="50"/>
  <c r="BC22" i="50"/>
  <c r="BC21" i="50"/>
  <c r="BC20" i="50"/>
  <c r="BC19" i="50"/>
  <c r="BC12" i="50"/>
  <c r="BC11" i="50"/>
  <c r="BC18" i="50"/>
  <c r="BC17" i="50"/>
  <c r="BC16" i="50"/>
  <c r="BC15" i="50"/>
  <c r="BC14" i="50"/>
  <c r="X17" i="76"/>
  <c r="X23" i="76"/>
  <c r="V20" i="76"/>
  <c r="V23" i="76"/>
  <c r="T17" i="92" s="1"/>
  <c r="V16" i="76"/>
  <c r="T21" i="76"/>
  <c r="S21" i="76"/>
  <c r="U19" i="76"/>
  <c r="T22" i="76"/>
  <c r="T15" i="76"/>
  <c r="R6" i="92" s="1"/>
  <c r="S15" i="76"/>
  <c r="Q6" i="92" s="1"/>
  <c r="U14" i="76"/>
  <c r="S5" i="92" s="1"/>
  <c r="BC10" i="50"/>
  <c r="BC13" i="50"/>
  <c r="X15" i="76"/>
  <c r="X18" i="76"/>
  <c r="V17" i="76"/>
  <c r="V14" i="76"/>
  <c r="T5" i="92" s="1"/>
  <c r="S17" i="76"/>
  <c r="T17" i="76"/>
  <c r="U17" i="76"/>
  <c r="T20" i="76"/>
  <c r="U21" i="76"/>
  <c r="X21" i="76"/>
  <c r="X14" i="76"/>
  <c r="X20" i="76"/>
  <c r="X16" i="76"/>
  <c r="V15" i="76"/>
  <c r="T6" i="92" s="1"/>
  <c r="V22" i="76"/>
  <c r="S22" i="76"/>
  <c r="U23" i="76"/>
  <c r="S17" i="92" s="1"/>
  <c r="T19" i="76"/>
  <c r="S23" i="76"/>
  <c r="Q17" i="92" s="1"/>
  <c r="S19" i="76"/>
  <c r="T18" i="76"/>
  <c r="S18" i="76"/>
  <c r="U18" i="76"/>
  <c r="P22" i="76"/>
  <c r="V18" i="76"/>
  <c r="U20" i="76"/>
  <c r="T16" i="76"/>
  <c r="S14" i="76"/>
  <c r="Q5" i="92" s="1"/>
  <c r="P19" i="76"/>
  <c r="P17" i="76"/>
  <c r="R60" i="50"/>
  <c r="P23" i="76"/>
  <c r="N17" i="92" s="1"/>
  <c r="N60" i="50"/>
  <c r="E23" i="76"/>
  <c r="C17" i="92" s="1"/>
  <c r="N20" i="76"/>
  <c r="G20" i="76"/>
  <c r="I23" i="76"/>
  <c r="G17" i="92" s="1"/>
  <c r="I22" i="76"/>
  <c r="J21" i="76"/>
  <c r="M19" i="76"/>
  <c r="K17" i="76"/>
  <c r="E15" i="76"/>
  <c r="C6" i="92" s="1"/>
  <c r="Q22" i="76"/>
  <c r="J22" i="76"/>
  <c r="M22" i="76"/>
  <c r="K23" i="76"/>
  <c r="I17" i="92" s="1"/>
  <c r="P15" i="76"/>
  <c r="N6" i="92" s="1"/>
  <c r="M20" i="76"/>
  <c r="I14" i="76"/>
  <c r="G5" i="92" s="1"/>
  <c r="L21" i="76"/>
  <c r="O16" i="76"/>
  <c r="L15" i="76"/>
  <c r="J6" i="92" s="1"/>
  <c r="D18" i="76"/>
  <c r="K14" i="76"/>
  <c r="I5" i="92" s="1"/>
  <c r="H15" i="76"/>
  <c r="F6" i="92" s="1"/>
  <c r="X19" i="76"/>
  <c r="V21" i="76"/>
  <c r="T23" i="76"/>
  <c r="R17" i="92" s="1"/>
  <c r="S16" i="76"/>
  <c r="Q7" i="92" s="1"/>
  <c r="T60" i="50"/>
  <c r="P21" i="76"/>
  <c r="N19" i="76"/>
  <c r="M17" i="76"/>
  <c r="I21" i="76"/>
  <c r="D17" i="76"/>
  <c r="R17" i="76"/>
  <c r="P18" i="76"/>
  <c r="E22" i="76"/>
  <c r="O19" i="76"/>
  <c r="R23" i="76"/>
  <c r="P17" i="92" s="1"/>
  <c r="Q20" i="76"/>
  <c r="D22" i="76"/>
  <c r="K15" i="76"/>
  <c r="I6" i="92" s="1"/>
  <c r="P16" i="76"/>
  <c r="J19" i="76"/>
  <c r="O17" i="76"/>
  <c r="R21" i="76"/>
  <c r="Q17" i="76"/>
  <c r="N21" i="76"/>
  <c r="G14" i="76"/>
  <c r="E5" i="92" s="1"/>
  <c r="E14" i="76"/>
  <c r="C5" i="92" s="1"/>
  <c r="K16" i="76"/>
  <c r="I7" i="92" s="1"/>
  <c r="K21" i="76"/>
  <c r="X22" i="76"/>
  <c r="V19" i="76"/>
  <c r="S20" i="76"/>
  <c r="Q11" i="92" s="1"/>
  <c r="U16" i="76"/>
  <c r="S7" i="92" s="1"/>
  <c r="J60" i="50"/>
  <c r="P14" i="76"/>
  <c r="N5" i="92" s="1"/>
  <c r="J20" i="76"/>
  <c r="M23" i="76"/>
  <c r="K17" i="92" s="1"/>
  <c r="R22" i="76"/>
  <c r="M21" i="76"/>
  <c r="D20" i="76"/>
  <c r="B11" i="92" s="1"/>
  <c r="E19" i="76"/>
  <c r="O21" i="76"/>
  <c r="L23" i="76"/>
  <c r="J17" i="92" s="1"/>
  <c r="I19" i="76"/>
  <c r="G17" i="76"/>
  <c r="E20" i="76"/>
  <c r="O22" i="76"/>
  <c r="F21" i="76"/>
  <c r="Q21" i="76"/>
  <c r="J23" i="76"/>
  <c r="H17" i="92" s="1"/>
  <c r="Q23" i="76"/>
  <c r="O17" i="92" s="1"/>
  <c r="N14" i="76"/>
  <c r="L5" i="92" s="1"/>
  <c r="E16" i="76"/>
  <c r="C7" i="92" s="1"/>
  <c r="K20" i="76"/>
  <c r="I11" i="92" s="1"/>
  <c r="F18" i="76"/>
  <c r="R16" i="76"/>
  <c r="G18" i="76"/>
  <c r="L20" i="76"/>
  <c r="L14" i="76"/>
  <c r="J5" i="92" s="1"/>
  <c r="K18" i="76"/>
  <c r="I9" i="92" s="1"/>
  <c r="G15" i="76"/>
  <c r="E6" i="92" s="1"/>
  <c r="Q16" i="76"/>
  <c r="G21" i="76"/>
  <c r="U15" i="76"/>
  <c r="S6" i="92" s="1"/>
  <c r="O20" i="76"/>
  <c r="N17" i="76"/>
  <c r="H19" i="76"/>
  <c r="O23" i="76"/>
  <c r="M17" i="92" s="1"/>
  <c r="N22" i="76"/>
  <c r="D23" i="76"/>
  <c r="B17" i="92" s="1"/>
  <c r="E21" i="76"/>
  <c r="N16" i="76"/>
  <c r="L7" i="92" s="1"/>
  <c r="G22" i="76"/>
  <c r="F16" i="76"/>
  <c r="G23" i="76"/>
  <c r="E17" i="92" s="1"/>
  <c r="F22" i="76"/>
  <c r="M18" i="76"/>
  <c r="F19" i="76"/>
  <c r="D10" i="92" s="1"/>
  <c r="F17" i="76"/>
  <c r="I16" i="76"/>
  <c r="G7" i="92" s="1"/>
  <c r="I18" i="76"/>
  <c r="R15" i="76"/>
  <c r="P6" i="92" s="1"/>
  <c r="AD78" i="50"/>
  <c r="D21" i="76"/>
  <c r="B12" i="92" s="1"/>
  <c r="F14" i="76"/>
  <c r="D5" i="92" s="1"/>
  <c r="O18" i="76"/>
  <c r="R14" i="76"/>
  <c r="P5" i="92" s="1"/>
  <c r="R18" i="76"/>
  <c r="P9" i="92" s="1"/>
  <c r="J17" i="76"/>
  <c r="O14" i="76"/>
  <c r="M5" i="92" s="1"/>
  <c r="F15" i="76"/>
  <c r="D6" i="92" s="1"/>
  <c r="J18" i="76"/>
  <c r="W23" i="76"/>
  <c r="AD84" i="50"/>
  <c r="U22" i="76"/>
  <c r="V60" i="50"/>
  <c r="E17" i="76"/>
  <c r="C8" i="92" s="1"/>
  <c r="N23" i="76"/>
  <c r="L17" i="92" s="1"/>
  <c r="D19" i="76"/>
  <c r="J15" i="76"/>
  <c r="H6" i="92" s="1"/>
  <c r="W20" i="76"/>
  <c r="J16" i="76"/>
  <c r="Q14" i="76"/>
  <c r="O5" i="92" s="1"/>
  <c r="L22" i="76"/>
  <c r="F23" i="76"/>
  <c r="D17" i="92" s="1"/>
  <c r="H23" i="76"/>
  <c r="F17" i="92" s="1"/>
  <c r="N18" i="76"/>
  <c r="N15" i="76"/>
  <c r="L6" i="92" s="1"/>
  <c r="F20" i="76"/>
  <c r="D11" i="92" s="1"/>
  <c r="G19" i="76"/>
  <c r="O15" i="76"/>
  <c r="M6" i="92" s="1"/>
  <c r="M15" i="76"/>
  <c r="K6" i="92" s="1"/>
  <c r="K19" i="76"/>
  <c r="I10" i="92" s="1"/>
  <c r="E18" i="76"/>
  <c r="C9" i="92" s="1"/>
  <c r="H16" i="76"/>
  <c r="H14" i="76"/>
  <c r="F5" i="92" s="1"/>
  <c r="L18" i="76"/>
  <c r="D16" i="76"/>
  <c r="B7" i="92" s="1"/>
  <c r="M16" i="76"/>
  <c r="K7" i="92" s="1"/>
  <c r="W15" i="76"/>
  <c r="P60" i="50"/>
  <c r="P20" i="76"/>
  <c r="Q19" i="76"/>
  <c r="I20" i="76"/>
  <c r="D14" i="76"/>
  <c r="B5" i="92" s="1"/>
  <c r="H20" i="76"/>
  <c r="M14" i="76"/>
  <c r="K5" i="92" s="1"/>
  <c r="L19" i="76"/>
  <c r="J10" i="92" s="1"/>
  <c r="D15" i="76"/>
  <c r="B6" i="92" s="1"/>
  <c r="I15" i="76"/>
  <c r="G6" i="92" s="1"/>
  <c r="L16" i="76"/>
  <c r="J7" i="92" s="1"/>
  <c r="L17" i="76"/>
  <c r="J8" i="92" s="1"/>
  <c r="K22" i="76"/>
  <c r="H17" i="76"/>
  <c r="H22" i="76"/>
  <c r="W14" i="76"/>
  <c r="W19" i="76"/>
  <c r="W17" i="76"/>
  <c r="W22" i="76"/>
  <c r="W16" i="76"/>
  <c r="AD76" i="50"/>
  <c r="T14" i="76"/>
  <c r="R5" i="92" s="1"/>
  <c r="R19" i="76"/>
  <c r="I17" i="76"/>
  <c r="G8" i="92" s="1"/>
  <c r="H21" i="76"/>
  <c r="R20" i="76"/>
  <c r="Q18" i="76"/>
  <c r="H18" i="76"/>
  <c r="G16" i="76"/>
  <c r="E7" i="92" s="1"/>
  <c r="J14" i="76"/>
  <c r="H5" i="92" s="1"/>
  <c r="Q15" i="76"/>
  <c r="O6" i="92" s="1"/>
  <c r="W18" i="76"/>
  <c r="AD80" i="50"/>
  <c r="W21" i="76"/>
  <c r="R9" i="92" l="1"/>
  <c r="J9" i="92"/>
  <c r="O10" i="92"/>
  <c r="P10" i="92"/>
  <c r="N11" i="92"/>
  <c r="F12" i="92"/>
  <c r="H8" i="92"/>
  <c r="G9" i="92"/>
  <c r="L12" i="92"/>
  <c r="D8" i="92"/>
  <c r="N12" i="92"/>
  <c r="F8" i="92"/>
  <c r="C12" i="92"/>
  <c r="T9" i="92"/>
  <c r="B10" i="92"/>
  <c r="N8" i="92"/>
  <c r="R8" i="92"/>
  <c r="D9" i="92"/>
  <c r="K12" i="92"/>
  <c r="T10" i="92"/>
  <c r="N10" i="92"/>
  <c r="Q8" i="92"/>
  <c r="F11" i="92"/>
  <c r="E10" i="92"/>
  <c r="M9" i="92"/>
  <c r="W17" i="92" a="1"/>
  <c r="W17" i="92" s="1"/>
  <c r="Z39" i="63" s="1"/>
  <c r="X17" i="92" a="1"/>
  <c r="X17" i="92" s="1"/>
  <c r="AC38" i="63" s="1"/>
  <c r="V17" i="92" a="1"/>
  <c r="V17" i="92" s="1"/>
  <c r="Y39" i="63" s="1"/>
  <c r="C11" i="92"/>
  <c r="Q10" i="92"/>
  <c r="G11" i="92"/>
  <c r="S11" i="92"/>
  <c r="R10" i="92"/>
  <c r="S12" i="92"/>
  <c r="F9" i="92"/>
  <c r="E13" i="92"/>
  <c r="E15" i="92"/>
  <c r="M11" i="92"/>
  <c r="E9" i="92"/>
  <c r="O12" i="92"/>
  <c r="C10" i="92"/>
  <c r="O11" i="92"/>
  <c r="K8" i="92"/>
  <c r="H12" i="92"/>
  <c r="S9" i="92"/>
  <c r="T13" i="92"/>
  <c r="T15" i="92"/>
  <c r="S8" i="92"/>
  <c r="T7" i="92"/>
  <c r="J13" i="92"/>
  <c r="J15" i="92"/>
  <c r="P7" i="92"/>
  <c r="D12" i="92"/>
  <c r="O8" i="92"/>
  <c r="P14" i="92"/>
  <c r="P16" i="92"/>
  <c r="L10" i="92"/>
  <c r="I14" i="92"/>
  <c r="I16" i="92"/>
  <c r="G13" i="92"/>
  <c r="G15" i="92"/>
  <c r="Q9" i="92"/>
  <c r="T14" i="92"/>
  <c r="T16" i="92"/>
  <c r="D14" i="92"/>
  <c r="D16" i="92"/>
  <c r="S13" i="92"/>
  <c r="S15" i="92"/>
  <c r="E12" i="92"/>
  <c r="M13" i="92"/>
  <c r="M15" i="92"/>
  <c r="P12" i="92"/>
  <c r="M10" i="92"/>
  <c r="B9" i="92"/>
  <c r="K13" i="92"/>
  <c r="K15" i="92"/>
  <c r="G14" i="92"/>
  <c r="G16" i="92"/>
  <c r="T11" i="92"/>
  <c r="H7" i="92"/>
  <c r="B14" i="92"/>
  <c r="B16" i="92"/>
  <c r="O7" i="92"/>
  <c r="P13" i="92"/>
  <c r="P15" i="92"/>
  <c r="M8" i="92"/>
  <c r="C13" i="92"/>
  <c r="C15" i="92"/>
  <c r="H13" i="92"/>
  <c r="H15" i="92"/>
  <c r="E11" i="92"/>
  <c r="I13" i="92"/>
  <c r="I15" i="92"/>
  <c r="K9" i="92"/>
  <c r="L13" i="92"/>
  <c r="L15" i="92"/>
  <c r="E8" i="92"/>
  <c r="K14" i="92"/>
  <c r="K16" i="92"/>
  <c r="I12" i="92"/>
  <c r="H10" i="92"/>
  <c r="N9" i="92"/>
  <c r="M7" i="92"/>
  <c r="O13" i="92"/>
  <c r="O15" i="92"/>
  <c r="L11" i="92"/>
  <c r="R7" i="92"/>
  <c r="Q14" i="92"/>
  <c r="Q16" i="92"/>
  <c r="T8" i="92"/>
  <c r="R13" i="92"/>
  <c r="R15" i="92"/>
  <c r="H9" i="92"/>
  <c r="D13" i="92"/>
  <c r="D15" i="92"/>
  <c r="M14" i="92"/>
  <c r="M16" i="92"/>
  <c r="G10" i="92"/>
  <c r="H11" i="92"/>
  <c r="N7" i="92"/>
  <c r="P8" i="92"/>
  <c r="R14" i="92"/>
  <c r="R16" i="92"/>
  <c r="J12" i="92"/>
  <c r="C14" i="92"/>
  <c r="C16" i="92"/>
  <c r="S10" i="92"/>
  <c r="F13" i="92"/>
  <c r="F15" i="92"/>
  <c r="F7" i="92"/>
  <c r="L9" i="92"/>
  <c r="E14" i="92"/>
  <c r="E16" i="92"/>
  <c r="F10" i="92"/>
  <c r="O14" i="92"/>
  <c r="O16" i="92"/>
  <c r="J14" i="92"/>
  <c r="J16" i="92"/>
  <c r="B8" i="92"/>
  <c r="T12" i="92"/>
  <c r="I8" i="92"/>
  <c r="S14" i="92"/>
  <c r="S16" i="92"/>
  <c r="Q12" i="92"/>
  <c r="O9" i="92"/>
  <c r="P11" i="92"/>
  <c r="F14" i="92"/>
  <c r="F16" i="92"/>
  <c r="L14" i="92"/>
  <c r="L16" i="92"/>
  <c r="D7" i="92"/>
  <c r="L8" i="92"/>
  <c r="J11" i="92"/>
  <c r="H14" i="92"/>
  <c r="H16" i="92"/>
  <c r="M12" i="92"/>
  <c r="B13" i="92"/>
  <c r="B15" i="92"/>
  <c r="G12" i="92"/>
  <c r="K11" i="92"/>
  <c r="K10" i="92"/>
  <c r="N14" i="92"/>
  <c r="N16" i="92"/>
  <c r="N13" i="92"/>
  <c r="N15" i="92"/>
  <c r="Q13" i="92"/>
  <c r="Q15" i="92"/>
  <c r="R11" i="92"/>
  <c r="R12" i="92"/>
  <c r="V5" i="92" a="1"/>
  <c r="V5" i="92" s="1"/>
  <c r="X5" i="92" a="1"/>
  <c r="X5" i="92" s="1"/>
  <c r="W5" i="92" a="1"/>
  <c r="W5" i="92" s="1"/>
  <c r="V6" i="92" a="1"/>
  <c r="V6" i="92" s="1"/>
  <c r="W6" i="92" a="1"/>
  <c r="W6" i="92" s="1"/>
  <c r="X6" i="92" a="1"/>
  <c r="X6" i="92" s="1"/>
  <c r="AD85" i="50"/>
  <c r="AD86" i="50" s="1"/>
  <c r="AD89" i="50"/>
  <c r="AD90" i="50" s="1"/>
  <c r="AD81" i="50"/>
  <c r="AD82" i="50" s="1"/>
  <c r="AD93" i="50"/>
  <c r="AD94" i="50" s="1"/>
  <c r="AD91" i="50"/>
  <c r="AD92" i="50" s="1"/>
  <c r="AD87" i="50"/>
  <c r="AD88" i="50" s="1"/>
  <c r="X8" i="92" l="1" a="1"/>
  <c r="X8" i="92" s="1"/>
  <c r="V14" i="92" a="1"/>
  <c r="V14" i="92" s="1"/>
  <c r="V10" i="92" a="1"/>
  <c r="V10" i="92" s="1"/>
  <c r="X11" i="92" a="1"/>
  <c r="X11" i="92" s="1"/>
  <c r="AC39" i="65" s="1"/>
  <c r="V7" i="92" a="1"/>
  <c r="V7" i="92" s="1"/>
  <c r="W8" i="92" a="1"/>
  <c r="W8" i="92" s="1"/>
  <c r="W9" i="92" a="1"/>
  <c r="W9" i="92" s="1"/>
  <c r="X9" i="92" a="1"/>
  <c r="X9" i="92" s="1"/>
  <c r="AC39" i="63" s="1"/>
  <c r="V8" i="92" a="1"/>
  <c r="V8" i="92" s="1"/>
  <c r="V12" i="92" a="1"/>
  <c r="V12" i="92" s="1"/>
  <c r="V9" i="92" a="1"/>
  <c r="V9" i="92" s="1"/>
  <c r="W11" i="92" a="1"/>
  <c r="W11" i="92" s="1"/>
  <c r="X13" i="92" a="1"/>
  <c r="X13" i="92" s="1"/>
  <c r="AC39" i="67" s="1"/>
  <c r="X10" i="92" a="1"/>
  <c r="X10" i="92" s="1"/>
  <c r="AC39" i="64" s="1"/>
  <c r="X12" i="92" a="1"/>
  <c r="X12" i="92" s="1"/>
  <c r="AC39" i="66" s="1"/>
  <c r="W10" i="92" a="1"/>
  <c r="W10" i="92" s="1"/>
  <c r="V11" i="92" a="1"/>
  <c r="V11" i="92" s="1"/>
  <c r="V13" i="92" a="1"/>
  <c r="V13" i="92" s="1"/>
  <c r="W13" i="92" a="1"/>
  <c r="W13" i="92" s="1"/>
  <c r="W14" i="92" a="1"/>
  <c r="W14" i="92" s="1"/>
  <c r="W12" i="92" a="1"/>
  <c r="W12" i="92" s="1"/>
  <c r="X14" i="92" a="1"/>
  <c r="X14" i="92" s="1"/>
  <c r="AC39" i="68" s="1"/>
  <c r="W7" i="92" a="1"/>
  <c r="W7" i="92" s="1"/>
  <c r="X16" i="92" a="1"/>
  <c r="X16" i="92" s="1"/>
  <c r="AC39" i="69" s="1"/>
  <c r="V16" i="92" a="1"/>
  <c r="V16" i="92" s="1"/>
  <c r="W16" i="92" a="1"/>
  <c r="W16" i="92" s="1"/>
  <c r="X7" i="92" a="1"/>
  <c r="X7" i="92" s="1"/>
  <c r="AC39" i="49" s="1"/>
  <c r="V15" i="92" a="1"/>
  <c r="V15" i="92" s="1"/>
  <c r="Y39" i="62" s="1"/>
  <c r="X15" i="92" a="1"/>
  <c r="X15" i="92" s="1"/>
  <c r="AC38" i="62" s="1"/>
  <c r="AC39" i="62" s="1"/>
  <c r="W15" i="92" a="1"/>
  <c r="W15" i="92" s="1"/>
  <c r="Z39" i="62" s="1"/>
  <c r="X39" i="49"/>
  <c r="X39" i="64"/>
  <c r="AB38" i="64"/>
  <c r="AB39" i="64"/>
  <c r="AB39" i="63"/>
  <c r="AB38" i="63"/>
  <c r="X39" i="63"/>
  <c r="AB39" i="49"/>
  <c r="AB38" i="49"/>
  <c r="X39" i="67"/>
  <c r="AB38" i="67"/>
  <c r="AB39" i="67"/>
  <c r="X39" i="65"/>
  <c r="AB38" i="65"/>
  <c r="AB39" i="65"/>
  <c r="AB39" i="68"/>
  <c r="X39" i="68"/>
  <c r="AB38" i="68"/>
  <c r="X39" i="66"/>
  <c r="AB39" i="66"/>
  <c r="AB38" i="66"/>
  <c r="I11" i="85"/>
  <c r="AB39" i="62" l="1"/>
  <c r="X39" i="62"/>
  <c r="AB38" i="62"/>
  <c r="AA87" i="85"/>
  <c r="F87" i="85" s="1"/>
  <c r="AA120" i="85"/>
  <c r="F120" i="85" s="1"/>
  <c r="AA122" i="84"/>
  <c r="AA120" i="83"/>
  <c r="AA155" i="66"/>
  <c r="Z156" i="70"/>
  <c r="AA219" i="67"/>
  <c r="AA120" i="69"/>
  <c r="F93" i="85"/>
  <c r="F126" i="85"/>
  <c r="AA122" i="67"/>
  <c r="CV121" i="50"/>
  <c r="CV127" i="50" s="1"/>
  <c r="AX121" i="50"/>
  <c r="AX127" i="50" s="1"/>
  <c r="CB121" i="50"/>
  <c r="CB127" i="50" s="1"/>
  <c r="DK121" i="50"/>
  <c r="BH169" i="50" s="1"/>
  <c r="BW121" i="50"/>
  <c r="BW127" i="50" s="1"/>
  <c r="BR121" i="50"/>
  <c r="BR127" i="50" s="1"/>
  <c r="BM121" i="50"/>
  <c r="BM127" i="50" s="1"/>
  <c r="AI121" i="50"/>
  <c r="AI127" i="50" s="1"/>
  <c r="AE121" i="86"/>
  <c r="F94" i="91"/>
  <c r="AM94" i="91" s="1"/>
  <c r="F193" i="83"/>
  <c r="AN121" i="50"/>
  <c r="AN127" i="50" s="1"/>
  <c r="DA121" i="50"/>
  <c r="DA127" i="50" s="1"/>
  <c r="CG121" i="50"/>
  <c r="CG127" i="50" s="1"/>
  <c r="AD121" i="50"/>
  <c r="BC121" i="50"/>
  <c r="AA190" i="67"/>
  <c r="AA289" i="67"/>
  <c r="AA256" i="67"/>
  <c r="AS121" i="50"/>
  <c r="AS127" i="50" s="1"/>
  <c r="CL121" i="50"/>
  <c r="AS169" i="50" s="1"/>
  <c r="DP121" i="50"/>
  <c r="BM169" i="50" s="1"/>
  <c r="AA155" i="84"/>
  <c r="DF121" i="50"/>
  <c r="BC169" i="50" s="1"/>
  <c r="DU121" i="50"/>
  <c r="BR169" i="50" s="1"/>
  <c r="AA155" i="83"/>
  <c r="F24" i="91"/>
  <c r="BH121" i="50"/>
  <c r="DZ121" i="50"/>
  <c r="BW169" i="50" s="1"/>
  <c r="CQ121" i="50"/>
  <c r="F24" i="84"/>
  <c r="AM24" i="84" s="1"/>
  <c r="F24" i="83"/>
  <c r="AA220" i="69"/>
  <c r="F24" i="86"/>
  <c r="AH24" i="86" s="1"/>
  <c r="AH30" i="86" s="1"/>
  <c r="F101" i="91"/>
  <c r="F31" i="91"/>
  <c r="AM31" i="91" s="1"/>
  <c r="F24" i="85"/>
  <c r="F30" i="85" s="1"/>
  <c r="AB92" i="70"/>
  <c r="F92" i="70"/>
  <c r="AF190" i="70"/>
  <c r="F24" i="70"/>
  <c r="AP24" i="70" s="1"/>
  <c r="AG220" i="69"/>
  <c r="AG289" i="67"/>
  <c r="AG156" i="67"/>
  <c r="AA120" i="63"/>
  <c r="AA155" i="69"/>
  <c r="F24" i="66"/>
  <c r="AG120" i="69"/>
  <c r="AG219" i="67"/>
  <c r="AA185" i="63"/>
  <c r="F24" i="69"/>
  <c r="AA254" i="69"/>
  <c r="AG190" i="67"/>
  <c r="F24" i="65"/>
  <c r="M24" i="65" s="1"/>
  <c r="AN51" i="65" s="1"/>
  <c r="F24" i="64"/>
  <c r="M24" i="64" s="1"/>
  <c r="AN51" i="64" s="1"/>
  <c r="F24" i="63"/>
  <c r="M24" i="63" s="1"/>
  <c r="AN51" i="63" s="1"/>
  <c r="AG256" i="67"/>
  <c r="F24" i="67"/>
  <c r="AF120" i="63"/>
  <c r="AA218" i="63"/>
  <c r="F24" i="62"/>
  <c r="AC24" i="62" s="1"/>
  <c r="AC30" i="62" s="1"/>
  <c r="F24" i="49"/>
  <c r="AA121" i="49"/>
  <c r="AG121" i="49" s="1"/>
  <c r="F122" i="49" s="1"/>
  <c r="AA188" i="69"/>
  <c r="Z190" i="70"/>
  <c r="AG127" i="49"/>
  <c r="AM193" i="83" l="1"/>
  <c r="F256" i="83"/>
  <c r="AT218" i="83" s="1"/>
  <c r="F289" i="83"/>
  <c r="AY218" i="83" s="1"/>
  <c r="AF188" i="69"/>
  <c r="AF194" i="69" s="1"/>
  <c r="F194" i="69" s="1"/>
  <c r="BD57" i="69" s="1"/>
  <c r="AG155" i="84"/>
  <c r="AG161" i="84" s="1"/>
  <c r="F161" i="84" s="1"/>
  <c r="AY57" i="84" s="1"/>
  <c r="AG122" i="84"/>
  <c r="AG128" i="84" s="1"/>
  <c r="F128" i="84" s="1"/>
  <c r="AT57" i="84" s="1"/>
  <c r="AG188" i="84"/>
  <c r="AG194" i="84" s="1"/>
  <c r="AI169" i="50"/>
  <c r="CQ127" i="50"/>
  <c r="AX175" i="50" s="1"/>
  <c r="AX169" i="50"/>
  <c r="BH127" i="50"/>
  <c r="AN175" i="50" s="1"/>
  <c r="AN169" i="50"/>
  <c r="AD127" i="50"/>
  <c r="CB169" i="50"/>
  <c r="AD169" i="50"/>
  <c r="F163" i="70"/>
  <c r="AW57" i="70" s="1"/>
  <c r="F156" i="70"/>
  <c r="AW51" i="70" s="1"/>
  <c r="AM24" i="83"/>
  <c r="AA218" i="83"/>
  <c r="AA224" i="83" s="1"/>
  <c r="F333" i="83" s="1"/>
  <c r="AM24" i="49"/>
  <c r="F156" i="49"/>
  <c r="AT51" i="49" s="1"/>
  <c r="F289" i="67"/>
  <c r="BN51" i="67" s="1"/>
  <c r="AK115" i="86"/>
  <c r="AK121" i="86" s="1"/>
  <c r="F93" i="86" s="1"/>
  <c r="AK93" i="86" s="1"/>
  <c r="F128" i="66"/>
  <c r="AT57" i="66" s="1"/>
  <c r="AY51" i="49"/>
  <c r="F155" i="66"/>
  <c r="AY51" i="66" s="1"/>
  <c r="F128" i="49"/>
  <c r="AY57" i="49" s="1"/>
  <c r="F190" i="67"/>
  <c r="BT51" i="67" s="1"/>
  <c r="BC127" i="50"/>
  <c r="AI175" i="50" s="1"/>
  <c r="DP127" i="50"/>
  <c r="BM175" i="50" s="1"/>
  <c r="F223" i="67"/>
  <c r="BD51" i="67" s="1"/>
  <c r="F122" i="69"/>
  <c r="AT51" i="69" s="1"/>
  <c r="F262" i="67"/>
  <c r="BI57" i="67" s="1"/>
  <c r="F87" i="86"/>
  <c r="AK87" i="86" s="1"/>
  <c r="F122" i="63"/>
  <c r="AY51" i="63" s="1"/>
  <c r="F256" i="69"/>
  <c r="BI51" i="69" s="1"/>
  <c r="DU127" i="50"/>
  <c r="BR175" i="50" s="1"/>
  <c r="F121" i="62"/>
  <c r="AT51" i="62" s="1"/>
  <c r="AF218" i="63"/>
  <c r="F219" i="63" s="1"/>
  <c r="BI51" i="63" s="1"/>
  <c r="F229" i="69"/>
  <c r="BN57" i="69" s="1"/>
  <c r="F188" i="69"/>
  <c r="BD51" i="69" s="1"/>
  <c r="F222" i="69"/>
  <c r="BN51" i="69" s="1"/>
  <c r="AF191" i="63"/>
  <c r="F192" i="63" s="1"/>
  <c r="BD57" i="63" s="1"/>
  <c r="M30" i="62"/>
  <c r="AM30" i="62" s="1"/>
  <c r="F256" i="67"/>
  <c r="BI51" i="67" s="1"/>
  <c r="M24" i="70"/>
  <c r="F229" i="67"/>
  <c r="BD57" i="67" s="1"/>
  <c r="AY51" i="85"/>
  <c r="F161" i="66"/>
  <c r="AY57" i="66" s="1"/>
  <c r="M24" i="62"/>
  <c r="AN51" i="62" s="1"/>
  <c r="F122" i="66"/>
  <c r="AT51" i="66" s="1"/>
  <c r="M24" i="69"/>
  <c r="AN51" i="69" s="1"/>
  <c r="AL24" i="66"/>
  <c r="F127" i="62"/>
  <c r="AT57" i="62" s="1"/>
  <c r="F196" i="67"/>
  <c r="BT57" i="67" s="1"/>
  <c r="F295" i="67"/>
  <c r="BN57" i="67" s="1"/>
  <c r="AR98" i="70"/>
  <c r="R98" i="70" s="1"/>
  <c r="AB24" i="70"/>
  <c r="AB30" i="70" s="1"/>
  <c r="M30" i="70" s="1"/>
  <c r="AP57" i="70" s="1"/>
  <c r="DK127" i="50"/>
  <c r="BH175" i="50" s="1"/>
  <c r="N94" i="91"/>
  <c r="AN124" i="91" s="1"/>
  <c r="F128" i="67"/>
  <c r="AT57" i="67" s="1"/>
  <c r="F128" i="69"/>
  <c r="AT57" i="69" s="1"/>
  <c r="F161" i="69"/>
  <c r="AY57" i="69" s="1"/>
  <c r="F196" i="70"/>
  <c r="BB57" i="70" s="1"/>
  <c r="F128" i="83"/>
  <c r="AT57" i="83" s="1"/>
  <c r="F162" i="49"/>
  <c r="AT57" i="49" s="1"/>
  <c r="M24" i="49"/>
  <c r="AN51" i="49" s="1"/>
  <c r="AM24" i="65"/>
  <c r="AC24" i="65"/>
  <c r="AC30" i="65" s="1"/>
  <c r="M30" i="65" s="1"/>
  <c r="AF254" i="69"/>
  <c r="AF260" i="69" s="1"/>
  <c r="F262" i="69" s="1"/>
  <c r="BI57" i="69" s="1"/>
  <c r="AL24" i="69"/>
  <c r="AC24" i="69"/>
  <c r="AC30" i="69" s="1"/>
  <c r="M30" i="69" s="1"/>
  <c r="AF185" i="63"/>
  <c r="F186" i="63"/>
  <c r="BD51" i="63" s="1"/>
  <c r="AL24" i="65"/>
  <c r="AC24" i="49"/>
  <c r="AC30" i="49" s="1"/>
  <c r="M30" i="49" s="1"/>
  <c r="AL24" i="49"/>
  <c r="F161" i="83"/>
  <c r="AY57" i="83" s="1"/>
  <c r="AM101" i="91"/>
  <c r="DZ127" i="50"/>
  <c r="BW175" i="50" s="1"/>
  <c r="AM24" i="69"/>
  <c r="AU30" i="86"/>
  <c r="AV30" i="86"/>
  <c r="AM24" i="63"/>
  <c r="AL24" i="63"/>
  <c r="AC24" i="63"/>
  <c r="AC30" i="63" s="1"/>
  <c r="M30" i="63" s="1"/>
  <c r="F155" i="69"/>
  <c r="AY51" i="69" s="1"/>
  <c r="F190" i="70"/>
  <c r="BB51" i="70" s="1"/>
  <c r="AA156" i="67"/>
  <c r="AA163" i="67" s="1"/>
  <c r="F163" i="67" s="1"/>
  <c r="AY57" i="67" s="1"/>
  <c r="AF224" i="63"/>
  <c r="F225" i="63" s="1"/>
  <c r="BI57" i="63" s="1"/>
  <c r="AM24" i="62"/>
  <c r="AL24" i="62"/>
  <c r="AL24" i="67"/>
  <c r="F122" i="67"/>
  <c r="AT51" i="67" s="1"/>
  <c r="AC24" i="67"/>
  <c r="AC30" i="67" s="1"/>
  <c r="M30" i="67" s="1"/>
  <c r="AM24" i="67"/>
  <c r="M24" i="67"/>
  <c r="AN51" i="67" s="1"/>
  <c r="AM24" i="64"/>
  <c r="AC24" i="64"/>
  <c r="AC30" i="64" s="1"/>
  <c r="M30" i="64" s="1"/>
  <c r="AL24" i="64"/>
  <c r="AC24" i="66"/>
  <c r="AC30" i="66" s="1"/>
  <c r="M30" i="66" s="1"/>
  <c r="M24" i="66"/>
  <c r="AY57" i="85"/>
  <c r="M30" i="85"/>
  <c r="AN57" i="85" s="1"/>
  <c r="AM30" i="85"/>
  <c r="AL30" i="85"/>
  <c r="AT57" i="85"/>
  <c r="AL101" i="91"/>
  <c r="M30" i="86"/>
  <c r="AE93" i="86" s="1"/>
  <c r="AM24" i="66"/>
  <c r="AL31" i="91"/>
  <c r="AO31" i="91" s="1"/>
  <c r="I31" i="91" s="1"/>
  <c r="J31" i="91" s="1"/>
  <c r="AU24" i="86"/>
  <c r="M24" i="86"/>
  <c r="AE87" i="86" s="1"/>
  <c r="AV24" i="86"/>
  <c r="AL24" i="83"/>
  <c r="AO24" i="70"/>
  <c r="AR24" i="70" s="1"/>
  <c r="I24" i="70" s="1"/>
  <c r="AM24" i="91"/>
  <c r="AL24" i="91"/>
  <c r="N24" i="91"/>
  <c r="AN54" i="91" s="1"/>
  <c r="AC24" i="91"/>
  <c r="AC31" i="91" s="1"/>
  <c r="N31" i="91" s="1"/>
  <c r="AN61" i="91" s="1"/>
  <c r="F155" i="84"/>
  <c r="AY51" i="84" s="1"/>
  <c r="DF127" i="50"/>
  <c r="BC175" i="50" s="1"/>
  <c r="AG92" i="70"/>
  <c r="AM24" i="85"/>
  <c r="AT51" i="85"/>
  <c r="M24" i="85"/>
  <c r="AN51" i="85" s="1"/>
  <c r="AL24" i="85"/>
  <c r="M24" i="83"/>
  <c r="F122" i="83"/>
  <c r="AT51" i="83" s="1"/>
  <c r="AC24" i="83"/>
  <c r="AC30" i="83" s="1"/>
  <c r="M30" i="83" s="1"/>
  <c r="F327" i="83"/>
  <c r="AL24" i="84"/>
  <c r="AO24" i="84" s="1"/>
  <c r="I24" i="84" s="1"/>
  <c r="AR92" i="70"/>
  <c r="R92" i="70" s="1"/>
  <c r="F194" i="84"/>
  <c r="BD57" i="84" s="1"/>
  <c r="AC24" i="85"/>
  <c r="AC30" i="85" s="1"/>
  <c r="AC24" i="84"/>
  <c r="AC30" i="84" s="1"/>
  <c r="M30" i="84" s="1"/>
  <c r="AM57" i="84" s="1"/>
  <c r="M24" i="84"/>
  <c r="F188" i="84"/>
  <c r="BD51" i="84" s="1"/>
  <c r="F122" i="84"/>
  <c r="AT51" i="84" s="1"/>
  <c r="F155" i="83"/>
  <c r="AY51" i="83" s="1"/>
  <c r="CL127" i="50"/>
  <c r="AS175" i="50" s="1"/>
  <c r="M193" i="83"/>
  <c r="AC94" i="91"/>
  <c r="AC101" i="91" s="1"/>
  <c r="N101" i="91" s="1"/>
  <c r="AN131" i="91" s="1"/>
  <c r="AL94" i="91"/>
  <c r="AO94" i="91" s="1"/>
  <c r="I94" i="91" s="1"/>
  <c r="AL193" i="83"/>
  <c r="AO193" i="83" s="1"/>
  <c r="I193" i="83" s="1"/>
  <c r="AC191" i="83"/>
  <c r="AC197" i="83" s="1"/>
  <c r="AQ51" i="70" l="1"/>
  <c r="AP51" i="70"/>
  <c r="AN51" i="84"/>
  <c r="AM51" i="84"/>
  <c r="F262" i="83"/>
  <c r="AT224" i="83" s="1"/>
  <c r="F295" i="83"/>
  <c r="AY224" i="83" s="1"/>
  <c r="AX145" i="50"/>
  <c r="BH145" i="50"/>
  <c r="BM145" i="50"/>
  <c r="AN145" i="50"/>
  <c r="AD145" i="50"/>
  <c r="BW145" i="50"/>
  <c r="AD175" i="50"/>
  <c r="CB175" i="50"/>
  <c r="AI151" i="50" s="1"/>
  <c r="BC145" i="50"/>
  <c r="AS145" i="50"/>
  <c r="AI145" i="50"/>
  <c r="BR145" i="50"/>
  <c r="AL30" i="62"/>
  <c r="AO30" i="62" s="1"/>
  <c r="I30" i="62" s="1"/>
  <c r="AO24" i="83"/>
  <c r="I24" i="83" s="1"/>
  <c r="AL325" i="83"/>
  <c r="AM325" i="83"/>
  <c r="AL331" i="83"/>
  <c r="AM331" i="83"/>
  <c r="AO24" i="49"/>
  <c r="I24" i="49" s="1"/>
  <c r="F128" i="63"/>
  <c r="AY57" i="63" s="1"/>
  <c r="AO101" i="91"/>
  <c r="I101" i="91" s="1"/>
  <c r="J101" i="91" s="1"/>
  <c r="AO24" i="64"/>
  <c r="I24" i="64" s="1"/>
  <c r="AO24" i="67"/>
  <c r="I24" i="67" s="1"/>
  <c r="AO24" i="65"/>
  <c r="I24" i="65" s="1"/>
  <c r="AX24" i="86"/>
  <c r="AN57" i="62"/>
  <c r="AQ57" i="70"/>
  <c r="AO30" i="70"/>
  <c r="AP30" i="70"/>
  <c r="AO30" i="85"/>
  <c r="I30" i="85" s="1"/>
  <c r="AO24" i="62"/>
  <c r="I24" i="62" s="1"/>
  <c r="F156" i="67"/>
  <c r="AY51" i="67" s="1"/>
  <c r="AO24" i="66"/>
  <c r="I24" i="66" s="1"/>
  <c r="AO24" i="91"/>
  <c r="I24" i="91" s="1"/>
  <c r="J24" i="91" s="1"/>
  <c r="AO24" i="69"/>
  <c r="I24" i="69" s="1"/>
  <c r="AN57" i="49"/>
  <c r="AL30" i="49"/>
  <c r="AM30" i="49"/>
  <c r="AN57" i="64"/>
  <c r="AM30" i="64"/>
  <c r="AL30" i="64"/>
  <c r="AM30" i="63"/>
  <c r="AN57" i="63"/>
  <c r="AL30" i="63"/>
  <c r="AR24" i="66"/>
  <c r="AN51" i="66"/>
  <c r="AM30" i="83"/>
  <c r="AN57" i="83"/>
  <c r="AL30" i="83"/>
  <c r="AR30" i="83"/>
  <c r="AN57" i="69"/>
  <c r="AM30" i="69"/>
  <c r="AL30" i="69"/>
  <c r="AN57" i="84"/>
  <c r="AM30" i="84"/>
  <c r="AL30" i="84"/>
  <c r="Z94" i="91"/>
  <c r="Z101" i="91" s="1"/>
  <c r="T101" i="91" s="1"/>
  <c r="J94" i="91"/>
  <c r="AO24" i="85"/>
  <c r="I24" i="85" s="1"/>
  <c r="AO24" i="63"/>
  <c r="I24" i="63" s="1"/>
  <c r="AM30" i="67"/>
  <c r="AN57" i="67"/>
  <c r="AL30" i="67"/>
  <c r="AN51" i="83"/>
  <c r="AR24" i="83"/>
  <c r="AM199" i="83"/>
  <c r="AL199" i="83"/>
  <c r="M199" i="83"/>
  <c r="AM30" i="66"/>
  <c r="AN57" i="66"/>
  <c r="AL30" i="66"/>
  <c r="AR30" i="66"/>
  <c r="AR193" i="83"/>
  <c r="AN218" i="83"/>
  <c r="AC324" i="83"/>
  <c r="AC330" i="83" s="1"/>
  <c r="M333" i="83" s="1"/>
  <c r="M327" i="83"/>
  <c r="AX30" i="86"/>
  <c r="AM30" i="65"/>
  <c r="AN57" i="65"/>
  <c r="AL30" i="65"/>
  <c r="BM151" i="50" l="1"/>
  <c r="BH151" i="50"/>
  <c r="BW151" i="50"/>
  <c r="AD151" i="50"/>
  <c r="AS151" i="50"/>
  <c r="AX151" i="50"/>
  <c r="BC151" i="50"/>
  <c r="BR151" i="50"/>
  <c r="AN151" i="50"/>
  <c r="AR30" i="70"/>
  <c r="I30" i="70" s="1"/>
  <c r="AO30" i="66"/>
  <c r="I30" i="66" s="1"/>
  <c r="AO30" i="63"/>
  <c r="I30" i="63" s="1"/>
  <c r="AO331" i="83"/>
  <c r="I333" i="83" s="1"/>
  <c r="AO30" i="64"/>
  <c r="I30" i="64" s="1"/>
  <c r="AN358" i="83"/>
  <c r="AR331" i="83"/>
  <c r="AV24" i="83"/>
  <c r="AU24" i="83"/>
  <c r="AO30" i="65"/>
  <c r="I30" i="65" s="1"/>
  <c r="AO325" i="83"/>
  <c r="I327" i="83" s="1"/>
  <c r="AV193" i="83"/>
  <c r="AU193" i="83"/>
  <c r="AO199" i="83"/>
  <c r="I199" i="83" s="1"/>
  <c r="AO30" i="84"/>
  <c r="I30" i="84" s="1"/>
  <c r="AV30" i="83"/>
  <c r="AU30" i="83"/>
  <c r="AO30" i="49"/>
  <c r="I30" i="49" s="1"/>
  <c r="AR325" i="83"/>
  <c r="AN352" i="83"/>
  <c r="AV30" i="66"/>
  <c r="AU30" i="66"/>
  <c r="AN224" i="83"/>
  <c r="AR199" i="83"/>
  <c r="AO30" i="67"/>
  <c r="I30" i="67" s="1"/>
  <c r="AO30" i="69"/>
  <c r="I30" i="69" s="1"/>
  <c r="AO30" i="83"/>
  <c r="I30" i="83" s="1"/>
  <c r="AU24" i="66"/>
  <c r="AV24" i="66"/>
  <c r="AW30" i="83" l="1"/>
  <c r="AW193" i="83"/>
  <c r="AW24" i="83"/>
  <c r="AV325" i="83"/>
  <c r="AU325" i="83"/>
  <c r="AU199" i="83"/>
  <c r="AV199" i="83"/>
  <c r="AW24" i="66"/>
  <c r="AW30" i="66"/>
  <c r="AV331" i="83"/>
  <c r="AU331" i="83"/>
  <c r="AW325" i="83" l="1"/>
  <c r="AW331" i="83"/>
  <c r="AW199" i="83"/>
  <c r="AI214" i="69" l="1"/>
  <c r="AI218" i="69"/>
  <c r="AC195" i="69"/>
  <c r="H195" i="69" s="1"/>
  <c r="AI217" i="69"/>
  <c r="AI224" i="69"/>
  <c r="AI216" i="69"/>
  <c r="AC191" i="69"/>
  <c r="AH191" i="69" s="1"/>
  <c r="AI212" i="69"/>
  <c r="AC185" i="69"/>
  <c r="AH185" i="69" s="1"/>
  <c r="AC182" i="69"/>
  <c r="H184" i="69" s="1"/>
  <c r="AI228" i="69"/>
  <c r="AI226" i="69"/>
  <c r="AI213" i="69"/>
  <c r="AC190" i="69"/>
  <c r="H190" i="69" s="1"/>
  <c r="AC179" i="69"/>
  <c r="AH179" i="69" s="1"/>
  <c r="AC181" i="69"/>
  <c r="H183" i="69" s="1"/>
  <c r="AC180" i="69"/>
  <c r="AH180" i="69" s="1"/>
  <c r="AC193" i="69"/>
  <c r="AH193" i="69" s="1"/>
  <c r="AI223" i="69"/>
  <c r="AI220" i="69"/>
  <c r="AC189" i="69"/>
  <c r="H189" i="69" s="1"/>
  <c r="AI221" i="69"/>
  <c r="AH192" i="69"/>
  <c r="AI215" i="69"/>
  <c r="AC184" i="69"/>
  <c r="H186" i="69" s="1"/>
  <c r="AC188" i="69"/>
  <c r="AH188" i="69" s="1"/>
  <c r="AC183" i="69"/>
  <c r="AH183" i="69" s="1"/>
  <c r="AC214" i="69"/>
  <c r="AC226" i="69"/>
  <c r="AC218" i="69"/>
  <c r="AC228" i="69"/>
  <c r="AC220" i="69"/>
  <c r="AC213" i="69"/>
  <c r="AC223" i="69"/>
  <c r="AH195" i="69"/>
  <c r="AC217" i="69"/>
  <c r="AC215" i="69"/>
  <c r="AC224" i="69"/>
  <c r="AH261" i="69"/>
  <c r="AC212" i="69"/>
  <c r="AC221" i="69"/>
  <c r="AC216" i="69"/>
  <c r="H228" i="69" l="1"/>
  <c r="BP56" i="69" s="1"/>
  <c r="H218" i="69"/>
  <c r="BP48" i="69" s="1"/>
  <c r="H230" i="69"/>
  <c r="BP58" i="69" s="1"/>
  <c r="H219" i="69"/>
  <c r="BP49" i="69" s="1"/>
  <c r="H216" i="69"/>
  <c r="BP46" i="69" s="1"/>
  <c r="H191" i="69"/>
  <c r="H225" i="69"/>
  <c r="BP53" i="69" s="1"/>
  <c r="AH181" i="69"/>
  <c r="H227" i="69"/>
  <c r="H192" i="69"/>
  <c r="H220" i="69"/>
  <c r="BP50" i="69" s="1"/>
  <c r="H223" i="69"/>
  <c r="BP52" i="69" s="1"/>
  <c r="AH182" i="69"/>
  <c r="H226" i="69"/>
  <c r="BP54" i="69" s="1"/>
  <c r="H222" i="69"/>
  <c r="BP51" i="69" s="1"/>
  <c r="AH190" i="69"/>
  <c r="H229" i="69"/>
  <c r="BP57" i="69" s="1"/>
  <c r="H214" i="69"/>
  <c r="BP44" i="69" s="1"/>
  <c r="H215" i="69"/>
  <c r="BP45" i="69" s="1"/>
  <c r="H217" i="69"/>
  <c r="BP47" i="69" s="1"/>
  <c r="M53" i="76"/>
  <c r="K41" i="92" s="1"/>
  <c r="BF47" i="69"/>
  <c r="BF49" i="69"/>
  <c r="O53" i="76"/>
  <c r="M41" i="92" s="1"/>
  <c r="L53" i="76"/>
  <c r="J41" i="92" s="1"/>
  <c r="BF46" i="69"/>
  <c r="R53" i="76"/>
  <c r="P41" i="92" s="1"/>
  <c r="BF52" i="69"/>
  <c r="S53" i="76"/>
  <c r="Q41" i="92" s="1"/>
  <c r="BF53" i="69"/>
  <c r="X53" i="76"/>
  <c r="BF58" i="69"/>
  <c r="H188" i="69"/>
  <c r="AH189" i="69"/>
  <c r="H182" i="69"/>
  <c r="H187" i="69"/>
  <c r="H181" i="69"/>
  <c r="AH184" i="69"/>
  <c r="H185" i="69"/>
  <c r="H193" i="69"/>
  <c r="J38" i="92" l="1"/>
  <c r="J40" i="92"/>
  <c r="M38" i="92"/>
  <c r="M40" i="92"/>
  <c r="Q38" i="92"/>
  <c r="Q40" i="92"/>
  <c r="K38" i="92"/>
  <c r="K40" i="92"/>
  <c r="P38" i="92"/>
  <c r="P40" i="92"/>
  <c r="U53" i="76"/>
  <c r="S41" i="92" s="1"/>
  <c r="BF59" i="69"/>
  <c r="BP55" i="69"/>
  <c r="BP59" i="69"/>
  <c r="BF55" i="69"/>
  <c r="AH194" i="69"/>
  <c r="H194" i="69" s="1"/>
  <c r="BF54" i="69"/>
  <c r="T53" i="76"/>
  <c r="R41" i="92" s="1"/>
  <c r="Q53" i="76"/>
  <c r="O41" i="92" s="1"/>
  <c r="BF51" i="69"/>
  <c r="BF44" i="69"/>
  <c r="J53" i="76"/>
  <c r="H41" i="92" s="1"/>
  <c r="BF56" i="69"/>
  <c r="V53" i="76"/>
  <c r="T41" i="92" s="1"/>
  <c r="BF50" i="69"/>
  <c r="P53" i="76"/>
  <c r="N41" i="92" s="1"/>
  <c r="BF48" i="69"/>
  <c r="N53" i="76"/>
  <c r="L41" i="92" s="1"/>
  <c r="BF45" i="69"/>
  <c r="K53" i="76"/>
  <c r="I41" i="92" s="1"/>
  <c r="V41" i="92" l="1" a="1"/>
  <c r="V41" i="92" s="1"/>
  <c r="W41" i="92" a="1"/>
  <c r="W41" i="92" s="1"/>
  <c r="X41" i="92" a="1"/>
  <c r="X41" i="92" s="1"/>
  <c r="I38" i="92"/>
  <c r="I40" i="92"/>
  <c r="H38" i="92"/>
  <c r="H40" i="92"/>
  <c r="T38" i="92"/>
  <c r="T40" i="92"/>
  <c r="L38" i="92"/>
  <c r="L40" i="92"/>
  <c r="O38" i="92"/>
  <c r="O40" i="92"/>
  <c r="S38" i="92"/>
  <c r="S40" i="92"/>
  <c r="N38" i="92"/>
  <c r="N40" i="92"/>
  <c r="R38" i="92"/>
  <c r="R40" i="92"/>
  <c r="W53" i="76"/>
  <c r="BF57" i="69"/>
  <c r="H19" i="86"/>
  <c r="AJ19" i="86" s="1"/>
  <c r="AJ30" i="86" s="1"/>
  <c r="O30" i="86" s="1"/>
  <c r="X38" i="92" l="1" a="1"/>
  <c r="X38" i="92" s="1"/>
  <c r="V38" i="92" a="1"/>
  <c r="V38" i="92" s="1"/>
  <c r="W38" i="92" a="1"/>
  <c r="W38" i="92" s="1"/>
  <c r="W40" i="92" a="1"/>
  <c r="W40" i="92" s="1"/>
  <c r="X40" i="92" a="1"/>
  <c r="X40" i="92" s="1"/>
  <c r="V40" i="92" a="1"/>
  <c r="V40" i="92" s="1"/>
  <c r="W83" i="76"/>
  <c r="T30" i="86"/>
  <c r="AG93" i="86"/>
  <c r="P30" i="86"/>
  <c r="O19" i="86"/>
  <c r="AE19" i="86"/>
  <c r="AE30" i="86" s="1"/>
  <c r="AW19" i="86"/>
  <c r="AX19" i="86" s="1"/>
  <c r="I19" i="86"/>
  <c r="AD19" i="86"/>
  <c r="AD30" i="86" s="1"/>
  <c r="T19" i="86" l="1"/>
  <c r="L83" i="76"/>
  <c r="J62" i="92" s="1"/>
  <c r="P19" i="86"/>
  <c r="AG82" i="86"/>
  <c r="AM19" i="86"/>
  <c r="V62" i="92" l="1" a="1"/>
  <c r="V62" i="92" s="1"/>
  <c r="AD39" i="86" s="1"/>
  <c r="X63" i="92" a="1"/>
  <c r="X63" i="92" s="1"/>
  <c r="W62" i="92" a="1"/>
  <c r="W62" i="92" s="1"/>
  <c r="AE39" i="86" s="1"/>
  <c r="W63" i="92" a="1"/>
  <c r="W63" i="92" s="1"/>
  <c r="X62" i="92" a="1"/>
  <c r="X62" i="92" s="1"/>
  <c r="AH38" i="86" s="1"/>
  <c r="AH39" i="86" s="1"/>
  <c r="V63" i="92" a="1"/>
  <c r="V63" i="92" s="1"/>
  <c r="AN19" i="86"/>
  <c r="Q19" i="86" s="1"/>
  <c r="L110" i="76" s="1"/>
  <c r="AN26" i="86"/>
  <c r="Q28" i="86" s="1"/>
  <c r="U110" i="76" s="1"/>
  <c r="AN23" i="86"/>
  <c r="Q23" i="86" s="1"/>
  <c r="P110" i="76" s="1"/>
  <c r="AN20" i="86"/>
  <c r="Q20" i="86" s="1"/>
  <c r="M110" i="76" s="1"/>
  <c r="AN18" i="86"/>
  <c r="Q18" i="86" s="1"/>
  <c r="K110" i="76" s="1"/>
  <c r="AN14" i="86"/>
  <c r="Q14" i="86" s="1"/>
  <c r="G110" i="76" s="1"/>
  <c r="Q24" i="86"/>
  <c r="Q110" i="76" s="1"/>
  <c r="AN16" i="86"/>
  <c r="Q16" i="86" s="1"/>
  <c r="I110" i="76" s="1"/>
  <c r="Q27" i="86"/>
  <c r="T110" i="76" s="1"/>
  <c r="AN17" i="86"/>
  <c r="Q17" i="86" s="1"/>
  <c r="J110" i="76" s="1"/>
  <c r="AN15" i="86"/>
  <c r="Q15" i="86" s="1"/>
  <c r="H110" i="76" s="1"/>
  <c r="AN11" i="86"/>
  <c r="Q11" i="86" s="1"/>
  <c r="D110" i="76" s="1"/>
  <c r="AN22" i="86"/>
  <c r="Q22" i="86" s="1"/>
  <c r="O110" i="76" s="1"/>
  <c r="AN12" i="86"/>
  <c r="Q12" i="86" s="1"/>
  <c r="E110" i="76" s="1"/>
  <c r="AN27" i="86"/>
  <c r="Q29" i="86" s="1"/>
  <c r="V110" i="76" s="1"/>
  <c r="AN24" i="86"/>
  <c r="Q25" i="86" s="1"/>
  <c r="R110" i="76" s="1"/>
  <c r="AN21" i="86"/>
  <c r="Q21" i="86" s="1"/>
  <c r="N110" i="76" s="1"/>
  <c r="AN13" i="86"/>
  <c r="Q13" i="86" s="1"/>
  <c r="F110" i="76" s="1"/>
  <c r="AN25" i="86"/>
  <c r="Q26" i="86" s="1"/>
  <c r="S110" i="76" s="1"/>
  <c r="AC39" i="86" l="1"/>
  <c r="AG38" i="86"/>
  <c r="AG39" i="86"/>
  <c r="S11" i="85" l="1"/>
  <c r="T11" i="85" s="1"/>
  <c r="S18" i="85"/>
  <c r="T18" i="85" s="1"/>
  <c r="S12" i="85"/>
  <c r="T12" i="85" s="1"/>
  <c r="S15" i="85"/>
  <c r="T15" i="85" s="1"/>
  <c r="S17" i="85"/>
  <c r="T17" i="85" s="1"/>
  <c r="S29" i="85"/>
  <c r="T29" i="85" s="1"/>
  <c r="S24" i="85"/>
  <c r="T24" i="85" s="1"/>
  <c r="S23" i="85"/>
  <c r="T23" i="85" s="1"/>
  <c r="S14" i="85"/>
  <c r="T14" i="85" s="1"/>
  <c r="S19" i="85"/>
  <c r="T19" i="85" s="1"/>
  <c r="S16" i="85"/>
  <c r="T16" i="85" s="1"/>
  <c r="S21" i="85"/>
  <c r="T21" i="85" s="1"/>
  <c r="S20" i="85"/>
  <c r="T20" i="85" s="1"/>
  <c r="S22" i="85"/>
  <c r="T22" i="85" s="1"/>
  <c r="S26" i="85"/>
  <c r="T26" i="85" s="1"/>
  <c r="S27" i="85"/>
  <c r="T27" i="85" s="1"/>
  <c r="S28" i="85"/>
  <c r="T28" i="85" s="1"/>
  <c r="S13" i="85"/>
  <c r="T13" i="85" s="1"/>
  <c r="S25" i="85"/>
  <c r="T25" i="85" s="1"/>
  <c r="S31" i="85"/>
  <c r="T31" i="8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<sst xmlns="http://schemas.openxmlformats.org/spreadsheetml/2006/main" count="4831" uniqueCount="1362">
  <si>
    <t>Bracknell Forest</t>
  </si>
  <si>
    <t>Isle of Wight</t>
  </si>
  <si>
    <t>Medway</t>
  </si>
  <si>
    <t>Reading</t>
  </si>
  <si>
    <t>East Sussex</t>
  </si>
  <si>
    <t>West Sussex</t>
  </si>
  <si>
    <t>Hampshire</t>
  </si>
  <si>
    <t>Surrey</t>
  </si>
  <si>
    <t>Buckinghamshire</t>
  </si>
  <si>
    <t>Kent</t>
  </si>
  <si>
    <t>Milton Keynes</t>
  </si>
  <si>
    <t>Oxfordshire</t>
  </si>
  <si>
    <t>Portsmouth</t>
  </si>
  <si>
    <t>Slough</t>
  </si>
  <si>
    <t>Southampton</t>
  </si>
  <si>
    <t>West Berkshire</t>
  </si>
  <si>
    <t>Wokingham</t>
  </si>
  <si>
    <t>Population</t>
  </si>
  <si>
    <t>Section 47 Enquiries</t>
  </si>
  <si>
    <t>Initial Child Protection Conferences</t>
  </si>
  <si>
    <t>Child Protection Plans</t>
  </si>
  <si>
    <t>Looked After Children</t>
  </si>
  <si>
    <t>Assessments</t>
  </si>
  <si>
    <t>Police</t>
  </si>
  <si>
    <t>Re-referrals</t>
  </si>
  <si>
    <t>Children in Need</t>
  </si>
  <si>
    <t>Court Applications</t>
  </si>
  <si>
    <t>Windsor &amp; Maidenhead</t>
  </si>
  <si>
    <t>Brighton &amp; Hove</t>
  </si>
  <si>
    <t>Adoption</t>
  </si>
  <si>
    <t>ü</t>
  </si>
  <si>
    <t>Relative/ Carer</t>
  </si>
  <si>
    <t>Acquaintance</t>
  </si>
  <si>
    <t>Self</t>
  </si>
  <si>
    <t>Other Individual</t>
  </si>
  <si>
    <t>Schools</t>
  </si>
  <si>
    <t>Education Services</t>
  </si>
  <si>
    <t>GP</t>
  </si>
  <si>
    <t>Health Visitor</t>
  </si>
  <si>
    <t>School Nurse</t>
  </si>
  <si>
    <t>Other primary health</t>
  </si>
  <si>
    <t>A&amp;E</t>
  </si>
  <si>
    <t>Other Health services</t>
  </si>
  <si>
    <t>Housing</t>
  </si>
  <si>
    <t>Social care</t>
  </si>
  <si>
    <t xml:space="preserve">Other Internal LA </t>
  </si>
  <si>
    <t>1A</t>
  </si>
  <si>
    <t>1B</t>
  </si>
  <si>
    <t>1C</t>
  </si>
  <si>
    <t>1D</t>
  </si>
  <si>
    <t>2A</t>
  </si>
  <si>
    <t>2B</t>
  </si>
  <si>
    <t>3A</t>
  </si>
  <si>
    <t>3B</t>
  </si>
  <si>
    <t>3C</t>
  </si>
  <si>
    <t>3D</t>
  </si>
  <si>
    <t>3E</t>
  </si>
  <si>
    <t>3F</t>
  </si>
  <si>
    <t>5A</t>
  </si>
  <si>
    <t>5B</t>
  </si>
  <si>
    <t>5C</t>
  </si>
  <si>
    <t>Anonymous</t>
  </si>
  <si>
    <t>Unknown</t>
  </si>
  <si>
    <t>Other</t>
  </si>
  <si>
    <t>Other legal agency</t>
  </si>
  <si>
    <t>External LA services</t>
  </si>
  <si>
    <t>Referral Source</t>
  </si>
  <si>
    <t>Slope</t>
  </si>
  <si>
    <t>Intercept</t>
  </si>
  <si>
    <t>South East LA Trend</t>
  </si>
  <si>
    <t>x</t>
  </si>
  <si>
    <t>South East</t>
  </si>
  <si>
    <t>Statistical Neighbour LA's</t>
  </si>
  <si>
    <t>mid-2009 0-15 Population</t>
  </si>
  <si>
    <t>Number of Children living in Poverty</t>
  </si>
  <si>
    <t>IDACI</t>
  </si>
  <si>
    <t>Population figures pulled through for those LA's who provided data- For calculation of SE Rate</t>
  </si>
  <si>
    <t>Referrals</t>
  </si>
  <si>
    <t>Participating LA's</t>
  </si>
  <si>
    <t>Jump to...</t>
  </si>
  <si>
    <t>Select your LA here to highlight throughout the report:</t>
  </si>
  <si>
    <t>Number of Referrals going on to Assessment</t>
  </si>
  <si>
    <t>TOTAL</t>
  </si>
  <si>
    <t>Number of Assessments resulting in No Further Action</t>
  </si>
  <si>
    <t>Number</t>
  </si>
  <si>
    <t>Rate per 10000 0-17 Year Olds</t>
  </si>
  <si>
    <t>LA Commentary:</t>
  </si>
  <si>
    <t>Initial CP Conferences</t>
  </si>
  <si>
    <t>Rank Lookup</t>
  </si>
  <si>
    <t>Somerset</t>
  </si>
  <si>
    <t>Individual</t>
  </si>
  <si>
    <t>Children living in Poverty</t>
  </si>
  <si>
    <t xml:space="preserve">This table shows which Local Authorities are currently participating, and which of their statistical neighbours are also participating. </t>
  </si>
  <si>
    <t>South East Rate</t>
  </si>
  <si>
    <t>Toggle LA's on and off using the tick boxes:</t>
  </si>
  <si>
    <t xml:space="preserve"> </t>
  </si>
  <si>
    <t>Proportion (%)</t>
  </si>
  <si>
    <t>Rate per 10,000</t>
  </si>
  <si>
    <t>Health services</t>
  </si>
  <si>
    <t>LA services</t>
  </si>
  <si>
    <t>Rank Lowest (1) to Highest</t>
  </si>
  <si>
    <t>11-45 Days</t>
  </si>
  <si>
    <t>Heatmap applied within each LA- the higher the figure the darker the colour</t>
  </si>
  <si>
    <t>ICPC as % of S47</t>
  </si>
  <si>
    <t>Swindon</t>
  </si>
  <si>
    <t>Torbay</t>
  </si>
  <si>
    <t>Plans to Change Systems in the next Year</t>
  </si>
  <si>
    <t>PARIS</t>
  </si>
  <si>
    <t>No</t>
  </si>
  <si>
    <t>England</t>
  </si>
  <si>
    <t>Expected</t>
  </si>
  <si>
    <t>Distance</t>
  </si>
  <si>
    <t>Percentage Change Chart Highlight</t>
  </si>
  <si>
    <t>Distance from Expected Chart Highlight</t>
  </si>
  <si>
    <t>Within 10 Days</t>
  </si>
  <si>
    <t>11-25 Days</t>
  </si>
  <si>
    <t>26-35 Days</t>
  </si>
  <si>
    <t>36-45 Days</t>
  </si>
  <si>
    <t>Over 45 Days</t>
  </si>
  <si>
    <t>Number of Assessments resulting in Step-down to Early Help</t>
  </si>
  <si>
    <t>Number of Assessments Pulled through for LA's who provided data</t>
  </si>
  <si>
    <t>Number of Assessments completed in each time band</t>
  </si>
  <si>
    <t>ICPC In 15 Days</t>
  </si>
  <si>
    <t>ICPC in 15 Days</t>
  </si>
  <si>
    <t>2nd/ Subsequent</t>
  </si>
  <si>
    <t>reviews in timescales</t>
  </si>
  <si>
    <t>Children who had been subject to a plan for 3 months or longer at 31st march</t>
  </si>
  <si>
    <t>Of those, the number who had reviews in timescale</t>
  </si>
  <si>
    <t>Children who became the subject of a CP Plan in the year ending 31st March</t>
  </si>
  <si>
    <t>Those who became the subject of a plan for a second or subsequent time</t>
  </si>
  <si>
    <t>Children who ceased to be the subject of a CP Plan in the year ending 31st March</t>
  </si>
  <si>
    <t xml:space="preserve">Those who had been subject to a plan for 2 years </t>
  </si>
  <si>
    <t>Care Applications</t>
  </si>
  <si>
    <t>Number of LAC aged Under 16</t>
  </si>
  <si>
    <t>Number of Children looked after for 2.5 years</t>
  </si>
  <si>
    <t>Number of Children looked after for 2.5 years in same placement for 2 years</t>
  </si>
  <si>
    <t>Number of looked after children with three or more placements during the year</t>
  </si>
  <si>
    <t>Under 1</t>
  </si>
  <si>
    <t>16 +</t>
  </si>
  <si>
    <t xml:space="preserve">      1 - 4    </t>
  </si>
  <si>
    <t xml:space="preserve">      5 - 9    </t>
  </si>
  <si>
    <t xml:space="preserve">   10 - 15  </t>
  </si>
  <si>
    <t xml:space="preserve"> &lt;1</t>
  </si>
  <si>
    <t xml:space="preserve"> 1 - 4    </t>
  </si>
  <si>
    <t xml:space="preserve"> 5 - 9</t>
  </si>
  <si>
    <t xml:space="preserve"> 10 - 15  </t>
  </si>
  <si>
    <t xml:space="preserve"> 16 +</t>
  </si>
  <si>
    <t>Number of LAC in each Age Group</t>
  </si>
  <si>
    <t>Percentage of LAC in each Age Group</t>
  </si>
  <si>
    <t>Rate of Looked After Children per 10,000  Population for each Age Group</t>
  </si>
  <si>
    <t>16-17</t>
  </si>
  <si>
    <t>Total Number of days between a child entering care and moving in with their adoptive family</t>
  </si>
  <si>
    <t>Number of LAC Adopted in Year</t>
  </si>
  <si>
    <t>Number of Adopted children who were placed within 12 months of the best interest decision</t>
  </si>
  <si>
    <t>Number of Children ceasing to be looked after</t>
  </si>
  <si>
    <t>Placed within 12 months of the adoption decision</t>
  </si>
  <si>
    <t>% LAC ceasing in year who were Adopted</t>
  </si>
  <si>
    <t>2.5yrs</t>
  </si>
  <si>
    <t>2.5yrs &amp; 2yrs</t>
  </si>
  <si>
    <t>3+ Placements</t>
  </si>
  <si>
    <t>UASC</t>
  </si>
  <si>
    <t>Number of looked after UASC</t>
  </si>
  <si>
    <t>LAC by Age</t>
  </si>
  <si>
    <t>Reviewed within Timescales</t>
  </si>
  <si>
    <t>Number of LAC at 31st March who had been LAC for at least 4 weeks</t>
  </si>
  <si>
    <t>Of these the number whose cases had been reviewed within timescales</t>
  </si>
  <si>
    <t>Number of Children Adopted</t>
  </si>
  <si>
    <t>National Trend</t>
  </si>
  <si>
    <t>Total</t>
  </si>
  <si>
    <t>Number who became the subject of a CP Plan for a second or subsequent time within 2 years of a previous CP Plan</t>
  </si>
  <si>
    <t>2nd/ Subsequent within 2 years</t>
  </si>
  <si>
    <t>Number of Children who became the subject of a CP Plan</t>
  </si>
  <si>
    <t>Early Help Referrals</t>
  </si>
  <si>
    <t>Early Help Assessments</t>
  </si>
  <si>
    <t>Early Help Clients</t>
  </si>
  <si>
    <t>Selected LA</t>
  </si>
  <si>
    <t>Selected LA lookup</t>
  </si>
  <si>
    <t>LA's with * are the Statistical Neighbours of the Selected LA</t>
  </si>
  <si>
    <t>Asmt to NFA</t>
  </si>
  <si>
    <t>Asmt to Step-down</t>
  </si>
  <si>
    <t>Number of Assessments completed in 45 Days</t>
  </si>
  <si>
    <t>2017-18</t>
  </si>
  <si>
    <t>(none)</t>
  </si>
  <si>
    <t>Page:</t>
  </si>
  <si>
    <t>Indicator:</t>
  </si>
  <si>
    <t>% of Referrals to CSC followed by Assessment</t>
  </si>
  <si>
    <t xml:space="preserve">Individual </t>
  </si>
  <si>
    <t xml:space="preserve">Schools </t>
  </si>
  <si>
    <t xml:space="preserve">Health services </t>
  </si>
  <si>
    <t xml:space="preserve">Housing </t>
  </si>
  <si>
    <t xml:space="preserve">LA services </t>
  </si>
  <si>
    <t xml:space="preserve">Police </t>
  </si>
  <si>
    <t xml:space="preserve">Other legal agency </t>
  </si>
  <si>
    <t xml:space="preserve">Other </t>
  </si>
  <si>
    <t xml:space="preserve">Anonymous </t>
  </si>
  <si>
    <t xml:space="preserve">Unknown </t>
  </si>
  <si>
    <t>Re-Referrals</t>
  </si>
  <si>
    <t>CIN</t>
  </si>
  <si>
    <t>% of Initial CP Conferences held within 15 days of the Section 47 Enquiry which led to the conference</t>
  </si>
  <si>
    <t>% who had been the subject of a plan for at least 3 months and had reviews carried out within timescales</t>
  </si>
  <si>
    <t>% of Children who ceased to be the subject of a CP Plan  who had been the subject of a Plan for 2 years or more</t>
  </si>
  <si>
    <t>Children Looked After for more than 2.5 years living in the same placement for at least 2 years</t>
  </si>
  <si>
    <t>% Children ceasing to be Looked After in year who were Adopted</t>
  </si>
  <si>
    <t>mid-2017</t>
  </si>
  <si>
    <t>Percentage of Referrals with prior Early Help Intervention 
(in the last 12 months)</t>
  </si>
  <si>
    <t>Number of Referrals with Prior EH</t>
  </si>
  <si>
    <t xml:space="preserve">Number of Referrals with prior Early Help Intervention
</t>
  </si>
  <si>
    <t>Proportion of Assessments resulting in No Futher Action</t>
  </si>
  <si>
    <t>Children ceasing to be Looked After in year who were granted SGO (%)</t>
  </si>
  <si>
    <t>Children ceasing to be Looked After in year who were granted CAO (%)</t>
  </si>
  <si>
    <t>Number of Referrals to CSC received from:</t>
  </si>
  <si>
    <t>Number of CSC Single Assessments Authorised within:</t>
  </si>
  <si>
    <t>Year2_EarlyHelpReferrals</t>
  </si>
  <si>
    <t>Year2_EarlyHelpReferralsSTEPDOWN</t>
  </si>
  <si>
    <t>Year2_EarlyHelpReReferrals</t>
  </si>
  <si>
    <t>Year2_EarlyHelpAssessments</t>
  </si>
  <si>
    <t>Year2_EarlyHelpAssessmentsStepUp</t>
  </si>
  <si>
    <t>Year2_EarlyHelpedChildren</t>
  </si>
  <si>
    <t>Year2_Referrals</t>
  </si>
  <si>
    <t>Year2_ReferralsPriorEH</t>
  </si>
  <si>
    <t>Year2_ReferralSource_Individual_Family</t>
  </si>
  <si>
    <t>Year2_ReferralSource_Individual_Acquaintance</t>
  </si>
  <si>
    <t>Year2_ReferralSource_Individual_Self</t>
  </si>
  <si>
    <t>Year2_ReferralSource_Individual_Other</t>
  </si>
  <si>
    <t>Year2_ReferralSource_School</t>
  </si>
  <si>
    <t>Year2_ReferralSource_EducationServices</t>
  </si>
  <si>
    <t>Year2_ReferralSource_Health_services_GP</t>
  </si>
  <si>
    <t>Year2_ReferralSource_Health_services_HealthVisitor</t>
  </si>
  <si>
    <t>Year2_ReferralSource_Health_services_SchoolNurse</t>
  </si>
  <si>
    <t>Year2_ReferralSource_Health_services_OthPrimary</t>
  </si>
  <si>
    <t>Year2_ReferralSource_Health_services_AE</t>
  </si>
  <si>
    <t>Year2_ReferralSource_Health_services_Other</t>
  </si>
  <si>
    <t>Year2_ReferralSource_Housing</t>
  </si>
  <si>
    <t>Year2_ReferralSource_LA_SC</t>
  </si>
  <si>
    <t>Year2_ReferralSource_LA_Other</t>
  </si>
  <si>
    <t>Year2_ReferralSource_LA_External</t>
  </si>
  <si>
    <t>Year2_ReferralSource_Police</t>
  </si>
  <si>
    <t>Year2_ReferralSource_Other_Legal</t>
  </si>
  <si>
    <t>Year2_ReferralSource_Other</t>
  </si>
  <si>
    <t>Year2_ReferralSource_Anonymous</t>
  </si>
  <si>
    <t>Year2_ReferralSource_Unknown</t>
  </si>
  <si>
    <t>Year2_ReReferrals</t>
  </si>
  <si>
    <t>Year2_Assessments</t>
  </si>
  <si>
    <t>Year2_Assessments_10days</t>
  </si>
  <si>
    <t>Year2_Assessments_over_45days</t>
  </si>
  <si>
    <t>Year2_Assessments_step_down</t>
  </si>
  <si>
    <t>Year2_Assessments_No_further_action</t>
  </si>
  <si>
    <t>Year2_CIN</t>
  </si>
  <si>
    <t>Year2_CIN_Section47</t>
  </si>
  <si>
    <t>Year2_CP_Conference</t>
  </si>
  <si>
    <t>Year2_CP_Conference_within15days</t>
  </si>
  <si>
    <t>Year2_CP_Plans</t>
  </si>
  <si>
    <t>Year2_CP_Plans_3months</t>
  </si>
  <si>
    <t>Year2_CP_Plans_3months_timescales</t>
  </si>
  <si>
    <t>Year2_CP_Plans_ceased</t>
  </si>
  <si>
    <t>Year2_CP_Plans_ceased_2years</t>
  </si>
  <si>
    <t>Year2_CP_Plans_became_subject</t>
  </si>
  <si>
    <t>Year2_CP_Plans_became_subject_second</t>
  </si>
  <si>
    <t>Year2_CP_Plans_became_subject_second_2years</t>
  </si>
  <si>
    <t>Year2_LAC</t>
  </si>
  <si>
    <t>Year2_LAC_under16</t>
  </si>
  <si>
    <t>Year2_LAC_under16_2.5years</t>
  </si>
  <si>
    <t>Year2_LAC_under16_2.5years_sameplacement2years</t>
  </si>
  <si>
    <t>Year2_Adoption_ceased_LAC</t>
  </si>
  <si>
    <t>Year2_Adoption_LAC_Adopted</t>
  </si>
  <si>
    <t>Year2_Adoption_LAC_Adopted_days</t>
  </si>
  <si>
    <t>Year2_Adoption_LAC_Adopted_placed_with_12months</t>
  </si>
  <si>
    <t>Year2_CAO_RO_Total</t>
  </si>
  <si>
    <t>Year2_SGO_total</t>
  </si>
  <si>
    <t>Year2_Assessments_within45days</t>
  </si>
  <si>
    <t>Year2_Continuous_assessments</t>
  </si>
  <si>
    <t>Year3_EarlyHelpReferrals</t>
  </si>
  <si>
    <t>Year3_EarlyHelpReferralsSTEPDOWN</t>
  </si>
  <si>
    <t>Year3_EarlyHelpReReferrals</t>
  </si>
  <si>
    <t>Year3_EarlyHelpAssessments</t>
  </si>
  <si>
    <t>Year3_EarlyHelpAssessmentsStepUp</t>
  </si>
  <si>
    <t>Year3_EarlyHelpedChildren</t>
  </si>
  <si>
    <t>Year3_Referrals</t>
  </si>
  <si>
    <t>Year3_ReferralsPriorEH</t>
  </si>
  <si>
    <t>Year3_ReferralSource_Individual_Family</t>
  </si>
  <si>
    <t>Year3_ReferralSource_Individual_Acquaintance</t>
  </si>
  <si>
    <t>Year3_ReferralSource_Individual_Self</t>
  </si>
  <si>
    <t>Year3_ReferralSource_Individual_Other</t>
  </si>
  <si>
    <t>Year3_ReferralSource_School</t>
  </si>
  <si>
    <t>Year3_ReferralSource_EducationServices</t>
  </si>
  <si>
    <t>Year3_ReferralSource_Health_services_GP</t>
  </si>
  <si>
    <t>Year3_ReferralSource_Health_services_HealthVisitor</t>
  </si>
  <si>
    <t>Year3_ReferralSource_Health_services_SchoolNurse</t>
  </si>
  <si>
    <t>Year3_ReferralSource_Health_services_OthPrimary</t>
  </si>
  <si>
    <t>Year3_ReferralSource_Health_services_AE</t>
  </si>
  <si>
    <t>Year3_ReferralSource_Health_services_Other</t>
  </si>
  <si>
    <t>Year3_ReferralSource_Housing</t>
  </si>
  <si>
    <t>Year3_ReferralSource_LA_SC</t>
  </si>
  <si>
    <t>Year3_ReferralSource_LA_Other</t>
  </si>
  <si>
    <t>Year3_ReferralSource_LA_External</t>
  </si>
  <si>
    <t>Year3_ReferralSource_Police</t>
  </si>
  <si>
    <t>Year3_ReferralSource_Other_Legal</t>
  </si>
  <si>
    <t>Year3_ReferralSource_Other</t>
  </si>
  <si>
    <t>Year3_ReferralSource_Anonymous</t>
  </si>
  <si>
    <t>Year3_ReferralSource_Unknown</t>
  </si>
  <si>
    <t>Year3_ReReferrals</t>
  </si>
  <si>
    <t>Year3_Assessments</t>
  </si>
  <si>
    <t>Year3_Assessments_10days</t>
  </si>
  <si>
    <t>Year3_Assessments_over_45days</t>
  </si>
  <si>
    <t>Year3_Assessments_step_down</t>
  </si>
  <si>
    <t>Year3_Assessments_No_further_action</t>
  </si>
  <si>
    <t>Year3_CIN</t>
  </si>
  <si>
    <t>Year3_CIN_Section47</t>
  </si>
  <si>
    <t>Year3_CP_Conference</t>
  </si>
  <si>
    <t>Year3_CP_Conference_within15days</t>
  </si>
  <si>
    <t>Year3_CP_Plans</t>
  </si>
  <si>
    <t>Year3_CP_Plans_3months</t>
  </si>
  <si>
    <t>Year3_CP_Plans_3months_timescales</t>
  </si>
  <si>
    <t>Year3_CP_Plans_ceased</t>
  </si>
  <si>
    <t>Year3_CP_Plans_ceased_2years</t>
  </si>
  <si>
    <t>Year3_CP_Plans_became_subject</t>
  </si>
  <si>
    <t>Year3_CP_Plans_became_subject_second</t>
  </si>
  <si>
    <t>Year3_CP_Plans_became_subject_second_2years</t>
  </si>
  <si>
    <t>Year3_LAC</t>
  </si>
  <si>
    <t>Year3_LAC_under16</t>
  </si>
  <si>
    <t>Year3_LAC_under16_2.5years</t>
  </si>
  <si>
    <t>Year3_LAC_under16_2.5years_sameplacement2years</t>
  </si>
  <si>
    <t>Year3_Adoption_ceased_LAC</t>
  </si>
  <si>
    <t>Year3_Adoption_LAC_Adopted</t>
  </si>
  <si>
    <t>Year3_Adoption_LAC_Adopted_days</t>
  </si>
  <si>
    <t>Year3_Adoption_LAC_Adopted_placed_with_12months</t>
  </si>
  <si>
    <t>Year3_CAO_RO_Total</t>
  </si>
  <si>
    <t>Year3_SGO_total</t>
  </si>
  <si>
    <t>Year3_Assessments_within45days</t>
  </si>
  <si>
    <t>Year3_Continuous_assessments</t>
  </si>
  <si>
    <t>Year4_EarlyHelpReferrals</t>
  </si>
  <si>
    <t>Year4_EarlyHelpReferralsSTEPDOWN</t>
  </si>
  <si>
    <t>Year4_EarlyHelpReReferrals</t>
  </si>
  <si>
    <t>Year4_EarlyHelpAssessments</t>
  </si>
  <si>
    <t>Year4_EarlyHelpAssessmentsStepUp</t>
  </si>
  <si>
    <t>Year4_EarlyHelpedChildren</t>
  </si>
  <si>
    <t>Year4_Referrals</t>
  </si>
  <si>
    <t>Year4_ReferralsPriorEH</t>
  </si>
  <si>
    <t>Year4_ReferralSource_Individual_Family</t>
  </si>
  <si>
    <t>Year4_ReferralSource_Individual_Acquaintance</t>
  </si>
  <si>
    <t>Year4_ReferralSource_Individual_Self</t>
  </si>
  <si>
    <t>Year4_ReferralSource_Individual_Other</t>
  </si>
  <si>
    <t>Year4_ReferralSource_School</t>
  </si>
  <si>
    <t>Year4_ReferralSource_EducationServices</t>
  </si>
  <si>
    <t>Year4_ReferralSource_Health_services_GP</t>
  </si>
  <si>
    <t>Year4_ReferralSource_Health_services_HealthVisitor</t>
  </si>
  <si>
    <t>Year4_ReferralSource_Health_services_SchoolNurse</t>
  </si>
  <si>
    <t>Year4_ReferralSource_Health_services_OthPrimary</t>
  </si>
  <si>
    <t>Year4_ReferralSource_Health_services_AE</t>
  </si>
  <si>
    <t>Year4_ReferralSource_Health_services_Other</t>
  </si>
  <si>
    <t>Year4_ReferralSource_Housing</t>
  </si>
  <si>
    <t>Year4_ReferralSource_LA_SC</t>
  </si>
  <si>
    <t>Year4_ReferralSource_LA_Other</t>
  </si>
  <si>
    <t>Year4_ReferralSource_LA_External</t>
  </si>
  <si>
    <t>Year4_ReferralSource_Police</t>
  </si>
  <si>
    <t>Year4_ReferralSource_Other_Legal</t>
  </si>
  <si>
    <t>Year4_ReferralSource_Other</t>
  </si>
  <si>
    <t>Year4_ReferralSource_Anonymous</t>
  </si>
  <si>
    <t>Year4_ReferralSource_Unknown</t>
  </si>
  <si>
    <t>Year4_ReReferrals</t>
  </si>
  <si>
    <t>Year4_Assessments</t>
  </si>
  <si>
    <t>Year4_Assessments_10days</t>
  </si>
  <si>
    <t>Year4_Assessments_over_45days</t>
  </si>
  <si>
    <t>Year4_Assessments_step_down</t>
  </si>
  <si>
    <t>Year4_Assessments_No_further_action</t>
  </si>
  <si>
    <t>Year4_CIN</t>
  </si>
  <si>
    <t>Year4_CIN_Section47</t>
  </si>
  <si>
    <t>Year4_CP_Conference</t>
  </si>
  <si>
    <t>Year4_CP_Conference_within15days</t>
  </si>
  <si>
    <t>Year4_CP_Plans</t>
  </si>
  <si>
    <t>Year4_CP_Plans_3months</t>
  </si>
  <si>
    <t>Year4_CP_Plans_3months_timescales</t>
  </si>
  <si>
    <t>Year4_CP_Plans_ceased</t>
  </si>
  <si>
    <t>Year4_CP_Plans_ceased_2years</t>
  </si>
  <si>
    <t>Year4_CP_Plans_became_subject</t>
  </si>
  <si>
    <t>Year4_CP_Plans_became_subject_second</t>
  </si>
  <si>
    <t>Year4_CP_Plans_became_subject_second_2years</t>
  </si>
  <si>
    <t>Year4_LAC</t>
  </si>
  <si>
    <t>Year4_LAC_under16</t>
  </si>
  <si>
    <t>Year4_LAC_under16_2.5years</t>
  </si>
  <si>
    <t>Year4_LAC_under16_2.5years_sameplacement2years</t>
  </si>
  <si>
    <t>Year4_Adoption_ceased_LAC</t>
  </si>
  <si>
    <t>Year4_Adoption_LAC_Adopted</t>
  </si>
  <si>
    <t>Year4_Adoption_LAC_Adopted_days</t>
  </si>
  <si>
    <t>Year4_Adoption_LAC_Adopted_placed_with_12months</t>
  </si>
  <si>
    <t>Year4_CAO_RO_Total</t>
  </si>
  <si>
    <t>Year4_SGO_total</t>
  </si>
  <si>
    <t>Year4_Assessments_within45days</t>
  </si>
  <si>
    <t>Year4_Continuous_assessments</t>
  </si>
  <si>
    <t>Year5_Contacts</t>
  </si>
  <si>
    <t>Year5_EarlyHelpReferrals</t>
  </si>
  <si>
    <t>Year5_EarlyHelpReferralsSTEPDOWN</t>
  </si>
  <si>
    <t>Year5_EarlyHelpReReferrals</t>
  </si>
  <si>
    <t>Year5_EarlyHelpAssessments</t>
  </si>
  <si>
    <t>Year5_EarlyHelpAssessmentsStepUp</t>
  </si>
  <si>
    <t>Year5_EarlyHelpedChildren</t>
  </si>
  <si>
    <t>Year5_Referrals</t>
  </si>
  <si>
    <t>Year5_ReferralsAssessment</t>
  </si>
  <si>
    <t>Year5_ReferralSource_Individual_Family</t>
  </si>
  <si>
    <t>Year5_ReferralSource_Individual_Acquaintance</t>
  </si>
  <si>
    <t>Year5_ReferralSource_Individual_Self</t>
  </si>
  <si>
    <t>Year5_ReferralSource_Individual_Other</t>
  </si>
  <si>
    <t>Year5_ReferralSource_School</t>
  </si>
  <si>
    <t>Year5_ReferralSource_EducationServices</t>
  </si>
  <si>
    <t>Year5_ReferralSource_Health_services_GP</t>
  </si>
  <si>
    <t>Year5_ReferralSource_Health_services_HealthVisitor</t>
  </si>
  <si>
    <t>Year5_ReferralSource_Health_services_SchoolNurse</t>
  </si>
  <si>
    <t>Year5_ReferralSource_Health_services_OthPrimary</t>
  </si>
  <si>
    <t>Year5_ReferralSource_Health_services_AE</t>
  </si>
  <si>
    <t>Year5_ReferralSource_Health_services_Other</t>
  </si>
  <si>
    <t>Year5_ReferralSource_Housing</t>
  </si>
  <si>
    <t>Year5_ReferralSource_LA_SC</t>
  </si>
  <si>
    <t>Year5_ReferralSource_LA_Other</t>
  </si>
  <si>
    <t>Year5_ReferralSource_LA_External</t>
  </si>
  <si>
    <t>Year5_ReferralSource_Police</t>
  </si>
  <si>
    <t>Year5_ReferralSource_Other_Legal</t>
  </si>
  <si>
    <t>Year5_ReferralSource_Other</t>
  </si>
  <si>
    <t>Year5_ReferralSource_Anonymous</t>
  </si>
  <si>
    <t>Year5_ReferralSource_Unknown</t>
  </si>
  <si>
    <t>Year5_ReReferrals</t>
  </si>
  <si>
    <t>Year5_Assessments</t>
  </si>
  <si>
    <t>Year5_Assessments_10days</t>
  </si>
  <si>
    <t>Year5_Assessments_over_45days</t>
  </si>
  <si>
    <t>Year5_Assessments_step_down</t>
  </si>
  <si>
    <t>Year5_Assessments_No_further_action</t>
  </si>
  <si>
    <t>Year5_CIN</t>
  </si>
  <si>
    <t>Year5_CIN_Section47</t>
  </si>
  <si>
    <t>Year5_CP_Conference</t>
  </si>
  <si>
    <t>Year5_CP_Conference_within15days</t>
  </si>
  <si>
    <t>Year5_CP_Plans</t>
  </si>
  <si>
    <t>Year5_CP_Plans_3months</t>
  </si>
  <si>
    <t>Year5_CP_Plans_3months_timescales</t>
  </si>
  <si>
    <t>Year5_CP_Plans_ceased</t>
  </si>
  <si>
    <t>Year5_CP_Plans_ceased_2years</t>
  </si>
  <si>
    <t>Year5_CP_Plans_became_subject</t>
  </si>
  <si>
    <t>Year5_CP_Plans_became_subject_second</t>
  </si>
  <si>
    <t>Year5_CP_Plans_became_subject_second_2years</t>
  </si>
  <si>
    <t>Year5_LAC</t>
  </si>
  <si>
    <t>Year5_LAC_under16</t>
  </si>
  <si>
    <t>Year5_LAC_under16_2.5years</t>
  </si>
  <si>
    <t>Year5_LAC_under16_2.5years_sameplacement2years</t>
  </si>
  <si>
    <t>Year5_LAC_3_or_more_Placements</t>
  </si>
  <si>
    <t>Year5_LAC_Start</t>
  </si>
  <si>
    <t>Year5_LAC_Start_2nd_time</t>
  </si>
  <si>
    <t>Year5_LAC_Remanded</t>
  </si>
  <si>
    <t>Year5_Adoption_ceased_LAC</t>
  </si>
  <si>
    <t>Year5_Adoption_LAC_Adopted</t>
  </si>
  <si>
    <t>Year5_Adoption_LAC_Adopted_days</t>
  </si>
  <si>
    <t>Year5_Adoption_LAC_Adopted_placed_with_12months</t>
  </si>
  <si>
    <t>Year5_Care_Leavers_at_end_of_period</t>
  </si>
  <si>
    <t>Year5_Care_Leavers_in_touch</t>
  </si>
  <si>
    <t>Year5_Care_Leavers_in_suitable_accommodation</t>
  </si>
  <si>
    <t>Year5_Care_Leavers_in_EET</t>
  </si>
  <si>
    <t>Year5_CAO_RO_Total</t>
  </si>
  <si>
    <t>Year5_SGO_total</t>
  </si>
  <si>
    <t>Year5_First_Time_Entrants_to_Youth_Justice_system</t>
  </si>
  <si>
    <t>Year5_Children_missing_Education</t>
  </si>
  <si>
    <t>Year5_Assessments_within45days</t>
  </si>
  <si>
    <t>Year5_Continuous_assessments</t>
  </si>
  <si>
    <t>Year5_LAC_UASC</t>
  </si>
  <si>
    <t>SouthEast</t>
  </si>
  <si>
    <t>Number of Assessments completed within 45 days</t>
  </si>
  <si>
    <t>Number of Continuous Assessments Completed</t>
  </si>
  <si>
    <t>Year2_First_Time_Entrants_to_Youth_Justice_system</t>
  </si>
  <si>
    <t>Year2_Children_missing_Education</t>
  </si>
  <si>
    <t>Year2_Care_Leavers_at_end_of_period</t>
  </si>
  <si>
    <t>Year2_Care_Leavers_in_touch</t>
  </si>
  <si>
    <t>Year2_Care_Leavers_in_suitable_accommodation</t>
  </si>
  <si>
    <t>Year2_Care_Leavers_in_EET</t>
  </si>
  <si>
    <t>Year2_LAC_3_or_more_Placements</t>
  </si>
  <si>
    <t>Year2_LAC_Start</t>
  </si>
  <si>
    <t>Year2_LAC_Start_2nd_time</t>
  </si>
  <si>
    <t>Year2_LAC_Remanded</t>
  </si>
  <si>
    <t>Year2_CP_Plans_Seen_in_Timescales</t>
  </si>
  <si>
    <t>Year2_Contacts</t>
  </si>
  <si>
    <t>Year3_First_Time_Entrants_to_Youth_Justice_system</t>
  </si>
  <si>
    <t>Year3_Children_missing_Education</t>
  </si>
  <si>
    <t>Year3_Care_Leavers_at_end_of_period</t>
  </si>
  <si>
    <t>Year3_Care_Leavers_in_touch</t>
  </si>
  <si>
    <t>Year3_Care_Leavers_in_suitable_accommodation</t>
  </si>
  <si>
    <t>Year3_Care_Leavers_in_EET</t>
  </si>
  <si>
    <t>Year3_LAC_3_or_more_Placements</t>
  </si>
  <si>
    <t>Year3_LAC_Start</t>
  </si>
  <si>
    <t>Year3_LAC_Start_2nd_time</t>
  </si>
  <si>
    <t>Year3_LAC_Remanded</t>
  </si>
  <si>
    <t>Year3_CP_Plans_Seen_in_Timescales</t>
  </si>
  <si>
    <t>Year3_Contacts</t>
  </si>
  <si>
    <t>Year4_First_Time_Entrants_to_Youth_Justice_system</t>
  </si>
  <si>
    <t>Year4_Children_missing_Education</t>
  </si>
  <si>
    <t>Year4_Care_Leavers_at_end_of_period</t>
  </si>
  <si>
    <t>Year4_Care_Leavers_in_touch</t>
  </si>
  <si>
    <t>Year4_Care_Leavers_in_suitable_accommodation</t>
  </si>
  <si>
    <t>Year4_Care_Leavers_in_EET</t>
  </si>
  <si>
    <t>Year4_LAC_3_or_more_Placements</t>
  </si>
  <si>
    <t>Year4_LAC_Start</t>
  </si>
  <si>
    <t>Year4_LAC_Start_2nd_time</t>
  </si>
  <si>
    <t>Year4_LAC_Remanded</t>
  </si>
  <si>
    <t>Year4_CP_Plans_Seen_in_Timescales</t>
  </si>
  <si>
    <t>Year4_Contacts</t>
  </si>
  <si>
    <t>Year2_LAC_4weeks</t>
  </si>
  <si>
    <t>Year2_LAC_4weeks_reviews_in_timescales</t>
  </si>
  <si>
    <t>Year3_LAC_4weeks</t>
  </si>
  <si>
    <t>Year3_LAC_4weeks_reviews_in_timescales</t>
  </si>
  <si>
    <t>Year4_LAC_4weeks</t>
  </si>
  <si>
    <t>Year4_LAC_4weeks_reviews_in_timescales</t>
  </si>
  <si>
    <t>Year5_LAC_4weeks</t>
  </si>
  <si>
    <t>Year5_LAC_4weeks_reviews_in_timescales</t>
  </si>
  <si>
    <t>Year2_LAC_UASC</t>
  </si>
  <si>
    <t>Year3_LAC_UASC</t>
  </si>
  <si>
    <t>Year4_LAC_UASC</t>
  </si>
  <si>
    <t>Year2_LAC_Under1</t>
  </si>
  <si>
    <t>Year2_LAC_1to4</t>
  </si>
  <si>
    <t>Year2_LAC_5to9</t>
  </si>
  <si>
    <t>Year2_LAC_10to15</t>
  </si>
  <si>
    <t>Year2_LAC_16plus</t>
  </si>
  <si>
    <t>Year3_LAC_Under1</t>
  </si>
  <si>
    <t>Year3_LAC_1to4</t>
  </si>
  <si>
    <t>Year3_LAC_5to9</t>
  </si>
  <si>
    <t>Year3_LAC_10to15</t>
  </si>
  <si>
    <t>Year3_LAC_16plus</t>
  </si>
  <si>
    <t>Year4_LAC_Under1</t>
  </si>
  <si>
    <t>Year4_LAC_1to4</t>
  </si>
  <si>
    <t>Year4_LAC_5to9</t>
  </si>
  <si>
    <t>Year4_LAC_10to15</t>
  </si>
  <si>
    <t>Year4_LAC_16plus</t>
  </si>
  <si>
    <t>Year5_LAC_Under1</t>
  </si>
  <si>
    <t>Year5_LAC_1to4</t>
  </si>
  <si>
    <t>Year5_LAC_5to9</t>
  </si>
  <si>
    <t>Year5_LAC_10to15</t>
  </si>
  <si>
    <t>Year5_LAC_16plus</t>
  </si>
  <si>
    <t>Population Estimates Mid-2017</t>
  </si>
  <si>
    <t>Year2_Adoption_PFA</t>
  </si>
  <si>
    <t>Year3_Adoption_PFA</t>
  </si>
  <si>
    <t>Year4_Adoption_PFA</t>
  </si>
  <si>
    <t>Year5_Adoption_PFA</t>
  </si>
  <si>
    <t>Year5_ROSGO_ceased_LAC_CAO</t>
  </si>
  <si>
    <t>Year5_ROSGO_ceased_LAC_SGO</t>
  </si>
  <si>
    <t>Year4_ROSGO_ceased_LAC_CAO</t>
  </si>
  <si>
    <t>Year4_ROSGO_ceased_LAC_SGO</t>
  </si>
  <si>
    <t>Year3_ROSGO_ceased_LAC_CAO</t>
  </si>
  <si>
    <t>Year3_ROSGO_ceased_LAC_SGO</t>
  </si>
  <si>
    <t>Year2_ROSGO_ceased_LAC_CAO</t>
  </si>
  <si>
    <t>Year2_ROSGO_ceased_LAC_SGO</t>
  </si>
  <si>
    <t>Year5_CP_Plans_Seen_in_Timescales</t>
  </si>
  <si>
    <t>11-20 Days</t>
  </si>
  <si>
    <t>21-30 Days</t>
  </si>
  <si>
    <t>31-45 Days</t>
  </si>
  <si>
    <t>As reported in CIN Census- Referrals Not resulting in 'No Further Action'</t>
  </si>
  <si>
    <t>Rates for each contact source group (for home page)</t>
  </si>
  <si>
    <t>Bracknell_Forest</t>
  </si>
  <si>
    <t>Brighton_Hove</t>
  </si>
  <si>
    <t>East_Sussex</t>
  </si>
  <si>
    <t>Isle_of_Wight</t>
  </si>
  <si>
    <t>Milton_Keynes</t>
  </si>
  <si>
    <t>West_Berkshire</t>
  </si>
  <si>
    <t>West_Sussex</t>
  </si>
  <si>
    <t>Windsor_Maidenhead</t>
  </si>
  <si>
    <t xml:space="preserve">If you have any queries regarding this report please contact:  </t>
  </si>
  <si>
    <t xml:space="preserve">Joe Cornford-Hutchings (Information Analyst) </t>
  </si>
  <si>
    <t>Year4_Assessments_11_20days</t>
  </si>
  <si>
    <t>Year4_Assessments_21_30days</t>
  </si>
  <si>
    <t>Year4_Assessments_31_45days</t>
  </si>
  <si>
    <t>Year5_Assessments_11_20days</t>
  </si>
  <si>
    <t>Year5_Assessments_21_30days</t>
  </si>
  <si>
    <t>Year5_Assessments_31_45days</t>
  </si>
  <si>
    <t>Year3_Assessments_11_20days</t>
  </si>
  <si>
    <t>Year3_Assessments_21_30days</t>
  </si>
  <si>
    <t>Year3_Assessments_31_45days</t>
  </si>
  <si>
    <t>Year2_Assessments_11_20days</t>
  </si>
  <si>
    <t>Year2_Assessments_21_30days</t>
  </si>
  <si>
    <t>Year2_Assessments_31_45days</t>
  </si>
  <si>
    <t>Referral Source 
(% of total Referrals)</t>
  </si>
  <si>
    <t>Where heat mapping is used to colour the tables below, this is done for each indicator (i.e. in rows) and higher values are represented by darker colour.</t>
  </si>
  <si>
    <t>Child Arrangement &amp; Special Guardianship Orders</t>
  </si>
  <si>
    <t>Annual</t>
  </si>
  <si>
    <t>Annual1</t>
  </si>
  <si>
    <t>Annual2</t>
  </si>
  <si>
    <t>Quarterly1</t>
  </si>
  <si>
    <t>Quarterly2</t>
  </si>
  <si>
    <t>Annual or Quarterly?</t>
  </si>
  <si>
    <t>Quarterly</t>
  </si>
  <si>
    <t>2018-19</t>
  </si>
  <si>
    <t>Q2</t>
  </si>
  <si>
    <t>Q3</t>
  </si>
  <si>
    <t>Q4</t>
  </si>
  <si>
    <t>Q1</t>
  </si>
  <si>
    <t>Select either Annual or Quarterly in the yellow box above.</t>
  </si>
  <si>
    <t>Enter the report table headings in the green boxes below:</t>
  </si>
  <si>
    <t>Most Recent IDACI Expected Calculation:</t>
  </si>
  <si>
    <t>Contacts</t>
  </si>
  <si>
    <t>LA:</t>
  </si>
  <si>
    <t>South East LA's</t>
  </si>
  <si>
    <t>All LA's</t>
  </si>
  <si>
    <t>Care Leavers</t>
  </si>
  <si>
    <t>Young People aged 16-17 who are NEET</t>
  </si>
  <si>
    <t>Young People aged 16-17 whose current activity is Unknown</t>
  </si>
  <si>
    <t>Offending</t>
  </si>
  <si>
    <t>Rate per 100,000 10-17 Year Olds</t>
  </si>
  <si>
    <t>Period 1-2</t>
  </si>
  <si>
    <t>Period 2-3</t>
  </si>
  <si>
    <t>Period 3-4</t>
  </si>
  <si>
    <t>Period 4-5</t>
  </si>
  <si>
    <t>Average</t>
  </si>
  <si>
    <t xml:space="preserve">LA's with * are the Statistical Neighbours of the Selected LA
</t>
  </si>
  <si>
    <t>Annualised figures for quarterly distance from IDACI</t>
  </si>
  <si>
    <t>Period 2</t>
  </si>
  <si>
    <t>Period 3</t>
  </si>
  <si>
    <t>Period 4</t>
  </si>
  <si>
    <t>Period 5</t>
  </si>
  <si>
    <t>Sum</t>
  </si>
  <si>
    <t>BlankCount</t>
  </si>
  <si>
    <t>Annualised</t>
  </si>
  <si>
    <t>Number of Initial CP Conferences as a percentage of Section 47 Enquiries</t>
  </si>
  <si>
    <t>Children who had been subject to a plan for 2 years or longer</t>
  </si>
  <si>
    <t>Year5_CP_Plans_2years</t>
  </si>
  <si>
    <t>Year2_CP_Plans_2years</t>
  </si>
  <si>
    <t>Year3_CP_Plans_2years</t>
  </si>
  <si>
    <t>Year4_CP_Plans_2years</t>
  </si>
  <si>
    <t>Ceased 2 yr+</t>
  </si>
  <si>
    <t>Subject to a Plan for 2 yr+</t>
  </si>
  <si>
    <t>Seen within Timescales</t>
  </si>
  <si>
    <t>Denominator- set as current CP Plans for now</t>
  </si>
  <si>
    <t>Of those, the number who had been seen in timescales</t>
  </si>
  <si>
    <t>LAC Second time in 12 months</t>
  </si>
  <si>
    <t>Remanded</t>
  </si>
  <si>
    <t>New LAC who were Remanded into LA Care</t>
  </si>
  <si>
    <t>0-17 Population Estimates</t>
  </si>
  <si>
    <t>Report:</t>
  </si>
  <si>
    <t>Reporting Period</t>
  </si>
  <si>
    <t>Population Estimate 
Used to Calculate 
Rates</t>
  </si>
  <si>
    <t>19-21 year old Population Estimates (rounded)</t>
  </si>
  <si>
    <t>0-17 year old Population Estimates 
(rounded)</t>
  </si>
  <si>
    <t>0-17</t>
  </si>
  <si>
    <t>0-25</t>
  </si>
  <si>
    <t>19-21</t>
  </si>
  <si>
    <t>10-17</t>
  </si>
  <si>
    <t>0-25 Population Estimates</t>
  </si>
  <si>
    <t>19-21 Population Estimates</t>
  </si>
  <si>
    <t>10-17 Population Estimates</t>
  </si>
  <si>
    <t>Population Estimates for most recent period LAC Age Breakdown</t>
  </si>
  <si>
    <t>10-17 year old Population Estimates 
(rounded)</t>
  </si>
  <si>
    <t>LACAge</t>
  </si>
  <si>
    <t>5 to 9</t>
  </si>
  <si>
    <t>1 to 4</t>
  </si>
  <si>
    <t>10 to 15</t>
  </si>
  <si>
    <t>16 to 17</t>
  </si>
  <si>
    <t>Number of Referrals pulled through where prior EH information provided</t>
  </si>
  <si>
    <t>Children Ceasing to be Looked After</t>
  </si>
  <si>
    <t>Children Starting to be Looked After</t>
  </si>
  <si>
    <t>Net Children becoming Looked After</t>
  </si>
  <si>
    <t>Children subject to Care Applications</t>
  </si>
  <si>
    <t>Number of Care Leavers aged 19-21 who were InTouch</t>
  </si>
  <si>
    <t>In Touch</t>
  </si>
  <si>
    <t>Suitable Accommodation</t>
  </si>
  <si>
    <t>EET</t>
  </si>
  <si>
    <t>Number of Care Leavers aged 19-21 who were In Suitable Accommodation</t>
  </si>
  <si>
    <t>Number of Care Leavers aged 19-21 who were EET</t>
  </si>
  <si>
    <t xml:space="preserve">% LAC adopted during the period who were placed for adoption within 12 months of the adoption decision </t>
  </si>
  <si>
    <t>Number of Juvenile Offenders</t>
  </si>
  <si>
    <t>Number of Juvenile Re-offenders</t>
  </si>
  <si>
    <t>Number of Juvenile Offenders excluding LA's where Re-offender data not provided</t>
  </si>
  <si>
    <t>As % of the 16-17 Year Old Cohort</t>
  </si>
  <si>
    <t>Young People aged 16-17 who are Participating in Education, Employment or Training (EET)</t>
  </si>
  <si>
    <t>Rank Highest (1) to Lowest</t>
  </si>
  <si>
    <t>Young People aged 16-17 who's Participation is Unknown</t>
  </si>
  <si>
    <t>Children Missing from Education (CME)</t>
  </si>
  <si>
    <t>Electively Home Educated Children (EHE)</t>
  </si>
  <si>
    <t>5-15</t>
  </si>
  <si>
    <t>5-15 Education Indicator Cohorts</t>
  </si>
  <si>
    <t>5-15 year old Population Estimates 
(rounded)</t>
  </si>
  <si>
    <t>Rate per 10000 5-15 Year Olds</t>
  </si>
  <si>
    <t>SE IDACI Calculation</t>
  </si>
  <si>
    <t xml:space="preserve">
https://lginform.local.gov.uk/reports/lgastandard?mod-metric=123&amp;mod-area=E92000001&amp;mod-group=AllSingleTierAndCountyLaInCountry_England&amp;mod-type=namedComparisonGroup</t>
  </si>
  <si>
    <t>Juvenile Re-offenders</t>
  </si>
  <si>
    <t>NEET</t>
  </si>
  <si>
    <t>Children Adopted pulled through for calculation of SE Rate</t>
  </si>
  <si>
    <t xml:space="preserve">Average Days LAC Start to PFA </t>
  </si>
  <si>
    <t>Adoption continued…</t>
  </si>
  <si>
    <t>Ceased LAC pulled through for LA's who provided LAC Start figures</t>
  </si>
  <si>
    <t>LAC figures for LA's who provided data for this indicator</t>
  </si>
  <si>
    <t>% of Referrals to CSC which were Re-referrals</t>
  </si>
  <si>
    <t>% Children subject to a Child Protection Plan at 31st March who had been subject to a plan for 2+ years</t>
  </si>
  <si>
    <t>Rate of Children Looked After Aged: Under 1</t>
  </si>
  <si>
    <t>Rate of Children Looked After Aged: 1 to 4</t>
  </si>
  <si>
    <t>Rate of Children Looked After Aged: 5 to 9</t>
  </si>
  <si>
    <t>Rate of Children Looked After Aged: 10 to 15</t>
  </si>
  <si>
    <t>Rate of Children Looked After Aged: 16 to 17</t>
  </si>
  <si>
    <t>Children Looked After (at last day in period)</t>
  </si>
  <si>
    <t>% Care leavers aged 19-21 who were 'In Touch'</t>
  </si>
  <si>
    <t>% Care Leavers aged 19-21 in Suitable Accommodation</t>
  </si>
  <si>
    <t>Participation (NEET)</t>
  </si>
  <si>
    <t>Participation in Education, Employment or Training (NEET)</t>
  </si>
  <si>
    <t>% Juvenile Offenders who are Re-offenders</t>
  </si>
  <si>
    <t>% Care Leavers aged 19-21 in Employment, Education or Training</t>
  </si>
  <si>
    <t>Indicators</t>
  </si>
  <si>
    <t>Indicator</t>
  </si>
  <si>
    <t>Care Leavers in EET</t>
  </si>
  <si>
    <t>Juvenile Re-offenders (Age 10-17)</t>
  </si>
  <si>
    <t>Definition</t>
  </si>
  <si>
    <t>Initial CP Conference</t>
  </si>
  <si>
    <t>Number of Children subject to a Child Protection Plan</t>
  </si>
  <si>
    <t xml:space="preserve">Number of Children who ceased to be the subject of a CP Plan </t>
  </si>
  <si>
    <t>Children subject to a Child Protection Plan who had their cases reviewed within the required timescales</t>
  </si>
  <si>
    <t>Children subject to a Child Protection Plan for 2 years or longer</t>
  </si>
  <si>
    <t>The number of children ceasing to be the subject of a Child Protection Plan during the period. This may count a child more than once if they ceased to be the subject of a Child Protection Plan more than once during the period.</t>
  </si>
  <si>
    <t>Children ceasing to be the subject of a CP Plan who had been the subject of a plan for 2 years or longer</t>
  </si>
  <si>
    <t>The number of children who became the subject of a Child Protection Plan at any time during the period. This is a count of each occasion and may count the same child more than once.</t>
  </si>
  <si>
    <t>Of the children becoming the subject of a CP Plan,  the number who had previously been the subject of a CP Plan, or on the Child Protection Register of that council, regardless of how long ago that was.</t>
  </si>
  <si>
    <t>Children becoming the subject of a CP Plan for a Second or Subsequent time</t>
  </si>
  <si>
    <t>Children becoming the subject of a CP Plan</t>
  </si>
  <si>
    <t>Care Applications to Court</t>
  </si>
  <si>
    <t>Children subject to Care Applications to Court</t>
  </si>
  <si>
    <t>Looked After Children Aged Under 16</t>
  </si>
  <si>
    <t>Looked After Children who had been Looked After for 2.5 years</t>
  </si>
  <si>
    <t>Looked After Children who had been Looked After for 2.5 years and in the same Placement for at least 2 years</t>
  </si>
  <si>
    <t>Of the Children who were Looked After as at the last day in period and aged under 16 on that date, those who had been looked after for 2.5 years or more (i.e. for more than 912 days inclusive of the last day in quarter) on the the last day in the period. Exclude children who had been looked after at any time during the 2.5 year period under an agreed series of short-term placements.</t>
  </si>
  <si>
    <t>Of the Looked After Children who had been Looked After for 2.5 years, the number who had been living in the same placement for at least 2 years</t>
  </si>
  <si>
    <t>Looked After Children who were UASC</t>
  </si>
  <si>
    <t>The number of Looked After Children as at last day in the period, who were Unaccompanied Asylum Seeking Children</t>
  </si>
  <si>
    <t>Looked After Children with 3 or more Placements</t>
  </si>
  <si>
    <t>Of the Childen who were Looked After as at the last day in period, those who had had 3 or more placements within the previous 12 months</t>
  </si>
  <si>
    <t>Children starting to be Looked After</t>
  </si>
  <si>
    <t>Children starting to be Looked After who were Remanded into Local Authority Care</t>
  </si>
  <si>
    <t>The number of children who started to be 'looked after' during the period (excluding children Looked After under an agreed series of short-term breaks)</t>
  </si>
  <si>
    <t>Care Leavers aged 19 - 21</t>
  </si>
  <si>
    <t xml:space="preserve">The number of Care Leavers aged 19 - 21 at the end of the period </t>
  </si>
  <si>
    <t>Care Leavers 'In Touch'</t>
  </si>
  <si>
    <t>The number of Care Leavers aged 19-21 at the end of the period who were 'In-Touch'</t>
  </si>
  <si>
    <t>Care Leavers in Suitable Accommodation</t>
  </si>
  <si>
    <t>The number of Care Leavers aged 19-21 at the end of the period who were in Suitable Accommodation</t>
  </si>
  <si>
    <t>The number of Care Leavers aged 19-21 at the end of the period who were participating in Education, Employment or Training</t>
  </si>
  <si>
    <t>Number of Children placed for Adoption</t>
  </si>
  <si>
    <t>Number of children Placed for Adoption as at last day in quarter</t>
  </si>
  <si>
    <t>Looked After Children Adopted</t>
  </si>
  <si>
    <t>Number of children who ceased to be looked after during the quarter as a result of the granting of an adoption order. Includes only those children who were adopted after having been looked after by the authority immediately prior to adoption. Children placed for adoption or freed for adoption remain looked after until the adoption order is granted. Children who have been adoptied but were not placed for adoption should be excluded.</t>
  </si>
  <si>
    <t>The number of Juvenile Offenders who were Re-offenders</t>
  </si>
  <si>
    <t>Child in Need</t>
  </si>
  <si>
    <t>Child Protection</t>
  </si>
  <si>
    <t>Participation</t>
  </si>
  <si>
    <t>Mosaic</t>
  </si>
  <si>
    <t>New/ Ceased Looked After Children</t>
  </si>
  <si>
    <t>Elective Home Education &amp; Children Missing Education</t>
  </si>
  <si>
    <t>Age Breakdown of LAC</t>
  </si>
  <si>
    <t>Re-offending Tables</t>
  </si>
  <si>
    <t>Weighted Average of four Quarters to:</t>
  </si>
  <si>
    <t>Referral</t>
  </si>
  <si>
    <t>Re-referral</t>
  </si>
  <si>
    <t>Asmt.</t>
  </si>
  <si>
    <t>S47</t>
  </si>
  <si>
    <t>ICPC</t>
  </si>
  <si>
    <t>CPP</t>
  </si>
  <si>
    <t>RepeatCPP</t>
  </si>
  <si>
    <t>LAC</t>
  </si>
  <si>
    <t>y</t>
  </si>
  <si>
    <t>r2</t>
  </si>
  <si>
    <t>CourtApps</t>
  </si>
  <si>
    <t>CourtChild</t>
  </si>
  <si>
    <t>Children subject of a CP Plan at last day in period, who had been seen within timescales</t>
  </si>
  <si>
    <t>England and Wales</t>
  </si>
  <si>
    <t>Slope (x)</t>
  </si>
  <si>
    <t>Intercept (y)</t>
  </si>
  <si>
    <t>r-squared</t>
  </si>
  <si>
    <t>r²</t>
  </si>
  <si>
    <t>r² = 0.344</t>
  </si>
  <si>
    <t>CSDataBenchmarking@eastsussex.gov.uk</t>
  </si>
  <si>
    <t>mid-2018</t>
  </si>
  <si>
    <t>Year2_Care_Applications</t>
  </si>
  <si>
    <t>Year2_Care_Applications_Children</t>
  </si>
  <si>
    <t>Year3_Care_Applications</t>
  </si>
  <si>
    <t>Year3_Care_Applications_Children</t>
  </si>
  <si>
    <t>Year4_Care_Applications</t>
  </si>
  <si>
    <t>Year4_Care_Applications_Children</t>
  </si>
  <si>
    <t>Year5_Care_Applications</t>
  </si>
  <si>
    <t>Year5_Care_Applications_Children</t>
  </si>
  <si>
    <t>Year1_Bracknell Forest</t>
  </si>
  <si>
    <t>Year1_Buckinghamshire</t>
  </si>
  <si>
    <t>Year1_East Sussex</t>
  </si>
  <si>
    <t>Year1_Hampshire</t>
  </si>
  <si>
    <t>Year1_Isle of Wight</t>
  </si>
  <si>
    <t>Year1_Kent</t>
  </si>
  <si>
    <t>Year1_Medway</t>
  </si>
  <si>
    <t>Year1_Milton Keynes</t>
  </si>
  <si>
    <t>Year1_Oxfordshire</t>
  </si>
  <si>
    <t>Year1_Portsmouth</t>
  </si>
  <si>
    <t>Year1_Reading</t>
  </si>
  <si>
    <t>Year1_Slough</t>
  </si>
  <si>
    <t>Year1_Southampton</t>
  </si>
  <si>
    <t>Year1_Surrey</t>
  </si>
  <si>
    <t>Year1_West Berkshire</t>
  </si>
  <si>
    <t>Year1_West Sussex</t>
  </si>
  <si>
    <t>Year1_Wokingham</t>
  </si>
  <si>
    <t>Year1_England</t>
  </si>
  <si>
    <t>Year2_Bracknell Forest</t>
  </si>
  <si>
    <t>Year2_Buckinghamshire</t>
  </si>
  <si>
    <t>Year2_East Sussex</t>
  </si>
  <si>
    <t>Year2_Hampshire</t>
  </si>
  <si>
    <t>Year2_Isle of Wight</t>
  </si>
  <si>
    <t>Year2_Kent</t>
  </si>
  <si>
    <t>Year2_Medway</t>
  </si>
  <si>
    <t>Year2_Milton Keynes</t>
  </si>
  <si>
    <t>Year2_Oxfordshire</t>
  </si>
  <si>
    <t>Year2_Portsmouth</t>
  </si>
  <si>
    <t>Year2_Reading</t>
  </si>
  <si>
    <t>Year2_Slough</t>
  </si>
  <si>
    <t>Year2_Southampton</t>
  </si>
  <si>
    <t>Year2_Surrey</t>
  </si>
  <si>
    <t>Year2_West Berkshire</t>
  </si>
  <si>
    <t>Year2_West Sussex</t>
  </si>
  <si>
    <t>Year2_Wokingham</t>
  </si>
  <si>
    <t>Year2_England</t>
  </si>
  <si>
    <t>Year3_Bracknell Forest</t>
  </si>
  <si>
    <t>Year3_Buckinghamshire</t>
  </si>
  <si>
    <t>Year3_East Sussex</t>
  </si>
  <si>
    <t>Year3_Hampshire</t>
  </si>
  <si>
    <t>Year3_Isle of Wight</t>
  </si>
  <si>
    <t>Year3_Kent</t>
  </si>
  <si>
    <t>Year3_Medway</t>
  </si>
  <si>
    <t>Year3_Milton Keynes</t>
  </si>
  <si>
    <t>Year3_Oxfordshire</t>
  </si>
  <si>
    <t>Year3_Portsmouth</t>
  </si>
  <si>
    <t>Year3_Reading</t>
  </si>
  <si>
    <t>Year3_Slough</t>
  </si>
  <si>
    <t>Year3_Southampton</t>
  </si>
  <si>
    <t>Year3_Surrey</t>
  </si>
  <si>
    <t>Year3_West Berkshire</t>
  </si>
  <si>
    <t>Year3_West Sussex</t>
  </si>
  <si>
    <t>Year3_Wokingham</t>
  </si>
  <si>
    <t>Year3_England</t>
  </si>
  <si>
    <t>Year4_Bracknell Forest</t>
  </si>
  <si>
    <t>Year4_Buckinghamshire</t>
  </si>
  <si>
    <t>Year4_East Sussex</t>
  </si>
  <si>
    <t>Year4_Hampshire</t>
  </si>
  <si>
    <t>Year4_Isle of Wight</t>
  </si>
  <si>
    <t>Year4_Kent</t>
  </si>
  <si>
    <t>Year4_Medway</t>
  </si>
  <si>
    <t>Year4_Milton Keynes</t>
  </si>
  <si>
    <t>Year4_Oxfordshire</t>
  </si>
  <si>
    <t>Year4_Portsmouth</t>
  </si>
  <si>
    <t>Year4_Reading</t>
  </si>
  <si>
    <t>Year4_Slough</t>
  </si>
  <si>
    <t>Year4_Southampton</t>
  </si>
  <si>
    <t>Year4_Surrey</t>
  </si>
  <si>
    <t>Year4_West Berkshire</t>
  </si>
  <si>
    <t>Year4_West Sussex</t>
  </si>
  <si>
    <t>Year4_Wokingham</t>
  </si>
  <si>
    <t>Year4_England</t>
  </si>
  <si>
    <t>Year5_East Sussex</t>
  </si>
  <si>
    <t>Year5_Hampshire</t>
  </si>
  <si>
    <t>Year5_Isle of Wight</t>
  </si>
  <si>
    <t>Year5_Kent</t>
  </si>
  <si>
    <t>Year5_Medway</t>
  </si>
  <si>
    <t>Year5_Milton Keynes</t>
  </si>
  <si>
    <t>Year5_Oxfordshire</t>
  </si>
  <si>
    <t>Year5_Portsmouth</t>
  </si>
  <si>
    <t>Year5_Reading</t>
  </si>
  <si>
    <t>Year5_Slough</t>
  </si>
  <si>
    <t>Year5_Southampton</t>
  </si>
  <si>
    <t>Year5_Surrey</t>
  </si>
  <si>
    <t>Year5_West Berkshire</t>
  </si>
  <si>
    <t>Year5_West Sussex</t>
  </si>
  <si>
    <t>Year5_Wokingham</t>
  </si>
  <si>
    <t>Year5_England</t>
  </si>
  <si>
    <t>IDACI 2019</t>
  </si>
  <si>
    <t>Throughout this report, various indicators are plotted against the IDACI score of the Local Authority. The most recent IDACI figures were produced in 2019 using mid-2015 population estimates. The IDACI score represents the percentage of dependent children (non-prisoners) aged 0–15 living in income-deprived households. 
Where the IDACI score for the South East is shown, this will have been re-calculated to include only those LA's who have provided data for the indicator shown. Therefore the South East IDACI score may vary throughout the report.</t>
  </si>
  <si>
    <t>Proportion of Children aged 0-15 Living in Poverty (2019)</t>
  </si>
  <si>
    <t>Year5_Ceased_LAC_16plus</t>
  </si>
  <si>
    <t>Year5_Ceased_LAC_16plus_18th</t>
  </si>
  <si>
    <t>Year5_Care_Leavers_19_20_Ceased18_SP</t>
  </si>
  <si>
    <t>Year4_Ceased_LAC_16plus</t>
  </si>
  <si>
    <t>Year4_Ceased_LAC_16plus_18th</t>
  </si>
  <si>
    <t>Year4_Care_Leavers_19_20_Ceased18_SP</t>
  </si>
  <si>
    <t>Year3_Ceased_LAC_16plus</t>
  </si>
  <si>
    <t>Year3_Ceased_LAC_16plus_18th</t>
  </si>
  <si>
    <t>Year3_Care_Leavers_19_20_Ceased18_SP</t>
  </si>
  <si>
    <t>Year2_Ceased_LAC_16plus</t>
  </si>
  <si>
    <t>Year2_Ceased_LAC_16plus_18th</t>
  </si>
  <si>
    <t>Year2_Care_Leavers_19_20_Ceased18_SP</t>
  </si>
  <si>
    <t>New LAC</t>
  </si>
  <si>
    <t>Ceased LAC</t>
  </si>
  <si>
    <t>NetLAC</t>
  </si>
  <si>
    <t>CL19-21</t>
  </si>
  <si>
    <t>FTE to YJ</t>
  </si>
  <si>
    <t>Number of Care Leavers pulled through for LA's who provided in Touch info</t>
  </si>
  <si>
    <t>Number of Care Leavers pulled through for LA's who provided Sutable Accommodation info</t>
  </si>
  <si>
    <t>Dependent Children 0-15 (mid-2015)</t>
  </si>
  <si>
    <t>mid-2019</t>
  </si>
  <si>
    <t>Average Days: Entering care to Placed with Adopters</t>
  </si>
  <si>
    <t>Year5_Care_Leavers_19_20_Ceased18</t>
  </si>
  <si>
    <t>Year4_Care_Leavers_19_20_Ceased18</t>
  </si>
  <si>
    <t>Year3_Care_Leavers_19_20_Ceased18</t>
  </si>
  <si>
    <t>Year2_Care_Leavers_19_20_Ceased18</t>
  </si>
  <si>
    <t>Number of Care Leavers aged 19-20 who left care at 18 and remain with their former foster carer</t>
  </si>
  <si>
    <t>Care_Leavers_in_EET</t>
  </si>
  <si>
    <t>Staying Put</t>
  </si>
  <si>
    <t>Number of Care Leavers aged 19-20 who left care at 18</t>
  </si>
  <si>
    <t>mid-2020</t>
  </si>
  <si>
    <t>Year5_Assessments_25th_Percentile_days</t>
  </si>
  <si>
    <t>Year5_Assessments_Median_days</t>
  </si>
  <si>
    <t>Year5_Assessments_75th_Percentile_days</t>
  </si>
  <si>
    <t>Year2_Assessments_25th_Percentile_days</t>
  </si>
  <si>
    <t>Year2_Assessments_Median_days</t>
  </si>
  <si>
    <t>Year2_Assessments_75th_Percentile_days</t>
  </si>
  <si>
    <t>Year3_Assessments_25th_Percentile_days</t>
  </si>
  <si>
    <t>Year3_Assessments_Median_days</t>
  </si>
  <si>
    <t>Year3_Assessments_75th_Percentile_days</t>
  </si>
  <si>
    <t>Year4_Assessments_25th_Percentile_days</t>
  </si>
  <si>
    <t>Year4_Assessments_Median_days</t>
  </si>
  <si>
    <t>Year4_Assessments_75th_Percentile_days</t>
  </si>
  <si>
    <t>16-17 EET Indicator Cohorts (MARCH Snapshot)</t>
  </si>
  <si>
    <t>16-17 EET Indicator Cohorts (single month snapshot)</t>
  </si>
  <si>
    <t>16-17 NEET/ NK Indicator Cohorts (3 month Avg)</t>
  </si>
  <si>
    <t>16-17_3m</t>
  </si>
  <si>
    <t>16-17  year old Cohorts for EET Indicator</t>
  </si>
  <si>
    <t>16-17  year old Cohorts for NEET/ NK Indicators</t>
  </si>
  <si>
    <t>Dec/ Jan/ Feb 3-month average</t>
  </si>
  <si>
    <r>
      <t xml:space="preserve">Annual Report 
</t>
    </r>
    <r>
      <rPr>
        <b/>
        <sz val="24"/>
        <color rgb="FF00B050"/>
        <rFont val="Arial"/>
        <family val="2"/>
      </rPr>
      <t>(Public)</t>
    </r>
  </si>
  <si>
    <t>Young people aged 16-17 whose current activity is not known. Taken from national publication.</t>
  </si>
  <si>
    <t>Young people aged 16-17 who are participating in education, employment or training. Taken from national publication.</t>
  </si>
  <si>
    <t>Young people aged 16-17 who are not participating in education, employment or training (NEET). Taken from national publication.</t>
  </si>
  <si>
    <t>This report uses publicly available data and can be shared with external partners and the public</t>
  </si>
  <si>
    <t>c</t>
  </si>
  <si>
    <t>SC_CIN</t>
  </si>
  <si>
    <t>IDACI Chart Axis Labels</t>
  </si>
  <si>
    <t>Local Authority IDACI Score 2019</t>
  </si>
  <si>
    <t>2022-23</t>
  </si>
  <si>
    <t>mid-2021</t>
  </si>
  <si>
    <t>mid-2022</t>
  </si>
  <si>
    <t>2023-24</t>
  </si>
  <si>
    <t>Year5_Bracknell Forest</t>
  </si>
  <si>
    <t>Year5_Buckinghamshire</t>
  </si>
  <si>
    <t>A10</t>
  </si>
  <si>
    <t>Year5_A10</t>
  </si>
  <si>
    <t>Year1_A10</t>
  </si>
  <si>
    <t>Year1_Contacts</t>
  </si>
  <si>
    <t>Year1_EarlyHelpReferrals</t>
  </si>
  <si>
    <t>Year1_EarlyHelpReferralsSTEPDOWN</t>
  </si>
  <si>
    <t>Year1_EarlyHelpReReferrals</t>
  </si>
  <si>
    <t>Year1_EarlyHelpAssessments</t>
  </si>
  <si>
    <t>Year1_EarlyHelpAssessmentsStepUp</t>
  </si>
  <si>
    <t>Year1_EarlyHelpedChildren</t>
  </si>
  <si>
    <t>Year1_Referrals</t>
  </si>
  <si>
    <t>Year1_ReferralsPriorEH</t>
  </si>
  <si>
    <t>Year1_ReferralsAssessment</t>
  </si>
  <si>
    <t>Year1_ReferralSource_Individual_Family</t>
  </si>
  <si>
    <t>Year1_ReferralSource_Individual_Acquaintance</t>
  </si>
  <si>
    <t>Year1_ReferralSource_Individual_Self</t>
  </si>
  <si>
    <t>Year1_ReferralSource_Individual_Other</t>
  </si>
  <si>
    <t>Year1_ReferralSource_School</t>
  </si>
  <si>
    <t>Year1_ReferralSource_EducationServices</t>
  </si>
  <si>
    <t>Year1_ReferralSource_Health_services_GP</t>
  </si>
  <si>
    <t>Year1_ReferralSource_Health_services_HealthVisitor</t>
  </si>
  <si>
    <t>Year1_ReferralSource_Health_services_SchoolNurse</t>
  </si>
  <si>
    <t>Year1_ReferralSource_Health_services_OthPrimary</t>
  </si>
  <si>
    <t>Year1_ReferralSource_Health_services_AE</t>
  </si>
  <si>
    <t>Year1_ReferralSource_Health_services_Other</t>
  </si>
  <si>
    <t>Year1_ReferralSource_Housing</t>
  </si>
  <si>
    <t>Year1_ReferralSource_LA_SC</t>
  </si>
  <si>
    <t>Year1_ReferralSource_LA_Other</t>
  </si>
  <si>
    <t>Year1_ReferralSource_LA_External</t>
  </si>
  <si>
    <t>Year1_ReferralSource_Police</t>
  </si>
  <si>
    <t>Year1_ReferralSource_Other_Legal</t>
  </si>
  <si>
    <t>Year1_ReferralSource_Other</t>
  </si>
  <si>
    <t>Year1_ReferralSource_Anonymous</t>
  </si>
  <si>
    <t>Year1_ReferralSource_Unknown</t>
  </si>
  <si>
    <t>Year1_ReReferrals</t>
  </si>
  <si>
    <t>Year1_Assessments</t>
  </si>
  <si>
    <t>Year1_Assessments_10days</t>
  </si>
  <si>
    <t>Year1_Assessments_11_20days</t>
  </si>
  <si>
    <t>Year1_Assessments_21_30days</t>
  </si>
  <si>
    <t>Year1_Assessments_31_45days</t>
  </si>
  <si>
    <t>Year1_Assessments_over_45days</t>
  </si>
  <si>
    <t>Year1_Assessments_25th_Percentile_days</t>
  </si>
  <si>
    <t>Year1_Assessments_Median_days</t>
  </si>
  <si>
    <t>Year1_Assessments_75th_Percentile_days</t>
  </si>
  <si>
    <t>Year1_Assessments_step_down</t>
  </si>
  <si>
    <t>Year1_Assessments_No_further_action</t>
  </si>
  <si>
    <t>Year1_CIN</t>
  </si>
  <si>
    <t>Year1_CIN_Section47</t>
  </si>
  <si>
    <t>Year1_CP_Conference</t>
  </si>
  <si>
    <t>Year1_CP_Conference_within15days</t>
  </si>
  <si>
    <t>Year1_CP_Plans</t>
  </si>
  <si>
    <t>Year1_CP_Plans_3months</t>
  </si>
  <si>
    <t>Year1_CP_Plans_3months_timescales</t>
  </si>
  <si>
    <t>Year1_CP_Plans_Seen_in_Timescales</t>
  </si>
  <si>
    <t>Year1_CP_Plans_2years</t>
  </si>
  <si>
    <t>Year1_CP_Plans_ceased</t>
  </si>
  <si>
    <t>Year1_CP_Plans_ceased_2years</t>
  </si>
  <si>
    <t>Year1_CP_Plans_became_subject</t>
  </si>
  <si>
    <t>Year1_CP_Plans_became_subject_second</t>
  </si>
  <si>
    <t>Year1_CP_Plans_became_subject_second_2years</t>
  </si>
  <si>
    <t>Year1_LAC</t>
  </si>
  <si>
    <t>Year1_LAC_Under1</t>
  </si>
  <si>
    <t>Year1_LAC_1to4</t>
  </si>
  <si>
    <t>Year1_LAC_5to9</t>
  </si>
  <si>
    <t>Year1_LAC_10to15</t>
  </si>
  <si>
    <t>Year1_LAC_16plus</t>
  </si>
  <si>
    <t>Year1_LAC_under16</t>
  </si>
  <si>
    <t>Year1_LAC_under16_2.5years</t>
  </si>
  <si>
    <t>Year1_LAC_under16_2.5years_sameplacement2years</t>
  </si>
  <si>
    <t>Year1_LAC_UASC</t>
  </si>
  <si>
    <t>Year1_LAC_3_or_more_Placements</t>
  </si>
  <si>
    <t>Year1_LAC_4weeks</t>
  </si>
  <si>
    <t>Year1_LAC_4weeks_reviews_in_timescales</t>
  </si>
  <si>
    <t>Year1_LAC_Start</t>
  </si>
  <si>
    <t>Year1_LAC_Start_2nd_time</t>
  </si>
  <si>
    <t>Year1_LAC_Remanded</t>
  </si>
  <si>
    <t>Year1_Adoption_PFA</t>
  </si>
  <si>
    <t>Year1_Adoption_ceased_LAC</t>
  </si>
  <si>
    <t>Year1_Ceased_LAC_16plus</t>
  </si>
  <si>
    <t>Year1_Ceased_LAC_16plus_18th</t>
  </si>
  <si>
    <t>Year1_Adoption_LAC_Adopted</t>
  </si>
  <si>
    <t>Year1_Adoption_LAC_Adopted_days</t>
  </si>
  <si>
    <t>Year1_Adoption_LAC_Adopted_placed_with_12months</t>
  </si>
  <si>
    <t>Year1_Care_Leavers_19_20_Ceased18_SP</t>
  </si>
  <si>
    <t>Year1_Care_Leavers_19_20_Ceased18</t>
  </si>
  <si>
    <t>Year1_Care_Leavers_at_end_of_period</t>
  </si>
  <si>
    <t>Year1_Care_Leavers_in_touch</t>
  </si>
  <si>
    <t>Year1_Care_Leavers_in_suitable_accommodation</t>
  </si>
  <si>
    <t>Year1_Care_Leavers_in_EET</t>
  </si>
  <si>
    <t>Year1_ROSGO_ceased_LAC_CAO</t>
  </si>
  <si>
    <t>Year1_ROSGO_ceased_LAC_SGO</t>
  </si>
  <si>
    <t>Year1_CAO_RO_Total</t>
  </si>
  <si>
    <t>Year1_SGO_total</t>
  </si>
  <si>
    <t>Year1_First_Time_Entrants_to_Youth_Justice_system</t>
  </si>
  <si>
    <t>Year1_Children_missing_Education</t>
  </si>
  <si>
    <t>Year1_Care_Applications</t>
  </si>
  <si>
    <t>Year1_Care_Applications_Children</t>
  </si>
  <si>
    <t>Year1_Assessments_within45days</t>
  </si>
  <si>
    <t>Year1_Continuous_assessments</t>
  </si>
  <si>
    <t>Year2_A10</t>
  </si>
  <si>
    <t>Year3_A10</t>
  </si>
  <si>
    <t>Year4_A10</t>
  </si>
  <si>
    <t>Year1_Brighton_and_Hove</t>
  </si>
  <si>
    <t>Year1_Windsor_and_Maidenhead</t>
  </si>
  <si>
    <t>Year2_Brighton_and_Hove</t>
  </si>
  <si>
    <t>Year2_Windsor_and_Maidenhead</t>
  </si>
  <si>
    <t>Year3_Brighton_and_Hove</t>
  </si>
  <si>
    <t>Year3_Windsor_and_Maidenhead</t>
  </si>
  <si>
    <t>Year4_Brighton_and_Hove</t>
  </si>
  <si>
    <t>Year4_Windsor_and_Maidenhead</t>
  </si>
  <si>
    <t>Year5_Brighton_and_Hove</t>
  </si>
  <si>
    <t>Year5_Windsor_and_Maidenhead</t>
  </si>
  <si>
    <t>2018/19</t>
  </si>
  <si>
    <t>2019/20</t>
  </si>
  <si>
    <t>2020/21</t>
  </si>
  <si>
    <t>2021/22</t>
  </si>
  <si>
    <t>2022/23</t>
  </si>
  <si>
    <t>Social Care Assessments</t>
  </si>
  <si>
    <t>Single Assessments Authorised within: 10 days</t>
  </si>
  <si>
    <t>Single Assessments Authorised within: Over 45 days</t>
  </si>
  <si>
    <t>CLA Starting or Ceasing (during the period)</t>
  </si>
  <si>
    <t>Eclipse</t>
  </si>
  <si>
    <t>SystemC</t>
  </si>
  <si>
    <t>Care Director</t>
  </si>
  <si>
    <t>ICS</t>
  </si>
  <si>
    <t>Yes (Mosaic)</t>
  </si>
  <si>
    <t>Local Authority</t>
  </si>
  <si>
    <t>Social Care System Used</t>
  </si>
  <si>
    <t>IDACI (Income Deprivation Affecting Children Index)</t>
  </si>
  <si>
    <t>Percentage of Referrals which were 
Re-referrals</t>
  </si>
  <si>
    <t>Proportion of Assessments resulting in 
Step-down to Early Help Services</t>
  </si>
  <si>
    <t>% Children becoming subject of a CP Plan for a 2nd/  subsequent time within 2 years of a previous CPP</t>
  </si>
  <si>
    <t>Children starting to be Looked After, who had been LAC during in the previous 12 months (%)</t>
  </si>
  <si>
    <t>Children ceasing to be Looked After in year who were granted CAO</t>
  </si>
  <si>
    <t>%Ceased CLA to CAO</t>
  </si>
  <si>
    <t>%Ceased CLA to SGO</t>
  </si>
  <si>
    <t>Year2_electively_home_educated</t>
  </si>
  <si>
    <t>Year1_electively_home_educated</t>
  </si>
  <si>
    <t>Year3_electively_home_educated</t>
  </si>
  <si>
    <t>Year4_electively_home_educated</t>
  </si>
  <si>
    <t>Year5_electively_home_educated</t>
  </si>
  <si>
    <t>Year1_South_East</t>
  </si>
  <si>
    <t>Year2_South_East</t>
  </si>
  <si>
    <t>Year3_South_East</t>
  </si>
  <si>
    <t>Year4_South_East</t>
  </si>
  <si>
    <t>Year5_South_East</t>
  </si>
  <si>
    <t>Year1_16_17_NEET</t>
  </si>
  <si>
    <t>Year1_16_17_ participating_in_EET</t>
  </si>
  <si>
    <t>Year1_16_17_not known</t>
  </si>
  <si>
    <t>Year5_16_17_NEET</t>
  </si>
  <si>
    <t>Year5_16_17_ participating_in_EET</t>
  </si>
  <si>
    <t>Year5_16_17_not known</t>
  </si>
  <si>
    <t>Year4_16_17_NEET</t>
  </si>
  <si>
    <t>Year4_16_17_ participating_in_EET</t>
  </si>
  <si>
    <t>Year4_16_17_not known</t>
  </si>
  <si>
    <t>Year3_16_17_NEET</t>
  </si>
  <si>
    <t>Year3_16_17_ participating_in_EET</t>
  </si>
  <si>
    <t>Year3_16_17_not known</t>
  </si>
  <si>
    <t>Year2_16_17_NEET</t>
  </si>
  <si>
    <t>Year2_16_17_ participating_in_EET</t>
  </si>
  <si>
    <t>Year2_16_17_not known</t>
  </si>
  <si>
    <t>Participation of Young People aged 16-17 in Education, 
Employment or Training</t>
  </si>
  <si>
    <t>Trend</t>
  </si>
  <si>
    <t>Year5_Juvenile_offenders_age_10_17</t>
  </si>
  <si>
    <t>Year5_Juvenile_Reoffenders_age_10_17</t>
  </si>
  <si>
    <t>Year4_Juvenile_offenders_age_10_17</t>
  </si>
  <si>
    <t>Year4_Juvenile_Reoffenders_age_10_17</t>
  </si>
  <si>
    <t>Year3_Juvenile_offenders_age_10_17</t>
  </si>
  <si>
    <t>Year3_Juvenile_Reoffenders_age_10_17</t>
  </si>
  <si>
    <t>Year2_Juvenile_offenders_age_10_17</t>
  </si>
  <si>
    <t>Year2_Juvenile_Reoffenders_age_10_17</t>
  </si>
  <si>
    <t>Year1_Juvenile_offenders_age_10_17</t>
  </si>
  <si>
    <t>Year1_Juvenile_Reoffenders_age_10_17</t>
  </si>
  <si>
    <t>Home</t>
  </si>
  <si>
    <t>Ranking Summary</t>
  </si>
  <si>
    <t>All indicators are ranked from Lowest (1) to Highest (19) where data is provided for all LA's. Rankings are for information only and are not an indicator of performance.</t>
  </si>
  <si>
    <t>Navigation</t>
  </si>
  <si>
    <t>Summary comparison of the main indicators from this report:</t>
  </si>
  <si>
    <t>% of Care Leavers aged 19-20 who left care on their 18th birthday and remain with their former Foster Carer/s</t>
  </si>
  <si>
    <t>RIIA202</t>
  </si>
  <si>
    <t>Social Care Referrals received</t>
  </si>
  <si>
    <t>Social Care Referrals going on to Assessment</t>
  </si>
  <si>
    <t>Re-referrals to Social Care</t>
  </si>
  <si>
    <t>RIIA20202</t>
  </si>
  <si>
    <t>RIIA20203</t>
  </si>
  <si>
    <t>RIIA20204</t>
  </si>
  <si>
    <t>RIIA20205</t>
  </si>
  <si>
    <t>RIIA20206</t>
  </si>
  <si>
    <t>RIIA20207</t>
  </si>
  <si>
    <t>RIIA20208</t>
  </si>
  <si>
    <t>RIIA20209</t>
  </si>
  <si>
    <t>RIIA20210</t>
  </si>
  <si>
    <t>RIIA20211</t>
  </si>
  <si>
    <t>RIIA20212</t>
  </si>
  <si>
    <t>Social Care Referrals received by Source:</t>
  </si>
  <si>
    <t>Other Legal Agency</t>
  </si>
  <si>
    <t>Individual: family member, relative or carer.</t>
  </si>
  <si>
    <t>Individual: self</t>
  </si>
  <si>
    <t>Health Services: general practitioner (GP)</t>
  </si>
  <si>
    <t>Health Services: health visitor</t>
  </si>
  <si>
    <t>Health Services: school nurse</t>
  </si>
  <si>
    <t>Health Services: other primary health services</t>
  </si>
  <si>
    <t>Health Services: A&amp;E (accident and emergency department)</t>
  </si>
  <si>
    <t>LA Services: early help</t>
  </si>
  <si>
    <t>RIIA203</t>
  </si>
  <si>
    <t>Individual: acquaintance (includes neighbours and child minders)</t>
  </si>
  <si>
    <t>Individual: other includes strangers or Members of Parliament (MPs)</t>
  </si>
  <si>
    <t>Health Services: other (for example hospice)</t>
  </si>
  <si>
    <t>LA Services: other internal services (not including social care or early help)</t>
  </si>
  <si>
    <t>LA Services: external (from another local authority’s services, e.g. social care or early help)</t>
  </si>
  <si>
    <t>LA Services: social care</t>
  </si>
  <si>
    <t>RIIA205</t>
  </si>
  <si>
    <t>Social Care Assessments Completed</t>
  </si>
  <si>
    <t>Social Care Assessments Authorised within:</t>
  </si>
  <si>
    <t>Social Care Assessments Authorised within 45 days</t>
  </si>
  <si>
    <t>10 days</t>
  </si>
  <si>
    <t>11-20 days</t>
  </si>
  <si>
    <t>21-30 days</t>
  </si>
  <si>
    <t>31-45 days</t>
  </si>
  <si>
    <t>Over 45 days</t>
  </si>
  <si>
    <t>Social Care Referral</t>
  </si>
  <si>
    <t>--</t>
  </si>
  <si>
    <t>ID</t>
  </si>
  <si>
    <r>
      <rPr>
        <b/>
        <sz val="9"/>
        <rFont val="Arial"/>
        <family val="2"/>
      </rPr>
      <t>Individual</t>
    </r>
    <r>
      <rPr>
        <sz val="9"/>
        <rFont val="Arial"/>
        <family val="2"/>
      </rPr>
      <t xml:space="preserve"> - comprised of the following four sub-groups:</t>
    </r>
  </si>
  <si>
    <r>
      <rPr>
        <b/>
        <sz val="9"/>
        <rFont val="Arial"/>
        <family val="2"/>
      </rPr>
      <t>Health Services</t>
    </r>
    <r>
      <rPr>
        <sz val="9"/>
        <rFont val="Arial"/>
        <family val="2"/>
      </rPr>
      <t xml:space="preserve"> - comprised of the following six sub-groups:</t>
    </r>
  </si>
  <si>
    <r>
      <rPr>
        <b/>
        <sz val="9"/>
        <rFont val="Arial"/>
        <family val="2"/>
      </rPr>
      <t>LA Services</t>
    </r>
    <r>
      <rPr>
        <sz val="9"/>
        <rFont val="Arial"/>
        <family val="2"/>
      </rPr>
      <t>- comprised of the following four sub-groups:</t>
    </r>
  </si>
  <si>
    <r>
      <t xml:space="preserve">Other </t>
    </r>
    <r>
      <rPr>
        <sz val="9"/>
        <rFont val="Arial"/>
        <family val="2"/>
      </rPr>
      <t>- includes children’s centres, independent agency providers or voluntary organisations</t>
    </r>
  </si>
  <si>
    <r>
      <t xml:space="preserve">Referrals received which </t>
    </r>
    <r>
      <rPr>
        <b/>
        <sz val="9"/>
        <rFont val="Arial"/>
        <family val="2"/>
      </rPr>
      <t xml:space="preserve">did not </t>
    </r>
    <r>
      <rPr>
        <sz val="9"/>
        <rFont val="Arial"/>
        <family val="2"/>
      </rPr>
      <t>result in No Further Action.</t>
    </r>
  </si>
  <si>
    <t>SCB1</t>
  </si>
  <si>
    <t>SCB2</t>
  </si>
  <si>
    <t>SCB3</t>
  </si>
  <si>
    <t>SCB4</t>
  </si>
  <si>
    <t>SCB5</t>
  </si>
  <si>
    <t>SCB6</t>
  </si>
  <si>
    <t>SCB7</t>
  </si>
  <si>
    <t>SCB8</t>
  </si>
  <si>
    <t>SCB9</t>
  </si>
  <si>
    <t>SCB10</t>
  </si>
  <si>
    <t>SCB11</t>
  </si>
  <si>
    <t>SCB12</t>
  </si>
  <si>
    <t>SCB13</t>
  </si>
  <si>
    <t>SCB14</t>
  </si>
  <si>
    <t>SCB16</t>
  </si>
  <si>
    <t>SCB17</t>
  </si>
  <si>
    <t>SCB18</t>
  </si>
  <si>
    <t>SCB19</t>
  </si>
  <si>
    <t>SCB20</t>
  </si>
  <si>
    <t>SCB21</t>
  </si>
  <si>
    <t>SCB25</t>
  </si>
  <si>
    <t>SCB27</t>
  </si>
  <si>
    <t>SCB28</t>
  </si>
  <si>
    <t>SCB30</t>
  </si>
  <si>
    <t>SCB32</t>
  </si>
  <si>
    <t>SCB33</t>
  </si>
  <si>
    <t>SCB34</t>
  </si>
  <si>
    <t>SCB35</t>
  </si>
  <si>
    <t>SCB36</t>
  </si>
  <si>
    <t>SCB37</t>
  </si>
  <si>
    <t>SCB38</t>
  </si>
  <si>
    <t>SCB39</t>
  </si>
  <si>
    <t>SCB43</t>
  </si>
  <si>
    <t>SCB44</t>
  </si>
  <si>
    <t>SCB47</t>
  </si>
  <si>
    <t>SCB48</t>
  </si>
  <si>
    <t>SCB51</t>
  </si>
  <si>
    <t>SCB53</t>
  </si>
  <si>
    <t>SCB55</t>
  </si>
  <si>
    <t>SCB56</t>
  </si>
  <si>
    <t>SCB57</t>
  </si>
  <si>
    <t>SCB67</t>
  </si>
  <si>
    <t>Number of Children who Ceased to be Looked After due to a Child Arrangements/ Residence Order being issued</t>
  </si>
  <si>
    <t>Number of Children who Ceased to be Looked After due to a Special Guardianship Order being issued</t>
  </si>
  <si>
    <t>First Time Entrants</t>
  </si>
  <si>
    <t>Youth Justice</t>
  </si>
  <si>
    <t>SCB29</t>
  </si>
  <si>
    <t>SCB31</t>
  </si>
  <si>
    <t>SCB58</t>
  </si>
  <si>
    <t>SCB62</t>
  </si>
  <si>
    <t>SCB63</t>
  </si>
  <si>
    <t>SCB64</t>
  </si>
  <si>
    <t>RIIA206</t>
  </si>
  <si>
    <t>RIIA207</t>
  </si>
  <si>
    <t>RIIA208</t>
  </si>
  <si>
    <t>RIIA209</t>
  </si>
  <si>
    <t>RIIA210</t>
  </si>
  <si>
    <t>RIIA211</t>
  </si>
  <si>
    <t>RIIA213</t>
  </si>
  <si>
    <t>RIIA212</t>
  </si>
  <si>
    <t>RIIA214</t>
  </si>
  <si>
    <t>RIIA216</t>
  </si>
  <si>
    <t>RIIA219</t>
  </si>
  <si>
    <t>RIIA217</t>
  </si>
  <si>
    <t>RIIA218</t>
  </si>
  <si>
    <t>SCB65</t>
  </si>
  <si>
    <t>CIN Census</t>
  </si>
  <si>
    <t>A referral is a request for children’s social care services from someone not currently receiving them from the LA. Do not include new information received on open cases as a referral.</t>
  </si>
  <si>
    <t>% Referrals going on to Assessment [SCB16]</t>
  </si>
  <si>
    <t>For each new referral, record the source from the list below. Where there is more than one referral for the same child on the same day, the first referral should be recorded and it is this referral source that should be recorded here.</t>
  </si>
  <si>
    <t>Schools/ Education Services</t>
  </si>
  <si>
    <t>Proportion of Single Assessments completed within 45 Days [RIIA206]</t>
  </si>
  <si>
    <t>The number of children with a Child Protection Plan at last day in period who at that date had been the subject of a Plan continuously for at least the previous 3 months and had their case reviewed within the required timescales.</t>
  </si>
  <si>
    <t>Of the children ceasing to be the subject of a plan, the number who had been the subject of a Child Protection Plan continuously for two years or longer (i.e. for more than 729 calendar days including days of cessation).</t>
  </si>
  <si>
    <t>Referrals received within 12 months of a previous Referral for the same child. Calculation is from Referral Start Date to previous Referral Start Date, as with the CIN Census.</t>
  </si>
  <si>
    <t>CAFCASS</t>
  </si>
  <si>
    <t xml:space="preserve">Taken directly from CAFCASS Published data - S31 Care Applications. 
Please note that applications include those made on existing children’s cases as well as new public law children’s cases received in the period. </t>
  </si>
  <si>
    <t xml:space="preserve">Taken directly from CAFCASS Published data - total number of Children who were the subject/s of the Care Applications in SCB29 above. </t>
  </si>
  <si>
    <t>The number of children who were looked after at the end of the period, excluding children Looked After under an agreed series of short-term breaks.</t>
  </si>
  <si>
    <t>SSDA903</t>
  </si>
  <si>
    <t>Looked After Children by Age group:</t>
  </si>
  <si>
    <t xml:space="preserve">Net number of Children becoming Looked After </t>
  </si>
  <si>
    <t>Sum of SCB31-34 above</t>
  </si>
  <si>
    <t>SCB59</t>
  </si>
  <si>
    <t>The number of children who ceased to be 'looked after' during the period (excluding children Looked After under an agreed series of short-term breaks).</t>
  </si>
  <si>
    <t>ASGLB</t>
  </si>
  <si>
    <t>Average Days between those children who were Adopted in the period entering care and moving in with their adoptive family</t>
  </si>
  <si>
    <t>Care Leavers aged 19 or 20 who Ceased to be Looked After on their 18th Birthday and remain with their Former Foster Carer (at last day in period)</t>
  </si>
  <si>
    <t>Care Leavers who are Staying Put</t>
  </si>
  <si>
    <t>Looked After Children becoming subject to a Child Arrangements/ Residence Order</t>
  </si>
  <si>
    <t>Children Looked After as at the last day in period, by their age on that date.</t>
  </si>
  <si>
    <t>NEET and Participation</t>
  </si>
  <si>
    <t>Proven Reoffending</t>
  </si>
  <si>
    <t>Number of First Time Entrants (FTEs) to the Youth Justice system.</t>
  </si>
  <si>
    <t>RIIA</t>
  </si>
  <si>
    <t>Source/s</t>
  </si>
  <si>
    <t>Children Remanded into Local Authority Care</t>
  </si>
  <si>
    <t>Participating Local Authorities</t>
  </si>
  <si>
    <t>Expected rates based on IDACI (IDACI Expected)</t>
  </si>
  <si>
    <t>Methodology</t>
  </si>
  <si>
    <t>Once national data is published for the relevant indicator, the rate per (x)thousand population is calculated for each of the English Local Authorities that provided data. The rates per (x)000 are then plotted against the IDACI scores for each LA on an XY Scatterplot. A Linear trendline is then added to the scatterplot and it is the equation of this line that informs the IDACI expected values.</t>
  </si>
  <si>
    <r>
      <t>The R</t>
    </r>
    <r>
      <rPr>
        <vertAlign val="superscript"/>
        <sz val="11"/>
        <rFont val="Arial"/>
        <family val="2"/>
      </rPr>
      <t xml:space="preserve">2 </t>
    </r>
    <r>
      <rPr>
        <sz val="11"/>
        <rFont val="Arial"/>
        <family val="2"/>
      </rPr>
      <t>figure gives an indication of how well the trendline fits the data. The closer the R</t>
    </r>
    <r>
      <rPr>
        <vertAlign val="superscript"/>
        <sz val="11"/>
        <rFont val="Arial"/>
        <family val="2"/>
      </rPr>
      <t>2</t>
    </r>
    <r>
      <rPr>
        <sz val="11"/>
        <rFont val="Arial"/>
        <family val="2"/>
      </rPr>
      <t xml:space="preserve"> figure is to 1, the better the fit. As you can see in the charts below, the R</t>
    </r>
    <r>
      <rPr>
        <vertAlign val="superscript"/>
        <sz val="11"/>
        <rFont val="Arial"/>
        <family val="2"/>
      </rPr>
      <t>2</t>
    </r>
    <r>
      <rPr>
        <sz val="11"/>
        <rFont val="Arial"/>
        <family val="2"/>
      </rPr>
      <t xml:space="preserve"> figure for IDACI vs. Referral Rate (0.17) is far lower than for IDACI vs. LAC Rate (0.40), indicating that there is a stronger correlation between IDACI and LAC, than for IDACI and Referral.</t>
    </r>
  </si>
  <si>
    <r>
      <t xml:space="preserve">Alternatively, the </t>
    </r>
    <r>
      <rPr>
        <b/>
        <i/>
        <sz val="11"/>
        <rFont val="Arial"/>
        <family val="2"/>
      </rPr>
      <t>m</t>
    </r>
    <r>
      <rPr>
        <sz val="11"/>
        <rFont val="Arial"/>
        <family val="2"/>
      </rPr>
      <t xml:space="preserve"> (slope), </t>
    </r>
    <r>
      <rPr>
        <b/>
        <i/>
        <sz val="11"/>
        <rFont val="Arial"/>
        <family val="2"/>
      </rPr>
      <t xml:space="preserve">c </t>
    </r>
    <r>
      <rPr>
        <sz val="11"/>
        <rFont val="Arial"/>
        <family val="2"/>
      </rPr>
      <t xml:space="preserve">(intercept) and </t>
    </r>
    <r>
      <rPr>
        <b/>
        <sz val="11"/>
        <rFont val="Arial"/>
        <family val="2"/>
      </rPr>
      <t>R</t>
    </r>
    <r>
      <rPr>
        <b/>
        <vertAlign val="superscript"/>
        <sz val="11"/>
        <rFont val="Arial"/>
        <family val="2"/>
      </rPr>
      <t>2</t>
    </r>
    <r>
      <rPr>
        <sz val="11"/>
        <rFont val="Arial"/>
        <family val="2"/>
      </rPr>
      <t xml:space="preserve"> values can be determined without plotting the data by using the =SLOPE(), =INTERCEPT() and =RSQ() formulas in Excel.</t>
    </r>
  </si>
  <si>
    <r>
      <t xml:space="preserve">The equation of the line is in the format </t>
    </r>
    <r>
      <rPr>
        <b/>
        <sz val="11"/>
        <rFont val="Arial"/>
        <family val="2"/>
      </rPr>
      <t>y = mx + c</t>
    </r>
    <r>
      <rPr>
        <sz val="11"/>
        <rFont val="Arial"/>
        <family val="2"/>
      </rPr>
      <t xml:space="preserve">, where </t>
    </r>
    <r>
      <rPr>
        <b/>
        <i/>
        <sz val="11"/>
        <rFont val="Arial"/>
        <family val="2"/>
      </rPr>
      <t>m</t>
    </r>
    <r>
      <rPr>
        <sz val="11"/>
        <rFont val="Arial"/>
        <family val="2"/>
      </rPr>
      <t xml:space="preserve"> is the gradient and </t>
    </r>
    <r>
      <rPr>
        <b/>
        <i/>
        <sz val="11"/>
        <rFont val="Arial"/>
        <family val="2"/>
      </rPr>
      <t>c</t>
    </r>
    <r>
      <rPr>
        <sz val="11"/>
        <rFont val="Arial"/>
        <family val="2"/>
      </rPr>
      <t xml:space="preserve"> is the height at which the line crosses the y-axis, also known as the y -intercept. To calculate the IDACI Expected rate we take the equation from the trendline and substitute the LA's IDACI score for </t>
    </r>
    <r>
      <rPr>
        <b/>
        <i/>
        <sz val="11"/>
        <rFont val="Arial"/>
        <family val="2"/>
      </rPr>
      <t>m</t>
    </r>
    <r>
      <rPr>
        <sz val="11"/>
        <rFont val="Arial"/>
        <family val="2"/>
      </rPr>
      <t xml:space="preserve"> in order to return the relevant Rate, based on where the IDACI score meets the line.</t>
    </r>
  </si>
  <si>
    <t>Single Assessments Authorised within: 11-20 days</t>
  </si>
  <si>
    <t>Single Assessments Authorised within: 21-30 days</t>
  </si>
  <si>
    <t>Single Assessments Authorised within: 31-45 days</t>
  </si>
  <si>
    <t>The number of Assessments which were completed and Authorised within each timescale. 
An assessment is deemed to be completed once the social worker has informed, in writing, all the relevant agencies and the family of their decisions and if the child is a child in need, of the plan for providing support/or once the assessment has been discussed with the child’s family (or carers) and the team manager has viewed and authorised the assessment.</t>
  </si>
  <si>
    <t>Sum of SCB17-20 above.</t>
  </si>
  <si>
    <t>The number of Social Care Assessments completed during the period.</t>
  </si>
  <si>
    <t>The total number of Children in Need at the last day in period (including CP and LAC).</t>
  </si>
  <si>
    <t>Number of Children subject to Section 47 Enquiries which started during the period.</t>
  </si>
  <si>
    <t>Number of Children subject to an Initial Child Protection Conference held during the period.</t>
  </si>
  <si>
    <t>Initial CP Conferences held within 15 days of the Section 47 Enquiry [RIIA210]</t>
  </si>
  <si>
    <t>Children subject of a CP Plan at 31 March, who had been subject of a Plan for 2+ years [SCB27]</t>
  </si>
  <si>
    <t>Children subject of a CP Plan for 3+ Months at last day in period, with reviews in timescales [SCB25]</t>
  </si>
  <si>
    <t>Children ceasing to be subject to a CP Plan, who had been subject of a plan for 2+ years [SCB28]</t>
  </si>
  <si>
    <t>% Children becoming the subject of a CP Plan for a Second or Subsequent time [RIIA214]</t>
  </si>
  <si>
    <t>Children starting to be Looked After who were Remanded into LA Care (%) [SCB43]</t>
  </si>
  <si>
    <t>% Children who ceased to be Looked After in period due to a Child Arrangement Order [SCB58]</t>
  </si>
  <si>
    <t>% Children who ceased to be Looked After in period due to a Special Guardianship Order [SCB59]</t>
  </si>
  <si>
    <t>Looked After Children becoming subject to a Special Guardianship Order</t>
  </si>
  <si>
    <t>Number of Children Placed for Adoption at 31st March [SCB44]</t>
  </si>
  <si>
    <t>The average of the days between all children who were Adopted in the period becoming Looked After and moving in with their adoptive family, adjusted for Foster Carer Adoptions.</t>
  </si>
  <si>
    <t>Average days between Child entering care and moving in with their adoptive family, adjusted for Foster Carer Adoptions (children adopted in period) [A10]</t>
  </si>
  <si>
    <t>Children ceasing to be Looked After in year who were Adopted (%) [SCB48]</t>
  </si>
  <si>
    <t>Proportion of Care leavers aged 19-21 who were 'In Touch' [SCB55]</t>
  </si>
  <si>
    <t>Proportion of Care Leavers aged 19-21 in Suitable Accommodation [SCB56]</t>
  </si>
  <si>
    <t>Proportion of Care Leavers aged 19-21 in Employment, Education or Training [SCB57]</t>
  </si>
  <si>
    <t>Care Leavers aged 19-20 who left care at 18 and remain with former Foster Carer [SCB51]</t>
  </si>
  <si>
    <t>Young People aged 16-17 who are Participating in Education, Employment or Training (EET)  [SCB62]</t>
  </si>
  <si>
    <t>Young People aged 16-17 whose current activity is Not Known (Dec/ Jan/ Feb 3 month Avg) [SCB64]</t>
  </si>
  <si>
    <t>Young People aged 16-17 who are NEET 
(Dec/ Jan/ Feb 3 month Average) [SCB63]</t>
  </si>
  <si>
    <t>Number of First Time Entrants to the Youth Justice System [SCB65]</t>
  </si>
  <si>
    <t>Proportion of Juvenile Offenders who 
Re-offend [SCB67]</t>
  </si>
  <si>
    <t>Of the Initial CP Conferences held during the period, the number which were held within 15 days of the Section 47 Enquiry which led to the conference.</t>
  </si>
  <si>
    <t>Initial CP Conferences held within15 days</t>
  </si>
  <si>
    <t>Number of Children subject to a Child Protection Plan as at the last day in the period.</t>
  </si>
  <si>
    <t>Of the Children subject to a CP Plan at the last day in the period, those who had been subject to a plan for 2 years or more.</t>
  </si>
  <si>
    <t>Number of Children Starting to be Looked After [RIIA217] minus number Ceasing to be looked after [RIIA217] during the reporting period.</t>
  </si>
  <si>
    <t>Year1_ReferralSource_LA_Early_Help</t>
  </si>
  <si>
    <t>SCB15</t>
  </si>
  <si>
    <t>RIIA204</t>
  </si>
  <si>
    <t>C.RIIA206</t>
  </si>
  <si>
    <t>SCB22</t>
  </si>
  <si>
    <t>SCB23</t>
  </si>
  <si>
    <t>SCB24</t>
  </si>
  <si>
    <t>SCB26</t>
  </si>
  <si>
    <t>RIIA215</t>
  </si>
  <si>
    <t>SCB40</t>
  </si>
  <si>
    <t>SCB41</t>
  </si>
  <si>
    <t>SCB42</t>
  </si>
  <si>
    <t>SCB45</t>
  </si>
  <si>
    <t>SCB46</t>
  </si>
  <si>
    <t>SCB49</t>
  </si>
  <si>
    <t>SCB50</t>
  </si>
  <si>
    <t>SCB52</t>
  </si>
  <si>
    <t>SCB60</t>
  </si>
  <si>
    <t>SCB61</t>
  </si>
  <si>
    <t>SCB68</t>
  </si>
  <si>
    <t>RIIA222</t>
  </si>
  <si>
    <t>SCB66</t>
  </si>
  <si>
    <t>SCB69</t>
  </si>
  <si>
    <t>SCB70</t>
  </si>
  <si>
    <t>SCB71</t>
  </si>
  <si>
    <t>SCB72</t>
  </si>
  <si>
    <t>SCB73</t>
  </si>
  <si>
    <t>C.RIIA205</t>
  </si>
  <si>
    <t>Year2_ReferralSource_LA_Early_Help</t>
  </si>
  <si>
    <t>Year3_ReferralSource_LA_Early_Help</t>
  </si>
  <si>
    <t>Year4_ReferralSource_LA_Early_Help</t>
  </si>
  <si>
    <t>Year5_ReferralSource_LA_Early_Help</t>
  </si>
  <si>
    <t>2023/24</t>
  </si>
  <si>
    <t>SCB74</t>
  </si>
  <si>
    <t>Year5_ReferralsPriorEH</t>
  </si>
  <si>
    <t>mid-2023</t>
  </si>
  <si>
    <t>u</t>
  </si>
  <si>
    <t>Year5_CL_SA_Denominator_from_903</t>
  </si>
  <si>
    <t>Year5_1617_NEET_from_Annual_Publication_p</t>
  </si>
  <si>
    <t>Year5_1617_EET_from_Annual_Publication_p</t>
  </si>
  <si>
    <t>Year5_1617_NK_from_Annual_Publication_p</t>
  </si>
  <si>
    <t>Year5_1617_Cohort_from Annual_Publication</t>
  </si>
  <si>
    <t>Year4_CL_SA_Denominator_from_903</t>
  </si>
  <si>
    <t>Year4_1617_NEET_from_Annual_Publication_p</t>
  </si>
  <si>
    <t>Year4_1617_EET_from_Annual_Publication_p</t>
  </si>
  <si>
    <t>Year4_1617_NK_from_Annual_Publication_p</t>
  </si>
  <si>
    <t>Year4_1617_Cohort_from Annual_Publication</t>
  </si>
  <si>
    <t>Year1_CL_SA_Denominator_from_903</t>
  </si>
  <si>
    <t>Year1_1617_NEET_from_Annual_Publication_p</t>
  </si>
  <si>
    <t>Year1_1617_EET_from_Annual_Publication_p</t>
  </si>
  <si>
    <t>Year1_1617_NK_from_Annual_Publication_p</t>
  </si>
  <si>
    <t>Year1_1617_Cohort_from Annual_Publication</t>
  </si>
  <si>
    <t>Year2_CL_SA_Denominator_from_903</t>
  </si>
  <si>
    <t>Year2_1617_NEET_from_Annual_Publication_p</t>
  </si>
  <si>
    <t>Year2_1617_EET_from_Annual_Publication_p</t>
  </si>
  <si>
    <t>Year2_1617_NK_from_Annual_Publication_p</t>
  </si>
  <si>
    <t>Year2_1617_Cohort_from Annual_Publication</t>
  </si>
  <si>
    <t>Year3_CL_SA_Denominator_from_903</t>
  </si>
  <si>
    <t>Year3_1617_NEET_from_Annual_Publication_p</t>
  </si>
  <si>
    <t>Year3_1617_EET_from_Annual_Publication_p</t>
  </si>
  <si>
    <t>Year3_1617_NK_from_Annual_Publication_p</t>
  </si>
  <si>
    <t>Year3_1617_Cohort_from Annual_Publication</t>
  </si>
  <si>
    <t>First Time Entrants Tables</t>
  </si>
  <si>
    <t>Rate per 10000 19-21 Year Olds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</si>
</sst>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
    <numFmt numFmtId="166" formatCode="General_)"/>
    <numFmt numFmtId="167" formatCode="0.0%"/>
    <numFmt numFmtId="168" formatCode="0.000"/>
    <numFmt numFmtId="169" formatCode="0.00000"/>
    <numFmt numFmtId="170" formatCode="\+0;\-0;0"/>
  </numFmts>
  <fonts count="11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b/>
      <sz val="10"/>
      <name val="Arial"/>
      <family val="2"/>
    </font>
    <font>
      <sz val="8"/>
      <name val="Arial"/>
      <family val="2"/>
    </font>
    <font>
      <b/>
      <sz val="8"/>
      <name val="Arial"/>
      <family val="2"/>
    </font>
    <font>
      <b/>
      <sz val="10"/>
      <name val="Arial"/>
      <family val="2"/>
    </font>
    <font>
      <sz val="8"/>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color indexed="8"/>
      <name val="Arial"/>
      <family val="2"/>
    </font>
    <font>
      <sz val="11"/>
      <name val="Arial"/>
      <family val="2"/>
    </font>
    <font>
      <sz val="12"/>
      <name val="Arial"/>
      <family val="2"/>
    </font>
    <font>
      <b/>
      <sz val="11"/>
      <name val="Arial"/>
      <family val="2"/>
    </font>
    <font>
      <sz val="7"/>
      <name val="Arial"/>
      <family val="2"/>
    </font>
    <font>
      <b/>
      <sz val="9"/>
      <name val="Arial"/>
      <family val="2"/>
    </font>
    <font>
      <sz val="9"/>
      <name val="Arial"/>
      <family val="2"/>
    </font>
    <font>
      <sz val="8"/>
      <color indexed="9"/>
      <name val="Arial"/>
      <family val="2"/>
    </font>
    <font>
      <sz val="8"/>
      <color indexed="10"/>
      <name val="Arial"/>
      <family val="2"/>
    </font>
    <font>
      <b/>
      <sz val="14"/>
      <color indexed="39"/>
      <name val="Arial"/>
      <family val="2"/>
    </font>
    <font>
      <b/>
      <sz val="12"/>
      <color indexed="39"/>
      <name val="Arial"/>
      <family val="2"/>
    </font>
    <font>
      <sz val="8"/>
      <color indexed="16"/>
      <name val="Arial"/>
      <family val="2"/>
    </font>
    <font>
      <b/>
      <sz val="8"/>
      <color indexed="16"/>
      <name val="Arial"/>
      <family val="2"/>
    </font>
    <font>
      <sz val="9"/>
      <name val="Wingdings"/>
      <charset val="2"/>
    </font>
    <font>
      <b/>
      <sz val="24"/>
      <color indexed="39"/>
      <name val="Arial"/>
      <family val="2"/>
    </font>
    <font>
      <sz val="10"/>
      <color indexed="9"/>
      <name val="Arial"/>
      <family val="2"/>
    </font>
    <font>
      <sz val="9"/>
      <color indexed="9"/>
      <name val="Wingdings"/>
      <charset val="2"/>
    </font>
    <font>
      <sz val="8"/>
      <color indexed="37"/>
      <name val="Arial"/>
      <family val="2"/>
    </font>
    <font>
      <sz val="10"/>
      <color indexed="37"/>
      <name val="Arial"/>
      <family val="2"/>
    </font>
    <font>
      <b/>
      <u/>
      <sz val="10"/>
      <color indexed="39"/>
      <name val="Arial"/>
      <family val="2"/>
    </font>
    <font>
      <b/>
      <sz val="12"/>
      <color indexed="63"/>
      <name val="Arial"/>
      <family val="2"/>
    </font>
    <font>
      <sz val="8"/>
      <color theme="1" tint="0.249977111117893"/>
      <name val="Arial"/>
      <family val="2"/>
    </font>
    <font>
      <sz val="8"/>
      <color rgb="FF00B050"/>
      <name val="Arial"/>
      <family val="2"/>
    </font>
    <font>
      <sz val="8"/>
      <color theme="6" tint="-0.499984740745262"/>
      <name val="Arial"/>
      <family val="2"/>
    </font>
    <font>
      <b/>
      <sz val="8"/>
      <color theme="0" tint="-0.499984740745262"/>
      <name val="Arial"/>
      <family val="2"/>
    </font>
    <font>
      <sz val="8"/>
      <color theme="0" tint="-0.499984740745262"/>
      <name val="Arial"/>
      <family val="2"/>
    </font>
    <font>
      <b/>
      <sz val="8"/>
      <color rgb="FF00B050"/>
      <name val="Arial"/>
      <family val="2"/>
    </font>
    <font>
      <sz val="8"/>
      <color rgb="FFFF0000"/>
      <name val="Arial"/>
      <family val="2"/>
    </font>
    <font>
      <b/>
      <sz val="16"/>
      <color indexed="39"/>
      <name val="Arial"/>
      <family val="2"/>
    </font>
    <font>
      <b/>
      <i/>
      <sz val="10"/>
      <name val="Arial"/>
      <family val="2"/>
    </font>
    <font>
      <sz val="8"/>
      <color theme="0"/>
      <name val="Arial"/>
      <family val="2"/>
    </font>
    <font>
      <b/>
      <sz val="8"/>
      <color theme="1" tint="0.499984740745262"/>
      <name val="Arial"/>
      <family val="2"/>
    </font>
    <font>
      <sz val="8"/>
      <color theme="1" tint="0.499984740745262"/>
      <name val="Arial"/>
      <family val="2"/>
    </font>
    <font>
      <b/>
      <i/>
      <sz val="8"/>
      <name val="Arial"/>
      <family val="2"/>
    </font>
    <font>
      <b/>
      <sz val="8"/>
      <color rgb="FF008643"/>
      <name val="Arial"/>
      <family val="2"/>
    </font>
    <font>
      <u/>
      <sz val="8"/>
      <name val="Arial"/>
      <family val="2"/>
    </font>
    <font>
      <sz val="11"/>
      <color theme="1"/>
      <name val="Calibri"/>
      <family val="2"/>
    </font>
    <font>
      <b/>
      <sz val="8"/>
      <color theme="0"/>
      <name val="Arial"/>
      <family val="2"/>
    </font>
    <font>
      <b/>
      <sz val="14"/>
      <name val="Arial"/>
      <family val="2"/>
    </font>
    <font>
      <b/>
      <sz val="8"/>
      <name val="Trebuchet MS"/>
      <family val="2"/>
    </font>
    <font>
      <i/>
      <sz val="9"/>
      <name val="Arial"/>
      <family val="2"/>
    </font>
    <font>
      <i/>
      <sz val="8"/>
      <name val="Arial"/>
      <family val="2"/>
    </font>
    <font>
      <b/>
      <sz val="8"/>
      <color theme="1" tint="0.249977111117893"/>
      <name val="Arial"/>
      <family val="2"/>
    </font>
    <font>
      <sz val="10"/>
      <color theme="0"/>
      <name val="Arial"/>
      <family val="2"/>
    </font>
    <font>
      <b/>
      <sz val="8"/>
      <color theme="2"/>
      <name val="Arial"/>
      <family val="2"/>
    </font>
    <font>
      <sz val="10"/>
      <color theme="2"/>
      <name val="Arial"/>
      <family val="2"/>
    </font>
    <font>
      <sz val="8"/>
      <color rgb="FFFBFBFB"/>
      <name val="Arial"/>
      <family val="2"/>
    </font>
    <font>
      <sz val="10"/>
      <color theme="1" tint="0.249977111117893"/>
      <name val="Arial"/>
      <family val="2"/>
    </font>
    <font>
      <b/>
      <sz val="9"/>
      <color theme="10"/>
      <name val="Arial"/>
      <family val="2"/>
    </font>
    <font>
      <sz val="8"/>
      <name val="Arial"/>
      <family val="2"/>
    </font>
    <font>
      <sz val="6"/>
      <name val="Arial"/>
      <family val="2"/>
    </font>
    <font>
      <b/>
      <sz val="24"/>
      <color rgb="FF00B050"/>
      <name val="Arial"/>
      <family val="2"/>
    </font>
    <font>
      <sz val="9"/>
      <color theme="0"/>
      <name val="Arial"/>
      <family val="2"/>
    </font>
    <font>
      <b/>
      <sz val="12"/>
      <name val="Arial"/>
      <family val="2"/>
    </font>
    <font>
      <b/>
      <sz val="18"/>
      <color indexed="39"/>
      <name val="Arial"/>
      <family val="2"/>
    </font>
    <font>
      <b/>
      <sz val="9"/>
      <name val="Arial "/>
    </font>
    <font>
      <sz val="9"/>
      <color indexed="9"/>
      <name val="Arial"/>
      <family val="2"/>
    </font>
    <font>
      <sz val="14"/>
      <name val="Arial"/>
      <family val="2"/>
    </font>
    <font>
      <b/>
      <u/>
      <sz val="12"/>
      <color indexed="39"/>
      <name val="Arial"/>
      <family val="2"/>
    </font>
    <font>
      <b/>
      <sz val="9"/>
      <color rgb="FF008643"/>
      <name val="Arial"/>
      <family val="2"/>
    </font>
    <font>
      <sz val="9"/>
      <color theme="0" tint="-0.14999847407452621"/>
      <name val="Arial"/>
      <family val="2"/>
    </font>
    <font>
      <sz val="9"/>
      <color indexed="8"/>
      <name val="Arial"/>
      <family val="2"/>
    </font>
    <font>
      <b/>
      <sz val="9"/>
      <color indexed="39"/>
      <name val="Arial"/>
      <family val="2"/>
    </font>
    <font>
      <sz val="9"/>
      <color indexed="10"/>
      <name val="Arial"/>
      <family val="2"/>
    </font>
    <font>
      <b/>
      <sz val="9"/>
      <color theme="2"/>
      <name val="Arial"/>
      <family val="2"/>
    </font>
    <font>
      <sz val="9"/>
      <color theme="2"/>
      <name val="Arial"/>
      <family val="2"/>
    </font>
    <font>
      <sz val="9"/>
      <color indexed="16"/>
      <name val="Arial"/>
      <family val="2"/>
    </font>
    <font>
      <b/>
      <sz val="9"/>
      <color theme="0" tint="-0.499984740745262"/>
      <name val="Arial"/>
      <family val="2"/>
    </font>
    <font>
      <sz val="9"/>
      <color rgb="FF00B050"/>
      <name val="Arial"/>
      <family val="2"/>
    </font>
    <font>
      <sz val="9"/>
      <color theme="0" tint="-0.499984740745262"/>
      <name val="Arial"/>
      <family val="2"/>
    </font>
    <font>
      <b/>
      <sz val="13"/>
      <name val="Arial"/>
      <family val="2"/>
    </font>
    <font>
      <b/>
      <sz val="16"/>
      <name val="Arial"/>
      <family val="2"/>
    </font>
    <font>
      <b/>
      <sz val="9"/>
      <color theme="0" tint="-4.9989318521683403E-2"/>
      <name val="Arial"/>
      <family val="2"/>
    </font>
    <font>
      <sz val="9"/>
      <color theme="1" tint="0.249977111117893"/>
      <name val="Arial"/>
      <family val="2"/>
    </font>
    <font>
      <sz val="9"/>
      <color theme="1" tint="0.499984740745262"/>
      <name val="Arial"/>
      <family val="2"/>
    </font>
    <font>
      <b/>
      <sz val="9"/>
      <color theme="1" tint="0.499984740745262"/>
      <name val="Arial"/>
      <family val="2"/>
    </font>
    <font>
      <b/>
      <sz val="9"/>
      <color theme="1" tint="0.249977111117893"/>
      <name val="Arial"/>
      <family val="2"/>
    </font>
    <font>
      <b/>
      <sz val="9"/>
      <color rgb="FF00B050"/>
      <name val="Arial"/>
      <family val="2"/>
    </font>
    <font>
      <b/>
      <sz val="14"/>
      <color rgb="FF00B050"/>
      <name val="Arial"/>
      <family val="2"/>
    </font>
    <font>
      <u/>
      <sz val="11"/>
      <name val="Arial"/>
      <family val="2"/>
    </font>
    <font>
      <i/>
      <sz val="10"/>
      <name val="Arial"/>
      <family val="2"/>
    </font>
    <font>
      <b/>
      <sz val="20"/>
      <color indexed="39"/>
      <name val="Arial"/>
      <family val="2"/>
    </font>
    <font>
      <b/>
      <sz val="10"/>
      <color theme="0"/>
      <name val="Arial"/>
      <family val="2"/>
    </font>
    <font>
      <b/>
      <sz val="26"/>
      <color indexed="39"/>
      <name val="Arial"/>
      <family val="2"/>
    </font>
    <font>
      <b/>
      <sz val="9"/>
      <name val="Trebuchet MS"/>
      <family val="2"/>
    </font>
    <font>
      <sz val="9"/>
      <name val="Trebuchet MS"/>
      <family val="2"/>
    </font>
    <font>
      <u/>
      <sz val="9"/>
      <color indexed="39"/>
      <name val="Trebuchet MS"/>
      <family val="2"/>
    </font>
    <font>
      <b/>
      <i/>
      <sz val="11"/>
      <name val="Arial"/>
      <family val="2"/>
    </font>
    <font>
      <vertAlign val="superscript"/>
      <sz val="11"/>
      <name val="Arial"/>
      <family val="2"/>
    </font>
    <font>
      <b/>
      <vertAlign val="superscript"/>
      <sz val="11"/>
      <name val="Arial"/>
      <family val="2"/>
    </font>
    <font>
      <sz val="8"/>
      <name val="Arial"/>
      <family val="2"/>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1"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99FFCC"/>
        <bgColor indexed="64"/>
      </patternFill>
    </fill>
    <fill>
      <patternFill patternType="solid">
        <fgColor rgb="FF66FF99"/>
        <bgColor indexed="64"/>
      </patternFill>
    </fill>
    <fill>
      <patternFill patternType="solid">
        <fgColor rgb="FFF6F5F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DFB"/>
        <bgColor indexed="64"/>
      </patternFill>
    </fill>
    <fill>
      <patternFill patternType="solid">
        <fgColor rgb="FFDA8426"/>
        <bgColor indexed="64"/>
      </patternFill>
    </fill>
    <fill>
      <patternFill patternType="solid">
        <fgColor rgb="FFC8C300"/>
        <bgColor indexed="64"/>
      </patternFill>
    </fill>
    <fill>
      <patternFill patternType="solid">
        <fgColor rgb="FF62A73B"/>
        <bgColor indexed="64"/>
      </patternFill>
    </fill>
    <fill>
      <patternFill patternType="solid">
        <fgColor rgb="FFE090A9"/>
        <bgColor indexed="64"/>
      </patternFill>
    </fill>
    <fill>
      <patternFill patternType="solid">
        <fgColor rgb="FF8F77AD"/>
        <bgColor indexed="64"/>
      </patternFill>
    </fill>
    <fill>
      <patternFill patternType="solid">
        <fgColor rgb="FF009BD2"/>
        <bgColor indexed="64"/>
      </patternFill>
    </fill>
    <fill>
      <patternFill patternType="solid">
        <fgColor rgb="FF4D7FBB"/>
        <bgColor indexed="64"/>
      </patternFill>
    </fill>
    <fill>
      <patternFill patternType="solid">
        <fgColor rgb="FF214F87"/>
        <bgColor indexed="64"/>
      </patternFill>
    </fill>
    <fill>
      <patternFill patternType="solid">
        <fgColor rgb="FF3C8AA6"/>
        <bgColor indexed="64"/>
      </patternFill>
    </fill>
    <fill>
      <patternFill patternType="solid">
        <fgColor theme="1" tint="0.34998626667073579"/>
        <bgColor indexed="64"/>
      </patternFill>
    </fill>
    <fill>
      <patternFill patternType="solid">
        <fgColor rgb="FF92D050"/>
        <bgColor indexed="64"/>
      </patternFill>
    </fill>
    <fill>
      <patternFill patternType="solid">
        <fgColor theme="1" tint="0.24994659260841701"/>
        <bgColor indexed="64"/>
      </patternFill>
    </fill>
    <fill>
      <patternFill patternType="solid">
        <fgColor rgb="FFFFFFC9"/>
        <bgColor indexed="64"/>
      </patternFill>
    </fill>
    <fill>
      <patternFill patternType="solid">
        <fgColor theme="2"/>
        <bgColor indexed="64"/>
      </patternFill>
    </fill>
    <fill>
      <patternFill patternType="solid">
        <fgColor rgb="FFBC3E7D"/>
        <bgColor indexed="64"/>
      </patternFill>
    </fill>
    <fill>
      <patternFill patternType="solid">
        <fgColor rgb="FFFB994F"/>
        <bgColor indexed="64"/>
      </patternFill>
    </fill>
    <fill>
      <patternFill patternType="solid">
        <fgColor rgb="FF9999FF"/>
        <bgColor indexed="64"/>
      </patternFill>
    </fill>
    <fill>
      <patternFill patternType="solid">
        <fgColor rgb="FFFF99CC"/>
        <bgColor indexed="64"/>
      </patternFill>
    </fill>
    <fill>
      <patternFill patternType="solid">
        <fgColor rgb="FF9B4719"/>
        <bgColor indexed="64"/>
      </patternFill>
    </fill>
    <fill>
      <patternFill patternType="solid">
        <fgColor theme="0" tint="-4.9989318521683403E-2"/>
        <bgColor indexed="64"/>
      </patternFill>
    </fill>
    <fill>
      <patternFill patternType="solid">
        <fgColor rgb="FFFEEFE2"/>
        <bgColor indexed="64"/>
      </patternFill>
    </fill>
    <fill>
      <patternFill patternType="solid">
        <fgColor rgb="FFF9F9F9"/>
        <bgColor indexed="64"/>
      </patternFill>
    </fill>
  </fills>
  <borders count="14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bottom style="medium">
        <color indexed="39"/>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medium">
        <color indexed="64"/>
      </left>
      <right style="medium">
        <color indexed="64"/>
      </right>
      <top/>
      <bottom style="thin">
        <color indexed="64"/>
      </bottom>
      <diagonal/>
    </border>
    <border>
      <left style="thin">
        <color indexed="39"/>
      </left>
      <right/>
      <top style="thin">
        <color indexed="39"/>
      </top>
      <bottom/>
      <diagonal/>
    </border>
    <border>
      <left/>
      <right/>
      <top style="thin">
        <color indexed="39"/>
      </top>
      <bottom/>
      <diagonal/>
    </border>
    <border>
      <left/>
      <right style="thin">
        <color indexed="39"/>
      </right>
      <top style="thin">
        <color indexed="39"/>
      </top>
      <bottom/>
      <diagonal/>
    </border>
    <border>
      <left style="thin">
        <color indexed="39"/>
      </left>
      <right/>
      <top/>
      <bottom/>
      <diagonal/>
    </border>
    <border>
      <left/>
      <right style="thin">
        <color indexed="39"/>
      </right>
      <top/>
      <bottom/>
      <diagonal/>
    </border>
    <border>
      <left style="thin">
        <color indexed="39"/>
      </left>
      <right/>
      <top/>
      <bottom style="thin">
        <color indexed="39"/>
      </bottom>
      <diagonal/>
    </border>
    <border>
      <left/>
      <right/>
      <top/>
      <bottom style="thin">
        <color indexed="39"/>
      </bottom>
      <diagonal/>
    </border>
    <border>
      <left/>
      <right style="thin">
        <color indexed="39"/>
      </right>
      <top/>
      <bottom style="thin">
        <color indexed="39"/>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top style="thin">
        <color auto="1"/>
      </top>
      <bottom/>
      <diagonal/>
    </border>
    <border>
      <left style="thin">
        <color indexed="64"/>
      </left>
      <right style="thin">
        <color indexed="64"/>
      </right>
      <top/>
      <bottom/>
      <diagonal/>
    </border>
    <border>
      <left style="thin">
        <color indexed="64"/>
      </left>
      <right style="thin">
        <color auto="1"/>
      </right>
      <top/>
      <bottom style="thin">
        <color auto="1"/>
      </bottom>
      <diagonal/>
    </border>
    <border>
      <left style="thin">
        <color indexed="39"/>
      </left>
      <right/>
      <top/>
      <bottom style="thin">
        <color indexed="39"/>
      </bottom>
      <diagonal/>
    </border>
    <border>
      <left/>
      <right/>
      <top/>
      <bottom style="thin">
        <color indexed="39"/>
      </bottom>
      <diagonal/>
    </border>
    <border>
      <left/>
      <right style="thin">
        <color indexed="39"/>
      </right>
      <top/>
      <bottom style="thin">
        <color indexed="39"/>
      </bottom>
      <diagonal/>
    </border>
    <border>
      <left/>
      <right/>
      <top/>
      <bottom style="thin">
        <color indexed="64"/>
      </bottom>
      <diagonal/>
    </border>
    <border>
      <left/>
      <right style="thin">
        <color auto="1"/>
      </right>
      <top/>
      <bottom style="thin">
        <color auto="1"/>
      </bottom>
      <diagonal/>
    </border>
    <border>
      <left style="thin">
        <color indexed="39"/>
      </left>
      <right/>
      <top/>
      <bottom/>
      <diagonal/>
    </border>
    <border>
      <left style="thin">
        <color indexed="64"/>
      </left>
      <right/>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39"/>
      </left>
      <right/>
      <top/>
      <bottom style="thin">
        <color indexed="39"/>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theme="9" tint="-0.24994659260841701"/>
      </left>
      <right style="thin">
        <color indexed="64"/>
      </right>
      <top/>
      <bottom/>
      <diagonal/>
    </border>
    <border>
      <left/>
      <right style="thin">
        <color theme="9" tint="-0.24994659260841701"/>
      </right>
      <top/>
      <bottom/>
      <diagonal/>
    </border>
    <border>
      <left style="thin">
        <color indexed="39"/>
      </left>
      <right/>
      <top/>
      <bottom style="thin">
        <color indexed="39"/>
      </bottom>
      <diagonal/>
    </border>
    <border>
      <left/>
      <right/>
      <top/>
      <bottom style="thin">
        <color indexed="39"/>
      </bottom>
      <diagonal/>
    </border>
    <border>
      <left style="thin">
        <color theme="9" tint="-0.24994659260841701"/>
      </left>
      <right/>
      <top style="thin">
        <color theme="9" tint="-0.24994659260841701"/>
      </top>
      <bottom/>
      <diagonal/>
    </border>
    <border>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9" tint="-0.24994659260841701"/>
      </left>
      <right/>
      <top/>
      <bottom style="thin">
        <color theme="9" tint="-0.24994659260841701"/>
      </bottom>
      <diagonal/>
    </border>
    <border>
      <left/>
      <right/>
      <top/>
      <bottom style="thin">
        <color theme="9" tint="-0.24994659260841701"/>
      </bottom>
      <diagonal/>
    </border>
    <border>
      <left/>
      <right style="thin">
        <color theme="9" tint="-0.24994659260841701"/>
      </right>
      <top/>
      <bottom style="thin">
        <color theme="9" tint="-0.24994659260841701"/>
      </bottom>
      <diagonal/>
    </border>
    <border>
      <left/>
      <right style="thin">
        <color indexed="39"/>
      </right>
      <top/>
      <bottom style="thin">
        <color indexed="39"/>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theme="9" tint="-0.24994659260841701"/>
      </left>
      <right/>
      <top/>
      <bottom style="thin">
        <color rgb="FFC85100"/>
      </bottom>
      <diagonal/>
    </border>
    <border>
      <left style="thin">
        <color indexed="39"/>
      </left>
      <right style="thin">
        <color auto="1"/>
      </right>
      <top/>
      <bottom/>
      <diagonal/>
    </border>
    <border>
      <left style="medium">
        <color indexed="64"/>
      </left>
      <right style="thin">
        <color theme="1"/>
      </right>
      <top style="thin">
        <color theme="1"/>
      </top>
      <bottom style="thin">
        <color indexed="64"/>
      </bottom>
      <diagonal/>
    </border>
    <border>
      <left style="medium">
        <color indexed="64"/>
      </left>
      <right style="thin">
        <color theme="1"/>
      </right>
      <top style="thin">
        <color indexed="64"/>
      </top>
      <bottom style="thin">
        <color indexed="64"/>
      </bottom>
      <diagonal/>
    </border>
    <border>
      <left style="medium">
        <color theme="1" tint="0.24994659260841701"/>
      </left>
      <right style="medium">
        <color indexed="64"/>
      </right>
      <top style="thin">
        <color indexed="64"/>
      </top>
      <bottom style="thin">
        <color indexed="64"/>
      </bottom>
      <diagonal/>
    </border>
    <border>
      <left style="medium">
        <color theme="1" tint="0.24994659260841701"/>
      </left>
      <right style="medium">
        <color theme="1" tint="0.24994659260841701"/>
      </right>
      <top style="thin">
        <color indexed="64"/>
      </top>
      <bottom style="thin">
        <color indexed="64"/>
      </bottom>
      <diagonal/>
    </border>
    <border>
      <left style="medium">
        <color theme="1" tint="0.24994659260841701"/>
      </left>
      <right style="medium">
        <color theme="1" tint="0.24994659260841701"/>
      </right>
      <top style="thin">
        <color indexed="64"/>
      </top>
      <bottom style="thin">
        <color theme="0" tint="-0.24994659260841701"/>
      </bottom>
      <diagonal/>
    </border>
    <border>
      <left style="medium">
        <color theme="1" tint="0.24994659260841701"/>
      </left>
      <right style="medium">
        <color indexed="64"/>
      </right>
      <top style="thin">
        <color indexed="64"/>
      </top>
      <bottom style="thin">
        <color theme="0" tint="-0.24994659260841701"/>
      </bottom>
      <diagonal/>
    </border>
    <border>
      <left style="medium">
        <color theme="1" tint="0.24994659260841701"/>
      </left>
      <right style="medium">
        <color theme="1" tint="0.24994659260841701"/>
      </right>
      <top style="thin">
        <color theme="0" tint="-0.24994659260841701"/>
      </top>
      <bottom style="thin">
        <color theme="0" tint="-0.24994659260841701"/>
      </bottom>
      <diagonal/>
    </border>
    <border>
      <left style="medium">
        <color theme="1" tint="0.24994659260841701"/>
      </left>
      <right style="medium">
        <color indexed="64"/>
      </right>
      <top style="thin">
        <color theme="0" tint="-0.24994659260841701"/>
      </top>
      <bottom style="thin">
        <color theme="0" tint="-0.24994659260841701"/>
      </bottom>
      <diagonal/>
    </border>
    <border>
      <left style="medium">
        <color theme="1" tint="0.24994659260841701"/>
      </left>
      <right style="medium">
        <color theme="1" tint="0.24994659260841701"/>
      </right>
      <top style="thin">
        <color theme="0" tint="-0.24994659260841701"/>
      </top>
      <bottom style="thin">
        <color indexed="64"/>
      </bottom>
      <diagonal/>
    </border>
    <border>
      <left style="medium">
        <color theme="1" tint="0.24994659260841701"/>
      </left>
      <right style="medium">
        <color indexed="64"/>
      </right>
      <top style="thin">
        <color theme="0" tint="-0.24994659260841701"/>
      </top>
      <bottom style="thin">
        <color indexed="64"/>
      </bottom>
      <diagonal/>
    </border>
    <border>
      <left style="medium">
        <color theme="1" tint="0.24994659260841701"/>
      </left>
      <right/>
      <top style="thin">
        <color theme="0" tint="-0.24994659260841701"/>
      </top>
      <bottom style="thin">
        <color theme="0" tint="-0.24994659260841701"/>
      </bottom>
      <diagonal/>
    </border>
    <border>
      <left/>
      <right style="medium">
        <color theme="1" tint="0.24994659260841701"/>
      </right>
      <top style="thin">
        <color theme="0" tint="-0.24994659260841701"/>
      </top>
      <bottom style="thin">
        <color theme="0" tint="-0.24994659260841701"/>
      </bottom>
      <diagonal/>
    </border>
    <border>
      <left/>
      <right/>
      <top style="thin">
        <color rgb="FF00B050"/>
      </top>
      <bottom style="thin">
        <color rgb="FF00B050"/>
      </bottom>
      <diagonal/>
    </border>
    <border>
      <left style="thin">
        <color auto="1"/>
      </left>
      <right/>
      <top/>
      <bottom style="thin">
        <color auto="1"/>
      </bottom>
      <diagonal/>
    </border>
    <border>
      <left style="thin">
        <color indexed="64"/>
      </left>
      <right/>
      <top/>
      <bottom style="thin">
        <color indexed="64"/>
      </bottom>
      <diagonal/>
    </border>
    <border>
      <left/>
      <right/>
      <top/>
      <bottom style="thin">
        <color indexed="39"/>
      </bottom>
      <diagonal/>
    </border>
    <border>
      <left/>
      <right style="medium">
        <color indexed="64"/>
      </right>
      <top/>
      <bottom style="thin">
        <color indexed="64"/>
      </bottom>
      <diagonal/>
    </border>
    <border>
      <left style="medium">
        <color indexed="64"/>
      </left>
      <right/>
      <top style="medium">
        <color indexed="64"/>
      </top>
      <bottom/>
      <diagonal/>
    </border>
    <border>
      <left/>
      <right style="thin">
        <color indexed="64"/>
      </right>
      <top style="thin">
        <color indexed="64"/>
      </top>
      <bottom style="medium">
        <color indexed="64"/>
      </bottom>
      <diagonal/>
    </border>
    <border>
      <left style="thin">
        <color auto="1"/>
      </left>
      <right/>
      <top/>
      <bottom style="thin">
        <color auto="1"/>
      </bottom>
      <diagonal/>
    </border>
    <border>
      <left style="thin">
        <color indexed="39"/>
      </left>
      <right/>
      <top/>
      <bottom style="thin">
        <color indexed="39"/>
      </bottom>
      <diagonal/>
    </border>
    <border>
      <left style="thin">
        <color indexed="64"/>
      </left>
      <right/>
      <top/>
      <bottom style="thin">
        <color indexed="64"/>
      </bottom>
      <diagonal/>
    </border>
    <border>
      <left style="medium">
        <color indexed="64"/>
      </left>
      <right style="medium">
        <color indexed="64"/>
      </right>
      <top/>
      <bottom style="thin">
        <color theme="1"/>
      </bottom>
      <diagonal/>
    </border>
    <border>
      <left style="medium">
        <color indexed="64"/>
      </left>
      <right style="medium">
        <color indexed="64"/>
      </right>
      <top style="thin">
        <color theme="1"/>
      </top>
      <bottom style="thin">
        <color indexed="64"/>
      </bottom>
      <diagonal/>
    </border>
    <border>
      <left/>
      <right/>
      <top/>
      <bottom style="thin">
        <color indexed="39"/>
      </bottom>
      <diagonal/>
    </border>
    <border>
      <left/>
      <right/>
      <top/>
      <bottom style="thin">
        <color indexed="64"/>
      </bottom>
      <diagonal/>
    </border>
    <border>
      <left/>
      <right style="thin">
        <color indexed="39"/>
      </right>
      <top/>
      <bottom style="thin">
        <color indexed="39"/>
      </bottom>
      <diagonal/>
    </border>
    <border>
      <left/>
      <right style="medium">
        <color indexed="64"/>
      </right>
      <top/>
      <bottom style="thin">
        <color indexed="64"/>
      </bottom>
      <diagonal/>
    </border>
    <border>
      <left style="thin">
        <color indexed="64"/>
      </left>
      <right style="medium">
        <color indexed="64"/>
      </right>
      <top/>
      <bottom style="thin">
        <color theme="1"/>
      </bottom>
      <diagonal/>
    </border>
    <border>
      <left style="thin">
        <color indexed="64"/>
      </left>
      <right style="medium">
        <color indexed="64"/>
      </right>
      <top style="thin">
        <color theme="1"/>
      </top>
      <bottom style="thin">
        <color indexed="64"/>
      </bottom>
      <diagonal/>
    </border>
    <border>
      <left/>
      <right style="thin">
        <color theme="9" tint="-0.24994659260841701"/>
      </right>
      <top/>
      <bottom style="thin">
        <color indexed="39"/>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56">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5" fillId="21" borderId="2" applyNumberFormat="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114"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2" borderId="0" applyNumberFormat="0" applyBorder="0" applyAlignment="0" applyProtection="0"/>
    <xf numFmtId="0" fontId="5" fillId="0" borderId="0"/>
    <xf numFmtId="0" fontId="3" fillId="23" borderId="7" applyNumberFormat="0" applyFont="0" applyAlignment="0" applyProtection="0"/>
    <xf numFmtId="0" fontId="24" fillId="20" borderId="8" applyNumberFormat="0" applyAlignment="0" applyProtection="0"/>
    <xf numFmtId="0" fontId="25" fillId="0" borderId="0" applyNumberFormat="0" applyFill="0" applyBorder="0" applyAlignment="0" applyProtection="0"/>
    <xf numFmtId="0" fontId="26" fillId="0" borderId="9" applyNumberFormat="0" applyFill="0" applyAlignment="0" applyProtection="0"/>
    <xf numFmtId="0" fontId="9" fillId="0" borderId="0" applyFont="0"/>
    <xf numFmtId="166" fontId="28" fillId="0" borderId="0"/>
    <xf numFmtId="0" fontId="27" fillId="0" borderId="0" applyNumberFormat="0" applyFill="0" applyBorder="0" applyAlignment="0" applyProtection="0"/>
    <xf numFmtId="0" fontId="3" fillId="0" borderId="0"/>
    <xf numFmtId="0" fontId="3" fillId="0" borderId="0"/>
    <xf numFmtId="0" fontId="2" fillId="0" borderId="0"/>
    <xf numFmtId="0" fontId="3" fillId="0" borderId="0"/>
    <xf numFmtId="0" fontId="1" fillId="0" borderId="0"/>
    <xf numFmtId="0" fontId="1" fillId="0" borderId="0"/>
    <xf numFmtId="0" fontId="64" fillId="0" borderId="0"/>
    <xf numFmtId="0" fontId="6" fillId="0" borderId="0" applyFont="0"/>
    <xf numFmtId="0" fontId="76" fillId="0" borderId="0" applyNumberFormat="0" applyFill="0" applyBorder="0" applyAlignment="0" applyProtection="0"/>
    <xf numFmtId="0" fontId="47" fillId="0" borderId="0" applyNumberFormat="0" applyFill="0" applyBorder="0" applyAlignment="0" applyProtection="0">
      <alignment vertical="top"/>
      <protection locked="0"/>
    </xf>
  </cellStyleXfs>
  <cellXfs count="2058">
    <xf numFmtId="0" fontId="0" fillId="0" borderId="0" xfId="0"/>
    <xf numFmtId="0" fontId="0" fillId="24" borderId="0" xfId="0" applyFill="1"/>
    <xf numFmtId="0" fontId="7" fillId="24" borderId="0" xfId="0" applyFont="1" applyFill="1"/>
    <xf numFmtId="0" fontId="34" fillId="24" borderId="0" xfId="0" applyFont="1" applyFill="1"/>
    <xf numFmtId="0" fontId="3" fillId="24" borderId="0" xfId="0" applyFont="1" applyFill="1" applyAlignment="1">
      <alignment wrapText="1"/>
    </xf>
    <xf numFmtId="0" fontId="4" fillId="24" borderId="0" xfId="0" applyFont="1" applyFill="1"/>
    <xf numFmtId="0" fontId="7" fillId="24" borderId="11" xfId="0" applyFont="1" applyFill="1" applyBorder="1"/>
    <xf numFmtId="49" fontId="38" fillId="24" borderId="0" xfId="0" applyNumberFormat="1" applyFont="1" applyFill="1" applyAlignment="1">
      <alignment horizontal="right" wrapText="1"/>
    </xf>
    <xf numFmtId="0" fontId="35" fillId="24" borderId="0" xfId="0" applyFont="1" applyFill="1"/>
    <xf numFmtId="0" fontId="36" fillId="24" borderId="0" xfId="0" applyFont="1" applyFill="1" applyAlignment="1">
      <alignment horizontal="right"/>
    </xf>
    <xf numFmtId="0" fontId="30" fillId="24" borderId="0" xfId="0" applyFont="1" applyFill="1"/>
    <xf numFmtId="3" fontId="4" fillId="24" borderId="0" xfId="0" applyNumberFormat="1" applyFont="1" applyFill="1" applyAlignment="1">
      <alignment horizontal="center"/>
    </xf>
    <xf numFmtId="0" fontId="10" fillId="24" borderId="0" xfId="0" applyFont="1" applyFill="1" applyAlignment="1">
      <alignment wrapText="1"/>
    </xf>
    <xf numFmtId="0" fontId="34" fillId="24" borderId="0" xfId="0" applyFont="1" applyFill="1" applyAlignment="1">
      <alignment horizontal="center" wrapText="1"/>
    </xf>
    <xf numFmtId="0" fontId="0" fillId="24" borderId="0" xfId="0" applyFill="1" applyAlignment="1">
      <alignment horizontal="center" wrapText="1"/>
    </xf>
    <xf numFmtId="0" fontId="0" fillId="24" borderId="0" xfId="0" applyFill="1" applyAlignment="1">
      <alignment wrapText="1"/>
    </xf>
    <xf numFmtId="0" fontId="39" fillId="24" borderId="0" xfId="0" applyFont="1" applyFill="1" applyAlignment="1">
      <alignment horizontal="center"/>
    </xf>
    <xf numFmtId="0" fontId="39" fillId="24" borderId="0" xfId="0" applyFont="1" applyFill="1" applyAlignment="1">
      <alignment horizontal="right"/>
    </xf>
    <xf numFmtId="0" fontId="41" fillId="25" borderId="15" xfId="0" applyFont="1" applyFill="1" applyBorder="1" applyAlignment="1">
      <alignment horizontal="center" vertical="center"/>
    </xf>
    <xf numFmtId="0" fontId="41" fillId="25" borderId="21" xfId="0" applyFont="1" applyFill="1" applyBorder="1" applyAlignment="1">
      <alignment horizontal="center" vertical="center"/>
    </xf>
    <xf numFmtId="3" fontId="8" fillId="24" borderId="0" xfId="0" applyNumberFormat="1" applyFont="1" applyFill="1"/>
    <xf numFmtId="0" fontId="8" fillId="24" borderId="0" xfId="0" applyFont="1" applyFill="1" applyAlignment="1">
      <alignment horizontal="center" vertical="top" wrapText="1"/>
    </xf>
    <xf numFmtId="0" fontId="44" fillId="24" borderId="0" xfId="0" applyFont="1" applyFill="1" applyAlignment="1">
      <alignment horizontal="center" vertical="center"/>
    </xf>
    <xf numFmtId="0" fontId="41" fillId="24" borderId="0" xfId="0" applyFont="1" applyFill="1" applyAlignment="1">
      <alignment horizontal="center" vertical="center"/>
    </xf>
    <xf numFmtId="1" fontId="50" fillId="0" borderId="15" xfId="0" applyNumberFormat="1" applyFont="1" applyBorder="1" applyAlignment="1">
      <alignment horizontal="center" vertical="top"/>
    </xf>
    <xf numFmtId="0" fontId="52" fillId="0" borderId="15" xfId="0" applyFont="1" applyBorder="1" applyAlignment="1">
      <alignment horizontal="center"/>
    </xf>
    <xf numFmtId="0" fontId="52" fillId="0" borderId="15" xfId="0" applyFont="1" applyBorder="1" applyAlignment="1">
      <alignment horizontal="center" vertical="center"/>
    </xf>
    <xf numFmtId="1" fontId="53" fillId="0" borderId="15" xfId="0" applyNumberFormat="1" applyFont="1" applyBorder="1" applyAlignment="1">
      <alignment horizontal="center"/>
    </xf>
    <xf numFmtId="0" fontId="53" fillId="0" borderId="15" xfId="0" applyFont="1" applyBorder="1" applyAlignment="1">
      <alignment horizontal="left" vertical="top" wrapText="1"/>
    </xf>
    <xf numFmtId="1" fontId="53" fillId="0" borderId="15" xfId="0" applyNumberFormat="1" applyFont="1" applyBorder="1"/>
    <xf numFmtId="0" fontId="53" fillId="0" borderId="15" xfId="0" applyFont="1" applyBorder="1" applyAlignment="1">
      <alignment horizontal="right" vertical="center"/>
    </xf>
    <xf numFmtId="0" fontId="53" fillId="0" borderId="18" xfId="0" applyFont="1" applyBorder="1"/>
    <xf numFmtId="0" fontId="52" fillId="0" borderId="24" xfId="0" applyFont="1" applyBorder="1" applyAlignment="1">
      <alignment horizontal="center" vertical="center" wrapText="1"/>
    </xf>
    <xf numFmtId="0" fontId="52" fillId="0" borderId="23" xfId="0" applyFont="1" applyBorder="1" applyAlignment="1">
      <alignment horizontal="center" vertical="center" wrapText="1"/>
    </xf>
    <xf numFmtId="1" fontId="50" fillId="0" borderId="22" xfId="0" applyNumberFormat="1" applyFont="1" applyBorder="1" applyAlignment="1">
      <alignment horizontal="center"/>
    </xf>
    <xf numFmtId="1" fontId="50" fillId="0" borderId="15" xfId="0" applyNumberFormat="1" applyFont="1" applyBorder="1" applyAlignment="1">
      <alignment horizontal="center"/>
    </xf>
    <xf numFmtId="1" fontId="50" fillId="0" borderId="21" xfId="0" applyNumberFormat="1" applyFont="1" applyBorder="1" applyAlignment="1">
      <alignment horizontal="center"/>
    </xf>
    <xf numFmtId="1" fontId="53" fillId="0" borderId="15" xfId="0" applyNumberFormat="1" applyFont="1" applyBorder="1" applyAlignment="1">
      <alignment horizontal="center" vertical="top"/>
    </xf>
    <xf numFmtId="0" fontId="54" fillId="24" borderId="0" xfId="0" applyFont="1" applyFill="1" applyAlignment="1">
      <alignment horizontal="left"/>
    </xf>
    <xf numFmtId="1" fontId="53" fillId="0" borderId="19" xfId="0" applyNumberFormat="1" applyFont="1" applyBorder="1"/>
    <xf numFmtId="0" fontId="4" fillId="26" borderId="0" xfId="0" applyFont="1" applyFill="1"/>
    <xf numFmtId="0" fontId="31" fillId="26" borderId="0" xfId="0" applyFont="1" applyFill="1" applyAlignment="1">
      <alignment vertical="top"/>
    </xf>
    <xf numFmtId="0" fontId="0" fillId="26" borderId="0" xfId="0" applyFill="1" applyAlignment="1">
      <alignment vertical="top"/>
    </xf>
    <xf numFmtId="0" fontId="8" fillId="26" borderId="0" xfId="0" applyFont="1" applyFill="1" applyAlignment="1">
      <alignment horizontal="center" vertical="center"/>
    </xf>
    <xf numFmtId="0" fontId="0" fillId="26" borderId="0" xfId="0" applyFill="1" applyAlignment="1">
      <alignment horizontal="left" vertical="top" wrapText="1"/>
    </xf>
    <xf numFmtId="0" fontId="35" fillId="26" borderId="0" xfId="0" applyFont="1" applyFill="1"/>
    <xf numFmtId="0" fontId="36" fillId="26" borderId="0" xfId="0" applyFont="1" applyFill="1" applyAlignment="1">
      <alignment horizontal="right"/>
    </xf>
    <xf numFmtId="0" fontId="0" fillId="26" borderId="0" xfId="0" applyFill="1"/>
    <xf numFmtId="0" fontId="4" fillId="26" borderId="0" xfId="0" applyFont="1" applyFill="1" applyAlignment="1">
      <alignment horizontal="left" vertical="top" wrapText="1"/>
    </xf>
    <xf numFmtId="0" fontId="8" fillId="26" borderId="0" xfId="0" applyFont="1" applyFill="1" applyAlignment="1">
      <alignment vertical="center" wrapText="1"/>
    </xf>
    <xf numFmtId="0" fontId="0" fillId="26" borderId="0" xfId="0" applyFill="1" applyAlignment="1">
      <alignment wrapText="1"/>
    </xf>
    <xf numFmtId="0" fontId="53" fillId="0" borderId="15" xfId="0" applyFont="1" applyBorder="1" applyAlignment="1">
      <alignment horizontal="left" vertical="center"/>
    </xf>
    <xf numFmtId="0" fontId="4" fillId="0" borderId="0" xfId="0" applyFont="1"/>
    <xf numFmtId="0" fontId="7" fillId="0" borderId="0" xfId="0" applyFont="1"/>
    <xf numFmtId="0" fontId="40" fillId="0" borderId="18" xfId="0" applyFont="1" applyBorder="1" applyAlignment="1">
      <alignment horizontal="right"/>
    </xf>
    <xf numFmtId="0" fontId="35" fillId="0" borderId="0" xfId="0" applyFont="1"/>
    <xf numFmtId="0" fontId="36" fillId="0" borderId="0" xfId="0" applyFont="1" applyAlignment="1">
      <alignment horizontal="right"/>
    </xf>
    <xf numFmtId="0" fontId="35" fillId="0" borderId="0" xfId="0" applyFont="1" applyAlignment="1">
      <alignment horizontal="right"/>
    </xf>
    <xf numFmtId="0" fontId="40" fillId="0" borderId="14" xfId="0" applyFont="1" applyBorder="1" applyAlignment="1" applyProtection="1">
      <alignment horizontal="right"/>
      <protection locked="0"/>
    </xf>
    <xf numFmtId="0" fontId="4" fillId="24" borderId="0" xfId="0" applyFont="1" applyFill="1" applyAlignment="1">
      <alignment vertical="center"/>
    </xf>
    <xf numFmtId="0" fontId="7" fillId="0" borderId="0" xfId="0" applyFont="1" applyAlignment="1">
      <alignment vertical="center"/>
    </xf>
    <xf numFmtId="0" fontId="4" fillId="0" borderId="0" xfId="0" applyFont="1" applyAlignment="1">
      <alignment vertical="center"/>
    </xf>
    <xf numFmtId="0" fontId="7" fillId="26" borderId="33" xfId="0" applyFont="1" applyFill="1" applyBorder="1"/>
    <xf numFmtId="0" fontId="7" fillId="26" borderId="33" xfId="0" applyFont="1" applyFill="1" applyBorder="1" applyAlignment="1">
      <alignment vertical="center"/>
    </xf>
    <xf numFmtId="0" fontId="34" fillId="26" borderId="0" xfId="0" applyFont="1" applyFill="1" applyAlignment="1">
      <alignment wrapText="1"/>
    </xf>
    <xf numFmtId="0" fontId="4" fillId="0" borderId="21" xfId="0" applyFont="1" applyBorder="1" applyAlignment="1">
      <alignment horizontal="left" vertical="center" wrapText="1"/>
    </xf>
    <xf numFmtId="3" fontId="4" fillId="0" borderId="15" xfId="0" applyNumberFormat="1" applyFont="1" applyBorder="1" applyAlignment="1">
      <alignment horizontal="center" vertical="center"/>
    </xf>
    <xf numFmtId="3" fontId="4" fillId="0" borderId="21" xfId="0" applyNumberFormat="1" applyFont="1" applyBorder="1" applyAlignment="1">
      <alignment horizontal="center" vertical="center"/>
    </xf>
    <xf numFmtId="0" fontId="0" fillId="24" borderId="0" xfId="0" applyFill="1" applyAlignment="1">
      <alignment vertical="center"/>
    </xf>
    <xf numFmtId="164" fontId="4" fillId="0" borderId="15" xfId="0" applyNumberFormat="1" applyFont="1" applyBorder="1" applyAlignment="1">
      <alignment horizontal="center" vertical="center"/>
    </xf>
    <xf numFmtId="164" fontId="4" fillId="0" borderId="18" xfId="0" applyNumberFormat="1" applyFont="1" applyBorder="1" applyAlignment="1">
      <alignment horizontal="center" vertical="center"/>
    </xf>
    <xf numFmtId="164" fontId="4" fillId="0" borderId="21" xfId="0" applyNumberFormat="1" applyFont="1" applyBorder="1" applyAlignment="1">
      <alignment horizontal="center" vertical="center"/>
    </xf>
    <xf numFmtId="1" fontId="4" fillId="0" borderId="15" xfId="0" applyNumberFormat="1" applyFont="1" applyBorder="1" applyAlignment="1">
      <alignment horizontal="center" vertical="center"/>
    </xf>
    <xf numFmtId="0" fontId="52" fillId="0" borderId="23" xfId="0" applyFont="1" applyBorder="1" applyAlignment="1">
      <alignment horizontal="center" vertical="center" textRotation="90" wrapText="1"/>
    </xf>
    <xf numFmtId="0" fontId="52" fillId="0" borderId="16" xfId="0" applyFont="1" applyBorder="1" applyAlignment="1">
      <alignment horizontal="center" vertical="center" textRotation="90" wrapText="1"/>
    </xf>
    <xf numFmtId="0" fontId="52" fillId="0" borderId="24" xfId="0" applyFont="1" applyBorder="1" applyAlignment="1">
      <alignment horizontal="center" vertical="center" textRotation="90" wrapText="1"/>
    </xf>
    <xf numFmtId="0" fontId="31" fillId="26" borderId="0" xfId="0" applyFont="1" applyFill="1" applyAlignment="1">
      <alignment vertical="top" wrapText="1"/>
    </xf>
    <xf numFmtId="0" fontId="0" fillId="26" borderId="0" xfId="0" applyFill="1" applyAlignment="1">
      <alignment vertical="top" wrapText="1"/>
    </xf>
    <xf numFmtId="0" fontId="46" fillId="26" borderId="0" xfId="0" applyFont="1" applyFill="1" applyAlignment="1">
      <alignment vertical="center" wrapText="1"/>
    </xf>
    <xf numFmtId="0" fontId="4" fillId="24" borderId="15" xfId="0" applyFont="1" applyFill="1" applyBorder="1" applyAlignment="1">
      <alignment vertical="center"/>
    </xf>
    <xf numFmtId="0" fontId="0" fillId="0" borderId="15" xfId="0" applyBorder="1" applyAlignment="1">
      <alignment vertical="center" wrapText="1"/>
    </xf>
    <xf numFmtId="0" fontId="4" fillId="24" borderId="35" xfId="0" applyFont="1" applyFill="1" applyBorder="1"/>
    <xf numFmtId="0" fontId="4" fillId="24" borderId="36" xfId="0" applyFont="1" applyFill="1" applyBorder="1"/>
    <xf numFmtId="0" fontId="0" fillId="24" borderId="36" xfId="0" applyFill="1" applyBorder="1"/>
    <xf numFmtId="0" fontId="4" fillId="24" borderId="37" xfId="0" applyFont="1" applyFill="1" applyBorder="1"/>
    <xf numFmtId="0" fontId="37" fillId="24" borderId="38" xfId="0" applyFont="1" applyFill="1" applyBorder="1"/>
    <xf numFmtId="0" fontId="4" fillId="24" borderId="39" xfId="0" applyFont="1" applyFill="1" applyBorder="1"/>
    <xf numFmtId="0" fontId="4" fillId="24" borderId="38" xfId="0" applyFont="1" applyFill="1" applyBorder="1"/>
    <xf numFmtId="0" fontId="4" fillId="24" borderId="38" xfId="0" applyFont="1" applyFill="1" applyBorder="1" applyAlignment="1">
      <alignment vertical="center"/>
    </xf>
    <xf numFmtId="0" fontId="4" fillId="24" borderId="39" xfId="0" applyFont="1" applyFill="1" applyBorder="1" applyAlignment="1">
      <alignment vertical="center"/>
    </xf>
    <xf numFmtId="0" fontId="8" fillId="26" borderId="0" xfId="0" applyFont="1" applyFill="1"/>
    <xf numFmtId="0" fontId="4" fillId="24" borderId="40" xfId="0" applyFont="1" applyFill="1" applyBorder="1"/>
    <xf numFmtId="0" fontId="4" fillId="24" borderId="41" xfId="0" applyFont="1" applyFill="1" applyBorder="1"/>
    <xf numFmtId="0" fontId="0" fillId="24" borderId="41" xfId="0" applyFill="1" applyBorder="1"/>
    <xf numFmtId="0" fontId="4" fillId="24" borderId="42" xfId="0" applyFont="1" applyFill="1" applyBorder="1"/>
    <xf numFmtId="0" fontId="56" fillId="24" borderId="0" xfId="0" applyFont="1" applyFill="1" applyAlignment="1">
      <alignment horizontal="left" vertical="center"/>
    </xf>
    <xf numFmtId="0" fontId="4" fillId="29" borderId="21" xfId="0" applyFont="1" applyFill="1" applyBorder="1" applyAlignment="1">
      <alignment horizontal="left" vertical="center" wrapText="1"/>
    </xf>
    <xf numFmtId="3" fontId="4" fillId="29" borderId="15" xfId="0" applyNumberFormat="1" applyFont="1" applyFill="1" applyBorder="1" applyAlignment="1">
      <alignment horizontal="center" vertical="center"/>
    </xf>
    <xf numFmtId="3" fontId="4" fillId="29" borderId="21" xfId="0" applyNumberFormat="1" applyFont="1" applyFill="1" applyBorder="1" applyAlignment="1">
      <alignment horizontal="center" vertical="center"/>
    </xf>
    <xf numFmtId="165" fontId="4" fillId="29" borderId="15" xfId="0" applyNumberFormat="1" applyFont="1" applyFill="1" applyBorder="1" applyAlignment="1" applyProtection="1">
      <alignment horizontal="center" vertical="center"/>
      <protection hidden="1"/>
    </xf>
    <xf numFmtId="165" fontId="4" fillId="29" borderId="18" xfId="0" applyNumberFormat="1" applyFont="1" applyFill="1" applyBorder="1" applyAlignment="1" applyProtection="1">
      <alignment horizontal="center" vertical="center"/>
      <protection hidden="1"/>
    </xf>
    <xf numFmtId="0" fontId="4" fillId="26" borderId="0" xfId="0" applyFont="1" applyFill="1" applyAlignment="1">
      <alignment horizontal="center" vertical="top"/>
    </xf>
    <xf numFmtId="0" fontId="35" fillId="24" borderId="44" xfId="0" applyFont="1" applyFill="1" applyBorder="1"/>
    <xf numFmtId="0" fontId="35" fillId="24" borderId="44" xfId="0" applyFont="1" applyFill="1" applyBorder="1" applyAlignment="1">
      <alignment vertical="center"/>
    </xf>
    <xf numFmtId="0" fontId="4" fillId="24" borderId="44" xfId="0" applyFont="1" applyFill="1" applyBorder="1"/>
    <xf numFmtId="0" fontId="35" fillId="24" borderId="45" xfId="0" applyFont="1" applyFill="1" applyBorder="1"/>
    <xf numFmtId="0" fontId="4" fillId="24" borderId="46" xfId="0" applyFont="1" applyFill="1" applyBorder="1"/>
    <xf numFmtId="0" fontId="4" fillId="24" borderId="48" xfId="0" applyFont="1" applyFill="1" applyBorder="1"/>
    <xf numFmtId="0" fontId="0" fillId="24" borderId="48" xfId="0" applyFill="1" applyBorder="1"/>
    <xf numFmtId="0" fontId="4" fillId="0" borderId="15" xfId="0" applyFont="1" applyBorder="1" applyAlignment="1">
      <alignment horizontal="center" vertical="center" wrapText="1"/>
    </xf>
    <xf numFmtId="165" fontId="4" fillId="0" borderId="0" xfId="0" applyNumberFormat="1" applyFont="1" applyAlignment="1">
      <alignment vertical="center"/>
    </xf>
    <xf numFmtId="165" fontId="36" fillId="0" borderId="0" xfId="0" applyNumberFormat="1" applyFont="1" applyAlignment="1">
      <alignment horizontal="right"/>
    </xf>
    <xf numFmtId="165" fontId="4" fillId="0" borderId="0" xfId="0" applyNumberFormat="1" applyFont="1"/>
    <xf numFmtId="0" fontId="8" fillId="26" borderId="46" xfId="0" applyFont="1" applyFill="1" applyBorder="1" applyAlignment="1">
      <alignment vertical="center"/>
    </xf>
    <xf numFmtId="0" fontId="35" fillId="26" borderId="46" xfId="0" applyFont="1" applyFill="1" applyBorder="1"/>
    <xf numFmtId="0" fontId="35" fillId="26" borderId="46" xfId="0" applyFont="1" applyFill="1" applyBorder="1" applyAlignment="1">
      <alignment vertical="center"/>
    </xf>
    <xf numFmtId="0" fontId="4" fillId="26" borderId="46" xfId="0" applyFont="1" applyFill="1" applyBorder="1"/>
    <xf numFmtId="0" fontId="35" fillId="26" borderId="17" xfId="0" applyFont="1" applyFill="1" applyBorder="1"/>
    <xf numFmtId="0" fontId="4" fillId="26" borderId="43" xfId="0" applyFont="1" applyFill="1" applyBorder="1"/>
    <xf numFmtId="0" fontId="4" fillId="26" borderId="44" xfId="0" applyFont="1" applyFill="1" applyBorder="1"/>
    <xf numFmtId="0" fontId="4" fillId="26" borderId="0" xfId="0" applyFont="1" applyFill="1" applyAlignment="1">
      <alignment vertical="center"/>
    </xf>
    <xf numFmtId="0" fontId="4" fillId="26" borderId="44" xfId="0" applyFont="1" applyFill="1" applyBorder="1" applyAlignment="1">
      <alignment vertical="center"/>
    </xf>
    <xf numFmtId="0" fontId="36" fillId="26" borderId="44" xfId="0" applyFont="1" applyFill="1" applyBorder="1" applyAlignment="1">
      <alignment horizontal="right"/>
    </xf>
    <xf numFmtId="9" fontId="4" fillId="0" borderId="15" xfId="0" applyNumberFormat="1" applyFont="1" applyBorder="1" applyAlignment="1">
      <alignment horizontal="center" vertical="center"/>
    </xf>
    <xf numFmtId="9" fontId="4" fillId="29" borderId="15" xfId="0" applyNumberFormat="1" applyFont="1" applyFill="1" applyBorder="1" applyAlignment="1">
      <alignment horizontal="center" vertical="center"/>
    </xf>
    <xf numFmtId="9" fontId="4" fillId="0" borderId="21" xfId="0" applyNumberFormat="1" applyFont="1" applyBorder="1" applyAlignment="1">
      <alignment horizontal="center" vertical="center"/>
    </xf>
    <xf numFmtId="9" fontId="4" fillId="29" borderId="21" xfId="0" applyNumberFormat="1" applyFont="1" applyFill="1" applyBorder="1" applyAlignment="1">
      <alignment horizontal="center" vertical="center"/>
    </xf>
    <xf numFmtId="164" fontId="4" fillId="26" borderId="0" xfId="0" applyNumberFormat="1" applyFont="1" applyFill="1" applyAlignment="1">
      <alignment horizontal="center" vertical="center"/>
    </xf>
    <xf numFmtId="3" fontId="4" fillId="26" borderId="0" xfId="0" applyNumberFormat="1" applyFont="1" applyFill="1" applyAlignment="1">
      <alignment horizontal="center" vertical="center"/>
    </xf>
    <xf numFmtId="165" fontId="4" fillId="26" borderId="0" xfId="0" applyNumberFormat="1" applyFont="1" applyFill="1" applyAlignment="1" applyProtection="1">
      <alignment horizontal="center" vertical="center"/>
      <protection hidden="1"/>
    </xf>
    <xf numFmtId="0" fontId="4" fillId="26" borderId="0" xfId="0" quotePrefix="1" applyFont="1" applyFill="1" applyAlignment="1">
      <alignment horizontal="center" vertical="center"/>
    </xf>
    <xf numFmtId="165" fontId="4" fillId="26" borderId="0" xfId="0" applyNumberFormat="1" applyFont="1" applyFill="1" applyAlignment="1" applyProtection="1">
      <alignment horizontal="center" vertical="center" wrapText="1"/>
      <protection hidden="1"/>
    </xf>
    <xf numFmtId="9" fontId="36" fillId="0" borderId="0" xfId="0" applyNumberFormat="1" applyFont="1" applyAlignment="1">
      <alignment horizontal="right"/>
    </xf>
    <xf numFmtId="0" fontId="0" fillId="26" borderId="0" xfId="0" applyFill="1" applyAlignment="1">
      <alignment horizontal="left" vertical="top"/>
    </xf>
    <xf numFmtId="0" fontId="52" fillId="0" borderId="16" xfId="0" applyFont="1" applyBorder="1" applyAlignment="1">
      <alignment horizontal="center" vertical="center" wrapText="1"/>
    </xf>
    <xf numFmtId="0" fontId="36" fillId="0" borderId="49" xfId="0" applyFont="1" applyBorder="1" applyAlignment="1">
      <alignment horizontal="right"/>
    </xf>
    <xf numFmtId="0" fontId="4" fillId="0" borderId="49" xfId="0" applyFont="1" applyBorder="1"/>
    <xf numFmtId="0" fontId="4" fillId="0" borderId="43" xfId="0" applyFont="1" applyBorder="1"/>
    <xf numFmtId="0" fontId="35" fillId="0" borderId="46" xfId="0" applyFont="1" applyBorder="1"/>
    <xf numFmtId="0" fontId="4" fillId="0" borderId="44" xfId="0" applyFont="1" applyBorder="1"/>
    <xf numFmtId="0" fontId="52" fillId="0" borderId="15" xfId="0" applyFont="1" applyBorder="1" applyAlignment="1">
      <alignment horizontal="center" wrapText="1"/>
    </xf>
    <xf numFmtId="0" fontId="36" fillId="0" borderId="0" xfId="0" applyFont="1" applyAlignment="1">
      <alignment horizontal="right" vertical="center"/>
    </xf>
    <xf numFmtId="0" fontId="51" fillId="0" borderId="0" xfId="0" applyFont="1" applyAlignment="1">
      <alignment horizontal="right" vertical="center"/>
    </xf>
    <xf numFmtId="0" fontId="51" fillId="0" borderId="0" xfId="0" applyFont="1" applyAlignment="1">
      <alignment horizontal="right"/>
    </xf>
    <xf numFmtId="0" fontId="35" fillId="0" borderId="46" xfId="0" applyFont="1" applyBorder="1" applyAlignment="1">
      <alignment vertical="center"/>
    </xf>
    <xf numFmtId="3" fontId="39" fillId="0" borderId="0" xfId="0" applyNumberFormat="1" applyFont="1" applyAlignment="1">
      <alignment horizontal="right"/>
    </xf>
    <xf numFmtId="0" fontId="39" fillId="0" borderId="0" xfId="0" applyFont="1" applyAlignment="1">
      <alignment horizontal="right"/>
    </xf>
    <xf numFmtId="0" fontId="39" fillId="0" borderId="0" xfId="0" applyFont="1" applyAlignment="1">
      <alignment horizontal="center"/>
    </xf>
    <xf numFmtId="0" fontId="54" fillId="0" borderId="0" xfId="0" applyFont="1" applyAlignment="1">
      <alignment horizontal="left"/>
    </xf>
    <xf numFmtId="0" fontId="36" fillId="0" borderId="0" xfId="0" applyFont="1" applyAlignment="1">
      <alignment horizontal="center" vertical="center"/>
    </xf>
    <xf numFmtId="0" fontId="4" fillId="0" borderId="46" xfId="0" applyFont="1" applyBorder="1"/>
    <xf numFmtId="0" fontId="36" fillId="26" borderId="48" xfId="0" applyFont="1" applyFill="1" applyBorder="1" applyAlignment="1">
      <alignment horizontal="right"/>
    </xf>
    <xf numFmtId="0" fontId="4" fillId="26" borderId="48" xfId="0" applyFont="1" applyFill="1" applyBorder="1"/>
    <xf numFmtId="0" fontId="50" fillId="0" borderId="0" xfId="0" applyFont="1" applyAlignment="1">
      <alignment horizontal="left" vertical="center"/>
    </xf>
    <xf numFmtId="0" fontId="36" fillId="0" borderId="0" xfId="0" applyFont="1" applyAlignment="1">
      <alignment horizontal="left" vertical="center"/>
    </xf>
    <xf numFmtId="1" fontId="53" fillId="0" borderId="15" xfId="0" applyNumberFormat="1" applyFont="1" applyBorder="1" applyAlignment="1">
      <alignment horizontal="center" vertical="center"/>
    </xf>
    <xf numFmtId="0" fontId="36" fillId="0" borderId="15" xfId="0" applyFont="1" applyBorder="1" applyAlignment="1">
      <alignment horizontal="right" vertical="center"/>
    </xf>
    <xf numFmtId="0" fontId="36" fillId="0" borderId="0" xfId="0" applyFont="1" applyAlignment="1">
      <alignment horizontal="center"/>
    </xf>
    <xf numFmtId="0" fontId="52" fillId="0" borderId="14" xfId="0" applyFont="1" applyBorder="1" applyAlignment="1">
      <alignment horizontal="center" vertical="center"/>
    </xf>
    <xf numFmtId="164" fontId="50" fillId="0" borderId="16" xfId="0" applyNumberFormat="1" applyFont="1" applyBorder="1" applyAlignment="1">
      <alignment vertical="center"/>
    </xf>
    <xf numFmtId="165" fontId="53" fillId="0" borderId="43" xfId="0" applyNumberFormat="1" applyFont="1" applyBorder="1" applyAlignment="1">
      <alignment vertical="center"/>
    </xf>
    <xf numFmtId="0" fontId="53" fillId="0" borderId="15" xfId="0" applyFont="1" applyBorder="1" applyAlignment="1">
      <alignment horizontal="center" vertical="center"/>
    </xf>
    <xf numFmtId="0" fontId="50" fillId="0" borderId="14"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15" xfId="0" applyFont="1" applyBorder="1" applyAlignment="1">
      <alignment horizontal="right" vertical="center"/>
    </xf>
    <xf numFmtId="165" fontId="53" fillId="0" borderId="15" xfId="0" applyNumberFormat="1" applyFont="1" applyBorder="1" applyAlignment="1">
      <alignment vertical="center"/>
    </xf>
    <xf numFmtId="0" fontId="4" fillId="24" borderId="38" xfId="0" applyFont="1" applyFill="1" applyBorder="1" applyAlignment="1">
      <alignment horizontal="left" vertical="top"/>
    </xf>
    <xf numFmtId="0" fontId="4" fillId="26" borderId="36" xfId="0" applyFont="1" applyFill="1" applyBorder="1"/>
    <xf numFmtId="0" fontId="0" fillId="26" borderId="36" xfId="0" applyFill="1" applyBorder="1"/>
    <xf numFmtId="0" fontId="4" fillId="26" borderId="37" xfId="0" applyFont="1" applyFill="1" applyBorder="1"/>
    <xf numFmtId="0" fontId="4" fillId="26" borderId="39" xfId="0" applyFont="1" applyFill="1" applyBorder="1"/>
    <xf numFmtId="0" fontId="8" fillId="26" borderId="0" xfId="0" applyFont="1" applyFill="1" applyAlignment="1">
      <alignment horizontal="left" vertical="top"/>
    </xf>
    <xf numFmtId="0" fontId="36" fillId="0" borderId="0" xfId="0" applyFont="1" applyAlignment="1">
      <alignment horizontal="left"/>
    </xf>
    <xf numFmtId="0" fontId="3" fillId="0" borderId="15" xfId="0" applyFont="1" applyBorder="1" applyAlignment="1">
      <alignment horizontal="center" vertical="center" wrapText="1"/>
    </xf>
    <xf numFmtId="0" fontId="0" fillId="24" borderId="0" xfId="0" applyFill="1" applyAlignment="1">
      <alignment vertical="top" wrapText="1"/>
    </xf>
    <xf numFmtId="0" fontId="7" fillId="26" borderId="44" xfId="0" applyFont="1" applyFill="1" applyBorder="1"/>
    <xf numFmtId="0" fontId="7" fillId="24" borderId="35" xfId="0" applyFont="1" applyFill="1" applyBorder="1"/>
    <xf numFmtId="0" fontId="7" fillId="24" borderId="36" xfId="0" applyFont="1" applyFill="1" applyBorder="1"/>
    <xf numFmtId="0" fontId="7" fillId="24" borderId="38" xfId="0" applyFont="1" applyFill="1" applyBorder="1"/>
    <xf numFmtId="0" fontId="7" fillId="24" borderId="38" xfId="0" applyFont="1" applyFill="1" applyBorder="1" applyAlignment="1">
      <alignment vertical="center"/>
    </xf>
    <xf numFmtId="0" fontId="7" fillId="26" borderId="40" xfId="0" applyFont="1" applyFill="1" applyBorder="1" applyAlignment="1">
      <alignment horizontal="center" wrapText="1"/>
    </xf>
    <xf numFmtId="0" fontId="0" fillId="26" borderId="41" xfId="0" applyFill="1" applyBorder="1" applyAlignment="1">
      <alignment horizontal="center" wrapText="1"/>
    </xf>
    <xf numFmtId="0" fontId="4" fillId="26" borderId="42" xfId="0" applyFont="1" applyFill="1" applyBorder="1"/>
    <xf numFmtId="0" fontId="40" fillId="0" borderId="18" xfId="0" applyFont="1" applyBorder="1" applyAlignment="1">
      <alignment horizontal="center"/>
    </xf>
    <xf numFmtId="0" fontId="4" fillId="26" borderId="45" xfId="0" applyFont="1" applyFill="1" applyBorder="1"/>
    <xf numFmtId="0" fontId="7" fillId="24" borderId="44" xfId="0" applyFont="1" applyFill="1" applyBorder="1"/>
    <xf numFmtId="0" fontId="7" fillId="24" borderId="44" xfId="0" applyFont="1" applyFill="1" applyBorder="1" applyAlignment="1">
      <alignment vertical="center"/>
    </xf>
    <xf numFmtId="0" fontId="7" fillId="24" borderId="48" xfId="0" applyFont="1" applyFill="1" applyBorder="1"/>
    <xf numFmtId="0" fontId="7" fillId="24" borderId="45" xfId="0" applyFont="1" applyFill="1" applyBorder="1"/>
    <xf numFmtId="0" fontId="7" fillId="24" borderId="47" xfId="0" applyFont="1" applyFill="1" applyBorder="1"/>
    <xf numFmtId="0" fontId="7" fillId="24" borderId="37" xfId="0" applyFont="1" applyFill="1" applyBorder="1"/>
    <xf numFmtId="0" fontId="7" fillId="24" borderId="39" xfId="0" applyFont="1" applyFill="1" applyBorder="1"/>
    <xf numFmtId="0" fontId="7" fillId="24" borderId="39" xfId="0" applyFont="1" applyFill="1" applyBorder="1" applyAlignment="1">
      <alignment vertical="center"/>
    </xf>
    <xf numFmtId="0" fontId="33" fillId="26" borderId="38" xfId="0" applyFont="1" applyFill="1" applyBorder="1" applyAlignment="1">
      <alignment horizontal="center" wrapText="1"/>
    </xf>
    <xf numFmtId="0" fontId="0" fillId="26" borderId="39" xfId="0" applyFill="1" applyBorder="1" applyAlignment="1">
      <alignment wrapText="1"/>
    </xf>
    <xf numFmtId="0" fontId="7" fillId="26" borderId="52" xfId="0" applyFont="1" applyFill="1" applyBorder="1" applyAlignment="1">
      <alignment horizontal="center" wrapText="1"/>
    </xf>
    <xf numFmtId="0" fontId="0" fillId="26" borderId="53" xfId="0" applyFill="1" applyBorder="1" applyAlignment="1">
      <alignment horizontal="center" wrapText="1"/>
    </xf>
    <xf numFmtId="0" fontId="0" fillId="26" borderId="53" xfId="0" applyFill="1" applyBorder="1" applyAlignment="1">
      <alignment wrapText="1"/>
    </xf>
    <xf numFmtId="0" fontId="0" fillId="26" borderId="54" xfId="0" applyFill="1" applyBorder="1" applyAlignment="1">
      <alignment wrapText="1"/>
    </xf>
    <xf numFmtId="0" fontId="4" fillId="24" borderId="52" xfId="0" applyFont="1" applyFill="1" applyBorder="1"/>
    <xf numFmtId="0" fontId="4" fillId="24" borderId="53" xfId="0" applyFont="1" applyFill="1" applyBorder="1"/>
    <xf numFmtId="0" fontId="4" fillId="24" borderId="54" xfId="0" applyFont="1" applyFill="1" applyBorder="1"/>
    <xf numFmtId="0" fontId="35" fillId="26" borderId="36" xfId="0" applyFont="1" applyFill="1" applyBorder="1"/>
    <xf numFmtId="0" fontId="4" fillId="26" borderId="53" xfId="0" applyFont="1" applyFill="1" applyBorder="1"/>
    <xf numFmtId="0" fontId="0" fillId="26" borderId="53" xfId="0" applyFill="1" applyBorder="1"/>
    <xf numFmtId="0" fontId="35" fillId="26" borderId="53" xfId="0" applyFont="1" applyFill="1" applyBorder="1"/>
    <xf numFmtId="0" fontId="4" fillId="26" borderId="54" xfId="0" applyFont="1" applyFill="1" applyBorder="1"/>
    <xf numFmtId="0" fontId="36" fillId="26" borderId="43" xfId="0" applyFont="1" applyFill="1" applyBorder="1" applyAlignment="1">
      <alignment horizontal="right"/>
    </xf>
    <xf numFmtId="0" fontId="4" fillId="24" borderId="57" xfId="0" applyFont="1" applyFill="1" applyBorder="1"/>
    <xf numFmtId="0" fontId="7" fillId="26" borderId="39" xfId="0" applyFont="1" applyFill="1" applyBorder="1"/>
    <xf numFmtId="0" fontId="7" fillId="24" borderId="57" xfId="0" applyFont="1" applyFill="1" applyBorder="1"/>
    <xf numFmtId="0" fontId="7" fillId="24" borderId="57" xfId="0" applyFont="1" applyFill="1" applyBorder="1" applyAlignment="1">
      <alignment vertical="center"/>
    </xf>
    <xf numFmtId="0" fontId="7" fillId="26" borderId="39" xfId="0" applyFont="1" applyFill="1" applyBorder="1" applyAlignment="1">
      <alignment vertical="center"/>
    </xf>
    <xf numFmtId="0" fontId="33" fillId="24" borderId="57" xfId="0" applyFont="1" applyFill="1" applyBorder="1" applyAlignment="1">
      <alignment horizontal="center" wrapText="1"/>
    </xf>
    <xf numFmtId="0" fontId="7" fillId="26" borderId="42" xfId="0" applyFont="1" applyFill="1" applyBorder="1"/>
    <xf numFmtId="0" fontId="4" fillId="26" borderId="41" xfId="0" applyFont="1" applyFill="1" applyBorder="1"/>
    <xf numFmtId="0" fontId="7" fillId="24" borderId="55" xfId="0" applyFont="1" applyFill="1" applyBorder="1"/>
    <xf numFmtId="0" fontId="4" fillId="24" borderId="57" xfId="0" applyFont="1" applyFill="1" applyBorder="1" applyAlignment="1">
      <alignment vertical="center"/>
    </xf>
    <xf numFmtId="0" fontId="35" fillId="26" borderId="58" xfId="0" applyFont="1" applyFill="1" applyBorder="1"/>
    <xf numFmtId="0" fontId="4" fillId="0" borderId="0" xfId="0" applyFont="1" applyAlignment="1">
      <alignment horizontal="left" vertical="center" wrapText="1"/>
    </xf>
    <xf numFmtId="3" fontId="4" fillId="26" borderId="15" xfId="0" applyNumberFormat="1" applyFont="1" applyFill="1" applyBorder="1" applyAlignment="1">
      <alignment horizontal="center" vertical="center"/>
    </xf>
    <xf numFmtId="3" fontId="4" fillId="26" borderId="21" xfId="0" applyNumberFormat="1" applyFont="1" applyFill="1" applyBorder="1" applyAlignment="1">
      <alignment horizontal="center" vertical="center"/>
    </xf>
    <xf numFmtId="0" fontId="41" fillId="25" borderId="14" xfId="0" applyFont="1" applyFill="1" applyBorder="1" applyAlignment="1">
      <alignment horizontal="center" vertical="center"/>
    </xf>
    <xf numFmtId="0" fontId="4" fillId="0" borderId="21" xfId="0" applyFont="1" applyBorder="1" applyAlignment="1">
      <alignment horizontal="center" vertical="center" wrapText="1"/>
    </xf>
    <xf numFmtId="0" fontId="0" fillId="0" borderId="0" xfId="0" applyAlignment="1">
      <alignment wrapText="1"/>
    </xf>
    <xf numFmtId="0" fontId="8" fillId="26" borderId="0" xfId="0" applyFont="1" applyFill="1" applyAlignment="1">
      <alignment horizontal="center" vertical="center" wrapText="1"/>
    </xf>
    <xf numFmtId="0" fontId="0" fillId="26" borderId="0" xfId="0" applyFill="1" applyAlignment="1">
      <alignment horizontal="center" vertical="center" wrapText="1"/>
    </xf>
    <xf numFmtId="0" fontId="8" fillId="26" borderId="0" xfId="0" applyFont="1" applyFill="1" applyAlignment="1">
      <alignment horizontal="left" vertical="center" wrapText="1"/>
    </xf>
    <xf numFmtId="0" fontId="8" fillId="28" borderId="15" xfId="0" applyFont="1" applyFill="1" applyBorder="1" applyAlignment="1">
      <alignment horizontal="center" vertical="center" wrapText="1"/>
    </xf>
    <xf numFmtId="0" fontId="8" fillId="28" borderId="21" xfId="0" applyFont="1" applyFill="1" applyBorder="1" applyAlignment="1">
      <alignment horizontal="center" vertical="center" wrapText="1"/>
    </xf>
    <xf numFmtId="0" fontId="31" fillId="26" borderId="0" xfId="0" applyFont="1" applyFill="1" applyAlignment="1">
      <alignment horizontal="left" vertical="top" wrapText="1"/>
    </xf>
    <xf numFmtId="0" fontId="58" fillId="33" borderId="21" xfId="0" applyFont="1" applyFill="1" applyBorder="1" applyAlignment="1">
      <alignment horizontal="left" vertical="center" wrapText="1"/>
    </xf>
    <xf numFmtId="3" fontId="58" fillId="33" borderId="15" xfId="0" applyNumberFormat="1" applyFont="1" applyFill="1" applyBorder="1" applyAlignment="1">
      <alignment horizontal="center" vertical="center"/>
    </xf>
    <xf numFmtId="3" fontId="58" fillId="33" borderId="21" xfId="0" applyNumberFormat="1" applyFont="1" applyFill="1" applyBorder="1" applyAlignment="1">
      <alignment horizontal="center" vertical="center"/>
    </xf>
    <xf numFmtId="165" fontId="58" fillId="33" borderId="15" xfId="0" applyNumberFormat="1" applyFont="1" applyFill="1" applyBorder="1" applyAlignment="1" applyProtection="1">
      <alignment horizontal="center" vertical="center"/>
      <protection hidden="1"/>
    </xf>
    <xf numFmtId="0" fontId="4" fillId="29" borderId="21" xfId="0" quotePrefix="1" applyFont="1" applyFill="1" applyBorder="1" applyAlignment="1">
      <alignment horizontal="center" vertical="center"/>
    </xf>
    <xf numFmtId="0" fontId="58" fillId="33" borderId="21" xfId="0" quotePrefix="1" applyFont="1" applyFill="1" applyBorder="1" applyAlignment="1">
      <alignment horizontal="center" vertical="center"/>
    </xf>
    <xf numFmtId="167" fontId="36" fillId="0" borderId="0" xfId="0" applyNumberFormat="1" applyFont="1" applyAlignment="1">
      <alignment horizontal="right"/>
    </xf>
    <xf numFmtId="0" fontId="53" fillId="0" borderId="0" xfId="0" applyFont="1" applyAlignment="1">
      <alignment horizontal="left" vertical="top" wrapText="1"/>
    </xf>
    <xf numFmtId="9" fontId="58" fillId="33" borderId="15" xfId="0" applyNumberFormat="1" applyFont="1" applyFill="1" applyBorder="1" applyAlignment="1">
      <alignment horizontal="center" vertical="center"/>
    </xf>
    <xf numFmtId="9" fontId="58" fillId="33" borderId="21" xfId="0" applyNumberFormat="1" applyFont="1" applyFill="1" applyBorder="1" applyAlignment="1">
      <alignment horizontal="center" vertical="center"/>
    </xf>
    <xf numFmtId="0" fontId="59" fillId="0" borderId="14" xfId="0" applyFont="1" applyBorder="1" applyAlignment="1">
      <alignment horizontal="center" wrapText="1"/>
    </xf>
    <xf numFmtId="0" fontId="59" fillId="0" borderId="15" xfId="0" applyFont="1" applyBorder="1" applyAlignment="1">
      <alignment horizontal="center" wrapText="1"/>
    </xf>
    <xf numFmtId="167" fontId="60" fillId="0" borderId="14" xfId="0" applyNumberFormat="1" applyFont="1" applyBorder="1" applyAlignment="1">
      <alignment horizontal="right"/>
    </xf>
    <xf numFmtId="0" fontId="60" fillId="0" borderId="15" xfId="0" applyFont="1" applyBorder="1" applyAlignment="1">
      <alignment horizontal="right"/>
    </xf>
    <xf numFmtId="167" fontId="58" fillId="33" borderId="21" xfId="0" applyNumberFormat="1" applyFont="1" applyFill="1" applyBorder="1" applyAlignment="1">
      <alignment horizontal="center" vertical="center"/>
    </xf>
    <xf numFmtId="3" fontId="4" fillId="34" borderId="21" xfId="0" applyNumberFormat="1" applyFont="1" applyFill="1" applyBorder="1" applyAlignment="1">
      <alignment horizontal="center" vertical="center"/>
    </xf>
    <xf numFmtId="0" fontId="55" fillId="26" borderId="46" xfId="0" applyFont="1" applyFill="1" applyBorder="1" applyAlignment="1">
      <alignment vertical="center"/>
    </xf>
    <xf numFmtId="0" fontId="60" fillId="0" borderId="15" xfId="0" applyFont="1" applyBorder="1" applyAlignment="1">
      <alignment horizontal="center"/>
    </xf>
    <xf numFmtId="0" fontId="60" fillId="0" borderId="0" xfId="0" applyFont="1" applyAlignment="1">
      <alignment horizontal="left"/>
    </xf>
    <xf numFmtId="0" fontId="60" fillId="0" borderId="0" xfId="0" applyFont="1" applyAlignment="1">
      <alignment horizontal="right" vertical="center"/>
    </xf>
    <xf numFmtId="0" fontId="60" fillId="0" borderId="0" xfId="0" applyFont="1" applyAlignment="1">
      <alignment horizontal="right"/>
    </xf>
    <xf numFmtId="0" fontId="60" fillId="0" borderId="14" xfId="0" applyFont="1" applyBorder="1" applyAlignment="1">
      <alignment horizontal="center"/>
    </xf>
    <xf numFmtId="0" fontId="8" fillId="26" borderId="60" xfId="0" applyFont="1" applyFill="1" applyBorder="1" applyAlignment="1">
      <alignment horizontal="left" vertical="top"/>
    </xf>
    <xf numFmtId="0" fontId="8" fillId="26" borderId="10" xfId="0" applyFont="1" applyFill="1" applyBorder="1" applyAlignment="1">
      <alignment horizontal="left" vertical="top"/>
    </xf>
    <xf numFmtId="0" fontId="8" fillId="26" borderId="61" xfId="0" applyFont="1" applyFill="1" applyBorder="1" applyAlignment="1">
      <alignment horizontal="left" vertical="top"/>
    </xf>
    <xf numFmtId="0" fontId="0" fillId="26" borderId="62" xfId="0" applyFill="1" applyBorder="1" applyAlignment="1">
      <alignment horizontal="left" vertical="top"/>
    </xf>
    <xf numFmtId="0" fontId="8" fillId="26" borderId="48" xfId="0" applyFont="1" applyFill="1" applyBorder="1" applyAlignment="1">
      <alignment horizontal="left" vertical="top"/>
    </xf>
    <xf numFmtId="1" fontId="58" fillId="33" borderId="15" xfId="0" applyNumberFormat="1" applyFont="1" applyFill="1" applyBorder="1" applyAlignment="1">
      <alignment horizontal="center" vertical="center"/>
    </xf>
    <xf numFmtId="1" fontId="58" fillId="33" borderId="21" xfId="0" applyNumberFormat="1" applyFont="1" applyFill="1" applyBorder="1" applyAlignment="1">
      <alignment horizontal="center" vertical="center"/>
    </xf>
    <xf numFmtId="0" fontId="4" fillId="26" borderId="25" xfId="0" applyFont="1" applyFill="1" applyBorder="1"/>
    <xf numFmtId="0" fontId="53" fillId="0" borderId="18" xfId="0" applyFont="1" applyBorder="1" applyAlignment="1">
      <alignment horizontal="left" vertical="top" wrapText="1"/>
    </xf>
    <xf numFmtId="0" fontId="52" fillId="0" borderId="16" xfId="0" applyFont="1" applyBorder="1" applyAlignment="1">
      <alignment horizontal="center" vertical="center"/>
    </xf>
    <xf numFmtId="0" fontId="60" fillId="0" borderId="26" xfId="0" applyFont="1" applyBorder="1" applyAlignment="1">
      <alignment horizontal="center"/>
    </xf>
    <xf numFmtId="0" fontId="60" fillId="0" borderId="16" xfId="0" applyFont="1" applyBorder="1" applyAlignment="1">
      <alignment horizontal="center" vertical="center"/>
    </xf>
    <xf numFmtId="0" fontId="60" fillId="0" borderId="18" xfId="0" applyFont="1" applyBorder="1" applyAlignment="1">
      <alignment horizontal="center"/>
    </xf>
    <xf numFmtId="0" fontId="60" fillId="0" borderId="17" xfId="0" applyFont="1" applyBorder="1" applyAlignment="1">
      <alignment horizontal="center" vertical="center"/>
    </xf>
    <xf numFmtId="0" fontId="4" fillId="0" borderId="21" xfId="0" applyFont="1" applyBorder="1" applyAlignment="1">
      <alignment horizontal="center" vertical="center"/>
    </xf>
    <xf numFmtId="0" fontId="4" fillId="26" borderId="35" xfId="0" applyFont="1" applyFill="1" applyBorder="1"/>
    <xf numFmtId="0" fontId="4" fillId="26" borderId="57" xfId="0" applyFont="1" applyFill="1" applyBorder="1"/>
    <xf numFmtId="0" fontId="0" fillId="0" borderId="57" xfId="0" applyBorder="1"/>
    <xf numFmtId="0" fontId="61" fillId="26" borderId="0" xfId="0" applyFont="1" applyFill="1" applyAlignment="1">
      <alignment horizontal="center" vertical="center"/>
    </xf>
    <xf numFmtId="0" fontId="4" fillId="26" borderId="0" xfId="0" applyFont="1" applyFill="1" applyAlignment="1">
      <alignment horizontal="left" vertical="center" wrapText="1"/>
    </xf>
    <xf numFmtId="167" fontId="4" fillId="26" borderId="0" xfId="0" applyNumberFormat="1" applyFont="1" applyFill="1" applyAlignment="1">
      <alignment horizontal="center" vertical="top"/>
    </xf>
    <xf numFmtId="9" fontId="4" fillId="26" borderId="0" xfId="0" applyNumberFormat="1" applyFont="1" applyFill="1" applyAlignment="1">
      <alignment horizontal="center" vertical="center"/>
    </xf>
    <xf numFmtId="0" fontId="4" fillId="0" borderId="18" xfId="0" applyFont="1" applyBorder="1" applyAlignment="1">
      <alignment horizontal="center" vertical="center" wrapText="1"/>
    </xf>
    <xf numFmtId="0" fontId="3" fillId="0" borderId="18" xfId="0" applyFont="1" applyBorder="1" applyAlignment="1">
      <alignment horizontal="center" vertical="center" wrapText="1"/>
    </xf>
    <xf numFmtId="0" fontId="4" fillId="0" borderId="22" xfId="0" applyFont="1" applyBorder="1" applyAlignment="1">
      <alignment horizontal="center" vertical="center" wrapText="1"/>
    </xf>
    <xf numFmtId="167" fontId="36" fillId="0" borderId="61" xfId="0" applyNumberFormat="1" applyFont="1" applyBorder="1" applyAlignment="1">
      <alignment horizontal="right"/>
    </xf>
    <xf numFmtId="167" fontId="36" fillId="0" borderId="62" xfId="0" applyNumberFormat="1" applyFont="1" applyBorder="1" applyAlignment="1">
      <alignment horizontal="right"/>
    </xf>
    <xf numFmtId="9" fontId="36" fillId="0" borderId="75" xfId="0" applyNumberFormat="1" applyFont="1" applyBorder="1" applyAlignment="1">
      <alignment horizontal="right"/>
    </xf>
    <xf numFmtId="9" fontId="36" fillId="0" borderId="76" xfId="0" applyNumberFormat="1" applyFont="1" applyBorder="1" applyAlignment="1">
      <alignment horizontal="right"/>
    </xf>
    <xf numFmtId="9" fontId="36" fillId="0" borderId="77" xfId="0" applyNumberFormat="1" applyFont="1" applyBorder="1" applyAlignment="1">
      <alignment horizontal="right"/>
    </xf>
    <xf numFmtId="167" fontId="36" fillId="0" borderId="75" xfId="0" applyNumberFormat="1" applyFont="1" applyBorder="1" applyAlignment="1">
      <alignment horizontal="right"/>
    </xf>
    <xf numFmtId="167" fontId="36" fillId="0" borderId="76" xfId="0" applyNumberFormat="1" applyFont="1" applyBorder="1" applyAlignment="1">
      <alignment horizontal="right"/>
    </xf>
    <xf numFmtId="167" fontId="36" fillId="0" borderId="77" xfId="0" applyNumberFormat="1" applyFont="1" applyBorder="1" applyAlignment="1">
      <alignment horizontal="right"/>
    </xf>
    <xf numFmtId="0" fontId="4" fillId="24" borderId="73" xfId="0" applyFont="1" applyFill="1" applyBorder="1"/>
    <xf numFmtId="0" fontId="37" fillId="24" borderId="57" xfId="0" applyFont="1" applyFill="1" applyBorder="1"/>
    <xf numFmtId="0" fontId="4" fillId="24" borderId="57" xfId="0" applyFont="1" applyFill="1" applyBorder="1" applyAlignment="1">
      <alignment horizontal="left" vertical="top"/>
    </xf>
    <xf numFmtId="0" fontId="36" fillId="0" borderId="48" xfId="0" applyFont="1" applyBorder="1" applyAlignment="1">
      <alignment horizontal="right"/>
    </xf>
    <xf numFmtId="0" fontId="3" fillId="0" borderId="0" xfId="47"/>
    <xf numFmtId="0" fontId="33" fillId="36" borderId="15" xfId="47" applyFont="1" applyFill="1" applyBorder="1" applyAlignment="1">
      <alignment horizontal="center" vertical="center"/>
    </xf>
    <xf numFmtId="0" fontId="33" fillId="24" borderId="16" xfId="47" applyFont="1" applyFill="1" applyBorder="1" applyAlignment="1">
      <alignment vertical="center"/>
    </xf>
    <xf numFmtId="0" fontId="33" fillId="36" borderId="44" xfId="47" applyFont="1" applyFill="1" applyBorder="1" applyAlignment="1">
      <alignment horizontal="center" vertical="center"/>
    </xf>
    <xf numFmtId="0" fontId="4" fillId="0" borderId="43" xfId="47" applyFont="1" applyBorder="1" applyAlignment="1">
      <alignment horizontal="center" textRotation="90" wrapText="1"/>
    </xf>
    <xf numFmtId="0" fontId="4" fillId="0" borderId="16" xfId="47" applyFont="1" applyBorder="1" applyAlignment="1">
      <alignment horizontal="center" textRotation="90" wrapText="1"/>
    </xf>
    <xf numFmtId="0" fontId="4" fillId="0" borderId="23" xfId="47" applyFont="1" applyBorder="1" applyAlignment="1">
      <alignment horizontal="center" textRotation="90" wrapText="1"/>
    </xf>
    <xf numFmtId="0" fontId="4" fillId="0" borderId="15" xfId="47" applyFont="1" applyBorder="1" applyAlignment="1">
      <alignment horizontal="center" wrapText="1"/>
    </xf>
    <xf numFmtId="0" fontId="43" fillId="0" borderId="15" xfId="47" applyFont="1" applyBorder="1" applyAlignment="1">
      <alignment vertical="top" wrapText="1"/>
    </xf>
    <xf numFmtId="0" fontId="41" fillId="25" borderId="15" xfId="47" applyFont="1" applyFill="1" applyBorder="1" applyAlignment="1">
      <alignment horizontal="center" vertical="center"/>
    </xf>
    <xf numFmtId="0" fontId="3" fillId="0" borderId="15" xfId="47" applyBorder="1" applyAlignment="1">
      <alignment vertical="top" wrapText="1"/>
    </xf>
    <xf numFmtId="0" fontId="41" fillId="26" borderId="15" xfId="47" applyFont="1" applyFill="1" applyBorder="1" applyAlignment="1">
      <alignment horizontal="center" vertical="center"/>
    </xf>
    <xf numFmtId="0" fontId="3" fillId="26" borderId="15" xfId="47" applyFill="1" applyBorder="1" applyAlignment="1">
      <alignment vertical="top" wrapText="1"/>
    </xf>
    <xf numFmtId="0" fontId="43" fillId="26" borderId="15" xfId="47" applyFont="1" applyFill="1" applyBorder="1" applyAlignment="1">
      <alignment vertical="top" wrapText="1"/>
    </xf>
    <xf numFmtId="0" fontId="4" fillId="24" borderId="15" xfId="47" applyFont="1" applyFill="1" applyBorder="1"/>
    <xf numFmtId="0" fontId="3" fillId="24" borderId="15" xfId="47" applyFill="1" applyBorder="1" applyAlignment="1">
      <alignment vertical="top" wrapText="1"/>
    </xf>
    <xf numFmtId="0" fontId="62" fillId="24" borderId="57" xfId="0" applyFont="1" applyFill="1" applyBorder="1" applyAlignment="1">
      <alignment horizontal="center"/>
    </xf>
    <xf numFmtId="0" fontId="60" fillId="0" borderId="15" xfId="0" applyFont="1" applyBorder="1" applyAlignment="1">
      <alignment horizontal="center" vertical="center"/>
    </xf>
    <xf numFmtId="9" fontId="49" fillId="33" borderId="21" xfId="0" applyNumberFormat="1" applyFont="1" applyFill="1" applyBorder="1" applyAlignment="1">
      <alignment horizontal="center" vertical="center"/>
    </xf>
    <xf numFmtId="9" fontId="49" fillId="33" borderId="15" xfId="0" applyNumberFormat="1" applyFont="1" applyFill="1" applyBorder="1" applyAlignment="1">
      <alignment horizontal="center" vertical="center"/>
    </xf>
    <xf numFmtId="0" fontId="4" fillId="0" borderId="0" xfId="0" applyFont="1" applyAlignment="1">
      <alignment horizontal="center" vertical="center"/>
    </xf>
    <xf numFmtId="0" fontId="36" fillId="26" borderId="79" xfId="47" applyFont="1" applyFill="1" applyBorder="1" applyAlignment="1">
      <alignment horizontal="right"/>
    </xf>
    <xf numFmtId="0" fontId="4" fillId="0" borderId="0" xfId="47" applyFont="1"/>
    <xf numFmtId="0" fontId="36" fillId="26" borderId="80" xfId="47" applyFont="1" applyFill="1" applyBorder="1" applyAlignment="1">
      <alignment horizontal="right"/>
    </xf>
    <xf numFmtId="0" fontId="4" fillId="26" borderId="80" xfId="47" applyFont="1" applyFill="1" applyBorder="1"/>
    <xf numFmtId="0" fontId="4" fillId="26" borderId="79" xfId="47" applyFont="1" applyFill="1" applyBorder="1"/>
    <xf numFmtId="0" fontId="4" fillId="26" borderId="86" xfId="47" applyFont="1" applyFill="1" applyBorder="1"/>
    <xf numFmtId="0" fontId="58" fillId="0" borderId="0" xfId="47" applyFont="1" applyAlignment="1">
      <alignment textRotation="90"/>
    </xf>
    <xf numFmtId="0" fontId="3" fillId="26" borderId="86" xfId="47" applyFill="1" applyBorder="1"/>
    <xf numFmtId="0" fontId="3" fillId="26" borderId="80" xfId="47" applyFill="1" applyBorder="1"/>
    <xf numFmtId="0" fontId="3" fillId="26" borderId="79" xfId="47" applyFill="1" applyBorder="1"/>
    <xf numFmtId="0" fontId="4" fillId="26" borderId="48" xfId="47" applyFont="1" applyFill="1" applyBorder="1"/>
    <xf numFmtId="0" fontId="8" fillId="26" borderId="48" xfId="47" applyFont="1" applyFill="1" applyBorder="1" applyAlignment="1">
      <alignment horizontal="center"/>
    </xf>
    <xf numFmtId="0" fontId="8" fillId="0" borderId="0" xfId="47" applyFont="1" applyAlignment="1">
      <alignment horizontal="center"/>
    </xf>
    <xf numFmtId="1" fontId="50" fillId="39" borderId="22" xfId="0" applyNumberFormat="1" applyFont="1" applyFill="1" applyBorder="1" applyAlignment="1">
      <alignment horizontal="center"/>
    </xf>
    <xf numFmtId="1" fontId="50" fillId="39" borderId="15" xfId="0" applyNumberFormat="1" applyFont="1" applyFill="1" applyBorder="1" applyAlignment="1">
      <alignment horizontal="center"/>
    </xf>
    <xf numFmtId="1" fontId="50" fillId="39" borderId="21" xfId="0" applyNumberFormat="1" applyFont="1" applyFill="1" applyBorder="1" applyAlignment="1">
      <alignment horizontal="center"/>
    </xf>
    <xf numFmtId="0" fontId="33" fillId="26" borderId="57" xfId="0" applyFont="1" applyFill="1" applyBorder="1" applyAlignment="1">
      <alignment wrapText="1"/>
    </xf>
    <xf numFmtId="0" fontId="0" fillId="26" borderId="39" xfId="0" applyFill="1" applyBorder="1"/>
    <xf numFmtId="0" fontId="4" fillId="24" borderId="82" xfId="0" applyFont="1" applyFill="1" applyBorder="1"/>
    <xf numFmtId="1" fontId="4" fillId="29" borderId="15" xfId="47" applyNumberFormat="1" applyFont="1" applyFill="1" applyBorder="1" applyAlignment="1">
      <alignment horizontal="center" vertical="center" wrapText="1"/>
    </xf>
    <xf numFmtId="0" fontId="3" fillId="0" borderId="0" xfId="47" applyAlignment="1">
      <alignment wrapText="1"/>
    </xf>
    <xf numFmtId="0" fontId="3" fillId="0" borderId="0" xfId="47" applyAlignment="1">
      <alignment horizontal="left"/>
    </xf>
    <xf numFmtId="1" fontId="3" fillId="0" borderId="0" xfId="47" applyNumberFormat="1"/>
    <xf numFmtId="1" fontId="34" fillId="0" borderId="15" xfId="46" applyNumberFormat="1" applyFont="1" applyBorder="1" applyAlignment="1" applyProtection="1">
      <alignment horizontal="center" vertical="center" wrapText="1"/>
      <protection locked="0"/>
    </xf>
    <xf numFmtId="9" fontId="4" fillId="0" borderId="32" xfId="0" applyNumberFormat="1" applyFont="1" applyBorder="1" applyAlignment="1">
      <alignment horizontal="center" vertical="center"/>
    </xf>
    <xf numFmtId="9" fontId="4" fillId="29" borderId="32" xfId="0" applyNumberFormat="1" applyFont="1" applyFill="1" applyBorder="1" applyAlignment="1">
      <alignment horizontal="center" vertical="center"/>
    </xf>
    <xf numFmtId="9" fontId="58" fillId="33" borderId="32" xfId="0" applyNumberFormat="1" applyFont="1" applyFill="1" applyBorder="1" applyAlignment="1">
      <alignment horizontal="center" vertical="center"/>
    </xf>
    <xf numFmtId="1" fontId="34" fillId="39" borderId="65" xfId="0" applyNumberFormat="1" applyFont="1" applyFill="1" applyBorder="1" applyAlignment="1" applyProtection="1">
      <alignment horizontal="center" vertical="center" wrapText="1"/>
      <protection locked="0"/>
    </xf>
    <xf numFmtId="1" fontId="34" fillId="39" borderId="66" xfId="0" applyNumberFormat="1" applyFont="1" applyFill="1" applyBorder="1" applyAlignment="1" applyProtection="1">
      <alignment horizontal="center" vertical="center" wrapText="1"/>
      <protection locked="0"/>
    </xf>
    <xf numFmtId="1" fontId="34" fillId="39" borderId="67" xfId="0" applyNumberFormat="1" applyFont="1" applyFill="1" applyBorder="1" applyAlignment="1" applyProtection="1">
      <alignment horizontal="center" vertical="center" wrapText="1"/>
      <protection locked="0"/>
    </xf>
    <xf numFmtId="1" fontId="34" fillId="39" borderId="22" xfId="0" applyNumberFormat="1" applyFont="1" applyFill="1" applyBorder="1" applyAlignment="1" applyProtection="1">
      <alignment horizontal="center" vertical="center" wrapText="1"/>
      <protection locked="0"/>
    </xf>
    <xf numFmtId="1" fontId="34" fillId="39" borderId="15" xfId="0" applyNumberFormat="1" applyFont="1" applyFill="1" applyBorder="1" applyAlignment="1" applyProtection="1">
      <alignment horizontal="center" vertical="center" wrapText="1"/>
      <protection locked="0"/>
    </xf>
    <xf numFmtId="1" fontId="34" fillId="39" borderId="21" xfId="0" applyNumberFormat="1" applyFont="1" applyFill="1" applyBorder="1" applyAlignment="1" applyProtection="1">
      <alignment horizontal="center" vertical="center" wrapText="1"/>
      <protection locked="0"/>
    </xf>
    <xf numFmtId="1" fontId="34" fillId="0" borderId="15" xfId="0" applyNumberFormat="1" applyFont="1" applyBorder="1" applyAlignment="1" applyProtection="1">
      <alignment horizontal="center" vertical="center" wrapText="1"/>
      <protection locked="0"/>
    </xf>
    <xf numFmtId="1" fontId="34" fillId="0" borderId="21" xfId="0" applyNumberFormat="1" applyFont="1" applyBorder="1" applyAlignment="1">
      <alignment horizontal="center" vertical="center" wrapText="1"/>
    </xf>
    <xf numFmtId="1" fontId="34" fillId="0" borderId="21" xfId="0" quotePrefix="1" applyNumberFormat="1" applyFont="1" applyBorder="1" applyAlignment="1">
      <alignment horizontal="center" vertical="center" wrapText="1"/>
    </xf>
    <xf numFmtId="1" fontId="50" fillId="39" borderId="24" xfId="0" applyNumberFormat="1" applyFont="1" applyFill="1" applyBorder="1" applyAlignment="1">
      <alignment horizontal="center"/>
    </xf>
    <xf numFmtId="1" fontId="50" fillId="39" borderId="16" xfId="0" applyNumberFormat="1" applyFont="1" applyFill="1" applyBorder="1" applyAlignment="1">
      <alignment horizontal="center"/>
    </xf>
    <xf numFmtId="1" fontId="50" fillId="39" borderId="23" xfId="0" applyNumberFormat="1" applyFont="1" applyFill="1" applyBorder="1" applyAlignment="1">
      <alignment horizontal="center"/>
    </xf>
    <xf numFmtId="0" fontId="4" fillId="0" borderId="15" xfId="0" applyFont="1" applyBorder="1" applyAlignment="1">
      <alignment vertical="center"/>
    </xf>
    <xf numFmtId="167" fontId="60" fillId="0" borderId="15" xfId="0" applyNumberFormat="1" applyFont="1" applyBorder="1" applyAlignment="1">
      <alignment horizontal="right"/>
    </xf>
    <xf numFmtId="0" fontId="60" fillId="0" borderId="21" xfId="0" applyFont="1" applyBorder="1" applyAlignment="1">
      <alignment horizontal="center"/>
    </xf>
    <xf numFmtId="0" fontId="60" fillId="0" borderId="21" xfId="0" applyFont="1" applyBorder="1" applyAlignment="1">
      <alignment horizontal="center" vertical="center"/>
    </xf>
    <xf numFmtId="0" fontId="4" fillId="0" borderId="15" xfId="0" applyFont="1" applyBorder="1" applyAlignment="1">
      <alignment horizontal="center" vertical="center"/>
    </xf>
    <xf numFmtId="0" fontId="60" fillId="0" borderId="14" xfId="0" applyFont="1" applyBorder="1" applyAlignment="1">
      <alignment horizontal="center" vertical="center"/>
    </xf>
    <xf numFmtId="0" fontId="52" fillId="0" borderId="14" xfId="0" applyFont="1" applyBorder="1" applyAlignment="1">
      <alignment horizontal="center"/>
    </xf>
    <xf numFmtId="0" fontId="4" fillId="0" borderId="14" xfId="0" applyFont="1" applyBorder="1"/>
    <xf numFmtId="0" fontId="4" fillId="0" borderId="21" xfId="0" applyFont="1" applyBorder="1"/>
    <xf numFmtId="0" fontId="52" fillId="0" borderId="21" xfId="0" applyFont="1" applyBorder="1" applyAlignment="1">
      <alignment horizontal="center"/>
    </xf>
    <xf numFmtId="0" fontId="34" fillId="0" borderId="0" xfId="0" applyFont="1"/>
    <xf numFmtId="0" fontId="4" fillId="0" borderId="0" xfId="0" applyFont="1" applyAlignment="1" applyProtection="1">
      <alignment vertical="center"/>
      <protection locked="0"/>
    </xf>
    <xf numFmtId="0" fontId="36" fillId="0" borderId="15" xfId="0" applyFont="1" applyBorder="1" applyAlignment="1">
      <alignment horizontal="center" vertical="center"/>
    </xf>
    <xf numFmtId="0" fontId="4" fillId="0" borderId="48" xfId="0" applyFont="1" applyBorder="1"/>
    <xf numFmtId="0" fontId="50" fillId="0" borderId="0" xfId="0" applyFont="1" applyAlignment="1">
      <alignment horizontal="left"/>
    </xf>
    <xf numFmtId="0" fontId="60" fillId="0" borderId="16" xfId="0" applyFont="1" applyBorder="1" applyAlignment="1">
      <alignment horizontal="center" vertical="center" wrapText="1"/>
    </xf>
    <xf numFmtId="0" fontId="53" fillId="0" borderId="16" xfId="0" applyFont="1" applyBorder="1" applyAlignment="1">
      <alignment horizontal="right"/>
    </xf>
    <xf numFmtId="0" fontId="53" fillId="0" borderId="15" xfId="0" applyFont="1" applyBorder="1" applyAlignment="1">
      <alignment horizontal="right"/>
    </xf>
    <xf numFmtId="167" fontId="36" fillId="0" borderId="14" xfId="0" applyNumberFormat="1" applyFont="1" applyBorder="1" applyAlignment="1">
      <alignment horizontal="center" vertical="center"/>
    </xf>
    <xf numFmtId="1" fontId="60" fillId="0" borderId="15" xfId="0" applyNumberFormat="1" applyFont="1" applyBorder="1" applyAlignment="1">
      <alignment horizontal="center" vertical="center"/>
    </xf>
    <xf numFmtId="1" fontId="60" fillId="0" borderId="15" xfId="0" applyNumberFormat="1" applyFont="1" applyBorder="1" applyAlignment="1">
      <alignment horizontal="center"/>
    </xf>
    <xf numFmtId="0" fontId="60" fillId="0" borderId="21" xfId="0" applyFont="1" applyBorder="1" applyAlignment="1">
      <alignment vertical="center"/>
    </xf>
    <xf numFmtId="0" fontId="60" fillId="0" borderId="15" xfId="0" applyFont="1" applyBorder="1" applyAlignment="1">
      <alignment vertical="center"/>
    </xf>
    <xf numFmtId="0" fontId="39" fillId="0" borderId="0" xfId="0" applyFont="1" applyAlignment="1">
      <alignment horizontal="right" vertical="center"/>
    </xf>
    <xf numFmtId="0" fontId="54" fillId="0" borderId="15" xfId="0" applyFont="1" applyBorder="1" applyAlignment="1">
      <alignment horizontal="center" vertical="center"/>
    </xf>
    <xf numFmtId="0" fontId="4" fillId="0" borderId="0" xfId="0" applyFont="1" applyAlignment="1">
      <alignment horizontal="left"/>
    </xf>
    <xf numFmtId="0" fontId="60" fillId="0" borderId="0" xfId="0" applyFont="1" applyAlignment="1">
      <alignment horizontal="left" vertical="center"/>
    </xf>
    <xf numFmtId="3" fontId="60" fillId="0" borderId="15" xfId="0" applyNumberFormat="1" applyFont="1" applyBorder="1" applyAlignment="1">
      <alignment horizontal="center" vertical="center"/>
    </xf>
    <xf numFmtId="0" fontId="60" fillId="0" borderId="0" xfId="0" applyFont="1" applyAlignment="1">
      <alignment horizontal="center"/>
    </xf>
    <xf numFmtId="0" fontId="4" fillId="29" borderId="15" xfId="47" applyFont="1" applyFill="1" applyBorder="1" applyAlignment="1">
      <alignment horizontal="center" vertical="center" textRotation="180" wrapText="1"/>
    </xf>
    <xf numFmtId="0" fontId="4" fillId="0" borderId="15" xfId="47" applyFont="1" applyBorder="1" applyAlignment="1">
      <alignment horizontal="center" vertical="center" textRotation="180"/>
    </xf>
    <xf numFmtId="0" fontId="4" fillId="0" borderId="15" xfId="47" applyFont="1" applyBorder="1" applyAlignment="1">
      <alignment wrapText="1"/>
    </xf>
    <xf numFmtId="1" fontId="4" fillId="0" borderId="15" xfId="46" applyNumberFormat="1" applyFont="1" applyBorder="1" applyAlignment="1" applyProtection="1">
      <alignment horizontal="left" vertical="center" wrapText="1"/>
      <protection locked="0"/>
    </xf>
    <xf numFmtId="1" fontId="4" fillId="0" borderId="15" xfId="47" applyNumberFormat="1" applyFont="1" applyBorder="1" applyAlignment="1" applyProtection="1">
      <alignment horizontal="left" vertical="center" wrapText="1"/>
      <protection locked="0"/>
    </xf>
    <xf numFmtId="1" fontId="4" fillId="24" borderId="15" xfId="47" applyNumberFormat="1" applyFont="1" applyFill="1" applyBorder="1" applyAlignment="1" applyProtection="1">
      <alignment horizontal="left" vertical="center" wrapText="1"/>
      <protection locked="0"/>
    </xf>
    <xf numFmtId="1" fontId="4" fillId="24" borderId="15" xfId="46" applyNumberFormat="1" applyFont="1" applyFill="1" applyBorder="1" applyAlignment="1" applyProtection="1">
      <alignment horizontal="left" vertical="center" wrapText="1"/>
      <protection locked="0"/>
    </xf>
    <xf numFmtId="3" fontId="60" fillId="0" borderId="21" xfId="0" applyNumberFormat="1" applyFont="1" applyBorder="1" applyAlignment="1">
      <alignment horizontal="center" vertical="center"/>
    </xf>
    <xf numFmtId="3" fontId="60" fillId="0" borderId="15" xfId="0" applyNumberFormat="1" applyFont="1" applyBorder="1" applyAlignment="1">
      <alignment horizontal="right"/>
    </xf>
    <xf numFmtId="0" fontId="60" fillId="0" borderId="15" xfId="0" applyFont="1" applyBorder="1"/>
    <xf numFmtId="0" fontId="45" fillId="26" borderId="0" xfId="0" applyFont="1" applyFill="1" applyAlignment="1">
      <alignment horizontal="left" vertical="center" wrapText="1"/>
    </xf>
    <xf numFmtId="0" fontId="31" fillId="24" borderId="0" xfId="0" applyFont="1" applyFill="1" applyAlignment="1">
      <alignment vertical="top" wrapText="1"/>
    </xf>
    <xf numFmtId="0" fontId="31" fillId="24" borderId="0" xfId="0" applyFont="1" applyFill="1" applyAlignment="1">
      <alignment vertical="top"/>
    </xf>
    <xf numFmtId="1" fontId="53" fillId="0" borderId="0" xfId="0" applyNumberFormat="1" applyFont="1"/>
    <xf numFmtId="0" fontId="53" fillId="0" borderId="0" xfId="0" applyFont="1" applyAlignment="1">
      <alignment horizontal="right" vertical="center"/>
    </xf>
    <xf numFmtId="0" fontId="53" fillId="0" borderId="0" xfId="0" applyFont="1"/>
    <xf numFmtId="1" fontId="50" fillId="0" borderId="0" xfId="0" applyNumberFormat="1" applyFont="1" applyAlignment="1">
      <alignment horizontal="center"/>
    </xf>
    <xf numFmtId="1" fontId="50" fillId="0" borderId="29" xfId="0" applyNumberFormat="1" applyFont="1" applyBorder="1" applyAlignment="1">
      <alignment horizontal="center"/>
    </xf>
    <xf numFmtId="1" fontId="50" fillId="0" borderId="12" xfId="0" applyNumberFormat="1" applyFont="1" applyBorder="1" applyAlignment="1">
      <alignment horizontal="center"/>
    </xf>
    <xf numFmtId="1" fontId="50" fillId="0" borderId="31" xfId="0" applyNumberFormat="1" applyFont="1" applyBorder="1" applyAlignment="1">
      <alignment horizontal="center"/>
    </xf>
    <xf numFmtId="1" fontId="53" fillId="0" borderId="34" xfId="0" applyNumberFormat="1" applyFont="1" applyBorder="1"/>
    <xf numFmtId="1" fontId="53" fillId="0" borderId="91" xfId="0" applyNumberFormat="1" applyFont="1" applyBorder="1"/>
    <xf numFmtId="1" fontId="34" fillId="0" borderId="22" xfId="0" applyNumberFormat="1" applyFont="1" applyBorder="1" applyAlignment="1" applyProtection="1">
      <alignment horizontal="center" vertical="center" wrapText="1"/>
      <protection locked="0"/>
    </xf>
    <xf numFmtId="1" fontId="34" fillId="0" borderId="22" xfId="46" applyNumberFormat="1" applyFont="1" applyBorder="1" applyAlignment="1" applyProtection="1">
      <alignment horizontal="center" vertical="center" wrapText="1"/>
      <protection locked="0"/>
    </xf>
    <xf numFmtId="1" fontId="34" fillId="0" borderId="19" xfId="0" applyNumberFormat="1" applyFont="1" applyBorder="1" applyAlignment="1">
      <alignment horizontal="center" vertical="center" wrapText="1"/>
    </xf>
    <xf numFmtId="1" fontId="4" fillId="0" borderId="68" xfId="0" applyNumberFormat="1" applyFont="1" applyBorder="1" applyAlignment="1" applyProtection="1">
      <alignment horizontal="center" vertical="center" wrapText="1"/>
      <protection locked="0"/>
    </xf>
    <xf numFmtId="1" fontId="4" fillId="0" borderId="69" xfId="0" applyNumberFormat="1" applyFont="1" applyBorder="1" applyAlignment="1" applyProtection="1">
      <alignment horizontal="center" vertical="center" wrapText="1"/>
      <protection locked="0"/>
    </xf>
    <xf numFmtId="1" fontId="53" fillId="0" borderId="94" xfId="0" applyNumberFormat="1" applyFont="1" applyBorder="1"/>
    <xf numFmtId="0" fontId="8" fillId="25" borderId="18" xfId="0" applyFont="1" applyFill="1" applyBorder="1" applyAlignment="1">
      <alignment vertical="center" wrapText="1"/>
    </xf>
    <xf numFmtId="1" fontId="36" fillId="0" borderId="0" xfId="0" applyNumberFormat="1" applyFont="1" applyAlignment="1">
      <alignment horizontal="right"/>
    </xf>
    <xf numFmtId="0" fontId="3" fillId="26" borderId="83" xfId="47" applyFill="1" applyBorder="1"/>
    <xf numFmtId="0" fontId="4" fillId="26" borderId="84" xfId="47" applyFont="1" applyFill="1" applyBorder="1" applyAlignment="1">
      <alignment horizontal="center" vertical="center" wrapText="1"/>
    </xf>
    <xf numFmtId="0" fontId="4" fillId="26" borderId="84" xfId="47" applyFont="1" applyFill="1" applyBorder="1" applyAlignment="1">
      <alignment vertical="center" wrapText="1"/>
    </xf>
    <xf numFmtId="1" fontId="4" fillId="26" borderId="84" xfId="47" applyNumberFormat="1" applyFont="1" applyFill="1" applyBorder="1" applyAlignment="1">
      <alignment horizontal="center" vertical="center"/>
    </xf>
    <xf numFmtId="1" fontId="8" fillId="26" borderId="84" xfId="47" applyNumberFormat="1" applyFont="1" applyFill="1" applyBorder="1" applyAlignment="1">
      <alignment horizontal="center" vertical="center"/>
    </xf>
    <xf numFmtId="0" fontId="3" fillId="26" borderId="85" xfId="47" applyFill="1" applyBorder="1"/>
    <xf numFmtId="0" fontId="4" fillId="26" borderId="86" xfId="47" applyFont="1" applyFill="1" applyBorder="1" applyAlignment="1">
      <alignment vertical="center"/>
    </xf>
    <xf numFmtId="0" fontId="4" fillId="26" borderId="80" xfId="47" applyFont="1" applyFill="1" applyBorder="1" applyAlignment="1">
      <alignment vertical="center"/>
    </xf>
    <xf numFmtId="0" fontId="4" fillId="26" borderId="79" xfId="47" applyFont="1" applyFill="1" applyBorder="1" applyAlignment="1">
      <alignment vertical="center"/>
    </xf>
    <xf numFmtId="0" fontId="4" fillId="0" borderId="0" xfId="47" applyFont="1" applyAlignment="1">
      <alignment vertical="center"/>
    </xf>
    <xf numFmtId="0" fontId="29" fillId="26" borderId="0" xfId="0" applyFont="1" applyFill="1" applyAlignment="1">
      <alignment vertical="center" wrapText="1"/>
    </xf>
    <xf numFmtId="0" fontId="114" fillId="26" borderId="0" xfId="34" applyFill="1" applyBorder="1" applyAlignment="1" applyProtection="1">
      <alignment vertical="center"/>
    </xf>
    <xf numFmtId="0" fontId="29" fillId="26" borderId="49" xfId="0" applyFont="1" applyFill="1" applyBorder="1" applyAlignment="1">
      <alignment vertical="center"/>
    </xf>
    <xf numFmtId="0" fontId="29" fillId="26" borderId="49" xfId="0" applyFont="1" applyFill="1" applyBorder="1" applyAlignment="1">
      <alignment vertical="center" wrapText="1"/>
    </xf>
    <xf numFmtId="0" fontId="29" fillId="26" borderId="48" xfId="0" applyFont="1" applyFill="1" applyBorder="1" applyAlignment="1">
      <alignment horizontal="left" vertical="center" indent="2"/>
    </xf>
    <xf numFmtId="0" fontId="29" fillId="26" borderId="48" xfId="0" applyFont="1" applyFill="1" applyBorder="1" applyAlignment="1">
      <alignment vertical="center" wrapText="1"/>
    </xf>
    <xf numFmtId="0" fontId="3" fillId="26" borderId="0" xfId="0" applyFont="1" applyFill="1" applyAlignment="1">
      <alignment vertical="center"/>
    </xf>
    <xf numFmtId="0" fontId="8" fillId="24" borderId="39" xfId="0" applyFont="1" applyFill="1" applyBorder="1"/>
    <xf numFmtId="0" fontId="34" fillId="24" borderId="57" xfId="0" applyFont="1" applyFill="1" applyBorder="1"/>
    <xf numFmtId="0" fontId="34" fillId="24" borderId="39" xfId="0" applyFont="1" applyFill="1" applyBorder="1"/>
    <xf numFmtId="0" fontId="7" fillId="24" borderId="81" xfId="0" applyFont="1" applyFill="1" applyBorder="1"/>
    <xf numFmtId="0" fontId="7" fillId="24" borderId="82" xfId="0" applyFont="1" applyFill="1" applyBorder="1"/>
    <xf numFmtId="0" fontId="0" fillId="24" borderId="82" xfId="0" applyFill="1" applyBorder="1"/>
    <xf numFmtId="0" fontId="7" fillId="24" borderId="54" xfId="0" applyFont="1" applyFill="1" applyBorder="1"/>
    <xf numFmtId="0" fontId="4" fillId="37" borderId="14" xfId="0" applyFont="1" applyFill="1" applyBorder="1" applyAlignment="1">
      <alignment horizontal="center" vertical="center" wrapText="1"/>
    </xf>
    <xf numFmtId="0" fontId="35" fillId="26" borderId="0" xfId="0" applyFont="1" applyFill="1" applyAlignment="1">
      <alignment vertical="center"/>
    </xf>
    <xf numFmtId="0" fontId="4" fillId="0" borderId="21" xfId="0" applyFont="1" applyBorder="1" applyAlignment="1">
      <alignment horizontal="center"/>
    </xf>
    <xf numFmtId="0" fontId="4" fillId="0" borderId="14" xfId="0" applyFont="1" applyBorder="1" applyAlignment="1">
      <alignment horizontal="center" vertical="center"/>
    </xf>
    <xf numFmtId="0" fontId="4" fillId="0" borderId="14" xfId="0" applyFont="1" applyBorder="1" applyAlignment="1">
      <alignment horizontal="center"/>
    </xf>
    <xf numFmtId="0" fontId="4" fillId="0" borderId="15" xfId="0" applyFont="1" applyBorder="1" applyAlignment="1">
      <alignment horizontal="center"/>
    </xf>
    <xf numFmtId="165" fontId="4" fillId="24" borderId="21" xfId="0" applyNumberFormat="1" applyFont="1" applyFill="1" applyBorder="1" applyAlignment="1">
      <alignment horizontal="center" vertical="center" wrapText="1"/>
    </xf>
    <xf numFmtId="165" fontId="4" fillId="29" borderId="21" xfId="0" applyNumberFormat="1" applyFont="1" applyFill="1" applyBorder="1" applyAlignment="1" applyProtection="1">
      <alignment horizontal="center" vertical="center"/>
      <protection hidden="1"/>
    </xf>
    <xf numFmtId="165" fontId="58" fillId="33" borderId="21" xfId="0" applyNumberFormat="1" applyFont="1" applyFill="1" applyBorder="1" applyAlignment="1" applyProtection="1">
      <alignment horizontal="center" vertical="center"/>
      <protection hidden="1"/>
    </xf>
    <xf numFmtId="0" fontId="49" fillId="0" borderId="0" xfId="0" applyFont="1" applyAlignment="1">
      <alignment horizontal="left"/>
    </xf>
    <xf numFmtId="0" fontId="49" fillId="0" borderId="0" xfId="0" applyFont="1" applyAlignment="1">
      <alignment horizontal="right"/>
    </xf>
    <xf numFmtId="0" fontId="49" fillId="0" borderId="15" xfId="0" applyFont="1" applyBorder="1" applyAlignment="1">
      <alignment horizontal="center" vertical="center"/>
    </xf>
    <xf numFmtId="0" fontId="70" fillId="0" borderId="15" xfId="0" applyFont="1" applyBorder="1" applyAlignment="1">
      <alignment horizontal="center" vertical="center"/>
    </xf>
    <xf numFmtId="0" fontId="4" fillId="26" borderId="83" xfId="47" applyFont="1" applyFill="1" applyBorder="1"/>
    <xf numFmtId="0" fontId="4" fillId="26" borderId="84" xfId="47" applyFont="1" applyFill="1" applyBorder="1"/>
    <xf numFmtId="0" fontId="3" fillId="26" borderId="84" xfId="47" applyFill="1" applyBorder="1"/>
    <xf numFmtId="0" fontId="35" fillId="26" borderId="84" xfId="47" applyFont="1" applyFill="1" applyBorder="1"/>
    <xf numFmtId="0" fontId="36" fillId="26" borderId="84" xfId="47" applyFont="1" applyFill="1" applyBorder="1" applyAlignment="1">
      <alignment horizontal="right"/>
    </xf>
    <xf numFmtId="0" fontId="36" fillId="26" borderId="85" xfId="47" applyFont="1" applyFill="1" applyBorder="1" applyAlignment="1">
      <alignment horizontal="right"/>
    </xf>
    <xf numFmtId="0" fontId="4" fillId="26" borderId="109" xfId="47" applyFont="1" applyFill="1" applyBorder="1"/>
    <xf numFmtId="0" fontId="4" fillId="0" borderId="17" xfId="0" applyFont="1" applyBorder="1" applyAlignment="1">
      <alignment vertical="center"/>
    </xf>
    <xf numFmtId="0" fontId="71" fillId="0" borderId="0" xfId="47" applyFont="1"/>
    <xf numFmtId="0" fontId="6" fillId="39" borderId="15" xfId="47" applyFont="1" applyFill="1" applyBorder="1" applyAlignment="1">
      <alignment horizontal="center" vertical="center"/>
    </xf>
    <xf numFmtId="0" fontId="6" fillId="0" borderId="0" xfId="47" applyFont="1"/>
    <xf numFmtId="0" fontId="8" fillId="28" borderId="16" xfId="0" applyFont="1" applyFill="1" applyBorder="1" applyAlignment="1">
      <alignment horizontal="center" wrapText="1"/>
    </xf>
    <xf numFmtId="0" fontId="8" fillId="28" borderId="23" xfId="0" applyFont="1" applyFill="1" applyBorder="1" applyAlignment="1">
      <alignment horizontal="center" wrapText="1"/>
    </xf>
    <xf numFmtId="0" fontId="8" fillId="28" borderId="12" xfId="0" applyFont="1" applyFill="1" applyBorder="1" applyAlignment="1">
      <alignment horizontal="center" vertical="top"/>
    </xf>
    <xf numFmtId="0" fontId="8" fillId="28" borderId="31" xfId="0" applyFont="1" applyFill="1" applyBorder="1" applyAlignment="1">
      <alignment horizontal="center" vertical="top"/>
    </xf>
    <xf numFmtId="0" fontId="8" fillId="27" borderId="65" xfId="0" applyFont="1" applyFill="1" applyBorder="1" applyAlignment="1">
      <alignment horizontal="center" vertical="top"/>
    </xf>
    <xf numFmtId="0" fontId="8" fillId="27" borderId="66" xfId="0" applyFont="1" applyFill="1" applyBorder="1" applyAlignment="1">
      <alignment horizontal="center" vertical="top"/>
    </xf>
    <xf numFmtId="0" fontId="8" fillId="27" borderId="67" xfId="0" applyFont="1" applyFill="1" applyBorder="1" applyAlignment="1">
      <alignment horizontal="center" vertical="top"/>
    </xf>
    <xf numFmtId="0" fontId="8" fillId="27" borderId="68" xfId="0" applyFont="1" applyFill="1" applyBorder="1" applyAlignment="1">
      <alignment horizontal="center" wrapText="1"/>
    </xf>
    <xf numFmtId="0" fontId="8" fillId="27" borderId="69" xfId="0" applyFont="1" applyFill="1" applyBorder="1" applyAlignment="1">
      <alignment horizontal="center" wrapText="1"/>
    </xf>
    <xf numFmtId="0" fontId="8" fillId="27" borderId="70" xfId="0" applyFont="1" applyFill="1" applyBorder="1" applyAlignment="1">
      <alignment horizontal="center" wrapText="1"/>
    </xf>
    <xf numFmtId="0" fontId="53" fillId="35" borderId="15" xfId="0" applyFont="1" applyFill="1" applyBorder="1" applyAlignment="1">
      <alignment horizontal="center" vertical="center"/>
    </xf>
    <xf numFmtId="0" fontId="50" fillId="35" borderId="15" xfId="0" applyFont="1" applyFill="1" applyBorder="1" applyAlignment="1">
      <alignment horizontal="right" vertical="center"/>
    </xf>
    <xf numFmtId="165" fontId="53" fillId="35" borderId="15" xfId="0" applyNumberFormat="1" applyFont="1" applyFill="1" applyBorder="1" applyAlignment="1">
      <alignment vertical="center"/>
    </xf>
    <xf numFmtId="0" fontId="8" fillId="28" borderId="50" xfId="0" applyFont="1" applyFill="1" applyBorder="1" applyAlignment="1">
      <alignment horizontal="center" wrapText="1"/>
    </xf>
    <xf numFmtId="1" fontId="4" fillId="0" borderId="0" xfId="47" applyNumberFormat="1" applyFont="1" applyAlignment="1">
      <alignment horizontal="center" vertical="center" wrapText="1"/>
    </xf>
    <xf numFmtId="0" fontId="66" fillId="26" borderId="15" xfId="47" applyFont="1" applyFill="1" applyBorder="1" applyAlignment="1">
      <alignment horizontal="centerContinuous" vertical="center"/>
    </xf>
    <xf numFmtId="0" fontId="4" fillId="0" borderId="15" xfId="47" applyFont="1" applyBorder="1" applyAlignment="1">
      <alignment horizontal="left" vertical="top" wrapText="1"/>
    </xf>
    <xf numFmtId="0" fontId="8" fillId="41" borderId="15" xfId="47" applyFont="1" applyFill="1" applyBorder="1" applyAlignment="1">
      <alignment horizontal="left" vertical="top" wrapText="1"/>
    </xf>
    <xf numFmtId="49" fontId="4" fillId="0" borderId="15" xfId="47" quotePrefix="1" applyNumberFormat="1" applyFont="1" applyBorder="1" applyAlignment="1">
      <alignment horizontal="left" vertical="top" wrapText="1"/>
    </xf>
    <xf numFmtId="0" fontId="4" fillId="24" borderId="15" xfId="47" applyFont="1" applyFill="1" applyBorder="1" applyAlignment="1">
      <alignment horizontal="left" vertical="top" wrapText="1"/>
    </xf>
    <xf numFmtId="0" fontId="4" fillId="26" borderId="15" xfId="47" applyFont="1" applyFill="1" applyBorder="1" applyAlignment="1">
      <alignment horizontal="left" vertical="top" wrapText="1"/>
    </xf>
    <xf numFmtId="0" fontId="4" fillId="0" borderId="0" xfId="47" applyFont="1" applyAlignment="1">
      <alignment horizontal="center" vertical="center" wrapText="1"/>
    </xf>
    <xf numFmtId="0" fontId="8" fillId="0" borderId="15" xfId="0" applyFont="1" applyBorder="1" applyAlignment="1">
      <alignment horizontal="center" vertical="center" wrapText="1"/>
    </xf>
    <xf numFmtId="167" fontId="4" fillId="0" borderId="15" xfId="0" applyNumberFormat="1" applyFont="1" applyBorder="1" applyAlignment="1">
      <alignment vertical="center"/>
    </xf>
    <xf numFmtId="167" fontId="4" fillId="29" borderId="112" xfId="0" applyNumberFormat="1" applyFont="1" applyFill="1" applyBorder="1" applyAlignment="1">
      <alignment horizontal="center" vertical="center"/>
    </xf>
    <xf numFmtId="167" fontId="4" fillId="44" borderId="32" xfId="0" applyNumberFormat="1" applyFont="1" applyFill="1" applyBorder="1" applyAlignment="1">
      <alignment horizontal="center" vertical="center"/>
    </xf>
    <xf numFmtId="0" fontId="8" fillId="39" borderId="65" xfId="0" applyFont="1" applyFill="1" applyBorder="1" applyAlignment="1">
      <alignment horizontal="center" vertical="top"/>
    </xf>
    <xf numFmtId="0" fontId="6" fillId="39" borderId="15" xfId="47" applyFont="1" applyFill="1" applyBorder="1" applyAlignment="1">
      <alignment horizontal="center" vertical="center" wrapText="1"/>
    </xf>
    <xf numFmtId="0" fontId="56" fillId="24" borderId="0" xfId="0" applyFont="1" applyFill="1" applyAlignment="1">
      <alignment horizontal="right"/>
    </xf>
    <xf numFmtId="0" fontId="4" fillId="0" borderId="16" xfId="0" applyFont="1" applyBorder="1" applyAlignment="1">
      <alignment horizontal="center" vertical="center"/>
    </xf>
    <xf numFmtId="1" fontId="4" fillId="0" borderId="22" xfId="0" applyNumberFormat="1" applyFont="1" applyBorder="1" applyAlignment="1" applyProtection="1">
      <alignment horizontal="center" vertical="center" wrapText="1"/>
      <protection locked="0"/>
    </xf>
    <xf numFmtId="1" fontId="4" fillId="0" borderId="15" xfId="0" applyNumberFormat="1" applyFont="1" applyBorder="1" applyAlignment="1" applyProtection="1">
      <alignment horizontal="center" vertical="center" wrapText="1"/>
      <protection locked="0"/>
    </xf>
    <xf numFmtId="1" fontId="4" fillId="0" borderId="21" xfId="0" applyNumberFormat="1" applyFont="1" applyBorder="1" applyAlignment="1" applyProtection="1">
      <alignment horizontal="center" vertical="center" wrapText="1"/>
      <protection locked="0"/>
    </xf>
    <xf numFmtId="1" fontId="4" fillId="0" borderId="22" xfId="0" applyNumberFormat="1" applyFont="1" applyBorder="1" applyAlignment="1">
      <alignment horizontal="center" vertical="center" wrapText="1"/>
    </xf>
    <xf numFmtId="1" fontId="4" fillId="0" borderId="15" xfId="0" applyNumberFormat="1" applyFont="1" applyBorder="1" applyAlignment="1">
      <alignment horizontal="center" vertical="center" wrapText="1"/>
    </xf>
    <xf numFmtId="1" fontId="4" fillId="0" borderId="21" xfId="0" applyNumberFormat="1" applyFont="1" applyBorder="1" applyAlignment="1">
      <alignment horizontal="center" vertical="center" wrapText="1"/>
    </xf>
    <xf numFmtId="1" fontId="4" fillId="0" borderId="22" xfId="0" applyNumberFormat="1" applyFont="1" applyBorder="1" applyAlignment="1">
      <alignment horizontal="center"/>
    </xf>
    <xf numFmtId="1" fontId="4" fillId="0" borderId="15" xfId="0" applyNumberFormat="1" applyFont="1" applyBorder="1" applyAlignment="1">
      <alignment horizontal="center"/>
    </xf>
    <xf numFmtId="1" fontId="4" fillId="0" borderId="21" xfId="0" applyNumberFormat="1" applyFont="1" applyBorder="1" applyAlignment="1">
      <alignment horizontal="center"/>
    </xf>
    <xf numFmtId="0" fontId="4" fillId="0" borderId="22" xfId="0" applyFont="1" applyBorder="1" applyAlignment="1">
      <alignment horizontal="center" vertical="center"/>
    </xf>
    <xf numFmtId="0" fontId="4" fillId="0" borderId="24" xfId="0" applyFont="1" applyBorder="1" applyAlignment="1">
      <alignment horizontal="center" vertical="center"/>
    </xf>
    <xf numFmtId="0" fontId="4" fillId="0" borderId="18" xfId="0" applyFont="1" applyBorder="1" applyAlignment="1">
      <alignment horizontal="center" vertical="center"/>
    </xf>
    <xf numFmtId="0" fontId="4" fillId="0" borderId="17" xfId="0" applyFont="1" applyBorder="1" applyAlignment="1">
      <alignment horizontal="center" vertical="center"/>
    </xf>
    <xf numFmtId="1" fontId="4" fillId="0" borderId="18" xfId="0" applyNumberFormat="1" applyFont="1" applyBorder="1" applyAlignment="1" applyProtection="1">
      <alignment horizontal="center" vertical="center" wrapText="1"/>
      <protection locked="0"/>
    </xf>
    <xf numFmtId="1" fontId="4" fillId="40" borderId="22" xfId="0" applyNumberFormat="1" applyFont="1" applyFill="1" applyBorder="1" applyAlignment="1" applyProtection="1">
      <alignment horizontal="center" vertical="center" wrapText="1"/>
      <protection locked="0"/>
    </xf>
    <xf numFmtId="1" fontId="4" fillId="40" borderId="15" xfId="0" applyNumberFormat="1" applyFont="1" applyFill="1" applyBorder="1" applyAlignment="1" applyProtection="1">
      <alignment horizontal="center" vertical="center" wrapText="1"/>
      <protection locked="0"/>
    </xf>
    <xf numFmtId="1" fontId="4" fillId="40" borderId="21" xfId="0" applyNumberFormat="1" applyFont="1" applyFill="1" applyBorder="1" applyAlignment="1" applyProtection="1">
      <alignment horizontal="center" vertical="center" wrapText="1"/>
      <protection locked="0"/>
    </xf>
    <xf numFmtId="1" fontId="4" fillId="40" borderId="22" xfId="0" applyNumberFormat="1" applyFont="1" applyFill="1" applyBorder="1" applyAlignment="1">
      <alignment horizontal="center"/>
    </xf>
    <xf numFmtId="1" fontId="4" fillId="40" borderId="15" xfId="0" applyNumberFormat="1" applyFont="1" applyFill="1" applyBorder="1" applyAlignment="1">
      <alignment horizontal="center"/>
    </xf>
    <xf numFmtId="1" fontId="4" fillId="40" borderId="21" xfId="0" applyNumberFormat="1" applyFont="1" applyFill="1" applyBorder="1" applyAlignment="1">
      <alignment horizontal="center"/>
    </xf>
    <xf numFmtId="1" fontId="4" fillId="40" borderId="22" xfId="0" applyNumberFormat="1" applyFont="1" applyFill="1" applyBorder="1" applyAlignment="1">
      <alignment horizontal="center" vertical="center" wrapText="1"/>
    </xf>
    <xf numFmtId="1" fontId="4" fillId="40" borderId="15" xfId="0" applyNumberFormat="1" applyFont="1" applyFill="1" applyBorder="1" applyAlignment="1">
      <alignment horizontal="center" vertical="center" wrapText="1"/>
    </xf>
    <xf numFmtId="1" fontId="4" fillId="40" borderId="21" xfId="0" applyNumberFormat="1" applyFont="1" applyFill="1" applyBorder="1" applyAlignment="1">
      <alignment horizontal="center" vertical="center" wrapText="1"/>
    </xf>
    <xf numFmtId="1" fontId="4" fillId="0" borderId="0" xfId="0" applyNumberFormat="1" applyFont="1" applyAlignment="1" applyProtection="1">
      <alignment horizontal="center" vertical="center" wrapText="1"/>
      <protection locked="0"/>
    </xf>
    <xf numFmtId="1" fontId="4" fillId="40" borderId="0" xfId="0" applyNumberFormat="1" applyFont="1" applyFill="1" applyAlignment="1" applyProtection="1">
      <alignment horizontal="center" vertical="center" wrapText="1"/>
      <protection locked="0"/>
    </xf>
    <xf numFmtId="0" fontId="4" fillId="0" borderId="23" xfId="0" applyFont="1" applyBorder="1" applyAlignment="1">
      <alignment horizontal="center" vertical="center"/>
    </xf>
    <xf numFmtId="1" fontId="4" fillId="0" borderId="22" xfId="0" applyNumberFormat="1" applyFont="1" applyBorder="1" applyAlignment="1">
      <alignment vertical="center"/>
    </xf>
    <xf numFmtId="1" fontId="4" fillId="0" borderId="15" xfId="0" applyNumberFormat="1" applyFont="1" applyBorder="1" applyAlignment="1">
      <alignment vertical="center"/>
    </xf>
    <xf numFmtId="1" fontId="4" fillId="0" borderId="21" xfId="0" applyNumberFormat="1" applyFont="1" applyBorder="1" applyAlignment="1">
      <alignment vertical="center"/>
    </xf>
    <xf numFmtId="167" fontId="4" fillId="0" borderId="22" xfId="0" applyNumberFormat="1" applyFont="1" applyBorder="1" applyAlignment="1" applyProtection="1">
      <alignment horizontal="center" vertical="center" wrapText="1"/>
      <protection locked="0"/>
    </xf>
    <xf numFmtId="167" fontId="4" fillId="0" borderId="15" xfId="0" applyNumberFormat="1" applyFont="1" applyBorder="1" applyAlignment="1" applyProtection="1">
      <alignment horizontal="center" vertical="center" wrapText="1"/>
      <protection locked="0"/>
    </xf>
    <xf numFmtId="167" fontId="4" fillId="0" borderId="21" xfId="0" applyNumberFormat="1" applyFont="1" applyBorder="1" applyAlignment="1" applyProtection="1">
      <alignment horizontal="center" vertical="center" wrapText="1"/>
      <protection locked="0"/>
    </xf>
    <xf numFmtId="0" fontId="57" fillId="30" borderId="15" xfId="0" applyFont="1" applyFill="1" applyBorder="1" applyAlignment="1" applyProtection="1">
      <alignment horizontal="center" vertical="center"/>
      <protection locked="0"/>
    </xf>
    <xf numFmtId="0" fontId="74" fillId="0" borderId="0" xfId="0" applyFont="1" applyAlignment="1">
      <alignment horizontal="center"/>
    </xf>
    <xf numFmtId="0" fontId="50" fillId="0" borderId="18" xfId="0" applyFont="1" applyBorder="1" applyAlignment="1">
      <alignment horizontal="center"/>
    </xf>
    <xf numFmtId="0" fontId="50" fillId="0" borderId="26" xfId="0" applyFont="1" applyBorder="1" applyAlignment="1">
      <alignment horizontal="center"/>
    </xf>
    <xf numFmtId="0" fontId="50" fillId="0" borderId="32" xfId="0" applyFont="1" applyBorder="1" applyAlignment="1">
      <alignment horizontal="center"/>
    </xf>
    <xf numFmtId="0" fontId="50" fillId="0" borderId="14" xfId="0" applyFont="1" applyBorder="1" applyAlignment="1">
      <alignment horizontal="center"/>
    </xf>
    <xf numFmtId="0" fontId="31" fillId="26" borderId="0" xfId="0" applyFont="1" applyFill="1" applyAlignment="1">
      <alignment horizontal="left" wrapText="1"/>
    </xf>
    <xf numFmtId="0" fontId="4" fillId="0" borderId="14" xfId="0" applyFont="1" applyBorder="1" applyAlignment="1">
      <alignment horizontal="center" vertical="center" wrapText="1"/>
    </xf>
    <xf numFmtId="0" fontId="6" fillId="26" borderId="0" xfId="0" applyFont="1" applyFill="1" applyAlignment="1">
      <alignment horizontal="left" vertical="top" wrapText="1"/>
    </xf>
    <xf numFmtId="0" fontId="50" fillId="0" borderId="0" xfId="0" applyFont="1" applyAlignment="1">
      <alignment horizontal="left" vertical="center" wrapText="1"/>
    </xf>
    <xf numFmtId="3" fontId="4" fillId="28" borderId="21" xfId="0" applyNumberFormat="1" applyFont="1" applyFill="1" applyBorder="1" applyAlignment="1">
      <alignment horizontal="center" vertical="center"/>
    </xf>
    <xf numFmtId="0" fontId="8" fillId="0" borderId="0" xfId="0" applyFont="1"/>
    <xf numFmtId="165" fontId="4" fillId="0" borderId="15" xfId="0" applyNumberFormat="1" applyFont="1" applyBorder="1" applyAlignment="1">
      <alignment vertical="center"/>
    </xf>
    <xf numFmtId="0" fontId="8" fillId="0" borderId="15" xfId="0" applyFont="1" applyBorder="1" applyAlignment="1">
      <alignment vertical="center"/>
    </xf>
    <xf numFmtId="0" fontId="8" fillId="0" borderId="15" xfId="0" applyFont="1" applyBorder="1" applyAlignment="1">
      <alignment horizontal="center" vertical="center"/>
    </xf>
    <xf numFmtId="0" fontId="4" fillId="28" borderId="96" xfId="0" applyFont="1" applyFill="1" applyBorder="1" applyAlignment="1">
      <alignment horizontal="left"/>
    </xf>
    <xf numFmtId="0" fontId="8" fillId="0" borderId="15" xfId="47" applyFont="1" applyBorder="1"/>
    <xf numFmtId="0" fontId="4" fillId="26" borderId="38" xfId="0" applyFont="1" applyFill="1" applyBorder="1"/>
    <xf numFmtId="0" fontId="59" fillId="0" borderId="0" xfId="0" applyFont="1" applyAlignment="1">
      <alignment horizontal="left"/>
    </xf>
    <xf numFmtId="167" fontId="4" fillId="0" borderId="0" xfId="0" applyNumberFormat="1" applyFont="1"/>
    <xf numFmtId="0" fontId="8" fillId="26" borderId="101" xfId="0" applyFont="1" applyFill="1" applyBorder="1" applyAlignment="1">
      <alignment horizontal="left" vertical="top"/>
    </xf>
    <xf numFmtId="0" fontId="3" fillId="37" borderId="15" xfId="47" applyFill="1" applyBorder="1"/>
    <xf numFmtId="0" fontId="7" fillId="0" borderId="15" xfId="0" applyFont="1" applyBorder="1" applyAlignment="1">
      <alignment horizontal="left" vertical="center" wrapText="1"/>
    </xf>
    <xf numFmtId="0" fontId="4" fillId="0" borderId="15" xfId="0" applyFont="1" applyBorder="1" applyAlignment="1">
      <alignment horizontal="left" vertical="center" wrapText="1"/>
    </xf>
    <xf numFmtId="0" fontId="4" fillId="29" borderId="15" xfId="0" applyFont="1" applyFill="1" applyBorder="1" applyAlignment="1">
      <alignment horizontal="left" vertical="center" wrapText="1"/>
    </xf>
    <xf numFmtId="0" fontId="35" fillId="33" borderId="15" xfId="0" applyFont="1" applyFill="1" applyBorder="1" applyAlignment="1">
      <alignment horizontal="left" vertical="center" wrapText="1"/>
    </xf>
    <xf numFmtId="0" fontId="3" fillId="0" borderId="0" xfId="47" applyAlignment="1">
      <alignment horizontal="right"/>
    </xf>
    <xf numFmtId="0" fontId="4" fillId="24" borderId="57" xfId="0" applyFont="1" applyFill="1" applyBorder="1" applyAlignment="1">
      <alignment horizontal="centerContinuous" vertical="center" wrapText="1"/>
    </xf>
    <xf numFmtId="0" fontId="4" fillId="26" borderId="0" xfId="0" applyFont="1" applyFill="1" applyAlignment="1">
      <alignment vertical="center" wrapText="1"/>
    </xf>
    <xf numFmtId="0" fontId="58" fillId="26" borderId="0" xfId="0" applyFont="1" applyFill="1" applyAlignment="1">
      <alignment vertical="center" wrapText="1"/>
    </xf>
    <xf numFmtId="3" fontId="3" fillId="0" borderId="0" xfId="47" applyNumberFormat="1"/>
    <xf numFmtId="0" fontId="3" fillId="0" borderId="15" xfId="47" applyBorder="1" applyAlignment="1">
      <alignment horizontal="center" vertical="center"/>
    </xf>
    <xf numFmtId="0" fontId="6" fillId="35" borderId="15" xfId="47" applyFont="1" applyFill="1" applyBorder="1" applyAlignment="1">
      <alignment horizontal="center" vertical="center"/>
    </xf>
    <xf numFmtId="0" fontId="31" fillId="24" borderId="101" xfId="0" applyFont="1" applyFill="1" applyBorder="1" applyAlignment="1">
      <alignment vertical="center" wrapText="1"/>
    </xf>
    <xf numFmtId="0" fontId="0" fillId="26" borderId="82" xfId="0" applyFill="1" applyBorder="1" applyAlignment="1">
      <alignment horizontal="center" wrapText="1"/>
    </xf>
    <xf numFmtId="0" fontId="7" fillId="26" borderId="0" xfId="0" applyFont="1" applyFill="1"/>
    <xf numFmtId="1" fontId="35" fillId="33" borderId="15" xfId="0" applyNumberFormat="1" applyFont="1" applyFill="1" applyBorder="1" applyAlignment="1">
      <alignment horizontal="center" vertical="center" wrapText="1"/>
    </xf>
    <xf numFmtId="1" fontId="4" fillId="29" borderId="15" xfId="0" applyNumberFormat="1" applyFont="1" applyFill="1" applyBorder="1" applyAlignment="1">
      <alignment horizontal="center" vertical="center" wrapText="1"/>
    </xf>
    <xf numFmtId="1" fontId="4" fillId="29" borderId="21" xfId="0" applyNumberFormat="1" applyFont="1" applyFill="1" applyBorder="1" applyAlignment="1">
      <alignment horizontal="center" vertical="center" wrapText="1"/>
    </xf>
    <xf numFmtId="1" fontId="35" fillId="33" borderId="21" xfId="0" applyNumberFormat="1" applyFont="1" applyFill="1" applyBorder="1" applyAlignment="1">
      <alignment horizontal="center" vertical="center" wrapText="1"/>
    </xf>
    <xf numFmtId="49" fontId="3" fillId="0" borderId="0" xfId="47" applyNumberFormat="1"/>
    <xf numFmtId="0" fontId="3" fillId="39" borderId="16" xfId="47" applyFill="1" applyBorder="1"/>
    <xf numFmtId="0" fontId="3" fillId="39" borderId="50" xfId="47" applyFill="1" applyBorder="1"/>
    <xf numFmtId="0" fontId="3" fillId="39" borderId="17" xfId="47" applyFill="1" applyBorder="1"/>
    <xf numFmtId="0" fontId="3" fillId="39" borderId="58" xfId="47" applyFill="1" applyBorder="1"/>
    <xf numFmtId="0" fontId="3" fillId="39" borderId="13" xfId="47" applyFill="1" applyBorder="1"/>
    <xf numFmtId="0" fontId="3" fillId="0" borderId="50" xfId="47" applyBorder="1"/>
    <xf numFmtId="0" fontId="3" fillId="0" borderId="12" xfId="47" applyBorder="1"/>
    <xf numFmtId="49" fontId="58" fillId="24" borderId="36" xfId="0" applyNumberFormat="1" applyFont="1" applyFill="1" applyBorder="1" applyAlignment="1">
      <alignment horizontal="center" vertical="center"/>
    </xf>
    <xf numFmtId="0" fontId="58" fillId="24" borderId="36" xfId="0" applyFont="1" applyFill="1" applyBorder="1" applyAlignment="1">
      <alignment horizontal="center" vertical="center"/>
    </xf>
    <xf numFmtId="16" fontId="4" fillId="0" borderId="15" xfId="0" applyNumberFormat="1" applyFont="1" applyBorder="1" applyAlignment="1">
      <alignment horizontal="center" vertical="center"/>
    </xf>
    <xf numFmtId="3" fontId="4" fillId="37" borderId="15" xfId="0" applyNumberFormat="1" applyFont="1" applyFill="1" applyBorder="1" applyAlignment="1">
      <alignment horizontal="center" vertical="center" wrapText="1"/>
    </xf>
    <xf numFmtId="0" fontId="3" fillId="42" borderId="15" xfId="47" applyFill="1" applyBorder="1"/>
    <xf numFmtId="0" fontId="4" fillId="37" borderId="15" xfId="0" applyFont="1" applyFill="1" applyBorder="1" applyAlignment="1">
      <alignment horizontal="center" vertical="center"/>
    </xf>
    <xf numFmtId="3" fontId="4" fillId="37" borderId="15" xfId="0" applyNumberFormat="1" applyFont="1" applyFill="1" applyBorder="1" applyAlignment="1">
      <alignment horizontal="center" vertical="center"/>
    </xf>
    <xf numFmtId="0" fontId="50" fillId="0" borderId="15" xfId="0" applyFont="1" applyBorder="1" applyAlignment="1">
      <alignment horizontal="center" vertical="center"/>
    </xf>
    <xf numFmtId="0" fontId="50" fillId="0" borderId="21" xfId="0" applyFont="1" applyBorder="1" applyAlignment="1">
      <alignment horizontal="center" vertical="center"/>
    </xf>
    <xf numFmtId="0" fontId="50" fillId="0" borderId="14" xfId="0" applyFont="1" applyBorder="1" applyAlignment="1">
      <alignment horizontal="center" vertical="center"/>
    </xf>
    <xf numFmtId="0" fontId="60" fillId="0" borderId="18" xfId="0" applyFont="1" applyBorder="1" applyAlignment="1">
      <alignment horizontal="center" vertical="center"/>
    </xf>
    <xf numFmtId="0" fontId="8" fillId="35" borderId="65" xfId="0" applyFont="1" applyFill="1" applyBorder="1" applyAlignment="1">
      <alignment horizontal="center" vertical="top"/>
    </xf>
    <xf numFmtId="0" fontId="8" fillId="0" borderId="0" xfId="0" applyFont="1" applyAlignment="1">
      <alignment vertical="center"/>
    </xf>
    <xf numFmtId="0" fontId="8" fillId="0" borderId="0" xfId="0" applyFont="1" applyAlignment="1">
      <alignment horizontal="center" vertical="center"/>
    </xf>
    <xf numFmtId="167" fontId="4" fillId="0" borderId="15" xfId="0" quotePrefix="1" applyNumberFormat="1" applyFont="1" applyBorder="1" applyAlignment="1">
      <alignment vertical="center"/>
    </xf>
    <xf numFmtId="0" fontId="8" fillId="26" borderId="0" xfId="0" applyFont="1" applyFill="1" applyAlignment="1">
      <alignment horizontal="center" vertical="top" wrapText="1"/>
    </xf>
    <xf numFmtId="0" fontId="8" fillId="35" borderId="15" xfId="0" applyFont="1" applyFill="1" applyBorder="1" applyAlignment="1">
      <alignment horizontal="center" vertical="center"/>
    </xf>
    <xf numFmtId="0" fontId="60" fillId="0" borderId="0" xfId="0" applyFont="1" applyAlignment="1">
      <alignment horizontal="center" vertical="center"/>
    </xf>
    <xf numFmtId="0" fontId="60" fillId="0" borderId="0" xfId="0" applyFont="1" applyAlignment="1">
      <alignment vertical="center"/>
    </xf>
    <xf numFmtId="0" fontId="35" fillId="26" borderId="44" xfId="0" applyFont="1" applyFill="1" applyBorder="1"/>
    <xf numFmtId="9" fontId="49" fillId="26" borderId="0" xfId="0" applyNumberFormat="1" applyFont="1" applyFill="1" applyAlignment="1">
      <alignment horizontal="center" vertical="center"/>
    </xf>
    <xf numFmtId="0" fontId="6" fillId="26" borderId="0" xfId="0" applyFont="1" applyFill="1" applyAlignment="1">
      <alignment vertical="top" wrapText="1"/>
    </xf>
    <xf numFmtId="0" fontId="60" fillId="0" borderId="14" xfId="0" quotePrefix="1" applyFont="1" applyBorder="1" applyAlignment="1">
      <alignment horizontal="center"/>
    </xf>
    <xf numFmtId="0" fontId="60" fillId="35" borderId="15" xfId="0" applyFont="1" applyFill="1" applyBorder="1" applyAlignment="1">
      <alignment horizontal="center"/>
    </xf>
    <xf numFmtId="0" fontId="60" fillId="0" borderId="22" xfId="0" applyFont="1" applyBorder="1" applyAlignment="1">
      <alignment horizontal="center" vertical="center"/>
    </xf>
    <xf numFmtId="0" fontId="60" fillId="0" borderId="22" xfId="0" quotePrefix="1" applyFont="1" applyBorder="1" applyAlignment="1">
      <alignment horizontal="center"/>
    </xf>
    <xf numFmtId="0" fontId="60" fillId="0" borderId="32" xfId="0" quotePrefix="1" applyFont="1" applyBorder="1" applyAlignment="1">
      <alignment horizontal="center"/>
    </xf>
    <xf numFmtId="0" fontId="60" fillId="0" borderId="22" xfId="0" applyFont="1" applyBorder="1" applyAlignment="1">
      <alignment horizontal="center"/>
    </xf>
    <xf numFmtId="0" fontId="4" fillId="0" borderId="18" xfId="0" applyFont="1" applyBorder="1" applyAlignment="1">
      <alignment horizontal="left" vertical="center" wrapText="1"/>
    </xf>
    <xf numFmtId="0" fontId="4" fillId="29" borderId="18" xfId="0" applyFont="1" applyFill="1" applyBorder="1" applyAlignment="1">
      <alignment horizontal="left" vertical="center" wrapText="1"/>
    </xf>
    <xf numFmtId="0" fontId="58" fillId="33" borderId="18" xfId="0" applyFont="1" applyFill="1" applyBorder="1" applyAlignment="1">
      <alignment horizontal="left" vertical="center" wrapText="1"/>
    </xf>
    <xf numFmtId="0" fontId="60" fillId="35" borderId="15" xfId="0" quotePrefix="1" applyFont="1" applyFill="1" applyBorder="1" applyAlignment="1">
      <alignment horizontal="center"/>
    </xf>
    <xf numFmtId="0" fontId="4" fillId="24" borderId="100" xfId="0" applyFont="1" applyFill="1" applyBorder="1"/>
    <xf numFmtId="0" fontId="36" fillId="26" borderId="110" xfId="0" applyFont="1" applyFill="1" applyBorder="1" applyAlignment="1">
      <alignment horizontal="right"/>
    </xf>
    <xf numFmtId="17" fontId="8" fillId="28" borderId="15" xfId="0" applyNumberFormat="1" applyFont="1" applyFill="1" applyBorder="1" applyAlignment="1">
      <alignment horizontal="center" vertical="center" wrapText="1"/>
    </xf>
    <xf numFmtId="1" fontId="4" fillId="0" borderId="15" xfId="47" applyNumberFormat="1" applyFont="1" applyBorder="1" applyAlignment="1">
      <alignment horizontal="left" wrapText="1"/>
    </xf>
    <xf numFmtId="1" fontId="4" fillId="0" borderId="15" xfId="47" applyNumberFormat="1" applyFont="1" applyBorder="1"/>
    <xf numFmtId="0" fontId="31" fillId="24" borderId="39" xfId="0" applyFont="1" applyFill="1" applyBorder="1" applyAlignment="1">
      <alignment vertical="top" wrapText="1"/>
    </xf>
    <xf numFmtId="0" fontId="0" fillId="26" borderId="39" xfId="0" applyFill="1" applyBorder="1" applyAlignment="1">
      <alignment horizontal="left" vertical="top" wrapText="1"/>
    </xf>
    <xf numFmtId="0" fontId="34" fillId="24" borderId="39" xfId="0" applyFont="1" applyFill="1" applyBorder="1" applyAlignment="1">
      <alignment horizontal="center" wrapText="1"/>
    </xf>
    <xf numFmtId="0" fontId="0" fillId="26" borderId="39" xfId="0" applyFill="1" applyBorder="1" applyAlignment="1">
      <alignment horizontal="left" vertical="top"/>
    </xf>
    <xf numFmtId="0" fontId="4" fillId="26" borderId="39" xfId="0" applyFont="1" applyFill="1" applyBorder="1" applyAlignment="1">
      <alignment vertical="center"/>
    </xf>
    <xf numFmtId="3" fontId="36" fillId="0" borderId="0" xfId="0" applyNumberFormat="1" applyFont="1" applyAlignment="1">
      <alignment horizontal="right"/>
    </xf>
    <xf numFmtId="2" fontId="4" fillId="0" borderId="0" xfId="0" applyNumberFormat="1" applyFont="1" applyAlignment="1">
      <alignment horizontal="center" vertical="center"/>
    </xf>
    <xf numFmtId="0" fontId="8" fillId="0" borderId="0" xfId="0" applyFont="1" applyAlignment="1">
      <alignment horizontal="center" wrapText="1"/>
    </xf>
    <xf numFmtId="0" fontId="8" fillId="0" borderId="0" xfId="0" applyFont="1" applyAlignment="1">
      <alignment horizontal="center" vertical="top"/>
    </xf>
    <xf numFmtId="0" fontId="4" fillId="0" borderId="0" xfId="0" applyFont="1" applyAlignment="1">
      <alignment horizontal="center" vertical="center" wrapText="1"/>
    </xf>
    <xf numFmtId="0" fontId="55" fillId="0" borderId="0" xfId="0" applyFont="1" applyAlignment="1">
      <alignment horizontal="left"/>
    </xf>
    <xf numFmtId="167" fontId="4" fillId="28" borderId="111" xfId="0" applyNumberFormat="1" applyFont="1" applyFill="1" applyBorder="1" applyAlignment="1">
      <alignment horizontal="center" vertical="center"/>
    </xf>
    <xf numFmtId="167" fontId="4" fillId="28" borderId="112" xfId="0" applyNumberFormat="1" applyFont="1" applyFill="1" applyBorder="1" applyAlignment="1">
      <alignment horizontal="center" vertical="center"/>
    </xf>
    <xf numFmtId="0" fontId="52" fillId="0" borderId="0" xfId="0" applyFont="1" applyAlignment="1">
      <alignment vertical="center" wrapText="1"/>
    </xf>
    <xf numFmtId="0" fontId="49" fillId="0" borderId="14" xfId="0" applyFont="1" applyBorder="1" applyAlignment="1">
      <alignment horizontal="center" vertical="center"/>
    </xf>
    <xf numFmtId="1" fontId="53" fillId="0" borderId="14" xfId="0" applyNumberFormat="1" applyFont="1" applyBorder="1" applyAlignment="1">
      <alignment horizontal="center" vertical="center"/>
    </xf>
    <xf numFmtId="1" fontId="53" fillId="0" borderId="22" xfId="0" applyNumberFormat="1" applyFont="1" applyBorder="1" applyAlignment="1">
      <alignment horizontal="center"/>
    </xf>
    <xf numFmtId="1" fontId="53" fillId="0" borderId="21" xfId="0" applyNumberFormat="1" applyFont="1" applyBorder="1" applyAlignment="1">
      <alignment horizontal="center"/>
    </xf>
    <xf numFmtId="0" fontId="53" fillId="0" borderId="18" xfId="0" applyFont="1" applyBorder="1" applyAlignment="1">
      <alignment horizontal="left" vertical="center"/>
    </xf>
    <xf numFmtId="0" fontId="4" fillId="0" borderId="32" xfId="0" applyFont="1" applyBorder="1" applyAlignment="1">
      <alignment horizontal="left" vertical="center" wrapText="1"/>
    </xf>
    <xf numFmtId="1" fontId="53" fillId="0" borderId="22" xfId="0" applyNumberFormat="1" applyFont="1" applyBorder="1" applyAlignment="1">
      <alignment vertical="center"/>
    </xf>
    <xf numFmtId="0" fontId="4" fillId="0" borderId="21" xfId="0" applyFont="1" applyBorder="1" applyAlignment="1">
      <alignment vertical="center"/>
    </xf>
    <xf numFmtId="0" fontId="49" fillId="0" borderId="22" xfId="0" applyFont="1" applyBorder="1" applyAlignment="1">
      <alignment horizontal="center" vertical="center"/>
    </xf>
    <xf numFmtId="0" fontId="49" fillId="0" borderId="21" xfId="0" applyFont="1" applyBorder="1" applyAlignment="1">
      <alignment horizontal="center" vertical="center"/>
    </xf>
    <xf numFmtId="1" fontId="53" fillId="0" borderId="22" xfId="0" applyNumberFormat="1" applyFont="1" applyBorder="1" applyAlignment="1">
      <alignment horizontal="center" vertical="center"/>
    </xf>
    <xf numFmtId="1" fontId="53" fillId="0" borderId="21" xfId="0" applyNumberFormat="1" applyFont="1" applyBorder="1" applyAlignment="1">
      <alignment horizontal="center" vertical="center"/>
    </xf>
    <xf numFmtId="0" fontId="4" fillId="37" borderId="15" xfId="0" applyFont="1" applyFill="1" applyBorder="1" applyAlignment="1">
      <alignment horizontal="left" vertical="center"/>
    </xf>
    <xf numFmtId="0" fontId="114" fillId="26" borderId="0" xfId="34" applyFill="1" applyBorder="1" applyAlignment="1" applyProtection="1"/>
    <xf numFmtId="0" fontId="114" fillId="0" borderId="0" xfId="34" applyFill="1" applyBorder="1" applyAlignment="1" applyProtection="1"/>
    <xf numFmtId="165" fontId="36" fillId="0" borderId="15" xfId="0" applyNumberFormat="1" applyFont="1" applyBorder="1" applyAlignment="1">
      <alignment horizontal="right"/>
    </xf>
    <xf numFmtId="167" fontId="36" fillId="0" borderId="15" xfId="0" applyNumberFormat="1" applyFont="1" applyBorder="1" applyAlignment="1">
      <alignment horizontal="right"/>
    </xf>
    <xf numFmtId="165" fontId="4" fillId="0" borderId="15" xfId="0" applyNumberFormat="1" applyFont="1" applyBorder="1"/>
    <xf numFmtId="9" fontId="36" fillId="0" borderId="15" xfId="0" applyNumberFormat="1" applyFont="1" applyBorder="1" applyAlignment="1">
      <alignment horizontal="right"/>
    </xf>
    <xf numFmtId="0" fontId="52" fillId="0" borderId="22" xfId="0" applyFont="1" applyBorder="1" applyAlignment="1">
      <alignment horizontal="center" vertical="center"/>
    </xf>
    <xf numFmtId="0" fontId="52" fillId="0" borderId="32" xfId="0" applyFont="1" applyBorder="1" applyAlignment="1">
      <alignment horizontal="center" vertical="center"/>
    </xf>
    <xf numFmtId="0" fontId="4" fillId="0" borderId="26" xfId="0" applyFont="1" applyBorder="1" applyAlignment="1">
      <alignment horizontal="left" vertical="center" wrapText="1"/>
    </xf>
    <xf numFmtId="0" fontId="49" fillId="24" borderId="0" xfId="0" applyFont="1" applyFill="1" applyAlignment="1">
      <alignment horizontal="right"/>
    </xf>
    <xf numFmtId="0" fontId="49" fillId="24" borderId="0" xfId="0" applyFont="1" applyFill="1" applyAlignment="1">
      <alignment horizontal="center"/>
    </xf>
    <xf numFmtId="0" fontId="49" fillId="0" borderId="15" xfId="0" applyFont="1" applyBorder="1" applyAlignment="1">
      <alignment horizontal="center" vertical="center" wrapText="1"/>
    </xf>
    <xf numFmtId="0" fontId="75" fillId="0" borderId="15" xfId="0" applyFont="1" applyBorder="1" applyAlignment="1">
      <alignment horizontal="center" vertical="center" wrapText="1"/>
    </xf>
    <xf numFmtId="0" fontId="70" fillId="0" borderId="22" xfId="0" applyFont="1" applyBorder="1" applyAlignment="1">
      <alignment horizontal="center" vertical="center"/>
    </xf>
    <xf numFmtId="0" fontId="70" fillId="0" borderId="14" xfId="0" applyFont="1" applyBorder="1" applyAlignment="1">
      <alignment horizontal="center" vertical="center"/>
    </xf>
    <xf numFmtId="0" fontId="70" fillId="0" borderId="32" xfId="0" applyFont="1" applyBorder="1" applyAlignment="1">
      <alignment horizontal="center" vertical="center"/>
    </xf>
    <xf numFmtId="165" fontId="49" fillId="0" borderId="0" xfId="0" applyNumberFormat="1" applyFont="1" applyAlignment="1">
      <alignment vertical="center"/>
    </xf>
    <xf numFmtId="165" fontId="49" fillId="0" borderId="0" xfId="0" applyNumberFormat="1" applyFont="1" applyAlignment="1">
      <alignment horizontal="right"/>
    </xf>
    <xf numFmtId="167" fontId="49" fillId="0" borderId="0" xfId="0" applyNumberFormat="1" applyFont="1" applyAlignment="1">
      <alignment horizontal="right"/>
    </xf>
    <xf numFmtId="165" fontId="49" fillId="0" borderId="0" xfId="0" applyNumberFormat="1" applyFont="1"/>
    <xf numFmtId="9" fontId="49" fillId="0" borderId="0" xfId="0" applyNumberFormat="1" applyFont="1" applyAlignment="1">
      <alignment horizontal="right"/>
    </xf>
    <xf numFmtId="0" fontId="49" fillId="0" borderId="17" xfId="0" applyFont="1" applyBorder="1" applyAlignment="1">
      <alignment horizontal="right"/>
    </xf>
    <xf numFmtId="0" fontId="49" fillId="0" borderId="49" xfId="0" applyFont="1" applyBorder="1" applyAlignment="1">
      <alignment horizontal="right"/>
    </xf>
    <xf numFmtId="165" fontId="49" fillId="0" borderId="58" xfId="0" applyNumberFormat="1" applyFont="1" applyBorder="1" applyAlignment="1">
      <alignment vertical="center"/>
    </xf>
    <xf numFmtId="165" fontId="49" fillId="0" borderId="44" xfId="0" applyNumberFormat="1" applyFont="1" applyBorder="1" applyAlignment="1">
      <alignment vertical="center"/>
    </xf>
    <xf numFmtId="165" fontId="49" fillId="0" borderId="13" xfId="0" applyNumberFormat="1" applyFont="1" applyBorder="1"/>
    <xf numFmtId="165" fontId="49" fillId="0" borderId="101" xfId="0" applyNumberFormat="1" applyFont="1" applyBorder="1"/>
    <xf numFmtId="165" fontId="49" fillId="0" borderId="102" xfId="0" applyNumberFormat="1" applyFont="1" applyBorder="1"/>
    <xf numFmtId="167" fontId="49" fillId="0" borderId="44" xfId="0" applyNumberFormat="1" applyFont="1" applyBorder="1" applyAlignment="1">
      <alignment horizontal="right"/>
    </xf>
    <xf numFmtId="167" fontId="49" fillId="0" borderId="101" xfId="0" applyNumberFormat="1" applyFont="1" applyBorder="1" applyAlignment="1">
      <alignment horizontal="right"/>
    </xf>
    <xf numFmtId="9" fontId="49" fillId="0" borderId="102" xfId="0" applyNumberFormat="1" applyFont="1" applyBorder="1" applyAlignment="1">
      <alignment horizontal="right"/>
    </xf>
    <xf numFmtId="167" fontId="49" fillId="0" borderId="58" xfId="0" applyNumberFormat="1" applyFont="1" applyBorder="1" applyAlignment="1">
      <alignment horizontal="right"/>
    </xf>
    <xf numFmtId="9" fontId="49" fillId="0" borderId="13" xfId="0" applyNumberFormat="1" applyFont="1" applyBorder="1" applyAlignment="1">
      <alignment horizontal="right"/>
    </xf>
    <xf numFmtId="9" fontId="49" fillId="0" borderId="101" xfId="0" applyNumberFormat="1" applyFont="1" applyBorder="1" applyAlignment="1">
      <alignment horizontal="right"/>
    </xf>
    <xf numFmtId="0" fontId="49" fillId="24" borderId="15" xfId="0" applyFont="1" applyFill="1" applyBorder="1" applyAlignment="1">
      <alignment horizontal="center" vertical="center"/>
    </xf>
    <xf numFmtId="165" fontId="49" fillId="0" borderId="50" xfId="0" applyNumberFormat="1" applyFont="1" applyBorder="1" applyAlignment="1">
      <alignment horizontal="right"/>
    </xf>
    <xf numFmtId="165" fontId="49" fillId="0" borderId="12" xfId="0" applyNumberFormat="1" applyFont="1" applyBorder="1" applyAlignment="1">
      <alignment horizontal="right"/>
    </xf>
    <xf numFmtId="0" fontId="70" fillId="35" borderId="15" xfId="0" applyFont="1" applyFill="1" applyBorder="1" applyAlignment="1">
      <alignment horizontal="center" vertical="center"/>
    </xf>
    <xf numFmtId="0" fontId="70" fillId="35" borderId="14" xfId="0" applyFont="1" applyFill="1" applyBorder="1" applyAlignment="1">
      <alignment horizontal="center" vertical="center"/>
    </xf>
    <xf numFmtId="164" fontId="49" fillId="35" borderId="16" xfId="0" applyNumberFormat="1" applyFont="1" applyFill="1" applyBorder="1" applyAlignment="1">
      <alignment vertical="center"/>
    </xf>
    <xf numFmtId="165" fontId="49" fillId="35" borderId="43" xfId="0" applyNumberFormat="1" applyFont="1" applyFill="1" applyBorder="1" applyAlignment="1">
      <alignment vertical="center"/>
    </xf>
    <xf numFmtId="0" fontId="49" fillId="35" borderId="15" xfId="0" applyFont="1" applyFill="1" applyBorder="1" applyAlignment="1">
      <alignment horizontal="left" vertical="center"/>
    </xf>
    <xf numFmtId="0" fontId="49" fillId="35" borderId="14" xfId="0" applyFont="1" applyFill="1" applyBorder="1" applyAlignment="1">
      <alignment horizontal="center" vertical="center" wrapText="1"/>
    </xf>
    <xf numFmtId="0" fontId="49" fillId="35" borderId="15" xfId="0" applyFont="1" applyFill="1" applyBorder="1" applyAlignment="1">
      <alignment horizontal="center" vertical="center" wrapText="1"/>
    </xf>
    <xf numFmtId="0" fontId="49" fillId="35" borderId="15" xfId="0" applyFont="1" applyFill="1" applyBorder="1" applyAlignment="1">
      <alignment horizontal="right" vertical="center"/>
    </xf>
    <xf numFmtId="165" fontId="49" fillId="35" borderId="15" xfId="0" applyNumberFormat="1" applyFont="1" applyFill="1" applyBorder="1" applyAlignment="1">
      <alignment vertical="center"/>
    </xf>
    <xf numFmtId="1" fontId="49" fillId="0" borderId="13" xfId="0" applyNumberFormat="1" applyFont="1" applyBorder="1" applyAlignment="1">
      <alignment horizontal="right"/>
    </xf>
    <xf numFmtId="165" fontId="4" fillId="0" borderId="17" xfId="0" applyNumberFormat="1" applyFont="1" applyBorder="1" applyAlignment="1">
      <alignment vertical="center"/>
    </xf>
    <xf numFmtId="165" fontId="4" fillId="0" borderId="49" xfId="0" applyNumberFormat="1" applyFont="1" applyBorder="1" applyAlignment="1">
      <alignment vertical="center"/>
    </xf>
    <xf numFmtId="165" fontId="4" fillId="0" borderId="58" xfId="0" applyNumberFormat="1" applyFont="1" applyBorder="1" applyAlignment="1">
      <alignment vertical="center"/>
    </xf>
    <xf numFmtId="165" fontId="4" fillId="0" borderId="13" xfId="0" applyNumberFormat="1" applyFont="1" applyBorder="1"/>
    <xf numFmtId="165" fontId="4" fillId="0" borderId="101" xfId="0" applyNumberFormat="1" applyFont="1" applyBorder="1"/>
    <xf numFmtId="0" fontId="4" fillId="0" borderId="16" xfId="0" applyFont="1" applyBorder="1" applyAlignment="1">
      <alignment vertical="center"/>
    </xf>
    <xf numFmtId="0" fontId="4" fillId="0" borderId="50" xfId="0" applyFont="1" applyBorder="1" applyAlignment="1">
      <alignment vertical="center"/>
    </xf>
    <xf numFmtId="0" fontId="4" fillId="0" borderId="12" xfId="0" applyFont="1" applyBorder="1"/>
    <xf numFmtId="165" fontId="49" fillId="0" borderId="16" xfId="0" applyNumberFormat="1" applyFont="1" applyBorder="1" applyAlignment="1">
      <alignment horizontal="right"/>
    </xf>
    <xf numFmtId="0" fontId="49" fillId="0" borderId="58" xfId="0" applyFont="1" applyBorder="1" applyAlignment="1">
      <alignment horizontal="right"/>
    </xf>
    <xf numFmtId="1" fontId="49" fillId="0" borderId="17" xfId="0" applyNumberFormat="1" applyFont="1" applyBorder="1" applyAlignment="1">
      <alignment horizontal="right"/>
    </xf>
    <xf numFmtId="0" fontId="37" fillId="26" borderId="57" xfId="0" applyFont="1" applyFill="1" applyBorder="1"/>
    <xf numFmtId="0" fontId="4" fillId="26" borderId="57" xfId="0" applyFont="1" applyFill="1" applyBorder="1" applyAlignment="1">
      <alignment vertical="center"/>
    </xf>
    <xf numFmtId="0" fontId="60" fillId="0" borderId="44" xfId="0" applyFont="1" applyBorder="1" applyAlignment="1">
      <alignment horizontal="center" vertical="center"/>
    </xf>
    <xf numFmtId="0" fontId="60" fillId="0" borderId="44" xfId="0" applyFont="1" applyBorder="1" applyAlignment="1">
      <alignment horizontal="center"/>
    </xf>
    <xf numFmtId="164" fontId="50" fillId="0" borderId="15" xfId="0" applyNumberFormat="1" applyFont="1" applyBorder="1" applyAlignment="1">
      <alignment vertical="center"/>
    </xf>
    <xf numFmtId="0" fontId="4" fillId="37" borderId="15" xfId="0" applyFont="1" applyFill="1" applyBorder="1" applyAlignment="1">
      <alignment horizontal="right"/>
    </xf>
    <xf numFmtId="168" fontId="4" fillId="37" borderId="15" xfId="0" applyNumberFormat="1" applyFont="1" applyFill="1" applyBorder="1" applyAlignment="1">
      <alignment horizontal="center" vertical="center"/>
    </xf>
    <xf numFmtId="0" fontId="63" fillId="26" borderId="74" xfId="34" applyFont="1" applyFill="1" applyBorder="1" applyAlignment="1" applyProtection="1">
      <alignment horizontal="center" vertical="center" wrapText="1"/>
    </xf>
    <xf numFmtId="0" fontId="4" fillId="26" borderId="74" xfId="47" applyFont="1" applyFill="1" applyBorder="1" applyAlignment="1">
      <alignment vertical="center" wrapText="1"/>
    </xf>
    <xf numFmtId="9" fontId="4" fillId="26" borderId="74" xfId="47" applyNumberFormat="1" applyFont="1" applyFill="1" applyBorder="1" applyAlignment="1">
      <alignment horizontal="center" vertical="center"/>
    </xf>
    <xf numFmtId="9" fontId="8" fillId="26" borderId="74" xfId="47" applyNumberFormat="1" applyFont="1" applyFill="1" applyBorder="1" applyAlignment="1">
      <alignment horizontal="center" vertical="center"/>
    </xf>
    <xf numFmtId="0" fontId="6" fillId="35" borderId="15" xfId="47" applyFont="1" applyFill="1" applyBorder="1" applyAlignment="1">
      <alignment horizontal="center" vertical="center" wrapText="1"/>
    </xf>
    <xf numFmtId="0" fontId="4" fillId="26" borderId="45" xfId="47" applyFont="1" applyFill="1" applyBorder="1"/>
    <xf numFmtId="0" fontId="4" fillId="26" borderId="36" xfId="0" applyFont="1" applyFill="1" applyBorder="1" applyAlignment="1">
      <alignment horizontal="left"/>
    </xf>
    <xf numFmtId="0" fontId="4" fillId="26" borderId="53" xfId="0" applyFont="1" applyFill="1" applyBorder="1" applyAlignment="1">
      <alignment horizontal="left"/>
    </xf>
    <xf numFmtId="0" fontId="7" fillId="24" borderId="36" xfId="0" applyFont="1" applyFill="1" applyBorder="1" applyAlignment="1">
      <alignment horizontal="left"/>
    </xf>
    <xf numFmtId="0" fontId="4" fillId="24" borderId="0" xfId="0" applyFont="1" applyFill="1" applyAlignment="1">
      <alignment horizontal="left"/>
    </xf>
    <xf numFmtId="0" fontId="7" fillId="24" borderId="48" xfId="0" applyFont="1" applyFill="1" applyBorder="1" applyAlignment="1">
      <alignment horizontal="left"/>
    </xf>
    <xf numFmtId="0" fontId="7" fillId="0" borderId="0" xfId="0" applyFont="1" applyAlignment="1">
      <alignment horizontal="left"/>
    </xf>
    <xf numFmtId="0" fontId="7" fillId="0" borderId="48" xfId="0" applyFont="1" applyBorder="1"/>
    <xf numFmtId="0" fontId="35" fillId="26" borderId="47" xfId="0" applyFont="1" applyFill="1" applyBorder="1"/>
    <xf numFmtId="0" fontId="35" fillId="0" borderId="48" xfId="0" applyFont="1" applyBorder="1" applyAlignment="1">
      <alignment horizontal="right"/>
    </xf>
    <xf numFmtId="0" fontId="7" fillId="26" borderId="47" xfId="0" applyFont="1" applyFill="1" applyBorder="1"/>
    <xf numFmtId="0" fontId="7" fillId="26" borderId="48" xfId="0" applyFont="1" applyFill="1" applyBorder="1" applyAlignment="1">
      <alignment horizontal="left"/>
    </xf>
    <xf numFmtId="0" fontId="7" fillId="26" borderId="48" xfId="0" applyFont="1" applyFill="1" applyBorder="1"/>
    <xf numFmtId="0" fontId="0" fillId="26" borderId="48" xfId="0" applyFill="1" applyBorder="1"/>
    <xf numFmtId="0" fontId="6" fillId="0" borderId="0" xfId="47" applyFont="1" applyAlignment="1">
      <alignment horizontal="left" vertical="center" wrapText="1" indent="1"/>
    </xf>
    <xf numFmtId="0" fontId="6" fillId="0" borderId="15" xfId="47" applyFont="1" applyBorder="1" applyAlignment="1">
      <alignment horizontal="center" vertical="center"/>
    </xf>
    <xf numFmtId="0" fontId="6" fillId="35" borderId="14" xfId="47" applyFont="1" applyFill="1" applyBorder="1" applyAlignment="1">
      <alignment horizontal="center" vertical="center"/>
    </xf>
    <xf numFmtId="0" fontId="3" fillId="0" borderId="15" xfId="47" applyBorder="1"/>
    <xf numFmtId="0" fontId="3" fillId="35" borderId="18" xfId="47" applyFill="1" applyBorder="1"/>
    <xf numFmtId="0" fontId="3" fillId="35" borderId="26" xfId="47" applyFill="1" applyBorder="1"/>
    <xf numFmtId="0" fontId="3" fillId="37" borderId="49" xfId="47" applyFill="1" applyBorder="1" applyAlignment="1">
      <alignment horizontal="center" vertical="center"/>
    </xf>
    <xf numFmtId="0" fontId="3" fillId="37" borderId="25" xfId="47" applyFill="1" applyBorder="1" applyAlignment="1">
      <alignment horizontal="center" vertical="center"/>
    </xf>
    <xf numFmtId="0" fontId="3" fillId="35" borderId="14" xfId="47" applyFill="1" applyBorder="1"/>
    <xf numFmtId="1" fontId="4" fillId="0" borderId="15" xfId="47" applyNumberFormat="1" applyFont="1" applyBorder="1" applyAlignment="1">
      <alignment wrapText="1"/>
    </xf>
    <xf numFmtId="1" fontId="4" fillId="41" borderId="15" xfId="47" applyNumberFormat="1" applyFont="1" applyFill="1" applyBorder="1" applyAlignment="1">
      <alignment wrapText="1"/>
    </xf>
    <xf numFmtId="0" fontId="8" fillId="41" borderId="15" xfId="47" applyFont="1" applyFill="1" applyBorder="1" applyAlignment="1">
      <alignment horizontal="left" vertical="center" wrapText="1" indent="1"/>
    </xf>
    <xf numFmtId="0" fontId="67" fillId="41" borderId="15" xfId="47" applyFont="1" applyFill="1" applyBorder="1" applyAlignment="1">
      <alignment horizontal="left" vertical="top" wrapText="1"/>
    </xf>
    <xf numFmtId="0" fontId="6" fillId="0" borderId="0" xfId="47" applyFont="1" applyAlignment="1">
      <alignment horizontal="center" vertical="center"/>
    </xf>
    <xf numFmtId="0" fontId="3" fillId="0" borderId="0" xfId="47" applyAlignment="1">
      <alignment horizontal="right" indent="1"/>
    </xf>
    <xf numFmtId="169" fontId="3" fillId="37" borderId="15" xfId="47" applyNumberFormat="1" applyFill="1" applyBorder="1"/>
    <xf numFmtId="169" fontId="3" fillId="37" borderId="15" xfId="47" applyNumberFormat="1" applyFill="1" applyBorder="1" applyAlignment="1">
      <alignment horizontal="center" vertical="center"/>
    </xf>
    <xf numFmtId="0" fontId="3" fillId="37" borderId="96" xfId="47" applyFill="1" applyBorder="1" applyAlignment="1">
      <alignment horizontal="center" vertical="center"/>
    </xf>
    <xf numFmtId="0" fontId="7" fillId="26" borderId="100" xfId="0" applyFont="1" applyFill="1" applyBorder="1"/>
    <xf numFmtId="0" fontId="7" fillId="26" borderId="37" xfId="0" applyFont="1" applyFill="1" applyBorder="1"/>
    <xf numFmtId="9" fontId="4" fillId="26" borderId="15" xfId="0" applyNumberFormat="1" applyFont="1" applyFill="1" applyBorder="1" applyAlignment="1">
      <alignment horizontal="center" vertical="center"/>
    </xf>
    <xf numFmtId="9" fontId="4" fillId="0" borderId="15" xfId="0" applyNumberFormat="1" applyFont="1" applyBorder="1" applyAlignment="1">
      <alignment horizontal="center" vertical="center" wrapText="1"/>
    </xf>
    <xf numFmtId="0" fontId="34" fillId="0" borderId="0" xfId="0" applyFont="1" applyAlignment="1">
      <alignment vertical="center" textRotation="180"/>
    </xf>
    <xf numFmtId="0" fontId="34" fillId="0" borderId="15" xfId="0" applyFont="1" applyBorder="1" applyAlignment="1">
      <alignment horizontal="center" vertical="center" textRotation="180"/>
    </xf>
    <xf numFmtId="0" fontId="34" fillId="0" borderId="15" xfId="0" applyFont="1" applyBorder="1" applyAlignment="1">
      <alignment vertical="center" textRotation="180"/>
    </xf>
    <xf numFmtId="0" fontId="34" fillId="0" borderId="15" xfId="0" applyFont="1" applyBorder="1" applyAlignment="1">
      <alignment vertical="center"/>
    </xf>
    <xf numFmtId="0" fontId="34" fillId="0" borderId="15" xfId="0" applyFont="1" applyBorder="1" applyAlignment="1">
      <alignment horizontal="center" vertical="center"/>
    </xf>
    <xf numFmtId="0" fontId="34" fillId="38" borderId="18" xfId="47" applyFont="1" applyFill="1" applyBorder="1" applyAlignment="1">
      <alignment vertical="center" wrapText="1"/>
    </xf>
    <xf numFmtId="165" fontId="34" fillId="0" borderId="15" xfId="0" applyNumberFormat="1" applyFont="1" applyBorder="1" applyAlignment="1">
      <alignment vertical="center"/>
    </xf>
    <xf numFmtId="0" fontId="34" fillId="54" borderId="15" xfId="0" applyFont="1" applyFill="1" applyBorder="1" applyAlignment="1">
      <alignment vertical="center"/>
    </xf>
    <xf numFmtId="0" fontId="34" fillId="0" borderId="15" xfId="0" quotePrefix="1" applyFont="1" applyBorder="1" applyAlignment="1">
      <alignment vertical="center"/>
    </xf>
    <xf numFmtId="0" fontId="34" fillId="0" borderId="0" xfId="0" applyFont="1" applyAlignment="1">
      <alignment vertical="center"/>
    </xf>
    <xf numFmtId="0" fontId="4" fillId="0" borderId="15" xfId="0" applyFont="1" applyBorder="1" applyAlignment="1">
      <alignment horizontal="right" vertical="center"/>
    </xf>
    <xf numFmtId="0" fontId="36" fillId="0" borderId="15" xfId="0" applyFont="1" applyBorder="1" applyAlignment="1">
      <alignment horizontal="right"/>
    </xf>
    <xf numFmtId="0" fontId="35" fillId="0" borderId="0" xfId="0" applyFont="1" applyAlignment="1">
      <alignment horizontal="left"/>
    </xf>
    <xf numFmtId="0" fontId="54" fillId="35" borderId="15" xfId="0" applyFont="1" applyFill="1" applyBorder="1" applyAlignment="1">
      <alignment horizontal="center" vertical="center"/>
    </xf>
    <xf numFmtId="0" fontId="52" fillId="35" borderId="14" xfId="0" applyFont="1" applyFill="1" applyBorder="1" applyAlignment="1">
      <alignment horizontal="center" vertical="center"/>
    </xf>
    <xf numFmtId="0" fontId="52" fillId="35" borderId="15" xfId="0" applyFont="1" applyFill="1" applyBorder="1" applyAlignment="1">
      <alignment horizontal="center" vertical="center"/>
    </xf>
    <xf numFmtId="164" fontId="50" fillId="35" borderId="15" xfId="0" applyNumberFormat="1" applyFont="1" applyFill="1" applyBorder="1" applyAlignment="1">
      <alignment vertical="center"/>
    </xf>
    <xf numFmtId="165" fontId="53" fillId="35" borderId="43" xfId="0" applyNumberFormat="1" applyFont="1" applyFill="1" applyBorder="1" applyAlignment="1">
      <alignment vertical="center"/>
    </xf>
    <xf numFmtId="0" fontId="4" fillId="35" borderId="15" xfId="0" applyFont="1" applyFill="1" applyBorder="1" applyAlignment="1">
      <alignment horizontal="right" vertical="center"/>
    </xf>
    <xf numFmtId="0" fontId="50" fillId="35" borderId="14" xfId="0" applyFont="1" applyFill="1" applyBorder="1" applyAlignment="1">
      <alignment horizontal="center" vertical="center" wrapText="1"/>
    </xf>
    <xf numFmtId="0" fontId="50" fillId="35" borderId="15" xfId="0" applyFont="1" applyFill="1" applyBorder="1" applyAlignment="1">
      <alignment horizontal="center" vertical="center" wrapText="1"/>
    </xf>
    <xf numFmtId="0" fontId="36" fillId="26" borderId="33" xfId="0" applyFont="1" applyFill="1" applyBorder="1" applyAlignment="1">
      <alignment horizontal="right"/>
    </xf>
    <xf numFmtId="0" fontId="58" fillId="26" borderId="46" xfId="0" applyFont="1" applyFill="1" applyBorder="1"/>
    <xf numFmtId="0" fontId="58" fillId="0" borderId="0" xfId="0" applyFont="1" applyAlignment="1">
      <alignment horizontal="right"/>
    </xf>
    <xf numFmtId="0" fontId="58" fillId="0" borderId="0" xfId="0" applyFont="1" applyAlignment="1">
      <alignment horizontal="right" vertical="center"/>
    </xf>
    <xf numFmtId="0" fontId="58" fillId="0" borderId="0" xfId="0" applyFont="1" applyAlignment="1">
      <alignment horizontal="center" vertical="center"/>
    </xf>
    <xf numFmtId="0" fontId="58" fillId="0" borderId="0" xfId="0" applyFont="1"/>
    <xf numFmtId="0" fontId="58" fillId="26" borderId="44" xfId="0" applyFont="1" applyFill="1" applyBorder="1" applyAlignment="1">
      <alignment horizontal="right"/>
    </xf>
    <xf numFmtId="0" fontId="58" fillId="26" borderId="44" xfId="0" applyFont="1" applyFill="1" applyBorder="1"/>
    <xf numFmtId="0" fontId="58" fillId="26" borderId="44" xfId="0" applyFont="1" applyFill="1" applyBorder="1" applyAlignment="1">
      <alignment vertical="center"/>
    </xf>
    <xf numFmtId="0" fontId="58" fillId="26" borderId="46" xfId="0" applyFont="1" applyFill="1" applyBorder="1" applyAlignment="1">
      <alignment vertical="center"/>
    </xf>
    <xf numFmtId="0" fontId="58" fillId="0" borderId="0" xfId="0" applyFont="1" applyAlignment="1">
      <alignment vertical="center"/>
    </xf>
    <xf numFmtId="0" fontId="58" fillId="0" borderId="0" xfId="0" applyFont="1" applyAlignment="1">
      <alignment horizontal="left" vertical="center"/>
    </xf>
    <xf numFmtId="0" fontId="65" fillId="26" borderId="46" xfId="0" applyFont="1" applyFill="1" applyBorder="1" applyAlignment="1">
      <alignment vertical="center"/>
    </xf>
    <xf numFmtId="0" fontId="58" fillId="26" borderId="58" xfId="0" applyFont="1" applyFill="1" applyBorder="1"/>
    <xf numFmtId="0" fontId="4" fillId="55" borderId="15" xfId="47" applyFont="1" applyFill="1" applyBorder="1" applyAlignment="1">
      <alignment horizontal="center" vertical="center" textRotation="180" wrapText="1"/>
    </xf>
    <xf numFmtId="17" fontId="6" fillId="35" borderId="15" xfId="47" applyNumberFormat="1" applyFont="1" applyFill="1" applyBorder="1" applyAlignment="1">
      <alignment horizontal="center" vertical="center"/>
    </xf>
    <xf numFmtId="0" fontId="4" fillId="0" borderId="15" xfId="47" applyFont="1" applyBorder="1" applyAlignment="1">
      <alignment horizontal="left" vertical="center" wrapText="1"/>
    </xf>
    <xf numFmtId="0" fontId="60" fillId="0" borderId="49" xfId="0" applyFont="1" applyBorder="1" applyAlignment="1">
      <alignment horizontal="right"/>
    </xf>
    <xf numFmtId="0" fontId="60" fillId="28" borderId="96" xfId="0" applyFont="1" applyFill="1" applyBorder="1" applyAlignment="1">
      <alignment horizontal="left"/>
    </xf>
    <xf numFmtId="0" fontId="59" fillId="39" borderId="65" xfId="0" applyFont="1" applyFill="1" applyBorder="1" applyAlignment="1">
      <alignment horizontal="center" vertical="top"/>
    </xf>
    <xf numFmtId="0" fontId="59" fillId="27" borderId="65" xfId="0" applyFont="1" applyFill="1" applyBorder="1" applyAlignment="1">
      <alignment horizontal="center" vertical="top"/>
    </xf>
    <xf numFmtId="0" fontId="59" fillId="27" borderId="66" xfId="0" applyFont="1" applyFill="1" applyBorder="1" applyAlignment="1">
      <alignment horizontal="center" vertical="top"/>
    </xf>
    <xf numFmtId="0" fontId="59" fillId="27" borderId="67" xfId="0" applyFont="1" applyFill="1" applyBorder="1" applyAlignment="1">
      <alignment horizontal="center" vertical="top"/>
    </xf>
    <xf numFmtId="0" fontId="59" fillId="27" borderId="68" xfId="0" applyFont="1" applyFill="1" applyBorder="1" applyAlignment="1">
      <alignment horizontal="center" wrapText="1"/>
    </xf>
    <xf numFmtId="0" fontId="59" fillId="27" borderId="69" xfId="0" applyFont="1" applyFill="1" applyBorder="1" applyAlignment="1">
      <alignment horizontal="center" wrapText="1"/>
    </xf>
    <xf numFmtId="0" fontId="59" fillId="27" borderId="70" xfId="0" applyFont="1" applyFill="1" applyBorder="1" applyAlignment="1">
      <alignment horizontal="center" wrapText="1"/>
    </xf>
    <xf numFmtId="0" fontId="60" fillId="0" borderId="0" xfId="0" applyFont="1"/>
    <xf numFmtId="0" fontId="59" fillId="0" borderId="15" xfId="0" applyFont="1" applyBorder="1" applyAlignment="1">
      <alignment horizontal="center"/>
    </xf>
    <xf numFmtId="0" fontId="60" fillId="0" borderId="15" xfId="0" applyFont="1" applyBorder="1" applyAlignment="1">
      <alignment horizontal="left" vertical="center"/>
    </xf>
    <xf numFmtId="0" fontId="59" fillId="0" borderId="15" xfId="0" applyFont="1" applyBorder="1" applyAlignment="1">
      <alignment horizontal="center" vertical="center"/>
    </xf>
    <xf numFmtId="164" fontId="60" fillId="0" borderId="15" xfId="0" applyNumberFormat="1" applyFont="1" applyBorder="1" applyAlignment="1">
      <alignment vertical="center"/>
    </xf>
    <xf numFmtId="165" fontId="60" fillId="0" borderId="15" xfId="0" applyNumberFormat="1" applyFont="1" applyBorder="1" applyAlignment="1">
      <alignment vertical="center"/>
    </xf>
    <xf numFmtId="0" fontId="60" fillId="0" borderId="15" xfId="0" applyFont="1" applyBorder="1" applyAlignment="1">
      <alignment horizontal="right" vertical="center"/>
    </xf>
    <xf numFmtId="0" fontId="60" fillId="37" borderId="14" xfId="0" applyFont="1" applyFill="1" applyBorder="1" applyAlignment="1">
      <alignment horizontal="center" vertical="center" wrapText="1"/>
    </xf>
    <xf numFmtId="0" fontId="59" fillId="0" borderId="14" xfId="0" applyFont="1" applyBorder="1" applyAlignment="1">
      <alignment horizontal="center" vertical="center"/>
    </xf>
    <xf numFmtId="165" fontId="60" fillId="0" borderId="43" xfId="0" applyNumberFormat="1" applyFont="1" applyBorder="1" applyAlignment="1">
      <alignment vertical="center"/>
    </xf>
    <xf numFmtId="0" fontId="60" fillId="0" borderId="14" xfId="0" applyFont="1" applyBorder="1" applyAlignment="1">
      <alignment horizontal="center" vertical="center" wrapText="1"/>
    </xf>
    <xf numFmtId="0" fontId="60" fillId="0" borderId="15" xfId="0" applyFont="1" applyBorder="1" applyAlignment="1">
      <alignment horizontal="center" vertical="center" wrapText="1"/>
    </xf>
    <xf numFmtId="0" fontId="60" fillId="0" borderId="16" xfId="0" applyFont="1" applyBorder="1" applyAlignment="1">
      <alignment horizontal="center"/>
    </xf>
    <xf numFmtId="0" fontId="60" fillId="0" borderId="12" xfId="0" applyFont="1" applyBorder="1" applyAlignment="1">
      <alignment horizontal="center"/>
    </xf>
    <xf numFmtId="0" fontId="35" fillId="0" borderId="17" xfId="0" applyFont="1" applyBorder="1"/>
    <xf numFmtId="17" fontId="3" fillId="37" borderId="15" xfId="47" applyNumberFormat="1" applyFill="1" applyBorder="1"/>
    <xf numFmtId="0" fontId="3" fillId="0" borderId="0" xfId="47" applyAlignment="1">
      <alignment vertical="center"/>
    </xf>
    <xf numFmtId="0" fontId="4" fillId="26" borderId="86" xfId="47" applyFont="1" applyFill="1" applyBorder="1" applyAlignment="1">
      <alignment horizontal="center"/>
    </xf>
    <xf numFmtId="0" fontId="4" fillId="26" borderId="80" xfId="47" applyFont="1" applyFill="1" applyBorder="1" applyAlignment="1">
      <alignment horizontal="center"/>
    </xf>
    <xf numFmtId="0" fontId="67" fillId="0" borderId="15" xfId="47" applyFont="1" applyBorder="1" applyAlignment="1">
      <alignment horizontal="center" vertical="center" wrapText="1"/>
    </xf>
    <xf numFmtId="0" fontId="8" fillId="0" borderId="15" xfId="47" applyFont="1" applyBorder="1" applyAlignment="1">
      <alignment horizontal="center" vertical="center" wrapText="1"/>
    </xf>
    <xf numFmtId="0" fontId="8" fillId="41" borderId="22" xfId="0" applyFont="1" applyFill="1" applyBorder="1" applyAlignment="1">
      <alignment horizontal="center" vertical="center" wrapText="1"/>
    </xf>
    <xf numFmtId="0" fontId="8" fillId="41" borderId="15" xfId="0" applyFont="1" applyFill="1" applyBorder="1" applyAlignment="1">
      <alignment horizontal="center" vertical="center" wrapText="1"/>
    </xf>
    <xf numFmtId="0" fontId="8" fillId="41" borderId="21" xfId="0" applyFont="1" applyFill="1" applyBorder="1" applyAlignment="1">
      <alignment horizontal="center" vertical="center" wrapText="1"/>
    </xf>
    <xf numFmtId="0" fontId="4" fillId="0" borderId="0" xfId="47" applyFont="1" applyAlignment="1">
      <alignment textRotation="90"/>
    </xf>
    <xf numFmtId="0" fontId="4" fillId="26" borderId="10" xfId="0" applyFont="1" applyFill="1" applyBorder="1" applyAlignment="1">
      <alignment vertical="center"/>
    </xf>
    <xf numFmtId="0" fontId="4" fillId="0" borderId="0" xfId="0" applyFont="1" applyAlignment="1">
      <alignment horizontal="left" vertical="center"/>
    </xf>
    <xf numFmtId="0" fontId="4" fillId="0" borderId="0" xfId="0" applyFont="1" applyAlignment="1">
      <alignment horizontal="right" vertical="center"/>
    </xf>
    <xf numFmtId="0" fontId="4" fillId="0" borderId="0" xfId="0" applyFont="1" applyAlignment="1">
      <alignment horizontal="right"/>
    </xf>
    <xf numFmtId="0" fontId="4" fillId="24" borderId="44" xfId="0" applyFont="1" applyFill="1" applyBorder="1" applyAlignment="1">
      <alignment vertical="center"/>
    </xf>
    <xf numFmtId="165" fontId="4" fillId="24" borderId="44" xfId="0" applyNumberFormat="1" applyFont="1" applyFill="1" applyBorder="1" applyAlignment="1">
      <alignment vertical="center"/>
    </xf>
    <xf numFmtId="0" fontId="36" fillId="0" borderId="44" xfId="0" applyFont="1" applyBorder="1" applyAlignment="1">
      <alignment horizontal="right"/>
    </xf>
    <xf numFmtId="0" fontId="4" fillId="24" borderId="35" xfId="0" applyFont="1" applyFill="1" applyBorder="1" applyAlignment="1">
      <alignment horizontal="center"/>
    </xf>
    <xf numFmtId="0" fontId="4" fillId="0" borderId="15" xfId="47" applyFont="1" applyBorder="1" applyAlignment="1">
      <alignment horizontal="left" wrapText="1"/>
    </xf>
    <xf numFmtId="0" fontId="4" fillId="29" borderId="15" xfId="47" applyFont="1" applyFill="1" applyBorder="1" applyAlignment="1">
      <alignment horizontal="center" vertical="center" wrapText="1"/>
    </xf>
    <xf numFmtId="1" fontId="4" fillId="41" borderId="15" xfId="47" applyNumberFormat="1" applyFont="1" applyFill="1" applyBorder="1" applyAlignment="1">
      <alignment horizontal="center" vertical="center" wrapText="1"/>
    </xf>
    <xf numFmtId="0" fontId="4" fillId="0" borderId="15" xfId="47" applyFont="1" applyBorder="1"/>
    <xf numFmtId="1" fontId="4" fillId="41" borderId="15" xfId="47" applyNumberFormat="1" applyFont="1" applyFill="1" applyBorder="1" applyAlignment="1" applyProtection="1">
      <alignment horizontal="left" vertical="center" wrapText="1"/>
      <protection locked="0"/>
    </xf>
    <xf numFmtId="1" fontId="4" fillId="41" borderId="15" xfId="47" applyNumberFormat="1" applyFont="1" applyFill="1" applyBorder="1" applyAlignment="1">
      <alignment horizontal="left" wrapText="1"/>
    </xf>
    <xf numFmtId="1" fontId="4" fillId="41" borderId="15" xfId="46" applyNumberFormat="1" applyFont="1" applyFill="1" applyBorder="1" applyAlignment="1" applyProtection="1">
      <alignment horizontal="left" vertical="center" wrapText="1"/>
      <protection locked="0"/>
    </xf>
    <xf numFmtId="1" fontId="4" fillId="57" borderId="15" xfId="47" applyNumberFormat="1" applyFont="1" applyFill="1" applyBorder="1" applyAlignment="1">
      <alignment horizontal="left" vertical="center" wrapText="1"/>
    </xf>
    <xf numFmtId="1" fontId="4" fillId="57" borderId="15" xfId="47" applyNumberFormat="1" applyFont="1" applyFill="1" applyBorder="1" applyAlignment="1">
      <alignment horizontal="center" vertical="center" wrapText="1"/>
    </xf>
    <xf numFmtId="1" fontId="4" fillId="57" borderId="15" xfId="47" applyNumberFormat="1" applyFont="1" applyFill="1" applyBorder="1" applyAlignment="1" applyProtection="1">
      <alignment horizontal="left" vertical="center" wrapText="1"/>
      <protection locked="0"/>
    </xf>
    <xf numFmtId="1" fontId="4" fillId="57" borderId="15" xfId="46" applyNumberFormat="1" applyFont="1" applyFill="1" applyBorder="1" applyAlignment="1" applyProtection="1">
      <alignment horizontal="left" vertical="center" wrapText="1"/>
      <protection locked="0"/>
    </xf>
    <xf numFmtId="0" fontId="4" fillId="57" borderId="15" xfId="47" applyFont="1" applyFill="1" applyBorder="1" applyAlignment="1">
      <alignment horizontal="left" vertical="center" wrapText="1"/>
    </xf>
    <xf numFmtId="0" fontId="3" fillId="0" borderId="0" xfId="47" applyAlignment="1">
      <alignment vertical="center" wrapText="1"/>
    </xf>
    <xf numFmtId="1" fontId="3" fillId="0" borderId="0" xfId="47" applyNumberFormat="1" applyAlignment="1">
      <alignment vertical="center" wrapText="1"/>
    </xf>
    <xf numFmtId="0" fontId="3" fillId="0" borderId="0" xfId="47" applyAlignment="1">
      <alignment horizontal="left" vertical="center"/>
    </xf>
    <xf numFmtId="3" fontId="4" fillId="0" borderId="0" xfId="47" applyNumberFormat="1" applyFont="1" applyAlignment="1">
      <alignment vertical="center"/>
    </xf>
    <xf numFmtId="3" fontId="3" fillId="0" borderId="0" xfId="47" applyNumberFormat="1" applyAlignment="1">
      <alignment vertical="center"/>
    </xf>
    <xf numFmtId="0" fontId="4" fillId="57" borderId="15" xfId="47" applyFont="1" applyFill="1" applyBorder="1" applyAlignment="1">
      <alignment horizontal="center" vertical="center" wrapText="1"/>
    </xf>
    <xf numFmtId="0" fontId="4" fillId="57" borderId="15" xfId="47" applyFont="1" applyFill="1" applyBorder="1" applyAlignment="1">
      <alignment horizontal="left" wrapText="1"/>
    </xf>
    <xf numFmtId="0" fontId="4" fillId="57" borderId="15" xfId="47" applyFont="1" applyFill="1" applyBorder="1" applyAlignment="1">
      <alignment wrapText="1"/>
    </xf>
    <xf numFmtId="1" fontId="4" fillId="57" borderId="15" xfId="47" applyNumberFormat="1" applyFont="1" applyFill="1" applyBorder="1" applyAlignment="1">
      <alignment vertical="center"/>
    </xf>
    <xf numFmtId="0" fontId="4" fillId="57" borderId="15" xfId="47" applyFont="1" applyFill="1" applyBorder="1" applyAlignment="1">
      <alignment horizontal="left" vertical="top" wrapText="1"/>
    </xf>
    <xf numFmtId="1" fontId="4" fillId="57" borderId="15" xfId="47" applyNumberFormat="1" applyFont="1" applyFill="1" applyBorder="1" applyAlignment="1">
      <alignment horizontal="left"/>
    </xf>
    <xf numFmtId="0" fontId="4" fillId="57" borderId="18" xfId="47" applyFont="1" applyFill="1" applyBorder="1" applyAlignment="1">
      <alignment horizontal="left" wrapText="1"/>
    </xf>
    <xf numFmtId="0" fontId="78" fillId="57" borderId="15" xfId="47" applyFont="1" applyFill="1" applyBorder="1"/>
    <xf numFmtId="1" fontId="4" fillId="57" borderId="15" xfId="47" applyNumberFormat="1" applyFont="1" applyFill="1" applyBorder="1" applyAlignment="1">
      <alignment horizontal="left" wrapText="1"/>
    </xf>
    <xf numFmtId="1" fontId="4" fillId="57" borderId="18" xfId="47" applyNumberFormat="1" applyFont="1" applyFill="1" applyBorder="1" applyAlignment="1">
      <alignment horizontal="left" wrapText="1"/>
    </xf>
    <xf numFmtId="1" fontId="4" fillId="57" borderId="15" xfId="47" applyNumberFormat="1" applyFont="1" applyFill="1" applyBorder="1"/>
    <xf numFmtId="0" fontId="6" fillId="35" borderId="12" xfId="47" applyFont="1" applyFill="1" applyBorder="1" applyAlignment="1">
      <alignment horizontal="center" vertical="center"/>
    </xf>
    <xf numFmtId="49" fontId="3" fillId="57" borderId="18" xfId="47" applyNumberFormat="1" applyFill="1" applyBorder="1"/>
    <xf numFmtId="0" fontId="6" fillId="57" borderId="26" xfId="47" applyFont="1" applyFill="1" applyBorder="1"/>
    <xf numFmtId="0" fontId="3" fillId="57" borderId="26" xfId="47" applyFill="1" applyBorder="1"/>
    <xf numFmtId="0" fontId="3" fillId="57" borderId="14" xfId="47" applyFill="1" applyBorder="1"/>
    <xf numFmtId="49" fontId="3" fillId="28" borderId="18" xfId="47" applyNumberFormat="1" applyFill="1" applyBorder="1"/>
    <xf numFmtId="0" fontId="6" fillId="28" borderId="26" xfId="47" applyFont="1" applyFill="1" applyBorder="1"/>
    <xf numFmtId="0" fontId="3" fillId="28" borderId="26" xfId="47" applyFill="1" applyBorder="1"/>
    <xf numFmtId="0" fontId="3" fillId="28" borderId="14" xfId="47" applyFill="1" applyBorder="1"/>
    <xf numFmtId="0" fontId="3" fillId="37" borderId="15" xfId="47" applyFill="1" applyBorder="1" applyAlignment="1">
      <alignment horizontal="center" vertical="center"/>
    </xf>
    <xf numFmtId="0" fontId="32" fillId="24" borderId="100" xfId="0" applyFont="1" applyFill="1" applyBorder="1" applyAlignment="1">
      <alignment horizontal="center" wrapText="1"/>
    </xf>
    <xf numFmtId="0" fontId="49" fillId="0" borderId="20" xfId="0" applyFont="1" applyBorder="1" applyAlignment="1">
      <alignment horizontal="center" vertical="center"/>
    </xf>
    <xf numFmtId="0" fontId="49" fillId="0" borderId="26" xfId="0" applyFont="1" applyBorder="1" applyAlignment="1">
      <alignment horizontal="center" vertical="center"/>
    </xf>
    <xf numFmtId="0" fontId="49" fillId="0" borderId="32" xfId="0" applyFont="1" applyBorder="1" applyAlignment="1">
      <alignment horizontal="center" vertical="center"/>
    </xf>
    <xf numFmtId="0" fontId="35" fillId="26" borderId="48" xfId="0" applyFont="1" applyFill="1" applyBorder="1"/>
    <xf numFmtId="0" fontId="4" fillId="0" borderId="14" xfId="0" applyFont="1" applyBorder="1" applyAlignment="1">
      <alignment vertical="center"/>
    </xf>
    <xf numFmtId="0" fontId="60" fillId="0" borderId="32" xfId="0" applyFont="1" applyBorder="1" applyAlignment="1">
      <alignment horizontal="center"/>
    </xf>
    <xf numFmtId="0" fontId="4" fillId="29" borderId="32" xfId="0" applyFont="1" applyFill="1" applyBorder="1" applyAlignment="1">
      <alignment horizontal="left" vertical="center" wrapText="1"/>
    </xf>
    <xf numFmtId="0" fontId="58" fillId="33" borderId="32" xfId="0" applyFont="1" applyFill="1" applyBorder="1" applyAlignment="1">
      <alignment horizontal="left" vertical="center" wrapText="1"/>
    </xf>
    <xf numFmtId="0" fontId="36" fillId="26" borderId="44" xfId="0" applyFont="1" applyFill="1" applyBorder="1" applyAlignment="1">
      <alignment horizontal="right" vertical="center"/>
    </xf>
    <xf numFmtId="0" fontId="36" fillId="26" borderId="45" xfId="0" applyFont="1" applyFill="1" applyBorder="1" applyAlignment="1">
      <alignment horizontal="right"/>
    </xf>
    <xf numFmtId="0" fontId="4" fillId="26" borderId="0" xfId="0" applyFont="1" applyFill="1" applyAlignment="1">
      <alignment horizontal="left"/>
    </xf>
    <xf numFmtId="0" fontId="7" fillId="26" borderId="45" xfId="0" applyFont="1" applyFill="1" applyBorder="1"/>
    <xf numFmtId="0" fontId="35" fillId="0" borderId="49" xfId="0" applyFont="1" applyBorder="1" applyAlignment="1">
      <alignment horizontal="right"/>
    </xf>
    <xf numFmtId="0" fontId="35" fillId="0" borderId="49" xfId="0" applyFont="1" applyBorder="1"/>
    <xf numFmtId="0" fontId="29" fillId="26" borderId="0" xfId="0" applyFont="1" applyFill="1" applyAlignment="1">
      <alignment vertical="center"/>
    </xf>
    <xf numFmtId="0" fontId="36" fillId="26" borderId="124" xfId="0" applyFont="1" applyFill="1" applyBorder="1" applyAlignment="1">
      <alignment horizontal="right"/>
    </xf>
    <xf numFmtId="1" fontId="3" fillId="0" borderId="0" xfId="47" applyNumberFormat="1" applyAlignment="1">
      <alignment vertical="center"/>
    </xf>
    <xf numFmtId="1" fontId="4" fillId="40" borderId="15" xfId="47" applyNumberFormat="1" applyFont="1" applyFill="1" applyBorder="1" applyAlignment="1">
      <alignment horizontal="left" vertical="center" wrapText="1"/>
    </xf>
    <xf numFmtId="0" fontId="3" fillId="37" borderId="96" xfId="47" applyFill="1" applyBorder="1" applyAlignment="1">
      <alignment horizontal="center" vertical="center" wrapText="1"/>
    </xf>
    <xf numFmtId="0" fontId="4" fillId="37" borderId="15" xfId="0" applyFont="1" applyFill="1" applyBorder="1" applyAlignment="1">
      <alignment horizontal="center" vertical="center" wrapText="1"/>
    </xf>
    <xf numFmtId="167" fontId="4" fillId="29" borderId="15" xfId="47" applyNumberFormat="1" applyFont="1" applyFill="1" applyBorder="1" applyAlignment="1">
      <alignment horizontal="center" vertical="center" wrapText="1"/>
    </xf>
    <xf numFmtId="1" fontId="4" fillId="57" borderId="15" xfId="47" applyNumberFormat="1" applyFont="1" applyFill="1" applyBorder="1" applyAlignment="1">
      <alignment horizontal="right" vertical="center"/>
    </xf>
    <xf numFmtId="167" fontId="4" fillId="40" borderId="15" xfId="47" applyNumberFormat="1" applyFont="1" applyFill="1" applyBorder="1" applyAlignment="1">
      <alignment horizontal="left" vertical="center" wrapText="1"/>
    </xf>
    <xf numFmtId="167" fontId="4" fillId="40" borderId="15" xfId="47" applyNumberFormat="1" applyFont="1" applyFill="1" applyBorder="1" applyAlignment="1">
      <alignment horizontal="right" vertical="center"/>
    </xf>
    <xf numFmtId="1" fontId="4" fillId="40" borderId="15" xfId="47" applyNumberFormat="1" applyFont="1" applyFill="1" applyBorder="1" applyAlignment="1">
      <alignment horizontal="right" vertical="center"/>
    </xf>
    <xf numFmtId="0" fontId="50" fillId="0" borderId="60" xfId="0" applyFont="1" applyBorder="1" applyAlignment="1">
      <alignment horizontal="center" vertical="center" wrapText="1"/>
    </xf>
    <xf numFmtId="0" fontId="50" fillId="0" borderId="10" xfId="0" applyFont="1" applyBorder="1" applyAlignment="1">
      <alignment horizontal="center" vertical="center" wrapText="1"/>
    </xf>
    <xf numFmtId="0" fontId="50" fillId="0" borderId="59" xfId="0" applyFont="1" applyBorder="1" applyAlignment="1">
      <alignment horizontal="center" vertical="center" wrapText="1"/>
    </xf>
    <xf numFmtId="0" fontId="50" fillId="0" borderId="17" xfId="0" applyFont="1" applyBorder="1" applyAlignment="1">
      <alignment horizontal="center" vertical="center" wrapText="1"/>
    </xf>
    <xf numFmtId="0" fontId="34" fillId="0" borderId="21" xfId="0" applyFont="1" applyBorder="1" applyAlignment="1">
      <alignment horizontal="left" vertical="center" wrapText="1"/>
    </xf>
    <xf numFmtId="0" fontId="34" fillId="29" borderId="21" xfId="0" applyFont="1" applyFill="1" applyBorder="1" applyAlignment="1">
      <alignment horizontal="left" vertical="center" wrapText="1"/>
    </xf>
    <xf numFmtId="0" fontId="80" fillId="33" borderId="21" xfId="0" applyFont="1" applyFill="1" applyBorder="1" applyAlignment="1">
      <alignment horizontal="left" vertical="center" wrapText="1"/>
    </xf>
    <xf numFmtId="0" fontId="82" fillId="24" borderId="0" xfId="0" applyFont="1" applyFill="1" applyAlignment="1">
      <alignment horizontal="left" vertical="center"/>
    </xf>
    <xf numFmtId="3" fontId="34" fillId="0" borderId="15" xfId="0" applyNumberFormat="1" applyFont="1" applyBorder="1" applyAlignment="1">
      <alignment horizontal="center" vertical="center"/>
    </xf>
    <xf numFmtId="3" fontId="34" fillId="0" borderId="21" xfId="0" applyNumberFormat="1" applyFont="1" applyBorder="1" applyAlignment="1">
      <alignment horizontal="center" vertical="center"/>
    </xf>
    <xf numFmtId="1" fontId="34" fillId="0" borderId="15" xfId="0" applyNumberFormat="1" applyFont="1" applyBorder="1" applyAlignment="1">
      <alignment horizontal="center" vertical="center"/>
    </xf>
    <xf numFmtId="3" fontId="34" fillId="29" borderId="15" xfId="0" applyNumberFormat="1" applyFont="1" applyFill="1" applyBorder="1" applyAlignment="1">
      <alignment horizontal="center" vertical="center"/>
    </xf>
    <xf numFmtId="3" fontId="34" fillId="29" borderId="21" xfId="0" applyNumberFormat="1" applyFont="1" applyFill="1" applyBorder="1" applyAlignment="1">
      <alignment horizontal="center" vertical="center"/>
    </xf>
    <xf numFmtId="3" fontId="80" fillId="33" borderId="15" xfId="0" applyNumberFormat="1" applyFont="1" applyFill="1" applyBorder="1" applyAlignment="1">
      <alignment horizontal="center" vertical="center"/>
    </xf>
    <xf numFmtId="3" fontId="80" fillId="33" borderId="21" xfId="0" applyNumberFormat="1" applyFont="1" applyFill="1" applyBorder="1" applyAlignment="1">
      <alignment horizontal="center" vertical="center"/>
    </xf>
    <xf numFmtId="0" fontId="34" fillId="24" borderId="0" xfId="0" applyFont="1" applyFill="1" applyAlignment="1">
      <alignment vertical="center"/>
    </xf>
    <xf numFmtId="0" fontId="33" fillId="28" borderId="12" xfId="0" applyFont="1" applyFill="1" applyBorder="1" applyAlignment="1">
      <alignment horizontal="center" vertical="top"/>
    </xf>
    <xf numFmtId="49" fontId="33" fillId="28" borderId="15" xfId="0" applyNumberFormat="1" applyFont="1" applyFill="1" applyBorder="1" applyAlignment="1">
      <alignment horizontal="center" vertical="center" wrapText="1" shrinkToFit="1"/>
    </xf>
    <xf numFmtId="49" fontId="33" fillId="28" borderId="21" xfId="0" applyNumberFormat="1" applyFont="1" applyFill="1" applyBorder="1" applyAlignment="1">
      <alignment horizontal="center" vertical="center" wrapText="1" shrinkToFit="1"/>
    </xf>
    <xf numFmtId="167" fontId="34" fillId="28" borderId="21" xfId="0" applyNumberFormat="1" applyFont="1" applyFill="1" applyBorder="1" applyAlignment="1">
      <alignment horizontal="center" vertical="center"/>
    </xf>
    <xf numFmtId="164" fontId="34" fillId="0" borderId="15" xfId="0" applyNumberFormat="1" applyFont="1" applyBorder="1" applyAlignment="1">
      <alignment horizontal="center" vertical="center"/>
    </xf>
    <xf numFmtId="164" fontId="34" fillId="0" borderId="18" xfId="0" applyNumberFormat="1" applyFont="1" applyBorder="1" applyAlignment="1">
      <alignment horizontal="center" vertical="center"/>
    </xf>
    <xf numFmtId="164" fontId="34" fillId="0" borderId="21" xfId="0" applyNumberFormat="1" applyFont="1" applyBorder="1" applyAlignment="1">
      <alignment horizontal="center" vertical="center"/>
    </xf>
    <xf numFmtId="3" fontId="34" fillId="28" borderId="19" xfId="0" applyNumberFormat="1" applyFont="1" applyFill="1" applyBorder="1" applyAlignment="1">
      <alignment horizontal="center" vertical="center"/>
    </xf>
    <xf numFmtId="165" fontId="34" fillId="24" borderId="18" xfId="0" applyNumberFormat="1" applyFont="1" applyFill="1" applyBorder="1" applyAlignment="1">
      <alignment horizontal="right" vertical="center"/>
    </xf>
    <xf numFmtId="165" fontId="34" fillId="0" borderId="21" xfId="0" applyNumberFormat="1" applyFont="1" applyBorder="1" applyAlignment="1">
      <alignment horizontal="right" vertical="center"/>
    </xf>
    <xf numFmtId="167" fontId="34" fillId="29" borderId="21" xfId="0" applyNumberFormat="1" applyFont="1" applyFill="1" applyBorder="1" applyAlignment="1">
      <alignment horizontal="center" vertical="center"/>
    </xf>
    <xf numFmtId="165" fontId="34" fillId="29" borderId="15" xfId="0" applyNumberFormat="1" applyFont="1" applyFill="1" applyBorder="1" applyAlignment="1" applyProtection="1">
      <alignment horizontal="center" vertical="center"/>
      <protection hidden="1"/>
    </xf>
    <xf numFmtId="165" fontId="34" fillId="29" borderId="18" xfId="0" applyNumberFormat="1" applyFont="1" applyFill="1" applyBorder="1" applyAlignment="1" applyProtection="1">
      <alignment horizontal="center" vertical="center"/>
      <protection hidden="1"/>
    </xf>
    <xf numFmtId="0" fontId="34" fillId="29" borderId="19" xfId="0" quotePrefix="1" applyFont="1" applyFill="1" applyBorder="1" applyAlignment="1">
      <alignment horizontal="center" vertical="center"/>
    </xf>
    <xf numFmtId="165" fontId="34" fillId="29" borderId="15" xfId="0" applyNumberFormat="1" applyFont="1" applyFill="1" applyBorder="1" applyAlignment="1" applyProtection="1">
      <alignment horizontal="right" vertical="center"/>
      <protection hidden="1"/>
    </xf>
    <xf numFmtId="165" fontId="34" fillId="29" borderId="21" xfId="0" applyNumberFormat="1" applyFont="1" applyFill="1" applyBorder="1" applyAlignment="1" applyProtection="1">
      <alignment horizontal="right" vertical="center"/>
      <protection hidden="1"/>
    </xf>
    <xf numFmtId="167" fontId="80" fillId="33" borderId="21" xfId="0" applyNumberFormat="1" applyFont="1" applyFill="1" applyBorder="1" applyAlignment="1">
      <alignment horizontal="center" vertical="center"/>
    </xf>
    <xf numFmtId="165" fontId="80" fillId="33" borderId="15" xfId="0" applyNumberFormat="1" applyFont="1" applyFill="1" applyBorder="1" applyAlignment="1" applyProtection="1">
      <alignment horizontal="center" vertical="center"/>
      <protection hidden="1"/>
    </xf>
    <xf numFmtId="165" fontId="80" fillId="33" borderId="21" xfId="0" applyNumberFormat="1" applyFont="1" applyFill="1" applyBorder="1" applyAlignment="1" applyProtection="1">
      <alignment horizontal="center" vertical="center"/>
      <protection hidden="1"/>
    </xf>
    <xf numFmtId="0" fontId="80" fillId="33" borderId="19" xfId="0" quotePrefix="1" applyFont="1" applyFill="1" applyBorder="1" applyAlignment="1">
      <alignment horizontal="center" vertical="center"/>
    </xf>
    <xf numFmtId="165" fontId="80" fillId="33" borderId="15" xfId="0" applyNumberFormat="1" applyFont="1" applyFill="1" applyBorder="1" applyAlignment="1" applyProtection="1">
      <alignment horizontal="right" vertical="center"/>
      <protection hidden="1"/>
    </xf>
    <xf numFmtId="0" fontId="35" fillId="26" borderId="58" xfId="0" applyFont="1" applyFill="1" applyBorder="1" applyAlignment="1">
      <alignment vertical="center"/>
    </xf>
    <xf numFmtId="165" fontId="80" fillId="33" borderId="21" xfId="0" applyNumberFormat="1" applyFont="1" applyFill="1" applyBorder="1" applyAlignment="1">
      <alignment horizontal="right" vertical="center"/>
    </xf>
    <xf numFmtId="0" fontId="33" fillId="28" borderId="31" xfId="0" applyFont="1" applyFill="1" applyBorder="1" applyAlignment="1">
      <alignment horizontal="center" vertical="top"/>
    </xf>
    <xf numFmtId="0" fontId="34" fillId="26" borderId="44" xfId="0" applyFont="1" applyFill="1" applyBorder="1" applyAlignment="1">
      <alignment vertical="center"/>
    </xf>
    <xf numFmtId="9" fontId="34" fillId="0" borderId="15" xfId="0" applyNumberFormat="1" applyFont="1" applyBorder="1" applyAlignment="1">
      <alignment horizontal="center" vertical="center"/>
    </xf>
    <xf numFmtId="9" fontId="34" fillId="0" borderId="21" xfId="0" applyNumberFormat="1" applyFont="1" applyBorder="1" applyAlignment="1">
      <alignment horizontal="center" vertical="center"/>
    </xf>
    <xf numFmtId="9" fontId="34" fillId="29" borderId="15" xfId="0" applyNumberFormat="1" applyFont="1" applyFill="1" applyBorder="1" applyAlignment="1">
      <alignment horizontal="center" vertical="center"/>
    </xf>
    <xf numFmtId="9" fontId="34" fillId="29" borderId="21" xfId="0" applyNumberFormat="1" applyFont="1" applyFill="1" applyBorder="1" applyAlignment="1">
      <alignment horizontal="center" vertical="center"/>
    </xf>
    <xf numFmtId="9" fontId="80" fillId="33" borderId="15" xfId="0" applyNumberFormat="1" applyFont="1" applyFill="1" applyBorder="1" applyAlignment="1">
      <alignment horizontal="center" vertical="center"/>
    </xf>
    <xf numFmtId="9" fontId="80" fillId="33" borderId="21" xfId="0" applyNumberFormat="1" applyFont="1" applyFill="1" applyBorder="1" applyAlignment="1">
      <alignment horizontal="center" vertical="center"/>
    </xf>
    <xf numFmtId="0" fontId="33" fillId="28" borderId="15" xfId="0" applyFont="1" applyFill="1" applyBorder="1" applyAlignment="1">
      <alignment horizontal="center" vertical="center" wrapText="1"/>
    </xf>
    <xf numFmtId="0" fontId="33" fillId="28" borderId="21" xfId="0" applyFont="1" applyFill="1" applyBorder="1" applyAlignment="1">
      <alignment horizontal="center" vertical="center" wrapText="1"/>
    </xf>
    <xf numFmtId="0" fontId="69" fillId="24" borderId="0" xfId="0" applyFont="1" applyFill="1" applyAlignment="1">
      <alignment horizontal="left" vertical="center" wrapText="1"/>
    </xf>
    <xf numFmtId="17" fontId="33" fillId="28" borderId="15" xfId="0" applyNumberFormat="1" applyFont="1" applyFill="1" applyBorder="1" applyAlignment="1">
      <alignment horizontal="center" vertical="center"/>
    </xf>
    <xf numFmtId="17" fontId="33" fillId="28" borderId="21" xfId="0" applyNumberFormat="1" applyFont="1" applyFill="1" applyBorder="1" applyAlignment="1">
      <alignment horizontal="center" vertical="center"/>
    </xf>
    <xf numFmtId="165" fontId="34" fillId="0" borderId="71" xfId="47" applyNumberFormat="1" applyFont="1" applyBorder="1" applyAlignment="1">
      <alignment horizontal="center" vertical="center"/>
    </xf>
    <xf numFmtId="165" fontId="34" fillId="0" borderId="72" xfId="47" applyNumberFormat="1" applyFont="1" applyBorder="1" applyAlignment="1">
      <alignment horizontal="center" vertical="center"/>
    </xf>
    <xf numFmtId="165" fontId="34" fillId="0" borderId="108" xfId="47" applyNumberFormat="1" applyFont="1" applyBorder="1" applyAlignment="1">
      <alignment horizontal="center" vertical="center"/>
    </xf>
    <xf numFmtId="1" fontId="34" fillId="0" borderId="65" xfId="47" applyNumberFormat="1" applyFont="1" applyBorder="1" applyAlignment="1">
      <alignment horizontal="center" vertical="center"/>
    </xf>
    <xf numFmtId="1" fontId="34" fillId="0" borderId="66" xfId="47" applyNumberFormat="1" applyFont="1" applyBorder="1" applyAlignment="1">
      <alignment horizontal="center" vertical="center"/>
    </xf>
    <xf numFmtId="1" fontId="34" fillId="0" borderId="67" xfId="47" applyNumberFormat="1" applyFont="1" applyBorder="1" applyAlignment="1">
      <alignment horizontal="center" vertical="center"/>
    </xf>
    <xf numFmtId="9" fontId="34" fillId="0" borderId="24" xfId="47" applyNumberFormat="1" applyFont="1" applyBorder="1" applyAlignment="1">
      <alignment horizontal="center" vertical="center"/>
    </xf>
    <xf numFmtId="9" fontId="34" fillId="0" borderId="16" xfId="47" applyNumberFormat="1" applyFont="1" applyBorder="1" applyAlignment="1">
      <alignment horizontal="center" vertical="center"/>
    </xf>
    <xf numFmtId="9" fontId="34" fillId="0" borderId="23" xfId="47" applyNumberFormat="1" applyFont="1" applyBorder="1" applyAlignment="1">
      <alignment horizontal="center" vertical="center"/>
    </xf>
    <xf numFmtId="9" fontId="34" fillId="0" borderId="65" xfId="47" applyNumberFormat="1" applyFont="1" applyBorder="1" applyAlignment="1">
      <alignment horizontal="center" vertical="center"/>
    </xf>
    <xf numFmtId="9" fontId="34" fillId="0" borderId="66" xfId="47" applyNumberFormat="1" applyFont="1" applyBorder="1" applyAlignment="1">
      <alignment horizontal="center" vertical="center"/>
    </xf>
    <xf numFmtId="9" fontId="34" fillId="0" borderId="67" xfId="47" applyNumberFormat="1" applyFont="1" applyBorder="1" applyAlignment="1">
      <alignment horizontal="center" vertical="center"/>
    </xf>
    <xf numFmtId="9" fontId="34" fillId="0" borderId="22" xfId="47" applyNumberFormat="1" applyFont="1" applyBorder="1" applyAlignment="1">
      <alignment horizontal="center" vertical="center"/>
    </xf>
    <xf numFmtId="9" fontId="34" fillId="0" borderId="15" xfId="47" applyNumberFormat="1" applyFont="1" applyBorder="1" applyAlignment="1">
      <alignment horizontal="center" vertical="center"/>
    </xf>
    <xf numFmtId="9" fontId="34" fillId="0" borderId="21" xfId="47" applyNumberFormat="1" applyFont="1" applyBorder="1" applyAlignment="1">
      <alignment horizontal="center" vertical="center"/>
    </xf>
    <xf numFmtId="9" fontId="34" fillId="0" borderId="68" xfId="47" applyNumberFormat="1" applyFont="1" applyBorder="1" applyAlignment="1">
      <alignment horizontal="center" vertical="center"/>
    </xf>
    <xf numFmtId="9" fontId="34" fillId="0" borderId="69" xfId="47" applyNumberFormat="1" applyFont="1" applyBorder="1" applyAlignment="1">
      <alignment horizontal="center" vertical="center"/>
    </xf>
    <xf numFmtId="9" fontId="34" fillId="0" borderId="70" xfId="47" applyNumberFormat="1" applyFont="1" applyBorder="1" applyAlignment="1">
      <alignment horizontal="center" vertical="center"/>
    </xf>
    <xf numFmtId="1" fontId="34" fillId="0" borderId="71" xfId="47" applyNumberFormat="1" applyFont="1" applyBorder="1" applyAlignment="1">
      <alignment horizontal="center" vertical="center"/>
    </xf>
    <xf numFmtId="1" fontId="34" fillId="0" borderId="72" xfId="47" applyNumberFormat="1" applyFont="1" applyBorder="1" applyAlignment="1">
      <alignment horizontal="center" vertical="center"/>
    </xf>
    <xf numFmtId="1" fontId="34" fillId="0" borderId="108" xfId="47" applyNumberFormat="1" applyFont="1" applyBorder="1" applyAlignment="1">
      <alignment horizontal="center" vertical="center"/>
    </xf>
    <xf numFmtId="165" fontId="34" fillId="0" borderId="65" xfId="47" applyNumberFormat="1" applyFont="1" applyBorder="1" applyAlignment="1">
      <alignment horizontal="center" vertical="center"/>
    </xf>
    <xf numFmtId="165" fontId="34" fillId="0" borderId="66" xfId="47" applyNumberFormat="1" applyFont="1" applyBorder="1" applyAlignment="1">
      <alignment horizontal="center" vertical="center"/>
    </xf>
    <xf numFmtId="165" fontId="34" fillId="0" borderId="67" xfId="47" applyNumberFormat="1" applyFont="1" applyBorder="1" applyAlignment="1">
      <alignment horizontal="center" vertical="center"/>
    </xf>
    <xf numFmtId="1" fontId="34" fillId="0" borderId="22" xfId="47" applyNumberFormat="1" applyFont="1" applyBorder="1" applyAlignment="1">
      <alignment horizontal="center" vertical="center"/>
    </xf>
    <xf numFmtId="1" fontId="34" fillId="0" borderId="15" xfId="47" applyNumberFormat="1" applyFont="1" applyBorder="1" applyAlignment="1">
      <alignment horizontal="center" vertical="center"/>
    </xf>
    <xf numFmtId="1" fontId="34" fillId="0" borderId="21" xfId="47" applyNumberFormat="1" applyFont="1" applyBorder="1" applyAlignment="1">
      <alignment horizontal="center" vertical="center"/>
    </xf>
    <xf numFmtId="167" fontId="34" fillId="0" borderId="22" xfId="47" applyNumberFormat="1" applyFont="1" applyBorder="1" applyAlignment="1">
      <alignment horizontal="center" vertical="center"/>
    </xf>
    <xf numFmtId="167" fontId="34" fillId="0" borderId="15" xfId="47" applyNumberFormat="1" applyFont="1" applyBorder="1" applyAlignment="1">
      <alignment horizontal="center" vertical="center"/>
    </xf>
    <xf numFmtId="167" fontId="34" fillId="0" borderId="21" xfId="47" applyNumberFormat="1" applyFont="1" applyBorder="1" applyAlignment="1">
      <alignment horizontal="center" vertical="center"/>
    </xf>
    <xf numFmtId="167" fontId="34" fillId="0" borderId="68" xfId="47" applyNumberFormat="1" applyFont="1" applyBorder="1" applyAlignment="1">
      <alignment horizontal="center" vertical="center"/>
    </xf>
    <xf numFmtId="167" fontId="34" fillId="0" borderId="69" xfId="47" applyNumberFormat="1" applyFont="1" applyBorder="1" applyAlignment="1">
      <alignment horizontal="center" vertical="center"/>
    </xf>
    <xf numFmtId="167" fontId="34" fillId="0" borderId="70" xfId="47" applyNumberFormat="1" applyFont="1" applyBorder="1" applyAlignment="1">
      <alignment horizontal="center" vertical="center"/>
    </xf>
    <xf numFmtId="165" fontId="34" fillId="0" borderId="90" xfId="47" applyNumberFormat="1" applyFont="1" applyBorder="1" applyAlignment="1">
      <alignment horizontal="center" vertical="center"/>
    </xf>
    <xf numFmtId="9" fontId="34" fillId="0" borderId="129" xfId="47" applyNumberFormat="1" applyFont="1" applyBorder="1" applyAlignment="1">
      <alignment horizontal="center" vertical="center"/>
    </xf>
    <xf numFmtId="9" fontId="34" fillId="0" borderId="93" xfId="47" applyNumberFormat="1" applyFont="1" applyBorder="1" applyAlignment="1">
      <alignment horizontal="center" vertical="center"/>
    </xf>
    <xf numFmtId="9" fontId="34" fillId="31" borderId="19" xfId="47" applyNumberFormat="1" applyFont="1" applyFill="1" applyBorder="1" applyAlignment="1">
      <alignment horizontal="center" vertical="center"/>
    </xf>
    <xf numFmtId="9" fontId="34" fillId="26" borderId="19" xfId="47" applyNumberFormat="1" applyFont="1" applyFill="1" applyBorder="1" applyAlignment="1">
      <alignment horizontal="center" vertical="center"/>
    </xf>
    <xf numFmtId="9" fontId="34" fillId="31" borderId="94" xfId="47" applyNumberFormat="1" applyFont="1" applyFill="1" applyBorder="1" applyAlignment="1">
      <alignment horizontal="center" vertical="center"/>
    </xf>
    <xf numFmtId="9" fontId="34" fillId="26" borderId="94" xfId="47" applyNumberFormat="1" applyFont="1" applyFill="1" applyBorder="1" applyAlignment="1">
      <alignment horizontal="center" vertical="center"/>
    </xf>
    <xf numFmtId="1" fontId="34" fillId="31" borderId="91" xfId="47" applyNumberFormat="1" applyFont="1" applyFill="1" applyBorder="1" applyAlignment="1">
      <alignment horizontal="center" vertical="center"/>
    </xf>
    <xf numFmtId="1" fontId="34" fillId="38" borderId="91" xfId="47" applyNumberFormat="1" applyFont="1" applyFill="1" applyBorder="1" applyAlignment="1">
      <alignment horizontal="center" vertical="center"/>
    </xf>
    <xf numFmtId="9" fontId="34" fillId="38" borderId="19" xfId="47" applyNumberFormat="1" applyFont="1" applyFill="1" applyBorder="1" applyAlignment="1">
      <alignment horizontal="center" vertical="center"/>
    </xf>
    <xf numFmtId="9" fontId="34" fillId="31" borderId="27" xfId="47" applyNumberFormat="1" applyFont="1" applyFill="1" applyBorder="1" applyAlignment="1">
      <alignment horizontal="center" vertical="center"/>
    </xf>
    <xf numFmtId="9" fontId="34" fillId="38" borderId="27" xfId="47" applyNumberFormat="1" applyFont="1" applyFill="1" applyBorder="1" applyAlignment="1">
      <alignment horizontal="center" vertical="center"/>
    </xf>
    <xf numFmtId="9" fontId="34" fillId="38" borderId="94" xfId="47" applyNumberFormat="1" applyFont="1" applyFill="1" applyBorder="1" applyAlignment="1">
      <alignment horizontal="center" vertical="center"/>
    </xf>
    <xf numFmtId="165" fontId="34" fillId="31" borderId="91" xfId="47" applyNumberFormat="1" applyFont="1" applyFill="1" applyBorder="1" applyAlignment="1">
      <alignment horizontal="center" vertical="center"/>
    </xf>
    <xf numFmtId="165" fontId="34" fillId="26" borderId="91" xfId="47" applyNumberFormat="1" applyFont="1" applyFill="1" applyBorder="1" applyAlignment="1">
      <alignment horizontal="center" vertical="center"/>
    </xf>
    <xf numFmtId="1" fontId="34" fillId="31" borderId="19" xfId="47" applyNumberFormat="1" applyFont="1" applyFill="1" applyBorder="1" applyAlignment="1">
      <alignment horizontal="center" vertical="center"/>
    </xf>
    <xf numFmtId="1" fontId="34" fillId="26" borderId="19" xfId="47" applyNumberFormat="1" applyFont="1" applyFill="1" applyBorder="1" applyAlignment="1">
      <alignment horizontal="center" vertical="center"/>
    </xf>
    <xf numFmtId="9" fontId="34" fillId="31" borderId="91" xfId="47" applyNumberFormat="1" applyFont="1" applyFill="1" applyBorder="1" applyAlignment="1">
      <alignment horizontal="center" vertical="center"/>
    </xf>
    <xf numFmtId="9" fontId="34" fillId="38" borderId="91" xfId="47" applyNumberFormat="1" applyFont="1" applyFill="1" applyBorder="1" applyAlignment="1">
      <alignment horizontal="center" vertical="center"/>
    </xf>
    <xf numFmtId="167" fontId="34" fillId="31" borderId="19" xfId="47" applyNumberFormat="1" applyFont="1" applyFill="1" applyBorder="1" applyAlignment="1">
      <alignment horizontal="center" vertical="center"/>
    </xf>
    <xf numFmtId="167" fontId="34" fillId="38" borderId="19" xfId="47" applyNumberFormat="1" applyFont="1" applyFill="1" applyBorder="1" applyAlignment="1">
      <alignment horizontal="center" vertical="center"/>
    </xf>
    <xf numFmtId="167" fontId="34" fillId="31" borderId="94" xfId="47" applyNumberFormat="1" applyFont="1" applyFill="1" applyBorder="1" applyAlignment="1">
      <alignment horizontal="center" vertical="center"/>
    </xf>
    <xf numFmtId="167" fontId="34" fillId="38" borderId="94" xfId="47" applyNumberFormat="1" applyFont="1" applyFill="1" applyBorder="1" applyAlignment="1">
      <alignment horizontal="center" vertical="center"/>
    </xf>
    <xf numFmtId="1" fontId="34" fillId="0" borderId="29" xfId="47" applyNumberFormat="1" applyFont="1" applyBorder="1" applyAlignment="1">
      <alignment horizontal="center" vertical="center"/>
    </xf>
    <xf numFmtId="1" fontId="34" fillId="0" borderId="12" xfId="47" applyNumberFormat="1" applyFont="1" applyBorder="1" applyAlignment="1">
      <alignment horizontal="center" vertical="center"/>
    </xf>
    <xf numFmtId="1" fontId="34" fillId="0" borderId="31" xfId="47" applyNumberFormat="1" applyFont="1" applyBorder="1" applyAlignment="1">
      <alignment horizontal="center" vertical="center"/>
    </xf>
    <xf numFmtId="9" fontId="34" fillId="0" borderId="92" xfId="47" applyNumberFormat="1" applyFont="1" applyBorder="1" applyAlignment="1">
      <alignment horizontal="center" vertical="center"/>
    </xf>
    <xf numFmtId="9" fontId="34" fillId="0" borderId="104" xfId="47" applyNumberFormat="1" applyFont="1" applyBorder="1" applyAlignment="1">
      <alignment horizontal="center" vertical="center"/>
    </xf>
    <xf numFmtId="9" fontId="34" fillId="0" borderId="107" xfId="47" applyNumberFormat="1" applyFont="1" applyBorder="1" applyAlignment="1">
      <alignment horizontal="center" vertical="center"/>
    </xf>
    <xf numFmtId="9" fontId="34" fillId="0" borderId="29" xfId="47" applyNumberFormat="1" applyFont="1" applyBorder="1" applyAlignment="1">
      <alignment horizontal="center" vertical="center"/>
    </xf>
    <xf numFmtId="9" fontId="34" fillId="0" borderId="12" xfId="47" applyNumberFormat="1" applyFont="1" applyBorder="1" applyAlignment="1">
      <alignment horizontal="center" vertical="center"/>
    </xf>
    <xf numFmtId="9" fontId="34" fillId="0" borderId="31" xfId="47" applyNumberFormat="1" applyFont="1" applyBorder="1" applyAlignment="1">
      <alignment horizontal="center" vertical="center"/>
    </xf>
    <xf numFmtId="165" fontId="34" fillId="0" borderId="68" xfId="47" applyNumberFormat="1" applyFont="1" applyBorder="1" applyAlignment="1">
      <alignment horizontal="center" vertical="center"/>
    </xf>
    <xf numFmtId="165" fontId="34" fillId="0" borderId="69" xfId="47" applyNumberFormat="1" applyFont="1" applyBorder="1" applyAlignment="1">
      <alignment horizontal="center" vertical="center"/>
    </xf>
    <xf numFmtId="165" fontId="34" fillId="0" borderId="70" xfId="47" applyNumberFormat="1" applyFont="1" applyBorder="1" applyAlignment="1">
      <alignment horizontal="center" vertical="center"/>
    </xf>
    <xf numFmtId="165" fontId="34" fillId="0" borderId="22" xfId="47" applyNumberFormat="1" applyFont="1" applyBorder="1" applyAlignment="1">
      <alignment horizontal="center" vertical="center"/>
    </xf>
    <xf numFmtId="165" fontId="34" fillId="0" borderId="15" xfId="47" applyNumberFormat="1" applyFont="1" applyBorder="1" applyAlignment="1">
      <alignment horizontal="center" vertical="center"/>
    </xf>
    <xf numFmtId="165" fontId="34" fillId="0" borderId="21" xfId="47" applyNumberFormat="1" applyFont="1" applyBorder="1" applyAlignment="1">
      <alignment horizontal="center" vertical="center"/>
    </xf>
    <xf numFmtId="165" fontId="34" fillId="31" borderId="96" xfId="47" applyNumberFormat="1" applyFont="1" applyFill="1" applyBorder="1" applyAlignment="1">
      <alignment horizontal="center" vertical="center"/>
    </xf>
    <xf numFmtId="165" fontId="34" fillId="38" borderId="96" xfId="47" applyNumberFormat="1" applyFont="1" applyFill="1" applyBorder="1" applyAlignment="1">
      <alignment horizontal="center" vertical="center"/>
    </xf>
    <xf numFmtId="1" fontId="34" fillId="26" borderId="91" xfId="47" applyNumberFormat="1" applyFont="1" applyFill="1" applyBorder="1" applyAlignment="1">
      <alignment horizontal="center" vertical="center"/>
    </xf>
    <xf numFmtId="9" fontId="34" fillId="31" borderId="68" xfId="47" applyNumberFormat="1" applyFont="1" applyFill="1" applyBorder="1" applyAlignment="1">
      <alignment horizontal="center" vertical="center"/>
    </xf>
    <xf numFmtId="1" fontId="34" fillId="31" borderId="96" xfId="47" applyNumberFormat="1" applyFont="1" applyFill="1" applyBorder="1" applyAlignment="1">
      <alignment horizontal="center" vertical="center"/>
    </xf>
    <xf numFmtId="1" fontId="34" fillId="38" borderId="96" xfId="47" applyNumberFormat="1" applyFont="1" applyFill="1" applyBorder="1" applyAlignment="1">
      <alignment horizontal="center" vertical="center"/>
    </xf>
    <xf numFmtId="1" fontId="34" fillId="31" borderId="34" xfId="47" applyNumberFormat="1" applyFont="1" applyFill="1" applyBorder="1" applyAlignment="1">
      <alignment horizontal="center" vertical="center"/>
    </xf>
    <xf numFmtId="1" fontId="34" fillId="26" borderId="34" xfId="47" applyNumberFormat="1" applyFont="1" applyFill="1" applyBorder="1" applyAlignment="1">
      <alignment horizontal="center" vertical="center"/>
    </xf>
    <xf numFmtId="9" fontId="34" fillId="31" borderId="103" xfId="47" applyNumberFormat="1" applyFont="1" applyFill="1" applyBorder="1" applyAlignment="1">
      <alignment horizontal="center" vertical="center"/>
    </xf>
    <xf numFmtId="9" fontId="34" fillId="26" borderId="103" xfId="47" applyNumberFormat="1" applyFont="1" applyFill="1" applyBorder="1" applyAlignment="1">
      <alignment horizontal="center" vertical="center"/>
    </xf>
    <xf numFmtId="167" fontId="34" fillId="31" borderId="34" xfId="47" applyNumberFormat="1" applyFont="1" applyFill="1" applyBorder="1" applyAlignment="1">
      <alignment horizontal="center" vertical="center"/>
    </xf>
    <xf numFmtId="167" fontId="34" fillId="38" borderId="34" xfId="47" applyNumberFormat="1" applyFont="1" applyFill="1" applyBorder="1" applyAlignment="1">
      <alignment horizontal="center" vertical="center"/>
    </xf>
    <xf numFmtId="165" fontId="34" fillId="0" borderId="91" xfId="47" applyNumberFormat="1" applyFont="1" applyBorder="1" applyAlignment="1">
      <alignment horizontal="center" vertical="center"/>
    </xf>
    <xf numFmtId="165" fontId="34" fillId="31" borderId="94" xfId="47" applyNumberFormat="1" applyFont="1" applyFill="1" applyBorder="1" applyAlignment="1">
      <alignment horizontal="center" vertical="center"/>
    </xf>
    <xf numFmtId="165" fontId="34" fillId="0" borderId="94" xfId="47" applyNumberFormat="1" applyFont="1" applyBorder="1" applyAlignment="1">
      <alignment horizontal="center" vertical="center"/>
    </xf>
    <xf numFmtId="9" fontId="34" fillId="31" borderId="105" xfId="47" applyNumberFormat="1" applyFont="1" applyFill="1" applyBorder="1" applyAlignment="1">
      <alignment horizontal="center" vertical="center"/>
    </xf>
    <xf numFmtId="9" fontId="34" fillId="38" borderId="105" xfId="47" applyNumberFormat="1" applyFont="1" applyFill="1" applyBorder="1" applyAlignment="1">
      <alignment horizontal="center" vertical="center"/>
    </xf>
    <xf numFmtId="165" fontId="34" fillId="38" borderId="91" xfId="47" applyNumberFormat="1" applyFont="1" applyFill="1" applyBorder="1" applyAlignment="1">
      <alignment horizontal="center" vertical="center"/>
    </xf>
    <xf numFmtId="165" fontId="34" fillId="31" borderId="19" xfId="47" applyNumberFormat="1" applyFont="1" applyFill="1" applyBorder="1" applyAlignment="1">
      <alignment horizontal="center" vertical="center"/>
    </xf>
    <xf numFmtId="165" fontId="34" fillId="38" borderId="19" xfId="47" applyNumberFormat="1" applyFont="1" applyFill="1" applyBorder="1" applyAlignment="1">
      <alignment horizontal="center" vertical="center"/>
    </xf>
    <xf numFmtId="165" fontId="34" fillId="38" borderId="94" xfId="47" applyNumberFormat="1" applyFont="1" applyFill="1" applyBorder="1" applyAlignment="1">
      <alignment horizontal="center" vertical="center"/>
    </xf>
    <xf numFmtId="165" fontId="34" fillId="26" borderId="19" xfId="47" applyNumberFormat="1" applyFont="1" applyFill="1" applyBorder="1" applyAlignment="1">
      <alignment horizontal="center" vertical="center"/>
    </xf>
    <xf numFmtId="0" fontId="4" fillId="26" borderId="48" xfId="47" applyFont="1" applyFill="1" applyBorder="1" applyAlignment="1">
      <alignment wrapText="1"/>
    </xf>
    <xf numFmtId="0" fontId="4" fillId="0" borderId="0" xfId="47" applyFont="1" applyAlignment="1">
      <alignment wrapText="1"/>
    </xf>
    <xf numFmtId="0" fontId="33" fillId="26" borderId="76" xfId="47" applyFont="1" applyFill="1" applyBorder="1" applyAlignment="1">
      <alignment horizontal="center" wrapText="1"/>
    </xf>
    <xf numFmtId="0" fontId="34" fillId="0" borderId="15" xfId="0" applyFont="1" applyBorder="1" applyAlignment="1">
      <alignment horizontal="left" vertical="center" wrapText="1" indent="1"/>
    </xf>
    <xf numFmtId="0" fontId="34" fillId="24" borderId="15" xfId="0" applyFont="1" applyFill="1" applyBorder="1" applyAlignment="1">
      <alignment horizontal="left" vertical="center" wrapText="1"/>
    </xf>
    <xf numFmtId="0" fontId="34" fillId="0" borderId="21" xfId="0" applyFont="1" applyBorder="1" applyAlignment="1">
      <alignment horizontal="center" vertical="center" wrapText="1"/>
    </xf>
    <xf numFmtId="0" fontId="34" fillId="24" borderId="15" xfId="0" applyFont="1" applyFill="1" applyBorder="1" applyAlignment="1">
      <alignment horizontal="left" vertical="center" wrapText="1" indent="1"/>
    </xf>
    <xf numFmtId="0" fontId="34" fillId="24" borderId="21" xfId="0" applyFont="1" applyFill="1" applyBorder="1" applyAlignment="1">
      <alignment horizontal="center" vertical="center" wrapText="1"/>
    </xf>
    <xf numFmtId="0" fontId="84" fillId="0" borderId="14" xfId="0" applyFont="1" applyBorder="1" applyAlignment="1">
      <alignment vertical="top" wrapText="1"/>
    </xf>
    <xf numFmtId="0" fontId="84" fillId="0" borderId="15" xfId="0" applyFont="1" applyBorder="1" applyAlignment="1">
      <alignment vertical="top" wrapText="1"/>
    </xf>
    <xf numFmtId="0" fontId="34" fillId="0" borderId="15" xfId="0" applyFont="1" applyBorder="1" applyAlignment="1">
      <alignment vertical="top" wrapText="1"/>
    </xf>
    <xf numFmtId="0" fontId="34" fillId="24" borderId="21" xfId="0" applyFont="1" applyFill="1" applyBorder="1" applyAlignment="1">
      <alignment vertical="top" wrapText="1"/>
    </xf>
    <xf numFmtId="0" fontId="34" fillId="24" borderId="15" xfId="0" applyFont="1" applyFill="1" applyBorder="1"/>
    <xf numFmtId="0" fontId="34" fillId="24" borderId="21" xfId="0" applyFont="1" applyFill="1" applyBorder="1"/>
    <xf numFmtId="0" fontId="34" fillId="26" borderId="15" xfId="0" applyFont="1" applyFill="1" applyBorder="1" applyAlignment="1">
      <alignment vertical="top" wrapText="1"/>
    </xf>
    <xf numFmtId="0" fontId="84" fillId="0" borderId="18" xfId="0" applyFont="1" applyBorder="1" applyAlignment="1">
      <alignment vertical="top" wrapText="1"/>
    </xf>
    <xf numFmtId="0" fontId="34" fillId="0" borderId="18" xfId="0" applyFont="1" applyBorder="1" applyAlignment="1">
      <alignment vertical="top" wrapText="1"/>
    </xf>
    <xf numFmtId="0" fontId="82" fillId="26" borderId="0" xfId="0" applyFont="1" applyFill="1" applyAlignment="1">
      <alignment horizontal="left" vertical="center"/>
    </xf>
    <xf numFmtId="0" fontId="81" fillId="26" borderId="0" xfId="0" applyFont="1" applyFill="1" applyAlignment="1">
      <alignment vertical="top"/>
    </xf>
    <xf numFmtId="0" fontId="34" fillId="24" borderId="12" xfId="0" applyFont="1" applyFill="1" applyBorder="1" applyAlignment="1">
      <alignment horizontal="left" vertical="center" wrapText="1" indent="1"/>
    </xf>
    <xf numFmtId="0" fontId="34" fillId="26" borderId="15" xfId="0" applyFont="1" applyFill="1" applyBorder="1" applyAlignment="1">
      <alignment horizontal="left" vertical="center" wrapText="1" indent="1"/>
    </xf>
    <xf numFmtId="0" fontId="33" fillId="26" borderId="53" xfId="0" applyFont="1" applyFill="1" applyBorder="1" applyAlignment="1">
      <alignment horizontal="center" vertical="center" wrapText="1"/>
    </xf>
    <xf numFmtId="0" fontId="34" fillId="24" borderId="53" xfId="0" applyFont="1" applyFill="1" applyBorder="1" applyAlignment="1">
      <alignment horizontal="left" vertical="center" wrapText="1" indent="1"/>
    </xf>
    <xf numFmtId="0" fontId="34" fillId="24" borderId="36" xfId="0" applyFont="1" applyFill="1" applyBorder="1" applyAlignment="1">
      <alignment horizontal="left"/>
    </xf>
    <xf numFmtId="0" fontId="34" fillId="24" borderId="36" xfId="0" applyFont="1" applyFill="1" applyBorder="1"/>
    <xf numFmtId="0" fontId="62" fillId="24" borderId="57" xfId="0" applyFont="1" applyFill="1" applyBorder="1" applyAlignment="1">
      <alignment horizontal="center" vertical="center"/>
    </xf>
    <xf numFmtId="0" fontId="0" fillId="24" borderId="0" xfId="0" applyFill="1" applyAlignment="1">
      <alignment vertical="center" wrapText="1"/>
    </xf>
    <xf numFmtId="3" fontId="4" fillId="24" borderId="0" xfId="0" applyNumberFormat="1" applyFont="1" applyFill="1" applyAlignment="1">
      <alignment vertical="center"/>
    </xf>
    <xf numFmtId="3" fontId="8" fillId="24" borderId="0" xfId="0" applyNumberFormat="1" applyFont="1" applyFill="1" applyAlignment="1">
      <alignment vertical="center"/>
    </xf>
    <xf numFmtId="0" fontId="49" fillId="0" borderId="14" xfId="0" applyFont="1" applyBorder="1" applyAlignment="1">
      <alignment vertical="center"/>
    </xf>
    <xf numFmtId="0" fontId="49" fillId="0" borderId="15" xfId="0" applyFont="1" applyBorder="1" applyAlignment="1">
      <alignment vertical="center"/>
    </xf>
    <xf numFmtId="0" fontId="49" fillId="0" borderId="18" xfId="0" applyFont="1" applyBorder="1" applyAlignment="1">
      <alignment vertical="center"/>
    </xf>
    <xf numFmtId="165" fontId="34" fillId="24" borderId="20" xfId="46" applyNumberFormat="1" applyFont="1" applyFill="1" applyBorder="1" applyAlignment="1">
      <alignment horizontal="center" vertical="center" wrapText="1"/>
    </xf>
    <xf numFmtId="3" fontId="34" fillId="24" borderId="15" xfId="46" applyNumberFormat="1" applyFont="1" applyFill="1" applyBorder="1" applyAlignment="1">
      <alignment horizontal="center" vertical="center" wrapText="1"/>
    </xf>
    <xf numFmtId="3" fontId="34" fillId="24" borderId="32" xfId="46" applyNumberFormat="1" applyFont="1" applyFill="1" applyBorder="1" applyAlignment="1">
      <alignment horizontal="center" vertical="center"/>
    </xf>
    <xf numFmtId="0" fontId="34" fillId="24" borderId="21" xfId="0" applyFont="1" applyFill="1" applyBorder="1" applyAlignment="1">
      <alignment horizontal="left" vertical="center" wrapText="1"/>
    </xf>
    <xf numFmtId="165" fontId="34" fillId="29" borderId="20" xfId="46" applyNumberFormat="1" applyFont="1" applyFill="1" applyBorder="1" applyAlignment="1">
      <alignment horizontal="center" vertical="center" wrapText="1"/>
    </xf>
    <xf numFmtId="3" fontId="34" fillId="29" borderId="15" xfId="46" applyNumberFormat="1" applyFont="1" applyFill="1" applyBorder="1" applyAlignment="1">
      <alignment horizontal="center" vertical="center"/>
    </xf>
    <xf numFmtId="3" fontId="34" fillId="29" borderId="32" xfId="46" applyNumberFormat="1" applyFont="1" applyFill="1" applyBorder="1" applyAlignment="1">
      <alignment horizontal="center" vertical="center"/>
    </xf>
    <xf numFmtId="0" fontId="84" fillId="33" borderId="21" xfId="46" applyFont="1" applyFill="1" applyBorder="1" applyAlignment="1">
      <alignment horizontal="left" vertical="center" wrapText="1"/>
    </xf>
    <xf numFmtId="165" fontId="84" fillId="33" borderId="20" xfId="46" applyNumberFormat="1" applyFont="1" applyFill="1" applyBorder="1" applyAlignment="1">
      <alignment horizontal="center" vertical="center" wrapText="1"/>
    </xf>
    <xf numFmtId="3" fontId="84" fillId="33" borderId="15" xfId="46" applyNumberFormat="1" applyFont="1" applyFill="1" applyBorder="1" applyAlignment="1">
      <alignment horizontal="center" vertical="center"/>
    </xf>
    <xf numFmtId="3" fontId="84" fillId="33" borderId="32" xfId="46" applyNumberFormat="1" applyFont="1" applyFill="1" applyBorder="1" applyAlignment="1">
      <alignment horizontal="center" vertical="center"/>
    </xf>
    <xf numFmtId="0" fontId="33" fillId="25" borderId="20" xfId="46" applyFont="1" applyFill="1" applyBorder="1" applyAlignment="1">
      <alignment horizontal="center" vertical="center" wrapText="1"/>
    </xf>
    <xf numFmtId="0" fontId="33" fillId="25" borderId="15" xfId="46" applyFont="1" applyFill="1" applyBorder="1" applyAlignment="1">
      <alignment horizontal="center" vertical="center" wrapText="1"/>
    </xf>
    <xf numFmtId="0" fontId="33" fillId="25" borderId="32" xfId="46" applyFont="1" applyFill="1" applyBorder="1" applyAlignment="1">
      <alignment horizontal="center" vertical="center" wrapText="1"/>
    </xf>
    <xf numFmtId="0" fontId="34" fillId="26" borderId="0" xfId="0" applyFont="1" applyFill="1"/>
    <xf numFmtId="0" fontId="80" fillId="26" borderId="0" xfId="0" applyFont="1" applyFill="1" applyAlignment="1">
      <alignment vertical="center" wrapText="1"/>
    </xf>
    <xf numFmtId="0" fontId="33" fillId="24" borderId="101" xfId="0" applyFont="1" applyFill="1" applyBorder="1" applyAlignment="1">
      <alignment vertical="center" wrapText="1"/>
    </xf>
    <xf numFmtId="0" fontId="33" fillId="27" borderId="12" xfId="0" applyFont="1" applyFill="1" applyBorder="1" applyAlignment="1">
      <alignment horizontal="center" vertical="top"/>
    </xf>
    <xf numFmtId="0" fontId="33" fillId="27" borderId="31" xfId="0" applyFont="1" applyFill="1" applyBorder="1" applyAlignment="1">
      <alignment horizontal="center" vertical="top"/>
    </xf>
    <xf numFmtId="0" fontId="33" fillId="26" borderId="0" xfId="0" applyFont="1" applyFill="1"/>
    <xf numFmtId="0" fontId="33" fillId="28" borderId="16" xfId="0" applyFont="1" applyFill="1" applyBorder="1" applyAlignment="1">
      <alignment horizontal="center" vertical="center" wrapText="1"/>
    </xf>
    <xf numFmtId="0" fontId="84" fillId="33" borderId="21" xfId="0" applyFont="1" applyFill="1" applyBorder="1" applyAlignment="1">
      <alignment horizontal="left" vertical="center" wrapText="1"/>
    </xf>
    <xf numFmtId="0" fontId="34" fillId="24" borderId="0" xfId="0" applyFont="1" applyFill="1" applyAlignment="1">
      <alignment wrapText="1"/>
    </xf>
    <xf numFmtId="0" fontId="58" fillId="26" borderId="36" xfId="0" applyFont="1" applyFill="1" applyBorder="1" applyAlignment="1">
      <alignment vertical="top"/>
    </xf>
    <xf numFmtId="0" fontId="7" fillId="26" borderId="81" xfId="0" applyFont="1" applyFill="1" applyBorder="1" applyAlignment="1">
      <alignment horizontal="center" wrapText="1"/>
    </xf>
    <xf numFmtId="0" fontId="0" fillId="26" borderId="126" xfId="0" applyFill="1" applyBorder="1" applyAlignment="1">
      <alignment horizontal="center" wrapText="1"/>
    </xf>
    <xf numFmtId="3" fontId="34" fillId="29" borderId="32" xfId="0" applyNumberFormat="1" applyFont="1" applyFill="1" applyBorder="1" applyAlignment="1">
      <alignment horizontal="center" vertical="center"/>
    </xf>
    <xf numFmtId="3" fontId="80" fillId="33" borderId="32" xfId="0" applyNumberFormat="1" applyFont="1" applyFill="1" applyBorder="1" applyAlignment="1">
      <alignment horizontal="center" vertical="center"/>
    </xf>
    <xf numFmtId="165" fontId="80" fillId="33" borderId="18" xfId="0" applyNumberFormat="1" applyFont="1" applyFill="1" applyBorder="1" applyAlignment="1" applyProtection="1">
      <alignment horizontal="center" vertical="center"/>
      <protection hidden="1"/>
    </xf>
    <xf numFmtId="165" fontId="80" fillId="33" borderId="21" xfId="0" quotePrefix="1" applyNumberFormat="1" applyFont="1" applyFill="1" applyBorder="1" applyAlignment="1" applyProtection="1">
      <alignment horizontal="right" vertical="center"/>
      <protection hidden="1"/>
    </xf>
    <xf numFmtId="0" fontId="33" fillId="28" borderId="16" xfId="0" applyFont="1" applyFill="1" applyBorder="1" applyAlignment="1">
      <alignment horizontal="center" wrapText="1"/>
    </xf>
    <xf numFmtId="0" fontId="33" fillId="28" borderId="23" xfId="0" applyFont="1" applyFill="1" applyBorder="1" applyAlignment="1">
      <alignment horizontal="center" wrapText="1"/>
    </xf>
    <xf numFmtId="0" fontId="66" fillId="26" borderId="0" xfId="0" applyFont="1" applyFill="1" applyAlignment="1">
      <alignment vertical="top"/>
    </xf>
    <xf numFmtId="0" fontId="34" fillId="26" borderId="0" xfId="0" applyFont="1" applyFill="1" applyAlignment="1">
      <alignment horizontal="center" vertical="top"/>
    </xf>
    <xf numFmtId="0" fontId="34" fillId="26" borderId="44" xfId="0" applyFont="1" applyFill="1" applyBorder="1" applyAlignment="1">
      <alignment vertical="top"/>
    </xf>
    <xf numFmtId="0" fontId="33" fillId="26" borderId="46" xfId="0" applyFont="1" applyFill="1" applyBorder="1" applyAlignment="1">
      <alignment vertical="center"/>
    </xf>
    <xf numFmtId="0" fontId="3" fillId="26" borderId="0" xfId="0" applyFont="1" applyFill="1" applyAlignment="1">
      <alignment vertical="top"/>
    </xf>
    <xf numFmtId="0" fontId="33" fillId="26" borderId="0" xfId="0" applyFont="1" applyFill="1" applyAlignment="1">
      <alignment vertical="top"/>
    </xf>
    <xf numFmtId="0" fontId="33" fillId="28" borderId="23" xfId="0" applyFont="1" applyFill="1" applyBorder="1" applyAlignment="1">
      <alignment horizontal="center" vertical="center" wrapText="1"/>
    </xf>
    <xf numFmtId="0" fontId="34" fillId="24" borderId="57" xfId="0" applyFont="1" applyFill="1" applyBorder="1" applyAlignment="1">
      <alignment vertical="center"/>
    </xf>
    <xf numFmtId="0" fontId="34" fillId="26" borderId="0" xfId="0" applyFont="1" applyFill="1" applyAlignment="1">
      <alignment vertical="center"/>
    </xf>
    <xf numFmtId="0" fontId="33" fillId="25" borderId="15" xfId="0" applyFont="1" applyFill="1" applyBorder="1" applyAlignment="1">
      <alignment horizontal="center" vertical="center" textRotation="90" wrapText="1"/>
    </xf>
    <xf numFmtId="0" fontId="33" fillId="25" borderId="16" xfId="0" applyFont="1" applyFill="1" applyBorder="1" applyAlignment="1">
      <alignment horizontal="center" vertical="center" textRotation="90" wrapText="1"/>
    </xf>
    <xf numFmtId="0" fontId="33" fillId="25" borderId="23" xfId="0" applyFont="1" applyFill="1" applyBorder="1" applyAlignment="1">
      <alignment horizontal="center" vertical="center" textRotation="90" wrapText="1"/>
    </xf>
    <xf numFmtId="0" fontId="34" fillId="24" borderId="39" xfId="0" applyFont="1" applyFill="1" applyBorder="1" applyAlignment="1">
      <alignment vertical="center"/>
    </xf>
    <xf numFmtId="0" fontId="87" fillId="24" borderId="57" xfId="0" applyFont="1" applyFill="1" applyBorder="1" applyAlignment="1">
      <alignment horizontal="center"/>
    </xf>
    <xf numFmtId="165" fontId="34" fillId="0" borderId="15" xfId="0" applyNumberFormat="1" applyFont="1" applyBorder="1" applyAlignment="1">
      <alignment horizontal="center" vertical="center"/>
    </xf>
    <xf numFmtId="165" fontId="34" fillId="0" borderId="21" xfId="0" applyNumberFormat="1" applyFont="1" applyBorder="1" applyAlignment="1">
      <alignment horizontal="center" vertical="center"/>
    </xf>
    <xf numFmtId="0" fontId="34" fillId="26" borderId="21" xfId="0" applyFont="1" applyFill="1" applyBorder="1" applyAlignment="1">
      <alignment horizontal="left" vertical="center" wrapText="1"/>
    </xf>
    <xf numFmtId="0" fontId="88" fillId="35" borderId="21" xfId="0" applyFont="1" applyFill="1" applyBorder="1" applyAlignment="1">
      <alignment horizontal="left" vertical="center" wrapText="1"/>
    </xf>
    <xf numFmtId="165" fontId="88" fillId="35" borderId="15" xfId="0" applyNumberFormat="1" applyFont="1" applyFill="1" applyBorder="1" applyAlignment="1">
      <alignment horizontal="center" vertical="center"/>
    </xf>
    <xf numFmtId="165" fontId="88" fillId="35" borderId="21" xfId="0" applyNumberFormat="1" applyFont="1" applyFill="1" applyBorder="1" applyAlignment="1">
      <alignment horizontal="center" vertical="center"/>
    </xf>
    <xf numFmtId="0" fontId="34" fillId="24" borderId="35" xfId="0" applyFont="1" applyFill="1" applyBorder="1"/>
    <xf numFmtId="0" fontId="34" fillId="24" borderId="37" xfId="0" applyFont="1" applyFill="1" applyBorder="1"/>
    <xf numFmtId="0" fontId="90" fillId="24" borderId="57" xfId="0" applyFont="1" applyFill="1" applyBorder="1"/>
    <xf numFmtId="0" fontId="91" fillId="0" borderId="0" xfId="0" applyFont="1" applyAlignment="1">
      <alignment horizontal="right"/>
    </xf>
    <xf numFmtId="0" fontId="34" fillId="24" borderId="21" xfId="0" applyFont="1" applyFill="1" applyBorder="1" applyAlignment="1">
      <alignment vertical="center"/>
    </xf>
    <xf numFmtId="0" fontId="87" fillId="26" borderId="57" xfId="0" applyFont="1" applyFill="1" applyBorder="1" applyAlignment="1">
      <alignment horizontal="center"/>
    </xf>
    <xf numFmtId="0" fontId="34" fillId="26" borderId="57" xfId="0" applyFont="1" applyFill="1" applyBorder="1"/>
    <xf numFmtId="0" fontId="34" fillId="0" borderId="21" xfId="0" applyFont="1" applyBorder="1" applyAlignment="1">
      <alignment vertical="center"/>
    </xf>
    <xf numFmtId="0" fontId="4" fillId="24" borderId="81" xfId="0" applyFont="1" applyFill="1" applyBorder="1"/>
    <xf numFmtId="0" fontId="4" fillId="24" borderId="126" xfId="0" applyFont="1" applyFill="1" applyBorder="1"/>
    <xf numFmtId="0" fontId="0" fillId="24" borderId="126" xfId="0" applyFill="1" applyBorder="1"/>
    <xf numFmtId="0" fontId="66" fillId="24" borderId="0" xfId="0" applyFont="1" applyFill="1" applyAlignment="1">
      <alignment vertical="top"/>
    </xf>
    <xf numFmtId="0" fontId="34" fillId="24" borderId="0" xfId="0" applyFont="1" applyFill="1" applyAlignment="1">
      <alignment vertical="top"/>
    </xf>
    <xf numFmtId="0" fontId="33" fillId="24" borderId="0" xfId="0" applyFont="1" applyFill="1" applyAlignment="1">
      <alignment vertical="top" wrapText="1"/>
    </xf>
    <xf numFmtId="0" fontId="89" fillId="24" borderId="0" xfId="0" applyFont="1" applyFill="1" applyAlignment="1">
      <alignment wrapText="1"/>
    </xf>
    <xf numFmtId="3" fontId="34" fillId="24" borderId="0" xfId="0" applyNumberFormat="1" applyFont="1" applyFill="1" applyAlignment="1">
      <alignment horizontal="center"/>
    </xf>
    <xf numFmtId="0" fontId="34" fillId="26" borderId="0" xfId="0" applyFont="1" applyFill="1" applyAlignment="1">
      <alignment horizontal="right" vertical="top"/>
    </xf>
    <xf numFmtId="0" fontId="33" fillId="24" borderId="0" xfId="0" applyFont="1" applyFill="1" applyAlignment="1">
      <alignment horizontal="left" vertical="top"/>
    </xf>
    <xf numFmtId="0" fontId="33" fillId="24" borderId="0" xfId="0" applyFont="1" applyFill="1" applyAlignment="1">
      <alignment horizontal="left" vertical="top" wrapText="1"/>
    </xf>
    <xf numFmtId="0" fontId="68" fillId="24" borderId="0" xfId="0" applyFont="1" applyFill="1" applyAlignment="1">
      <alignment vertical="top"/>
    </xf>
    <xf numFmtId="0" fontId="33" fillId="24" borderId="0" xfId="0" applyFont="1" applyFill="1" applyAlignment="1">
      <alignment horizontal="center" vertical="center"/>
    </xf>
    <xf numFmtId="0" fontId="36" fillId="0" borderId="57" xfId="0" applyFont="1" applyBorder="1" applyAlignment="1">
      <alignment horizontal="right"/>
    </xf>
    <xf numFmtId="0" fontId="6" fillId="24" borderId="0" xfId="0" applyFont="1" applyFill="1" applyAlignment="1">
      <alignment horizontal="center" vertical="center"/>
    </xf>
    <xf numFmtId="3" fontId="4" fillId="24" borderId="0" xfId="0" applyNumberFormat="1" applyFont="1" applyFill="1" applyAlignment="1">
      <alignment horizontal="center" vertical="center"/>
    </xf>
    <xf numFmtId="0" fontId="31" fillId="24" borderId="57" xfId="0" applyFont="1" applyFill="1" applyBorder="1" applyAlignment="1">
      <alignment vertical="top"/>
    </xf>
    <xf numFmtId="0" fontId="53" fillId="0" borderId="16" xfId="0" applyFont="1" applyBorder="1" applyAlignment="1">
      <alignment horizontal="right" vertical="center"/>
    </xf>
    <xf numFmtId="3" fontId="36" fillId="0" borderId="15" xfId="0" applyNumberFormat="1" applyFont="1" applyBorder="1" applyAlignment="1">
      <alignment horizontal="right" vertical="center"/>
    </xf>
    <xf numFmtId="3" fontId="39" fillId="0" borderId="15" xfId="0" applyNumberFormat="1" applyFont="1" applyBorder="1" applyAlignment="1">
      <alignment horizontal="right"/>
    </xf>
    <xf numFmtId="164" fontId="34" fillId="0" borderId="13" xfId="0" applyNumberFormat="1" applyFont="1" applyBorder="1" applyAlignment="1">
      <alignment horizontal="center" vertical="center"/>
    </xf>
    <xf numFmtId="3" fontId="34" fillId="28" borderId="32" xfId="0" applyNumberFormat="1" applyFont="1" applyFill="1" applyBorder="1" applyAlignment="1">
      <alignment horizontal="center" vertical="center"/>
    </xf>
    <xf numFmtId="0" fontId="34" fillId="29" borderId="32" xfId="0" quotePrefix="1" applyFont="1" applyFill="1" applyBorder="1" applyAlignment="1">
      <alignment horizontal="center" vertical="center"/>
    </xf>
    <xf numFmtId="0" fontId="80" fillId="33" borderId="32" xfId="0" quotePrefix="1" applyFont="1" applyFill="1" applyBorder="1" applyAlignment="1">
      <alignment horizontal="center" vertical="center"/>
    </xf>
    <xf numFmtId="164" fontId="34" fillId="26" borderId="0" xfId="0" applyNumberFormat="1" applyFont="1" applyFill="1" applyAlignment="1">
      <alignment horizontal="center" vertical="center"/>
    </xf>
    <xf numFmtId="3" fontId="34" fillId="26" borderId="0" xfId="0" applyNumberFormat="1" applyFont="1" applyFill="1" applyAlignment="1">
      <alignment horizontal="center" vertical="center"/>
    </xf>
    <xf numFmtId="0" fontId="84" fillId="24" borderId="44" xfId="0" applyFont="1" applyFill="1" applyBorder="1" applyAlignment="1">
      <alignment vertical="center"/>
    </xf>
    <xf numFmtId="0" fontId="84" fillId="26" borderId="46" xfId="0" applyFont="1" applyFill="1" applyBorder="1" applyAlignment="1">
      <alignment vertical="center"/>
    </xf>
    <xf numFmtId="0" fontId="91" fillId="0" borderId="0" xfId="0" applyFont="1" applyAlignment="1">
      <alignment horizontal="right" vertical="center"/>
    </xf>
    <xf numFmtId="0" fontId="94" fillId="0" borderId="0" xfId="0" applyFont="1" applyAlignment="1">
      <alignment horizontal="right"/>
    </xf>
    <xf numFmtId="0" fontId="34" fillId="24" borderId="38" xfId="0" applyFont="1" applyFill="1" applyBorder="1" applyAlignment="1">
      <alignment vertical="center"/>
    </xf>
    <xf numFmtId="165" fontId="34" fillId="26" borderId="0" xfId="0" applyNumberFormat="1" applyFont="1" applyFill="1" applyAlignment="1" applyProtection="1">
      <alignment horizontal="center" vertical="center"/>
      <protection hidden="1"/>
    </xf>
    <xf numFmtId="0" fontId="34" fillId="26" borderId="0" xfId="0" quotePrefix="1" applyFont="1" applyFill="1" applyAlignment="1">
      <alignment horizontal="center" vertical="center"/>
    </xf>
    <xf numFmtId="165" fontId="34" fillId="26" borderId="0" xfId="0" applyNumberFormat="1" applyFont="1" applyFill="1" applyAlignment="1" applyProtection="1">
      <alignment horizontal="center" vertical="center" wrapText="1"/>
      <protection hidden="1"/>
    </xf>
    <xf numFmtId="0" fontId="94" fillId="0" borderId="0" xfId="0" applyFont="1" applyAlignment="1">
      <alignment horizontal="center"/>
    </xf>
    <xf numFmtId="0" fontId="91" fillId="0" borderId="0" xfId="0" applyFont="1" applyAlignment="1">
      <alignment horizontal="center" vertical="center"/>
    </xf>
    <xf numFmtId="0" fontId="91" fillId="26" borderId="44" xfId="0" applyFont="1" applyFill="1" applyBorder="1" applyAlignment="1">
      <alignment horizontal="right"/>
    </xf>
    <xf numFmtId="0" fontId="84" fillId="26" borderId="58" xfId="0" applyFont="1" applyFill="1" applyBorder="1"/>
    <xf numFmtId="0" fontId="91" fillId="0" borderId="15" xfId="0" applyFont="1" applyBorder="1" applyAlignment="1">
      <alignment horizontal="right"/>
    </xf>
    <xf numFmtId="0" fontId="95" fillId="0" borderId="15" xfId="0" applyFont="1" applyBorder="1" applyAlignment="1">
      <alignment horizontal="center" vertical="center"/>
    </xf>
    <xf numFmtId="164" fontId="96" fillId="0" borderId="15" xfId="0" applyNumberFormat="1" applyFont="1" applyBorder="1" applyAlignment="1">
      <alignment vertical="center"/>
    </xf>
    <xf numFmtId="165" fontId="97" fillId="0" borderId="15" xfId="0" applyNumberFormat="1" applyFont="1" applyBorder="1" applyAlignment="1">
      <alignment vertical="center"/>
    </xf>
    <xf numFmtId="0" fontId="91" fillId="0" borderId="15" xfId="0" applyFont="1" applyBorder="1" applyAlignment="1">
      <alignment horizontal="right" vertical="center"/>
    </xf>
    <xf numFmtId="0" fontId="34" fillId="0" borderId="0" xfId="0" applyFont="1" applyAlignment="1" applyProtection="1">
      <alignment vertical="center"/>
      <protection locked="0"/>
    </xf>
    <xf numFmtId="0" fontId="97" fillId="0" borderId="15" xfId="0" applyFont="1" applyBorder="1" applyAlignment="1">
      <alignment horizontal="center" vertical="center"/>
    </xf>
    <xf numFmtId="0" fontId="34" fillId="37" borderId="14" xfId="0" applyFont="1" applyFill="1" applyBorder="1" applyAlignment="1">
      <alignment horizontal="center" vertical="center" wrapText="1"/>
    </xf>
    <xf numFmtId="0" fontId="96" fillId="0" borderId="15" xfId="0" applyFont="1" applyBorder="1" applyAlignment="1">
      <alignment horizontal="right" vertical="center"/>
    </xf>
    <xf numFmtId="0" fontId="34" fillId="0" borderId="15" xfId="0" applyFont="1" applyBorder="1" applyAlignment="1">
      <alignment horizontal="right" vertical="center"/>
    </xf>
    <xf numFmtId="0" fontId="95" fillId="0" borderId="14" xfId="0" applyFont="1" applyBorder="1" applyAlignment="1">
      <alignment horizontal="center" vertical="center"/>
    </xf>
    <xf numFmtId="165" fontId="97" fillId="0" borderId="43" xfId="0" applyNumberFormat="1" applyFont="1" applyBorder="1" applyAlignment="1">
      <alignment vertical="center"/>
    </xf>
    <xf numFmtId="0" fontId="97" fillId="0" borderId="15" xfId="0" applyFont="1" applyBorder="1" applyAlignment="1">
      <alignment horizontal="left" vertical="center"/>
    </xf>
    <xf numFmtId="0" fontId="34" fillId="37" borderId="15" xfId="0" applyFont="1" applyFill="1" applyBorder="1" applyAlignment="1">
      <alignment horizontal="right"/>
    </xf>
    <xf numFmtId="0" fontId="91" fillId="0" borderId="0" xfId="0" applyFont="1" applyAlignment="1">
      <alignment horizontal="center"/>
    </xf>
    <xf numFmtId="0" fontId="34" fillId="0" borderId="15" xfId="0" applyFont="1" applyBorder="1" applyAlignment="1">
      <alignment vertical="center" wrapText="1"/>
    </xf>
    <xf numFmtId="0" fontId="34" fillId="24" borderId="15" xfId="0" applyFont="1" applyFill="1" applyBorder="1" applyAlignment="1">
      <alignment vertical="center"/>
    </xf>
    <xf numFmtId="3" fontId="34" fillId="26" borderId="15" xfId="0" applyNumberFormat="1" applyFont="1" applyFill="1" applyBorder="1" applyAlignment="1">
      <alignment horizontal="center" vertical="center"/>
    </xf>
    <xf numFmtId="3" fontId="34" fillId="26" borderId="21" xfId="0" applyNumberFormat="1" applyFont="1" applyFill="1" applyBorder="1" applyAlignment="1">
      <alignment horizontal="center" vertical="center"/>
    </xf>
    <xf numFmtId="0" fontId="33" fillId="26" borderId="0" xfId="0" applyFont="1" applyFill="1" applyAlignment="1">
      <alignment horizontal="left" vertical="top" wrapText="1"/>
    </xf>
    <xf numFmtId="0" fontId="66" fillId="26" borderId="0" xfId="0" applyFont="1" applyFill="1" applyAlignment="1">
      <alignment wrapText="1"/>
    </xf>
    <xf numFmtId="0" fontId="66" fillId="26" borderId="0" xfId="0" applyFont="1" applyFill="1" applyAlignment="1">
      <alignment vertical="top" wrapText="1"/>
    </xf>
    <xf numFmtId="0" fontId="34" fillId="24" borderId="57" xfId="0" applyFont="1" applyFill="1" applyBorder="1" applyAlignment="1">
      <alignment horizontal="left" vertical="top"/>
    </xf>
    <xf numFmtId="0" fontId="34" fillId="24" borderId="38" xfId="0" applyFont="1" applyFill="1" applyBorder="1" applyAlignment="1">
      <alignment horizontal="left" vertical="top"/>
    </xf>
    <xf numFmtId="0" fontId="10" fillId="24" borderId="126" xfId="0" applyFont="1" applyFill="1" applyBorder="1" applyAlignment="1">
      <alignment wrapText="1"/>
    </xf>
    <xf numFmtId="3" fontId="4" fillId="24" borderId="126" xfId="0" applyNumberFormat="1" applyFont="1" applyFill="1" applyBorder="1" applyAlignment="1">
      <alignment horizontal="center"/>
    </xf>
    <xf numFmtId="0" fontId="34" fillId="24" borderId="126" xfId="0" applyFont="1" applyFill="1" applyBorder="1" applyAlignment="1">
      <alignment horizontal="center" wrapText="1"/>
    </xf>
    <xf numFmtId="0" fontId="0" fillId="24" borderId="126" xfId="0" applyFill="1" applyBorder="1" applyAlignment="1">
      <alignment horizontal="center" wrapText="1"/>
    </xf>
    <xf numFmtId="0" fontId="34" fillId="26" borderId="0" xfId="0" applyFont="1" applyFill="1" applyAlignment="1">
      <alignment horizontal="left" vertical="top" wrapText="1"/>
    </xf>
    <xf numFmtId="0" fontId="34" fillId="24" borderId="38" xfId="0" applyFont="1" applyFill="1" applyBorder="1"/>
    <xf numFmtId="165" fontId="80" fillId="33" borderId="18" xfId="0" quotePrefix="1" applyNumberFormat="1" applyFont="1" applyFill="1" applyBorder="1" applyAlignment="1" applyProtection="1">
      <alignment horizontal="center" vertical="center"/>
      <protection hidden="1"/>
    </xf>
    <xf numFmtId="0" fontId="59" fillId="0" borderId="16" xfId="0" applyFont="1" applyBorder="1" applyAlignment="1">
      <alignment horizontal="center" vertical="center" wrapText="1"/>
    </xf>
    <xf numFmtId="0" fontId="59" fillId="0" borderId="12" xfId="0" applyFont="1" applyBorder="1" applyAlignment="1">
      <alignment horizontal="center" vertical="center" wrapText="1"/>
    </xf>
    <xf numFmtId="0" fontId="66" fillId="26" borderId="0" xfId="0" applyFont="1" applyFill="1" applyAlignment="1">
      <alignment vertical="center" wrapText="1"/>
    </xf>
    <xf numFmtId="3" fontId="34" fillId="28" borderId="21" xfId="0" applyNumberFormat="1" applyFont="1" applyFill="1" applyBorder="1" applyAlignment="1">
      <alignment horizontal="center" vertical="center"/>
    </xf>
    <xf numFmtId="0" fontId="34" fillId="29" borderId="21" xfId="0" quotePrefix="1" applyFont="1" applyFill="1" applyBorder="1" applyAlignment="1">
      <alignment horizontal="center" vertical="center"/>
    </xf>
    <xf numFmtId="0" fontId="80" fillId="33" borderId="21" xfId="0" quotePrefix="1" applyFont="1" applyFill="1" applyBorder="1" applyAlignment="1">
      <alignment horizontal="center" vertical="center"/>
    </xf>
    <xf numFmtId="165" fontId="80" fillId="33" borderId="21" xfId="0" applyNumberFormat="1" applyFont="1" applyFill="1" applyBorder="1" applyAlignment="1">
      <alignment horizontal="center" vertical="center"/>
    </xf>
    <xf numFmtId="3" fontId="34" fillId="29" borderId="18" xfId="0" applyNumberFormat="1" applyFont="1" applyFill="1" applyBorder="1" applyAlignment="1">
      <alignment horizontal="center" vertical="center"/>
    </xf>
    <xf numFmtId="3" fontId="80" fillId="33" borderId="18" xfId="0" applyNumberFormat="1" applyFont="1" applyFill="1" applyBorder="1" applyAlignment="1">
      <alignment horizontal="center" vertical="center"/>
    </xf>
    <xf numFmtId="0" fontId="33" fillId="28" borderId="13" xfId="0" applyFont="1" applyFill="1" applyBorder="1" applyAlignment="1">
      <alignment horizontal="center" vertical="top"/>
    </xf>
    <xf numFmtId="0" fontId="34" fillId="0" borderId="21" xfId="0" applyFont="1" applyBorder="1" applyAlignment="1">
      <alignment horizontal="left" vertical="top" wrapText="1"/>
    </xf>
    <xf numFmtId="9" fontId="34" fillId="0" borderId="15" xfId="0" applyNumberFormat="1" applyFont="1" applyBorder="1" applyAlignment="1">
      <alignment horizontal="center" vertical="top"/>
    </xf>
    <xf numFmtId="9" fontId="34" fillId="0" borderId="21" xfId="0" applyNumberFormat="1" applyFont="1" applyBorder="1" applyAlignment="1">
      <alignment horizontal="center" vertical="top"/>
    </xf>
    <xf numFmtId="0" fontId="34" fillId="29" borderId="21" xfId="0" applyFont="1" applyFill="1" applyBorder="1" applyAlignment="1">
      <alignment horizontal="left" vertical="top" wrapText="1"/>
    </xf>
    <xf numFmtId="9" fontId="34" fillId="29" borderId="15" xfId="0" applyNumberFormat="1" applyFont="1" applyFill="1" applyBorder="1" applyAlignment="1">
      <alignment horizontal="center" vertical="top"/>
    </xf>
    <xf numFmtId="9" fontId="34" fillId="29" borderId="21" xfId="0" applyNumberFormat="1" applyFont="1" applyFill="1" applyBorder="1" applyAlignment="1">
      <alignment horizontal="center" vertical="top"/>
    </xf>
    <xf numFmtId="0" fontId="98" fillId="26" borderId="0" xfId="0" applyFont="1" applyFill="1" applyAlignment="1">
      <alignment vertical="top" wrapText="1"/>
    </xf>
    <xf numFmtId="3" fontId="34" fillId="0" borderId="18" xfId="0" applyNumberFormat="1" applyFont="1" applyBorder="1" applyAlignment="1">
      <alignment horizontal="center" vertical="center"/>
    </xf>
    <xf numFmtId="167" fontId="34" fillId="28" borderId="19" xfId="0" applyNumberFormat="1" applyFont="1" applyFill="1" applyBorder="1" applyAlignment="1">
      <alignment horizontal="center" vertical="center"/>
    </xf>
    <xf numFmtId="167" fontId="34" fillId="29" borderId="19" xfId="0" applyNumberFormat="1" applyFont="1" applyFill="1" applyBorder="1" applyAlignment="1">
      <alignment horizontal="center" vertical="center"/>
    </xf>
    <xf numFmtId="167" fontId="80" fillId="33" borderId="19" xfId="0" applyNumberFormat="1" applyFont="1" applyFill="1" applyBorder="1" applyAlignment="1">
      <alignment horizontal="center" vertical="center"/>
    </xf>
    <xf numFmtId="0" fontId="33" fillId="26" borderId="0" xfId="0" applyFont="1" applyFill="1" applyAlignment="1">
      <alignment vertical="top" wrapText="1"/>
    </xf>
    <xf numFmtId="0" fontId="33" fillId="28" borderId="15" xfId="0" applyFont="1" applyFill="1" applyBorder="1" applyAlignment="1">
      <alignment horizontal="center" vertical="center"/>
    </xf>
    <xf numFmtId="0" fontId="33" fillId="28" borderId="21" xfId="0" applyFont="1" applyFill="1" applyBorder="1" applyAlignment="1">
      <alignment horizontal="center" vertical="center"/>
    </xf>
    <xf numFmtId="1" fontId="34" fillId="0" borderId="21" xfId="0" applyNumberFormat="1" applyFont="1" applyBorder="1" applyAlignment="1">
      <alignment horizontal="center" vertical="center"/>
    </xf>
    <xf numFmtId="1" fontId="34" fillId="29" borderId="15" xfId="0" applyNumberFormat="1" applyFont="1" applyFill="1" applyBorder="1" applyAlignment="1">
      <alignment horizontal="center" vertical="center"/>
    </xf>
    <xf numFmtId="1" fontId="34" fillId="29" borderId="21" xfId="0" applyNumberFormat="1" applyFont="1" applyFill="1" applyBorder="1" applyAlignment="1">
      <alignment horizontal="center" vertical="center"/>
    </xf>
    <xf numFmtId="1" fontId="80" fillId="33" borderId="15" xfId="0" applyNumberFormat="1" applyFont="1" applyFill="1" applyBorder="1" applyAlignment="1">
      <alignment horizontal="center" vertical="center"/>
    </xf>
    <xf numFmtId="1" fontId="80" fillId="33" borderId="21" xfId="0" applyNumberFormat="1" applyFont="1" applyFill="1" applyBorder="1" applyAlignment="1">
      <alignment horizontal="center" vertical="center"/>
    </xf>
    <xf numFmtId="0" fontId="100" fillId="59" borderId="15" xfId="0" applyFont="1" applyFill="1" applyBorder="1" applyAlignment="1">
      <alignment horizontal="center" vertical="center"/>
    </xf>
    <xf numFmtId="16" fontId="33" fillId="61" borderId="15" xfId="0" quotePrefix="1" applyNumberFormat="1" applyFont="1" applyFill="1" applyBorder="1" applyAlignment="1">
      <alignment horizontal="center" vertical="center"/>
    </xf>
    <xf numFmtId="0" fontId="33" fillId="62" borderId="15" xfId="0" quotePrefix="1" applyFont="1" applyFill="1" applyBorder="1" applyAlignment="1">
      <alignment horizontal="center" vertical="center"/>
    </xf>
    <xf numFmtId="0" fontId="100" fillId="63" borderId="23" xfId="0" applyFont="1" applyFill="1" applyBorder="1" applyAlignment="1">
      <alignment horizontal="center" vertical="center"/>
    </xf>
    <xf numFmtId="0" fontId="33" fillId="28" borderId="12" xfId="0" applyFont="1" applyFill="1" applyBorder="1" applyAlignment="1">
      <alignment horizontal="center" vertical="center"/>
    </xf>
    <xf numFmtId="0" fontId="33" fillId="28" borderId="31" xfId="0" applyFont="1" applyFill="1" applyBorder="1" applyAlignment="1">
      <alignment horizontal="center" vertical="center"/>
    </xf>
    <xf numFmtId="0" fontId="33" fillId="26" borderId="0" xfId="0" applyFont="1" applyFill="1" applyAlignment="1">
      <alignment horizontal="left" vertical="top"/>
    </xf>
    <xf numFmtId="0" fontId="34" fillId="26" borderId="0" xfId="0" applyFont="1" applyFill="1" applyAlignment="1">
      <alignment horizontal="left" vertical="top"/>
    </xf>
    <xf numFmtId="0" fontId="34" fillId="26" borderId="62" xfId="0" applyFont="1" applyFill="1" applyBorder="1" applyAlignment="1">
      <alignment horizontal="left" vertical="top"/>
    </xf>
    <xf numFmtId="165" fontId="34" fillId="29" borderId="15" xfId="0" applyNumberFormat="1" applyFont="1" applyFill="1" applyBorder="1" applyAlignment="1">
      <alignment horizontal="center" vertical="center"/>
    </xf>
    <xf numFmtId="165" fontId="34" fillId="29" borderId="21" xfId="0" applyNumberFormat="1" applyFont="1" applyFill="1" applyBorder="1" applyAlignment="1">
      <alignment horizontal="center" vertical="center"/>
    </xf>
    <xf numFmtId="165" fontId="80" fillId="33" borderId="15" xfId="0" applyNumberFormat="1" applyFont="1" applyFill="1" applyBorder="1" applyAlignment="1">
      <alignment horizontal="center" vertical="center"/>
    </xf>
    <xf numFmtId="164" fontId="4" fillId="0" borderId="26" xfId="0" applyNumberFormat="1" applyFont="1" applyBorder="1" applyAlignment="1">
      <alignment horizontal="center" vertical="center"/>
    </xf>
    <xf numFmtId="9" fontId="101" fillId="33" borderId="21" xfId="0" applyNumberFormat="1" applyFont="1" applyFill="1" applyBorder="1" applyAlignment="1">
      <alignment horizontal="center" vertical="center"/>
    </xf>
    <xf numFmtId="0" fontId="58" fillId="26" borderId="58" xfId="0" applyFont="1" applyFill="1" applyBorder="1" applyAlignment="1">
      <alignment vertical="center"/>
    </xf>
    <xf numFmtId="1" fontId="34" fillId="28" borderId="21" xfId="0" applyNumberFormat="1" applyFont="1" applyFill="1" applyBorder="1" applyAlignment="1">
      <alignment horizontal="center" vertical="center"/>
    </xf>
    <xf numFmtId="0" fontId="35" fillId="26" borderId="130" xfId="0" applyFont="1" applyFill="1" applyBorder="1"/>
    <xf numFmtId="0" fontId="34" fillId="24" borderId="0" xfId="0" applyFont="1" applyFill="1" applyAlignment="1">
      <alignment horizontal="center" vertical="center"/>
    </xf>
    <xf numFmtId="164" fontId="34" fillId="33" borderId="21" xfId="0" applyNumberFormat="1" applyFont="1" applyFill="1" applyBorder="1" applyAlignment="1">
      <alignment horizontal="center" vertical="center"/>
    </xf>
    <xf numFmtId="0" fontId="49" fillId="0" borderId="0" xfId="0" applyFont="1" applyAlignment="1">
      <alignment horizontal="center" vertical="center"/>
    </xf>
    <xf numFmtId="0" fontId="102" fillId="0" borderId="0" xfId="0" applyFont="1" applyAlignment="1">
      <alignment horizontal="right"/>
    </xf>
    <xf numFmtId="0" fontId="102" fillId="0" borderId="0" xfId="0" applyFont="1" applyAlignment="1">
      <alignment horizontal="right" vertical="center"/>
    </xf>
    <xf numFmtId="0" fontId="102" fillId="0" borderId="15" xfId="0" applyFont="1" applyBorder="1" applyAlignment="1">
      <alignment horizontal="right"/>
    </xf>
    <xf numFmtId="0" fontId="103" fillId="0" borderId="15" xfId="0" applyFont="1" applyBorder="1" applyAlignment="1">
      <alignment horizontal="center" vertical="center"/>
    </xf>
    <xf numFmtId="164" fontId="102" fillId="0" borderId="15" xfId="0" applyNumberFormat="1" applyFont="1" applyBorder="1" applyAlignment="1">
      <alignment vertical="center"/>
    </xf>
    <xf numFmtId="165" fontId="102" fillId="0" borderId="15" xfId="0" applyNumberFormat="1" applyFont="1" applyBorder="1" applyAlignment="1">
      <alignment vertical="center"/>
    </xf>
    <xf numFmtId="0" fontId="102" fillId="0" borderId="15" xfId="0" applyFont="1" applyBorder="1" applyAlignment="1">
      <alignment horizontal="right" vertical="center"/>
    </xf>
    <xf numFmtId="0" fontId="102" fillId="0" borderId="15" xfId="0" applyFont="1" applyBorder="1" applyAlignment="1">
      <alignment horizontal="center" vertical="center"/>
    </xf>
    <xf numFmtId="0" fontId="102" fillId="37" borderId="14" xfId="0" applyFont="1" applyFill="1" applyBorder="1" applyAlignment="1">
      <alignment horizontal="center" vertical="center" wrapText="1"/>
    </xf>
    <xf numFmtId="0" fontId="103" fillId="0" borderId="14" xfId="0" applyFont="1" applyBorder="1" applyAlignment="1">
      <alignment horizontal="center" vertical="center"/>
    </xf>
    <xf numFmtId="165" fontId="102" fillId="0" borderId="43" xfId="0" applyNumberFormat="1" applyFont="1" applyBorder="1" applyAlignment="1">
      <alignment vertical="center"/>
    </xf>
    <xf numFmtId="0" fontId="102" fillId="0" borderId="15" xfId="0" applyFont="1" applyBorder="1" applyAlignment="1">
      <alignment horizontal="left" vertical="center"/>
    </xf>
    <xf numFmtId="0" fontId="102" fillId="0" borderId="14" xfId="0" applyFont="1" applyBorder="1" applyAlignment="1">
      <alignment horizontal="center" vertical="center" wrapText="1"/>
    </xf>
    <xf numFmtId="0" fontId="102" fillId="0" borderId="15" xfId="0" applyFont="1" applyBorder="1" applyAlignment="1">
      <alignment horizontal="center" vertical="center" wrapText="1"/>
    </xf>
    <xf numFmtId="0" fontId="102" fillId="0" borderId="0" xfId="0" applyFont="1" applyAlignment="1">
      <alignment horizontal="center"/>
    </xf>
    <xf numFmtId="0" fontId="102" fillId="0" borderId="0" xfId="0" applyFont="1"/>
    <xf numFmtId="0" fontId="4" fillId="24" borderId="135" xfId="0" applyFont="1" applyFill="1" applyBorder="1"/>
    <xf numFmtId="167" fontId="34" fillId="28" borderId="134" xfId="0" applyNumberFormat="1" applyFont="1" applyFill="1" applyBorder="1" applyAlignment="1">
      <alignment horizontal="center" vertical="center"/>
    </xf>
    <xf numFmtId="167" fontId="80" fillId="56" borderId="19" xfId="0" applyNumberFormat="1" applyFont="1" applyFill="1" applyBorder="1" applyAlignment="1">
      <alignment horizontal="center" vertical="center"/>
    </xf>
    <xf numFmtId="165" fontId="80" fillId="56" borderId="15" xfId="0" applyNumberFormat="1" applyFont="1" applyFill="1" applyBorder="1" applyAlignment="1" applyProtection="1">
      <alignment horizontal="center" vertical="center"/>
      <protection hidden="1"/>
    </xf>
    <xf numFmtId="0" fontId="80" fillId="56" borderId="19" xfId="0" quotePrefix="1" applyFont="1" applyFill="1" applyBorder="1" applyAlignment="1">
      <alignment horizontal="center" vertical="center"/>
    </xf>
    <xf numFmtId="0" fontId="32" fillId="24" borderId="137" xfId="0" applyFont="1" applyFill="1" applyBorder="1" applyAlignment="1">
      <alignment horizontal="center" wrapText="1"/>
    </xf>
    <xf numFmtId="0" fontId="4" fillId="24" borderId="131" xfId="0" applyFont="1" applyFill="1" applyBorder="1"/>
    <xf numFmtId="0" fontId="0" fillId="24" borderId="135" xfId="0" applyFill="1" applyBorder="1"/>
    <xf numFmtId="0" fontId="4" fillId="24" borderId="137" xfId="0" applyFont="1" applyFill="1" applyBorder="1"/>
    <xf numFmtId="0" fontId="36" fillId="26" borderId="57" xfId="0" applyFont="1" applyFill="1" applyBorder="1" applyAlignment="1">
      <alignment horizontal="right"/>
    </xf>
    <xf numFmtId="0" fontId="36" fillId="26" borderId="39" xfId="0" applyFont="1" applyFill="1" applyBorder="1" applyAlignment="1">
      <alignment horizontal="right"/>
    </xf>
    <xf numFmtId="0" fontId="104" fillId="35" borderId="15" xfId="0" applyFont="1" applyFill="1" applyBorder="1" applyAlignment="1">
      <alignment horizontal="center" vertical="center"/>
    </xf>
    <xf numFmtId="0" fontId="104" fillId="35" borderId="14" xfId="0" applyFont="1" applyFill="1" applyBorder="1" applyAlignment="1">
      <alignment horizontal="center" vertical="center"/>
    </xf>
    <xf numFmtId="164" fontId="101" fillId="35" borderId="16" xfId="0" applyNumberFormat="1" applyFont="1" applyFill="1" applyBorder="1" applyAlignment="1">
      <alignment vertical="center"/>
    </xf>
    <xf numFmtId="165" fontId="101" fillId="35" borderId="43" xfId="0" applyNumberFormat="1" applyFont="1" applyFill="1" applyBorder="1" applyAlignment="1">
      <alignment vertical="center"/>
    </xf>
    <xf numFmtId="0" fontId="34" fillId="37" borderId="15" xfId="0" applyFont="1" applyFill="1" applyBorder="1" applyAlignment="1">
      <alignment horizontal="left" vertical="center"/>
    </xf>
    <xf numFmtId="0" fontId="101" fillId="35" borderId="15" xfId="0" applyFont="1" applyFill="1" applyBorder="1" applyAlignment="1">
      <alignment horizontal="left" vertical="center"/>
    </xf>
    <xf numFmtId="0" fontId="101" fillId="35" borderId="14" xfId="0" applyFont="1" applyFill="1" applyBorder="1" applyAlignment="1">
      <alignment horizontal="center" vertical="center" wrapText="1"/>
    </xf>
    <xf numFmtId="0" fontId="101" fillId="35" borderId="15" xfId="0" applyFont="1" applyFill="1" applyBorder="1" applyAlignment="1">
      <alignment horizontal="right" vertical="center"/>
    </xf>
    <xf numFmtId="165" fontId="101" fillId="35" borderId="15" xfId="0" applyNumberFormat="1" applyFont="1" applyFill="1" applyBorder="1" applyAlignment="1">
      <alignment vertical="center"/>
    </xf>
    <xf numFmtId="3" fontId="34" fillId="0" borderId="15" xfId="0" applyNumberFormat="1" applyFont="1" applyBorder="1" applyAlignment="1">
      <alignment horizontal="center" vertical="center" wrapText="1"/>
    </xf>
    <xf numFmtId="3" fontId="34" fillId="0" borderId="21" xfId="0" applyNumberFormat="1" applyFont="1" applyBorder="1" applyAlignment="1">
      <alignment horizontal="center" vertical="center" wrapText="1"/>
    </xf>
    <xf numFmtId="3" fontId="34" fillId="0" borderId="31" xfId="0" applyNumberFormat="1" applyFont="1" applyBorder="1" applyAlignment="1">
      <alignment horizontal="center" vertical="center" wrapText="1"/>
    </xf>
    <xf numFmtId="3" fontId="34" fillId="0" borderId="12" xfId="0" applyNumberFormat="1" applyFont="1" applyBorder="1" applyAlignment="1">
      <alignment horizontal="center" vertical="center" wrapText="1"/>
    </xf>
    <xf numFmtId="0" fontId="4" fillId="24" borderId="0" xfId="0" applyFont="1" applyFill="1" applyAlignment="1">
      <alignment wrapText="1"/>
    </xf>
    <xf numFmtId="0" fontId="71" fillId="26" borderId="0" xfId="0" applyFont="1" applyFill="1" applyAlignment="1">
      <alignment vertical="center" wrapText="1"/>
    </xf>
    <xf numFmtId="0" fontId="60" fillId="0" borderId="14" xfId="0" applyFont="1" applyBorder="1" applyAlignment="1">
      <alignment horizontal="right"/>
    </xf>
    <xf numFmtId="1" fontId="34" fillId="29" borderId="15" xfId="0" applyNumberFormat="1" applyFont="1" applyFill="1" applyBorder="1" applyAlignment="1" applyProtection="1">
      <alignment horizontal="center" vertical="center"/>
      <protection hidden="1"/>
    </xf>
    <xf numFmtId="1" fontId="34" fillId="29" borderId="21" xfId="0" applyNumberFormat="1" applyFont="1" applyFill="1" applyBorder="1" applyAlignment="1" applyProtection="1">
      <alignment horizontal="center" vertical="center"/>
      <protection hidden="1"/>
    </xf>
    <xf numFmtId="1" fontId="80" fillId="33" borderId="15" xfId="0" applyNumberFormat="1" applyFont="1" applyFill="1" applyBorder="1" applyAlignment="1" applyProtection="1">
      <alignment horizontal="center" vertical="center"/>
      <protection hidden="1"/>
    </xf>
    <xf numFmtId="1" fontId="80" fillId="33" borderId="21" xfId="0" applyNumberFormat="1" applyFont="1" applyFill="1" applyBorder="1" applyAlignment="1" applyProtection="1">
      <alignment horizontal="center" vertical="center"/>
      <protection hidden="1"/>
    </xf>
    <xf numFmtId="164" fontId="80" fillId="33" borderId="21" xfId="0" applyNumberFormat="1" applyFont="1" applyFill="1" applyBorder="1" applyAlignment="1">
      <alignment horizontal="center" vertical="center"/>
    </xf>
    <xf numFmtId="167" fontId="34" fillId="0" borderId="15" xfId="0" applyNumberFormat="1" applyFont="1" applyBorder="1" applyAlignment="1">
      <alignment horizontal="center" vertical="center"/>
    </xf>
    <xf numFmtId="167" fontId="34" fillId="24" borderId="18" xfId="0" applyNumberFormat="1" applyFont="1" applyFill="1" applyBorder="1" applyAlignment="1">
      <alignment horizontal="right" vertical="center"/>
    </xf>
    <xf numFmtId="167" fontId="34" fillId="0" borderId="21" xfId="0" applyNumberFormat="1" applyFont="1" applyBorder="1" applyAlignment="1">
      <alignment horizontal="right" vertical="center"/>
    </xf>
    <xf numFmtId="167" fontId="34" fillId="29" borderId="15" xfId="0" applyNumberFormat="1" applyFont="1" applyFill="1" applyBorder="1" applyAlignment="1">
      <alignment horizontal="center" vertical="center"/>
    </xf>
    <xf numFmtId="167" fontId="34" fillId="29" borderId="15" xfId="0" applyNumberFormat="1" applyFont="1" applyFill="1" applyBorder="1" applyAlignment="1" applyProtection="1">
      <alignment horizontal="right" vertical="center"/>
      <protection hidden="1"/>
    </xf>
    <xf numFmtId="167" fontId="34" fillId="29" borderId="21" xfId="0" applyNumberFormat="1" applyFont="1" applyFill="1" applyBorder="1" applyAlignment="1" applyProtection="1">
      <alignment horizontal="right" vertical="center"/>
      <protection hidden="1"/>
    </xf>
    <xf numFmtId="167" fontId="80" fillId="33" borderId="15" xfId="0" applyNumberFormat="1" applyFont="1" applyFill="1" applyBorder="1" applyAlignment="1">
      <alignment horizontal="center" vertical="center"/>
    </xf>
    <xf numFmtId="167" fontId="80" fillId="33" borderId="15" xfId="0" applyNumberFormat="1" applyFont="1" applyFill="1" applyBorder="1" applyAlignment="1" applyProtection="1">
      <alignment horizontal="right" vertical="center"/>
      <protection hidden="1"/>
    </xf>
    <xf numFmtId="167" fontId="80" fillId="33" borderId="21" xfId="0" applyNumberFormat="1" applyFont="1" applyFill="1" applyBorder="1" applyAlignment="1">
      <alignment horizontal="right" vertical="center"/>
    </xf>
    <xf numFmtId="167" fontId="34" fillId="0" borderId="21" xfId="0" applyNumberFormat="1" applyFont="1" applyBorder="1" applyAlignment="1">
      <alignment horizontal="center" vertical="center"/>
    </xf>
    <xf numFmtId="0" fontId="80" fillId="26" borderId="0" xfId="0" applyFont="1" applyFill="1" applyAlignment="1">
      <alignment wrapText="1"/>
    </xf>
    <xf numFmtId="0" fontId="33" fillId="28" borderId="21" xfId="0" applyFont="1" applyFill="1" applyBorder="1" applyAlignment="1">
      <alignment horizontal="right" vertical="center" wrapText="1" indent="1"/>
    </xf>
    <xf numFmtId="0" fontId="68" fillId="24" borderId="0" xfId="0" applyFont="1" applyFill="1" applyAlignment="1">
      <alignment horizontal="left" wrapText="1"/>
    </xf>
    <xf numFmtId="0" fontId="31" fillId="24" borderId="36" xfId="0" applyFont="1" applyFill="1" applyBorder="1" applyAlignment="1">
      <alignment vertical="center" wrapText="1"/>
    </xf>
    <xf numFmtId="0" fontId="105" fillId="0" borderId="15" xfId="0" applyFont="1" applyBorder="1" applyAlignment="1">
      <alignment horizontal="center" vertical="center"/>
    </xf>
    <xf numFmtId="167" fontId="97" fillId="0" borderId="43" xfId="0" applyNumberFormat="1" applyFont="1" applyBorder="1" applyAlignment="1">
      <alignment vertical="center"/>
    </xf>
    <xf numFmtId="0" fontId="96" fillId="0" borderId="14" xfId="0" applyFont="1" applyBorder="1" applyAlignment="1">
      <alignment horizontal="center" vertical="center" wrapText="1"/>
    </xf>
    <xf numFmtId="0" fontId="4" fillId="0" borderId="19" xfId="0" applyFont="1" applyBorder="1" applyAlignment="1">
      <alignment vertical="center"/>
    </xf>
    <xf numFmtId="170" fontId="4" fillId="0" borderId="15" xfId="0" applyNumberFormat="1" applyFont="1" applyBorder="1" applyAlignment="1">
      <alignment vertical="center"/>
    </xf>
    <xf numFmtId="170" fontId="80" fillId="33" borderId="21" xfId="0" applyNumberFormat="1" applyFont="1" applyFill="1" applyBorder="1" applyAlignment="1">
      <alignment horizontal="center" vertical="center"/>
    </xf>
    <xf numFmtId="170" fontId="34" fillId="29" borderId="21" xfId="0" applyNumberFormat="1" applyFont="1" applyFill="1" applyBorder="1" applyAlignment="1">
      <alignment horizontal="center" vertical="center"/>
    </xf>
    <xf numFmtId="0" fontId="34" fillId="26" borderId="0" xfId="0" applyFont="1" applyFill="1" applyAlignment="1">
      <alignment horizontal="center" vertical="center"/>
    </xf>
    <xf numFmtId="0" fontId="101" fillId="35" borderId="15" xfId="0" applyFont="1" applyFill="1" applyBorder="1" applyAlignment="1">
      <alignment horizontal="center" vertical="center" wrapText="1"/>
    </xf>
    <xf numFmtId="0" fontId="36" fillId="0" borderId="15" xfId="0" applyFont="1" applyBorder="1" applyAlignment="1">
      <alignment wrapText="1"/>
    </xf>
    <xf numFmtId="170" fontId="34" fillId="26" borderId="140" xfId="0" applyNumberFormat="1" applyFont="1" applyFill="1" applyBorder="1" applyAlignment="1">
      <alignment horizontal="center" vertical="center"/>
    </xf>
    <xf numFmtId="170" fontId="34" fillId="26" borderId="21" xfId="0" applyNumberFormat="1" applyFont="1" applyFill="1" applyBorder="1" applyAlignment="1">
      <alignment horizontal="center" vertical="center"/>
    </xf>
    <xf numFmtId="0" fontId="81" fillId="26" borderId="0" xfId="0" applyFont="1" applyFill="1" applyAlignment="1">
      <alignment vertical="top" wrapText="1"/>
    </xf>
    <xf numFmtId="0" fontId="84" fillId="26" borderId="46" xfId="0" applyFont="1" applyFill="1" applyBorder="1"/>
    <xf numFmtId="0" fontId="4" fillId="26" borderId="97" xfId="47" applyFont="1" applyFill="1" applyBorder="1" applyAlignment="1">
      <alignment horizontal="center"/>
    </xf>
    <xf numFmtId="0" fontId="4" fillId="26" borderId="98" xfId="47" applyFont="1" applyFill="1" applyBorder="1" applyAlignment="1">
      <alignment horizontal="center"/>
    </xf>
    <xf numFmtId="0" fontId="4" fillId="26" borderId="99" xfId="47" applyFont="1" applyFill="1" applyBorder="1" applyAlignment="1">
      <alignment horizontal="center"/>
    </xf>
    <xf numFmtId="0" fontId="4" fillId="26" borderId="130" xfId="0" applyFont="1" applyFill="1" applyBorder="1"/>
    <xf numFmtId="0" fontId="86" fillId="26" borderId="0" xfId="34" applyFont="1" applyFill="1" applyBorder="1" applyAlignment="1" applyProtection="1">
      <alignment vertical="center"/>
    </xf>
    <xf numFmtId="0" fontId="48" fillId="24" borderId="0" xfId="0" applyFont="1" applyFill="1" applyAlignment="1">
      <alignment vertical="top"/>
    </xf>
    <xf numFmtId="0" fontId="0" fillId="0" borderId="0" xfId="0" applyAlignment="1">
      <alignment vertical="top"/>
    </xf>
    <xf numFmtId="0" fontId="35" fillId="0" borderId="0" xfId="0" applyFont="1" applyAlignment="1">
      <alignment vertical="center"/>
    </xf>
    <xf numFmtId="0" fontId="4" fillId="24" borderId="49" xfId="0" applyFont="1" applyFill="1" applyBorder="1"/>
    <xf numFmtId="0" fontId="86" fillId="26" borderId="49" xfId="34" applyFont="1" applyFill="1" applyBorder="1" applyAlignment="1" applyProtection="1">
      <alignment vertical="center"/>
    </xf>
    <xf numFmtId="0" fontId="4" fillId="26" borderId="49" xfId="0" applyFont="1" applyFill="1" applyBorder="1"/>
    <xf numFmtId="0" fontId="0" fillId="24" borderId="49" xfId="0" applyFill="1" applyBorder="1"/>
    <xf numFmtId="0" fontId="4" fillId="26" borderId="49" xfId="0" applyFont="1" applyFill="1" applyBorder="1" applyAlignment="1">
      <alignment vertical="center"/>
    </xf>
    <xf numFmtId="165" fontId="4" fillId="26" borderId="49" xfId="0" applyNumberFormat="1" applyFont="1" applyFill="1" applyBorder="1" applyAlignment="1" applyProtection="1">
      <alignment horizontal="center" vertical="center" wrapText="1"/>
      <protection hidden="1"/>
    </xf>
    <xf numFmtId="0" fontId="4" fillId="24" borderId="49" xfId="0" applyFont="1" applyFill="1" applyBorder="1" applyAlignment="1">
      <alignment vertical="center"/>
    </xf>
    <xf numFmtId="0" fontId="35" fillId="24" borderId="49" xfId="0" applyFont="1" applyFill="1" applyBorder="1" applyAlignment="1">
      <alignment vertical="center"/>
    </xf>
    <xf numFmtId="0" fontId="35" fillId="24" borderId="0" xfId="0" applyFont="1" applyFill="1" applyAlignment="1">
      <alignment vertical="center"/>
    </xf>
    <xf numFmtId="0" fontId="7" fillId="26" borderId="0" xfId="0" applyFont="1" applyFill="1" applyAlignment="1">
      <alignment horizontal="left"/>
    </xf>
    <xf numFmtId="0" fontId="114" fillId="0" borderId="49" xfId="34" applyFill="1" applyBorder="1" applyAlignment="1" applyProtection="1">
      <alignment vertical="center"/>
    </xf>
    <xf numFmtId="0" fontId="7" fillId="0" borderId="49" xfId="0" applyFont="1" applyBorder="1"/>
    <xf numFmtId="0" fontId="114" fillId="0" borderId="0" xfId="34" applyFill="1" applyBorder="1" applyAlignment="1" applyProtection="1">
      <alignment vertical="center"/>
    </xf>
    <xf numFmtId="0" fontId="4" fillId="26" borderId="56" xfId="0" applyFont="1" applyFill="1" applyBorder="1"/>
    <xf numFmtId="0" fontId="35" fillId="0" borderId="10" xfId="0" applyFont="1" applyBorder="1"/>
    <xf numFmtId="0" fontId="84" fillId="0" borderId="0" xfId="0" applyFont="1"/>
    <xf numFmtId="0" fontId="84" fillId="0" borderId="0" xfId="0" applyFont="1" applyAlignment="1">
      <alignment vertical="center"/>
    </xf>
    <xf numFmtId="0" fontId="32" fillId="26" borderId="81" xfId="0" applyFont="1" applyFill="1" applyBorder="1" applyAlignment="1">
      <alignment horizontal="center" wrapText="1"/>
    </xf>
    <xf numFmtId="0" fontId="32" fillId="26" borderId="126" xfId="0" applyFont="1" applyFill="1" applyBorder="1" applyAlignment="1">
      <alignment horizontal="center" wrapText="1"/>
    </xf>
    <xf numFmtId="0" fontId="32" fillId="26" borderId="100" xfId="0" applyFont="1" applyFill="1" applyBorder="1" applyAlignment="1">
      <alignment horizontal="center" wrapText="1"/>
    </xf>
    <xf numFmtId="0" fontId="4" fillId="26" borderId="100" xfId="0" applyFont="1" applyFill="1" applyBorder="1" applyAlignment="1">
      <alignment vertical="center"/>
    </xf>
    <xf numFmtId="1" fontId="34" fillId="0" borderId="68" xfId="47" applyNumberFormat="1" applyFont="1" applyBorder="1" applyAlignment="1">
      <alignment horizontal="center" vertical="center"/>
    </xf>
    <xf numFmtId="1" fontId="34" fillId="0" borderId="69" xfId="47" applyNumberFormat="1" applyFont="1" applyBorder="1" applyAlignment="1">
      <alignment horizontal="center" vertical="center"/>
    </xf>
    <xf numFmtId="1" fontId="34" fillId="0" borderId="70" xfId="47" applyNumberFormat="1" applyFont="1" applyBorder="1" applyAlignment="1">
      <alignment horizontal="center" vertical="center"/>
    </xf>
    <xf numFmtId="0" fontId="63" fillId="26" borderId="0" xfId="34" applyFont="1" applyFill="1" applyBorder="1" applyAlignment="1" applyProtection="1">
      <alignment horizontal="center" vertical="center" wrapText="1"/>
    </xf>
    <xf numFmtId="0" fontId="4" fillId="26" borderId="0" xfId="47" applyFont="1" applyFill="1" applyAlignment="1">
      <alignment vertical="center" wrapText="1"/>
    </xf>
    <xf numFmtId="9" fontId="4" fillId="26" borderId="0" xfId="47" applyNumberFormat="1" applyFont="1" applyFill="1" applyAlignment="1">
      <alignment horizontal="center" vertical="center"/>
    </xf>
    <xf numFmtId="9" fontId="8" fillId="26" borderId="0" xfId="47" applyNumberFormat="1" applyFont="1" applyFill="1" applyAlignment="1">
      <alignment horizontal="center" vertical="center"/>
    </xf>
    <xf numFmtId="165" fontId="34" fillId="26" borderId="94" xfId="47" applyNumberFormat="1" applyFont="1" applyFill="1" applyBorder="1" applyAlignment="1">
      <alignment horizontal="center" vertical="center"/>
    </xf>
    <xf numFmtId="9" fontId="34" fillId="26" borderId="91" xfId="47" applyNumberFormat="1" applyFont="1" applyFill="1" applyBorder="1" applyAlignment="1">
      <alignment horizontal="center" vertical="center"/>
    </xf>
    <xf numFmtId="0" fontId="81" fillId="26" borderId="0" xfId="0" applyFont="1" applyFill="1" applyAlignment="1">
      <alignment vertical="center"/>
    </xf>
    <xf numFmtId="0" fontId="4" fillId="26" borderId="0" xfId="47" applyFont="1" applyFill="1" applyAlignment="1">
      <alignment horizontal="center"/>
    </xf>
    <xf numFmtId="0" fontId="4" fillId="26" borderId="0" xfId="47" applyFont="1" applyFill="1" applyAlignment="1">
      <alignment horizontal="center" wrapText="1"/>
    </xf>
    <xf numFmtId="0" fontId="4" fillId="26" borderId="98" xfId="47" applyFont="1" applyFill="1" applyBorder="1" applyAlignment="1">
      <alignment horizontal="center" wrapText="1"/>
    </xf>
    <xf numFmtId="165" fontId="34" fillId="28" borderId="71" xfId="47" applyNumberFormat="1" applyFont="1" applyFill="1" applyBorder="1" applyAlignment="1">
      <alignment horizontal="center" vertical="center" textRotation="90" wrapText="1"/>
    </xf>
    <xf numFmtId="165" fontId="34" fillId="28" borderId="72" xfId="47" applyNumberFormat="1" applyFont="1" applyFill="1" applyBorder="1" applyAlignment="1">
      <alignment horizontal="center" vertical="center" textRotation="90" wrapText="1"/>
    </xf>
    <xf numFmtId="165" fontId="34" fillId="28" borderId="108" xfId="47" applyNumberFormat="1" applyFont="1" applyFill="1" applyBorder="1" applyAlignment="1">
      <alignment horizontal="center" vertical="center" textRotation="90" wrapText="1"/>
    </xf>
    <xf numFmtId="0" fontId="4" fillId="26" borderId="83" xfId="47" applyFont="1" applyFill="1" applyBorder="1" applyAlignment="1">
      <alignment horizontal="center"/>
    </xf>
    <xf numFmtId="0" fontId="4" fillId="26" borderId="84" xfId="47" applyFont="1" applyFill="1" applyBorder="1" applyAlignment="1">
      <alignment horizontal="center"/>
    </xf>
    <xf numFmtId="0" fontId="4" fillId="26" borderId="84" xfId="47" applyFont="1" applyFill="1" applyBorder="1" applyAlignment="1">
      <alignment horizontal="center" wrapText="1"/>
    </xf>
    <xf numFmtId="0" fontId="4" fillId="26" borderId="85" xfId="47" applyFont="1" applyFill="1" applyBorder="1" applyAlignment="1">
      <alignment horizontal="center"/>
    </xf>
    <xf numFmtId="0" fontId="3" fillId="26" borderId="67" xfId="47" applyFill="1" applyBorder="1" applyAlignment="1">
      <alignment vertical="center" wrapText="1"/>
    </xf>
    <xf numFmtId="0" fontId="3" fillId="26" borderId="70" xfId="47" applyFill="1" applyBorder="1" applyAlignment="1">
      <alignment vertical="center" wrapText="1"/>
    </xf>
    <xf numFmtId="0" fontId="3" fillId="38" borderId="90" xfId="47" applyFill="1" applyBorder="1" applyAlignment="1">
      <alignment vertical="center" wrapText="1"/>
    </xf>
    <xf numFmtId="0" fontId="3" fillId="38" borderId="18" xfId="47" applyFill="1" applyBorder="1" applyAlignment="1">
      <alignment vertical="center" wrapText="1"/>
    </xf>
    <xf numFmtId="0" fontId="3" fillId="38" borderId="17" xfId="47" applyFill="1" applyBorder="1" applyAlignment="1">
      <alignment vertical="center" wrapText="1"/>
    </xf>
    <xf numFmtId="0" fontId="3" fillId="38" borderId="93" xfId="47" applyFill="1" applyBorder="1" applyAlignment="1">
      <alignment vertical="center" wrapText="1"/>
    </xf>
    <xf numFmtId="0" fontId="3" fillId="26" borderId="90" xfId="47" applyFill="1" applyBorder="1" applyAlignment="1">
      <alignment vertical="center" wrapText="1"/>
    </xf>
    <xf numFmtId="0" fontId="3" fillId="26" borderId="18" xfId="47" applyFill="1" applyBorder="1" applyAlignment="1">
      <alignment vertical="center" wrapText="1"/>
    </xf>
    <xf numFmtId="0" fontId="3" fillId="26" borderId="93" xfId="47" applyFill="1" applyBorder="1" applyAlignment="1">
      <alignment vertical="center" wrapText="1"/>
    </xf>
    <xf numFmtId="0" fontId="3" fillId="38" borderId="67" xfId="47" applyFill="1" applyBorder="1" applyAlignment="1">
      <alignment vertical="center" wrapText="1"/>
    </xf>
    <xf numFmtId="0" fontId="3" fillId="38" borderId="21" xfId="47" applyFill="1" applyBorder="1" applyAlignment="1">
      <alignment vertical="center" wrapText="1"/>
    </xf>
    <xf numFmtId="0" fontId="3" fillId="38" borderId="70" xfId="47" applyFill="1" applyBorder="1" applyAlignment="1">
      <alignment vertical="center" wrapText="1"/>
    </xf>
    <xf numFmtId="0" fontId="3" fillId="0" borderId="67" xfId="47" applyBorder="1" applyAlignment="1">
      <alignment vertical="center" wrapText="1"/>
    </xf>
    <xf numFmtId="0" fontId="3" fillId="0" borderId="70" xfId="47" applyBorder="1" applyAlignment="1">
      <alignment vertical="center" wrapText="1"/>
    </xf>
    <xf numFmtId="0" fontId="3" fillId="26" borderId="58" xfId="47" applyFill="1" applyBorder="1" applyAlignment="1">
      <alignment vertical="center" wrapText="1"/>
    </xf>
    <xf numFmtId="2" fontId="3" fillId="26" borderId="90" xfId="47" applyNumberFormat="1" applyFill="1" applyBorder="1" applyAlignment="1">
      <alignment vertical="center" wrapText="1"/>
    </xf>
    <xf numFmtId="2" fontId="3" fillId="26" borderId="93" xfId="47" applyNumberFormat="1" applyFill="1" applyBorder="1" applyAlignment="1">
      <alignment vertical="center" wrapText="1"/>
    </xf>
    <xf numFmtId="0" fontId="3" fillId="38" borderId="107" xfId="47" applyFill="1" applyBorder="1" applyAlignment="1">
      <alignment vertical="center" wrapText="1"/>
    </xf>
    <xf numFmtId="0" fontId="3" fillId="38" borderId="95" xfId="47" applyFill="1" applyBorder="1" applyAlignment="1">
      <alignment vertical="center" wrapText="1"/>
    </xf>
    <xf numFmtId="0" fontId="107" fillId="38" borderId="71" xfId="34" applyFont="1" applyFill="1" applyBorder="1" applyAlignment="1" applyProtection="1">
      <alignment horizontal="center" vertical="center" wrapText="1"/>
    </xf>
    <xf numFmtId="0" fontId="107" fillId="26" borderId="87" xfId="34" applyFont="1" applyFill="1" applyBorder="1" applyAlignment="1" applyProtection="1">
      <alignment horizontal="center" vertical="center" wrapText="1"/>
    </xf>
    <xf numFmtId="0" fontId="69" fillId="26" borderId="0" xfId="0" applyFont="1" applyFill="1" applyAlignment="1">
      <alignment horizontal="left" vertical="center" wrapText="1"/>
    </xf>
    <xf numFmtId="0" fontId="33" fillId="26" borderId="0" xfId="46" applyFont="1" applyFill="1" applyAlignment="1">
      <alignment horizontal="center" vertical="center" wrapText="1"/>
    </xf>
    <xf numFmtId="3" fontId="8" fillId="26" borderId="0" xfId="0" applyNumberFormat="1" applyFont="1" applyFill="1"/>
    <xf numFmtId="0" fontId="34" fillId="26" borderId="0" xfId="0" applyFont="1" applyFill="1" applyAlignment="1">
      <alignment horizontal="left" vertical="center" wrapText="1"/>
    </xf>
    <xf numFmtId="165" fontId="34" fillId="26" borderId="0" xfId="46" applyNumberFormat="1" applyFont="1" applyFill="1" applyAlignment="1">
      <alignment horizontal="center" vertical="center" wrapText="1"/>
    </xf>
    <xf numFmtId="3" fontId="34" fillId="26" borderId="0" xfId="46" applyNumberFormat="1" applyFont="1" applyFill="1" applyAlignment="1">
      <alignment horizontal="center" vertical="center" wrapText="1"/>
    </xf>
    <xf numFmtId="3" fontId="34" fillId="26" borderId="0" xfId="46" applyNumberFormat="1" applyFont="1" applyFill="1" applyAlignment="1">
      <alignment horizontal="center" vertical="center"/>
    </xf>
    <xf numFmtId="0" fontId="0" fillId="26" borderId="0" xfId="0" applyFill="1" applyAlignment="1">
      <alignment vertical="center" wrapText="1"/>
    </xf>
    <xf numFmtId="0" fontId="44" fillId="26" borderId="0" xfId="0" applyFont="1" applyFill="1" applyAlignment="1">
      <alignment horizontal="center" vertical="center"/>
    </xf>
    <xf numFmtId="3" fontId="4" fillId="26" borderId="0" xfId="0" applyNumberFormat="1" applyFont="1" applyFill="1" applyAlignment="1">
      <alignment vertical="center"/>
    </xf>
    <xf numFmtId="3" fontId="8" fillId="26" borderId="0" xfId="0" applyNumberFormat="1" applyFont="1" applyFill="1" applyAlignment="1">
      <alignment vertical="center"/>
    </xf>
    <xf numFmtId="0" fontId="41" fillId="26" borderId="0" xfId="0" applyFont="1" applyFill="1" applyAlignment="1">
      <alignment horizontal="center" vertical="center"/>
    </xf>
    <xf numFmtId="0" fontId="0" fillId="26" borderId="0" xfId="0" applyFill="1" applyAlignment="1">
      <alignment vertical="center"/>
    </xf>
    <xf numFmtId="165" fontId="84" fillId="26" borderId="0" xfId="46" applyNumberFormat="1" applyFont="1" applyFill="1" applyAlignment="1">
      <alignment horizontal="center" vertical="center" wrapText="1"/>
    </xf>
    <xf numFmtId="3" fontId="84" fillId="26" borderId="0" xfId="46" applyNumberFormat="1" applyFont="1" applyFill="1" applyAlignment="1">
      <alignment horizontal="center" vertical="center"/>
    </xf>
    <xf numFmtId="0" fontId="30" fillId="26" borderId="0" xfId="46" applyFont="1" applyFill="1" applyAlignment="1">
      <alignment horizontal="left" vertical="center" wrapText="1"/>
    </xf>
    <xf numFmtId="0" fontId="4" fillId="26" borderId="0" xfId="47" applyFont="1" applyFill="1"/>
    <xf numFmtId="0" fontId="3" fillId="26" borderId="0" xfId="47" applyFill="1"/>
    <xf numFmtId="0" fontId="35" fillId="26" borderId="0" xfId="47" applyFont="1" applyFill="1"/>
    <xf numFmtId="0" fontId="36" fillId="26" borderId="0" xfId="47" applyFont="1" applyFill="1" applyAlignment="1">
      <alignment horizontal="right"/>
    </xf>
    <xf numFmtId="0" fontId="4" fillId="26" borderId="53" xfId="47" applyFont="1" applyFill="1" applyBorder="1"/>
    <xf numFmtId="0" fontId="3" fillId="26" borderId="53" xfId="47" applyFill="1" applyBorder="1"/>
    <xf numFmtId="0" fontId="35" fillId="26" borderId="53" xfId="47" applyFont="1" applyFill="1" applyBorder="1"/>
    <xf numFmtId="0" fontId="36" fillId="26" borderId="53" xfId="47" applyFont="1" applyFill="1" applyBorder="1" applyAlignment="1">
      <alignment horizontal="right"/>
    </xf>
    <xf numFmtId="0" fontId="36" fillId="26" borderId="141" xfId="47" applyFont="1" applyFill="1" applyBorder="1" applyAlignment="1">
      <alignment horizontal="right"/>
    </xf>
    <xf numFmtId="0" fontId="4" fillId="26" borderId="0" xfId="47" applyFont="1" applyFill="1" applyAlignment="1">
      <alignment wrapText="1"/>
    </xf>
    <xf numFmtId="0" fontId="8" fillId="26" borderId="0" xfId="47" applyFont="1" applyFill="1" applyAlignment="1">
      <alignment horizontal="center"/>
    </xf>
    <xf numFmtId="0" fontId="4" fillId="26" borderId="0" xfId="47" applyFont="1" applyFill="1" applyAlignment="1">
      <alignment vertical="center"/>
    </xf>
    <xf numFmtId="0" fontId="8" fillId="26" borderId="0" xfId="47" applyFont="1" applyFill="1" applyAlignment="1">
      <alignment horizontal="center" vertical="center"/>
    </xf>
    <xf numFmtId="0" fontId="66" fillId="26" borderId="0" xfId="47" applyFont="1" applyFill="1" applyAlignment="1">
      <alignment vertical="top"/>
    </xf>
    <xf numFmtId="0" fontId="3" fillId="26" borderId="0" xfId="47" applyFill="1" applyAlignment="1">
      <alignment horizontal="left" vertical="center" indent="1"/>
    </xf>
    <xf numFmtId="0" fontId="34" fillId="26" borderId="0" xfId="47" applyFont="1" applyFill="1" applyAlignment="1">
      <alignment horizontal="left" vertical="center" wrapText="1"/>
    </xf>
    <xf numFmtId="0" fontId="3" fillId="26" borderId="132" xfId="47" applyFill="1" applyBorder="1" applyAlignment="1">
      <alignment vertical="center" wrapText="1"/>
    </xf>
    <xf numFmtId="0" fontId="3" fillId="38" borderId="132" xfId="47" applyFill="1" applyBorder="1" applyAlignment="1">
      <alignment vertical="center" wrapText="1"/>
    </xf>
    <xf numFmtId="0" fontId="30" fillId="26" borderId="0" xfId="47" applyFont="1" applyFill="1" applyAlignment="1">
      <alignment horizontal="left" vertical="center"/>
    </xf>
    <xf numFmtId="0" fontId="29" fillId="26" borderId="0" xfId="47" applyFont="1" applyFill="1" applyAlignment="1">
      <alignment horizontal="left" vertical="center" indent="1"/>
    </xf>
    <xf numFmtId="0" fontId="4" fillId="26" borderId="33" xfId="47" applyFont="1" applyFill="1" applyBorder="1"/>
    <xf numFmtId="0" fontId="4" fillId="26" borderId="132" xfId="47" applyFont="1" applyFill="1" applyBorder="1"/>
    <xf numFmtId="0" fontId="112" fillId="26" borderId="15" xfId="0" applyFont="1" applyFill="1" applyBorder="1" applyAlignment="1">
      <alignment horizontal="center" vertical="center" wrapText="1"/>
    </xf>
    <xf numFmtId="0" fontId="33" fillId="24" borderId="12" xfId="0" applyFont="1" applyFill="1" applyBorder="1" applyAlignment="1">
      <alignment horizontal="center" vertical="center"/>
    </xf>
    <xf numFmtId="0" fontId="7" fillId="24" borderId="131" xfId="0" applyFont="1" applyFill="1" applyBorder="1"/>
    <xf numFmtId="0" fontId="113" fillId="26" borderId="135" xfId="0" applyFont="1" applyFill="1" applyBorder="1" applyAlignment="1">
      <alignment horizontal="center" vertical="center" wrapText="1"/>
    </xf>
    <xf numFmtId="0" fontId="3" fillId="24" borderId="135" xfId="0" applyFont="1" applyFill="1" applyBorder="1" applyAlignment="1">
      <alignment horizontal="left" vertical="center" wrapText="1"/>
    </xf>
    <xf numFmtId="0" fontId="7" fillId="24" borderId="137" xfId="0" applyFont="1" applyFill="1" applyBorder="1"/>
    <xf numFmtId="0" fontId="81" fillId="58" borderId="15" xfId="0" applyFont="1" applyFill="1" applyBorder="1" applyAlignment="1">
      <alignment horizontal="center" vertical="center"/>
    </xf>
    <xf numFmtId="0" fontId="81" fillId="58" borderId="15" xfId="0" applyFont="1" applyFill="1" applyBorder="1" applyAlignment="1">
      <alignment horizontal="center" vertical="center" wrapText="1"/>
    </xf>
    <xf numFmtId="0" fontId="31" fillId="58" borderId="15" xfId="0" applyFont="1" applyFill="1" applyBorder="1" applyAlignment="1">
      <alignment horizontal="center" vertical="center"/>
    </xf>
    <xf numFmtId="0" fontId="31" fillId="58" borderId="15" xfId="0" applyFont="1" applyFill="1" applyBorder="1" applyAlignment="1">
      <alignment horizontal="center" vertical="center" wrapText="1"/>
    </xf>
    <xf numFmtId="0" fontId="34" fillId="66" borderId="18" xfId="0" applyFont="1" applyFill="1" applyBorder="1" applyAlignment="1">
      <alignment horizontal="left" vertical="center" wrapText="1" indent="2"/>
    </xf>
    <xf numFmtId="0" fontId="34" fillId="66" borderId="12" xfId="0" applyFont="1" applyFill="1" applyBorder="1" applyAlignment="1">
      <alignment horizontal="left" vertical="center" wrapText="1" indent="1"/>
    </xf>
    <xf numFmtId="0" fontId="34" fillId="66" borderId="69" xfId="0" applyFont="1" applyFill="1" applyBorder="1" applyAlignment="1">
      <alignment vertical="center" wrapText="1"/>
    </xf>
    <xf numFmtId="0" fontId="33" fillId="66" borderId="69" xfId="0" applyFont="1" applyFill="1" applyBorder="1" applyAlignment="1">
      <alignment horizontal="left" vertical="center" wrapText="1" indent="1"/>
    </xf>
    <xf numFmtId="0" fontId="34" fillId="24" borderId="0" xfId="0" applyFont="1" applyFill="1" applyAlignment="1">
      <alignment horizontal="left" vertical="center" wrapText="1" indent="1"/>
    </xf>
    <xf numFmtId="0" fontId="112" fillId="26" borderId="18" xfId="0" applyFont="1" applyFill="1" applyBorder="1" applyAlignment="1">
      <alignment horizontal="center" vertical="center"/>
    </xf>
    <xf numFmtId="0" fontId="7" fillId="26" borderId="57" xfId="0" applyFont="1" applyFill="1" applyBorder="1"/>
    <xf numFmtId="0" fontId="112" fillId="26" borderId="17" xfId="0" applyFont="1" applyFill="1" applyBorder="1" applyAlignment="1">
      <alignment horizontal="center" vertical="center"/>
    </xf>
    <xf numFmtId="0" fontId="112" fillId="26" borderId="15" xfId="0" applyFont="1" applyFill="1" applyBorder="1" applyAlignment="1">
      <alignment horizontal="center" vertical="center"/>
    </xf>
    <xf numFmtId="0" fontId="0" fillId="26" borderId="135" xfId="0" applyFill="1" applyBorder="1" applyAlignment="1">
      <alignment horizontal="left" wrapText="1"/>
    </xf>
    <xf numFmtId="0" fontId="113" fillId="26" borderId="12" xfId="0" applyFont="1" applyFill="1" applyBorder="1" applyAlignment="1">
      <alignment horizontal="center" vertical="center" wrapText="1"/>
    </xf>
    <xf numFmtId="0" fontId="113" fillId="66" borderId="69" xfId="0" quotePrefix="1" applyFont="1" applyFill="1" applyBorder="1" applyAlignment="1">
      <alignment horizontal="center" vertical="center" wrapText="1"/>
    </xf>
    <xf numFmtId="0" fontId="113" fillId="66" borderId="12" xfId="0" applyFont="1" applyFill="1" applyBorder="1" applyAlignment="1">
      <alignment horizontal="center" vertical="center" wrapText="1"/>
    </xf>
    <xf numFmtId="0" fontId="113" fillId="26" borderId="50" xfId="0" applyFont="1" applyFill="1" applyBorder="1" applyAlignment="1">
      <alignment horizontal="center" vertical="center" wrapText="1"/>
    </xf>
    <xf numFmtId="0" fontId="7" fillId="24" borderId="135" xfId="0" applyFont="1" applyFill="1" applyBorder="1"/>
    <xf numFmtId="0" fontId="33" fillId="26" borderId="0" xfId="0" applyFont="1" applyFill="1" applyAlignment="1">
      <alignment horizontal="center" wrapText="1"/>
    </xf>
    <xf numFmtId="0" fontId="7" fillId="26" borderId="135" xfId="0" applyFont="1" applyFill="1" applyBorder="1" applyAlignment="1">
      <alignment horizontal="center" wrapText="1"/>
    </xf>
    <xf numFmtId="0" fontId="33" fillId="26" borderId="0" xfId="0" applyFont="1" applyFill="1" applyAlignment="1">
      <alignment horizontal="center" vertical="center" wrapText="1"/>
    </xf>
    <xf numFmtId="0" fontId="34" fillId="64" borderId="88" xfId="0" applyFont="1" applyFill="1" applyBorder="1" applyAlignment="1">
      <alignment horizontal="center" vertical="center"/>
    </xf>
    <xf numFmtId="0" fontId="34" fillId="64" borderId="50" xfId="0" applyFont="1" applyFill="1" applyBorder="1" applyAlignment="1">
      <alignment horizontal="center" vertical="center"/>
    </xf>
    <xf numFmtId="0" fontId="34" fillId="64" borderId="104" xfId="0" applyFont="1" applyFill="1" applyBorder="1" applyAlignment="1">
      <alignment horizontal="center" vertical="center"/>
    </xf>
    <xf numFmtId="0" fontId="34" fillId="66" borderId="12" xfId="0" applyFont="1" applyFill="1" applyBorder="1" applyAlignment="1">
      <alignment horizontal="left" vertical="center" wrapText="1"/>
    </xf>
    <xf numFmtId="0" fontId="34" fillId="24" borderId="12" xfId="0" applyFont="1" applyFill="1" applyBorder="1" applyAlignment="1">
      <alignment horizontal="left" vertical="center" wrapText="1"/>
    </xf>
    <xf numFmtId="0" fontId="33" fillId="24" borderId="15" xfId="0" applyFont="1" applyFill="1" applyBorder="1" applyAlignment="1">
      <alignment horizontal="center" vertical="center"/>
    </xf>
    <xf numFmtId="0" fontId="113" fillId="66" borderId="15" xfId="0" applyFont="1" applyFill="1" applyBorder="1" applyAlignment="1">
      <alignment horizontal="center" vertical="center" wrapText="1"/>
    </xf>
    <xf numFmtId="0" fontId="34" fillId="66" borderId="15" xfId="0" applyFont="1" applyFill="1" applyBorder="1" applyAlignment="1">
      <alignment horizontal="left" vertical="center" wrapText="1" indent="1"/>
    </xf>
    <xf numFmtId="0" fontId="34" fillId="66" borderId="15" xfId="0" applyFont="1" applyFill="1" applyBorder="1" applyAlignment="1">
      <alignment horizontal="left" vertical="center" wrapText="1"/>
    </xf>
    <xf numFmtId="0" fontId="34" fillId="24" borderId="12" xfId="0" applyFont="1" applyFill="1" applyBorder="1" applyAlignment="1">
      <alignment horizontal="left" vertical="center" wrapText="1" indent="2"/>
    </xf>
    <xf numFmtId="0" fontId="113" fillId="26" borderId="66" xfId="0" applyFont="1" applyFill="1" applyBorder="1" applyAlignment="1">
      <alignment horizontal="center" vertical="center" wrapText="1"/>
    </xf>
    <xf numFmtId="0" fontId="113" fillId="26" borderId="15" xfId="0" applyFont="1" applyFill="1" applyBorder="1" applyAlignment="1">
      <alignment horizontal="center" vertical="center" wrapText="1"/>
    </xf>
    <xf numFmtId="0" fontId="113" fillId="26" borderId="69" xfId="0" applyFont="1" applyFill="1" applyBorder="1" applyAlignment="1">
      <alignment horizontal="center" vertical="center" wrapText="1"/>
    </xf>
    <xf numFmtId="0" fontId="33" fillId="24" borderId="57" xfId="0" applyFont="1" applyFill="1" applyBorder="1" applyAlignment="1">
      <alignment horizontal="center" vertical="center"/>
    </xf>
    <xf numFmtId="0" fontId="33" fillId="24" borderId="39" xfId="0" applyFont="1" applyFill="1" applyBorder="1" applyAlignment="1">
      <alignment horizontal="center" vertical="center"/>
    </xf>
    <xf numFmtId="0" fontId="33" fillId="26" borderId="44" xfId="0" applyFont="1" applyFill="1" applyBorder="1" applyAlignment="1">
      <alignment horizontal="center" vertical="center"/>
    </xf>
    <xf numFmtId="0" fontId="33" fillId="0" borderId="0" xfId="0" applyFont="1" applyAlignment="1">
      <alignment horizontal="center" vertical="center"/>
    </xf>
    <xf numFmtId="0" fontId="33" fillId="24" borderId="15" xfId="0" applyFont="1" applyFill="1" applyBorder="1" applyAlignment="1">
      <alignment vertical="center"/>
    </xf>
    <xf numFmtId="0" fontId="113" fillId="26" borderId="18" xfId="0" applyFont="1" applyFill="1" applyBorder="1" applyAlignment="1">
      <alignment horizontal="center" vertical="center"/>
    </xf>
    <xf numFmtId="0" fontId="113" fillId="64" borderId="12" xfId="0" quotePrefix="1" applyFont="1" applyFill="1" applyBorder="1" applyAlignment="1">
      <alignment horizontal="center" vertical="center" wrapText="1"/>
    </xf>
    <xf numFmtId="0" fontId="34" fillId="26" borderId="18" xfId="0" applyFont="1" applyFill="1" applyBorder="1" applyAlignment="1">
      <alignment horizontal="left" vertical="center" wrapText="1" indent="2"/>
    </xf>
    <xf numFmtId="0" fontId="33" fillId="24" borderId="18" xfId="0" applyFont="1" applyFill="1" applyBorder="1" applyAlignment="1">
      <alignment horizontal="center" vertical="center"/>
    </xf>
    <xf numFmtId="0" fontId="34" fillId="26" borderId="15" xfId="0" applyFont="1" applyFill="1" applyBorder="1" applyAlignment="1">
      <alignment horizontal="left" vertical="center" wrapText="1"/>
    </xf>
    <xf numFmtId="0" fontId="0" fillId="26" borderId="35" xfId="0" applyFill="1" applyBorder="1"/>
    <xf numFmtId="0" fontId="0" fillId="26" borderId="37" xfId="0" applyFill="1" applyBorder="1"/>
    <xf numFmtId="0" fontId="7" fillId="24" borderId="0" xfId="0" applyFont="1" applyFill="1" applyAlignment="1">
      <alignment horizontal="left"/>
    </xf>
    <xf numFmtId="0" fontId="33" fillId="26" borderId="57" xfId="0" applyFont="1" applyFill="1" applyBorder="1" applyAlignment="1">
      <alignment horizontal="center" wrapText="1"/>
    </xf>
    <xf numFmtId="0" fontId="0" fillId="26" borderId="0" xfId="0" applyFill="1" applyAlignment="1">
      <alignment horizontal="left" wrapText="1"/>
    </xf>
    <xf numFmtId="0" fontId="7" fillId="26" borderId="131" xfId="0" applyFont="1" applyFill="1" applyBorder="1" applyAlignment="1">
      <alignment horizontal="center" wrapText="1"/>
    </xf>
    <xf numFmtId="0" fontId="0" fillId="26" borderId="135" xfId="0" applyFill="1" applyBorder="1" applyAlignment="1">
      <alignment horizontal="center" wrapText="1"/>
    </xf>
    <xf numFmtId="0" fontId="0" fillId="26" borderId="137" xfId="0" applyFill="1" applyBorder="1" applyAlignment="1">
      <alignment wrapText="1"/>
    </xf>
    <xf numFmtId="0" fontId="0" fillId="26" borderId="131" xfId="0" applyFill="1" applyBorder="1"/>
    <xf numFmtId="0" fontId="0" fillId="26" borderId="135" xfId="0" applyFill="1" applyBorder="1"/>
    <xf numFmtId="0" fontId="0" fillId="26" borderId="137" xfId="0" applyFill="1" applyBorder="1"/>
    <xf numFmtId="0" fontId="114" fillId="66" borderId="18" xfId="34" applyFill="1" applyBorder="1" applyAlignment="1" applyProtection="1">
      <alignment horizontal="center" vertical="center" wrapText="1"/>
    </xf>
    <xf numFmtId="0" fontId="114" fillId="66" borderId="14" xfId="34" applyFill="1" applyBorder="1" applyAlignment="1" applyProtection="1">
      <alignment horizontal="center" vertical="center" wrapText="1"/>
    </xf>
    <xf numFmtId="0" fontId="114" fillId="26" borderId="18" xfId="34" applyFill="1" applyBorder="1" applyAlignment="1" applyProtection="1">
      <alignment horizontal="center" vertical="center" wrapText="1"/>
    </xf>
    <xf numFmtId="0" fontId="114" fillId="26" borderId="14" xfId="34" applyFill="1" applyBorder="1" applyAlignment="1" applyProtection="1">
      <alignment horizontal="center" vertical="center" wrapText="1"/>
    </xf>
    <xf numFmtId="0" fontId="33" fillId="66" borderId="69" xfId="0" applyFont="1" applyFill="1" applyBorder="1" applyAlignment="1">
      <alignment horizontal="center" vertical="center"/>
    </xf>
    <xf numFmtId="0" fontId="114" fillId="26" borderId="44" xfId="34" applyFill="1" applyBorder="1" applyAlignment="1" applyProtection="1">
      <alignment vertical="center" wrapText="1"/>
    </xf>
    <xf numFmtId="0" fontId="114" fillId="26" borderId="25" xfId="34" applyFill="1" applyBorder="1" applyAlignment="1" applyProtection="1">
      <alignment vertical="center" wrapText="1"/>
    </xf>
    <xf numFmtId="0" fontId="33" fillId="64" borderId="16" xfId="0" applyFont="1" applyFill="1" applyBorder="1" applyAlignment="1">
      <alignment vertical="center"/>
    </xf>
    <xf numFmtId="0" fontId="33" fillId="64" borderId="50" xfId="0" applyFont="1" applyFill="1" applyBorder="1" applyAlignment="1">
      <alignment vertical="center"/>
    </xf>
    <xf numFmtId="0" fontId="33" fillId="64" borderId="12" xfId="0" applyFont="1" applyFill="1" applyBorder="1" applyAlignment="1">
      <alignment vertical="center"/>
    </xf>
    <xf numFmtId="0" fontId="114" fillId="26" borderId="36" xfId="34" applyFill="1" applyBorder="1" applyAlignment="1" applyProtection="1">
      <alignment horizontal="left"/>
    </xf>
    <xf numFmtId="0" fontId="114" fillId="26" borderId="0" xfId="34" applyFill="1" applyAlignment="1" applyProtection="1">
      <alignment horizontal="left" vertical="center"/>
    </xf>
    <xf numFmtId="0" fontId="114" fillId="26" borderId="135" xfId="34" applyFill="1" applyBorder="1" applyAlignment="1" applyProtection="1">
      <alignment horizontal="left"/>
    </xf>
    <xf numFmtId="0" fontId="114" fillId="24" borderId="36" xfId="34" applyFill="1" applyBorder="1" applyAlignment="1" applyProtection="1">
      <alignment horizontal="left"/>
    </xf>
    <xf numFmtId="0" fontId="114" fillId="26" borderId="135" xfId="34" applyFill="1" applyBorder="1" applyAlignment="1" applyProtection="1">
      <alignment horizontal="center" vertical="center" wrapText="1"/>
    </xf>
    <xf numFmtId="0" fontId="114" fillId="26" borderId="135" xfId="34" applyFill="1" applyBorder="1" applyAlignment="1" applyProtection="1"/>
    <xf numFmtId="0" fontId="114" fillId="26" borderId="36" xfId="34" applyFill="1" applyBorder="1" applyAlignment="1" applyProtection="1"/>
    <xf numFmtId="0" fontId="114" fillId="26" borderId="0" xfId="34" applyFill="1" applyBorder="1" applyAlignment="1" applyProtection="1">
      <alignment horizontal="center" vertical="center" wrapText="1"/>
    </xf>
    <xf numFmtId="0" fontId="114" fillId="24" borderId="0" xfId="34" applyFill="1" applyBorder="1" applyAlignment="1" applyProtection="1">
      <alignment horizontal="left"/>
    </xf>
    <xf numFmtId="0" fontId="114" fillId="26" borderId="0" xfId="34" applyFill="1" applyBorder="1" applyAlignment="1" applyProtection="1">
      <alignment horizontal="left" wrapText="1"/>
    </xf>
    <xf numFmtId="0" fontId="114" fillId="26" borderId="135" xfId="34" applyFill="1" applyBorder="1" applyAlignment="1" applyProtection="1">
      <alignment horizontal="left" wrapText="1"/>
    </xf>
    <xf numFmtId="0" fontId="114" fillId="24" borderId="0" xfId="34" applyFill="1" applyAlignment="1" applyProtection="1">
      <alignment horizontal="left"/>
    </xf>
    <xf numFmtId="0" fontId="114" fillId="24" borderId="0" xfId="34" applyFill="1" applyAlignment="1" applyProtection="1">
      <alignment vertical="top"/>
    </xf>
    <xf numFmtId="0" fontId="114" fillId="24" borderId="48" xfId="34" applyFill="1" applyBorder="1" applyAlignment="1" applyProtection="1">
      <alignment horizontal="left"/>
    </xf>
    <xf numFmtId="0" fontId="114" fillId="0" borderId="0" xfId="34" applyAlignment="1" applyProtection="1">
      <alignment horizontal="left"/>
    </xf>
    <xf numFmtId="0" fontId="33" fillId="26" borderId="15" xfId="0" applyFont="1" applyFill="1" applyBorder="1" applyAlignment="1">
      <alignment horizontal="center" vertical="center"/>
    </xf>
    <xf numFmtId="0" fontId="34" fillId="26" borderId="50" xfId="0" applyFont="1" applyFill="1" applyBorder="1" applyAlignment="1">
      <alignment horizontal="left" vertical="center" wrapText="1" indent="1"/>
    </xf>
    <xf numFmtId="0" fontId="34" fillId="26" borderId="50" xfId="0" applyFont="1" applyFill="1" applyBorder="1" applyAlignment="1">
      <alignment horizontal="left" vertical="center" wrapText="1"/>
    </xf>
    <xf numFmtId="0" fontId="114" fillId="26" borderId="129" xfId="34" applyFill="1" applyBorder="1" applyAlignment="1" applyProtection="1">
      <alignment vertical="center" wrapText="1"/>
    </xf>
    <xf numFmtId="0" fontId="33" fillId="66" borderId="12" xfId="0" applyFont="1" applyFill="1" applyBorder="1" applyAlignment="1">
      <alignment horizontal="center" vertical="center"/>
    </xf>
    <xf numFmtId="0" fontId="33" fillId="66" borderId="15" xfId="0" applyFont="1" applyFill="1" applyBorder="1" applyAlignment="1">
      <alignment horizontal="center" vertical="center"/>
    </xf>
    <xf numFmtId="0" fontId="33" fillId="66" borderId="132" xfId="0" applyFont="1" applyFill="1" applyBorder="1" applyAlignment="1">
      <alignment horizontal="left" vertical="center" wrapText="1" indent="1"/>
    </xf>
    <xf numFmtId="0" fontId="34" fillId="66" borderId="12" xfId="0" applyFont="1" applyFill="1" applyBorder="1" applyAlignment="1">
      <alignment horizontal="left" vertical="center" wrapText="1" indent="2"/>
    </xf>
    <xf numFmtId="0" fontId="34" fillId="26" borderId="12" xfId="0" applyFont="1" applyFill="1" applyBorder="1" applyAlignment="1">
      <alignment horizontal="left" vertical="center" wrapText="1" indent="1"/>
    </xf>
    <xf numFmtId="0" fontId="113" fillId="66" borderId="18" xfId="0" applyFont="1" applyFill="1" applyBorder="1" applyAlignment="1">
      <alignment horizontal="center" vertical="center"/>
    </xf>
    <xf numFmtId="0" fontId="112" fillId="66" borderId="18" xfId="0" applyFont="1" applyFill="1" applyBorder="1" applyAlignment="1">
      <alignment horizontal="center" vertical="center"/>
    </xf>
    <xf numFmtId="0" fontId="3" fillId="66" borderId="12" xfId="0" applyFont="1" applyFill="1" applyBorder="1" applyAlignment="1">
      <alignment horizontal="left" vertical="center" wrapText="1" indent="1"/>
    </xf>
    <xf numFmtId="0" fontId="3" fillId="66" borderId="15" xfId="0" applyFont="1" applyFill="1" applyBorder="1" applyAlignment="1">
      <alignment horizontal="left" vertical="center" wrapText="1"/>
    </xf>
    <xf numFmtId="0" fontId="112" fillId="66" borderId="15" xfId="0" applyFont="1" applyFill="1" applyBorder="1" applyAlignment="1">
      <alignment horizontal="center" vertical="center" wrapText="1"/>
    </xf>
    <xf numFmtId="0" fontId="3" fillId="26" borderId="12" xfId="0" applyFont="1" applyFill="1" applyBorder="1" applyAlignment="1">
      <alignment horizontal="left" vertical="center" wrapText="1" indent="1"/>
    </xf>
    <xf numFmtId="0" fontId="3" fillId="26" borderId="15" xfId="0" applyFont="1" applyFill="1" applyBorder="1" applyAlignment="1">
      <alignment horizontal="left" vertical="center" wrapText="1"/>
    </xf>
    <xf numFmtId="0" fontId="33" fillId="66" borderId="15" xfId="0" quotePrefix="1" applyFont="1" applyFill="1" applyBorder="1" applyAlignment="1">
      <alignment horizontal="center" vertical="center"/>
    </xf>
    <xf numFmtId="0" fontId="34" fillId="26" borderId="15" xfId="0" applyFont="1" applyFill="1" applyBorder="1" applyAlignment="1">
      <alignment vertical="center" wrapText="1"/>
    </xf>
    <xf numFmtId="0" fontId="33" fillId="26" borderId="12" xfId="0" applyFont="1" applyFill="1" applyBorder="1" applyAlignment="1">
      <alignment horizontal="center" vertical="center"/>
    </xf>
    <xf numFmtId="0" fontId="33" fillId="26" borderId="132" xfId="0" applyFont="1" applyFill="1" applyBorder="1" applyAlignment="1">
      <alignment horizontal="left" vertical="center" wrapText="1" indent="1"/>
    </xf>
    <xf numFmtId="0" fontId="112" fillId="66" borderId="17" xfId="0" applyFont="1" applyFill="1" applyBorder="1" applyAlignment="1">
      <alignment horizontal="center" vertical="center"/>
    </xf>
    <xf numFmtId="0" fontId="112" fillId="66" borderId="15" xfId="0" applyFont="1" applyFill="1" applyBorder="1" applyAlignment="1">
      <alignment horizontal="center" vertical="center"/>
    </xf>
    <xf numFmtId="0" fontId="114" fillId="26" borderId="17" xfId="34" applyFill="1" applyBorder="1" applyAlignment="1" applyProtection="1">
      <alignment horizontal="right" vertical="center" wrapText="1"/>
    </xf>
    <xf numFmtId="0" fontId="114" fillId="26" borderId="93" xfId="34" applyFill="1" applyBorder="1" applyAlignment="1" applyProtection="1">
      <alignment horizontal="right" vertical="center" wrapText="1"/>
    </xf>
    <xf numFmtId="0" fontId="114" fillId="26" borderId="58" xfId="34" applyFill="1" applyBorder="1" applyAlignment="1" applyProtection="1">
      <alignment horizontal="right" vertical="center" wrapText="1"/>
    </xf>
    <xf numFmtId="0" fontId="114" fillId="66" borderId="18" xfId="34" applyFill="1" applyBorder="1" applyAlignment="1" applyProtection="1">
      <alignment horizontal="right" vertical="center" wrapText="1"/>
    </xf>
    <xf numFmtId="0" fontId="114" fillId="26" borderId="18" xfId="34" applyFill="1" applyBorder="1" applyAlignment="1" applyProtection="1">
      <alignment horizontal="right" vertical="center" wrapText="1"/>
    </xf>
    <xf numFmtId="0" fontId="114" fillId="26" borderId="14" xfId="34" applyFill="1" applyBorder="1" applyAlignment="1" applyProtection="1">
      <alignment horizontal="left" vertical="center" wrapText="1"/>
    </xf>
    <xf numFmtId="0" fontId="114" fillId="66" borderId="14" xfId="34" applyFill="1" applyBorder="1" applyAlignment="1" applyProtection="1">
      <alignment horizontal="left" vertical="center" wrapText="1"/>
    </xf>
    <xf numFmtId="0" fontId="114" fillId="66" borderId="0" xfId="34" applyFill="1" applyAlignment="1" applyProtection="1">
      <alignment vertical="top"/>
    </xf>
    <xf numFmtId="0" fontId="3" fillId="26" borderId="0" xfId="0" applyFont="1" applyFill="1" applyAlignment="1">
      <alignment vertical="top" wrapText="1"/>
    </xf>
    <xf numFmtId="0" fontId="3" fillId="26" borderId="0" xfId="0" applyFont="1" applyFill="1" applyAlignment="1">
      <alignment wrapText="1"/>
    </xf>
    <xf numFmtId="0" fontId="34" fillId="26" borderId="0" xfId="0" applyFont="1" applyFill="1" applyAlignment="1">
      <alignment vertical="top" wrapText="1"/>
    </xf>
    <xf numFmtId="0" fontId="29" fillId="26" borderId="0" xfId="0" applyFont="1" applyFill="1" applyAlignment="1">
      <alignment horizontal="left" vertical="top"/>
    </xf>
    <xf numFmtId="0" fontId="29" fillId="26" borderId="0" xfId="0" applyFont="1" applyFill="1" applyAlignment="1">
      <alignment horizontal="left" vertical="center" wrapText="1"/>
    </xf>
    <xf numFmtId="0" fontId="8" fillId="26" borderId="0" xfId="0" applyFont="1" applyFill="1" applyAlignment="1" applyProtection="1">
      <alignment vertical="top" wrapText="1"/>
      <protection locked="0"/>
    </xf>
    <xf numFmtId="0" fontId="0" fillId="26" borderId="0" xfId="0" applyFill="1" applyAlignment="1" applyProtection="1">
      <alignment wrapText="1"/>
      <protection locked="0"/>
    </xf>
    <xf numFmtId="0" fontId="67" fillId="58" borderId="15" xfId="47" applyFont="1" applyFill="1" applyBorder="1" applyAlignment="1">
      <alignment horizontal="left" vertical="top" wrapText="1"/>
    </xf>
    <xf numFmtId="0" fontId="4" fillId="57" borderId="15" xfId="47" applyFont="1" applyFill="1" applyBorder="1"/>
    <xf numFmtId="1" fontId="4" fillId="57" borderId="15" xfId="47" applyNumberFormat="1" applyFont="1" applyFill="1" applyBorder="1" applyAlignment="1">
      <alignment wrapText="1"/>
    </xf>
    <xf numFmtId="0" fontId="67" fillId="58" borderId="15" xfId="47" applyFont="1" applyFill="1" applyBorder="1" applyAlignment="1">
      <alignment horizontal="left" vertical="center" wrapText="1"/>
    </xf>
    <xf numFmtId="0" fontId="67" fillId="64" borderId="15" xfId="47" applyFont="1" applyFill="1" applyBorder="1" applyAlignment="1">
      <alignment horizontal="left" vertical="center" wrapText="1"/>
    </xf>
    <xf numFmtId="0" fontId="4" fillId="64" borderId="15" xfId="47" applyFont="1" applyFill="1" applyBorder="1" applyAlignment="1">
      <alignment horizontal="left" vertical="center" wrapText="1"/>
    </xf>
    <xf numFmtId="1" fontId="4" fillId="64" borderId="15" xfId="47" applyNumberFormat="1" applyFont="1" applyFill="1" applyBorder="1" applyAlignment="1">
      <alignment horizontal="left" vertical="center" wrapText="1"/>
    </xf>
    <xf numFmtId="1" fontId="4" fillId="64" borderId="15" xfId="47" applyNumberFormat="1" applyFont="1" applyFill="1" applyBorder="1" applyAlignment="1">
      <alignment horizontal="center" vertical="center" wrapText="1"/>
    </xf>
    <xf numFmtId="1" fontId="4" fillId="64" borderId="15" xfId="47" applyNumberFormat="1" applyFont="1" applyFill="1" applyBorder="1" applyAlignment="1">
      <alignment horizontal="right" vertical="center"/>
    </xf>
    <xf numFmtId="167" fontId="4" fillId="64" borderId="15" xfId="47" applyNumberFormat="1" applyFont="1" applyFill="1" applyBorder="1" applyAlignment="1">
      <alignment horizontal="left" vertical="center" wrapText="1"/>
    </xf>
    <xf numFmtId="167" fontId="4" fillId="64" borderId="15" xfId="47" applyNumberFormat="1" applyFont="1" applyFill="1" applyBorder="1" applyAlignment="1">
      <alignment horizontal="center" vertical="center" wrapText="1"/>
    </xf>
    <xf numFmtId="167" fontId="4" fillId="64" borderId="15" xfId="47" applyNumberFormat="1" applyFont="1" applyFill="1" applyBorder="1" applyAlignment="1">
      <alignment horizontal="right" vertical="center"/>
    </xf>
    <xf numFmtId="0" fontId="4" fillId="0" borderId="15" xfId="47" applyFont="1" applyBorder="1" applyAlignment="1">
      <alignment horizontal="center" vertical="center" wrapText="1"/>
    </xf>
    <xf numFmtId="0" fontId="6" fillId="39" borderId="12" xfId="47" applyFont="1" applyFill="1" applyBorder="1" applyAlignment="1">
      <alignment horizontal="center" vertical="center"/>
    </xf>
    <xf numFmtId="0" fontId="8" fillId="28" borderId="14" xfId="47" applyFont="1" applyFill="1" applyBorder="1" applyAlignment="1">
      <alignment horizontal="center" vertical="center" wrapText="1"/>
    </xf>
    <xf numFmtId="0" fontId="8" fillId="28" borderId="15" xfId="47" applyFont="1" applyFill="1" applyBorder="1" applyAlignment="1">
      <alignment horizontal="center" vertical="center" wrapText="1"/>
    </xf>
    <xf numFmtId="0" fontId="8" fillId="28" borderId="21" xfId="47" applyFont="1" applyFill="1" applyBorder="1" applyAlignment="1">
      <alignment horizontal="center" vertical="center" wrapText="1"/>
    </xf>
    <xf numFmtId="0" fontId="114" fillId="26" borderId="0" xfId="34" applyFill="1" applyBorder="1" applyAlignment="1" applyProtection="1">
      <alignment horizontal="left" vertical="center"/>
    </xf>
    <xf numFmtId="0" fontId="3" fillId="26" borderId="0" xfId="0" applyFont="1" applyFill="1" applyAlignment="1">
      <alignment vertical="top" wrapText="1"/>
    </xf>
    <xf numFmtId="0" fontId="3" fillId="26" borderId="0" xfId="0" applyFont="1" applyFill="1" applyAlignment="1">
      <alignment wrapText="1"/>
    </xf>
    <xf numFmtId="0" fontId="34" fillId="26" borderId="0" xfId="0" applyFont="1" applyFill="1" applyAlignment="1">
      <alignment horizontal="left" vertical="top" wrapText="1"/>
    </xf>
    <xf numFmtId="0" fontId="33" fillId="24" borderId="38" xfId="0" applyFont="1" applyFill="1" applyBorder="1" applyAlignment="1">
      <alignment horizontal="center" wrapText="1"/>
    </xf>
    <xf numFmtId="0" fontId="0" fillId="0" borderId="0" xfId="0" applyAlignment="1">
      <alignment wrapText="1"/>
    </xf>
    <xf numFmtId="0" fontId="7" fillId="24" borderId="40" xfId="0" applyFont="1" applyFill="1" applyBorder="1" applyAlignment="1">
      <alignment horizontal="center" wrapText="1"/>
    </xf>
    <xf numFmtId="0" fontId="7" fillId="24" borderId="41" xfId="0" applyFont="1" applyFill="1" applyBorder="1" applyAlignment="1">
      <alignment horizontal="center" wrapText="1"/>
    </xf>
    <xf numFmtId="0" fontId="109" fillId="24" borderId="36" xfId="0" applyFont="1" applyFill="1" applyBorder="1" applyAlignment="1">
      <alignment horizontal="left" vertical="center" indent="6"/>
    </xf>
    <xf numFmtId="0" fontId="109" fillId="24" borderId="0" xfId="0" applyFont="1" applyFill="1" applyAlignment="1">
      <alignment horizontal="left" vertical="center" indent="6"/>
    </xf>
    <xf numFmtId="0" fontId="109" fillId="24" borderId="53" xfId="0" applyFont="1" applyFill="1" applyBorder="1" applyAlignment="1">
      <alignment horizontal="left" vertical="center" indent="6"/>
    </xf>
    <xf numFmtId="0" fontId="34" fillId="24" borderId="0" xfId="0" applyFont="1" applyFill="1" applyAlignment="1">
      <alignment horizontal="left"/>
    </xf>
    <xf numFmtId="0" fontId="42" fillId="24" borderId="0" xfId="0" applyFont="1" applyFill="1" applyAlignment="1">
      <alignment horizontal="right" vertical="top" wrapText="1"/>
    </xf>
    <xf numFmtId="0" fontId="0" fillId="0" borderId="11" xfId="0" applyBorder="1" applyAlignment="1">
      <alignment wrapText="1"/>
    </xf>
    <xf numFmtId="0" fontId="6" fillId="26" borderId="0" xfId="0" applyFont="1" applyFill="1" applyAlignment="1">
      <alignment horizontal="center" vertical="center" wrapText="1"/>
    </xf>
    <xf numFmtId="0" fontId="6" fillId="26" borderId="0" xfId="0" applyFont="1" applyFill="1" applyAlignment="1">
      <alignment vertical="center" wrapText="1"/>
    </xf>
    <xf numFmtId="0" fontId="3" fillId="24" borderId="0" xfId="0" applyFont="1" applyFill="1" applyAlignment="1">
      <alignment horizontal="center" wrapText="1"/>
    </xf>
    <xf numFmtId="0" fontId="0" fillId="0" borderId="0" xfId="0" applyAlignment="1">
      <alignment horizontal="center" wrapText="1"/>
    </xf>
    <xf numFmtId="0" fontId="29" fillId="24" borderId="0" xfId="0" applyFont="1" applyFill="1" applyAlignment="1">
      <alignment horizontal="left" vertical="top" wrapText="1"/>
    </xf>
    <xf numFmtId="0" fontId="29" fillId="0" borderId="0" xfId="0" applyFont="1" applyAlignment="1">
      <alignment horizontal="left" vertical="top" wrapText="1"/>
    </xf>
    <xf numFmtId="0" fontId="86" fillId="26" borderId="0" xfId="34" applyFont="1" applyFill="1" applyBorder="1" applyAlignment="1" applyProtection="1">
      <alignment horizontal="center" vertical="center" wrapText="1"/>
    </xf>
    <xf numFmtId="0" fontId="31" fillId="26" borderId="0" xfId="0" applyFont="1" applyFill="1" applyAlignment="1">
      <alignment horizontal="left" vertical="center" wrapText="1" indent="2"/>
    </xf>
    <xf numFmtId="0" fontId="29" fillId="26" borderId="0" xfId="0" applyFont="1" applyFill="1" applyAlignment="1">
      <alignment horizontal="center" vertical="center" wrapText="1"/>
    </xf>
    <xf numFmtId="0" fontId="30" fillId="26" borderId="0" xfId="0" applyFont="1" applyFill="1" applyAlignment="1">
      <alignment horizontal="center" vertical="center"/>
    </xf>
    <xf numFmtId="0" fontId="106" fillId="24" borderId="123" xfId="0" applyFont="1" applyFill="1" applyBorder="1" applyAlignment="1">
      <alignment horizontal="center" vertical="center" wrapText="1"/>
    </xf>
    <xf numFmtId="165" fontId="3" fillId="28" borderId="88" xfId="47" applyNumberFormat="1" applyFill="1" applyBorder="1" applyAlignment="1">
      <alignment horizontal="center" vertical="center" textRotation="90" wrapText="1"/>
    </xf>
    <xf numFmtId="165" fontId="3" fillId="28" borderId="104" xfId="47" applyNumberFormat="1" applyFill="1" applyBorder="1" applyAlignment="1">
      <alignment horizontal="center" vertical="center" textRotation="90" wrapText="1"/>
    </xf>
    <xf numFmtId="165" fontId="3" fillId="29" borderId="89" xfId="47" applyNumberFormat="1" applyFill="1" applyBorder="1" applyAlignment="1">
      <alignment horizontal="center" vertical="center" textRotation="90" wrapText="1"/>
    </xf>
    <xf numFmtId="165" fontId="3" fillId="29" borderId="105" xfId="47" applyNumberFormat="1" applyFill="1" applyBorder="1" applyAlignment="1">
      <alignment horizontal="center" vertical="center" textRotation="90" wrapText="1"/>
    </xf>
    <xf numFmtId="165" fontId="6" fillId="29" borderId="89" xfId="47" applyNumberFormat="1" applyFont="1" applyFill="1" applyBorder="1" applyAlignment="1">
      <alignment horizontal="center" vertical="center" textRotation="90" wrapText="1"/>
    </xf>
    <xf numFmtId="165" fontId="6" fillId="29" borderId="105" xfId="47" applyNumberFormat="1" applyFont="1" applyFill="1" applyBorder="1" applyAlignment="1">
      <alignment horizontal="center" vertical="center" textRotation="90" wrapText="1"/>
    </xf>
    <xf numFmtId="0" fontId="4" fillId="26" borderId="97" xfId="47" applyFont="1" applyFill="1" applyBorder="1" applyAlignment="1">
      <alignment horizontal="center"/>
    </xf>
    <xf numFmtId="0" fontId="4" fillId="26" borderId="98" xfId="47" applyFont="1" applyFill="1" applyBorder="1" applyAlignment="1">
      <alignment horizontal="center"/>
    </xf>
    <xf numFmtId="0" fontId="4" fillId="26" borderId="99" xfId="47" applyFont="1" applyFill="1" applyBorder="1" applyAlignment="1">
      <alignment horizontal="center"/>
    </xf>
    <xf numFmtId="0" fontId="107" fillId="26" borderId="29" xfId="34" applyFont="1" applyFill="1" applyBorder="1" applyAlignment="1" applyProtection="1">
      <alignment horizontal="center" vertical="center" wrapText="1"/>
    </xf>
    <xf numFmtId="0" fontId="107" fillId="26" borderId="28" xfId="34" applyFont="1" applyFill="1" applyBorder="1" applyAlignment="1" applyProtection="1">
      <alignment horizontal="center" vertical="center" wrapText="1"/>
    </xf>
    <xf numFmtId="0" fontId="107" fillId="26" borderId="68" xfId="34" applyFont="1" applyFill="1" applyBorder="1" applyAlignment="1" applyProtection="1">
      <alignment horizontal="center" vertical="center" wrapText="1"/>
    </xf>
    <xf numFmtId="0" fontId="107" fillId="38" borderId="87" xfId="34" applyFont="1" applyFill="1" applyBorder="1" applyAlignment="1" applyProtection="1">
      <alignment horizontal="center" vertical="center" wrapText="1"/>
    </xf>
    <xf numFmtId="0" fontId="107" fillId="38" borderId="28" xfId="34" applyFont="1" applyFill="1" applyBorder="1" applyAlignment="1" applyProtection="1">
      <alignment horizontal="center" vertical="center" wrapText="1"/>
    </xf>
    <xf numFmtId="0" fontId="107" fillId="26" borderId="87" xfId="34" applyFont="1" applyFill="1" applyBorder="1" applyAlignment="1" applyProtection="1">
      <alignment horizontal="center" vertical="center" wrapText="1"/>
    </xf>
    <xf numFmtId="0" fontId="107" fillId="26" borderId="92" xfId="34" applyFont="1" applyFill="1" applyBorder="1" applyAlignment="1" applyProtection="1">
      <alignment horizontal="center" vertical="center" wrapText="1"/>
    </xf>
    <xf numFmtId="165" fontId="3" fillId="28" borderId="106" xfId="47" applyNumberFormat="1" applyFill="1" applyBorder="1" applyAlignment="1">
      <alignment horizontal="center" vertical="center" textRotation="90" wrapText="1"/>
    </xf>
    <xf numFmtId="165" fontId="3" fillId="28" borderId="107" xfId="47" applyNumberFormat="1" applyFill="1" applyBorder="1" applyAlignment="1">
      <alignment horizontal="center" vertical="center" textRotation="90" wrapText="1"/>
    </xf>
    <xf numFmtId="0" fontId="108" fillId="26" borderId="0" xfId="47" applyFont="1" applyFill="1" applyAlignment="1">
      <alignment horizontal="left" vertical="top" wrapText="1"/>
    </xf>
    <xf numFmtId="165" fontId="3" fillId="28" borderId="87" xfId="47" applyNumberFormat="1" applyFill="1" applyBorder="1" applyAlignment="1">
      <alignment horizontal="center" vertical="center" textRotation="90" wrapText="1"/>
    </xf>
    <xf numFmtId="165" fontId="3" fillId="28" borderId="92" xfId="47" applyNumberFormat="1" applyFill="1" applyBorder="1" applyAlignment="1">
      <alignment horizontal="center" vertical="center" textRotation="90" wrapText="1"/>
    </xf>
    <xf numFmtId="0" fontId="107" fillId="26" borderId="128" xfId="34" applyFont="1" applyFill="1" applyBorder="1" applyAlignment="1" applyProtection="1">
      <alignment horizontal="center" vertical="center" wrapText="1"/>
    </xf>
    <xf numFmtId="0" fontId="107" fillId="26" borderId="75" xfId="34" applyFont="1" applyFill="1" applyBorder="1" applyAlignment="1" applyProtection="1">
      <alignment horizontal="center" vertical="center" wrapText="1"/>
    </xf>
    <xf numFmtId="165" fontId="110" fillId="33" borderId="89" xfId="47" applyNumberFormat="1" applyFont="1" applyFill="1" applyBorder="1" applyAlignment="1">
      <alignment horizontal="center" vertical="center" textRotation="90" wrapText="1"/>
    </xf>
    <xf numFmtId="165" fontId="110" fillId="33" borderId="105" xfId="47" applyNumberFormat="1" applyFont="1" applyFill="1" applyBorder="1" applyAlignment="1">
      <alignment horizontal="center" vertical="center" textRotation="90" wrapText="1"/>
    </xf>
    <xf numFmtId="165" fontId="71" fillId="33" borderId="89" xfId="47" applyNumberFormat="1" applyFont="1" applyFill="1" applyBorder="1" applyAlignment="1">
      <alignment horizontal="center" vertical="center" textRotation="90" wrapText="1"/>
    </xf>
    <xf numFmtId="165" fontId="71" fillId="33" borderId="105" xfId="47" applyNumberFormat="1" applyFont="1" applyFill="1" applyBorder="1" applyAlignment="1">
      <alignment horizontal="center" vertical="center" textRotation="90" wrapText="1"/>
    </xf>
    <xf numFmtId="0" fontId="107" fillId="26" borderId="65" xfId="34" applyFont="1" applyFill="1" applyBorder="1" applyAlignment="1" applyProtection="1">
      <alignment horizontal="center" vertical="center" wrapText="1"/>
    </xf>
    <xf numFmtId="0" fontId="107" fillId="26" borderId="22" xfId="34" applyFont="1" applyFill="1" applyBorder="1" applyAlignment="1" applyProtection="1">
      <alignment horizontal="center" vertical="center" wrapText="1"/>
    </xf>
    <xf numFmtId="0" fontId="30" fillId="58" borderId="18" xfId="47" applyFont="1" applyFill="1" applyBorder="1" applyAlignment="1">
      <alignment horizontal="right" vertical="center" indent="1"/>
    </xf>
    <xf numFmtId="0" fontId="30" fillId="58" borderId="14" xfId="47" applyFont="1" applyFill="1" applyBorder="1" applyAlignment="1">
      <alignment horizontal="right" vertical="center" indent="1"/>
    </xf>
    <xf numFmtId="0" fontId="107" fillId="38" borderId="65" xfId="34" applyFont="1" applyFill="1" applyBorder="1" applyAlignment="1" applyProtection="1">
      <alignment horizontal="center" vertical="center" wrapText="1"/>
    </xf>
    <xf numFmtId="0" fontId="107" fillId="38" borderId="22" xfId="34" applyFont="1" applyFill="1" applyBorder="1" applyAlignment="1" applyProtection="1">
      <alignment horizontal="center" vertical="center" wrapText="1"/>
    </xf>
    <xf numFmtId="0" fontId="107" fillId="38" borderId="68" xfId="34" applyFont="1" applyFill="1" applyBorder="1" applyAlignment="1" applyProtection="1">
      <alignment horizontal="center" vertical="center" wrapText="1"/>
    </xf>
    <xf numFmtId="0" fontId="111" fillId="26" borderId="84" xfId="47" applyFont="1" applyFill="1" applyBorder="1" applyAlignment="1">
      <alignment horizontal="left" vertical="center" indent="6"/>
    </xf>
    <xf numFmtId="0" fontId="111" fillId="26" borderId="0" xfId="47" applyFont="1" applyFill="1" applyAlignment="1">
      <alignment horizontal="left" vertical="center" indent="6"/>
    </xf>
    <xf numFmtId="0" fontId="111" fillId="26" borderId="98" xfId="47" applyFont="1" applyFill="1" applyBorder="1" applyAlignment="1">
      <alignment horizontal="left" vertical="center" indent="6"/>
    </xf>
    <xf numFmtId="0" fontId="107" fillId="38" borderId="92" xfId="34" applyFont="1" applyFill="1" applyBorder="1" applyAlignment="1" applyProtection="1">
      <alignment horizontal="center" vertical="center" wrapText="1"/>
    </xf>
    <xf numFmtId="0" fontId="81" fillId="37" borderId="15" xfId="47" applyFont="1" applyFill="1" applyBorder="1" applyAlignment="1" applyProtection="1">
      <alignment horizontal="center" vertical="center"/>
      <protection locked="0"/>
    </xf>
    <xf numFmtId="0" fontId="3" fillId="26" borderId="68" xfId="47" applyFill="1" applyBorder="1" applyAlignment="1">
      <alignment horizontal="left" vertical="center" wrapText="1" indent="1"/>
    </xf>
    <xf numFmtId="0" fontId="3" fillId="26" borderId="93" xfId="47" applyFill="1" applyBorder="1" applyAlignment="1">
      <alignment horizontal="left" vertical="center" wrapText="1" indent="1"/>
    </xf>
    <xf numFmtId="0" fontId="3" fillId="38" borderId="22" xfId="47" applyFill="1" applyBorder="1" applyAlignment="1">
      <alignment horizontal="left" vertical="center" wrapText="1" indent="1"/>
    </xf>
    <xf numFmtId="0" fontId="3" fillId="38" borderId="18" xfId="47" applyFill="1" applyBorder="1" applyAlignment="1">
      <alignment horizontal="left" vertical="center" wrapText="1" indent="1"/>
    </xf>
    <xf numFmtId="0" fontId="3" fillId="26" borderId="22" xfId="47" applyFill="1" applyBorder="1" applyAlignment="1">
      <alignment horizontal="left" vertical="center" wrapText="1" indent="1"/>
    </xf>
    <xf numFmtId="0" fontId="3" fillId="26" borderId="18" xfId="47" applyFill="1" applyBorder="1" applyAlignment="1">
      <alignment horizontal="left" vertical="center" wrapText="1" indent="1"/>
    </xf>
    <xf numFmtId="0" fontId="107" fillId="26" borderId="87" xfId="34" applyFont="1" applyFill="1" applyBorder="1" applyAlignment="1" applyProtection="1">
      <alignment horizontal="center" vertical="center"/>
    </xf>
    <xf numFmtId="0" fontId="107" fillId="26" borderId="92" xfId="34" applyFont="1" applyFill="1" applyBorder="1" applyAlignment="1" applyProtection="1">
      <alignment horizontal="center" vertical="center"/>
    </xf>
    <xf numFmtId="0" fontId="3" fillId="38" borderId="65" xfId="47" applyFill="1" applyBorder="1" applyAlignment="1">
      <alignment horizontal="left" vertical="center" wrapText="1" indent="1"/>
    </xf>
    <xf numFmtId="0" fontId="3" fillId="38" borderId="90" xfId="47" applyFill="1" applyBorder="1" applyAlignment="1">
      <alignment horizontal="left" vertical="center" wrapText="1" indent="1"/>
    </xf>
    <xf numFmtId="2" fontId="3" fillId="26" borderId="22" xfId="47" applyNumberFormat="1" applyFill="1" applyBorder="1" applyAlignment="1">
      <alignment horizontal="left" vertical="center" wrapText="1" indent="1"/>
    </xf>
    <xf numFmtId="2" fontId="3" fillId="26" borderId="18" xfId="47" applyNumberFormat="1" applyFill="1" applyBorder="1" applyAlignment="1">
      <alignment horizontal="left" vertical="center" wrapText="1" indent="1"/>
    </xf>
    <xf numFmtId="2" fontId="3" fillId="38" borderId="22" xfId="47" applyNumberFormat="1" applyFill="1" applyBorder="1" applyAlignment="1">
      <alignment horizontal="left" vertical="center" wrapText="1" indent="1"/>
    </xf>
    <xf numFmtId="2" fontId="3" fillId="38" borderId="18" xfId="47" applyNumberFormat="1" applyFill="1" applyBorder="1" applyAlignment="1">
      <alignment horizontal="left" vertical="center" wrapText="1" indent="1"/>
    </xf>
    <xf numFmtId="0" fontId="114" fillId="26" borderId="25" xfId="34" applyFill="1" applyBorder="1" applyAlignment="1" applyProtection="1">
      <alignment horizontal="center" vertical="center" wrapText="1"/>
    </xf>
    <xf numFmtId="0" fontId="114" fillId="26" borderId="44" xfId="34" applyFill="1" applyBorder="1" applyAlignment="1" applyProtection="1">
      <alignment horizontal="center" vertical="center" wrapText="1"/>
    </xf>
    <xf numFmtId="0" fontId="114" fillId="26" borderId="143" xfId="34" applyFill="1" applyBorder="1" applyAlignment="1" applyProtection="1">
      <alignment horizontal="center" vertical="center" wrapText="1"/>
    </xf>
    <xf numFmtId="0" fontId="114" fillId="26" borderId="17" xfId="34" applyFill="1" applyBorder="1" applyAlignment="1" applyProtection="1">
      <alignment horizontal="right" vertical="center" wrapText="1"/>
    </xf>
    <xf numFmtId="0" fontId="114" fillId="26" borderId="58" xfId="34" applyFill="1" applyBorder="1" applyAlignment="1" applyProtection="1">
      <alignment horizontal="right" vertical="center" wrapText="1"/>
    </xf>
    <xf numFmtId="0" fontId="114" fillId="26" borderId="132" xfId="34" applyFill="1" applyBorder="1" applyAlignment="1" applyProtection="1">
      <alignment horizontal="right" vertical="center" wrapText="1"/>
    </xf>
    <xf numFmtId="0" fontId="114" fillId="66" borderId="17" xfId="34" applyFill="1" applyBorder="1" applyAlignment="1" applyProtection="1">
      <alignment horizontal="center" vertical="center" wrapText="1"/>
    </xf>
    <xf numFmtId="0" fontId="114" fillId="66" borderId="25" xfId="34" applyFill="1" applyBorder="1" applyAlignment="1" applyProtection="1">
      <alignment horizontal="center" vertical="center" wrapText="1"/>
    </xf>
    <xf numFmtId="0" fontId="114" fillId="66" borderId="58" xfId="34" applyFill="1" applyBorder="1" applyAlignment="1" applyProtection="1">
      <alignment horizontal="center" vertical="center" wrapText="1"/>
    </xf>
    <xf numFmtId="0" fontId="114" fillId="66" borderId="44" xfId="34" applyFill="1" applyBorder="1" applyAlignment="1" applyProtection="1">
      <alignment horizontal="center" vertical="center" wrapText="1"/>
    </xf>
    <xf numFmtId="0" fontId="114" fillId="66" borderId="132" xfId="34" applyFill="1" applyBorder="1" applyAlignment="1" applyProtection="1">
      <alignment horizontal="center" vertical="center" wrapText="1"/>
    </xf>
    <xf numFmtId="0" fontId="114" fillId="66" borderId="143" xfId="34" applyFill="1" applyBorder="1" applyAlignment="1" applyProtection="1">
      <alignment horizontal="center" vertical="center" wrapText="1"/>
    </xf>
    <xf numFmtId="0" fontId="108" fillId="65" borderId="18" xfId="0" applyFont="1" applyFill="1" applyBorder="1" applyAlignment="1">
      <alignment horizontal="left" vertical="center" wrapText="1" indent="1"/>
    </xf>
    <xf numFmtId="0" fontId="108" fillId="65" borderId="26" xfId="0" applyFont="1" applyFill="1" applyBorder="1" applyAlignment="1">
      <alignment horizontal="left" vertical="center" wrapText="1" indent="1"/>
    </xf>
    <xf numFmtId="0" fontId="108" fillId="65" borderId="14" xfId="0" applyFont="1" applyFill="1" applyBorder="1" applyAlignment="1">
      <alignment horizontal="left" vertical="center" wrapText="1" indent="1"/>
    </xf>
    <xf numFmtId="0" fontId="34" fillId="24" borderId="90" xfId="0" applyFont="1" applyFill="1" applyBorder="1" applyAlignment="1">
      <alignment horizontal="left" vertical="center" wrapText="1" indent="1"/>
    </xf>
    <xf numFmtId="0" fontId="34" fillId="24" borderId="142" xfId="0" applyFont="1" applyFill="1" applyBorder="1" applyAlignment="1">
      <alignment horizontal="left" vertical="center" wrapText="1" indent="1"/>
    </xf>
    <xf numFmtId="0" fontId="34" fillId="66" borderId="18" xfId="0" applyFont="1" applyFill="1" applyBorder="1" applyAlignment="1">
      <alignment horizontal="left" vertical="center" wrapText="1" indent="2"/>
    </xf>
    <xf numFmtId="0" fontId="34" fillId="66" borderId="14" xfId="0" applyFont="1" applyFill="1" applyBorder="1" applyAlignment="1">
      <alignment horizontal="left" vertical="center" wrapText="1" indent="2"/>
    </xf>
    <xf numFmtId="0" fontId="34" fillId="24" borderId="18" xfId="0" applyFont="1" applyFill="1" applyBorder="1" applyAlignment="1">
      <alignment horizontal="left" vertical="center" wrapText="1" indent="2"/>
    </xf>
    <xf numFmtId="0" fontId="34" fillId="24" borderId="14" xfId="0" applyFont="1" applyFill="1" applyBorder="1" applyAlignment="1">
      <alignment horizontal="left" vertical="center" wrapText="1" indent="2"/>
    </xf>
    <xf numFmtId="0" fontId="114" fillId="26" borderId="144" xfId="34" applyFill="1" applyBorder="1" applyAlignment="1" applyProtection="1">
      <alignment horizontal="center" vertical="center" wrapText="1"/>
    </xf>
    <xf numFmtId="0" fontId="114" fillId="26" borderId="145" xfId="34" applyFill="1" applyBorder="1" applyAlignment="1" applyProtection="1">
      <alignment horizontal="right" vertical="center" wrapText="1"/>
    </xf>
    <xf numFmtId="0" fontId="34" fillId="66" borderId="18" xfId="0" applyFont="1" applyFill="1" applyBorder="1" applyAlignment="1">
      <alignment horizontal="left" vertical="center" wrapText="1" indent="1"/>
    </xf>
    <xf numFmtId="0" fontId="34" fillId="66" borderId="14" xfId="0" applyFont="1" applyFill="1" applyBorder="1" applyAlignment="1">
      <alignment horizontal="left" vertical="center" wrapText="1" indent="1"/>
    </xf>
    <xf numFmtId="0" fontId="33" fillId="24" borderId="18" xfId="0" applyFont="1" applyFill="1" applyBorder="1" applyAlignment="1">
      <alignment horizontal="left" vertical="center" wrapText="1" indent="1"/>
    </xf>
    <xf numFmtId="0" fontId="33" fillId="24" borderId="14" xfId="0" applyFont="1" applyFill="1" applyBorder="1" applyAlignment="1">
      <alignment horizontal="left" vertical="center" wrapText="1" indent="1"/>
    </xf>
    <xf numFmtId="0" fontId="33" fillId="66" borderId="18" xfId="0" applyFont="1" applyFill="1" applyBorder="1" applyAlignment="1">
      <alignment horizontal="left" vertical="center" wrapText="1" indent="1"/>
    </xf>
    <xf numFmtId="0" fontId="33" fillId="66" borderId="14" xfId="0" applyFont="1" applyFill="1" applyBorder="1" applyAlignment="1">
      <alignment horizontal="left" vertical="center" wrapText="1" indent="1"/>
    </xf>
    <xf numFmtId="0" fontId="33" fillId="24" borderId="93" xfId="0" applyFont="1" applyFill="1" applyBorder="1" applyAlignment="1">
      <alignment horizontal="left" vertical="center" wrapText="1" indent="1"/>
    </xf>
    <xf numFmtId="0" fontId="33" fillId="24" borderId="129" xfId="0" applyFont="1" applyFill="1" applyBorder="1" applyAlignment="1">
      <alignment horizontal="left" vertical="center" wrapText="1" indent="1"/>
    </xf>
    <xf numFmtId="0" fontId="34" fillId="66" borderId="16" xfId="0" applyFont="1" applyFill="1" applyBorder="1" applyAlignment="1">
      <alignment horizontal="left" vertical="center" wrapText="1"/>
    </xf>
    <xf numFmtId="0" fontId="34" fillId="66" borderId="50" xfId="0" applyFont="1" applyFill="1" applyBorder="1" applyAlignment="1">
      <alignment horizontal="left" vertical="center" wrapText="1"/>
    </xf>
    <xf numFmtId="0" fontId="34" fillId="66" borderId="12" xfId="0" applyFont="1" applyFill="1" applyBorder="1" applyAlignment="1">
      <alignment horizontal="left" vertical="center" wrapText="1"/>
    </xf>
    <xf numFmtId="0" fontId="31" fillId="58" borderId="18" xfId="0" applyFont="1" applyFill="1" applyBorder="1" applyAlignment="1">
      <alignment horizontal="center" vertical="center"/>
    </xf>
    <xf numFmtId="0" fontId="31" fillId="58" borderId="14" xfId="0" applyFont="1" applyFill="1" applyBorder="1" applyAlignment="1">
      <alignment horizontal="center" vertical="center"/>
    </xf>
    <xf numFmtId="0" fontId="114" fillId="26" borderId="18" xfId="34" applyFill="1" applyBorder="1" applyAlignment="1" applyProtection="1">
      <alignment horizontal="center" vertical="center" wrapText="1"/>
    </xf>
    <xf numFmtId="0" fontId="114" fillId="26" borderId="14" xfId="34" applyFill="1" applyBorder="1" applyAlignment="1" applyProtection="1">
      <alignment horizontal="center" vertical="center" wrapText="1"/>
    </xf>
    <xf numFmtId="0" fontId="114" fillId="66" borderId="18" xfId="34" applyFill="1" applyBorder="1" applyAlignment="1" applyProtection="1">
      <alignment horizontal="center" vertical="center" wrapText="1"/>
    </xf>
    <xf numFmtId="0" fontId="114" fillId="66" borderId="14" xfId="34" applyFill="1" applyBorder="1" applyAlignment="1" applyProtection="1">
      <alignment horizontal="center" vertical="center" wrapText="1"/>
    </xf>
    <xf numFmtId="0" fontId="114" fillId="26" borderId="15" xfId="34" applyFill="1" applyBorder="1" applyAlignment="1" applyProtection="1">
      <alignment horizontal="center" vertical="center" wrapText="1"/>
    </xf>
    <xf numFmtId="0" fontId="114" fillId="66" borderId="18" xfId="34" applyFill="1" applyBorder="1" applyAlignment="1" applyProtection="1">
      <alignment horizontal="center" vertical="center"/>
    </xf>
    <xf numFmtId="0" fontId="114" fillId="66" borderId="14" xfId="34" applyFill="1" applyBorder="1" applyAlignment="1" applyProtection="1">
      <alignment horizontal="center" vertical="center"/>
    </xf>
    <xf numFmtId="0" fontId="34" fillId="26" borderId="16" xfId="0" applyFont="1" applyFill="1" applyBorder="1" applyAlignment="1">
      <alignment horizontal="left" vertical="center" wrapText="1"/>
    </xf>
    <xf numFmtId="0" fontId="34" fillId="26" borderId="50" xfId="0" applyFont="1" applyFill="1" applyBorder="1" applyAlignment="1">
      <alignment horizontal="left" vertical="center" wrapText="1"/>
    </xf>
    <xf numFmtId="0" fontId="34" fillId="26" borderId="12" xfId="0" applyFont="1" applyFill="1" applyBorder="1" applyAlignment="1">
      <alignment horizontal="left" vertical="center" wrapText="1"/>
    </xf>
    <xf numFmtId="0" fontId="114" fillId="26" borderId="17" xfId="34" applyFill="1" applyBorder="1" applyAlignment="1" applyProtection="1">
      <alignment horizontal="center" vertical="center" wrapText="1"/>
    </xf>
    <xf numFmtId="0" fontId="114" fillId="26" borderId="58" xfId="34" applyFill="1" applyBorder="1" applyAlignment="1" applyProtection="1">
      <alignment horizontal="center" vertical="center" wrapText="1"/>
    </xf>
    <xf numFmtId="0" fontId="114" fillId="26" borderId="132" xfId="34" applyFill="1" applyBorder="1" applyAlignment="1" applyProtection="1">
      <alignment horizontal="center" vertical="center" wrapText="1"/>
    </xf>
    <xf numFmtId="0" fontId="34" fillId="0" borderId="16" xfId="0" applyFont="1" applyBorder="1" applyAlignment="1">
      <alignment horizontal="center" textRotation="90" wrapText="1"/>
    </xf>
    <xf numFmtId="0" fontId="34" fillId="0" borderId="51" xfId="0" applyFont="1" applyBorder="1" applyAlignment="1">
      <alignment horizontal="center" textRotation="90" wrapText="1"/>
    </xf>
    <xf numFmtId="0" fontId="48" fillId="26" borderId="0" xfId="0" applyFont="1" applyFill="1" applyAlignment="1">
      <alignment horizontal="left" vertical="top"/>
    </xf>
    <xf numFmtId="0" fontId="0" fillId="26" borderId="0" xfId="0" applyFill="1" applyAlignment="1">
      <alignment horizontal="left" vertical="top"/>
    </xf>
    <xf numFmtId="0" fontId="34" fillId="24" borderId="0" xfId="0" applyFont="1" applyFill="1" applyAlignment="1">
      <alignment vertical="top" wrapText="1"/>
    </xf>
    <xf numFmtId="0" fontId="34" fillId="0" borderId="0" xfId="0" applyFont="1" applyAlignment="1">
      <alignment wrapText="1"/>
    </xf>
    <xf numFmtId="0" fontId="34" fillId="0" borderId="23" xfId="0" applyFont="1" applyBorder="1" applyAlignment="1">
      <alignment horizontal="center" textRotation="90" wrapText="1"/>
    </xf>
    <xf numFmtId="0" fontId="34" fillId="0" borderId="31" xfId="0" applyFont="1" applyBorder="1" applyAlignment="1">
      <alignment horizontal="center" textRotation="90" wrapText="1"/>
    </xf>
    <xf numFmtId="0" fontId="34" fillId="0" borderId="43" xfId="0" applyFont="1" applyBorder="1" applyAlignment="1">
      <alignment horizontal="center" textRotation="90" wrapText="1"/>
    </xf>
    <xf numFmtId="0" fontId="34" fillId="0" borderId="56" xfId="0" applyFont="1" applyBorder="1" applyAlignment="1">
      <alignment horizontal="center" textRotation="90" wrapText="1"/>
    </xf>
    <xf numFmtId="0" fontId="33" fillId="24" borderId="16" xfId="0" applyFont="1" applyFill="1" applyBorder="1" applyAlignment="1">
      <alignment horizontal="center" vertical="center"/>
    </xf>
    <xf numFmtId="0" fontId="33" fillId="24" borderId="50" xfId="0" applyFont="1" applyFill="1" applyBorder="1" applyAlignment="1">
      <alignment horizontal="center" vertical="center"/>
    </xf>
    <xf numFmtId="0" fontId="33" fillId="24" borderId="12" xfId="0" applyFont="1" applyFill="1" applyBorder="1" applyAlignment="1">
      <alignment horizontal="center" vertical="center"/>
    </xf>
    <xf numFmtId="0" fontId="33" fillId="24" borderId="23" xfId="0" applyFont="1" applyFill="1" applyBorder="1" applyAlignment="1">
      <alignment horizontal="center" vertical="center" wrapText="1"/>
    </xf>
    <xf numFmtId="0" fontId="33" fillId="24" borderId="30" xfId="0" applyFont="1" applyFill="1" applyBorder="1" applyAlignment="1">
      <alignment horizontal="center" vertical="center" wrapText="1"/>
    </xf>
    <xf numFmtId="0" fontId="33" fillId="24" borderId="31" xfId="0" applyFont="1" applyFill="1" applyBorder="1" applyAlignment="1">
      <alignment horizontal="center" vertical="center" wrapText="1"/>
    </xf>
    <xf numFmtId="0" fontId="33" fillId="24" borderId="16" xfId="0" applyFont="1" applyFill="1" applyBorder="1" applyAlignment="1">
      <alignment horizontal="center" vertical="center" wrapText="1"/>
    </xf>
    <xf numFmtId="0" fontId="33" fillId="24" borderId="50" xfId="0" applyFont="1" applyFill="1" applyBorder="1" applyAlignment="1">
      <alignment horizontal="center" vertical="center" wrapText="1"/>
    </xf>
    <xf numFmtId="0" fontId="33" fillId="24" borderId="12" xfId="0" applyFont="1" applyFill="1" applyBorder="1" applyAlignment="1">
      <alignment horizontal="center" vertical="center" wrapText="1"/>
    </xf>
    <xf numFmtId="0" fontId="33" fillId="28" borderId="14" xfId="0" applyFont="1" applyFill="1" applyBorder="1" applyAlignment="1">
      <alignment horizontal="center" vertical="center" wrapText="1"/>
    </xf>
    <xf numFmtId="0" fontId="33" fillId="28" borderId="15" xfId="0" applyFont="1" applyFill="1" applyBorder="1" applyAlignment="1">
      <alignment horizontal="center" vertical="center" wrapText="1"/>
    </xf>
    <xf numFmtId="0" fontId="33" fillId="28" borderId="21" xfId="0" applyFont="1" applyFill="1" applyBorder="1" applyAlignment="1">
      <alignment horizontal="center" vertical="center" wrapText="1"/>
    </xf>
    <xf numFmtId="0" fontId="3" fillId="24" borderId="0" xfId="0" applyFont="1" applyFill="1" applyAlignment="1">
      <alignment wrapText="1"/>
    </xf>
    <xf numFmtId="0" fontId="3" fillId="0" borderId="0" xfId="0" applyFont="1" applyAlignment="1">
      <alignment wrapText="1"/>
    </xf>
    <xf numFmtId="0" fontId="34" fillId="24" borderId="0" xfId="0" applyFont="1" applyFill="1" applyAlignment="1">
      <alignment horizontal="left" vertical="top" wrapText="1"/>
    </xf>
    <xf numFmtId="0" fontId="29" fillId="26" borderId="0" xfId="0" applyFont="1" applyFill="1" applyAlignment="1">
      <alignment horizontal="left" vertical="top" wrapText="1"/>
    </xf>
    <xf numFmtId="0" fontId="29" fillId="26" borderId="0" xfId="46" applyFont="1" applyFill="1" applyAlignment="1">
      <alignment horizontal="left" wrapText="1"/>
    </xf>
    <xf numFmtId="0" fontId="6" fillId="24" borderId="17" xfId="0" applyFont="1" applyFill="1" applyBorder="1" applyAlignment="1">
      <alignment horizontal="center" vertical="center" wrapText="1"/>
    </xf>
    <xf numFmtId="0" fontId="6" fillId="24" borderId="10" xfId="0" applyFont="1" applyFill="1" applyBorder="1" applyAlignment="1">
      <alignment horizontal="center" vertical="center" wrapText="1"/>
    </xf>
    <xf numFmtId="0" fontId="6" fillId="24" borderId="59" xfId="0" applyFont="1" applyFill="1" applyBorder="1" applyAlignment="1">
      <alignment horizontal="center" vertical="center" wrapText="1"/>
    </xf>
    <xf numFmtId="0" fontId="6" fillId="24" borderId="13" xfId="0" applyFont="1" applyFill="1" applyBorder="1" applyAlignment="1">
      <alignment horizontal="center" vertical="center" wrapText="1"/>
    </xf>
    <xf numFmtId="0" fontId="6" fillId="24" borderId="101" xfId="0" applyFont="1" applyFill="1" applyBorder="1" applyAlignment="1">
      <alignment horizontal="center" vertical="center" wrapText="1"/>
    </xf>
    <xf numFmtId="0" fontId="6" fillId="24" borderId="64" xfId="0" applyFont="1" applyFill="1" applyBorder="1" applyAlignment="1">
      <alignment horizontal="center" vertical="center" wrapText="1"/>
    </xf>
    <xf numFmtId="0" fontId="33" fillId="27" borderId="21" xfId="0" applyFont="1" applyFill="1" applyBorder="1" applyAlignment="1">
      <alignment horizontal="right" vertical="center" wrapText="1" indent="1"/>
    </xf>
    <xf numFmtId="0" fontId="33" fillId="27" borderId="21" xfId="0" applyFont="1" applyFill="1" applyBorder="1" applyAlignment="1">
      <alignment horizontal="left" vertical="center" wrapText="1" indent="1"/>
    </xf>
    <xf numFmtId="17" fontId="33" fillId="28" borderId="16" xfId="0" applyNumberFormat="1" applyFont="1" applyFill="1" applyBorder="1" applyAlignment="1">
      <alignment horizontal="center" vertical="center" wrapText="1"/>
    </xf>
    <xf numFmtId="17" fontId="33" fillId="28" borderId="12" xfId="0" applyNumberFormat="1" applyFont="1" applyFill="1" applyBorder="1" applyAlignment="1">
      <alignment horizontal="center" vertical="center" wrapText="1"/>
    </xf>
    <xf numFmtId="0" fontId="34" fillId="28" borderId="23" xfId="0" applyFont="1" applyFill="1" applyBorder="1" applyAlignment="1">
      <alignment horizontal="left" vertical="center" wrapText="1"/>
    </xf>
    <xf numFmtId="0" fontId="34" fillId="28" borderId="31" xfId="0" applyFont="1" applyFill="1" applyBorder="1" applyAlignment="1">
      <alignment horizontal="left" vertical="center" wrapText="1"/>
    </xf>
    <xf numFmtId="0" fontId="33" fillId="27" borderId="16" xfId="0" applyFont="1" applyFill="1" applyBorder="1" applyAlignment="1">
      <alignment horizontal="center" wrapText="1"/>
    </xf>
    <xf numFmtId="0" fontId="33" fillId="27" borderId="50" xfId="0" applyFont="1" applyFill="1" applyBorder="1" applyAlignment="1">
      <alignment horizontal="center" wrapText="1"/>
    </xf>
    <xf numFmtId="0" fontId="33" fillId="27" borderId="23" xfId="0" applyFont="1" applyFill="1" applyBorder="1" applyAlignment="1">
      <alignment horizontal="center" wrapText="1"/>
    </xf>
    <xf numFmtId="0" fontId="33" fillId="27" borderId="30" xfId="0" applyFont="1" applyFill="1" applyBorder="1" applyAlignment="1">
      <alignment horizontal="center" wrapText="1"/>
    </xf>
    <xf numFmtId="17" fontId="33" fillId="27" borderId="16" xfId="0" applyNumberFormat="1" applyFont="1" applyFill="1" applyBorder="1" applyAlignment="1">
      <alignment horizontal="center" wrapText="1"/>
    </xf>
    <xf numFmtId="17" fontId="33" fillId="28" borderId="23" xfId="0" applyNumberFormat="1" applyFont="1" applyFill="1" applyBorder="1" applyAlignment="1">
      <alignment horizontal="center" vertical="center" wrapText="1"/>
    </xf>
    <xf numFmtId="17" fontId="33" fillId="28" borderId="31" xfId="0" applyNumberFormat="1" applyFont="1" applyFill="1" applyBorder="1" applyAlignment="1">
      <alignment horizontal="center" vertical="center" wrapText="1"/>
    </xf>
    <xf numFmtId="0" fontId="48" fillId="24" borderId="0" xfId="0" applyFont="1" applyFill="1" applyAlignment="1">
      <alignment horizontal="left" vertical="top"/>
    </xf>
    <xf numFmtId="0" fontId="0" fillId="0" borderId="0" xfId="0" applyAlignment="1">
      <alignment horizontal="left" vertical="top"/>
    </xf>
    <xf numFmtId="0" fontId="86" fillId="26" borderId="0" xfId="34" applyFont="1" applyFill="1" applyBorder="1" applyAlignment="1" applyProtection="1">
      <alignment horizontal="left" vertical="center"/>
    </xf>
    <xf numFmtId="0" fontId="54" fillId="24" borderId="15" xfId="0" applyFont="1" applyFill="1" applyBorder="1" applyAlignment="1">
      <alignment horizontal="center"/>
    </xf>
    <xf numFmtId="0" fontId="4" fillId="0" borderId="15" xfId="0" applyFont="1" applyBorder="1" applyAlignment="1">
      <alignment horizontal="center" vertical="center" wrapText="1"/>
    </xf>
    <xf numFmtId="0" fontId="32" fillId="24" borderId="40" xfId="0" applyFont="1" applyFill="1" applyBorder="1" applyAlignment="1">
      <alignment horizontal="center" wrapText="1"/>
    </xf>
    <xf numFmtId="0" fontId="32" fillId="0" borderId="41" xfId="0" applyFont="1" applyBorder="1" applyAlignment="1">
      <alignment horizontal="center" wrapText="1"/>
    </xf>
    <xf numFmtId="0" fontId="32" fillId="0" borderId="53" xfId="0" applyFont="1" applyBorder="1" applyAlignment="1">
      <alignment horizontal="center" wrapText="1"/>
    </xf>
    <xf numFmtId="0" fontId="32" fillId="0" borderId="82" xfId="0" applyFont="1" applyBorder="1" applyAlignment="1">
      <alignment horizontal="center" wrapText="1"/>
    </xf>
    <xf numFmtId="0" fontId="32" fillId="0" borderId="42" xfId="0" applyFont="1" applyBorder="1" applyAlignment="1">
      <alignment horizontal="center" wrapText="1"/>
    </xf>
    <xf numFmtId="0" fontId="32" fillId="24" borderId="73" xfId="0" applyFont="1" applyFill="1" applyBorder="1" applyAlignment="1">
      <alignment horizontal="center" wrapText="1"/>
    </xf>
    <xf numFmtId="0" fontId="32" fillId="24" borderId="82" xfId="0" applyFont="1" applyFill="1" applyBorder="1" applyAlignment="1">
      <alignment horizontal="center" wrapText="1"/>
    </xf>
    <xf numFmtId="0" fontId="32" fillId="24" borderId="100" xfId="0" applyFont="1" applyFill="1" applyBorder="1" applyAlignment="1">
      <alignment horizontal="center" wrapText="1"/>
    </xf>
    <xf numFmtId="0" fontId="32" fillId="24" borderId="0" xfId="0" applyFont="1" applyFill="1" applyAlignment="1">
      <alignment horizontal="center" vertical="center" wrapText="1"/>
    </xf>
    <xf numFmtId="0" fontId="32" fillId="24" borderId="101" xfId="0" applyFont="1" applyFill="1" applyBorder="1" applyAlignment="1">
      <alignment horizontal="center" vertical="center" wrapText="1"/>
    </xf>
    <xf numFmtId="0" fontId="68" fillId="24" borderId="0" xfId="0" applyFont="1" applyFill="1" applyAlignment="1">
      <alignment horizontal="left" vertical="center" wrapText="1"/>
    </xf>
    <xf numFmtId="0" fontId="68" fillId="24" borderId="101" xfId="0" applyFont="1" applyFill="1" applyBorder="1" applyAlignment="1">
      <alignment horizontal="left" vertical="center" wrapText="1"/>
    </xf>
    <xf numFmtId="0" fontId="0" fillId="0" borderId="0" xfId="0"/>
    <xf numFmtId="0" fontId="0" fillId="0" borderId="39" xfId="0" applyBorder="1"/>
    <xf numFmtId="0" fontId="34" fillId="0" borderId="15" xfId="0" applyFont="1" applyBorder="1" applyAlignment="1">
      <alignment horizontal="left" vertical="center" wrapText="1"/>
    </xf>
    <xf numFmtId="0" fontId="34" fillId="24" borderId="47" xfId="0" applyFont="1" applyFill="1" applyBorder="1" applyAlignment="1">
      <alignment horizontal="left" vertical="center" wrapText="1"/>
    </xf>
    <xf numFmtId="0" fontId="34" fillId="24" borderId="48" xfId="0" applyFont="1" applyFill="1" applyBorder="1" applyAlignment="1">
      <alignment horizontal="left" vertical="center" wrapText="1"/>
    </xf>
    <xf numFmtId="0" fontId="34" fillId="24" borderId="45" xfId="0" applyFont="1" applyFill="1" applyBorder="1" applyAlignment="1">
      <alignment horizontal="left" vertical="center" wrapText="1"/>
    </xf>
    <xf numFmtId="0" fontId="31" fillId="26" borderId="0" xfId="0" applyFont="1" applyFill="1" applyAlignment="1">
      <alignment horizontal="left" vertical="top" wrapText="1"/>
    </xf>
    <xf numFmtId="0" fontId="33" fillId="24" borderId="57" xfId="0" applyFont="1" applyFill="1" applyBorder="1" applyAlignment="1">
      <alignment horizontal="center" wrapText="1"/>
    </xf>
    <xf numFmtId="0" fontId="33" fillId="24" borderId="0" xfId="0" applyFont="1" applyFill="1" applyAlignment="1">
      <alignment horizontal="center" wrapText="1"/>
    </xf>
    <xf numFmtId="0" fontId="33" fillId="24" borderId="39" xfId="0" applyFont="1" applyFill="1" applyBorder="1" applyAlignment="1">
      <alignment horizontal="center" wrapText="1"/>
    </xf>
    <xf numFmtId="0" fontId="33" fillId="28" borderId="27" xfId="0" applyFont="1" applyFill="1" applyBorder="1" applyAlignment="1">
      <alignment horizontal="center" vertical="center" wrapText="1"/>
    </xf>
    <xf numFmtId="0" fontId="33" fillId="28" borderId="103" xfId="0" applyFont="1" applyFill="1" applyBorder="1" applyAlignment="1">
      <alignment horizontal="center" vertical="center" wrapText="1"/>
    </xf>
    <xf numFmtId="0" fontId="33" fillId="28" borderId="34" xfId="0" applyFont="1" applyFill="1" applyBorder="1" applyAlignment="1">
      <alignment horizontal="center" vertical="center" wrapText="1"/>
    </xf>
    <xf numFmtId="0" fontId="68" fillId="24" borderId="48" xfId="0" applyFont="1" applyFill="1" applyBorder="1" applyAlignment="1">
      <alignment horizontal="left" vertical="center" wrapText="1"/>
    </xf>
    <xf numFmtId="0" fontId="33" fillId="26" borderId="18" xfId="0" applyFont="1" applyFill="1" applyBorder="1" applyAlignment="1">
      <alignment horizontal="center" vertical="center" wrapText="1"/>
    </xf>
    <xf numFmtId="0" fontId="33" fillId="26" borderId="26" xfId="0" applyFont="1" applyFill="1" applyBorder="1" applyAlignment="1">
      <alignment horizontal="center" vertical="center" wrapText="1"/>
    </xf>
    <xf numFmtId="0" fontId="33" fillId="26" borderId="32" xfId="0" applyFont="1" applyFill="1" applyBorder="1" applyAlignment="1">
      <alignment horizontal="center" vertical="center" wrapText="1"/>
    </xf>
    <xf numFmtId="0" fontId="34" fillId="0" borderId="18" xfId="0" applyFont="1" applyBorder="1" applyAlignment="1">
      <alignment horizontal="left" vertical="center" wrapText="1"/>
    </xf>
    <xf numFmtId="0" fontId="34" fillId="0" borderId="26" xfId="0" applyFont="1" applyBorder="1" applyAlignment="1">
      <alignment horizontal="left" vertical="center" wrapText="1"/>
    </xf>
    <xf numFmtId="0" fontId="33" fillId="28" borderId="16" xfId="0" applyFont="1" applyFill="1" applyBorder="1" applyAlignment="1">
      <alignment horizontal="center" wrapText="1"/>
    </xf>
    <xf numFmtId="0" fontId="33" fillId="28" borderId="50" xfId="0" applyFont="1" applyFill="1" applyBorder="1" applyAlignment="1">
      <alignment horizontal="center" wrapText="1"/>
    </xf>
    <xf numFmtId="0" fontId="52" fillId="0" borderId="16" xfId="0" applyFont="1" applyBorder="1" applyAlignment="1">
      <alignment horizontal="center" vertical="center" wrapText="1"/>
    </xf>
    <xf numFmtId="0" fontId="52" fillId="0" borderId="50" xfId="0" applyFont="1" applyBorder="1" applyAlignment="1">
      <alignment horizontal="center" vertical="center" wrapText="1"/>
    </xf>
    <xf numFmtId="0" fontId="52" fillId="0" borderId="12" xfId="0" applyFont="1" applyBorder="1" applyAlignment="1">
      <alignment horizontal="center" vertical="center" wrapText="1"/>
    </xf>
    <xf numFmtId="0" fontId="66" fillId="24" borderId="0" xfId="0" applyFont="1" applyFill="1" applyAlignment="1">
      <alignment vertical="top" wrapText="1"/>
    </xf>
    <xf numFmtId="0" fontId="85" fillId="0" borderId="0" xfId="0" applyFont="1" applyAlignment="1">
      <alignment wrapText="1"/>
    </xf>
    <xf numFmtId="0" fontId="33" fillId="26" borderId="15" xfId="0" applyFont="1" applyFill="1" applyBorder="1" applyAlignment="1">
      <alignment horizontal="center" vertical="center" wrapText="1"/>
    </xf>
    <xf numFmtId="0" fontId="33" fillId="26" borderId="21" xfId="0" applyFont="1" applyFill="1" applyBorder="1" applyAlignment="1">
      <alignment horizontal="center" vertical="center" wrapText="1"/>
    </xf>
    <xf numFmtId="0" fontId="33" fillId="28" borderId="13" xfId="0" applyFont="1" applyFill="1" applyBorder="1" applyAlignment="1">
      <alignment horizontal="center" vertical="top"/>
    </xf>
    <xf numFmtId="0" fontId="33" fillId="28" borderId="48" xfId="0" applyFont="1" applyFill="1" applyBorder="1" applyAlignment="1">
      <alignment horizontal="center" vertical="top"/>
    </xf>
    <xf numFmtId="0" fontId="33" fillId="28" borderId="23" xfId="0" applyFont="1" applyFill="1" applyBorder="1" applyAlignment="1">
      <alignment horizontal="center" wrapText="1"/>
    </xf>
    <xf numFmtId="0" fontId="33" fillId="28" borderId="30" xfId="0" applyFont="1" applyFill="1" applyBorder="1" applyAlignment="1">
      <alignment horizontal="center" wrapText="1"/>
    </xf>
    <xf numFmtId="0" fontId="34" fillId="28" borderId="17" xfId="0" applyFont="1" applyFill="1" applyBorder="1" applyAlignment="1">
      <alignment horizontal="center" vertical="center" wrapText="1"/>
    </xf>
    <xf numFmtId="0" fontId="34" fillId="28" borderId="59" xfId="0" applyFont="1" applyFill="1" applyBorder="1" applyAlignment="1">
      <alignment horizontal="center" vertical="center" wrapText="1"/>
    </xf>
    <xf numFmtId="0" fontId="34" fillId="28" borderId="58" xfId="0" applyFont="1" applyFill="1" applyBorder="1" applyAlignment="1">
      <alignment horizontal="center" vertical="center" wrapText="1"/>
    </xf>
    <xf numFmtId="0" fontId="34" fillId="28" borderId="62" xfId="0" applyFont="1" applyFill="1" applyBorder="1" applyAlignment="1">
      <alignment horizontal="center" vertical="center" wrapText="1"/>
    </xf>
    <xf numFmtId="0" fontId="34" fillId="28" borderId="125" xfId="0" applyFont="1" applyFill="1" applyBorder="1" applyAlignment="1">
      <alignment horizontal="center" vertical="center" wrapText="1"/>
    </xf>
    <xf numFmtId="0" fontId="34" fillId="28" borderId="127" xfId="0" applyFont="1" applyFill="1" applyBorder="1" applyAlignment="1">
      <alignment horizontal="center" vertical="center" wrapText="1"/>
    </xf>
    <xf numFmtId="0" fontId="33" fillId="28" borderId="17" xfId="0" applyFont="1" applyFill="1" applyBorder="1" applyAlignment="1">
      <alignment horizontal="center" wrapText="1"/>
    </xf>
    <xf numFmtId="0" fontId="33" fillId="28" borderId="59" xfId="0" applyFont="1" applyFill="1" applyBorder="1" applyAlignment="1">
      <alignment horizontal="center" wrapText="1"/>
    </xf>
    <xf numFmtId="0" fontId="33" fillId="28" borderId="58" xfId="0" applyFont="1" applyFill="1" applyBorder="1" applyAlignment="1">
      <alignment horizontal="center" wrapText="1"/>
    </xf>
    <xf numFmtId="0" fontId="33" fillId="28" borderId="62" xfId="0" applyFont="1" applyFill="1" applyBorder="1" applyAlignment="1">
      <alignment horizontal="center" wrapText="1"/>
    </xf>
    <xf numFmtId="0" fontId="33" fillId="41" borderId="114" xfId="0" applyFont="1" applyFill="1" applyBorder="1" applyAlignment="1">
      <alignment horizontal="center" vertical="center" wrapText="1"/>
    </xf>
    <xf numFmtId="0" fontId="34" fillId="41" borderId="113" xfId="0" applyFont="1" applyFill="1" applyBorder="1" applyAlignment="1">
      <alignment wrapText="1"/>
    </xf>
    <xf numFmtId="0" fontId="34" fillId="41" borderId="114" xfId="0" applyFont="1" applyFill="1" applyBorder="1" applyAlignment="1">
      <alignment wrapText="1"/>
    </xf>
    <xf numFmtId="3" fontId="4" fillId="24" borderId="121" xfId="0" applyNumberFormat="1" applyFont="1" applyFill="1" applyBorder="1" applyAlignment="1">
      <alignment horizontal="center" vertical="center"/>
    </xf>
    <xf numFmtId="3" fontId="4" fillId="24" borderId="122" xfId="0" applyNumberFormat="1" applyFont="1" applyFill="1" applyBorder="1" applyAlignment="1">
      <alignment horizontal="center" vertical="center"/>
    </xf>
    <xf numFmtId="0" fontId="8" fillId="41" borderId="18" xfId="0" applyFont="1" applyFill="1" applyBorder="1" applyAlignment="1">
      <alignment horizontal="center" vertical="center" wrapText="1"/>
    </xf>
    <xf numFmtId="0" fontId="8" fillId="41" borderId="26" xfId="0" applyFont="1" applyFill="1" applyBorder="1" applyAlignment="1">
      <alignment horizontal="center" vertical="center" wrapText="1"/>
    </xf>
    <xf numFmtId="0" fontId="8" fillId="41" borderId="14" xfId="0" applyFont="1" applyFill="1" applyBorder="1" applyAlignment="1">
      <alignment horizontal="center" vertical="center" wrapText="1"/>
    </xf>
    <xf numFmtId="0" fontId="8" fillId="41" borderId="20" xfId="0" applyFont="1" applyFill="1" applyBorder="1" applyAlignment="1">
      <alignment horizontal="center" vertical="center" wrapText="1"/>
    </xf>
    <xf numFmtId="0" fontId="8" fillId="41" borderId="32" xfId="0" applyFont="1" applyFill="1" applyBorder="1" applyAlignment="1">
      <alignment horizontal="center" vertical="center" wrapText="1"/>
    </xf>
    <xf numFmtId="0" fontId="8" fillId="41" borderId="22" xfId="0" applyFont="1" applyFill="1" applyBorder="1" applyAlignment="1">
      <alignment horizontal="center" vertical="center" wrapText="1"/>
    </xf>
    <xf numFmtId="0" fontId="8" fillId="41" borderId="15" xfId="0" applyFont="1" applyFill="1" applyBorder="1" applyAlignment="1">
      <alignment horizontal="center" vertical="center" wrapText="1"/>
    </xf>
    <xf numFmtId="0" fontId="8" fillId="41" borderId="21" xfId="0" applyFont="1" applyFill="1" applyBorder="1" applyAlignment="1">
      <alignment horizontal="center" vertical="center" wrapText="1"/>
    </xf>
    <xf numFmtId="3" fontId="4" fillId="24" borderId="117" xfId="0" applyNumberFormat="1" applyFont="1" applyFill="1" applyBorder="1" applyAlignment="1">
      <alignment horizontal="center" vertical="center"/>
    </xf>
    <xf numFmtId="0" fontId="4" fillId="24" borderId="117" xfId="0" applyFont="1" applyFill="1" applyBorder="1" applyAlignment="1">
      <alignment horizontal="center" vertical="center"/>
    </xf>
    <xf numFmtId="0" fontId="32" fillId="24" borderId="81" xfId="0" applyFont="1" applyFill="1" applyBorder="1" applyAlignment="1">
      <alignment horizontal="center" wrapText="1"/>
    </xf>
    <xf numFmtId="0" fontId="32" fillId="0" borderId="126" xfId="0" applyFont="1" applyBorder="1" applyAlignment="1">
      <alignment horizontal="center" wrapText="1"/>
    </xf>
    <xf numFmtId="0" fontId="32" fillId="0" borderId="100" xfId="0" applyFont="1" applyBorder="1" applyAlignment="1">
      <alignment horizontal="center" wrapText="1"/>
    </xf>
    <xf numFmtId="165" fontId="34" fillId="24" borderId="18" xfId="0" applyNumberFormat="1" applyFont="1" applyFill="1" applyBorder="1" applyAlignment="1">
      <alignment horizontal="center" vertical="center"/>
    </xf>
    <xf numFmtId="165" fontId="34" fillId="24" borderId="14" xfId="0" applyNumberFormat="1" applyFont="1" applyFill="1" applyBorder="1" applyAlignment="1">
      <alignment horizontal="center" vertical="center"/>
    </xf>
    <xf numFmtId="165" fontId="88" fillId="35" borderId="18" xfId="0" applyNumberFormat="1" applyFont="1" applyFill="1" applyBorder="1" applyAlignment="1">
      <alignment horizontal="center" vertical="center"/>
    </xf>
    <xf numFmtId="165" fontId="88" fillId="35" borderId="26" xfId="0" applyNumberFormat="1" applyFont="1" applyFill="1" applyBorder="1" applyAlignment="1">
      <alignment horizontal="center" vertical="center"/>
    </xf>
    <xf numFmtId="165" fontId="88" fillId="35" borderId="14" xfId="0" applyNumberFormat="1" applyFont="1" applyFill="1" applyBorder="1" applyAlignment="1">
      <alignment horizontal="center" vertical="center"/>
    </xf>
    <xf numFmtId="0" fontId="33" fillId="28" borderId="18" xfId="0" applyFont="1" applyFill="1" applyBorder="1" applyAlignment="1">
      <alignment horizontal="center" vertical="center" wrapText="1"/>
    </xf>
    <xf numFmtId="0" fontId="34" fillId="28" borderId="14" xfId="0" applyFont="1" applyFill="1" applyBorder="1" applyAlignment="1">
      <alignment wrapText="1"/>
    </xf>
    <xf numFmtId="0" fontId="33" fillId="25" borderId="18" xfId="0" applyFont="1" applyFill="1" applyBorder="1" applyAlignment="1">
      <alignment horizontal="center" vertical="center" wrapText="1"/>
    </xf>
    <xf numFmtId="0" fontId="34" fillId="0" borderId="14" xfId="0" applyFont="1" applyBorder="1" applyAlignment="1">
      <alignment wrapText="1"/>
    </xf>
    <xf numFmtId="0" fontId="34" fillId="28" borderId="32" xfId="0" applyFont="1" applyFill="1" applyBorder="1" applyAlignment="1">
      <alignment wrapText="1"/>
    </xf>
    <xf numFmtId="165" fontId="34" fillId="24" borderId="32" xfId="0" applyNumberFormat="1" applyFont="1" applyFill="1" applyBorder="1" applyAlignment="1">
      <alignment horizontal="center" vertical="center"/>
    </xf>
    <xf numFmtId="0" fontId="8" fillId="0" borderId="15" xfId="0" applyFont="1" applyBorder="1" applyAlignment="1">
      <alignment horizontal="center" vertical="center" wrapText="1"/>
    </xf>
    <xf numFmtId="0" fontId="0" fillId="0" borderId="15" xfId="0" applyBorder="1" applyAlignment="1">
      <alignment wrapText="1"/>
    </xf>
    <xf numFmtId="3" fontId="4" fillId="24" borderId="118" xfId="0" applyNumberFormat="1" applyFont="1" applyFill="1" applyBorder="1" applyAlignment="1">
      <alignment horizontal="center" vertical="center"/>
    </xf>
    <xf numFmtId="0" fontId="4" fillId="24" borderId="118" xfId="0" applyFont="1" applyFill="1" applyBorder="1" applyAlignment="1">
      <alignment horizontal="center" vertical="center"/>
    </xf>
    <xf numFmtId="3" fontId="4" fillId="24" borderId="115" xfId="0" applyNumberFormat="1" applyFont="1" applyFill="1" applyBorder="1" applyAlignment="1">
      <alignment horizontal="center" vertical="center"/>
    </xf>
    <xf numFmtId="0" fontId="4" fillId="24" borderId="115" xfId="0" applyFont="1" applyFill="1" applyBorder="1" applyAlignment="1">
      <alignment horizontal="center" vertical="center"/>
    </xf>
    <xf numFmtId="0" fontId="4" fillId="24" borderId="116" xfId="0" applyFont="1" applyFill="1" applyBorder="1" applyAlignment="1">
      <alignment horizontal="center" vertical="center"/>
    </xf>
    <xf numFmtId="0" fontId="52" fillId="0" borderId="27" xfId="0" applyFont="1" applyBorder="1" applyAlignment="1">
      <alignment horizontal="center" vertical="center" textRotation="90" wrapText="1"/>
    </xf>
    <xf numFmtId="0" fontId="52" fillId="0" borderId="103" xfId="0" applyFont="1" applyBorder="1" applyAlignment="1">
      <alignment horizontal="center" vertical="center" textRotation="90" wrapText="1"/>
    </xf>
    <xf numFmtId="0" fontId="34" fillId="0" borderId="0" xfId="0" applyFont="1"/>
    <xf numFmtId="0" fontId="34" fillId="0" borderId="39" xfId="0" applyFont="1" applyBorder="1"/>
    <xf numFmtId="0" fontId="34" fillId="24" borderId="81" xfId="0" applyFont="1" applyFill="1" applyBorder="1" applyAlignment="1">
      <alignment horizontal="center" wrapText="1"/>
    </xf>
    <xf numFmtId="0" fontId="34" fillId="0" borderId="126" xfId="0" applyFont="1" applyBorder="1" applyAlignment="1">
      <alignment horizontal="center" wrapText="1"/>
    </xf>
    <xf numFmtId="0" fontId="34" fillId="0" borderId="100" xfId="0" applyFont="1" applyBorder="1" applyAlignment="1">
      <alignment horizontal="center" wrapText="1"/>
    </xf>
    <xf numFmtId="0" fontId="34" fillId="26" borderId="0" xfId="0" applyFont="1" applyFill="1" applyAlignment="1">
      <alignment horizontal="left" wrapText="1"/>
    </xf>
    <xf numFmtId="0" fontId="34" fillId="26" borderId="101" xfId="0" applyFont="1" applyFill="1" applyBorder="1" applyAlignment="1">
      <alignment horizontal="left" wrapText="1"/>
    </xf>
    <xf numFmtId="0" fontId="34" fillId="0" borderId="32" xfId="0" applyFont="1" applyBorder="1" applyAlignment="1">
      <alignment wrapText="1"/>
    </xf>
    <xf numFmtId="0" fontId="72" fillId="45" borderId="114" xfId="0" applyFont="1" applyFill="1" applyBorder="1" applyAlignment="1">
      <alignment horizontal="center" vertical="center" wrapText="1"/>
    </xf>
    <xf numFmtId="0" fontId="73" fillId="45" borderId="114" xfId="0" applyFont="1" applyFill="1" applyBorder="1" applyAlignment="1">
      <alignment wrapText="1"/>
    </xf>
    <xf numFmtId="0" fontId="72" fillId="46" borderId="114" xfId="0" applyFont="1" applyFill="1" applyBorder="1" applyAlignment="1">
      <alignment horizontal="center" vertical="center" wrapText="1"/>
    </xf>
    <xf numFmtId="0" fontId="73" fillId="46" borderId="114" xfId="0" applyFont="1" applyFill="1" applyBorder="1" applyAlignment="1">
      <alignment wrapText="1"/>
    </xf>
    <xf numFmtId="0" fontId="72" fillId="47" borderId="114" xfId="0" applyFont="1" applyFill="1" applyBorder="1" applyAlignment="1">
      <alignment horizontal="center" vertical="center" wrapText="1"/>
    </xf>
    <xf numFmtId="0" fontId="73" fillId="47" borderId="114" xfId="0" applyFont="1" applyFill="1" applyBorder="1" applyAlignment="1">
      <alignment wrapText="1"/>
    </xf>
    <xf numFmtId="0" fontId="72" fillId="48" borderId="114" xfId="0" applyFont="1" applyFill="1" applyBorder="1" applyAlignment="1">
      <alignment horizontal="center" vertical="center" wrapText="1"/>
    </xf>
    <xf numFmtId="0" fontId="73" fillId="48" borderId="114" xfId="0" applyFont="1" applyFill="1" applyBorder="1" applyAlignment="1">
      <alignment wrapText="1"/>
    </xf>
    <xf numFmtId="0" fontId="72" fillId="49" borderId="114" xfId="0" applyFont="1" applyFill="1" applyBorder="1" applyAlignment="1">
      <alignment horizontal="center" vertical="center" wrapText="1"/>
    </xf>
    <xf numFmtId="0" fontId="73" fillId="49" borderId="114" xfId="0" applyFont="1" applyFill="1" applyBorder="1" applyAlignment="1">
      <alignment wrapText="1"/>
    </xf>
    <xf numFmtId="0" fontId="72" fillId="50" borderId="114" xfId="0" applyFont="1" applyFill="1" applyBorder="1" applyAlignment="1">
      <alignment horizontal="center" vertical="center" wrapText="1"/>
    </xf>
    <xf numFmtId="0" fontId="73" fillId="50" borderId="114" xfId="0" applyFont="1" applyFill="1" applyBorder="1" applyAlignment="1">
      <alignment wrapText="1"/>
    </xf>
    <xf numFmtId="0" fontId="72" fillId="51" borderId="114" xfId="0" applyFont="1" applyFill="1" applyBorder="1" applyAlignment="1">
      <alignment horizontal="center" vertical="center" wrapText="1"/>
    </xf>
    <xf numFmtId="0" fontId="73" fillId="51" borderId="114" xfId="0" applyFont="1" applyFill="1" applyBorder="1" applyAlignment="1">
      <alignment wrapText="1"/>
    </xf>
    <xf numFmtId="0" fontId="72" fillId="52" borderId="114" xfId="0" applyFont="1" applyFill="1" applyBorder="1" applyAlignment="1">
      <alignment horizontal="center" vertical="center" wrapText="1"/>
    </xf>
    <xf numFmtId="0" fontId="73" fillId="52" borderId="114" xfId="0" applyFont="1" applyFill="1" applyBorder="1" applyAlignment="1">
      <alignment wrapText="1"/>
    </xf>
    <xf numFmtId="0" fontId="66" fillId="24" borderId="0" xfId="0" applyFont="1" applyFill="1" applyAlignment="1">
      <alignment horizontal="left" vertical="top"/>
    </xf>
    <xf numFmtId="0" fontId="72" fillId="53" borderId="114" xfId="0" applyFont="1" applyFill="1" applyBorder="1" applyAlignment="1">
      <alignment horizontal="center" vertical="center" wrapText="1"/>
    </xf>
    <xf numFmtId="0" fontId="73" fillId="53" borderId="114" xfId="0" applyFont="1" applyFill="1" applyBorder="1" applyAlignment="1">
      <alignment wrapText="1"/>
    </xf>
    <xf numFmtId="0" fontId="72" fillId="43" borderId="114" xfId="0" applyFont="1" applyFill="1" applyBorder="1" applyAlignment="1">
      <alignment horizontal="center" vertical="center" wrapText="1"/>
    </xf>
    <xf numFmtId="0" fontId="73" fillId="43" borderId="113" xfId="0" applyFont="1" applyFill="1" applyBorder="1" applyAlignment="1">
      <alignment wrapText="1"/>
    </xf>
    <xf numFmtId="3" fontId="4" fillId="24" borderId="119" xfId="0" applyNumberFormat="1" applyFont="1" applyFill="1" applyBorder="1" applyAlignment="1">
      <alignment horizontal="center" vertical="center"/>
    </xf>
    <xf numFmtId="3" fontId="4" fillId="24" borderId="120" xfId="0" applyNumberFormat="1" applyFont="1" applyFill="1" applyBorder="1" applyAlignment="1">
      <alignment horizontal="center" vertical="center"/>
    </xf>
    <xf numFmtId="0" fontId="92" fillId="45" borderId="114" xfId="0" applyFont="1" applyFill="1" applyBorder="1" applyAlignment="1">
      <alignment horizontal="center" vertical="center" wrapText="1"/>
    </xf>
    <xf numFmtId="0" fontId="93" fillId="45" borderId="114" xfId="0" applyFont="1" applyFill="1" applyBorder="1" applyAlignment="1">
      <alignment wrapText="1"/>
    </xf>
    <xf numFmtId="0" fontId="92" fillId="46" borderId="114" xfId="0" applyFont="1" applyFill="1" applyBorder="1" applyAlignment="1">
      <alignment horizontal="center" vertical="center" wrapText="1"/>
    </xf>
    <xf numFmtId="0" fontId="93" fillId="46" borderId="114" xfId="0" applyFont="1" applyFill="1" applyBorder="1" applyAlignment="1">
      <alignment wrapText="1"/>
    </xf>
    <xf numFmtId="0" fontId="92" fillId="47" borderId="114" xfId="0" applyFont="1" applyFill="1" applyBorder="1" applyAlignment="1">
      <alignment horizontal="center" vertical="center" wrapText="1"/>
    </xf>
    <xf numFmtId="0" fontId="93" fillId="47" borderId="114" xfId="0" applyFont="1" applyFill="1" applyBorder="1" applyAlignment="1">
      <alignment wrapText="1"/>
    </xf>
    <xf numFmtId="0" fontId="92" fillId="48" borderId="114" xfId="0" applyFont="1" applyFill="1" applyBorder="1" applyAlignment="1">
      <alignment horizontal="center" vertical="center" wrapText="1"/>
    </xf>
    <xf numFmtId="0" fontId="93" fillId="48" borderId="114" xfId="0" applyFont="1" applyFill="1" applyBorder="1" applyAlignment="1">
      <alignment wrapText="1"/>
    </xf>
    <xf numFmtId="0" fontId="92" fillId="49" borderId="114" xfId="0" applyFont="1" applyFill="1" applyBorder="1" applyAlignment="1">
      <alignment horizontal="center" vertical="center" wrapText="1"/>
    </xf>
    <xf numFmtId="0" fontId="93" fillId="49" borderId="114" xfId="0" applyFont="1" applyFill="1" applyBorder="1" applyAlignment="1">
      <alignment wrapText="1"/>
    </xf>
    <xf numFmtId="0" fontId="92" fillId="50" borderId="114" xfId="0" applyFont="1" applyFill="1" applyBorder="1" applyAlignment="1">
      <alignment horizontal="center" vertical="center" wrapText="1"/>
    </xf>
    <xf numFmtId="0" fontId="93" fillId="50" borderId="114" xfId="0" applyFont="1" applyFill="1" applyBorder="1" applyAlignment="1">
      <alignment wrapText="1"/>
    </xf>
    <xf numFmtId="0" fontId="92" fillId="51" borderId="114" xfId="0" applyFont="1" applyFill="1" applyBorder="1" applyAlignment="1">
      <alignment horizontal="center" vertical="center" wrapText="1"/>
    </xf>
    <xf numFmtId="0" fontId="93" fillId="51" borderId="114" xfId="0" applyFont="1" applyFill="1" applyBorder="1" applyAlignment="1">
      <alignment wrapText="1"/>
    </xf>
    <xf numFmtId="0" fontId="92" fillId="52" borderId="114" xfId="0" applyFont="1" applyFill="1" applyBorder="1" applyAlignment="1">
      <alignment horizontal="center" vertical="center" wrapText="1"/>
    </xf>
    <xf numFmtId="0" fontId="93" fillId="52" borderId="114" xfId="0" applyFont="1" applyFill="1" applyBorder="1" applyAlignment="1">
      <alignment wrapText="1"/>
    </xf>
    <xf numFmtId="0" fontId="92" fillId="53" borderId="114" xfId="0" applyFont="1" applyFill="1" applyBorder="1" applyAlignment="1">
      <alignment horizontal="center" vertical="center" wrapText="1"/>
    </xf>
    <xf numFmtId="0" fontId="93" fillId="53" borderId="114" xfId="0" applyFont="1" applyFill="1" applyBorder="1" applyAlignment="1">
      <alignment wrapText="1"/>
    </xf>
    <xf numFmtId="0" fontId="92" fillId="43" borderId="114" xfId="0" applyFont="1" applyFill="1" applyBorder="1" applyAlignment="1">
      <alignment horizontal="center" vertical="center" wrapText="1"/>
    </xf>
    <xf numFmtId="0" fontId="93" fillId="43" borderId="113" xfId="0" applyFont="1" applyFill="1" applyBorder="1" applyAlignment="1">
      <alignment wrapText="1"/>
    </xf>
    <xf numFmtId="0" fontId="34" fillId="24" borderId="15" xfId="0" applyFont="1" applyFill="1" applyBorder="1" applyAlignment="1">
      <alignment horizontal="left" vertical="center" wrapText="1"/>
    </xf>
    <xf numFmtId="0" fontId="66" fillId="26" borderId="0" xfId="0" applyFont="1" applyFill="1" applyAlignment="1">
      <alignment horizontal="left" wrapText="1"/>
    </xf>
    <xf numFmtId="0" fontId="69" fillId="24" borderId="0" xfId="0" applyFont="1" applyFill="1" applyAlignment="1">
      <alignment horizontal="left" vertical="center" wrapText="1"/>
    </xf>
    <xf numFmtId="0" fontId="69" fillId="24" borderId="101" xfId="0" applyFont="1" applyFill="1" applyBorder="1" applyAlignment="1">
      <alignment horizontal="left" vertical="center" wrapText="1"/>
    </xf>
    <xf numFmtId="0" fontId="66" fillId="26" borderId="0" xfId="0" applyFont="1" applyFill="1" applyAlignment="1">
      <alignment horizontal="left" vertical="top" wrapText="1"/>
    </xf>
    <xf numFmtId="0" fontId="66" fillId="26" borderId="0" xfId="0" applyFont="1" applyFill="1" applyAlignment="1">
      <alignment horizontal="left" vertical="center" wrapText="1"/>
    </xf>
    <xf numFmtId="0" fontId="50" fillId="0" borderId="26" xfId="0" applyFont="1" applyBorder="1" applyAlignment="1">
      <alignment horizontal="center"/>
    </xf>
    <xf numFmtId="0" fontId="50" fillId="0" borderId="14" xfId="0" applyFont="1" applyBorder="1" applyAlignment="1">
      <alignment horizontal="center"/>
    </xf>
    <xf numFmtId="0" fontId="59" fillId="0" borderId="15" xfId="0" applyFont="1" applyBorder="1" applyAlignment="1">
      <alignment horizontal="center" vertical="center" wrapText="1"/>
    </xf>
    <xf numFmtId="0" fontId="8" fillId="26" borderId="0" xfId="0" applyFont="1" applyFill="1" applyAlignment="1">
      <alignment horizontal="left" vertical="top" wrapText="1"/>
    </xf>
    <xf numFmtId="0" fontId="36" fillId="0" borderId="15" xfId="0" applyFont="1" applyBorder="1" applyAlignment="1">
      <alignment horizontal="center"/>
    </xf>
    <xf numFmtId="0" fontId="32" fillId="24" borderId="126" xfId="0" applyFont="1" applyFill="1" applyBorder="1" applyAlignment="1">
      <alignment horizontal="center" wrapText="1"/>
    </xf>
    <xf numFmtId="0" fontId="4" fillId="0" borderId="16"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14" xfId="0" applyFont="1" applyBorder="1" applyAlignment="1">
      <alignment horizontal="center" vertical="center" wrapText="1"/>
    </xf>
    <xf numFmtId="0" fontId="66" fillId="24" borderId="0" xfId="0" applyFont="1" applyFill="1" applyAlignment="1">
      <alignment horizontal="left" vertical="top" wrapText="1"/>
    </xf>
    <xf numFmtId="0" fontId="4" fillId="0" borderId="15" xfId="0" applyFont="1" applyBorder="1" applyAlignment="1">
      <alignment horizontal="left" vertical="center" wrapText="1"/>
    </xf>
    <xf numFmtId="0" fontId="4" fillId="24" borderId="15" xfId="0" applyFont="1" applyFill="1" applyBorder="1" applyAlignment="1">
      <alignment horizontal="left" vertical="center" wrapText="1"/>
    </xf>
    <xf numFmtId="0" fontId="98" fillId="26" borderId="0" xfId="0" applyFont="1" applyFill="1" applyAlignment="1">
      <alignment horizontal="left" vertical="top" wrapText="1"/>
    </xf>
    <xf numFmtId="0" fontId="54" fillId="24" borderId="63" xfId="0" applyFont="1" applyFill="1" applyBorder="1" applyAlignment="1">
      <alignment horizontal="center"/>
    </xf>
    <xf numFmtId="0" fontId="54" fillId="24" borderId="101" xfId="0" applyFont="1" applyFill="1" applyBorder="1" applyAlignment="1">
      <alignment horizontal="center"/>
    </xf>
    <xf numFmtId="0" fontId="54" fillId="24" borderId="64" xfId="0" applyFont="1" applyFill="1" applyBorder="1" applyAlignment="1">
      <alignment horizontal="center"/>
    </xf>
    <xf numFmtId="0" fontId="36" fillId="0" borderId="0" xfId="0" applyFont="1" applyAlignment="1">
      <alignment horizontal="center" wrapText="1"/>
    </xf>
    <xf numFmtId="0" fontId="36" fillId="0" borderId="101" xfId="0" applyFont="1" applyBorder="1" applyAlignment="1">
      <alignment horizontal="center" wrapText="1"/>
    </xf>
    <xf numFmtId="0" fontId="6" fillId="26" borderId="0" xfId="0" applyFont="1" applyFill="1" applyAlignment="1">
      <alignment horizontal="left" vertical="top" wrapText="1"/>
    </xf>
    <xf numFmtId="0" fontId="32" fillId="24" borderId="0" xfId="0" applyFont="1" applyFill="1" applyAlignment="1">
      <alignment horizontal="left" vertical="center" wrapText="1"/>
    </xf>
    <xf numFmtId="0" fontId="32" fillId="24" borderId="101" xfId="0" applyFont="1" applyFill="1" applyBorder="1" applyAlignment="1">
      <alignment horizontal="left" vertical="center" wrapText="1"/>
    </xf>
    <xf numFmtId="0" fontId="34" fillId="0" borderId="14" xfId="0" applyFont="1" applyBorder="1" applyAlignment="1">
      <alignment horizontal="left" vertical="center" wrapText="1"/>
    </xf>
    <xf numFmtId="0" fontId="34" fillId="24" borderId="18" xfId="0" applyFont="1" applyFill="1" applyBorder="1" applyAlignment="1">
      <alignment horizontal="left" vertical="center" wrapText="1"/>
    </xf>
    <xf numFmtId="0" fontId="34" fillId="24" borderId="26" xfId="0" applyFont="1" applyFill="1" applyBorder="1" applyAlignment="1">
      <alignment horizontal="left" vertical="center" wrapText="1"/>
    </xf>
    <xf numFmtId="0" fontId="34" fillId="24" borderId="14" xfId="0" applyFont="1" applyFill="1" applyBorder="1" applyAlignment="1">
      <alignment horizontal="left" vertical="center" wrapText="1"/>
    </xf>
    <xf numFmtId="0" fontId="50" fillId="0" borderId="0" xfId="0" applyFont="1" applyAlignment="1">
      <alignment horizontal="left" vertical="center" wrapText="1"/>
    </xf>
    <xf numFmtId="0" fontId="8" fillId="26" borderId="0" xfId="0" applyFont="1" applyFill="1" applyAlignment="1">
      <alignment horizontal="center" vertical="center" wrapText="1"/>
    </xf>
    <xf numFmtId="0" fontId="0" fillId="26" borderId="0" xfId="0" applyFill="1" applyAlignment="1">
      <alignment horizontal="center" vertical="center" wrapText="1"/>
    </xf>
    <xf numFmtId="0" fontId="81" fillId="26" borderId="0" xfId="0" applyFont="1" applyFill="1" applyAlignment="1">
      <alignment horizontal="left" vertical="top" wrapText="1"/>
    </xf>
    <xf numFmtId="0" fontId="66" fillId="24" borderId="0" xfId="0" applyFont="1" applyFill="1" applyAlignment="1">
      <alignment horizontal="left" vertical="center" wrapText="1"/>
    </xf>
    <xf numFmtId="0" fontId="68" fillId="26" borderId="0" xfId="0" applyFont="1" applyFill="1" applyAlignment="1">
      <alignment horizontal="left" vertical="center" wrapText="1"/>
    </xf>
    <xf numFmtId="0" fontId="68" fillId="26" borderId="78" xfId="0" applyFont="1" applyFill="1" applyBorder="1" applyAlignment="1">
      <alignment horizontal="left" vertical="center" wrapText="1"/>
    </xf>
    <xf numFmtId="0" fontId="33" fillId="60" borderId="18" xfId="0" quotePrefix="1" applyFont="1" applyFill="1" applyBorder="1" applyAlignment="1">
      <alignment horizontal="center" vertical="center" wrapText="1"/>
    </xf>
    <xf numFmtId="0" fontId="33" fillId="60" borderId="14" xfId="0" applyFont="1" applyFill="1" applyBorder="1" applyAlignment="1">
      <alignment horizontal="center" vertical="center" wrapText="1"/>
    </xf>
    <xf numFmtId="0" fontId="33" fillId="32" borderId="20" xfId="0" applyFont="1" applyFill="1" applyBorder="1" applyAlignment="1">
      <alignment horizontal="center" vertical="center" wrapText="1"/>
    </xf>
    <xf numFmtId="0" fontId="33" fillId="32" borderId="26" xfId="0" applyFont="1" applyFill="1" applyBorder="1" applyAlignment="1">
      <alignment horizontal="center" vertical="center" wrapText="1"/>
    </xf>
    <xf numFmtId="0" fontId="33" fillId="32" borderId="32" xfId="0" applyFont="1" applyFill="1" applyBorder="1" applyAlignment="1">
      <alignment horizontal="center" vertical="center" wrapText="1"/>
    </xf>
    <xf numFmtId="0" fontId="99" fillId="26" borderId="0" xfId="0" applyFont="1" applyFill="1" applyAlignment="1">
      <alignment horizontal="left" vertical="top" wrapText="1"/>
    </xf>
    <xf numFmtId="0" fontId="33" fillId="28" borderId="26" xfId="0" applyFont="1" applyFill="1" applyBorder="1" applyAlignment="1">
      <alignment horizontal="center" vertical="center" wrapText="1"/>
    </xf>
    <xf numFmtId="0" fontId="33" fillId="28" borderId="32" xfId="0" applyFont="1" applyFill="1" applyBorder="1" applyAlignment="1">
      <alignment horizontal="center" vertical="center" wrapText="1"/>
    </xf>
    <xf numFmtId="0" fontId="68" fillId="26" borderId="0" xfId="0" applyFont="1" applyFill="1" applyAlignment="1">
      <alignment horizontal="left" wrapText="1"/>
    </xf>
    <xf numFmtId="0" fontId="68" fillId="26" borderId="78" xfId="0" applyFont="1" applyFill="1" applyBorder="1" applyAlignment="1">
      <alignment horizontal="left" wrapText="1"/>
    </xf>
    <xf numFmtId="9" fontId="34" fillId="0" borderId="18" xfId="0" applyNumberFormat="1" applyFont="1" applyBorder="1" applyAlignment="1">
      <alignment horizontal="center" vertical="center"/>
    </xf>
    <xf numFmtId="9" fontId="34" fillId="0" borderId="14" xfId="0" applyNumberFormat="1" applyFont="1" applyBorder="1" applyAlignment="1">
      <alignment horizontal="center" vertical="center"/>
    </xf>
    <xf numFmtId="9" fontId="80" fillId="33" borderId="18" xfId="0" applyNumberFormat="1" applyFont="1" applyFill="1" applyBorder="1" applyAlignment="1">
      <alignment horizontal="center" vertical="center"/>
    </xf>
    <xf numFmtId="9" fontId="80" fillId="33" borderId="14" xfId="0" applyNumberFormat="1" applyFont="1" applyFill="1" applyBorder="1" applyAlignment="1">
      <alignment horizontal="center" vertical="center"/>
    </xf>
    <xf numFmtId="9" fontId="34" fillId="29" borderId="18" xfId="0" applyNumberFormat="1" applyFont="1" applyFill="1" applyBorder="1" applyAlignment="1">
      <alignment horizontal="center" vertical="center"/>
    </xf>
    <xf numFmtId="9" fontId="34" fillId="29" borderId="14" xfId="0" applyNumberFormat="1" applyFont="1" applyFill="1" applyBorder="1" applyAlignment="1">
      <alignment horizontal="center" vertical="center"/>
    </xf>
    <xf numFmtId="0" fontId="59" fillId="0" borderId="16" xfId="0" applyFont="1" applyBorder="1" applyAlignment="1">
      <alignment horizontal="center" vertical="center" wrapText="1"/>
    </xf>
    <xf numFmtId="0" fontId="59" fillId="0" borderId="12" xfId="0" applyFont="1" applyBorder="1" applyAlignment="1">
      <alignment horizontal="center" vertical="center" wrapText="1"/>
    </xf>
    <xf numFmtId="0" fontId="49" fillId="0" borderId="22" xfId="0" applyFont="1" applyBorder="1" applyAlignment="1">
      <alignment horizontal="center" vertical="center"/>
    </xf>
    <xf numFmtId="0" fontId="49" fillId="0" borderId="15" xfId="0" applyFont="1" applyBorder="1" applyAlignment="1">
      <alignment horizontal="center" vertical="center"/>
    </xf>
    <xf numFmtId="0" fontId="49" fillId="0" borderId="21" xfId="0" applyFont="1" applyBorder="1" applyAlignment="1">
      <alignment horizontal="center" vertical="center"/>
    </xf>
    <xf numFmtId="0" fontId="59" fillId="0" borderId="50" xfId="0" applyFont="1" applyBorder="1" applyAlignment="1">
      <alignment horizontal="center" vertical="center" wrapText="1"/>
    </xf>
    <xf numFmtId="0" fontId="60" fillId="0" borderId="22" xfId="0" applyFont="1" applyBorder="1" applyAlignment="1">
      <alignment horizontal="center" vertical="center"/>
    </xf>
    <xf numFmtId="0" fontId="60" fillId="0" borderId="21" xfId="0" applyFont="1" applyBorder="1" applyAlignment="1">
      <alignment horizontal="center" vertical="center"/>
    </xf>
    <xf numFmtId="0" fontId="32" fillId="0" borderId="135" xfId="0" applyFont="1" applyBorder="1" applyAlignment="1">
      <alignment horizontal="center" wrapText="1"/>
    </xf>
    <xf numFmtId="0" fontId="31" fillId="24" borderId="0" xfId="0" applyFont="1" applyFill="1" applyAlignment="1">
      <alignment horizontal="left" vertical="top" wrapText="1"/>
    </xf>
    <xf numFmtId="0" fontId="33" fillId="28" borderId="132" xfId="0" applyFont="1" applyFill="1" applyBorder="1" applyAlignment="1">
      <alignment horizontal="center" vertical="top"/>
    </xf>
    <xf numFmtId="0" fontId="33" fillId="24" borderId="131" xfId="0" applyFont="1" applyFill="1" applyBorder="1" applyAlignment="1">
      <alignment horizontal="center" wrapText="1"/>
    </xf>
    <xf numFmtId="0" fontId="0" fillId="0" borderId="135" xfId="0" applyBorder="1"/>
    <xf numFmtId="0" fontId="0" fillId="0" borderId="137" xfId="0" applyBorder="1"/>
    <xf numFmtId="0" fontId="34" fillId="28" borderId="132" xfId="0" applyFont="1" applyFill="1" applyBorder="1" applyAlignment="1">
      <alignment horizontal="center" vertical="center" wrapText="1"/>
    </xf>
    <xf numFmtId="0" fontId="34" fillId="28" borderId="138" xfId="0" applyFont="1" applyFill="1" applyBorder="1" applyAlignment="1">
      <alignment horizontal="center" vertical="center" wrapText="1"/>
    </xf>
    <xf numFmtId="0" fontId="32" fillId="24" borderId="131" xfId="0" applyFont="1" applyFill="1" applyBorder="1" applyAlignment="1">
      <alignment horizontal="center" wrapText="1"/>
    </xf>
    <xf numFmtId="0" fontId="32" fillId="0" borderId="137" xfId="0" applyFont="1" applyBorder="1" applyAlignment="1">
      <alignment horizontal="center" wrapText="1"/>
    </xf>
    <xf numFmtId="0" fontId="68" fillId="24" borderId="136" xfId="0" applyFont="1" applyFill="1" applyBorder="1" applyAlignment="1">
      <alignment horizontal="left" vertical="center" wrapText="1"/>
    </xf>
    <xf numFmtId="0" fontId="32" fillId="24" borderId="135" xfId="0" applyFont="1" applyFill="1" applyBorder="1" applyAlignment="1">
      <alignment horizontal="center" wrapText="1"/>
    </xf>
    <xf numFmtId="0" fontId="60" fillId="0" borderId="15" xfId="0" applyFont="1" applyBorder="1" applyAlignment="1">
      <alignment horizontal="center" vertical="center"/>
    </xf>
    <xf numFmtId="0" fontId="52" fillId="0" borderId="24" xfId="0" applyFont="1" applyBorder="1" applyAlignment="1">
      <alignment horizontal="center" vertical="center" wrapText="1"/>
    </xf>
    <xf numFmtId="0" fontId="52" fillId="0" borderId="28" xfId="0" applyFont="1" applyBorder="1" applyAlignment="1">
      <alignment horizontal="center" vertical="center" wrapText="1"/>
    </xf>
    <xf numFmtId="0" fontId="52" fillId="0" borderId="29" xfId="0" applyFont="1" applyBorder="1" applyAlignment="1">
      <alignment horizontal="center" vertical="center" wrapText="1"/>
    </xf>
    <xf numFmtId="0" fontId="52" fillId="0" borderId="23"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31" xfId="0" applyFont="1" applyBorder="1" applyAlignment="1">
      <alignment horizontal="center" vertical="center" wrapText="1"/>
    </xf>
    <xf numFmtId="0" fontId="33" fillId="24" borderId="18" xfId="0" applyFont="1" applyFill="1" applyBorder="1" applyAlignment="1">
      <alignment horizontal="center" vertical="center" wrapText="1"/>
    </xf>
    <xf numFmtId="0" fontId="33" fillId="24" borderId="26" xfId="0" applyFont="1" applyFill="1" applyBorder="1" applyAlignment="1">
      <alignment horizontal="center" vertical="center" wrapText="1"/>
    </xf>
    <xf numFmtId="0" fontId="33" fillId="24" borderId="32" xfId="0" applyFont="1" applyFill="1" applyBorder="1" applyAlignment="1">
      <alignment horizontal="center" vertical="center" wrapText="1"/>
    </xf>
    <xf numFmtId="0" fontId="70" fillId="24" borderId="18" xfId="0" applyFont="1" applyFill="1" applyBorder="1" applyAlignment="1">
      <alignment horizontal="center"/>
    </xf>
    <xf numFmtId="0" fontId="70" fillId="24" borderId="26" xfId="0" applyFont="1" applyFill="1" applyBorder="1" applyAlignment="1">
      <alignment horizontal="center"/>
    </xf>
    <xf numFmtId="0" fontId="70" fillId="24" borderId="14" xfId="0" applyFont="1" applyFill="1" applyBorder="1" applyAlignment="1">
      <alignment horizontal="center"/>
    </xf>
    <xf numFmtId="0" fontId="33" fillId="28" borderId="19" xfId="0" applyFont="1" applyFill="1" applyBorder="1" applyAlignment="1">
      <alignment horizontal="center" vertical="center" wrapText="1"/>
    </xf>
    <xf numFmtId="0" fontId="33" fillId="28" borderId="133" xfId="0" applyFont="1" applyFill="1" applyBorder="1" applyAlignment="1">
      <alignment horizontal="center" vertical="center" wrapText="1"/>
    </xf>
    <xf numFmtId="0" fontId="33" fillId="26" borderId="23" xfId="0" applyFont="1" applyFill="1" applyBorder="1" applyAlignment="1">
      <alignment horizontal="center" vertical="center" wrapText="1"/>
    </xf>
    <xf numFmtId="0" fontId="33" fillId="26" borderId="30" xfId="0" applyFont="1" applyFill="1" applyBorder="1" applyAlignment="1">
      <alignment horizontal="center" vertical="center" wrapText="1"/>
    </xf>
    <xf numFmtId="0" fontId="33" fillId="26" borderId="139" xfId="0" applyFont="1" applyFill="1" applyBorder="1" applyAlignment="1">
      <alignment horizontal="center" vertical="center" wrapText="1"/>
    </xf>
    <xf numFmtId="0" fontId="33" fillId="28" borderId="59" xfId="0" applyFont="1" applyFill="1" applyBorder="1" applyAlignment="1">
      <alignment horizontal="center" vertical="center" wrapText="1"/>
    </xf>
    <xf numFmtId="0" fontId="33" fillId="28" borderId="62" xfId="0" applyFont="1" applyFill="1" applyBorder="1" applyAlignment="1">
      <alignment horizontal="center" vertical="center" wrapText="1"/>
    </xf>
    <xf numFmtId="0" fontId="33" fillId="28" borderId="64" xfId="0" applyFont="1" applyFill="1" applyBorder="1" applyAlignment="1">
      <alignment horizontal="center" vertical="center" wrapText="1"/>
    </xf>
    <xf numFmtId="0" fontId="33" fillId="28" borderId="64" xfId="0" applyFont="1" applyFill="1" applyBorder="1" applyAlignment="1">
      <alignment horizontal="center" vertical="top"/>
    </xf>
    <xf numFmtId="0" fontId="8" fillId="26" borderId="0" xfId="0" applyFont="1" applyFill="1" applyAlignment="1">
      <alignment horizontal="center" vertical="top" wrapText="1"/>
    </xf>
    <xf numFmtId="0" fontId="49" fillId="24" borderId="15" xfId="0" applyFont="1" applyFill="1" applyBorder="1" applyAlignment="1">
      <alignment horizontal="center"/>
    </xf>
    <xf numFmtId="0" fontId="49" fillId="0" borderId="15" xfId="0" applyFont="1" applyBorder="1" applyAlignment="1">
      <alignment horizontal="center" vertical="center" wrapText="1"/>
    </xf>
    <xf numFmtId="0" fontId="52" fillId="0" borderId="21" xfId="0" applyFont="1" applyBorder="1" applyAlignment="1">
      <alignment horizontal="center" vertical="center" wrapText="1"/>
    </xf>
    <xf numFmtId="0" fontId="52" fillId="0" borderId="22" xfId="0" applyFont="1" applyBorder="1" applyAlignment="1">
      <alignment horizontal="center" vertical="center" wrapText="1"/>
    </xf>
    <xf numFmtId="0" fontId="8" fillId="24" borderId="15" xfId="0" applyFont="1" applyFill="1" applyBorder="1" applyAlignment="1" applyProtection="1">
      <alignment horizontal="left" vertical="top" wrapText="1"/>
      <protection locked="0"/>
    </xf>
    <xf numFmtId="0" fontId="0" fillId="0" borderId="15" xfId="0" applyBorder="1" applyAlignment="1" applyProtection="1">
      <alignment wrapText="1"/>
      <protection locked="0"/>
    </xf>
    <xf numFmtId="0" fontId="8" fillId="28" borderId="60" xfId="0" applyFont="1" applyFill="1" applyBorder="1" applyAlignment="1">
      <alignment horizontal="center" vertical="center" wrapText="1"/>
    </xf>
    <xf numFmtId="0" fontId="8" fillId="28" borderId="59" xfId="0" applyFont="1" applyFill="1" applyBorder="1" applyAlignment="1">
      <alignment horizontal="center" vertical="center" wrapText="1"/>
    </xf>
    <xf numFmtId="0" fontId="8" fillId="28" borderId="61" xfId="0" applyFont="1" applyFill="1" applyBorder="1" applyAlignment="1">
      <alignment horizontal="center" vertical="center" wrapText="1"/>
    </xf>
    <xf numFmtId="0" fontId="8" fillId="28" borderId="62" xfId="0" applyFont="1" applyFill="1" applyBorder="1" applyAlignment="1">
      <alignment horizontal="center" vertical="center" wrapText="1"/>
    </xf>
    <xf numFmtId="0" fontId="8" fillId="28" borderId="64" xfId="0" applyFont="1" applyFill="1" applyBorder="1" applyAlignment="1">
      <alignment horizontal="center" vertical="center" wrapText="1"/>
    </xf>
    <xf numFmtId="0" fontId="8" fillId="28" borderId="23" xfId="0" applyFont="1" applyFill="1" applyBorder="1" applyAlignment="1">
      <alignment horizontal="center" vertical="center" wrapText="1"/>
    </xf>
    <xf numFmtId="0" fontId="8" fillId="28" borderId="30" xfId="0" applyFont="1" applyFill="1" applyBorder="1" applyAlignment="1">
      <alignment horizontal="center" vertical="center" wrapText="1"/>
    </xf>
    <xf numFmtId="0" fontId="8" fillId="28" borderId="31" xfId="0" applyFont="1" applyFill="1" applyBorder="1" applyAlignment="1">
      <alignment horizontal="center" vertical="center" wrapText="1"/>
    </xf>
    <xf numFmtId="0" fontId="4" fillId="24" borderId="0" xfId="0" applyFont="1" applyFill="1" applyAlignment="1">
      <alignment horizontal="left" vertical="center" wrapText="1"/>
    </xf>
    <xf numFmtId="0" fontId="4" fillId="24" borderId="48" xfId="0" applyFont="1" applyFill="1" applyBorder="1" applyAlignment="1">
      <alignment horizontal="left" vertical="center" wrapText="1"/>
    </xf>
    <xf numFmtId="0" fontId="6" fillId="0" borderId="15" xfId="0" applyFont="1" applyBorder="1" applyAlignment="1">
      <alignment horizontal="center" vertical="center" wrapText="1"/>
    </xf>
    <xf numFmtId="0" fontId="6" fillId="0" borderId="21"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6" xfId="0" applyFont="1" applyBorder="1" applyAlignment="1">
      <alignment horizontal="center" vertical="center" wrapText="1"/>
    </xf>
    <xf numFmtId="0" fontId="8" fillId="28" borderId="27" xfId="0" applyFont="1" applyFill="1" applyBorder="1" applyAlignment="1">
      <alignment horizontal="center" vertical="center" wrapText="1"/>
    </xf>
    <xf numFmtId="0" fontId="8" fillId="28" borderId="103" xfId="0" applyFont="1" applyFill="1" applyBorder="1" applyAlignment="1">
      <alignment horizontal="center" vertical="center" wrapText="1"/>
    </xf>
    <xf numFmtId="0" fontId="8" fillId="28" borderId="34" xfId="0" applyFont="1" applyFill="1" applyBorder="1" applyAlignment="1">
      <alignment horizontal="center" vertical="center" wrapText="1"/>
    </xf>
    <xf numFmtId="0" fontId="8" fillId="28" borderId="17" xfId="0" applyFont="1" applyFill="1" applyBorder="1" applyAlignment="1">
      <alignment horizontal="center" wrapText="1"/>
    </xf>
    <xf numFmtId="0" fontId="8" fillId="28" borderId="10" xfId="0" applyFont="1" applyFill="1" applyBorder="1" applyAlignment="1">
      <alignment horizontal="center" wrapText="1"/>
    </xf>
    <xf numFmtId="0" fontId="8" fillId="28" borderId="13" xfId="0" applyFont="1" applyFill="1" applyBorder="1" applyAlignment="1">
      <alignment horizontal="center" vertical="top"/>
    </xf>
    <xf numFmtId="0" fontId="8" fillId="28" borderId="48" xfId="0" applyFont="1" applyFill="1" applyBorder="1" applyAlignment="1">
      <alignment horizontal="center" vertical="top"/>
    </xf>
    <xf numFmtId="0" fontId="8" fillId="24" borderId="18" xfId="0" applyFont="1" applyFill="1" applyBorder="1" applyAlignment="1" applyProtection="1">
      <alignment horizontal="left" vertical="top" wrapText="1"/>
      <protection locked="0"/>
    </xf>
    <xf numFmtId="0" fontId="0" fillId="0" borderId="26" xfId="0" applyBorder="1" applyAlignment="1" applyProtection="1">
      <alignment wrapText="1"/>
      <protection locked="0"/>
    </xf>
    <xf numFmtId="0" fontId="0" fillId="0" borderId="14" xfId="0" applyBorder="1" applyAlignment="1" applyProtection="1">
      <alignment wrapText="1"/>
      <protection locked="0"/>
    </xf>
    <xf numFmtId="0" fontId="4" fillId="0" borderId="17"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22" xfId="0" applyFont="1" applyBorder="1" applyAlignment="1">
      <alignment horizontal="center" vertical="center"/>
    </xf>
    <xf numFmtId="0" fontId="4" fillId="0" borderId="21" xfId="0" applyFont="1" applyBorder="1" applyAlignment="1">
      <alignment horizontal="center" vertical="center"/>
    </xf>
    <xf numFmtId="0" fontId="50" fillId="0" borderId="26" xfId="0" applyFont="1" applyBorder="1" applyAlignment="1">
      <alignment horizontal="center" vertical="center"/>
    </xf>
    <xf numFmtId="0" fontId="50"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8" xfId="0" applyFont="1" applyBorder="1" applyAlignment="1">
      <alignment horizontal="center"/>
    </xf>
    <xf numFmtId="0" fontId="4" fillId="0" borderId="26" xfId="0" applyFont="1" applyBorder="1" applyAlignment="1">
      <alignment horizontal="center"/>
    </xf>
    <xf numFmtId="0" fontId="4" fillId="0" borderId="14" xfId="0" applyFont="1" applyBorder="1" applyAlignment="1">
      <alignment horizontal="center"/>
    </xf>
    <xf numFmtId="0" fontId="49" fillId="0" borderId="20" xfId="0" applyFont="1" applyBorder="1" applyAlignment="1">
      <alignment horizontal="center" vertical="center"/>
    </xf>
    <xf numFmtId="0" fontId="49" fillId="0" borderId="26" xfId="0" applyFont="1" applyBorder="1" applyAlignment="1">
      <alignment horizontal="center" vertical="center"/>
    </xf>
    <xf numFmtId="0" fontId="49" fillId="0" borderId="32" xfId="0" applyFont="1" applyBorder="1" applyAlignment="1">
      <alignment horizontal="center" vertical="center"/>
    </xf>
    <xf numFmtId="0" fontId="49" fillId="0" borderId="61" xfId="0" applyFont="1" applyBorder="1" applyAlignment="1">
      <alignment horizontal="center" vertical="center"/>
    </xf>
    <xf numFmtId="0" fontId="49" fillId="0" borderId="0" xfId="0" applyFont="1" applyAlignment="1">
      <alignment horizontal="center" vertical="center"/>
    </xf>
    <xf numFmtId="0" fontId="32" fillId="0" borderId="0" xfId="0" applyFont="1" applyAlignment="1">
      <alignment horizontal="left" vertical="center" wrapText="1"/>
    </xf>
    <xf numFmtId="0" fontId="82" fillId="24" borderId="36" xfId="0" applyFont="1" applyFill="1" applyBorder="1" applyAlignment="1">
      <alignment horizontal="left" vertical="center" wrapText="1"/>
    </xf>
    <xf numFmtId="0" fontId="82" fillId="24" borderId="0" xfId="0" applyFont="1" applyFill="1" applyAlignment="1">
      <alignment horizontal="left" vertical="center" wrapText="1"/>
    </xf>
    <xf numFmtId="0" fontId="82" fillId="24" borderId="82" xfId="0" applyFont="1" applyFill="1" applyBorder="1" applyAlignment="1">
      <alignment horizontal="left" vertical="center" wrapText="1"/>
    </xf>
    <xf numFmtId="0" fontId="33" fillId="0" borderId="15" xfId="0" applyFont="1" applyBorder="1" applyAlignment="1">
      <alignment horizontal="center" vertical="center" wrapText="1"/>
    </xf>
    <xf numFmtId="0" fontId="33" fillId="0" borderId="21" xfId="0" applyFont="1" applyBorder="1" applyAlignment="1">
      <alignment horizontal="center" vertical="center" wrapText="1"/>
    </xf>
    <xf numFmtId="0" fontId="34" fillId="28" borderId="27" xfId="0" applyFont="1" applyFill="1" applyBorder="1" applyAlignment="1">
      <alignment horizontal="center" vertical="center" wrapText="1"/>
    </xf>
    <xf numFmtId="0" fontId="34" fillId="28" borderId="103" xfId="0" applyFont="1" applyFill="1" applyBorder="1" applyAlignment="1">
      <alignment horizontal="center" vertical="center" wrapText="1"/>
    </xf>
    <xf numFmtId="0" fontId="34" fillId="28" borderId="34" xfId="0" applyFont="1" applyFill="1" applyBorder="1" applyAlignment="1">
      <alignment horizontal="center" vertical="center" wrapText="1"/>
    </xf>
    <xf numFmtId="0" fontId="33" fillId="0" borderId="18" xfId="0" applyFont="1" applyBorder="1" applyAlignment="1">
      <alignment horizontal="center" vertical="center" wrapText="1"/>
    </xf>
    <xf numFmtId="0" fontId="33" fillId="0" borderId="26" xfId="0" applyFont="1" applyBorder="1" applyAlignment="1">
      <alignment horizontal="center" vertical="center" wrapText="1"/>
    </xf>
    <xf numFmtId="0" fontId="33" fillId="28" borderId="17" xfId="0" applyFont="1" applyFill="1" applyBorder="1" applyAlignment="1">
      <alignment horizontal="center" vertical="center" wrapText="1"/>
    </xf>
    <xf numFmtId="0" fontId="33" fillId="28" borderId="58" xfId="0" applyFont="1" applyFill="1" applyBorder="1" applyAlignment="1">
      <alignment horizontal="center" vertical="center" wrapText="1"/>
    </xf>
    <xf numFmtId="0" fontId="33" fillId="28" borderId="16" xfId="0" applyFont="1" applyFill="1" applyBorder="1" applyAlignment="1">
      <alignment horizontal="center" vertical="center" wrapText="1"/>
    </xf>
    <xf numFmtId="0" fontId="33" fillId="28" borderId="50" xfId="0" applyFont="1" applyFill="1" applyBorder="1" applyAlignment="1">
      <alignment horizontal="center" vertical="center" wrapText="1"/>
    </xf>
    <xf numFmtId="0" fontId="33" fillId="28" borderId="132" xfId="0" applyFont="1" applyFill="1" applyBorder="1" applyAlignment="1">
      <alignment horizontal="center" vertical="center" wrapText="1"/>
    </xf>
    <xf numFmtId="0" fontId="33" fillId="28" borderId="138" xfId="0" applyFont="1" applyFill="1" applyBorder="1" applyAlignment="1">
      <alignment horizontal="center" vertical="center" wrapText="1"/>
    </xf>
    <xf numFmtId="0" fontId="33" fillId="28" borderId="23" xfId="0" applyFont="1" applyFill="1" applyBorder="1" applyAlignment="1">
      <alignment horizontal="center" vertical="center" wrapText="1"/>
    </xf>
    <xf numFmtId="0" fontId="33" fillId="28" borderId="30" xfId="0" applyFont="1" applyFill="1" applyBorder="1" applyAlignment="1">
      <alignment horizontal="center" vertical="center" wrapText="1"/>
    </xf>
    <xf numFmtId="0" fontId="82" fillId="24" borderId="36" xfId="0" applyFont="1" applyFill="1" applyBorder="1" applyAlignment="1">
      <alignment horizontal="left" vertical="center"/>
    </xf>
    <xf numFmtId="0" fontId="82" fillId="24" borderId="0" xfId="0" applyFont="1" applyFill="1" applyAlignment="1">
      <alignment horizontal="left" vertical="center"/>
    </xf>
    <xf numFmtId="0" fontId="82" fillId="24" borderId="135" xfId="0" applyFont="1" applyFill="1" applyBorder="1" applyAlignment="1">
      <alignment horizontal="left" vertical="center"/>
    </xf>
    <xf numFmtId="0" fontId="83" fillId="28" borderId="23" xfId="0" applyFont="1" applyFill="1" applyBorder="1" applyAlignment="1">
      <alignment horizontal="center" wrapText="1"/>
    </xf>
    <xf numFmtId="0" fontId="83" fillId="28" borderId="30" xfId="0" applyFont="1" applyFill="1" applyBorder="1" applyAlignment="1">
      <alignment horizontal="center" wrapText="1"/>
    </xf>
    <xf numFmtId="0" fontId="83" fillId="28" borderId="16" xfId="0" applyFont="1" applyFill="1" applyBorder="1" applyAlignment="1">
      <alignment horizontal="center" wrapText="1"/>
    </xf>
    <xf numFmtId="0" fontId="83" fillId="28" borderId="50" xfId="0" applyFont="1" applyFill="1" applyBorder="1" applyAlignment="1">
      <alignment horizontal="center" wrapText="1"/>
    </xf>
    <xf numFmtId="0" fontId="33" fillId="28" borderId="125" xfId="0" applyFont="1" applyFill="1" applyBorder="1" applyAlignment="1">
      <alignment horizontal="center" vertical="top" wrapText="1"/>
    </xf>
    <xf numFmtId="0" fontId="33" fillId="28" borderId="127" xfId="0" applyFont="1" applyFill="1" applyBorder="1" applyAlignment="1">
      <alignment horizontal="center" vertical="top" wrapText="1"/>
    </xf>
    <xf numFmtId="0" fontId="4" fillId="26" borderId="0" xfId="0" applyFont="1" applyFill="1" applyAlignment="1">
      <alignment horizontal="left" vertical="center" wrapText="1" indent="1"/>
    </xf>
    <xf numFmtId="0" fontId="4" fillId="26" borderId="0" xfId="0" applyFont="1" applyFill="1" applyAlignment="1">
      <alignment horizontal="left" vertical="center" indent="1"/>
    </xf>
  </cellXfs>
  <cellStyles count="5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ustomBuiltin="1"/>
    <cellStyle name="Hyperlink 2" xfId="54" xr:uid="{A609FA07-3D0D-4FBC-BA0A-940DD6DE3C7E}"/>
    <cellStyle name="Hyperlink 2 2" xfId="55" xr:uid="{3EE2984B-7922-4B20-B76D-6BC4C548D08D}"/>
    <cellStyle name="Input" xfId="35" builtinId="20" customBuiltin="1"/>
    <cellStyle name="Linked Cell" xfId="36" builtinId="24" customBuiltin="1"/>
    <cellStyle name="Neutral" xfId="37" builtinId="28" customBuiltin="1"/>
    <cellStyle name="Normal" xfId="0" builtinId="0"/>
    <cellStyle name="Normal 11" xfId="48" xr:uid="{00000000-0005-0000-0000-000026000000}"/>
    <cellStyle name="Normal 2" xfId="38" xr:uid="{00000000-0005-0000-0000-000027000000}"/>
    <cellStyle name="Normal 2 2 2" xfId="47" xr:uid="{00000000-0005-0000-0000-000028000000}"/>
    <cellStyle name="Normal 2 3" xfId="46" xr:uid="{00000000-0005-0000-0000-000029000000}"/>
    <cellStyle name="Normal 3" xfId="49" xr:uid="{00000000-0005-0000-0000-00002A000000}"/>
    <cellStyle name="Normal 3 2" xfId="50" xr:uid="{00000000-0005-0000-0000-00002B000000}"/>
    <cellStyle name="Normal 4" xfId="51" xr:uid="{00000000-0005-0000-0000-00002C000000}"/>
    <cellStyle name="Normal 5" xfId="52" xr:uid="{00000000-0005-0000-0000-00002D000000}"/>
    <cellStyle name="Note" xfId="39" builtinId="10" customBuiltin="1"/>
    <cellStyle name="Output" xfId="40" builtinId="21" customBuiltin="1"/>
    <cellStyle name="Title" xfId="41" builtinId="15" customBuiltin="1"/>
    <cellStyle name="Total" xfId="42" builtinId="25" customBuiltin="1"/>
    <cellStyle name="u" xfId="43" xr:uid="{00000000-0005-0000-0000-000032000000}"/>
    <cellStyle name="u 2" xfId="53" xr:uid="{00000000-0005-0000-0000-000033000000}"/>
    <cellStyle name="Undefined" xfId="44" xr:uid="{00000000-0005-0000-0000-000034000000}"/>
    <cellStyle name="Warning Text" xfId="45" builtinId="11" customBuiltin="1"/>
  </cellStyles>
  <dxfs count="681">
    <dxf>
      <fill>
        <patternFill>
          <bgColor rgb="FF66FF99"/>
        </patternFill>
      </fill>
    </dxf>
    <dxf>
      <fill>
        <patternFill>
          <bgColor rgb="FF66FF99"/>
        </patternFill>
      </fill>
    </dxf>
    <dxf>
      <fill>
        <patternFill>
          <bgColor rgb="FF66FF99"/>
        </patternFill>
      </fill>
    </dxf>
    <dxf>
      <font>
        <condense val="0"/>
        <extend val="0"/>
        <color indexed="9"/>
      </font>
    </dxf>
    <dxf>
      <font>
        <color theme="9" tint="0.59996337778862885"/>
      </font>
    </dxf>
    <dxf>
      <fill>
        <patternFill>
          <bgColor rgb="FF66FF99"/>
        </patternFill>
      </fill>
    </dxf>
    <dxf>
      <font>
        <color theme="5" tint="0.39994506668294322"/>
      </font>
    </dxf>
    <dxf>
      <font>
        <color theme="0"/>
      </font>
    </dxf>
    <dxf>
      <font>
        <color theme="5" tint="0.39994506668294322"/>
      </font>
    </dxf>
    <dxf>
      <font>
        <color theme="9" tint="0.79998168889431442"/>
      </font>
    </dxf>
    <dxf>
      <font>
        <color theme="9" tint="0.59996337778862885"/>
      </font>
    </dxf>
    <dxf>
      <font>
        <color theme="9" tint="0.79998168889431442"/>
      </font>
    </dxf>
    <dxf>
      <font>
        <color theme="1" tint="0.24994659260841701"/>
      </font>
    </dxf>
    <dxf>
      <font>
        <color theme="0"/>
      </font>
    </dxf>
    <dxf>
      <font>
        <color theme="5" tint="0.39994506668294322"/>
      </font>
    </dxf>
    <dxf>
      <font>
        <color theme="9" tint="0.79998168889431442"/>
      </font>
    </dxf>
    <dxf>
      <font>
        <color theme="9" tint="0.79998168889431442"/>
      </font>
    </dxf>
    <dxf>
      <font>
        <color theme="9" tint="0.59996337778862885"/>
      </font>
    </dxf>
    <dxf>
      <font>
        <color theme="9" tint="0.59996337778862885"/>
      </font>
    </dxf>
    <dxf>
      <font>
        <color theme="0"/>
      </font>
    </dxf>
    <dxf>
      <fill>
        <patternFill>
          <bgColor rgb="FF66FF99"/>
        </patternFill>
      </fill>
    </dxf>
    <dxf>
      <fill>
        <patternFill>
          <bgColor rgb="FF66FF99"/>
        </patternFill>
      </fill>
    </dxf>
    <dxf>
      <font>
        <color theme="0"/>
      </font>
    </dxf>
    <dxf>
      <font>
        <color theme="0"/>
      </font>
    </dxf>
    <dxf>
      <font>
        <color theme="0"/>
      </font>
    </dxf>
    <dxf>
      <font>
        <color theme="0"/>
      </font>
    </dxf>
    <dxf>
      <font>
        <color theme="0"/>
      </font>
    </dxf>
    <dxf>
      <font>
        <color theme="0"/>
      </font>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ont>
        <color theme="9" tint="0.79998168889431442"/>
      </font>
    </dxf>
    <dxf>
      <font>
        <color theme="9" tint="0.59996337778862885"/>
      </font>
    </dxf>
    <dxf>
      <font>
        <color theme="0"/>
      </font>
    </dxf>
    <dxf>
      <font>
        <color theme="9" tint="0.59996337778862885"/>
      </font>
    </dxf>
    <dxf>
      <font>
        <color theme="1" tint="0.24994659260841701"/>
      </font>
    </dxf>
    <dxf>
      <font>
        <color theme="5" tint="0.39994506668294322"/>
      </font>
    </dxf>
    <dxf>
      <font>
        <color theme="9" tint="0.79998168889431442"/>
      </font>
    </dxf>
    <dxf>
      <font>
        <color theme="9" tint="0.59996337778862885"/>
      </font>
    </dxf>
    <dxf>
      <font>
        <color theme="9" tint="0.79998168889431442"/>
      </font>
    </dxf>
    <dxf>
      <font>
        <color theme="0"/>
      </font>
    </dxf>
    <dxf>
      <font>
        <color theme="1" tint="0.24994659260841701"/>
      </font>
    </dxf>
    <dxf>
      <font>
        <color theme="9" tint="0.79998168889431442"/>
      </font>
    </dxf>
    <dxf>
      <font>
        <color theme="9" tint="0.59996337778862885"/>
      </font>
    </dxf>
    <dxf>
      <font>
        <color theme="1" tint="0.24994659260841701"/>
      </font>
    </dxf>
    <dxf>
      <font>
        <color theme="9" tint="0.79998168889431442"/>
      </font>
    </dxf>
    <dxf>
      <font>
        <color theme="9" tint="0.59996337778862885"/>
      </font>
    </dxf>
    <dxf>
      <font>
        <color theme="9" tint="0.79998168889431442"/>
      </font>
    </dxf>
    <dxf>
      <font>
        <color theme="9" tint="0.59996337778862885"/>
      </font>
    </dxf>
    <dxf>
      <font>
        <color theme="5" tint="0.39994506668294322"/>
      </font>
    </dxf>
    <dxf>
      <font>
        <color theme="5" tint="0.39994506668294322"/>
      </font>
    </dxf>
    <dxf>
      <fill>
        <patternFill>
          <bgColor rgb="FF66FF99"/>
        </patternFill>
      </fill>
    </dxf>
    <dxf>
      <font>
        <color theme="0"/>
      </font>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ndense val="0"/>
        <extend val="0"/>
        <color indexed="9"/>
      </font>
    </dxf>
    <dxf>
      <fill>
        <patternFill>
          <bgColor rgb="FF66FF99"/>
        </patternFill>
      </fill>
    </dxf>
    <dxf>
      <fill>
        <patternFill>
          <bgColor rgb="FF66FF99"/>
        </patternFill>
      </fill>
    </dxf>
    <dxf>
      <font>
        <color theme="0"/>
      </font>
    </dxf>
    <dxf>
      <font>
        <color theme="0"/>
      </font>
    </dxf>
    <dxf>
      <fill>
        <patternFill>
          <bgColor rgb="FF66FF99"/>
        </patternFill>
      </fill>
    </dxf>
    <dxf>
      <font>
        <condense val="0"/>
        <extend val="0"/>
        <color indexed="9"/>
      </font>
    </dxf>
    <dxf>
      <font>
        <condense val="0"/>
        <extend val="0"/>
        <color indexed="9"/>
      </font>
    </dxf>
    <dxf>
      <font>
        <color theme="9" tint="0.59996337778862885"/>
      </font>
    </dxf>
    <dxf>
      <font>
        <color theme="0"/>
      </font>
    </dxf>
    <dxf>
      <font>
        <color theme="9" tint="0.79998168889431442"/>
      </font>
    </dxf>
    <dxf>
      <font>
        <color theme="0"/>
      </font>
    </dxf>
    <dxf>
      <font>
        <color theme="0"/>
      </font>
    </dxf>
    <dxf>
      <font>
        <color theme="5" tint="0.39994506668294322"/>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lor theme="5" tint="0.39994506668294322"/>
      </font>
    </dxf>
    <dxf>
      <font>
        <color theme="5" tint="0.39994506668294322"/>
      </font>
    </dxf>
    <dxf>
      <font>
        <color theme="9" tint="0.79998168889431442"/>
      </font>
    </dxf>
    <dxf>
      <font>
        <color theme="1" tint="0.24994659260841701"/>
      </font>
    </dxf>
    <dxf>
      <font>
        <color theme="1" tint="0.24994659260841701"/>
      </font>
    </dxf>
    <dxf>
      <font>
        <color theme="0"/>
      </font>
    </dxf>
    <dxf>
      <font>
        <color theme="9" tint="0.79998168889431442"/>
      </font>
    </dxf>
    <dxf>
      <font>
        <color theme="9" tint="0.59996337778862885"/>
      </font>
    </dxf>
    <dxf>
      <font>
        <color theme="9" tint="0.79998168889431442"/>
      </font>
    </dxf>
    <dxf>
      <font>
        <color theme="9" tint="0.59996337778862885"/>
      </font>
    </dxf>
    <dxf>
      <font>
        <color theme="0"/>
      </font>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indexed="9"/>
      </font>
    </dxf>
    <dxf>
      <font>
        <condense val="0"/>
        <extend val="0"/>
        <color indexed="9"/>
      </font>
    </dxf>
    <dxf>
      <fill>
        <patternFill>
          <bgColor rgb="FF66FF99"/>
        </patternFill>
      </fill>
    </dxf>
    <dxf>
      <font>
        <condense val="0"/>
        <extend val="0"/>
        <color indexed="9"/>
      </font>
    </dxf>
    <dxf>
      <font>
        <color theme="9" tint="0.59996337778862885"/>
      </font>
    </dxf>
    <dxf>
      <font>
        <color theme="5" tint="0.39994506668294322"/>
      </font>
    </dxf>
    <dxf>
      <font>
        <color theme="1" tint="0.24994659260841701"/>
      </font>
    </dxf>
    <dxf>
      <fill>
        <patternFill>
          <bgColor rgb="FF66FF99"/>
        </patternFill>
      </fill>
    </dxf>
    <dxf>
      <font>
        <color theme="0"/>
      </font>
    </dxf>
    <dxf>
      <font>
        <color theme="9" tint="0.79998168889431442"/>
      </font>
    </dxf>
    <dxf>
      <font>
        <color theme="0"/>
      </font>
    </dxf>
    <dxf>
      <font>
        <color theme="5" tint="0.39994506668294322"/>
      </font>
    </dxf>
    <dxf>
      <font>
        <color theme="0"/>
      </font>
    </dxf>
    <dxf>
      <font>
        <color theme="1" tint="0.24994659260841701"/>
      </font>
    </dxf>
    <dxf>
      <font>
        <color theme="9" tint="0.79998168889431442"/>
      </font>
    </dxf>
    <dxf>
      <font>
        <color theme="9" tint="0.59996337778862885"/>
      </font>
    </dxf>
    <dxf>
      <font>
        <color theme="5" tint="0.39994506668294322"/>
      </font>
    </dxf>
    <dxf>
      <font>
        <color theme="9" tint="0.79998168889431442"/>
      </font>
    </dxf>
    <dxf>
      <fill>
        <patternFill>
          <bgColor rgb="FF66FF99"/>
        </patternFill>
      </fill>
    </dxf>
    <dxf>
      <font>
        <color theme="9" tint="0.79998168889431442"/>
      </font>
    </dxf>
    <dxf>
      <font>
        <color theme="9" tint="0.59996337778862885"/>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lor theme="1" tint="0.24994659260841701"/>
      </font>
    </dxf>
    <dxf>
      <font>
        <color theme="9" tint="0.79998168889431442"/>
      </font>
    </dxf>
    <dxf>
      <font>
        <color theme="9" tint="0.59996337778862885"/>
      </font>
    </dxf>
    <dxf>
      <font>
        <color theme="9" tint="0.79998168889431442"/>
      </font>
    </dxf>
    <dxf>
      <font>
        <color theme="9" tint="0.59996337778862885"/>
      </font>
    </dxf>
    <dxf>
      <fill>
        <patternFill>
          <bgColor rgb="FF66FF99"/>
        </patternFill>
      </fill>
    </dxf>
    <dxf>
      <font>
        <color theme="0"/>
      </font>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indexed="9"/>
      </font>
    </dxf>
    <dxf>
      <font>
        <color theme="9" tint="0.59996337778862885"/>
      </font>
    </dxf>
    <dxf>
      <font>
        <color theme="5" tint="0.39994506668294322"/>
      </font>
    </dxf>
    <dxf>
      <font>
        <color theme="5" tint="0.39994506668294322"/>
      </font>
    </dxf>
    <dxf>
      <font>
        <color theme="0"/>
      </font>
    </dxf>
    <dxf>
      <font>
        <color theme="5" tint="0.39994506668294322"/>
      </font>
    </dxf>
    <dxf>
      <font>
        <color theme="0"/>
      </font>
    </dxf>
    <dxf>
      <font>
        <color theme="1" tint="0.24994659260841701"/>
      </font>
    </dxf>
    <dxf>
      <font>
        <color theme="9" tint="0.79998168889431442"/>
      </font>
    </dxf>
    <dxf>
      <font>
        <color theme="9" tint="0.79998168889431442"/>
      </font>
    </dxf>
    <dxf>
      <font>
        <color theme="9" tint="0.59996337778862885"/>
      </font>
    </dxf>
    <dxf>
      <font>
        <color theme="5" tint="0.39994506668294322"/>
      </font>
    </dxf>
    <dxf>
      <font>
        <color theme="9" tint="0.79998168889431442"/>
      </font>
    </dxf>
    <dxf>
      <font>
        <color theme="1" tint="0.24994659260841701"/>
      </font>
    </dxf>
    <dxf>
      <font>
        <color theme="0"/>
      </font>
    </dxf>
    <dxf>
      <font>
        <color theme="9" tint="0.79998168889431442"/>
      </font>
    </dxf>
    <dxf>
      <font>
        <color theme="9" tint="0.59996337778862885"/>
      </font>
    </dxf>
    <dxf>
      <font>
        <color theme="5" tint="0.39994506668294322"/>
      </font>
    </dxf>
    <dxf>
      <font>
        <color theme="0"/>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1" tint="0.24994659260841701"/>
      </font>
    </dxf>
    <dxf>
      <font>
        <color theme="0"/>
      </font>
    </dxf>
    <dxf>
      <fill>
        <patternFill>
          <bgColor rgb="FF66FF99"/>
        </patternFill>
      </fill>
    </dxf>
    <dxf>
      <font>
        <color theme="0"/>
      </font>
    </dxf>
    <dxf>
      <font>
        <color theme="0"/>
      </font>
    </dxf>
    <dxf>
      <font>
        <color theme="0"/>
      </font>
    </dxf>
    <dxf>
      <font>
        <condense val="0"/>
        <extend val="0"/>
        <color indexed="9"/>
      </font>
    </dxf>
    <dxf>
      <font>
        <condense val="0"/>
        <extend val="0"/>
        <color indexed="9"/>
      </font>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9" tint="0.59996337778862885"/>
      </font>
    </dxf>
    <dxf>
      <font>
        <color theme="5" tint="0.39994506668294322"/>
      </font>
    </dxf>
    <dxf>
      <font>
        <color theme="5" tint="0.39994506668294322"/>
      </font>
    </dxf>
    <dxf>
      <font>
        <color theme="5" tint="0.39994506668294322"/>
      </font>
    </dxf>
    <dxf>
      <font>
        <color theme="1" tint="0.24994659260841701"/>
      </font>
    </dxf>
    <dxf>
      <font>
        <color theme="5" tint="0.39994506668294322"/>
      </font>
    </dxf>
    <dxf>
      <font>
        <color theme="0"/>
      </font>
    </dxf>
    <dxf>
      <font>
        <color theme="5" tint="0.39994506668294322"/>
      </font>
    </dxf>
    <dxf>
      <font>
        <color theme="0"/>
      </font>
    </dxf>
    <dxf>
      <font>
        <color theme="5" tint="0.39994506668294322"/>
      </font>
    </dxf>
    <dxf>
      <font>
        <color theme="0"/>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1" tint="0.24994659260841701"/>
      </font>
    </dxf>
    <dxf>
      <font>
        <color theme="1" tint="0.24994659260841701"/>
      </font>
    </dxf>
    <dxf>
      <font>
        <color theme="1" tint="0.24994659260841701"/>
      </font>
    </dxf>
    <dxf>
      <font>
        <color theme="0"/>
      </font>
    </dxf>
    <dxf>
      <font>
        <color theme="9" tint="0.79998168889431442"/>
      </font>
    </dxf>
    <dxf>
      <font>
        <color theme="9" tint="0.59996337778862885"/>
      </font>
    </dxf>
    <dxf>
      <font>
        <color theme="9" tint="0.79998168889431442"/>
      </font>
    </dxf>
    <dxf>
      <font>
        <color theme="9" tint="0.59996337778862885"/>
      </font>
    </dxf>
    <dxf>
      <font>
        <color theme="1" tint="0.24994659260841701"/>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1" tint="0.24994659260841701"/>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lor theme="0"/>
      </font>
    </dxf>
    <dxf>
      <font>
        <color theme="0"/>
      </font>
    </dxf>
    <dxf>
      <fill>
        <patternFill>
          <bgColor rgb="FF66FF99"/>
        </patternFill>
      </fill>
    </dxf>
    <dxf>
      <fill>
        <patternFill>
          <bgColor rgb="FF66FF99"/>
        </patternFill>
      </fill>
    </dxf>
    <dxf>
      <fill>
        <patternFill>
          <bgColor rgb="FF66FF99"/>
        </patternFill>
      </fill>
    </dxf>
    <dxf>
      <font>
        <color theme="0"/>
      </font>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ont>
        <color theme="9" tint="0.59996337778862885"/>
      </font>
    </dxf>
    <dxf>
      <font>
        <color theme="9" tint="0.59996337778862885"/>
      </font>
    </dxf>
    <dxf>
      <font>
        <condense val="0"/>
        <extend val="0"/>
        <color indexed="9"/>
      </font>
    </dxf>
    <dxf>
      <font>
        <color theme="9" tint="0.59996337778862885"/>
      </font>
    </dxf>
    <dxf>
      <font>
        <color theme="9" tint="0.59996337778862885"/>
      </font>
    </dxf>
    <dxf>
      <font>
        <color theme="9" tint="0.59996337778862885"/>
      </font>
    </dxf>
    <dxf>
      <font>
        <color theme="9" tint="0.59996337778862885"/>
      </font>
    </dxf>
    <dxf>
      <font>
        <color theme="5" tint="0.39994506668294322"/>
      </font>
    </dxf>
    <dxf>
      <font>
        <color theme="1" tint="0.24994659260841701"/>
      </font>
    </dxf>
    <dxf>
      <font>
        <color theme="9" tint="0.79998168889431442"/>
      </font>
    </dxf>
    <dxf>
      <font>
        <color theme="5" tint="0.39994506668294322"/>
      </font>
    </dxf>
    <dxf>
      <font>
        <color theme="0"/>
      </font>
    </dxf>
    <dxf>
      <font>
        <color theme="9" tint="0.79998168889431442"/>
      </font>
    </dxf>
    <dxf>
      <font>
        <color theme="9" tint="0.59996337778862885"/>
      </font>
    </dxf>
    <dxf>
      <font>
        <color theme="1" tint="0.24994659260841701"/>
      </font>
    </dxf>
    <dxf>
      <font>
        <color theme="1" tint="0.24994659260841701"/>
      </font>
    </dxf>
    <dxf>
      <font>
        <color theme="9" tint="0.79998168889431442"/>
      </font>
    </dxf>
    <dxf>
      <font>
        <color theme="9" tint="0.59996337778862885"/>
      </font>
    </dxf>
    <dxf>
      <font>
        <color theme="9" tint="0.79998168889431442"/>
      </font>
    </dxf>
    <dxf>
      <font>
        <color theme="9" tint="0.59996337778862885"/>
      </font>
    </dxf>
    <dxf>
      <font>
        <color theme="1" tint="0.24994659260841701"/>
      </font>
    </dxf>
    <dxf>
      <font>
        <color theme="9" tint="0.79998168889431442"/>
      </font>
    </dxf>
    <dxf>
      <font>
        <color theme="9" tint="0.59996337778862885"/>
      </font>
    </dxf>
    <dxf>
      <font>
        <color theme="9" tint="0.79998168889431442"/>
      </font>
    </dxf>
    <dxf>
      <font>
        <color theme="9" tint="0.59996337778862885"/>
      </font>
    </dxf>
    <dxf>
      <font>
        <color theme="1" tint="0.24994659260841701"/>
      </font>
    </dxf>
    <dxf>
      <font>
        <color theme="9" tint="0.79998168889431442"/>
      </font>
    </dxf>
    <dxf>
      <font>
        <color theme="9" tint="0.59996337778862885"/>
      </font>
    </dxf>
    <dxf>
      <font>
        <color theme="9" tint="0.79998168889431442"/>
      </font>
    </dxf>
    <dxf>
      <font>
        <color theme="9" tint="0.59996337778862885"/>
      </font>
    </dxf>
    <dxf>
      <fill>
        <patternFill>
          <bgColor rgb="FF66FF99"/>
        </patternFill>
      </fill>
    </dxf>
    <dxf>
      <font>
        <color theme="0"/>
      </font>
    </dxf>
    <dxf>
      <font>
        <color theme="0"/>
      </font>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indexed="9"/>
      </font>
    </dxf>
    <dxf>
      <font>
        <condense val="0"/>
        <extend val="0"/>
        <color indexed="9"/>
      </font>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ont>
        <condense val="0"/>
        <extend val="0"/>
        <color indexed="9"/>
      </font>
    </dxf>
    <dxf>
      <font>
        <condense val="0"/>
        <extend val="0"/>
        <color indexed="9"/>
      </font>
    </dxf>
    <dxf>
      <font>
        <color theme="9" tint="0.59996337778862885"/>
      </font>
    </dxf>
    <dxf>
      <font>
        <color theme="1" tint="0.24994659260841701"/>
      </font>
    </dxf>
    <dxf>
      <font>
        <color theme="5" tint="0.39994506668294322"/>
      </font>
    </dxf>
    <dxf>
      <font>
        <color theme="1" tint="0.24994659260841701"/>
      </font>
    </dxf>
    <dxf>
      <font>
        <color theme="5" tint="0.39994506668294322"/>
      </font>
    </dxf>
    <dxf>
      <font>
        <color theme="5" tint="0.39994506668294322"/>
      </font>
    </dxf>
    <dxf>
      <font>
        <color theme="0"/>
      </font>
    </dxf>
    <dxf>
      <font>
        <color theme="5" tint="0.39994506668294322"/>
      </font>
    </dxf>
    <dxf>
      <font>
        <color theme="0"/>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79998168889431442"/>
      </font>
    </dxf>
    <dxf>
      <font>
        <color theme="9" tint="0.59996337778862885"/>
      </font>
    </dxf>
    <dxf>
      <font>
        <color theme="9" tint="0.79998168889431442"/>
      </font>
    </dxf>
    <dxf>
      <font>
        <color theme="9" tint="0.59996337778862885"/>
      </font>
    </dxf>
    <dxf>
      <font>
        <color theme="0"/>
      </font>
    </dxf>
    <dxf>
      <font>
        <b/>
        <i val="0"/>
      </font>
      <fill>
        <patternFill>
          <bgColor indexed="42"/>
        </patternFill>
      </fill>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ont>
        <condense val="0"/>
        <extend val="0"/>
        <color indexed="9"/>
      </font>
    </dxf>
    <dxf>
      <font>
        <color theme="9" tint="0.59996337778862885"/>
      </font>
    </dxf>
    <dxf>
      <font>
        <color theme="1" tint="0.24994659260841701"/>
      </font>
    </dxf>
    <dxf>
      <font>
        <color theme="5" tint="0.39994506668294322"/>
      </font>
    </dxf>
    <dxf>
      <fill>
        <patternFill>
          <bgColor rgb="FF66FF99"/>
        </patternFill>
      </fill>
    </dxf>
    <dxf>
      <font>
        <color theme="9" tint="0.79998168889431442"/>
      </font>
    </dxf>
    <dxf>
      <font>
        <color theme="0"/>
      </font>
    </dxf>
    <dxf>
      <font>
        <color theme="5" tint="0.39994506668294322"/>
      </font>
    </dxf>
    <dxf>
      <font>
        <color theme="0"/>
      </font>
    </dxf>
    <dxf>
      <font>
        <color theme="9" tint="0.79998168889431442"/>
      </font>
    </dxf>
    <dxf>
      <font>
        <color theme="9" tint="0.59996337778862885"/>
      </font>
    </dxf>
    <dxf>
      <font>
        <color theme="1" tint="0.24994659260841701"/>
      </font>
    </dxf>
    <dxf>
      <font>
        <color theme="0"/>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5" tint="0.39994506668294322"/>
      </font>
    </dxf>
    <dxf>
      <font>
        <color theme="5" tint="0.39994506668294322"/>
      </font>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ont>
        <condense val="0"/>
        <extend val="0"/>
        <color indexed="9"/>
      </font>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ont>
        <color theme="0"/>
      </font>
    </dxf>
    <dxf>
      <fill>
        <patternFill>
          <bgColor rgb="FF66FF99"/>
        </patternFill>
      </fill>
    </dxf>
    <dxf>
      <font>
        <condense val="0"/>
        <extend val="0"/>
        <color indexed="9"/>
      </font>
    </dxf>
    <dxf>
      <font>
        <color theme="9" tint="0.59996337778862885"/>
      </font>
    </dxf>
    <dxf>
      <font>
        <color theme="1" tint="0.24994659260841701"/>
      </font>
    </dxf>
    <dxf>
      <font>
        <color theme="5" tint="0.39994506668294322"/>
      </font>
    </dxf>
    <dxf>
      <font>
        <color theme="5" tint="0.39994506668294322"/>
      </font>
    </dxf>
    <dxf>
      <font>
        <color theme="0"/>
      </font>
    </dxf>
    <dxf>
      <font>
        <color theme="9" tint="0.79998168889431442"/>
      </font>
    </dxf>
    <dxf>
      <font>
        <color theme="9" tint="0.59996337778862885"/>
      </font>
    </dxf>
    <dxf>
      <font>
        <color theme="9" tint="0.79998168889431442"/>
      </font>
    </dxf>
    <dxf>
      <font>
        <color theme="1" tint="0.24994659260841701"/>
      </font>
    </dxf>
    <dxf>
      <font>
        <color theme="9" tint="0.79998168889431442"/>
      </font>
    </dxf>
    <dxf>
      <font>
        <color theme="9" tint="0.59996337778862885"/>
      </font>
    </dxf>
    <dxf>
      <font>
        <color theme="1" tint="0.24994659260841701"/>
      </font>
    </dxf>
    <dxf>
      <font>
        <color theme="9" tint="0.79998168889431442"/>
      </font>
    </dxf>
    <dxf>
      <font>
        <color theme="9" tint="0.59996337778862885"/>
      </font>
    </dxf>
    <dxf>
      <font>
        <color theme="9" tint="0.79998168889431442"/>
      </font>
    </dxf>
    <dxf>
      <font>
        <color theme="9" tint="0.59996337778862885"/>
      </font>
    </dxf>
    <dxf>
      <font>
        <color theme="0"/>
      </font>
    </dxf>
    <dxf>
      <font>
        <b/>
        <i val="0"/>
      </font>
      <fill>
        <patternFill>
          <bgColor indexed="42"/>
        </patternFill>
      </fill>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ont>
        <condense val="0"/>
        <extend val="0"/>
        <color indexed="9"/>
      </font>
    </dxf>
    <dxf>
      <font>
        <color theme="9" tint="0.59996337778862885"/>
      </font>
    </dxf>
    <dxf>
      <font>
        <color theme="1" tint="0.24994659260841701"/>
      </font>
    </dxf>
    <dxf>
      <font>
        <color theme="5" tint="0.39994506668294322"/>
      </font>
    </dxf>
    <dxf>
      <font>
        <color theme="5" tint="0.39994506668294322"/>
      </font>
    </dxf>
    <dxf>
      <font>
        <color theme="0"/>
      </font>
    </dxf>
    <dxf>
      <font>
        <color theme="9" tint="0.79998168889431442"/>
      </font>
    </dxf>
    <dxf>
      <font>
        <color theme="9" tint="0.59996337778862885"/>
      </font>
    </dxf>
    <dxf>
      <font>
        <color theme="9" tint="0.79998168889431442"/>
      </font>
    </dxf>
    <dxf>
      <font>
        <color theme="1" tint="0.24994659260841701"/>
      </font>
    </dxf>
    <dxf>
      <font>
        <color theme="9" tint="0.79998168889431442"/>
      </font>
    </dxf>
    <dxf>
      <font>
        <color theme="9" tint="0.59996337778862885"/>
      </font>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indexed="9"/>
      </font>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ont>
        <condense val="0"/>
        <extend val="0"/>
        <color indexed="9"/>
      </font>
    </dxf>
    <dxf>
      <font>
        <color theme="9" tint="0.59996337778862885"/>
      </font>
    </dxf>
    <dxf>
      <font>
        <color theme="1" tint="0.24994659260841701"/>
      </font>
    </dxf>
    <dxf>
      <font>
        <color theme="5" tint="0.39994506668294322"/>
      </font>
    </dxf>
    <dxf>
      <font>
        <color theme="5" tint="0.39994506668294322"/>
      </font>
    </dxf>
    <dxf>
      <font>
        <color theme="0"/>
      </font>
    </dxf>
    <dxf>
      <font>
        <color theme="9" tint="0.79998168889431442"/>
      </font>
    </dxf>
    <dxf>
      <font>
        <color theme="9" tint="0.59996337778862885"/>
      </font>
    </dxf>
    <dxf>
      <font>
        <color theme="9" tint="0.79998168889431442"/>
      </font>
    </dxf>
    <dxf>
      <font>
        <color theme="1" tint="0.24994659260841701"/>
      </font>
    </dxf>
    <dxf>
      <font>
        <color theme="9" tint="0.79998168889431442"/>
      </font>
    </dxf>
    <dxf>
      <font>
        <color theme="9" tint="0.59996337778862885"/>
      </font>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ont>
        <condense val="0"/>
        <extend val="0"/>
        <color indexed="9"/>
      </font>
    </dxf>
    <dxf>
      <font>
        <color theme="9" tint="0.59996337778862885"/>
      </font>
    </dxf>
    <dxf>
      <font>
        <color theme="1" tint="0.24994659260841701"/>
      </font>
    </dxf>
    <dxf>
      <font>
        <color theme="5" tint="0.39994506668294322"/>
      </font>
    </dxf>
    <dxf>
      <font>
        <color theme="5" tint="0.39994506668294322"/>
      </font>
    </dxf>
    <dxf>
      <font>
        <color theme="0"/>
      </font>
    </dxf>
    <dxf>
      <font>
        <color theme="9" tint="0.79998168889431442"/>
      </font>
    </dxf>
    <dxf>
      <font>
        <color theme="9" tint="0.59996337778862885"/>
      </font>
    </dxf>
    <dxf>
      <font>
        <color theme="9" tint="0.79998168889431442"/>
      </font>
    </dxf>
    <dxf>
      <fill>
        <patternFill>
          <bgColor rgb="FF66FF99"/>
        </patternFill>
      </fill>
    </dxf>
    <dxf>
      <fill>
        <patternFill>
          <bgColor rgb="FF66FF99"/>
        </patternFill>
      </fill>
    </dxf>
    <dxf>
      <fill>
        <patternFill>
          <bgColor rgb="FF66FF99"/>
        </patternFill>
      </fill>
    </dxf>
    <dxf>
      <font>
        <color theme="1" tint="0.24994659260841701"/>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lor theme="1" tint="0.24994659260841701"/>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ont>
        <condense val="0"/>
        <extend val="0"/>
        <color indexed="9"/>
      </font>
    </dxf>
    <dxf>
      <font>
        <color theme="9" tint="0.59996337778862885"/>
      </font>
    </dxf>
    <dxf>
      <font>
        <color theme="1" tint="0.24994659260841701"/>
      </font>
    </dxf>
    <dxf>
      <font>
        <color theme="5" tint="0.39994506668294322"/>
      </font>
    </dxf>
    <dxf>
      <font>
        <color theme="9" tint="0.79998168889431442"/>
      </font>
    </dxf>
    <dxf>
      <font>
        <color theme="0"/>
      </font>
    </dxf>
    <dxf>
      <font>
        <color theme="5" tint="0.39994506668294322"/>
      </font>
    </dxf>
    <dxf>
      <font>
        <color theme="0"/>
      </font>
    </dxf>
    <dxf>
      <font>
        <color theme="9" tint="0.79998168889431442"/>
      </font>
    </dxf>
    <dxf>
      <font>
        <color theme="9" tint="0.59996337778862885"/>
      </font>
    </dxf>
    <dxf>
      <font>
        <color theme="1" tint="0.24994659260841701"/>
      </font>
    </dxf>
    <dxf>
      <font>
        <color theme="9" tint="0.59996337778862885"/>
      </font>
    </dxf>
    <dxf>
      <font>
        <color theme="9" tint="0.79998168889431442"/>
      </font>
    </dxf>
    <dxf>
      <font>
        <color theme="9" tint="0.59996337778862885"/>
      </font>
    </dxf>
    <dxf>
      <font>
        <color theme="1" tint="0.24994659260841701"/>
      </font>
    </dxf>
    <dxf>
      <fill>
        <patternFill>
          <bgColor rgb="FF66FF99"/>
        </patternFill>
      </fill>
    </dxf>
    <dxf>
      <font>
        <color theme="0"/>
      </font>
    </dxf>
    <dxf>
      <font>
        <color theme="0"/>
      </font>
    </dxf>
    <dxf>
      <font>
        <color theme="0"/>
      </font>
    </dxf>
    <dxf>
      <font>
        <color theme="0"/>
      </font>
    </dxf>
    <dxf>
      <font>
        <color theme="9" tint="0.59996337778862885"/>
      </font>
    </dxf>
    <dxf>
      <font>
        <color theme="0"/>
      </font>
    </dxf>
    <dxf>
      <border>
        <top style="thin">
          <color rgb="FF66FF99"/>
        </top>
        <bottom style="thin">
          <color rgb="FF66FF99"/>
        </bottom>
        <vertical/>
        <horizontal/>
      </border>
    </dxf>
    <dxf>
      <fill>
        <patternFill>
          <bgColor theme="0" tint="-4.9989318521683403E-2"/>
        </patternFill>
      </fill>
      <border>
        <top style="thin">
          <color rgb="FF66FF99"/>
        </top>
        <bottom style="thin">
          <color rgb="FF66FF99"/>
        </bottom>
        <vertical/>
        <horizontal/>
      </border>
    </dxf>
    <dxf>
      <font>
        <color theme="0"/>
      </font>
    </dxf>
    <dxf>
      <fill>
        <patternFill>
          <bgColor rgb="FF66FF99"/>
        </patternFill>
      </fill>
    </dxf>
    <dxf>
      <font>
        <color theme="0"/>
      </font>
    </dxf>
    <dxf>
      <font>
        <color theme="0"/>
      </font>
    </dxf>
    <dxf>
      <font>
        <color theme="0"/>
      </font>
    </dxf>
    <dxf>
      <font>
        <color theme="0"/>
      </font>
    </dxf>
    <dxf>
      <font>
        <color theme="0"/>
      </font>
    </dxf>
    <dxf>
      <font>
        <color theme="0"/>
      </font>
    </dxf>
    <dxf>
      <fill>
        <patternFill>
          <bgColor rgb="FF66FF99"/>
        </patternFill>
      </fill>
    </dxf>
    <dxf>
      <font>
        <condense val="0"/>
        <extend val="0"/>
        <color indexed="9"/>
      </font>
    </dxf>
    <dxf>
      <font>
        <color theme="9" tint="0.59996337778862885"/>
      </font>
    </dxf>
    <dxf>
      <font>
        <color theme="5" tint="0.39994506668294322"/>
      </font>
    </dxf>
    <dxf>
      <font>
        <color theme="1" tint="0.24994659260841701"/>
      </font>
    </dxf>
    <dxf>
      <font>
        <color theme="5" tint="0.39994506668294322"/>
      </font>
    </dxf>
    <dxf>
      <font>
        <color theme="0"/>
      </font>
    </dxf>
    <dxf>
      <font>
        <color theme="9" tint="0.79998168889431442"/>
      </font>
    </dxf>
    <dxf>
      <font>
        <color theme="5" tint="0.39994506668294322"/>
      </font>
    </dxf>
    <dxf>
      <font>
        <color theme="1" tint="0.24994659260841701"/>
      </font>
    </dxf>
    <dxf>
      <font>
        <color theme="9" tint="0.79998168889431442"/>
      </font>
    </dxf>
    <dxf>
      <font>
        <color theme="9" tint="0.59996337778862885"/>
      </font>
    </dxf>
    <dxf>
      <font>
        <color theme="1" tint="0.24994659260841701"/>
      </font>
    </dxf>
    <dxf>
      <font>
        <color theme="9" tint="0.79998168889431442"/>
      </font>
    </dxf>
    <dxf>
      <font>
        <color theme="9" tint="0.59996337778862885"/>
      </font>
    </dxf>
    <dxf>
      <font>
        <color theme="9" tint="0.79998168889431442"/>
      </font>
    </dxf>
    <dxf>
      <font>
        <color theme="9" tint="0.59996337778862885"/>
      </font>
    </dxf>
    <dxf>
      <font>
        <color theme="1" tint="0.24994659260841701"/>
      </font>
    </dxf>
    <dxf>
      <font>
        <b/>
        <i val="0"/>
      </font>
      <fill>
        <patternFill>
          <bgColor indexed="42"/>
        </patternFill>
      </fill>
    </dxf>
    <dxf>
      <fill>
        <patternFill>
          <bgColor rgb="FF66FF99"/>
        </patternFill>
      </fill>
    </dxf>
    <dxf>
      <font>
        <color theme="0"/>
      </font>
    </dxf>
    <dxf>
      <font>
        <color theme="0"/>
      </font>
    </dxf>
    <dxf>
      <font>
        <color theme="0"/>
      </font>
    </dxf>
    <dxf>
      <font>
        <color theme="0"/>
      </font>
    </dxf>
    <dxf>
      <font>
        <color theme="0"/>
      </font>
    </dxf>
    <dxf>
      <font>
        <color theme="0"/>
      </font>
    </dxf>
    <dxf>
      <font>
        <color theme="9" tint="0.59996337778862885"/>
      </font>
    </dxf>
    <dxf>
      <font>
        <color theme="9" tint="0.59996337778862885"/>
      </font>
    </dxf>
    <dxf>
      <font>
        <b val="0"/>
        <i val="0"/>
        <color auto="1"/>
      </font>
      <fill>
        <patternFill>
          <bgColor rgb="FF66FF99"/>
        </patternFill>
      </fill>
    </dxf>
    <dxf>
      <font>
        <color theme="9" tint="0.59996337778862885"/>
      </font>
    </dxf>
    <dxf>
      <font>
        <color theme="9" tint="0.59996337778862885"/>
      </font>
    </dxf>
    <dxf>
      <font>
        <b val="0"/>
        <i val="0"/>
        <color auto="1"/>
      </font>
      <fill>
        <patternFill>
          <bgColor rgb="FF66FF99"/>
        </patternFill>
      </fill>
    </dxf>
    <dxf>
      <font>
        <color theme="9" tint="0.59996337778862885"/>
      </font>
    </dxf>
    <dxf>
      <font>
        <color theme="9" tint="0.59996337778862885"/>
      </font>
    </dxf>
    <dxf>
      <font>
        <color theme="9" tint="0.59996337778862885"/>
      </font>
    </dxf>
    <dxf>
      <font>
        <color theme="9" tint="0.59996337778862885"/>
      </font>
    </dxf>
    <dxf>
      <font>
        <color theme="1" tint="0.24994659260841701"/>
      </font>
    </dxf>
    <dxf>
      <font>
        <color theme="5" tint="0.39994506668294322"/>
      </font>
    </dxf>
    <dxf>
      <font>
        <color theme="9" tint="0.59996337778862885"/>
      </font>
    </dxf>
    <dxf>
      <font>
        <color theme="9" tint="0.59996337778862885"/>
      </font>
    </dxf>
    <dxf>
      <font>
        <color theme="9" tint="0.59996337778862885"/>
      </font>
    </dxf>
    <dxf>
      <font>
        <color theme="9" tint="0.59996337778862885"/>
      </font>
    </dxf>
    <dxf>
      <font>
        <b/>
        <i val="0"/>
      </font>
      <fill>
        <patternFill>
          <bgColor indexed="42"/>
        </patternFill>
      </fill>
    </dxf>
    <dxf>
      <font>
        <color theme="0"/>
      </font>
    </dxf>
    <dxf>
      <font>
        <color theme="0"/>
      </font>
    </dxf>
    <dxf>
      <font>
        <b val="0"/>
        <i val="0"/>
      </font>
      <fill>
        <patternFill>
          <bgColor rgb="FF66FF99"/>
        </patternFill>
      </fill>
    </dxf>
    <dxf>
      <font>
        <color theme="0"/>
      </font>
    </dxf>
    <dxf>
      <font>
        <color theme="0"/>
      </font>
    </dxf>
    <dxf>
      <border>
        <top style="thin">
          <color rgb="FF66FF99"/>
        </top>
        <bottom style="thin">
          <color rgb="FF66FF99"/>
        </bottom>
        <vertical/>
        <horizontal/>
      </border>
    </dxf>
    <dxf>
      <fill>
        <patternFill>
          <bgColor rgb="FF66FF99"/>
        </patternFill>
      </fill>
    </dxf>
    <dxf>
      <fill>
        <patternFill>
          <fgColor auto="1"/>
          <bgColor rgb="FF00FF99"/>
        </patternFill>
      </fill>
    </dxf>
    <dxf>
      <fill>
        <patternFill>
          <fgColor auto="1"/>
          <bgColor rgb="FF00FF99"/>
        </patternFill>
      </fill>
    </dxf>
    <dxf>
      <font>
        <b/>
        <i val="0"/>
      </font>
      <border>
        <left style="thin">
          <color rgb="FF66FF99"/>
        </left>
        <right style="thin">
          <color rgb="FF66FF99"/>
        </right>
        <vertical/>
        <horizontal/>
      </border>
    </dxf>
    <dxf>
      <fill>
        <patternFill>
          <fgColor auto="1"/>
          <bgColor rgb="FF00FF99"/>
        </patternFill>
      </fill>
    </dxf>
    <dxf>
      <font>
        <b/>
        <i val="0"/>
      </font>
      <border>
        <left style="thin">
          <color rgb="FF66FF99"/>
        </left>
        <right style="thin">
          <color rgb="FF66FF99"/>
        </right>
        <vertical/>
        <horizontal/>
      </border>
    </dxf>
    <dxf>
      <font>
        <b val="0"/>
        <i val="0"/>
      </font>
      <fill>
        <patternFill>
          <bgColor rgb="FF66FF99"/>
        </patternFill>
      </fill>
    </dxf>
    <dxf>
      <font>
        <color theme="0"/>
      </font>
    </dxf>
    <dxf>
      <font>
        <color theme="0"/>
      </font>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i val="0"/>
      </font>
      <fill>
        <patternFill>
          <bgColor indexed="42"/>
        </patternFill>
      </fill>
    </dxf>
    <dxf>
      <font>
        <b/>
        <i val="0"/>
      </font>
      <fill>
        <patternFill>
          <bgColor indexed="42"/>
        </patternFill>
      </fill>
    </dxf>
    <dxf>
      <font>
        <b/>
        <i val="0"/>
      </font>
      <fill>
        <patternFill>
          <bgColor indexed="42"/>
        </patternFill>
      </fill>
    </dxf>
    <dxf>
      <font>
        <b/>
        <i val="0"/>
      </font>
      <fill>
        <patternFill>
          <bgColor indexed="42"/>
        </patternFill>
      </fill>
    </dxf>
    <dxf>
      <font>
        <b/>
        <i val="0"/>
      </font>
      <fill>
        <patternFill>
          <bgColor indexed="42"/>
        </patternFill>
      </fill>
    </dxf>
    <dxf>
      <font>
        <b/>
        <i val="0"/>
      </font>
      <fill>
        <patternFill>
          <bgColor indexed="42"/>
        </patternFill>
      </fill>
    </dxf>
    <dxf>
      <font>
        <b/>
        <i val="0"/>
      </font>
      <fill>
        <patternFill>
          <bgColor indexed="42"/>
        </patternFill>
      </fill>
    </dxf>
    <dxf>
      <font>
        <b/>
        <i val="0"/>
      </font>
      <fill>
        <patternFill>
          <bgColor indexed="42"/>
        </patternFill>
      </fill>
    </dxf>
    <dxf>
      <font>
        <b/>
        <i val="0"/>
      </font>
      <fill>
        <patternFill>
          <bgColor indexed="42"/>
        </patternFill>
      </fill>
    </dxf>
    <dxf>
      <font>
        <b/>
        <i val="0"/>
      </font>
      <fill>
        <patternFill>
          <bgColor indexed="42"/>
        </patternFill>
      </fill>
    </dxf>
    <dxf>
      <font>
        <b/>
        <i val="0"/>
      </font>
      <fill>
        <patternFill>
          <bgColor indexed="42"/>
        </patternFill>
      </fill>
    </dxf>
    <dxf>
      <font>
        <b/>
        <i val="0"/>
      </font>
      <fill>
        <patternFill>
          <bgColor indexed="42"/>
        </patternFill>
      </fill>
    </dxf>
    <dxf>
      <font>
        <b val="0"/>
        <i val="0"/>
        <color auto="1"/>
      </font>
      <fill>
        <patternFill>
          <bgColor rgb="FF66FF99"/>
        </patternFill>
      </fill>
    </dxf>
    <dxf>
      <font>
        <b/>
        <i val="0"/>
      </font>
      <fill>
        <patternFill>
          <bgColor indexed="42"/>
        </patternFill>
      </fill>
    </dxf>
    <dxf>
      <font>
        <b val="0"/>
        <i val="0"/>
        <color auto="1"/>
      </font>
      <fill>
        <patternFill>
          <bgColor rgb="FF66FF99"/>
        </patternFill>
      </fill>
    </dxf>
    <dxf>
      <font>
        <color theme="0"/>
      </font>
    </dxf>
    <dxf>
      <font>
        <color theme="0"/>
      </font>
    </dxf>
    <dxf>
      <fill>
        <patternFill>
          <bgColor theme="5"/>
        </patternFill>
      </fill>
    </dxf>
    <dxf>
      <fill>
        <patternFill>
          <bgColor rgb="FF66FF99"/>
        </patternFill>
      </fill>
    </dxf>
    <dxf>
      <font>
        <color theme="0"/>
      </font>
    </dxf>
    <dxf>
      <font>
        <color theme="0"/>
      </font>
    </dxf>
    <dxf>
      <fill>
        <patternFill>
          <bgColor theme="5"/>
        </patternFill>
      </fill>
    </dxf>
    <dxf>
      <fill>
        <patternFill>
          <bgColor rgb="FF66FF99"/>
        </patternFill>
      </fill>
    </dxf>
    <dxf>
      <font>
        <color theme="0"/>
      </font>
    </dxf>
    <dxf>
      <font>
        <color theme="0"/>
      </font>
    </dxf>
    <dxf>
      <fill>
        <patternFill>
          <bgColor theme="5"/>
        </patternFill>
      </fill>
    </dxf>
    <dxf>
      <fill>
        <patternFill>
          <bgColor rgb="FF66FF99"/>
        </patternFill>
      </fill>
    </dxf>
    <dxf>
      <font>
        <color theme="0"/>
      </font>
    </dxf>
    <dxf>
      <font>
        <color theme="0"/>
      </font>
    </dxf>
    <dxf>
      <fill>
        <patternFill>
          <bgColor theme="5"/>
        </patternFill>
      </fill>
    </dxf>
    <dxf>
      <fill>
        <patternFill>
          <bgColor rgb="FF66FF99"/>
        </patternFill>
      </fill>
    </dxf>
    <dxf>
      <font>
        <color theme="0"/>
      </font>
    </dxf>
    <dxf>
      <font>
        <color theme="0"/>
      </font>
    </dxf>
    <dxf>
      <fill>
        <patternFill>
          <bgColor theme="5"/>
        </patternFill>
      </fill>
    </dxf>
    <dxf>
      <fill>
        <patternFill>
          <bgColor rgb="FF66FF99"/>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FEB8D"/>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5F5F5"/>
      <rgbColor rgb="00CCFFFF"/>
      <rgbColor rgb="00F16A05"/>
      <rgbColor rgb="00F04242"/>
      <rgbColor rgb="00BF4900"/>
      <rgbColor rgb="00FB994F"/>
      <rgbColor rgb="00000080"/>
      <rgbColor rgb="009B4719"/>
      <rgbColor rgb="00FFFF00"/>
      <rgbColor rgb="0000FFFF"/>
      <rgbColor rgb="00800080"/>
      <rgbColor rgb="00BA1400"/>
      <rgbColor rgb="00008080"/>
      <rgbColor rgb="00C8510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9"/>
      <color rgb="FFF9F9F9"/>
      <color rgb="FFFEEFE2"/>
      <color rgb="FFE06B0A"/>
      <color rgb="FF66FFCC"/>
      <color rgb="FFFF0066"/>
      <color rgb="FFF6F5F0"/>
      <color rgb="FF850169"/>
      <color rgb="FF002774"/>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s>
</file>

<file path=xl/charts/_rels/chart102.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104.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108.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11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119.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121.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130.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133.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138.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140.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142.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145.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157.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159.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164.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9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IDACI 2019</a:t>
            </a:r>
          </a:p>
        </c:rich>
      </c:tx>
      <c:layout>
        <c:manualLayout>
          <c:xMode val="edge"/>
          <c:yMode val="edge"/>
          <c:x val="0.43082700099380783"/>
          <c:y val="2.2758155230596176E-2"/>
        </c:manualLayout>
      </c:layout>
      <c:overlay val="0"/>
      <c:spPr>
        <a:noFill/>
        <a:ln w="25400">
          <a:noFill/>
        </a:ln>
      </c:spPr>
    </c:title>
    <c:autoTitleDeleted val="0"/>
    <c:plotArea>
      <c:layout>
        <c:manualLayout>
          <c:layoutTarget val="inner"/>
          <c:xMode val="edge"/>
          <c:yMode val="edge"/>
          <c:x val="6.8866012241828409E-2"/>
          <c:y val="8.493502597889549E-2"/>
          <c:w val="0.90222275346511482"/>
          <c:h val="0.60702633001489181"/>
        </c:manualLayout>
      </c:layout>
      <c:barChart>
        <c:barDir val="col"/>
        <c:grouping val="clustered"/>
        <c:varyColors val="0"/>
        <c:ser>
          <c:idx val="2"/>
          <c:order val="0"/>
          <c:tx>
            <c:strRef>
              <c:f>IDACI!$C$8</c:f>
              <c:strCache>
                <c:ptCount val="1"/>
                <c:pt idx="0">
                  <c:v>IDACI 2019</c:v>
                </c:pt>
              </c:strCache>
            </c:strRef>
          </c:tx>
          <c:spPr>
            <a:solidFill>
              <a:srgbClr val="FB994F"/>
            </a:solidFill>
            <a:ln w="25400">
              <a:noFill/>
            </a:ln>
          </c:spPr>
          <c:invertIfNegative val="0"/>
          <c:dPt>
            <c:idx val="21"/>
            <c:invertIfNegative val="0"/>
            <c:bubble3D val="0"/>
            <c:spPr>
              <a:solidFill>
                <a:srgbClr val="C00000"/>
              </a:solidFill>
              <a:ln w="25400">
                <a:noFill/>
              </a:ln>
            </c:spPr>
            <c:extLst>
              <c:ext xmlns:c16="http://schemas.microsoft.com/office/drawing/2014/chart" uri="{C3380CC4-5D6E-409C-BE32-E72D297353CC}">
                <c16:uniqueId val="{00000005-B89C-409A-BA00-E7AD69070254}"/>
              </c:ext>
            </c:extLst>
          </c:dPt>
          <c:dPt>
            <c:idx val="22"/>
            <c:invertIfNegative val="0"/>
            <c:bubble3D val="0"/>
            <c:spPr>
              <a:solidFill>
                <a:schemeClr val="tx1">
                  <a:lumMod val="75000"/>
                  <a:lumOff val="25000"/>
                </a:schemeClr>
              </a:solidFill>
              <a:ln w="25400">
                <a:noFill/>
              </a:ln>
            </c:spPr>
            <c:extLst>
              <c:ext xmlns:c16="http://schemas.microsoft.com/office/drawing/2014/chart" uri="{C3380CC4-5D6E-409C-BE32-E72D297353CC}">
                <c16:uniqueId val="{00000001-8556-44FF-9E3C-A4CAC2837C75}"/>
              </c:ext>
            </c:extLst>
          </c:dPt>
          <c:dPt>
            <c:idx val="23"/>
            <c:invertIfNegative val="0"/>
            <c:bubble3D val="0"/>
            <c:spPr>
              <a:solidFill>
                <a:schemeClr val="tx1">
                  <a:lumMod val="75000"/>
                  <a:lumOff val="25000"/>
                </a:schemeClr>
              </a:solidFill>
              <a:ln w="25400">
                <a:noFill/>
              </a:ln>
            </c:spPr>
            <c:extLst>
              <c:ext xmlns:c16="http://schemas.microsoft.com/office/drawing/2014/chart" uri="{C3380CC4-5D6E-409C-BE32-E72D297353CC}">
                <c16:uniqueId val="{00000003-8556-44FF-9E3C-A4CAC2837C75}"/>
              </c:ext>
            </c:extLst>
          </c:dPt>
          <c:cat>
            <c:strRef>
              <c:f>IDACI!$B$9:$B$29</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IDACI!$C$9:$C$29</c:f>
              <c:numCache>
                <c:formatCode>0.0</c:formatCode>
                <c:ptCount val="21"/>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pt idx="19">
                  <c:v>12.371268250968637</c:v>
                </c:pt>
                <c:pt idx="20">
                  <c:v>17.084413405029373</c:v>
                </c:pt>
              </c:numCache>
            </c:numRef>
          </c:val>
          <c:extLst>
            <c:ext xmlns:c16="http://schemas.microsoft.com/office/drawing/2014/chart" uri="{C3380CC4-5D6E-409C-BE32-E72D297353CC}">
              <c16:uniqueId val="{00000004-8556-44FF-9E3C-A4CAC2837C75}"/>
            </c:ext>
          </c:extLst>
        </c:ser>
        <c:ser>
          <c:idx val="0"/>
          <c:order val="1"/>
          <c:tx>
            <c:strRef>
              <c:f>IDACI!$T$5</c:f>
              <c:strCache>
                <c:ptCount val="1"/>
                <c:pt idx="0">
                  <c:v>(none)</c:v>
                </c:pt>
              </c:strCache>
            </c:strRef>
          </c:tx>
          <c:spPr>
            <a:solidFill>
              <a:srgbClr val="66FF99"/>
            </a:solidFill>
            <a:ln w="12700">
              <a:solidFill>
                <a:schemeClr val="tx1">
                  <a:lumMod val="75000"/>
                  <a:lumOff val="25000"/>
                </a:schemeClr>
              </a:solidFill>
              <a:prstDash val="solid"/>
            </a:ln>
          </c:spPr>
          <c:invertIfNegative val="0"/>
          <c:cat>
            <c:strRef>
              <c:f>IDACI!$B$9:$B$29</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IDACI!$U$9:$U$28</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5-8556-44FF-9E3C-A4CAC2837C75}"/>
            </c:ext>
          </c:extLst>
        </c:ser>
        <c:dLbls>
          <c:showLegendKey val="0"/>
          <c:showVal val="0"/>
          <c:showCatName val="0"/>
          <c:showSerName val="0"/>
          <c:showPercent val="0"/>
          <c:showBubbleSize val="0"/>
        </c:dLbls>
        <c:gapWidth val="40"/>
        <c:overlap val="100"/>
        <c:axId val="471359872"/>
        <c:axId val="471361408"/>
      </c:barChart>
      <c:catAx>
        <c:axId val="47135987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471361408"/>
        <c:crossesAt val="0"/>
        <c:auto val="1"/>
        <c:lblAlgn val="ctr"/>
        <c:lblOffset val="100"/>
        <c:noMultiLvlLbl val="0"/>
      </c:catAx>
      <c:valAx>
        <c:axId val="47136140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359872"/>
        <c:crosses val="autoZero"/>
        <c:crossBetween val="between"/>
      </c:valAx>
      <c:spPr>
        <a:noFill/>
        <a:ln w="12700">
          <a:solidFill>
            <a:schemeClr val="tx1"/>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Referrals vs. IDACI</a:t>
            </a:r>
          </a:p>
        </c:rich>
      </c:tx>
      <c:layout>
        <c:manualLayout>
          <c:xMode val="edge"/>
          <c:yMode val="edge"/>
          <c:x val="0.30681180237085748"/>
          <c:y val="3.6125690638901996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5"/>
          <c:order val="3"/>
          <c:tx>
            <c:strRef>
              <c:f>Referrals!$X$38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A45C-4FD0-9720-108774E44B9D}"/>
                </c:ext>
              </c:extLst>
            </c:dLbl>
            <c:dLbl>
              <c:idx val="1"/>
              <c:layout>
                <c:manualLayout>
                  <c:x val="-5.803400598935847E-2"/>
                  <c:y val="-3.0797329591562235E-2"/>
                </c:manualLayout>
              </c:layout>
              <c:tx>
                <c:strRef>
                  <c:f>Referrals!$AC$39</c:f>
                  <c:strCache>
                    <c:ptCount val="1"/>
                    <c:pt idx="0">
                      <c:v>r² = 0.272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{336D132F-976F-49D9-A9CF-3CBB0269CB56}</c15:txfldGUID>
                      <c15:f>Referrals!$AC$39</c15:f>
                      <c15:dlblFieldTableCache>
                        <c:ptCount val="1"/>
                        <c:pt idx="0">
                          <c:v>r² = 0.272</c:v>
                        </c:pt>
                      </c15:dlblFieldTableCache>
                    </c15:dlblFTEntry>
                  </c15:dlblFieldTable>
                  <c15:showDataLabelsRange val="0"/>
                </c:ext>
                <c:ext xmlns:c16="http://schemas.microsoft.com/office/drawing/2014/chart" uri="{C3380CC4-5D6E-409C-BE32-E72D297353CC}">
                  <c16:uniqueId val="{00000001-A45C-4FD0-9720-108774E44B9D}"/>
                </c:ext>
              </c:extLst>
            </c:dLbl>
            <c:spPr>
              <a:noFill/>
              <a:ln>
                <a:noFill/>
              </a:ln>
              <a:effectLst/>
            </c:spPr>
            <c:txPr>
              <a:bodyPr/>
              <a:lstStyle/>
              <a:p>
                <a:pPr>
                  <a:defRPr sz="9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Referrals!$AA$38:$AA$39</c:f>
              <c:numCache>
                <c:formatCode>General</c:formatCode>
                <c:ptCount val="2"/>
                <c:pt idx="0" formatCode="#,##0.0">
                  <c:v>3</c:v>
                </c:pt>
                <c:pt idx="1">
                  <c:v>22</c:v>
                </c:pt>
              </c:numCache>
            </c:numRef>
          </c:xVal>
          <c:yVal>
            <c:numRef>
              <c:f>Referrals!$AB$38:$AB$39</c:f>
              <c:numCache>
                <c:formatCode>0.0</c:formatCode>
                <c:ptCount val="2"/>
                <c:pt idx="0">
                  <c:v>233.41635772988593</c:v>
                </c:pt>
                <c:pt idx="1">
                  <c:v>957.21789883244878</c:v>
                </c:pt>
              </c:numCache>
            </c:numRef>
          </c:yVal>
          <c:smooth val="1"/>
          <c:extLst>
            <c:ext xmlns:c16="http://schemas.microsoft.com/office/drawing/2014/chart" uri="{C3380CC4-5D6E-409C-BE32-E72D297353CC}">
              <c16:uniqueId val="{00000002-A45C-4FD0-9720-108774E44B9D}"/>
            </c:ext>
          </c:extLst>
        </c:ser>
        <c:dLbls>
          <c:showLegendKey val="0"/>
          <c:showVal val="0"/>
          <c:showCatName val="0"/>
          <c:showSerName val="0"/>
          <c:showPercent val="0"/>
          <c:showBubbleSize val="0"/>
        </c:dLbls>
        <c:axId val="528842112"/>
        <c:axId val="528872960"/>
      </c:scatterChart>
      <c:scatterChart>
        <c:scatterStyle val="lineMarker"/>
        <c:varyColors val="0"/>
        <c:ser>
          <c:idx val="0"/>
          <c:order val="0"/>
          <c:tx>
            <c:strRef>
              <c:f>Referrals!$AQ$35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A45C-4FD0-9720-108774E44B9D}"/>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{94F8BC9C-472B-42CE-937B-4884F5569754}</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A45C-4FD0-9720-108774E44B9D}"/>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{3C2A2CF5-BA36-466C-AD2E-A318F265C6D0}</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A45C-4FD0-9720-108774E44B9D}"/>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{0B5ED846-DCAD-4F31-80C4-EF081B04B9FA}</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A45C-4FD0-9720-108774E44B9D}"/>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{CA3B2650-50D7-469A-848F-AC963C0F7F6A}</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A45C-4FD0-9720-108774E44B9D}"/>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{DC3B5222-B798-4EB7-9850-04ACB1E346BA}</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8-A45C-4FD0-9720-108774E44B9D}"/>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{1FF8DF0B-5E9E-4C0F-8B85-B4C72EB488C4}</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A45C-4FD0-9720-108774E44B9D}"/>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{99752A28-8CD0-4C47-92A6-510A47ED4673}</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A-A45C-4FD0-9720-108774E44B9D}"/>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{896C7DD2-40F0-418E-AACD-DC84629D6199}</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B-A45C-4FD0-9720-108774E44B9D}"/>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{EA17417E-8A05-49AD-A712-E7F21FCB1FDE}</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A45C-4FD0-9720-108774E44B9D}"/>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{F5862B86-D25D-44E0-B94C-7CF75F38B318}</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A45C-4FD0-9720-108774E44B9D}"/>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{187D28FE-C93C-45C5-A229-DEA3874F99FD}</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A45C-4FD0-9720-108774E44B9D}"/>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{89F48CBB-56AE-4F79-85D6-DA779FFD9F3A}</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F-A45C-4FD0-9720-108774E44B9D}"/>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{0D7231FF-487F-4B66-A938-DF57C0E99520}</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10-A45C-4FD0-9720-108774E44B9D}"/>
                </c:ext>
              </c:extLst>
            </c:dLbl>
            <c:dLbl>
              <c:idx val="13"/>
              <c:tx>
                <c:strRef>
                  <c:f>ReportData!$K$17</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{AAC95B42-92A2-49E8-B3B2-8788D6B41C8D}</c15:txfldGUID>
                      <c15:f>ReportData!$K$17</c15:f>
                      <c15:dlblFieldTableCache>
                        <c:ptCount val="1"/>
                        <c:pt idx="0">
                          <c:v>Southampton</c:v>
                        </c:pt>
                      </c15:dlblFieldTableCache>
                    </c15:dlblFTEntry>
                  </c15:dlblFieldTable>
                  <c15:showDataLabelsRange val="0"/>
                </c:ext>
                <c:ext xmlns:c16="http://schemas.microsoft.com/office/drawing/2014/chart" uri="{C3380CC4-5D6E-409C-BE32-E72D297353CC}">
                  <c16:uniqueId val="{00000011-A45C-4FD0-9720-108774E44B9D}"/>
                </c:ext>
              </c:extLst>
            </c:dLbl>
            <c:dLbl>
              <c:idx val="14"/>
              <c:tx>
                <c:strRef>
                  <c:f>ReportData!$K$18</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{8469A509-E030-415E-A8DB-7413D7DB8372}</c15:txfldGUID>
                      <c15:f>ReportData!$K$18</c15:f>
                      <c15:dlblFieldTableCache>
                        <c:ptCount val="1"/>
                        <c:pt idx="0">
                          <c:v>Surrey</c:v>
                        </c:pt>
                      </c15:dlblFieldTableCache>
                    </c15:dlblFTEntry>
                  </c15:dlblFieldTable>
                  <c15:showDataLabelsRange val="0"/>
                </c:ext>
                <c:ext xmlns:c16="http://schemas.microsoft.com/office/drawing/2014/chart" uri="{C3380CC4-5D6E-409C-BE32-E72D297353CC}">
                  <c16:uniqueId val="{00000012-A45C-4FD0-9720-108774E44B9D}"/>
                </c:ext>
              </c:extLst>
            </c:dLbl>
            <c:dLbl>
              <c:idx val="15"/>
              <c:tx>
                <c:strRef>
                  <c:f>ReportData!$K$19</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{D58551B8-846D-4AFC-BBAC-465B6E332B92}</c15:txfldGUID>
                      <c15:f>ReportData!$K$19</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A45C-4FD0-9720-108774E44B9D}"/>
                </c:ext>
              </c:extLst>
            </c:dLbl>
            <c:dLbl>
              <c:idx val="16"/>
              <c:tx>
                <c:strRef>
                  <c:f>ReportData!$K$20</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{D4937B2A-C028-4C81-B1A6-FD50681880F3}</c15:txfldGUID>
                      <c15:f>ReportData!$K$20</c15:f>
                      <c15:dlblFieldTableCache>
                        <c:ptCount val="1"/>
                        <c:pt idx="0">
                          <c:v>West Sussex</c:v>
                        </c:pt>
                      </c15:dlblFieldTableCache>
                    </c15:dlblFTEntry>
                  </c15:dlblFieldTable>
                  <c15:showDataLabelsRange val="0"/>
                </c:ext>
                <c:ext xmlns:c16="http://schemas.microsoft.com/office/drawing/2014/chart" uri="{C3380CC4-5D6E-409C-BE32-E72D297353CC}">
                  <c16:uniqueId val="{00000014-A45C-4FD0-9720-108774E44B9D}"/>
                </c:ext>
              </c:extLst>
            </c:dLbl>
            <c:dLbl>
              <c:idx val="17"/>
              <c:layout>
                <c:manualLayout>
                  <c:x val="-2.1259252882280515E-2"/>
                  <c:y val="1.782607922639495E-2"/>
                </c:manualLayout>
              </c:layout>
              <c:tx>
                <c:strRef>
                  <c:f>ReportData!$K$21</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{9F91A042-C671-45A2-885E-8534AA908BC3}</c15:txfldGUID>
                      <c15:f>ReportData!$K$21</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A45C-4FD0-9720-108774E44B9D}"/>
                </c:ext>
              </c:extLst>
            </c:dLbl>
            <c:dLbl>
              <c:idx val="18"/>
              <c:tx>
                <c:strRef>
                  <c:f>ReportData!$K$22</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{29DC0EFD-9B75-4F21-9C88-A090D7234373}</c15:txfldGUID>
                      <c15:f>ReportData!$K$22</c15:f>
                      <c15:dlblFieldTableCache>
                        <c:ptCount val="1"/>
                        <c:pt idx="0">
                          <c:v>Wokingham</c:v>
                        </c:pt>
                      </c15:dlblFieldTableCache>
                    </c15:dlblFTEntry>
                  </c15:dlblFieldTable>
                  <c15:showDataLabelsRange val="0"/>
                </c:ext>
                <c:ext xmlns:c16="http://schemas.microsoft.com/office/drawing/2014/chart" uri="{C3380CC4-5D6E-409C-BE32-E72D297353CC}">
                  <c16:uniqueId val="{00000016-A45C-4FD0-9720-108774E44B9D}"/>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(Referrals!$AQ$38:$AQ$50,Referrals!$AQ$51:$AQ$52,Referrals!$AQ$53:$AQ$56)</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(Referrals!$AP$38:$AP$50,Referrals!$AP$51:$AP$52,Referrals!$AP$53:$AP$56)</c:f>
              <c:numCache>
                <c:formatCode>0.0</c:formatCode>
                <c:ptCount val="19"/>
                <c:pt idx="0">
                  <c:v>527.45488183753969</c:v>
                </c:pt>
                <c:pt idx="1">
                  <c:v>697.93854197917119</c:v>
                </c:pt>
                <c:pt idx="2">
                  <c:v>518.74373119358074</c:v>
                </c:pt>
                <c:pt idx="3">
                  <c:v>416.09559291932896</c:v>
                </c:pt>
                <c:pt idx="4">
                  <c:v>#N/A</c:v>
                </c:pt>
                <c:pt idx="5">
                  <c:v>1867.906817987883</c:v>
                </c:pt>
                <c:pt idx="6">
                  <c:v>692.18446769174238</c:v>
                </c:pt>
                <c:pt idx="7">
                  <c:v>792.20837644518429</c:v>
                </c:pt>
                <c:pt idx="8">
                  <c:v>427.76488042089647</c:v>
                </c:pt>
                <c:pt idx="9">
                  <c:v>330.93996918133831</c:v>
                </c:pt>
                <c:pt idx="10">
                  <c:v>723.52093034249651</c:v>
                </c:pt>
                <c:pt idx="11">
                  <c:v>791.74246618682275</c:v>
                </c:pt>
                <c:pt idx="12">
                  <c:v>749.40355414836461</c:v>
                </c:pt>
                <c:pt idx="13">
                  <c:v>614.21793421078746</c:v>
                </c:pt>
                <c:pt idx="14">
                  <c:v>289.15354271432443</c:v>
                </c:pt>
                <c:pt idx="15">
                  <c:v>453.78627034677987</c:v>
                </c:pt>
                <c:pt idx="16">
                  <c:v>443.05282445477297</c:v>
                </c:pt>
                <c:pt idx="17">
                  <c:v>528.86438551967558</c:v>
                </c:pt>
                <c:pt idx="18">
                  <c:v>357.39022025211244</c:v>
                </c:pt>
              </c:numCache>
            </c:numRef>
          </c:yVal>
          <c:smooth val="0"/>
          <c:extLst>
            <c:ext xmlns:c16="http://schemas.microsoft.com/office/drawing/2014/chart" uri="{C3380CC4-5D6E-409C-BE32-E72D297353CC}">
              <c16:uniqueId val="{00000017-A45C-4FD0-9720-108774E44B9D}"/>
            </c:ext>
          </c:extLst>
        </c:ser>
        <c:ser>
          <c:idx val="1"/>
          <c:order val="1"/>
          <c:tx>
            <c:strRef>
              <c:f>Referrals!$Z$4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Referrals!$AQ$59</c:f>
              <c:numCache>
                <c:formatCode>0.0</c:formatCode>
                <c:ptCount val="1"/>
                <c:pt idx="0">
                  <c:v>#N/A</c:v>
                </c:pt>
              </c:numCache>
            </c:numRef>
          </c:xVal>
          <c:yVal>
            <c:numRef>
              <c:f>Referrals!$AP$59</c:f>
              <c:numCache>
                <c:formatCode>0.0</c:formatCode>
                <c:ptCount val="1"/>
                <c:pt idx="0">
                  <c:v>#N/A</c:v>
                </c:pt>
              </c:numCache>
            </c:numRef>
          </c:yVal>
          <c:smooth val="0"/>
          <c:extLst>
            <c:ext xmlns:c16="http://schemas.microsoft.com/office/drawing/2014/chart" uri="{C3380CC4-5D6E-409C-BE32-E72D297353CC}">
              <c16:uniqueId val="{0000001C-A45C-4FD0-9720-108774E44B9D}"/>
            </c:ext>
          </c:extLst>
        </c:ser>
        <c:ser>
          <c:idx val="4"/>
          <c:order val="2"/>
          <c:tx>
            <c:strRef>
              <c:f>Referrals!$B$30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Referrals!$AQ$57</c:f>
              <c:numCache>
                <c:formatCode>0.0</c:formatCode>
                <c:ptCount val="1"/>
                <c:pt idx="0">
                  <c:v>12.760581039440194</c:v>
                </c:pt>
              </c:numCache>
            </c:numRef>
          </c:xVal>
          <c:yVal>
            <c:numRef>
              <c:f>Referrals!$O$30</c:f>
              <c:numCache>
                <c:formatCode>0.0</c:formatCode>
                <c:ptCount val="1"/>
                <c:pt idx="0">
                  <c:v>711.71431389401596</c:v>
                </c:pt>
              </c:numCache>
            </c:numRef>
          </c:yVal>
          <c:smooth val="0"/>
          <c:extLst>
            <c:ext xmlns:c16="http://schemas.microsoft.com/office/drawing/2014/chart" uri="{C3380CC4-5D6E-409C-BE32-E72D297353CC}">
              <c16:uniqueId val="{0000001D-A45C-4FD0-9720-108774E44B9D}"/>
            </c:ext>
          </c:extLst>
        </c:ser>
        <c:ser>
          <c:idx val="2"/>
          <c:order val="4"/>
          <c:tx>
            <c:strRef>
              <c:f>Referrals!$X$40</c:f>
              <c:strCache>
                <c:ptCount val="1"/>
                <c:pt idx="0">
                  <c:v>National Trend 2024</c:v>
                </c:pt>
              </c:strCache>
            </c:strRef>
          </c:tx>
          <c:spPr>
            <a:ln w="12700">
              <a:solidFill>
                <a:schemeClr val="tx1">
                  <a:lumMod val="75000"/>
                  <a:lumOff val="25000"/>
                </a:schemeClr>
              </a:solidFill>
            </a:ln>
          </c:spPr>
          <c:marker>
            <c:symbol val="none"/>
          </c:marker>
          <c:dLbls>
            <c:dLbl>
              <c:idx val="1"/>
              <c:layout>
                <c:manualLayout>
                  <c:x val="-5.8788446735462414E-2"/>
                  <c:y val="2.6147687188532456E-2"/>
                </c:manualLayout>
              </c:layout>
              <c:tx>
                <c:strRef>
                  <c:f>Referrals!$AC$40</c:f>
                  <c:strCache>
                    <c:ptCount val="1"/>
                    <c:pt idx="0">
                      <c:v>r² = 0.171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{D4CA74C4-80D7-4638-82EA-0FE7F0B577DD}</c15:txfldGUID>
                      <c15:f>Referrals!$AC$40</c15:f>
                      <c15:dlblFieldTableCache>
                        <c:ptCount val="1"/>
                        <c:pt idx="0">
                          <c:v>r² = 0.171</c:v>
                        </c:pt>
                      </c15:dlblFieldTableCache>
                    </c15:dlblFTEntry>
                  </c15:dlblFieldTable>
                  <c15:showDataLabelsRange val="0"/>
                </c:ext>
                <c:ext xmlns:c16="http://schemas.microsoft.com/office/drawing/2014/chart" uri="{C3380CC4-5D6E-409C-BE32-E72D297353CC}">
                  <c16:uniqueId val="{0000001E-A45C-4FD0-9720-108774E44B9D}"/>
                </c:ext>
              </c:extLst>
            </c:dLbl>
            <c:spPr>
              <a:noFill/>
              <a:ln>
                <a:noFill/>
              </a:ln>
              <a:effectLst/>
            </c:spPr>
            <c:txPr>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Referrals!$AA$40:$AA$41</c:f>
              <c:numCache>
                <c:formatCode>General</c:formatCode>
                <c:ptCount val="2"/>
                <c:pt idx="0" formatCode="#,##0.0">
                  <c:v>3</c:v>
                </c:pt>
                <c:pt idx="1">
                  <c:v>22</c:v>
                </c:pt>
              </c:numCache>
            </c:numRef>
          </c:xVal>
          <c:yVal>
            <c:numRef>
              <c:f>Referrals!$AB$40:$AB$41</c:f>
              <c:numCache>
                <c:formatCode>0.0</c:formatCode>
                <c:ptCount val="2"/>
                <c:pt idx="0">
                  <c:v>337.68201633469738</c:v>
                </c:pt>
                <c:pt idx="1">
                  <c:v>600.51404033958283</c:v>
                </c:pt>
              </c:numCache>
            </c:numRef>
          </c:yVal>
          <c:smooth val="0"/>
          <c:extLst>
            <c:ext xmlns:c16="http://schemas.microsoft.com/office/drawing/2014/chart" uri="{C3380CC4-5D6E-409C-BE32-E72D297353CC}">
              <c16:uniqueId val="{0000001F-A45C-4FD0-9720-108774E44B9D}"/>
            </c:ext>
          </c:extLst>
        </c:ser>
        <c:dLbls>
          <c:showLegendKey val="0"/>
          <c:showVal val="0"/>
          <c:showCatName val="0"/>
          <c:showSerName val="0"/>
          <c:showPercent val="0"/>
          <c:showBubbleSize val="0"/>
        </c:dLbls>
        <c:axId val="528842112"/>
        <c:axId val="528872960"/>
      </c:scatterChart>
      <c:valAx>
        <c:axId val="528842112"/>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4087952964064139"/>
              <c:y val="0.91929229487900843"/>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872960"/>
        <c:crosses val="autoZero"/>
        <c:crossBetween val="midCat"/>
        <c:majorUnit val="5"/>
      </c:valAx>
      <c:valAx>
        <c:axId val="528872960"/>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a:t>Rate of Referrals per 10,000 0-17 year olds</a:t>
                </a:r>
              </a:p>
            </c:rich>
          </c:tx>
          <c:layout>
            <c:manualLayout>
              <c:xMode val="edge"/>
              <c:yMode val="edge"/>
              <c:x val="3.2145745788760144E-2"/>
              <c:y val="0.176667036770154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842112"/>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GB" sz="800">
                <a:latin typeface="Arial" panose="020B0604020202020204" pitchFamily="34" charset="0"/>
                <a:cs typeface="Arial" panose="020B0604020202020204" pitchFamily="34" charset="0"/>
              </a:rPr>
              <a:t>10-15</a:t>
            </a:r>
          </a:p>
        </c:rich>
      </c:tx>
      <c:layout>
        <c:manualLayout>
          <c:xMode val="edge"/>
          <c:yMode val="edge"/>
          <c:x val="0.33220662768031189"/>
          <c:y val="1.0158730158730159E-2"/>
        </c:manualLayout>
      </c:layout>
      <c:overlay val="1"/>
    </c:title>
    <c:autoTitleDeleted val="0"/>
    <c:plotArea>
      <c:layout>
        <c:manualLayout>
          <c:layoutTarget val="inner"/>
          <c:xMode val="edge"/>
          <c:yMode val="edge"/>
          <c:x val="6.3291139240506333E-2"/>
          <c:y val="4.1265841769778773E-2"/>
          <c:w val="0.84247785232402017"/>
          <c:h val="0.8441274840644919"/>
        </c:manualLayout>
      </c:layout>
      <c:barChart>
        <c:barDir val="bar"/>
        <c:grouping val="stacked"/>
        <c:varyColors val="0"/>
        <c:ser>
          <c:idx val="1"/>
          <c:order val="1"/>
          <c:tx>
            <c:strRef>
              <c:f>'Looked After Children'!$Z$4</c:f>
              <c:strCache>
                <c:ptCount val="1"/>
                <c:pt idx="0">
                  <c:v>Selected LA- (none)</c:v>
                </c:pt>
              </c:strCache>
            </c:strRef>
          </c:tx>
          <c:spPr>
            <a:solidFill>
              <a:srgbClr val="66FF99"/>
            </a:solidFill>
            <a:ln w="12700">
              <a:solidFill>
                <a:srgbClr val="808080"/>
              </a:solidFill>
              <a:prstDash val="solid"/>
            </a:ln>
          </c:spPr>
          <c:invertIfNegative val="0"/>
          <c:cat>
            <c:strRef>
              <c:f>'Looked After Children'!$X$306:$X$326</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Children'!$AG$306:$AG$326</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0-AC6F-4614-A7D2-3DA97D15B2A2}"/>
            </c:ext>
          </c:extLst>
        </c:ser>
        <c:dLbls>
          <c:showLegendKey val="0"/>
          <c:showVal val="0"/>
          <c:showCatName val="0"/>
          <c:showSerName val="0"/>
          <c:showPercent val="0"/>
          <c:showBubbleSize val="0"/>
        </c:dLbls>
        <c:gapWidth val="0"/>
        <c:overlap val="100"/>
        <c:axId val="602058752"/>
        <c:axId val="602060288"/>
      </c:barChart>
      <c:barChart>
        <c:barDir val="bar"/>
        <c:grouping val="clustered"/>
        <c:varyColors val="0"/>
        <c:ser>
          <c:idx val="0"/>
          <c:order val="0"/>
          <c:tx>
            <c:strRef>
              <c:f>'Looked After Children'!$G$307</c:f>
              <c:strCache>
                <c:ptCount val="1"/>
                <c:pt idx="0">
                  <c:v>   10 - 15  </c:v>
                </c:pt>
              </c:strCache>
            </c:strRef>
          </c:tx>
          <c:spPr>
            <a:solidFill>
              <a:srgbClr val="FF99CC"/>
            </a:solidFill>
            <a:ln w="12700">
              <a:solidFill>
                <a:srgbClr val="000000"/>
              </a:solidFill>
              <a:prstDash val="solid"/>
            </a:ln>
          </c:spPr>
          <c:invertIfNegative val="0"/>
          <c:cat>
            <c:strRef>
              <c:f>'Looked After Children'!$X$306:$X$326</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Children'!$G$308:$G$328</c:f>
              <c:numCache>
                <c:formatCode>0.0</c:formatCode>
                <c:ptCount val="21"/>
                <c:pt idx="0">
                  <c:v>46.906410542774182</c:v>
                </c:pt>
                <c:pt idx="1">
                  <c:v>84.565309971405981</c:v>
                </c:pt>
                <c:pt idx="2">
                  <c:v>49.983995272449704</c:v>
                </c:pt>
                <c:pt idx="3">
                  <c:v>79.57559681697613</c:v>
                </c:pt>
                <c:pt idx="4">
                  <c:v>81.22733972393462</c:v>
                </c:pt>
                <c:pt idx="5">
                  <c:v>132.09568011424491</c:v>
                </c:pt>
                <c:pt idx="6">
                  <c:v>60.259607857415936</c:v>
                </c:pt>
                <c:pt idx="7">
                  <c:v>103.47229131429708</c:v>
                </c:pt>
                <c:pt idx="8">
                  <c:v>79.602470088768825</c:v>
                </c:pt>
                <c:pt idx="9">
                  <c:v>71.052574572709744</c:v>
                </c:pt>
                <c:pt idx="10">
                  <c:v>103.63836824696803</c:v>
                </c:pt>
                <c:pt idx="11">
                  <c:v>111.01540817303092</c:v>
                </c:pt>
                <c:pt idx="12">
                  <c:v>47.472110135295509</c:v>
                </c:pt>
                <c:pt idx="13">
                  <c:v>146.2535523670895</c:v>
                </c:pt>
                <c:pt idx="14">
                  <c:v>44.633292865814475</c:v>
                </c:pt>
                <c:pt idx="15">
                  <c:v>48.511207761793244</c:v>
                </c:pt>
                <c:pt idx="16">
                  <c:v>66.547406082289797</c:v>
                </c:pt>
                <c:pt idx="17">
                  <c:v>45.156343188208233</c:v>
                </c:pt>
                <c:pt idx="18">
                  <c:v>35.148012184644223</c:v>
                </c:pt>
                <c:pt idx="19">
                  <c:v>69.039301379669922</c:v>
                </c:pt>
                <c:pt idx="20">
                  <c:v>83.71400484177947</c:v>
                </c:pt>
              </c:numCache>
            </c:numRef>
          </c:val>
          <c:extLst>
            <c:ext xmlns:c16="http://schemas.microsoft.com/office/drawing/2014/chart" uri="{C3380CC4-5D6E-409C-BE32-E72D297353CC}">
              <c16:uniqueId val="{00000001-AC6F-4614-A7D2-3DA97D15B2A2}"/>
            </c:ext>
          </c:extLst>
        </c:ser>
        <c:dLbls>
          <c:showLegendKey val="0"/>
          <c:showVal val="0"/>
          <c:showCatName val="0"/>
          <c:showSerName val="0"/>
          <c:showPercent val="0"/>
          <c:showBubbleSize val="0"/>
        </c:dLbls>
        <c:gapWidth val="40"/>
        <c:axId val="602061824"/>
        <c:axId val="602075904"/>
      </c:barChart>
      <c:catAx>
        <c:axId val="602058752"/>
        <c:scaling>
          <c:orientation val="maxMin"/>
        </c:scaling>
        <c:delete val="1"/>
        <c:axPos val="l"/>
        <c:majorGridlines/>
        <c:numFmt formatCode="General" sourceLinked="0"/>
        <c:majorTickMark val="out"/>
        <c:minorTickMark val="none"/>
        <c:tickLblPos val="nextTo"/>
        <c:crossAx val="602060288"/>
        <c:crosses val="autoZero"/>
        <c:auto val="1"/>
        <c:lblAlgn val="ctr"/>
        <c:lblOffset val="100"/>
        <c:noMultiLvlLbl val="0"/>
      </c:catAx>
      <c:valAx>
        <c:axId val="602060288"/>
        <c:scaling>
          <c:orientation val="minMax"/>
          <c:max val="200"/>
          <c:min val="0"/>
        </c:scaling>
        <c:delete val="0"/>
        <c:axPos val="b"/>
        <c:majorGridlines>
          <c:spPr>
            <a:ln>
              <a:prstDash val="sysDash"/>
            </a:ln>
          </c:spPr>
        </c:majorGridlines>
        <c:numFmt formatCode="General" sourceLinked="0"/>
        <c:majorTickMark val="cross"/>
        <c:minorTickMark val="none"/>
        <c:tickLblPos val="high"/>
        <c:txPr>
          <a:bodyPr rot="5400000" vert="horz"/>
          <a:lstStyle/>
          <a:p>
            <a:pPr>
              <a:defRPr sz="9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crossAx val="602058752"/>
        <c:crosses val="max"/>
        <c:crossBetween val="between"/>
      </c:valAx>
      <c:catAx>
        <c:axId val="602061824"/>
        <c:scaling>
          <c:orientation val="maxMin"/>
        </c:scaling>
        <c:delete val="1"/>
        <c:axPos val="l"/>
        <c:numFmt formatCode="General" sourceLinked="0"/>
        <c:majorTickMark val="out"/>
        <c:minorTickMark val="none"/>
        <c:tickLblPos val="nextTo"/>
        <c:crossAx val="602075904"/>
        <c:crosses val="autoZero"/>
        <c:auto val="1"/>
        <c:lblAlgn val="ctr"/>
        <c:lblOffset val="100"/>
        <c:noMultiLvlLbl val="0"/>
      </c:catAx>
      <c:valAx>
        <c:axId val="602075904"/>
        <c:scaling>
          <c:orientation val="minMax"/>
        </c:scaling>
        <c:delete val="1"/>
        <c:axPos val="t"/>
        <c:numFmt formatCode="0.0" sourceLinked="1"/>
        <c:majorTickMark val="out"/>
        <c:minorTickMark val="none"/>
        <c:tickLblPos val="nextTo"/>
        <c:crossAx val="602061824"/>
        <c:crosses val="autoZero"/>
        <c:crossBetween val="between"/>
      </c:valAx>
      <c:spPr>
        <a:noFill/>
        <a:ln w="15875">
          <a:solidFill>
            <a:schemeClr val="tx1">
              <a:lumMod val="50000"/>
              <a:lumOff val="50000"/>
            </a:schemeClr>
          </a:solidFill>
        </a:ln>
      </c:spPr>
    </c:plotArea>
    <c:plotVisOnly val="0"/>
    <c:dispBlanksAs val="zero"/>
    <c:showDLblsOverMax val="0"/>
  </c:chart>
  <c:spPr>
    <a:solidFill>
      <a:srgbClr val="FFFFFF"/>
    </a:solidFill>
    <a:ln w="3175">
      <a:solidFill>
        <a:srgbClr val="000000"/>
      </a:solidFill>
      <a:prstDash val="solid"/>
    </a:ln>
  </c:spPr>
  <c:printSettings>
    <c:headerFooter alignWithMargins="0"/>
    <c:pageMargins b="1" l="0.75000000000000488" r="0.75000000000000488" t="1" header="0.5" footer="0.5"/>
    <c:pageSetup orientation="portrait"/>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n-GB" sz="900">
                <a:latin typeface="Arial" panose="020B0604020202020204" pitchFamily="34" charset="0"/>
                <a:cs typeface="Arial" panose="020B0604020202020204" pitchFamily="34" charset="0"/>
              </a:rPr>
              <a:t>16-17</a:t>
            </a:r>
          </a:p>
        </c:rich>
      </c:tx>
      <c:layout>
        <c:manualLayout>
          <c:xMode val="edge"/>
          <c:yMode val="edge"/>
          <c:x val="0.33207797270955164"/>
          <c:y val="7.619047619047619E-3"/>
        </c:manualLayout>
      </c:layout>
      <c:overlay val="1"/>
    </c:title>
    <c:autoTitleDeleted val="0"/>
    <c:plotArea>
      <c:layout>
        <c:manualLayout>
          <c:layoutTarget val="inner"/>
          <c:xMode val="edge"/>
          <c:yMode val="edge"/>
          <c:x val="6.3291139240506333E-2"/>
          <c:y val="4.10474690663667E-2"/>
          <c:w val="0.8524475409375778"/>
          <c:h val="0.84430386201724783"/>
        </c:manualLayout>
      </c:layout>
      <c:barChart>
        <c:barDir val="bar"/>
        <c:grouping val="stacked"/>
        <c:varyColors val="0"/>
        <c:ser>
          <c:idx val="1"/>
          <c:order val="1"/>
          <c:tx>
            <c:strRef>
              <c:f>'Looked After Children'!$Z$4</c:f>
              <c:strCache>
                <c:ptCount val="1"/>
                <c:pt idx="0">
                  <c:v>Selected LA- (none)</c:v>
                </c:pt>
              </c:strCache>
            </c:strRef>
          </c:tx>
          <c:spPr>
            <a:solidFill>
              <a:srgbClr val="66FF99"/>
            </a:solidFill>
            <a:ln w="12700">
              <a:solidFill>
                <a:srgbClr val="808080"/>
              </a:solidFill>
              <a:prstDash val="solid"/>
            </a:ln>
          </c:spPr>
          <c:invertIfNegative val="0"/>
          <c:cat>
            <c:strRef>
              <c:f>'Looked After Children'!$X$306:$X$326</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Children'!$AH$306:$AH$326</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0-F71C-48DD-9688-3D6A3523A0F9}"/>
            </c:ext>
          </c:extLst>
        </c:ser>
        <c:dLbls>
          <c:showLegendKey val="0"/>
          <c:showVal val="0"/>
          <c:showCatName val="0"/>
          <c:showSerName val="0"/>
          <c:showPercent val="0"/>
          <c:showBubbleSize val="0"/>
        </c:dLbls>
        <c:gapWidth val="0"/>
        <c:overlap val="100"/>
        <c:axId val="601729280"/>
        <c:axId val="601731072"/>
      </c:barChart>
      <c:barChart>
        <c:barDir val="bar"/>
        <c:grouping val="clustered"/>
        <c:varyColors val="0"/>
        <c:ser>
          <c:idx val="0"/>
          <c:order val="0"/>
          <c:tx>
            <c:strRef>
              <c:f>'Looked After Children'!$H$307</c:f>
              <c:strCache>
                <c:ptCount val="1"/>
                <c:pt idx="0">
                  <c:v>16-17</c:v>
                </c:pt>
              </c:strCache>
            </c:strRef>
          </c:tx>
          <c:spPr>
            <a:solidFill>
              <a:srgbClr val="9B4719"/>
            </a:solidFill>
            <a:ln w="12700">
              <a:solidFill>
                <a:srgbClr val="000000"/>
              </a:solidFill>
              <a:prstDash val="solid"/>
            </a:ln>
          </c:spPr>
          <c:invertIfNegative val="0"/>
          <c:cat>
            <c:strRef>
              <c:f>'Looked After Children'!$X$306:$X$326</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Children'!$H$308:$H$328</c:f>
              <c:numCache>
                <c:formatCode>0.0</c:formatCode>
                <c:ptCount val="21"/>
                <c:pt idx="0">
                  <c:v>201.70185943901669</c:v>
                </c:pt>
                <c:pt idx="1">
                  <c:v>208.92857142857144</c:v>
                </c:pt>
                <c:pt idx="2">
                  <c:v>128.7781228694796</c:v>
                </c:pt>
                <c:pt idx="3">
                  <c:v>148.65874927331618</c:v>
                </c:pt>
                <c:pt idx="4">
                  <c:v>189.53068592057761</c:v>
                </c:pt>
                <c:pt idx="5">
                  <c:v>228.83295194508008</c:v>
                </c:pt>
                <c:pt idx="6">
                  <c:v>228.32817337461302</c:v>
                </c:pt>
                <c:pt idx="7">
                  <c:v>164.99175041247938</c:v>
                </c:pt>
                <c:pt idx="8">
                  <c:v>163.46611648944611</c:v>
                </c:pt>
                <c:pt idx="9">
                  <c:v>174.98848759950002</c:v>
                </c:pt>
                <c:pt idx="10">
                  <c:v>248.18543666588619</c:v>
                </c:pt>
                <c:pt idx="11">
                  <c:v>216.80216802168022</c:v>
                </c:pt>
                <c:pt idx="12">
                  <c:v>203.5203520352035</c:v>
                </c:pt>
                <c:pt idx="13">
                  <c:v>297.56733275412688</c:v>
                </c:pt>
                <c:pt idx="14">
                  <c:v>109.92599042228996</c:v>
                </c:pt>
                <c:pt idx="15">
                  <c:v>134.75177304964541</c:v>
                </c:pt>
                <c:pt idx="16">
                  <c:v>148.55270344074276</c:v>
                </c:pt>
                <c:pt idx="17">
                  <c:v>95.71788413098237</c:v>
                </c:pt>
                <c:pt idx="18">
                  <c:v>138.08686919407481</c:v>
                </c:pt>
                <c:pt idx="19">
                  <c:v>174.96074288040634</c:v>
                </c:pt>
                <c:pt idx="20">
                  <c:v>184.05417148771426</c:v>
                </c:pt>
              </c:numCache>
            </c:numRef>
          </c:val>
          <c:extLst>
            <c:ext xmlns:c16="http://schemas.microsoft.com/office/drawing/2014/chart" uri="{C3380CC4-5D6E-409C-BE32-E72D297353CC}">
              <c16:uniqueId val="{00000001-F71C-48DD-9688-3D6A3523A0F9}"/>
            </c:ext>
          </c:extLst>
        </c:ser>
        <c:dLbls>
          <c:showLegendKey val="0"/>
          <c:showVal val="0"/>
          <c:showCatName val="0"/>
          <c:showSerName val="0"/>
          <c:showPercent val="0"/>
          <c:showBubbleSize val="0"/>
        </c:dLbls>
        <c:gapWidth val="40"/>
        <c:axId val="601732608"/>
        <c:axId val="601734144"/>
      </c:barChart>
      <c:catAx>
        <c:axId val="601729280"/>
        <c:scaling>
          <c:orientation val="maxMin"/>
        </c:scaling>
        <c:delete val="1"/>
        <c:axPos val="l"/>
        <c:majorGridlines/>
        <c:numFmt formatCode="General" sourceLinked="0"/>
        <c:majorTickMark val="out"/>
        <c:minorTickMark val="none"/>
        <c:tickLblPos val="nextTo"/>
        <c:crossAx val="601731072"/>
        <c:crosses val="autoZero"/>
        <c:auto val="1"/>
        <c:lblAlgn val="ctr"/>
        <c:lblOffset val="100"/>
        <c:noMultiLvlLbl val="0"/>
      </c:catAx>
      <c:valAx>
        <c:axId val="601731072"/>
        <c:scaling>
          <c:orientation val="minMax"/>
          <c:max val="250"/>
          <c:min val="0"/>
        </c:scaling>
        <c:delete val="0"/>
        <c:axPos val="b"/>
        <c:majorGridlines>
          <c:spPr>
            <a:ln>
              <a:prstDash val="sysDash"/>
            </a:ln>
          </c:spPr>
        </c:majorGridlines>
        <c:numFmt formatCode="General" sourceLinked="0"/>
        <c:majorTickMark val="cross"/>
        <c:minorTickMark val="none"/>
        <c:tickLblPos val="high"/>
        <c:txPr>
          <a:bodyPr rot="5400000" vert="horz"/>
          <a:lstStyle/>
          <a:p>
            <a:pPr>
              <a:defRPr sz="9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crossAx val="601729280"/>
        <c:crosses val="max"/>
        <c:crossBetween val="between"/>
      </c:valAx>
      <c:catAx>
        <c:axId val="601732608"/>
        <c:scaling>
          <c:orientation val="maxMin"/>
        </c:scaling>
        <c:delete val="1"/>
        <c:axPos val="l"/>
        <c:numFmt formatCode="General" sourceLinked="0"/>
        <c:majorTickMark val="out"/>
        <c:minorTickMark val="none"/>
        <c:tickLblPos val="nextTo"/>
        <c:crossAx val="601734144"/>
        <c:crosses val="autoZero"/>
        <c:auto val="1"/>
        <c:lblAlgn val="ctr"/>
        <c:lblOffset val="100"/>
        <c:noMultiLvlLbl val="0"/>
      </c:catAx>
      <c:valAx>
        <c:axId val="601734144"/>
        <c:scaling>
          <c:orientation val="minMax"/>
        </c:scaling>
        <c:delete val="1"/>
        <c:axPos val="t"/>
        <c:numFmt formatCode="0.0" sourceLinked="1"/>
        <c:majorTickMark val="out"/>
        <c:minorTickMark val="none"/>
        <c:tickLblPos val="nextTo"/>
        <c:crossAx val="601732608"/>
        <c:crosses val="autoZero"/>
        <c:crossBetween val="between"/>
      </c:valAx>
      <c:spPr>
        <a:noFill/>
        <a:ln w="15875">
          <a:solidFill>
            <a:schemeClr val="tx1">
              <a:lumMod val="50000"/>
              <a:lumOff val="50000"/>
            </a:schemeClr>
          </a:solidFill>
        </a:ln>
      </c:spPr>
    </c:plotArea>
    <c:plotVisOnly val="0"/>
    <c:dispBlanksAs val="zero"/>
    <c:showDLblsOverMax val="0"/>
  </c:chart>
  <c:spPr>
    <a:solidFill>
      <a:srgbClr val="FFFFFF"/>
    </a:solidFill>
    <a:ln w="3175">
      <a:solidFill>
        <a:srgbClr val="000000"/>
      </a:solidFill>
      <a:prstDash val="solid"/>
    </a:ln>
  </c:spPr>
  <c:printSettings>
    <c:headerFooter alignWithMargins="0"/>
    <c:pageMargins b="1" l="0.75000000000000488" r="0.75000000000000488" t="1" header="0.5" footer="0.5"/>
    <c:pageSetup orientation="portrait"/>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a:pPr>
            <a:r>
              <a:rPr lang="en-GB" sz="1200" b="1"/>
              <a:t>% CLA who were UASC</a:t>
            </a:r>
          </a:p>
          <a:p>
            <a:pPr>
              <a:defRPr sz="1200" b="1"/>
            </a:pPr>
            <a:r>
              <a:rPr lang="en-GB" sz="1200" b="1"/>
              <a:t>(Selected LA vs. SE &amp; National) </a:t>
            </a:r>
          </a:p>
        </c:rich>
      </c:tx>
      <c:layout>
        <c:manualLayout>
          <c:xMode val="edge"/>
          <c:yMode val="edge"/>
          <c:x val="0.20505989969075647"/>
          <c:y val="3.8614513911056137E-3"/>
        </c:manualLayout>
      </c:layout>
      <c:overlay val="0"/>
      <c:spPr>
        <a:noFill/>
        <a:ln w="25400">
          <a:noFill/>
        </a:ln>
      </c:spPr>
    </c:title>
    <c:autoTitleDeleted val="0"/>
    <c:plotArea>
      <c:layout>
        <c:manualLayout>
          <c:layoutTarget val="inner"/>
          <c:xMode val="edge"/>
          <c:yMode val="edge"/>
          <c:x val="9.8666564984461691E-2"/>
          <c:y val="0.2413076380637276"/>
          <c:w val="0.61185779995322365"/>
          <c:h val="0.54035074091560642"/>
        </c:manualLayout>
      </c:layout>
      <c:barChart>
        <c:barDir val="col"/>
        <c:grouping val="clustered"/>
        <c:varyColors val="0"/>
        <c:ser>
          <c:idx val="6"/>
          <c:order val="0"/>
          <c:tx>
            <c:strRef>
              <c:f>'Looked After Children'!$Z$4</c:f>
              <c:strCache>
                <c:ptCount val="1"/>
                <c:pt idx="0">
                  <c:v>Selected LA- (none)</c:v>
                </c:pt>
              </c:strCache>
            </c:strRef>
          </c:tx>
          <c:spPr>
            <a:solidFill>
              <a:srgbClr val="66FF99"/>
            </a:solidFill>
            <a:ln>
              <a:solidFill>
                <a:schemeClr val="tx1">
                  <a:lumMod val="75000"/>
                  <a:lumOff val="25000"/>
                </a:schemeClr>
              </a:solidFill>
            </a:ln>
          </c:spPr>
          <c:invertIfNegative val="0"/>
          <c:cat>
            <c:strRef>
              <c:f>'Looked After Children'!$Y$2:$AC$3</c:f>
              <c:strCache>
                <c:ptCount val="5"/>
                <c:pt idx="0">
                  <c:v>2019/20</c:v>
                </c:pt>
                <c:pt idx="1">
                  <c:v>2020/21</c:v>
                </c:pt>
                <c:pt idx="2">
                  <c:v>2021/22</c:v>
                </c:pt>
                <c:pt idx="3">
                  <c:v>2022/23</c:v>
                </c:pt>
                <c:pt idx="4">
                  <c:v>2023/24</c:v>
                </c:pt>
              </c:strCache>
            </c:strRef>
          </c:cat>
          <c:val>
            <c:numRef>
              <c:f>'Looked After Children'!$BG$59:$BK$59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44BC-4A9E-8A31-EFD87CE33593}"/>
            </c:ext>
          </c:extLst>
        </c:ser>
        <c:ser>
          <c:idx val="4"/>
          <c:order val="1"/>
          <c:tx>
            <c:strRef>
              <c:f>'Looked After Children'!$B$161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'Looked After Children'!$Y$2:$AC$3</c:f>
              <c:strCache>
                <c:ptCount val="5"/>
                <c:pt idx="0">
                  <c:v>2019/20</c:v>
                </c:pt>
                <c:pt idx="1">
                  <c:v>2020/21</c:v>
                </c:pt>
                <c:pt idx="2">
                  <c:v>2021/22</c:v>
                </c:pt>
                <c:pt idx="3">
                  <c:v>2022/23</c:v>
                </c:pt>
                <c:pt idx="4">
                  <c:v>2023/24</c:v>
                </c:pt>
              </c:strCache>
            </c:strRef>
          </c:cat>
          <c:val>
            <c:numRef>
              <c:f>'Looked After Children'!$D$262:$H$262</c:f>
              <c:numCache>
                <c:formatCode>0%</c:formatCode>
                <c:ptCount val="5"/>
                <c:pt idx="0">
                  <c:v>9.9721929235784837E-2</c:v>
                </c:pt>
                <c:pt idx="1">
                  <c:v>8.1834714083653268E-2</c:v>
                </c:pt>
                <c:pt idx="2">
                  <c:v>0.10778846153846154</c:v>
                </c:pt>
                <c:pt idx="3">
                  <c:v>0.1435982953492681</c:v>
                </c:pt>
                <c:pt idx="4">
                  <c:v>0.14316392269148176</c:v>
                </c:pt>
              </c:numCache>
            </c:numRef>
          </c:val>
          <c:extLst>
            <c:ext xmlns:c16="http://schemas.microsoft.com/office/drawing/2014/chart" uri="{C3380CC4-5D6E-409C-BE32-E72D297353CC}">
              <c16:uniqueId val="{00000001-44BC-4A9E-8A31-EFD87CE33593}"/>
            </c:ext>
          </c:extLst>
        </c:ser>
        <c:ser>
          <c:idx val="0"/>
          <c:order val="2"/>
          <c:tx>
            <c:strRef>
              <c:f>'Looked After Children'!$B$162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'Looked After Children'!$Y$2:$AC$3</c:f>
              <c:strCache>
                <c:ptCount val="5"/>
                <c:pt idx="0">
                  <c:v>2019/20</c:v>
                </c:pt>
                <c:pt idx="1">
                  <c:v>2020/21</c:v>
                </c:pt>
                <c:pt idx="2">
                  <c:v>2021/22</c:v>
                </c:pt>
                <c:pt idx="3">
                  <c:v>2022/23</c:v>
                </c:pt>
                <c:pt idx="4">
                  <c:v>2023/24</c:v>
                </c:pt>
              </c:strCache>
            </c:strRef>
          </c:cat>
          <c:val>
            <c:numRef>
              <c:f>'Looked After Children'!$D$263:$H$263</c:f>
              <c:numCache>
                <c:formatCode>0%</c:formatCode>
                <c:ptCount val="5"/>
                <c:pt idx="0">
                  <c:v>6.25E-2</c:v>
                </c:pt>
                <c:pt idx="1">
                  <c:v>5.0338890812843221E-2</c:v>
                </c:pt>
                <c:pt idx="2">
                  <c:v>6.7786296701959348E-2</c:v>
                </c:pt>
                <c:pt idx="3">
                  <c:v>8.6951335877862593E-2</c:v>
                </c:pt>
                <c:pt idx="4">
                  <c:v>8.8245844792538566E-2</c:v>
                </c:pt>
              </c:numCache>
            </c:numRef>
          </c:val>
          <c:extLst>
            <c:ext xmlns:c16="http://schemas.microsoft.com/office/drawing/2014/chart" uri="{C3380CC4-5D6E-409C-BE32-E72D297353CC}">
              <c16:uniqueId val="{00000002-44BC-4A9E-8A31-EFD87CE33593}"/>
            </c:ext>
          </c:extLst>
        </c:ser>
        <c:dLbls>
          <c:showLegendKey val="0"/>
          <c:showVal val="0"/>
          <c:showCatName val="0"/>
          <c:showSerName val="0"/>
          <c:showPercent val="0"/>
          <c:showBubbleSize val="0"/>
        </c:dLbls>
        <c:gapWidth val="100"/>
        <c:axId val="601845120"/>
        <c:axId val="601846912"/>
      </c:barChart>
      <c:catAx>
        <c:axId val="601845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01846912"/>
        <c:crosses val="autoZero"/>
        <c:auto val="1"/>
        <c:lblAlgn val="ctr"/>
        <c:lblOffset val="100"/>
        <c:noMultiLvlLbl val="0"/>
      </c:catAx>
      <c:valAx>
        <c:axId val="601846912"/>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01845120"/>
        <c:crosses val="autoZero"/>
        <c:crossBetween val="between"/>
      </c:valAx>
      <c:spPr>
        <a:noFill/>
        <a:ln w="3175">
          <a:solidFill>
            <a:srgbClr val="000000"/>
          </a:solidFill>
          <a:prstDash val="solid"/>
        </a:ln>
      </c:spPr>
    </c:plotArea>
    <c:legend>
      <c:legendPos val="r"/>
      <c:layout>
        <c:manualLayout>
          <c:xMode val="edge"/>
          <c:yMode val="edge"/>
          <c:x val="0.71783139731295964"/>
          <c:y val="0.23440399653846947"/>
          <c:w val="0.28216860268704036"/>
          <c:h val="0.6685123685214126"/>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Children Looked After who were Unaccompanied Asylum Seeking Children (UASC)</a:t>
            </a:r>
          </a:p>
        </c:rich>
      </c:tx>
      <c:layout>
        <c:manualLayout>
          <c:xMode val="edge"/>
          <c:yMode val="edge"/>
          <c:x val="0.13972489711934155"/>
          <c:y val="1.0494165152432868E-2"/>
        </c:manualLayout>
      </c:layout>
      <c:overlay val="0"/>
      <c:spPr>
        <a:noFill/>
        <a:ln w="25400">
          <a:noFill/>
        </a:ln>
      </c:spPr>
    </c:title>
    <c:autoTitleDeleted val="0"/>
    <c:plotArea>
      <c:layout>
        <c:manualLayout>
          <c:layoutTarget val="inner"/>
          <c:xMode val="edge"/>
          <c:yMode val="edge"/>
          <c:x val="8.9669774541780586E-2"/>
          <c:y val="7.3549410974790952E-2"/>
          <c:w val="0.56390124190451041"/>
          <c:h val="0.86579581299760788"/>
        </c:manualLayout>
      </c:layout>
      <c:lineChart>
        <c:grouping val="standard"/>
        <c:varyColors val="0"/>
        <c:ser>
          <c:idx val="0"/>
          <c:order val="0"/>
          <c:tx>
            <c:strRef>
              <c:f>'Looked After Children'!$AK$38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09AD-4423-AD32-EC6F44384F67}"/>
              </c:ext>
            </c:extLst>
          </c:dPt>
          <c:cat>
            <c:strRef>
              <c:f>'Looked After Children'!$Y$2:$AC$3</c:f>
              <c:strCache>
                <c:ptCount val="5"/>
                <c:pt idx="0">
                  <c:v>2019/20</c:v>
                </c:pt>
                <c:pt idx="1">
                  <c:v>2020/21</c:v>
                </c:pt>
                <c:pt idx="2">
                  <c:v>2021/22</c:v>
                </c:pt>
                <c:pt idx="3">
                  <c:v>2022/23</c:v>
                </c:pt>
                <c:pt idx="4">
                  <c:v>2023/24</c:v>
                </c:pt>
              </c:strCache>
            </c:strRef>
          </c:cat>
          <c:val>
            <c:numRef>
              <c:f>'Looked After Children'!$BG$38:$BK$38</c:f>
              <c:numCache>
                <c:formatCode>0.0%</c:formatCode>
                <c:ptCount val="5"/>
                <c:pt idx="0">
                  <c:v>2.1126760563380281E-2</c:v>
                </c:pt>
                <c:pt idx="1">
                  <c:v>#N/A</c:v>
                </c:pt>
                <c:pt idx="2">
                  <c:v>8.0291970802919707E-2</c:v>
                </c:pt>
                <c:pt idx="3">
                  <c:v>0.20382165605095542</c:v>
                </c:pt>
                <c:pt idx="4">
                  <c:v>0.15714285714285714</c:v>
                </c:pt>
              </c:numCache>
            </c:numRef>
          </c:val>
          <c:smooth val="0"/>
          <c:extLst>
            <c:ext xmlns:c16="http://schemas.microsoft.com/office/drawing/2014/chart" uri="{C3380CC4-5D6E-409C-BE32-E72D297353CC}">
              <c16:uniqueId val="{00000001-09AD-4423-AD32-EC6F44384F67}"/>
            </c:ext>
          </c:extLst>
        </c:ser>
        <c:ser>
          <c:idx val="1"/>
          <c:order val="1"/>
          <c:tx>
            <c:strRef>
              <c:f>'Looked After Children'!$AK$39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Children'!$BG$39:$BK$39</c:f>
              <c:numCache>
                <c:formatCode>0.0%</c:formatCode>
                <c:ptCount val="5"/>
                <c:pt idx="0">
                  <c:v>8.6253369272237201E-2</c:v>
                </c:pt>
                <c:pt idx="1">
                  <c:v>9.9195710455764072E-2</c:v>
                </c:pt>
                <c:pt idx="2">
                  <c:v>0.10796915167095116</c:v>
                </c:pt>
                <c:pt idx="3">
                  <c:v>0.15362318840579711</c:v>
                </c:pt>
                <c:pt idx="4">
                  <c:v>0.1440677966101695</c:v>
                </c:pt>
              </c:numCache>
            </c:numRef>
          </c:val>
          <c:smooth val="0"/>
          <c:extLst>
            <c:ext xmlns:c16="http://schemas.microsoft.com/office/drawing/2014/chart" uri="{C3380CC4-5D6E-409C-BE32-E72D297353CC}">
              <c16:uniqueId val="{00000002-09AD-4423-AD32-EC6F44384F67}"/>
            </c:ext>
          </c:extLst>
        </c:ser>
        <c:ser>
          <c:idx val="2"/>
          <c:order val="2"/>
          <c:tx>
            <c:strRef>
              <c:f>'Looked After Children'!$AK$40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Children'!$BG$40:$BK$40</c:f>
              <c:numCache>
                <c:formatCode>0.0%</c:formatCode>
                <c:ptCount val="5"/>
                <c:pt idx="0">
                  <c:v>5.1652892561983473E-2</c:v>
                </c:pt>
                <c:pt idx="1">
                  <c:v>4.1176470588235294E-2</c:v>
                </c:pt>
                <c:pt idx="2">
                  <c:v>5.3784860557768925E-2</c:v>
                </c:pt>
                <c:pt idx="3">
                  <c:v>0.14285714285714285</c:v>
                </c:pt>
                <c:pt idx="4">
                  <c:v>0.124282982791587</c:v>
                </c:pt>
              </c:numCache>
            </c:numRef>
          </c:val>
          <c:smooth val="0"/>
          <c:extLst>
            <c:ext xmlns:c16="http://schemas.microsoft.com/office/drawing/2014/chart" uri="{C3380CC4-5D6E-409C-BE32-E72D297353CC}">
              <c16:uniqueId val="{00000003-09AD-4423-AD32-EC6F44384F67}"/>
            </c:ext>
          </c:extLst>
        </c:ser>
        <c:ser>
          <c:idx val="5"/>
          <c:order val="3"/>
          <c:tx>
            <c:strRef>
              <c:f>'Looked After Children'!$AK$41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Children'!$BG$41:$BK$41</c:f>
              <c:numCache>
                <c:formatCode>0.0%</c:formatCode>
                <c:ptCount val="5"/>
                <c:pt idx="0">
                  <c:v>5.3448275862068968E-2</c:v>
                </c:pt>
                <c:pt idx="1">
                  <c:v>9.1653027823240585E-2</c:v>
                </c:pt>
                <c:pt idx="2">
                  <c:v>9.3949044585987268E-2</c:v>
                </c:pt>
                <c:pt idx="3">
                  <c:v>0.10892586989409984</c:v>
                </c:pt>
                <c:pt idx="4">
                  <c:v>0.1111111111111111</c:v>
                </c:pt>
              </c:numCache>
            </c:numRef>
          </c:val>
          <c:smooth val="0"/>
          <c:extLst>
            <c:ext xmlns:c16="http://schemas.microsoft.com/office/drawing/2014/chart" uri="{C3380CC4-5D6E-409C-BE32-E72D297353CC}">
              <c16:uniqueId val="{00000004-09AD-4423-AD32-EC6F44384F67}"/>
            </c:ext>
          </c:extLst>
        </c:ser>
        <c:ser>
          <c:idx val="9"/>
          <c:order val="4"/>
          <c:tx>
            <c:strRef>
              <c:f>'Looked After Children'!$AK$42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Children'!$BG$42:$BK$42</c:f>
              <c:numCache>
                <c:formatCode>0.0%</c:formatCode>
                <c:ptCount val="5"/>
                <c:pt idx="0">
                  <c:v>5.3091817613991253E-2</c:v>
                </c:pt>
                <c:pt idx="1">
                  <c:v>4.1541240216736906E-2</c:v>
                </c:pt>
                <c:pt idx="2">
                  <c:v>6.1484918793503478E-2</c:v>
                </c:pt>
                <c:pt idx="3">
                  <c:v>0.12898003237992445</c:v>
                </c:pt>
                <c:pt idx="4">
                  <c:v>0.15910276473656756</c:v>
                </c:pt>
              </c:numCache>
            </c:numRef>
          </c:val>
          <c:smooth val="0"/>
          <c:extLst>
            <c:ext xmlns:c16="http://schemas.microsoft.com/office/drawing/2014/chart" uri="{C3380CC4-5D6E-409C-BE32-E72D297353CC}">
              <c16:uniqueId val="{00000005-09AD-4423-AD32-EC6F44384F67}"/>
            </c:ext>
          </c:extLst>
        </c:ser>
        <c:ser>
          <c:idx val="10"/>
          <c:order val="5"/>
          <c:tx>
            <c:strRef>
              <c:f>'Looked After Children'!$AK$43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Children'!$BG$43:$BK$43</c:f>
              <c:numCache>
                <c:formatCode>0.0%</c:formatCode>
                <c:ptCount val="5"/>
                <c:pt idx="0">
                  <c:v>1.9011406844106463E-2</c:v>
                </c:pt>
                <c:pt idx="1">
                  <c:v>2.5925925925925925E-2</c:v>
                </c:pt>
                <c:pt idx="2">
                  <c:v>6.1818181818181821E-2</c:v>
                </c:pt>
                <c:pt idx="3">
                  <c:v>7.9861111111111105E-2</c:v>
                </c:pt>
                <c:pt idx="4">
                  <c:v>7.5268817204301078E-2</c:v>
                </c:pt>
              </c:numCache>
            </c:numRef>
          </c:val>
          <c:smooth val="0"/>
          <c:extLst>
            <c:ext xmlns:c16="http://schemas.microsoft.com/office/drawing/2014/chart" uri="{C3380CC4-5D6E-409C-BE32-E72D297353CC}">
              <c16:uniqueId val="{00000006-09AD-4423-AD32-EC6F44384F67}"/>
            </c:ext>
          </c:extLst>
        </c:ser>
        <c:ser>
          <c:idx val="11"/>
          <c:order val="6"/>
          <c:tx>
            <c:strRef>
              <c:f>'Looked After Children'!$AK$44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Children'!$BG$44:$BK$44</c:f>
              <c:numCache>
                <c:formatCode>0.0%</c:formatCode>
                <c:ptCount val="5"/>
                <c:pt idx="0">
                  <c:v>0.23588039867109634</c:v>
                </c:pt>
                <c:pt idx="1">
                  <c:v>0.17509025270758122</c:v>
                </c:pt>
                <c:pt idx="2">
                  <c:v>0.20821609454136183</c:v>
                </c:pt>
                <c:pt idx="3">
                  <c:v>0.22914521112255407</c:v>
                </c:pt>
                <c:pt idx="4">
                  <c:v>0.25408163265306122</c:v>
                </c:pt>
              </c:numCache>
            </c:numRef>
          </c:val>
          <c:smooth val="0"/>
          <c:extLst>
            <c:ext xmlns:c16="http://schemas.microsoft.com/office/drawing/2014/chart" uri="{C3380CC4-5D6E-409C-BE32-E72D297353CC}">
              <c16:uniqueId val="{00000007-09AD-4423-AD32-EC6F44384F67}"/>
            </c:ext>
          </c:extLst>
        </c:ser>
        <c:ser>
          <c:idx val="12"/>
          <c:order val="7"/>
          <c:tx>
            <c:strRef>
              <c:f>'Looked After Children'!$AK$45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Children'!$BG$45:$BK$45</c:f>
              <c:numCache>
                <c:formatCode>0.0%</c:formatCode>
                <c:ptCount val="5"/>
                <c:pt idx="0">
                  <c:v>1.8779342723004695E-2</c:v>
                </c:pt>
                <c:pt idx="1">
                  <c:v>#N/A</c:v>
                </c:pt>
                <c:pt idx="2">
                  <c:v>#N/A</c:v>
                </c:pt>
                <c:pt idx="3">
                  <c:v>#N/A</c:v>
                </c:pt>
                <c:pt idx="4">
                  <c:v>4.6218487394957986E-2</c:v>
                </c:pt>
              </c:numCache>
            </c:numRef>
          </c:val>
          <c:smooth val="0"/>
          <c:extLst>
            <c:ext xmlns:c16="http://schemas.microsoft.com/office/drawing/2014/chart" uri="{C3380CC4-5D6E-409C-BE32-E72D297353CC}">
              <c16:uniqueId val="{00000008-09AD-4423-AD32-EC6F44384F67}"/>
            </c:ext>
          </c:extLst>
        </c:ser>
        <c:ser>
          <c:idx val="13"/>
          <c:order val="8"/>
          <c:tx>
            <c:strRef>
              <c:f>'Looked After Children'!$AK$46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Children'!$BG$46:$BK$46</c:f>
              <c:numCache>
                <c:formatCode>0.0%</c:formatCode>
                <c:ptCount val="5"/>
                <c:pt idx="0">
                  <c:v>7.9404466501240695E-2</c:v>
                </c:pt>
                <c:pt idx="1">
                  <c:v>5.8227848101265821E-2</c:v>
                </c:pt>
                <c:pt idx="2">
                  <c:v>7.7562326869806089E-2</c:v>
                </c:pt>
                <c:pt idx="3">
                  <c:v>8.7570621468926552E-2</c:v>
                </c:pt>
                <c:pt idx="4">
                  <c:v>0.11219512195121951</c:v>
                </c:pt>
              </c:numCache>
            </c:numRef>
          </c:val>
          <c:smooth val="0"/>
          <c:extLst>
            <c:ext xmlns:c16="http://schemas.microsoft.com/office/drawing/2014/chart" uri="{C3380CC4-5D6E-409C-BE32-E72D297353CC}">
              <c16:uniqueId val="{00000009-09AD-4423-AD32-EC6F44384F67}"/>
            </c:ext>
          </c:extLst>
        </c:ser>
        <c:ser>
          <c:idx val="15"/>
          <c:order val="9"/>
          <c:tx>
            <c:strRef>
              <c:f>'Looked After Children'!$AK$47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Children'!$BG$47:$BK$47</c:f>
              <c:numCache>
                <c:formatCode>0.0%</c:formatCode>
                <c:ptCount val="5"/>
                <c:pt idx="0">
                  <c:v>6.6492829204693613E-2</c:v>
                </c:pt>
                <c:pt idx="1">
                  <c:v>5.2295918367346941E-2</c:v>
                </c:pt>
                <c:pt idx="2">
                  <c:v>6.7915690866510545E-2</c:v>
                </c:pt>
                <c:pt idx="3">
                  <c:v>0.11804767309875142</c:v>
                </c:pt>
                <c:pt idx="4">
                  <c:v>0.12337662337662338</c:v>
                </c:pt>
              </c:numCache>
            </c:numRef>
          </c:val>
          <c:smooth val="0"/>
          <c:extLst>
            <c:ext xmlns:c16="http://schemas.microsoft.com/office/drawing/2014/chart" uri="{C3380CC4-5D6E-409C-BE32-E72D297353CC}">
              <c16:uniqueId val="{0000000A-09AD-4423-AD32-EC6F44384F67}"/>
            </c:ext>
          </c:extLst>
        </c:ser>
        <c:ser>
          <c:idx val="16"/>
          <c:order val="10"/>
          <c:tx>
            <c:strRef>
              <c:f>'Looked After Children'!$AK$48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Children'!$BG$48:$BK$48</c:f>
              <c:numCache>
                <c:formatCode>0.0%</c:formatCode>
                <c:ptCount val="5"/>
                <c:pt idx="0">
                  <c:v>0.21153846153846154</c:v>
                </c:pt>
                <c:pt idx="1">
                  <c:v>9.2592592592592587E-2</c:v>
                </c:pt>
                <c:pt idx="2">
                  <c:v>0.10362694300518134</c:v>
                </c:pt>
                <c:pt idx="3">
                  <c:v>0.10051546391752578</c:v>
                </c:pt>
                <c:pt idx="4">
                  <c:v>9.7014925373134331E-2</c:v>
                </c:pt>
              </c:numCache>
            </c:numRef>
          </c:val>
          <c:smooth val="0"/>
          <c:extLst>
            <c:ext xmlns:c16="http://schemas.microsoft.com/office/drawing/2014/chart" uri="{C3380CC4-5D6E-409C-BE32-E72D297353CC}">
              <c16:uniqueId val="{0000000B-09AD-4423-AD32-EC6F44384F67}"/>
            </c:ext>
          </c:extLst>
        </c:ser>
        <c:ser>
          <c:idx val="17"/>
          <c:order val="11"/>
          <c:tx>
            <c:strRef>
              <c:f>'Looked After Children'!$AK$49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Children'!$BG$49:$BK$49</c:f>
              <c:numCache>
                <c:formatCode>0.0%</c:formatCode>
                <c:ptCount val="5"/>
                <c:pt idx="0">
                  <c:v>3.6101083032490974E-2</c:v>
                </c:pt>
                <c:pt idx="1">
                  <c:v>7.0370370370370375E-2</c:v>
                </c:pt>
                <c:pt idx="2">
                  <c:v>9.8290598290598288E-2</c:v>
                </c:pt>
                <c:pt idx="3">
                  <c:v>0.13492063492063491</c:v>
                </c:pt>
                <c:pt idx="4">
                  <c:v>0.10902255639097744</c:v>
                </c:pt>
              </c:numCache>
            </c:numRef>
          </c:val>
          <c:smooth val="0"/>
          <c:extLst>
            <c:ext xmlns:c16="http://schemas.microsoft.com/office/drawing/2014/chart" uri="{C3380CC4-5D6E-409C-BE32-E72D297353CC}">
              <c16:uniqueId val="{0000000C-09AD-4423-AD32-EC6F44384F67}"/>
            </c:ext>
          </c:extLst>
        </c:ser>
        <c:ser>
          <c:idx val="19"/>
          <c:order val="12"/>
          <c:tx>
            <c:strRef>
              <c:f>'Looked After Children'!$AK$50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Children'!$BG$50:$BK$50</c:f>
              <c:numCache>
                <c:formatCode>0.0%</c:formatCode>
                <c:ptCount val="5"/>
                <c:pt idx="0">
                  <c:v>1.5306122448979591E-2</c:v>
                </c:pt>
                <c:pt idx="1">
                  <c:v>4.4843049327354258E-2</c:v>
                </c:pt>
                <c:pt idx="2">
                  <c:v>0.11965811965811966</c:v>
                </c:pt>
                <c:pt idx="3">
                  <c:v>0.15810276679841898</c:v>
                </c:pt>
                <c:pt idx="4">
                  <c:v>0.12935323383084577</c:v>
                </c:pt>
              </c:numCache>
            </c:numRef>
          </c:val>
          <c:smooth val="0"/>
          <c:extLst>
            <c:ext xmlns:c16="http://schemas.microsoft.com/office/drawing/2014/chart" uri="{C3380CC4-5D6E-409C-BE32-E72D297353CC}">
              <c16:uniqueId val="{0000000D-09AD-4423-AD32-EC6F44384F67}"/>
            </c:ext>
          </c:extLst>
        </c:ser>
        <c:ser>
          <c:idx val="20"/>
          <c:order val="13"/>
          <c:tx>
            <c:strRef>
              <c:f>'Looked After Children'!$AK$51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Children'!$BG$51:$BK$51</c:f>
              <c:numCache>
                <c:formatCode>0.0%</c:formatCode>
                <c:ptCount val="5"/>
                <c:pt idx="0">
                  <c:v>3.0864197530864196E-2</c:v>
                </c:pt>
                <c:pt idx="1">
                  <c:v>4.0241448692152917E-2</c:v>
                </c:pt>
                <c:pt idx="2">
                  <c:v>4.4563279857397504E-2</c:v>
                </c:pt>
                <c:pt idx="3">
                  <c:v>7.434944237918216E-2</c:v>
                </c:pt>
                <c:pt idx="4">
                  <c:v>7.9918032786885251E-2</c:v>
                </c:pt>
              </c:numCache>
            </c:numRef>
          </c:val>
          <c:smooth val="0"/>
          <c:extLst>
            <c:ext xmlns:c16="http://schemas.microsoft.com/office/drawing/2014/chart" uri="{C3380CC4-5D6E-409C-BE32-E72D297353CC}">
              <c16:uniqueId val="{0000000F-09AD-4423-AD32-EC6F44384F67}"/>
            </c:ext>
          </c:extLst>
        </c:ser>
        <c:ser>
          <c:idx val="22"/>
          <c:order val="14"/>
          <c:tx>
            <c:strRef>
              <c:f>'Looked After Children'!$AK$52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Children'!$BG$52:$BK$52</c:f>
              <c:numCache>
                <c:formatCode>0.0%</c:formatCode>
                <c:ptCount val="5"/>
                <c:pt idx="0">
                  <c:v>0.10986775178026449</c:v>
                </c:pt>
                <c:pt idx="1">
                  <c:v>7.8313253012048195E-2</c:v>
                </c:pt>
                <c:pt idx="2">
                  <c:v>0.11354961832061068</c:v>
                </c:pt>
                <c:pt idx="3">
                  <c:v>0.14116485686080948</c:v>
                </c:pt>
                <c:pt idx="4">
                  <c:v>0.1059190031152648</c:v>
                </c:pt>
              </c:numCache>
            </c:numRef>
          </c:val>
          <c:smooth val="0"/>
          <c:extLst>
            <c:ext xmlns:c16="http://schemas.microsoft.com/office/drawing/2014/chart" uri="{C3380CC4-5D6E-409C-BE32-E72D297353CC}">
              <c16:uniqueId val="{00000010-09AD-4423-AD32-EC6F44384F67}"/>
            </c:ext>
          </c:extLst>
        </c:ser>
        <c:ser>
          <c:idx val="23"/>
          <c:order val="15"/>
          <c:tx>
            <c:strRef>
              <c:f>'Looked After Children'!$AK$53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Children'!$BG$53:$BK$53</c:f>
              <c:numCache>
                <c:formatCode>0.0%</c:formatCode>
                <c:ptCount val="5"/>
                <c:pt idx="0">
                  <c:v>9.6153846153846159E-2</c:v>
                </c:pt>
                <c:pt idx="1">
                  <c:v>7.5342465753424653E-2</c:v>
                </c:pt>
                <c:pt idx="2">
                  <c:v>0.15662650602409639</c:v>
                </c:pt>
                <c:pt idx="3">
                  <c:v>0.13197969543147209</c:v>
                </c:pt>
                <c:pt idx="4">
                  <c:v>0.13368983957219252</c:v>
                </c:pt>
              </c:numCache>
            </c:numRef>
          </c:val>
          <c:smooth val="0"/>
          <c:extLst>
            <c:ext xmlns:c16="http://schemas.microsoft.com/office/drawing/2014/chart" uri="{C3380CC4-5D6E-409C-BE32-E72D297353CC}">
              <c16:uniqueId val="{00000013-09AD-4423-AD32-EC6F44384F67}"/>
            </c:ext>
          </c:extLst>
        </c:ser>
        <c:ser>
          <c:idx val="24"/>
          <c:order val="16"/>
          <c:tx>
            <c:strRef>
              <c:f>'Looked After Children'!$AK$54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Children'!$BG$54:$BK$54</c:f>
              <c:numCache>
                <c:formatCode>0.0%</c:formatCode>
                <c:ptCount val="5"/>
                <c:pt idx="0">
                  <c:v>9.6774193548387094E-2</c:v>
                </c:pt>
                <c:pt idx="1">
                  <c:v>8.9786756453423114E-2</c:v>
                </c:pt>
                <c:pt idx="2">
                  <c:v>0.12441860465116279</c:v>
                </c:pt>
                <c:pt idx="3">
                  <c:v>9.92108229988726E-2</c:v>
                </c:pt>
                <c:pt idx="4">
                  <c:v>9.3818984547461362E-2</c:v>
                </c:pt>
              </c:numCache>
            </c:numRef>
          </c:val>
          <c:smooth val="0"/>
          <c:extLst>
            <c:ext xmlns:c16="http://schemas.microsoft.com/office/drawing/2014/chart" uri="{C3380CC4-5D6E-409C-BE32-E72D297353CC}">
              <c16:uniqueId val="{00000014-09AD-4423-AD32-EC6F44384F67}"/>
            </c:ext>
          </c:extLst>
        </c:ser>
        <c:ser>
          <c:idx val="25"/>
          <c:order val="17"/>
          <c:tx>
            <c:strRef>
              <c:f>'Looked After Children'!$AK$55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Children'!$BG$55:$BK$55</c:f>
              <c:numCache>
                <c:formatCode>0.0%</c:formatCode>
                <c:ptCount val="5"/>
                <c:pt idx="0">
                  <c:v>2.5862068965517241E-2</c:v>
                </c:pt>
                <c:pt idx="1">
                  <c:v>4.6153846153846156E-2</c:v>
                </c:pt>
                <c:pt idx="2">
                  <c:v>7.03125E-2</c:v>
                </c:pt>
                <c:pt idx="3">
                  <c:v>0.20529801324503311</c:v>
                </c:pt>
                <c:pt idx="4">
                  <c:v>0.15714285714285714</c:v>
                </c:pt>
              </c:numCache>
            </c:numRef>
          </c:val>
          <c:smooth val="0"/>
          <c:extLst>
            <c:ext xmlns:c16="http://schemas.microsoft.com/office/drawing/2014/chart" uri="{C3380CC4-5D6E-409C-BE32-E72D297353CC}">
              <c16:uniqueId val="{00000015-09AD-4423-AD32-EC6F44384F67}"/>
            </c:ext>
          </c:extLst>
        </c:ser>
        <c:ser>
          <c:idx val="26"/>
          <c:order val="18"/>
          <c:tx>
            <c:strRef>
              <c:f>'Looked After Children'!$AK$56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Children'!$BG$56:$BK$56</c:f>
              <c:numCache>
                <c:formatCode>0.0%</c:formatCode>
                <c:ptCount val="5"/>
                <c:pt idx="0">
                  <c:v>7.1428571428571425E-2</c:v>
                </c:pt>
                <c:pt idx="1">
                  <c:v>5.9405940594059403E-2</c:v>
                </c:pt>
                <c:pt idx="2">
                  <c:v>0.19117647058823528</c:v>
                </c:pt>
                <c:pt idx="3">
                  <c:v>0.29197080291970801</c:v>
                </c:pt>
                <c:pt idx="4">
                  <c:v>0.26277372262773724</c:v>
                </c:pt>
              </c:numCache>
            </c:numRef>
          </c:val>
          <c:smooth val="0"/>
          <c:extLst>
            <c:ext xmlns:c16="http://schemas.microsoft.com/office/drawing/2014/chart" uri="{C3380CC4-5D6E-409C-BE32-E72D297353CC}">
              <c16:uniqueId val="{00000016-09AD-4423-AD32-EC6F44384F67}"/>
            </c:ext>
          </c:extLst>
        </c:ser>
        <c:ser>
          <c:idx val="4"/>
          <c:order val="19"/>
          <c:tx>
            <c:strRef>
              <c:f>'Looked After Children'!$AK$57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Children'!$BG$57:$BK$57</c:f>
              <c:numCache>
                <c:formatCode>0.0%</c:formatCode>
                <c:ptCount val="5"/>
                <c:pt idx="0">
                  <c:v>9.9721929235784837E-2</c:v>
                </c:pt>
                <c:pt idx="1">
                  <c:v>8.1834714083653268E-2</c:v>
                </c:pt>
                <c:pt idx="2">
                  <c:v>0.10778846153846154</c:v>
                </c:pt>
                <c:pt idx="3">
                  <c:v>0.1435982953492681</c:v>
                </c:pt>
                <c:pt idx="4">
                  <c:v>0.14316392269148176</c:v>
                </c:pt>
              </c:numCache>
            </c:numRef>
          </c:val>
          <c:smooth val="0"/>
          <c:extLst>
            <c:ext xmlns:c16="http://schemas.microsoft.com/office/drawing/2014/chart" uri="{C3380CC4-5D6E-409C-BE32-E72D297353CC}">
              <c16:uniqueId val="{00000017-09AD-4423-AD32-EC6F44384F67}"/>
            </c:ext>
          </c:extLst>
        </c:ser>
        <c:ser>
          <c:idx val="14"/>
          <c:order val="20"/>
          <c:tx>
            <c:strRef>
              <c:f>'Looked After Children'!$AK$58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'Looked After Children'!$Y$2:$AC$3</c:f>
              <c:strCache>
                <c:ptCount val="5"/>
                <c:pt idx="0">
                  <c:v>2019/20</c:v>
                </c:pt>
                <c:pt idx="1">
                  <c:v>2020/21</c:v>
                </c:pt>
                <c:pt idx="2">
                  <c:v>2021/22</c:v>
                </c:pt>
                <c:pt idx="3">
                  <c:v>2022/23</c:v>
                </c:pt>
                <c:pt idx="4">
                  <c:v>2023/24</c:v>
                </c:pt>
              </c:strCache>
            </c:strRef>
          </c:cat>
          <c:val>
            <c:numRef>
              <c:f>'Looked After Children'!$BG$58:$BK$58</c:f>
              <c:numCache>
                <c:formatCode>0.0%</c:formatCode>
                <c:ptCount val="5"/>
                <c:pt idx="0">
                  <c:v>6.25E-2</c:v>
                </c:pt>
                <c:pt idx="1">
                  <c:v>5.0338890812843221E-2</c:v>
                </c:pt>
                <c:pt idx="2">
                  <c:v>6.7786296701959348E-2</c:v>
                </c:pt>
                <c:pt idx="3">
                  <c:v>8.6951335877862593E-2</c:v>
                </c:pt>
                <c:pt idx="4">
                  <c:v>8.8245844792538566E-2</c:v>
                </c:pt>
              </c:numCache>
            </c:numRef>
          </c:val>
          <c:smooth val="0"/>
          <c:extLst>
            <c:ext xmlns:c16="http://schemas.microsoft.com/office/drawing/2014/chart" uri="{C3380CC4-5D6E-409C-BE32-E72D297353CC}">
              <c16:uniqueId val="{00000018-09AD-4423-AD32-EC6F44384F67}"/>
            </c:ext>
          </c:extLst>
        </c:ser>
        <c:ser>
          <c:idx val="6"/>
          <c:order val="21"/>
          <c:tx>
            <c:strRef>
              <c:f>'Looked After Children'!$AK$59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'Looked After Children'!$Y$2:$AC$3</c:f>
              <c:strCache>
                <c:ptCount val="5"/>
                <c:pt idx="0">
                  <c:v>2019/20</c:v>
                </c:pt>
                <c:pt idx="1">
                  <c:v>2020/21</c:v>
                </c:pt>
                <c:pt idx="2">
                  <c:v>2021/22</c:v>
                </c:pt>
                <c:pt idx="3">
                  <c:v>2022/23</c:v>
                </c:pt>
                <c:pt idx="4">
                  <c:v>2023/24</c:v>
                </c:pt>
              </c:strCache>
            </c:strRef>
          </c:cat>
          <c:val>
            <c:numRef>
              <c:f>'Looked After Children'!$BG$59:$BK$59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09AD-4423-AD32-EC6F44384F67}"/>
            </c:ext>
          </c:extLst>
        </c:ser>
        <c:dLbls>
          <c:showLegendKey val="0"/>
          <c:showVal val="0"/>
          <c:showCatName val="0"/>
          <c:showSerName val="0"/>
          <c:showPercent val="0"/>
          <c:showBubbleSize val="0"/>
        </c:dLbls>
        <c:marker val="1"/>
        <c:smooth val="0"/>
        <c:axId val="602136576"/>
        <c:axId val="602138496"/>
      </c:lineChart>
      <c:catAx>
        <c:axId val="602136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2138496"/>
        <c:crosses val="autoZero"/>
        <c:auto val="1"/>
        <c:lblAlgn val="ctr"/>
        <c:lblOffset val="100"/>
        <c:tickLblSkip val="1"/>
        <c:tickMarkSkip val="1"/>
        <c:noMultiLvlLbl val="0"/>
      </c:catAx>
      <c:valAx>
        <c:axId val="602138496"/>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2136576"/>
        <c:crosses val="autoZero"/>
        <c:crossBetween val="between"/>
      </c:valAx>
      <c:spPr>
        <a:noFill/>
        <a:ln w="3175">
          <a:solidFill>
            <a:srgbClr val="000000"/>
          </a:solidFill>
          <a:prstDash val="solid"/>
        </a:ln>
      </c:spPr>
    </c:plotArea>
    <c:legend>
      <c:legendPos val="r"/>
      <c:layout>
        <c:manualLayout>
          <c:xMode val="edge"/>
          <c:yMode val="edge"/>
          <c:x val="0.65711462167857948"/>
          <c:y val="7.5190870500600387E-2"/>
          <c:w val="0.32608879864859658"/>
          <c:h val="0.9148383506262765"/>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 CLA with Reviews in Timescales</a:t>
            </a:r>
          </a:p>
          <a:p>
            <a:pPr>
              <a:defRPr sz="900" b="1" i="0" u="none" strike="noStrike" baseline="0">
                <a:solidFill>
                  <a:srgbClr val="000000"/>
                </a:solidFill>
                <a:latin typeface="Arial"/>
                <a:ea typeface="Arial"/>
                <a:cs typeface="Arial"/>
              </a:defRPr>
            </a:pPr>
            <a:r>
              <a:rPr lang="en-GB" sz="900"/>
              <a:t>(Selected LA</a:t>
            </a:r>
            <a:r>
              <a:rPr lang="en-GB" sz="900" baseline="0"/>
              <a:t> vs. SE &amp; National)</a:t>
            </a:r>
            <a:r>
              <a:rPr lang="en-GB" sz="900"/>
              <a:t> </a:t>
            </a:r>
          </a:p>
        </c:rich>
      </c:tx>
      <c:layout>
        <c:manualLayout>
          <c:xMode val="edge"/>
          <c:yMode val="edge"/>
          <c:x val="0.20505982905982906"/>
          <c:y val="3.8613923259592556E-3"/>
        </c:manualLayout>
      </c:layout>
      <c:overlay val="0"/>
      <c:spPr>
        <a:noFill/>
        <a:ln w="25400">
          <a:noFill/>
        </a:ln>
      </c:spPr>
    </c:title>
    <c:autoTitleDeleted val="0"/>
    <c:plotArea>
      <c:layout>
        <c:manualLayout>
          <c:layoutTarget val="inner"/>
          <c:xMode val="edge"/>
          <c:yMode val="edge"/>
          <c:x val="9.8666564984461691E-2"/>
          <c:y val="0.21047931508561429"/>
          <c:w val="0.64607416380644722"/>
          <c:h val="0.62582114735658045"/>
        </c:manualLayout>
      </c:layout>
      <c:barChart>
        <c:barDir val="col"/>
        <c:grouping val="clustered"/>
        <c:varyColors val="0"/>
        <c:ser>
          <c:idx val="6"/>
          <c:order val="0"/>
          <c:tx>
            <c:strRef>
              <c:f>'Looked After Children'!$Z$4</c:f>
              <c:strCache>
                <c:ptCount val="1"/>
                <c:pt idx="0">
                  <c:v>Selected LA- (none)</c:v>
                </c:pt>
              </c:strCache>
            </c:strRef>
          </c:tx>
          <c:spPr>
            <a:solidFill>
              <a:srgbClr val="66FF99"/>
            </a:solidFill>
            <a:ln>
              <a:solidFill>
                <a:schemeClr val="tx1">
                  <a:lumMod val="75000"/>
                  <a:lumOff val="25000"/>
                </a:schemeClr>
              </a:solidFill>
            </a:ln>
          </c:spPr>
          <c:invertIfNegative val="0"/>
          <c:cat>
            <c:strRef>
              <c:f>'Looked After Children'!$Y$2:$AC$3</c:f>
              <c:strCache>
                <c:ptCount val="5"/>
                <c:pt idx="0">
                  <c:v>2019/20</c:v>
                </c:pt>
                <c:pt idx="1">
                  <c:v>2020/21</c:v>
                </c:pt>
                <c:pt idx="2">
                  <c:v>2021/22</c:v>
                </c:pt>
                <c:pt idx="3">
                  <c:v>2022/23</c:v>
                </c:pt>
                <c:pt idx="4">
                  <c:v>2023/24</c:v>
                </c:pt>
              </c:strCache>
            </c:strRef>
          </c:cat>
          <c:val>
            <c:numRef>
              <c:f>'Looked After Children'!$BL$59:$BP$59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F5AE-4E18-B70A-39508F781DCE}"/>
            </c:ext>
          </c:extLst>
        </c:ser>
        <c:ser>
          <c:idx val="4"/>
          <c:order val="1"/>
          <c:tx>
            <c:strRef>
              <c:f>'Looked After Children'!$B$161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'Looked After Children'!$Y$2:$AC$3</c:f>
              <c:strCache>
                <c:ptCount val="5"/>
                <c:pt idx="0">
                  <c:v>2019/20</c:v>
                </c:pt>
                <c:pt idx="1">
                  <c:v>2020/21</c:v>
                </c:pt>
                <c:pt idx="2">
                  <c:v>2021/22</c:v>
                </c:pt>
                <c:pt idx="3">
                  <c:v>2022/23</c:v>
                </c:pt>
                <c:pt idx="4">
                  <c:v>2023/24</c:v>
                </c:pt>
              </c:strCache>
            </c:strRef>
          </c:cat>
          <c:val>
            <c:numRef>
              <c:f>'Looked After Children'!$D$229:$H$229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F5AE-4E18-B70A-39508F781DCE}"/>
            </c:ext>
          </c:extLst>
        </c:ser>
        <c:dLbls>
          <c:showLegendKey val="0"/>
          <c:showVal val="0"/>
          <c:showCatName val="0"/>
          <c:showSerName val="0"/>
          <c:showPercent val="0"/>
          <c:showBubbleSize val="0"/>
        </c:dLbls>
        <c:gapWidth val="100"/>
        <c:axId val="602255360"/>
        <c:axId val="602256896"/>
      </c:barChart>
      <c:catAx>
        <c:axId val="602255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2256896"/>
        <c:crosses val="autoZero"/>
        <c:auto val="1"/>
        <c:lblAlgn val="ctr"/>
        <c:lblOffset val="100"/>
        <c:noMultiLvlLbl val="0"/>
      </c:catAx>
      <c:valAx>
        <c:axId val="602256896"/>
        <c:scaling>
          <c:orientation val="minMax"/>
          <c:max val="1"/>
          <c:min val="0"/>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2255360"/>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7887174179168060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Children Looked After reviewed</a:t>
            </a:r>
            <a:r>
              <a:rPr lang="en-GB" baseline="0"/>
              <a:t> within Timescales</a:t>
            </a:r>
            <a:endParaRPr lang="en-GB"/>
          </a:p>
        </c:rich>
      </c:tx>
      <c:layout>
        <c:manualLayout>
          <c:xMode val="edge"/>
          <c:yMode val="edge"/>
          <c:x val="0.15949041457537105"/>
          <c:y val="1.866067989051743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'Looked After Children'!$AK$38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DA5A-4801-8F60-7F8EB3D7D00D}"/>
              </c:ext>
            </c:extLst>
          </c:dPt>
          <c:cat>
            <c:strRef>
              <c:f>'Looked After Children'!$Y$2:$AC$3</c:f>
              <c:strCache>
                <c:ptCount val="5"/>
                <c:pt idx="0">
                  <c:v>2019/20</c:v>
                </c:pt>
                <c:pt idx="1">
                  <c:v>2020/21</c:v>
                </c:pt>
                <c:pt idx="2">
                  <c:v>2021/22</c:v>
                </c:pt>
                <c:pt idx="3">
                  <c:v>2022/23</c:v>
                </c:pt>
                <c:pt idx="4">
                  <c:v>2023/24</c:v>
                </c:pt>
              </c:strCache>
            </c:strRef>
          </c:cat>
          <c:val>
            <c:numRef>
              <c:f>'Looked After Children'!$BL$38:$BP$38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DA5A-4801-8F60-7F8EB3D7D00D}"/>
            </c:ext>
          </c:extLst>
        </c:ser>
        <c:ser>
          <c:idx val="1"/>
          <c:order val="1"/>
          <c:tx>
            <c:strRef>
              <c:f>'Looked After Children'!$AK$39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Children'!$BL$39:$BP$39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DA5A-4801-8F60-7F8EB3D7D00D}"/>
            </c:ext>
          </c:extLst>
        </c:ser>
        <c:ser>
          <c:idx val="2"/>
          <c:order val="2"/>
          <c:tx>
            <c:strRef>
              <c:f>'Looked After Children'!$AK$40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Children'!$BL$40:$BP$40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DA5A-4801-8F60-7F8EB3D7D00D}"/>
            </c:ext>
          </c:extLst>
        </c:ser>
        <c:ser>
          <c:idx val="5"/>
          <c:order val="3"/>
          <c:tx>
            <c:strRef>
              <c:f>'Looked After Children'!$AK$41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Children'!$BL$41:$BP$41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DA5A-4801-8F60-7F8EB3D7D00D}"/>
            </c:ext>
          </c:extLst>
        </c:ser>
        <c:ser>
          <c:idx val="9"/>
          <c:order val="4"/>
          <c:tx>
            <c:strRef>
              <c:f>'Looked After Children'!$AK$42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Children'!$BL$42:$BP$42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DA5A-4801-8F60-7F8EB3D7D00D}"/>
            </c:ext>
          </c:extLst>
        </c:ser>
        <c:ser>
          <c:idx val="10"/>
          <c:order val="5"/>
          <c:tx>
            <c:strRef>
              <c:f>'Looked After Children'!$AK$43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Children'!$BL$43:$BP$43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DA5A-4801-8F60-7F8EB3D7D00D}"/>
            </c:ext>
          </c:extLst>
        </c:ser>
        <c:ser>
          <c:idx val="11"/>
          <c:order val="6"/>
          <c:tx>
            <c:strRef>
              <c:f>'Looked After Children'!$AK$44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Children'!$BL$44:$BP$44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DA5A-4801-8F60-7F8EB3D7D00D}"/>
            </c:ext>
          </c:extLst>
        </c:ser>
        <c:ser>
          <c:idx val="12"/>
          <c:order val="7"/>
          <c:tx>
            <c:strRef>
              <c:f>'Looked After Children'!$AK$45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Children'!$BL$45:$BP$45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DA5A-4801-8F60-7F8EB3D7D00D}"/>
            </c:ext>
          </c:extLst>
        </c:ser>
        <c:ser>
          <c:idx val="13"/>
          <c:order val="8"/>
          <c:tx>
            <c:strRef>
              <c:f>'Looked After Children'!$AK$46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Children'!$BL$46:$BP$46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DA5A-4801-8F60-7F8EB3D7D00D}"/>
            </c:ext>
          </c:extLst>
        </c:ser>
        <c:ser>
          <c:idx val="15"/>
          <c:order val="9"/>
          <c:tx>
            <c:strRef>
              <c:f>'Looked After Children'!$AK$47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Children'!$BL$47:$BP$47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DA5A-4801-8F60-7F8EB3D7D00D}"/>
            </c:ext>
          </c:extLst>
        </c:ser>
        <c:ser>
          <c:idx val="16"/>
          <c:order val="10"/>
          <c:tx>
            <c:strRef>
              <c:f>'Looked After Children'!$AK$48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Children'!$BL$48:$BP$48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DA5A-4801-8F60-7F8EB3D7D00D}"/>
            </c:ext>
          </c:extLst>
        </c:ser>
        <c:ser>
          <c:idx val="17"/>
          <c:order val="11"/>
          <c:tx>
            <c:strRef>
              <c:f>'Looked After Children'!$AK$49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Children'!$BL$49:$BP$49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DA5A-4801-8F60-7F8EB3D7D00D}"/>
            </c:ext>
          </c:extLst>
        </c:ser>
        <c:ser>
          <c:idx val="19"/>
          <c:order val="12"/>
          <c:tx>
            <c:strRef>
              <c:f>'Looked After Children'!$AK$50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Children'!$BL$50:$BP$50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DA5A-4801-8F60-7F8EB3D7D00D}"/>
            </c:ext>
          </c:extLst>
        </c:ser>
        <c:ser>
          <c:idx val="3"/>
          <c:order val="13"/>
          <c:tx>
            <c:strRef>
              <c:f>'Looked After Children'!#REF!</c:f>
              <c:strCache>
                <c:ptCount val="1"/>
                <c:pt idx="0">
                  <c:v>#REF!</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Children'!#REF!</c:f>
              <c:numCache>
                <c:formatCode>General</c:formatCode>
                <c:ptCount val="1"/>
                <c:pt idx="0">
                  <c:v>1</c:v>
                </c:pt>
              </c:numCache>
            </c:numRef>
          </c:val>
          <c:smooth val="0"/>
          <c:extLst>
            <c:ext xmlns:c16="http://schemas.microsoft.com/office/drawing/2014/chart" uri="{C3380CC4-5D6E-409C-BE32-E72D297353CC}">
              <c16:uniqueId val="{0000000E-DA5A-4801-8F60-7F8EB3D7D00D}"/>
            </c:ext>
          </c:extLst>
        </c:ser>
        <c:ser>
          <c:idx val="20"/>
          <c:order val="14"/>
          <c:tx>
            <c:strRef>
              <c:f>'Looked After Children'!$AK$51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Children'!$BL$51:$BP$51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DA5A-4801-8F60-7F8EB3D7D00D}"/>
            </c:ext>
          </c:extLst>
        </c:ser>
        <c:ser>
          <c:idx val="22"/>
          <c:order val="15"/>
          <c:tx>
            <c:strRef>
              <c:f>'Looked After Children'!$AK$52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Children'!$BL$52:$BP$52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DA5A-4801-8F60-7F8EB3D7D00D}"/>
            </c:ext>
          </c:extLst>
        </c:ser>
        <c:ser>
          <c:idx val="7"/>
          <c:order val="16"/>
          <c:tx>
            <c:strRef>
              <c:f>'Looked After Children'!#REF!</c:f>
              <c:strCache>
                <c:ptCount val="1"/>
                <c:pt idx="0">
                  <c:v>#REF!</c:v>
                </c:pt>
              </c:strCache>
            </c:strRef>
          </c:tx>
          <c:spPr>
            <a:ln w="15875"/>
          </c:spPr>
          <c:marker>
            <c:symbol val="triangle"/>
            <c:size val="5"/>
            <c:spPr>
              <a:solidFill>
                <a:schemeClr val="accent2">
                  <a:lumMod val="20000"/>
                  <a:lumOff val="80000"/>
                </a:schemeClr>
              </a:solidFill>
            </c:spPr>
          </c:marker>
          <c:cat>
            <c:strRef>
              <c:f>'Looked After Children'!$Y$2:$AC$3</c:f>
              <c:strCache>
                <c:ptCount val="5"/>
                <c:pt idx="0">
                  <c:v>2019/20</c:v>
                </c:pt>
                <c:pt idx="1">
                  <c:v>2020/21</c:v>
                </c:pt>
                <c:pt idx="2">
                  <c:v>2021/22</c:v>
                </c:pt>
                <c:pt idx="3">
                  <c:v>2022/23</c:v>
                </c:pt>
                <c:pt idx="4">
                  <c:v>2023/24</c:v>
                </c:pt>
              </c:strCache>
            </c:strRef>
          </c:cat>
          <c:val>
            <c:numRef>
              <c:f>'Looked After Children'!#REF!</c:f>
              <c:numCache>
                <c:formatCode>General</c:formatCode>
                <c:ptCount val="1"/>
                <c:pt idx="0">
                  <c:v>1</c:v>
                </c:pt>
              </c:numCache>
            </c:numRef>
          </c:val>
          <c:smooth val="0"/>
          <c:extLst>
            <c:ext xmlns:c16="http://schemas.microsoft.com/office/drawing/2014/chart" uri="{C3380CC4-5D6E-409C-BE32-E72D297353CC}">
              <c16:uniqueId val="{00000011-DA5A-4801-8F60-7F8EB3D7D00D}"/>
            </c:ext>
          </c:extLst>
        </c:ser>
        <c:ser>
          <c:idx val="23"/>
          <c:order val="17"/>
          <c:tx>
            <c:strRef>
              <c:f>'Looked After Children'!$AK$53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Children'!$BL$53:$BP$53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DA5A-4801-8F60-7F8EB3D7D00D}"/>
            </c:ext>
          </c:extLst>
        </c:ser>
        <c:ser>
          <c:idx val="24"/>
          <c:order val="18"/>
          <c:tx>
            <c:strRef>
              <c:f>'Looked After Children'!$AK$54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Children'!$BL$54:$BP$54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DA5A-4801-8F60-7F8EB3D7D00D}"/>
            </c:ext>
          </c:extLst>
        </c:ser>
        <c:ser>
          <c:idx val="25"/>
          <c:order val="19"/>
          <c:tx>
            <c:strRef>
              <c:f>'Looked After Children'!$AK$55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Children'!$BL$55:$BP$55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DA5A-4801-8F60-7F8EB3D7D00D}"/>
            </c:ext>
          </c:extLst>
        </c:ser>
        <c:ser>
          <c:idx val="26"/>
          <c:order val="20"/>
          <c:tx>
            <c:strRef>
              <c:f>'Looked After Children'!$AK$56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Children'!$BL$56:$BP$56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DA5A-4801-8F60-7F8EB3D7D00D}"/>
            </c:ext>
          </c:extLst>
        </c:ser>
        <c:ser>
          <c:idx val="4"/>
          <c:order val="21"/>
          <c:tx>
            <c:strRef>
              <c:f>'Looked After Children'!$AK$57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Children'!$BL$57:$BP$57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DA5A-4801-8F60-7F8EB3D7D00D}"/>
            </c:ext>
          </c:extLst>
        </c:ser>
        <c:ser>
          <c:idx val="14"/>
          <c:order val="22"/>
          <c:tx>
            <c:strRef>
              <c:f>'Looked After Children'!$AK$58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'Looked After Children'!$Y$2:$AC$3</c:f>
              <c:strCache>
                <c:ptCount val="5"/>
                <c:pt idx="0">
                  <c:v>2019/20</c:v>
                </c:pt>
                <c:pt idx="1">
                  <c:v>2020/21</c:v>
                </c:pt>
                <c:pt idx="2">
                  <c:v>2021/22</c:v>
                </c:pt>
                <c:pt idx="3">
                  <c:v>2022/23</c:v>
                </c:pt>
                <c:pt idx="4">
                  <c:v>2023/24</c:v>
                </c:pt>
              </c:strCache>
            </c:strRef>
          </c:cat>
          <c:val>
            <c:numRef>
              <c:f>'Looked After Children'!$BL$58:$BP$58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DA5A-4801-8F60-7F8EB3D7D00D}"/>
            </c:ext>
          </c:extLst>
        </c:ser>
        <c:ser>
          <c:idx val="6"/>
          <c:order val="23"/>
          <c:tx>
            <c:strRef>
              <c:f>'Looked After Children'!$AK$59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'Looked After Children'!$Y$2:$AC$3</c:f>
              <c:strCache>
                <c:ptCount val="5"/>
                <c:pt idx="0">
                  <c:v>2019/20</c:v>
                </c:pt>
                <c:pt idx="1">
                  <c:v>2020/21</c:v>
                </c:pt>
                <c:pt idx="2">
                  <c:v>2021/22</c:v>
                </c:pt>
                <c:pt idx="3">
                  <c:v>2022/23</c:v>
                </c:pt>
                <c:pt idx="4">
                  <c:v>2023/24</c:v>
                </c:pt>
              </c:strCache>
            </c:strRef>
          </c:cat>
          <c:val>
            <c:numRef>
              <c:f>'Looked After Children'!$BL$59:$BP$59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DA5A-4801-8F60-7F8EB3D7D00D}"/>
            </c:ext>
          </c:extLst>
        </c:ser>
        <c:dLbls>
          <c:showLegendKey val="0"/>
          <c:showVal val="0"/>
          <c:showCatName val="0"/>
          <c:showSerName val="0"/>
          <c:showPercent val="0"/>
          <c:showBubbleSize val="0"/>
        </c:dLbls>
        <c:marker val="1"/>
        <c:smooth val="0"/>
        <c:axId val="602387584"/>
        <c:axId val="602389504"/>
      </c:lineChart>
      <c:catAx>
        <c:axId val="602387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2389504"/>
        <c:crosses val="autoZero"/>
        <c:auto val="1"/>
        <c:lblAlgn val="ctr"/>
        <c:lblOffset val="100"/>
        <c:tickLblSkip val="1"/>
        <c:tickMarkSkip val="1"/>
        <c:noMultiLvlLbl val="0"/>
      </c:catAx>
      <c:valAx>
        <c:axId val="602389504"/>
        <c:scaling>
          <c:orientation val="minMax"/>
          <c:max val="1"/>
          <c:min val="0.5"/>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2387584"/>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211251343072949"/>
          <c:h val="0.87095119606894844"/>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Looked After Children</a:t>
            </a:r>
            <a:r>
              <a:rPr lang="en-GB" sz="1100" baseline="0"/>
              <a:t> </a:t>
            </a:r>
            <a:r>
              <a:rPr lang="en-GB" sz="1100"/>
              <a:t>vs. IDACI</a:t>
            </a:r>
          </a:p>
        </c:rich>
      </c:tx>
      <c:layout>
        <c:manualLayout>
          <c:xMode val="edge"/>
          <c:yMode val="edge"/>
          <c:x val="0.24563105792878254"/>
          <c:y val="3.6125936746594464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'Looked After Children'!$AQ$35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B8F3-44CC-8AB8-829BF691E915}"/>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{139AED09-019B-4FA1-B021-A6EF5F9F39A7}</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B8F3-44CC-8AB8-829BF691E915}"/>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{D3B3E13A-7A2A-4B9D-8B2E-C4050530E763}</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B8F3-44CC-8AB8-829BF691E915}"/>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{54E7E206-CC24-4509-B20E-B0310C433F93}</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B8F3-44CC-8AB8-829BF691E915}"/>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{96AE6AD1-5D89-4301-AC9D-34EEEDF077E2}</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B8F3-44CC-8AB8-829BF691E915}"/>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{0ED9548F-6EAC-4F1F-B135-C630994C31C7}</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5-B8F3-44CC-8AB8-829BF691E915}"/>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{7F8CB86E-BE2B-4814-930E-1F8327950BF5}</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B8F3-44CC-8AB8-829BF691E915}"/>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{C2F7B711-B270-4525-A35C-F4134B355AD5}</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7-B8F3-44CC-8AB8-829BF691E915}"/>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{78F9AE95-9319-4D6E-B7F2-869396B118A6}</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8-B8F3-44CC-8AB8-829BF691E915}"/>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{5CE1EDC7-1DBE-4614-97E8-898AA3EE906B}</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B8F3-44CC-8AB8-829BF691E915}"/>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{27661C73-B43E-4F0B-8957-09DDDB800967}</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B8F3-44CC-8AB8-829BF691E915}"/>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{1F124D3B-D9CB-4645-9773-A9E4C1E41772}</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B8F3-44CC-8AB8-829BF691E915}"/>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{409D0201-2EA1-476E-AB60-E01C56046B85}</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C-B8F3-44CC-8AB8-829BF691E915}"/>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{E383AF15-5DA2-478F-B411-F9DEFFBB9367}</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0D-B8F3-44CC-8AB8-829BF691E915}"/>
                </c:ext>
              </c:extLst>
            </c:dLbl>
            <c:dLbl>
              <c:idx val="13"/>
              <c:tx>
                <c:strRef>
                  <c:f>ReportData!$K$17</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{0F9F81B6-075F-4FAD-B5A5-F034F5C02DFC}</c15:txfldGUID>
                      <c15:f>ReportData!$K$17</c15:f>
                      <c15:dlblFieldTableCache>
                        <c:ptCount val="1"/>
                        <c:pt idx="0">
                          <c:v>Southampton</c:v>
                        </c:pt>
                      </c15:dlblFieldTableCache>
                    </c15:dlblFTEntry>
                  </c15:dlblFieldTable>
                  <c15:showDataLabelsRange val="0"/>
                </c:ext>
                <c:ext xmlns:c16="http://schemas.microsoft.com/office/drawing/2014/chart" uri="{C3380CC4-5D6E-409C-BE32-E72D297353CC}">
                  <c16:uniqueId val="{0000000E-B8F3-44CC-8AB8-829BF691E915}"/>
                </c:ext>
              </c:extLst>
            </c:dLbl>
            <c:dLbl>
              <c:idx val="14"/>
              <c:tx>
                <c:strRef>
                  <c:f>ReportData!$K$18</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{E69FCD32-893F-4B70-B88F-F6A7A29F6A63}</c15:txfldGUID>
                      <c15:f>ReportData!$K$18</c15:f>
                      <c15:dlblFieldTableCache>
                        <c:ptCount val="1"/>
                        <c:pt idx="0">
                          <c:v>Surrey</c:v>
                        </c:pt>
                      </c15:dlblFieldTableCache>
                    </c15:dlblFTEntry>
                  </c15:dlblFieldTable>
                  <c15:showDataLabelsRange val="0"/>
                </c:ext>
                <c:ext xmlns:c16="http://schemas.microsoft.com/office/drawing/2014/chart" uri="{C3380CC4-5D6E-409C-BE32-E72D297353CC}">
                  <c16:uniqueId val="{0000000F-B8F3-44CC-8AB8-829BF691E915}"/>
                </c:ext>
              </c:extLst>
            </c:dLbl>
            <c:dLbl>
              <c:idx val="15"/>
              <c:tx>
                <c:strRef>
                  <c:f>ReportData!$K$19</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{65D392E8-F507-40B9-B1D3-C4EABD209C61}</c15:txfldGUID>
                      <c15:f>ReportData!$K$19</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B8F3-44CC-8AB8-829BF691E915}"/>
                </c:ext>
              </c:extLst>
            </c:dLbl>
            <c:dLbl>
              <c:idx val="16"/>
              <c:tx>
                <c:strRef>
                  <c:f>ReportData!$K$20</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{9A4D4DEF-9CAA-4000-ABEA-30EA6CFE7A0D}</c15:txfldGUID>
                      <c15:f>ReportData!$K$20</c15:f>
                      <c15:dlblFieldTableCache>
                        <c:ptCount val="1"/>
                        <c:pt idx="0">
                          <c:v>West Sussex</c:v>
                        </c:pt>
                      </c15:dlblFieldTableCache>
                    </c15:dlblFTEntry>
                  </c15:dlblFieldTable>
                  <c15:showDataLabelsRange val="0"/>
                </c:ext>
                <c:ext xmlns:c16="http://schemas.microsoft.com/office/drawing/2014/chart" uri="{C3380CC4-5D6E-409C-BE32-E72D297353CC}">
                  <c16:uniqueId val="{00000011-B8F3-44CC-8AB8-829BF691E915}"/>
                </c:ext>
              </c:extLst>
            </c:dLbl>
            <c:dLbl>
              <c:idx val="17"/>
              <c:layout>
                <c:manualLayout>
                  <c:x val="-2.1259252882280515E-2"/>
                  <c:y val="1.782607922639495E-2"/>
                </c:manualLayout>
              </c:layout>
              <c:tx>
                <c:strRef>
                  <c:f>ReportData!$K$21</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{D60738B4-EA1E-4FE5-9566-7540AC9301BD}</c15:txfldGUID>
                      <c15:f>ReportData!$K$21</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B8F3-44CC-8AB8-829BF691E915}"/>
                </c:ext>
              </c:extLst>
            </c:dLbl>
            <c:dLbl>
              <c:idx val="18"/>
              <c:tx>
                <c:strRef>
                  <c:f>ReportData!$K$22</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{3AC91B7B-8B64-475E-BFE3-8D6C13160883}</c15:txfldGUID>
                      <c15:f>ReportData!$K$22</c15:f>
                      <c15:dlblFieldTableCache>
                        <c:ptCount val="1"/>
                        <c:pt idx="0">
                          <c:v>Wokingham</c:v>
                        </c:pt>
                      </c15:dlblFieldTableCache>
                    </c15:dlblFTEntry>
                  </c15:dlblFieldTable>
                  <c15:showDataLabelsRange val="0"/>
                </c:ext>
                <c:ext xmlns:c16="http://schemas.microsoft.com/office/drawing/2014/chart" uri="{C3380CC4-5D6E-409C-BE32-E72D297353CC}">
                  <c16:uniqueId val="{00000013-B8F3-44CC-8AB8-829BF691E915}"/>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('Looked After Children'!$AQ$38:$AQ$50,'Looked After Children'!$AQ$51:$AQ$52,'Looked After Children'!$AQ$53:$AQ$56)</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('Looked After Children'!$AP$38:$AP$50,'Looked After Children'!$AP$51:$AP$52,'Looked After Children'!$AP$53:$AP$56)</c:f>
              <c:numCache>
                <c:formatCode>0.0</c:formatCode>
                <c:ptCount val="19"/>
                <c:pt idx="0">
                  <c:v>48.870736900897121</c:v>
                </c:pt>
                <c:pt idx="1">
                  <c:v>75.858226546093519</c:v>
                </c:pt>
                <c:pt idx="2">
                  <c:v>40.98232196589769</c:v>
                </c:pt>
                <c:pt idx="3">
                  <c:v>63.413315831129474</c:v>
                </c:pt>
                <c:pt idx="4">
                  <c:v>67.119498616995202</c:v>
                </c:pt>
                <c:pt idx="5">
                  <c:v>119.03746053417527</c:v>
                </c:pt>
                <c:pt idx="6">
                  <c:v>56.268157964241013</c:v>
                </c:pt>
                <c:pt idx="7">
                  <c:v>71.378229639959812</c:v>
                </c:pt>
                <c:pt idx="8">
                  <c:v>56.321002239103265</c:v>
                </c:pt>
                <c:pt idx="9">
                  <c:v>50.490147864004456</c:v>
                </c:pt>
                <c:pt idx="10">
                  <c:v>95.019736686600325</c:v>
                </c:pt>
                <c:pt idx="11">
                  <c:v>70.131034300930679</c:v>
                </c:pt>
                <c:pt idx="12">
                  <c:v>44.817052777096478</c:v>
                </c:pt>
                <c:pt idx="13">
                  <c:v>96.877295376491375</c:v>
                </c:pt>
                <c:pt idx="14">
                  <c:v>36.247703935680086</c:v>
                </c:pt>
                <c:pt idx="15">
                  <c:v>52.937013446567583</c:v>
                </c:pt>
                <c:pt idx="16">
                  <c:v>50.612263139077584</c:v>
                </c:pt>
                <c:pt idx="17">
                  <c:v>40.838948688778039</c:v>
                </c:pt>
                <c:pt idx="18">
                  <c:v>31.629496236782565</c:v>
                </c:pt>
              </c:numCache>
            </c:numRef>
          </c:yVal>
          <c:smooth val="0"/>
          <c:extLst>
            <c:ext xmlns:c16="http://schemas.microsoft.com/office/drawing/2014/chart" uri="{C3380CC4-5D6E-409C-BE32-E72D297353CC}">
              <c16:uniqueId val="{00000015-B8F3-44CC-8AB8-829BF691E915}"/>
            </c:ext>
          </c:extLst>
        </c:ser>
        <c:ser>
          <c:idx val="1"/>
          <c:order val="1"/>
          <c:tx>
            <c:strRef>
              <c:f>'Looked After Children'!$Z$4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'Looked After Children'!$AQ$59</c:f>
              <c:numCache>
                <c:formatCode>0.0</c:formatCode>
                <c:ptCount val="1"/>
                <c:pt idx="0">
                  <c:v>#N/A</c:v>
                </c:pt>
              </c:numCache>
            </c:numRef>
          </c:xVal>
          <c:yVal>
            <c:numRef>
              <c:f>'Looked After Children'!$AP$59</c:f>
              <c:numCache>
                <c:formatCode>0.0</c:formatCode>
                <c:ptCount val="1"/>
                <c:pt idx="0">
                  <c:v>#N/A</c:v>
                </c:pt>
              </c:numCache>
            </c:numRef>
          </c:yVal>
          <c:smooth val="0"/>
          <c:extLst>
            <c:ext xmlns:c16="http://schemas.microsoft.com/office/drawing/2014/chart" uri="{C3380CC4-5D6E-409C-BE32-E72D297353CC}">
              <c16:uniqueId val="{0000001A-B8F3-44CC-8AB8-829BF691E915}"/>
            </c:ext>
          </c:extLst>
        </c:ser>
        <c:ser>
          <c:idx val="4"/>
          <c:order val="2"/>
          <c:tx>
            <c:strRef>
              <c:f>'Looked After Children'!$B$30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'Looked After Children'!#REF!</c:f>
            </c:numRef>
          </c:xVal>
          <c:yVal>
            <c:numRef>
              <c:f>'Looked After Children'!$O$30</c:f>
              <c:numCache>
                <c:formatCode>0.0</c:formatCode>
                <c:ptCount val="1"/>
                <c:pt idx="0">
                  <c:v>57.196033521582287</c:v>
                </c:pt>
              </c:numCache>
            </c:numRef>
          </c:yVal>
          <c:smooth val="0"/>
          <c:extLst>
            <c:ext xmlns:c16="http://schemas.microsoft.com/office/drawing/2014/chart" uri="{C3380CC4-5D6E-409C-BE32-E72D297353CC}">
              <c16:uniqueId val="{0000001B-B8F3-44CC-8AB8-829BF691E915}"/>
            </c:ext>
          </c:extLst>
        </c:ser>
        <c:ser>
          <c:idx val="2"/>
          <c:order val="3"/>
          <c:tx>
            <c:strRef>
              <c:f>'Looked After Children'!$X$40</c:f>
              <c:strCache>
                <c:ptCount val="1"/>
                <c:pt idx="0">
                  <c:v>National Trend 2024</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1FCA-4B4B-BE41-BEA4220E3B4F}"/>
                </c:ext>
              </c:extLst>
            </c:dLbl>
            <c:dLbl>
              <c:idx val="1"/>
              <c:layout>
                <c:manualLayout>
                  <c:x val="-4.8656645192078261E-2"/>
                  <c:y val="3.9895506019493987E-2"/>
                </c:manualLayout>
              </c:layout>
              <c:tx>
                <c:strRef>
                  <c:f>'Looked After Children'!$AC$40</c:f>
                  <c:strCache>
                    <c:ptCount val="1"/>
                    <c:pt idx="0">
                      <c:v>r² = 0.432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{5933CE24-6555-43DB-B12D-74ABF0B7805F}</c15:txfldGUID>
                      <c15:f>'Looked After Children'!$AC$40</c15:f>
                      <c15:dlblFieldTableCache>
                        <c:ptCount val="1"/>
                        <c:pt idx="0">
                          <c:v>r² = 0.432</c:v>
                        </c:pt>
                      </c15:dlblFieldTableCache>
                    </c15:dlblFTEntry>
                  </c15:dlblFieldTable>
                  <c15:showDataLabelsRange val="0"/>
                </c:ext>
                <c:ext xmlns:c16="http://schemas.microsoft.com/office/drawing/2014/chart" uri="{C3380CC4-5D6E-409C-BE32-E72D297353CC}">
                  <c16:uniqueId val="{00000005-1FCA-4B4B-BE41-BEA4220E3B4F}"/>
                </c:ext>
              </c:extLst>
            </c:dLbl>
            <c:spPr>
              <a:noFill/>
              <a:ln>
                <a:noFill/>
              </a:ln>
              <a:effectLst/>
            </c:spPr>
            <c:txPr>
              <a:bodyPr wrap="square" lIns="38100" tIns="19050" rIns="38100" bIns="19050" anchor="ctr">
                <a:spAutoFit/>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'Looked After Children'!$AA$40:$AA$41</c:f>
              <c:numCache>
                <c:formatCode>General</c:formatCode>
                <c:ptCount val="2"/>
                <c:pt idx="0" formatCode="#,##0.0">
                  <c:v>3</c:v>
                </c:pt>
                <c:pt idx="1">
                  <c:v>22</c:v>
                </c:pt>
              </c:numCache>
            </c:numRef>
          </c:xVal>
          <c:yVal>
            <c:numRef>
              <c:f>'Looked After Children'!$AB$40:$AB$41</c:f>
              <c:numCache>
                <c:formatCode>0.0</c:formatCode>
                <c:ptCount val="2"/>
                <c:pt idx="0">
                  <c:v>23.88906702188515</c:v>
                </c:pt>
                <c:pt idx="1">
                  <c:v>90.718370876430015</c:v>
                </c:pt>
              </c:numCache>
            </c:numRef>
          </c:yVal>
          <c:smooth val="0"/>
          <c:extLst>
            <c:ext xmlns:c16="http://schemas.microsoft.com/office/drawing/2014/chart" uri="{C3380CC4-5D6E-409C-BE32-E72D297353CC}">
              <c16:uniqueId val="{0000001C-B8F3-44CC-8AB8-829BF691E915}"/>
            </c:ext>
          </c:extLst>
        </c:ser>
        <c:ser>
          <c:idx val="5"/>
          <c:order val="4"/>
          <c:tx>
            <c:strRef>
              <c:f>'Looked After Children'!$X$38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1FCA-4B4B-BE41-BEA4220E3B4F}"/>
                </c:ext>
              </c:extLst>
            </c:dLbl>
            <c:dLbl>
              <c:idx val="1"/>
              <c:layout>
                <c:manualLayout>
                  <c:x val="-0.14035087719298245"/>
                  <c:y val="-1.8099547511312219E-2"/>
                </c:manualLayout>
              </c:layout>
              <c:tx>
                <c:strRef>
                  <c:f>'Looked After Children'!$AC$39</c:f>
                  <c:strCache>
                    <c:ptCount val="1"/>
                    <c:pt idx="0">
                      <c:v>r² = 0.65</c:v>
                    </c:pt>
                  </c:strCache>
                </c:strRef>
              </c:tx>
              <c:spPr>
                <a:noFill/>
                <a:ln>
                  <a:noFill/>
                </a:ln>
                <a:effectLst/>
              </c:spPr>
              <c:txPr>
                <a:bodyPr wrap="square" lIns="38100" tIns="19050" rIns="38100" bIns="19050" anchor="ctr">
                  <a:spAutoFit/>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{F20EDCEF-E655-4952-9A94-6FF79E89664C}</c15:txfldGUID>
                      <c15:f>'Looked After Children'!$AC$39</c15:f>
                      <c15:dlblFieldTableCache>
                        <c:ptCount val="1"/>
                        <c:pt idx="0">
                          <c:v>r² = 0.65</c:v>
                        </c:pt>
                      </c15:dlblFieldTableCache>
                    </c15:dlblFTEntry>
                  </c15:dlblFieldTable>
                  <c15:showDataLabelsRange val="0"/>
                </c:ext>
                <c:ext xmlns:c16="http://schemas.microsoft.com/office/drawing/2014/chart" uri="{C3380CC4-5D6E-409C-BE32-E72D297353CC}">
                  <c16:uniqueId val="{00000007-1FCA-4B4B-BE41-BEA4220E3B4F}"/>
                </c:ext>
              </c:extLst>
            </c:dLbl>
            <c:spPr>
              <a:noFill/>
              <a:ln>
                <a:noFill/>
              </a:ln>
              <a:effectLst/>
            </c:spPr>
            <c:txPr>
              <a:bodyPr wrap="square" lIns="38100" tIns="19050" rIns="38100" bIns="19050" anchor="ctr">
                <a:spAutoFit/>
              </a:bodyPr>
              <a:lstStyle/>
              <a:p>
                <a:pPr>
                  <a:defRPr>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'Looked After Children'!$AA$38:$AA$39</c:f>
              <c:numCache>
                <c:formatCode>General</c:formatCode>
                <c:ptCount val="2"/>
                <c:pt idx="0" formatCode="#,##0.0">
                  <c:v>3</c:v>
                </c:pt>
                <c:pt idx="1">
                  <c:v>22</c:v>
                </c:pt>
              </c:numCache>
            </c:numRef>
          </c:xVal>
          <c:yVal>
            <c:numRef>
              <c:f>'Looked After Children'!$AB$38:$AB$39</c:f>
              <c:numCache>
                <c:formatCode>0.0</c:formatCode>
                <c:ptCount val="2"/>
                <c:pt idx="0">
                  <c:v>22.359399450130674</c:v>
                </c:pt>
                <c:pt idx="1">
                  <c:v>96.217288737603837</c:v>
                </c:pt>
              </c:numCache>
            </c:numRef>
          </c:yVal>
          <c:smooth val="0"/>
          <c:extLst>
            <c:ext xmlns:c16="http://schemas.microsoft.com/office/drawing/2014/chart" uri="{C3380CC4-5D6E-409C-BE32-E72D297353CC}">
              <c16:uniqueId val="{00000003-1FCA-4B4B-BE41-BEA4220E3B4F}"/>
            </c:ext>
          </c:extLst>
        </c:ser>
        <c:dLbls>
          <c:showLegendKey val="0"/>
          <c:showVal val="0"/>
          <c:showCatName val="0"/>
          <c:showSerName val="0"/>
          <c:showPercent val="0"/>
          <c:showBubbleSize val="0"/>
        </c:dLbls>
        <c:axId val="602516480"/>
        <c:axId val="602875008"/>
      </c:scatterChart>
      <c:valAx>
        <c:axId val="602516480"/>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4087952964064139"/>
              <c:y val="0.91929229487900843"/>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2875008"/>
        <c:crosses val="autoZero"/>
        <c:crossBetween val="midCat"/>
        <c:majorUnit val="5"/>
      </c:valAx>
      <c:valAx>
        <c:axId val="602875008"/>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a:t>Rate of Looked After Children  per 10,000 0-17 year olds</a:t>
                </a:r>
              </a:p>
            </c:rich>
          </c:tx>
          <c:layout>
            <c:manualLayout>
              <c:xMode val="edge"/>
              <c:yMode val="edge"/>
              <c:x val="6.359966542643708E-2"/>
              <c:y val="0.1611933981225319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2516480"/>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Children Starting to be Looked After, </a:t>
            </a:r>
          </a:p>
          <a:p>
            <a:pPr>
              <a:defRPr sz="1100" b="1"/>
            </a:pPr>
            <a:r>
              <a:rPr lang="en-GB" sz="1100" b="1"/>
              <a:t>per 10,000 0-17 year olds</a:t>
            </a:r>
          </a:p>
        </c:rich>
      </c:tx>
      <c:layout>
        <c:manualLayout>
          <c:xMode val="edge"/>
          <c:yMode val="edge"/>
          <c:x val="0.18832031131243729"/>
          <c:y val="1.0531689865157358E-2"/>
        </c:manualLayout>
      </c:layout>
      <c:overlay val="0"/>
      <c:spPr>
        <a:noFill/>
        <a:ln w="25400">
          <a:noFill/>
        </a:ln>
      </c:spPr>
    </c:title>
    <c:autoTitleDeleted val="0"/>
    <c:plotArea>
      <c:layout>
        <c:manualLayout>
          <c:layoutTarget val="inner"/>
          <c:xMode val="edge"/>
          <c:yMode val="edge"/>
          <c:x val="8.9669774541780586E-2"/>
          <c:y val="7.5616524512562011E-2"/>
          <c:w val="0.56071444490778466"/>
          <c:h val="0.86226831684269523"/>
        </c:manualLayout>
      </c:layout>
      <c:lineChart>
        <c:grouping val="standard"/>
        <c:varyColors val="0"/>
        <c:ser>
          <c:idx val="0"/>
          <c:order val="0"/>
          <c:tx>
            <c:strRef>
              <c:f>New_Ceased_LAC!$AK$38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8143-4367-8D6C-9BE96F85EAB2}"/>
              </c:ext>
            </c:extLst>
          </c:dPt>
          <c:cat>
            <c:strRef>
              <c:f>New_Ceased_LAC!$Y$2:$AC$3</c:f>
              <c:strCache>
                <c:ptCount val="5"/>
                <c:pt idx="0">
                  <c:v>2019/20</c:v>
                </c:pt>
                <c:pt idx="1">
                  <c:v>2020/21</c:v>
                </c:pt>
                <c:pt idx="2">
                  <c:v>2021/22</c:v>
                </c:pt>
                <c:pt idx="3">
                  <c:v>2022/23</c:v>
                </c:pt>
                <c:pt idx="4">
                  <c:v>2023/24</c:v>
                </c:pt>
              </c:strCache>
            </c:strRef>
          </c:cat>
          <c:val>
            <c:numRef>
              <c:f>New_Ceased_LAC!$AL$38:$AP$38</c:f>
              <c:numCache>
                <c:formatCode>0.0</c:formatCode>
                <c:ptCount val="5"/>
                <c:pt idx="0">
                  <c:v>17.217378562532055</c:v>
                </c:pt>
                <c:pt idx="1">
                  <c:v>14.858302529535406</c:v>
                </c:pt>
                <c:pt idx="2">
                  <c:v>16.173669266434246</c:v>
                </c:pt>
                <c:pt idx="3">
                  <c:v>29.650547123190965</c:v>
                </c:pt>
                <c:pt idx="4">
                  <c:v>13.963067685970607</c:v>
                </c:pt>
              </c:numCache>
            </c:numRef>
          </c:val>
          <c:smooth val="0"/>
          <c:extLst>
            <c:ext xmlns:c16="http://schemas.microsoft.com/office/drawing/2014/chart" uri="{C3380CC4-5D6E-409C-BE32-E72D297353CC}">
              <c16:uniqueId val="{00000001-8143-4367-8D6C-9BE96F85EAB2}"/>
            </c:ext>
          </c:extLst>
        </c:ser>
        <c:ser>
          <c:idx val="1"/>
          <c:order val="1"/>
          <c:tx>
            <c:strRef>
              <c:f>New_Ceased_LAC!$AK$39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New_Ceased_LAC!$AL$39:$AP$39</c:f>
              <c:numCache>
                <c:formatCode>0.0</c:formatCode>
                <c:ptCount val="5"/>
                <c:pt idx="0">
                  <c:v>31.816867071608613</c:v>
                </c:pt>
                <c:pt idx="1">
                  <c:v>31.48194479192728</c:v>
                </c:pt>
                <c:pt idx="2">
                  <c:v>30.76923076923077</c:v>
                </c:pt>
                <c:pt idx="3">
                  <c:v>24.607551972846842</c:v>
                </c:pt>
                <c:pt idx="4">
                  <c:v>30.000428577551109</c:v>
                </c:pt>
              </c:numCache>
            </c:numRef>
          </c:val>
          <c:smooth val="0"/>
          <c:extLst>
            <c:ext xmlns:c16="http://schemas.microsoft.com/office/drawing/2014/chart" uri="{C3380CC4-5D6E-409C-BE32-E72D297353CC}">
              <c16:uniqueId val="{00000002-8143-4367-8D6C-9BE96F85EAB2}"/>
            </c:ext>
          </c:extLst>
        </c:ser>
        <c:ser>
          <c:idx val="2"/>
          <c:order val="2"/>
          <c:tx>
            <c:strRef>
              <c:f>New_Ceased_LAC!$AK$40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New_Ceased_LAC!$AL$40:$AP$40</c:f>
              <c:numCache>
                <c:formatCode>0.0</c:formatCode>
                <c:ptCount val="5"/>
                <c:pt idx="0">
                  <c:v>16.620680056002687</c:v>
                </c:pt>
                <c:pt idx="1">
                  <c:v>16.735376954161396</c:v>
                </c:pt>
                <c:pt idx="2">
                  <c:v>15.626265079750628</c:v>
                </c:pt>
                <c:pt idx="3">
                  <c:v>15.327800500337528</c:v>
                </c:pt>
                <c:pt idx="4">
                  <c:v>18.022818455366099</c:v>
                </c:pt>
              </c:numCache>
            </c:numRef>
          </c:val>
          <c:smooth val="0"/>
          <c:extLst>
            <c:ext xmlns:c16="http://schemas.microsoft.com/office/drawing/2014/chart" uri="{C3380CC4-5D6E-409C-BE32-E72D297353CC}">
              <c16:uniqueId val="{00000003-8143-4367-8D6C-9BE96F85EAB2}"/>
            </c:ext>
          </c:extLst>
        </c:ser>
        <c:ser>
          <c:idx val="5"/>
          <c:order val="3"/>
          <c:tx>
            <c:strRef>
              <c:f>New_Ceased_LAC!$AK$41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New_Ceased_LAC!$AL$41:$AP$41</c:f>
              <c:numCache>
                <c:formatCode>0.0</c:formatCode>
                <c:ptCount val="5"/>
                <c:pt idx="0">
                  <c:v>16.906170752324599</c:v>
                </c:pt>
                <c:pt idx="1">
                  <c:v>19.82054111053613</c:v>
                </c:pt>
                <c:pt idx="2">
                  <c:v>23.146558910934786</c:v>
                </c:pt>
                <c:pt idx="3">
                  <c:v>23.437879893022124</c:v>
                </c:pt>
                <c:pt idx="4">
                  <c:v>23.164681582147754</c:v>
                </c:pt>
              </c:numCache>
            </c:numRef>
          </c:val>
          <c:smooth val="0"/>
          <c:extLst>
            <c:ext xmlns:c16="http://schemas.microsoft.com/office/drawing/2014/chart" uri="{C3380CC4-5D6E-409C-BE32-E72D297353CC}">
              <c16:uniqueId val="{00000004-8143-4367-8D6C-9BE96F85EAB2}"/>
            </c:ext>
          </c:extLst>
        </c:ser>
        <c:ser>
          <c:idx val="9"/>
          <c:order val="4"/>
          <c:tx>
            <c:strRef>
              <c:f>New_Ceased_LAC!$AK$42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New_Ceased_LAC!$AL$42:$AP$42</c:f>
              <c:numCache>
                <c:formatCode>0.0</c:formatCode>
                <c:ptCount val="5"/>
                <c:pt idx="0">
                  <c:v>19.653468890957257</c:v>
                </c:pt>
                <c:pt idx="1">
                  <c:v>21.969686126894619</c:v>
                </c:pt>
                <c:pt idx="2">
                  <c:v>21.678075243210916</c:v>
                </c:pt>
                <c:pt idx="3">
                  <c:v>25.78601487898916</c:v>
                </c:pt>
                <c:pt idx="4">
                  <c:v>24.018766849900217</c:v>
                </c:pt>
              </c:numCache>
            </c:numRef>
          </c:val>
          <c:smooth val="0"/>
          <c:extLst>
            <c:ext xmlns:c16="http://schemas.microsoft.com/office/drawing/2014/chart" uri="{C3380CC4-5D6E-409C-BE32-E72D297353CC}">
              <c16:uniqueId val="{00000005-8143-4367-8D6C-9BE96F85EAB2}"/>
            </c:ext>
          </c:extLst>
        </c:ser>
        <c:ser>
          <c:idx val="10"/>
          <c:order val="5"/>
          <c:tx>
            <c:strRef>
              <c:f>New_Ceased_LAC!$AK$43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New_Ceased_LAC!$AL$43:$AP$43</c:f>
              <c:numCache>
                <c:formatCode>0.0</c:formatCode>
                <c:ptCount val="5"/>
                <c:pt idx="0">
                  <c:v>29.628410353483396</c:v>
                </c:pt>
                <c:pt idx="1">
                  <c:v>29.717060103800435</c:v>
                </c:pt>
                <c:pt idx="2">
                  <c:v>40.192926045016073</c:v>
                </c:pt>
                <c:pt idx="3">
                  <c:v>35.693039857227838</c:v>
                </c:pt>
                <c:pt idx="4">
                  <c:v>29.43937196006485</c:v>
                </c:pt>
              </c:numCache>
            </c:numRef>
          </c:val>
          <c:smooth val="0"/>
          <c:extLst>
            <c:ext xmlns:c16="http://schemas.microsoft.com/office/drawing/2014/chart" uri="{C3380CC4-5D6E-409C-BE32-E72D297353CC}">
              <c16:uniqueId val="{00000006-8143-4367-8D6C-9BE96F85EAB2}"/>
            </c:ext>
          </c:extLst>
        </c:ser>
        <c:ser>
          <c:idx val="11"/>
          <c:order val="6"/>
          <c:tx>
            <c:strRef>
              <c:f>New_Ceased_LAC!$AK$44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New_Ceased_LAC!$AL$44:$AP$44</c:f>
              <c:numCache>
                <c:formatCode>0.0</c:formatCode>
                <c:ptCount val="5"/>
                <c:pt idx="0">
                  <c:v>28.379177003866889</c:v>
                </c:pt>
                <c:pt idx="1">
                  <c:v>29.184508288878789</c:v>
                </c:pt>
                <c:pt idx="2">
                  <c:v>44.482000410603085</c:v>
                </c:pt>
                <c:pt idx="3">
                  <c:v>52.062369844075391</c:v>
                </c:pt>
                <c:pt idx="4">
                  <c:v>78.68929641835949</c:v>
                </c:pt>
              </c:numCache>
            </c:numRef>
          </c:val>
          <c:smooth val="0"/>
          <c:extLst>
            <c:ext xmlns:c16="http://schemas.microsoft.com/office/drawing/2014/chart" uri="{C3380CC4-5D6E-409C-BE32-E72D297353CC}">
              <c16:uniqueId val="{00000007-8143-4367-8D6C-9BE96F85EAB2}"/>
            </c:ext>
          </c:extLst>
        </c:ser>
        <c:ser>
          <c:idx val="12"/>
          <c:order val="7"/>
          <c:tx>
            <c:strRef>
              <c:f>New_Ceased_LAC!$AK$45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New_Ceased_LAC!$AL$45:$AP$45</c:f>
              <c:numCache>
                <c:formatCode>0.0</c:formatCode>
                <c:ptCount val="5"/>
                <c:pt idx="0">
                  <c:v>27.327553712777988</c:v>
                </c:pt>
                <c:pt idx="1">
                  <c:v>23.39273098359369</c:v>
                </c:pt>
                <c:pt idx="2">
                  <c:v>19.587257313881882</c:v>
                </c:pt>
                <c:pt idx="3">
                  <c:v>24.940343314602416</c:v>
                </c:pt>
                <c:pt idx="4">
                  <c:v>28.491310150404125</c:v>
                </c:pt>
              </c:numCache>
            </c:numRef>
          </c:val>
          <c:smooth val="0"/>
          <c:extLst>
            <c:ext xmlns:c16="http://schemas.microsoft.com/office/drawing/2014/chart" uri="{C3380CC4-5D6E-409C-BE32-E72D297353CC}">
              <c16:uniqueId val="{00000008-8143-4367-8D6C-9BE96F85EAB2}"/>
            </c:ext>
          </c:extLst>
        </c:ser>
        <c:ser>
          <c:idx val="13"/>
          <c:order val="8"/>
          <c:tx>
            <c:strRef>
              <c:f>New_Ceased_LAC!$AK$46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New_Ceased_LAC!$AL$46:$AP$46</c:f>
              <c:numCache>
                <c:formatCode>0.0</c:formatCode>
                <c:ptCount val="5"/>
                <c:pt idx="0">
                  <c:v>24.334777003635729</c:v>
                </c:pt>
                <c:pt idx="1">
                  <c:v>23.230647139456028</c:v>
                </c:pt>
                <c:pt idx="2">
                  <c:v>21.540891792920227</c:v>
                </c:pt>
                <c:pt idx="3">
                  <c:v>23.39642852109202</c:v>
                </c:pt>
                <c:pt idx="4">
                  <c:v>32.69365495830872</c:v>
                </c:pt>
              </c:numCache>
            </c:numRef>
          </c:val>
          <c:smooth val="0"/>
          <c:extLst>
            <c:ext xmlns:c16="http://schemas.microsoft.com/office/drawing/2014/chart" uri="{C3380CC4-5D6E-409C-BE32-E72D297353CC}">
              <c16:uniqueId val="{00000009-8143-4367-8D6C-9BE96F85EAB2}"/>
            </c:ext>
          </c:extLst>
        </c:ser>
        <c:ser>
          <c:idx val="15"/>
          <c:order val="9"/>
          <c:tx>
            <c:strRef>
              <c:f>New_Ceased_LAC!$AK$47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New_Ceased_LAC!$AL$47:$AP$47</c:f>
              <c:numCache>
                <c:formatCode>0.0</c:formatCode>
                <c:ptCount val="5"/>
                <c:pt idx="0">
                  <c:v>21.394595268263298</c:v>
                </c:pt>
                <c:pt idx="1">
                  <c:v>19.832115632251977</c:v>
                </c:pt>
                <c:pt idx="2">
                  <c:v>25.351400476961661</c:v>
                </c:pt>
                <c:pt idx="3">
                  <c:v>24.609129452045636</c:v>
                </c:pt>
                <c:pt idx="4">
                  <c:v>14.3601849119701</c:v>
                </c:pt>
              </c:numCache>
            </c:numRef>
          </c:val>
          <c:smooth val="0"/>
          <c:extLst>
            <c:ext xmlns:c16="http://schemas.microsoft.com/office/drawing/2014/chart" uri="{C3380CC4-5D6E-409C-BE32-E72D297353CC}">
              <c16:uniqueId val="{0000000A-8143-4367-8D6C-9BE96F85EAB2}"/>
            </c:ext>
          </c:extLst>
        </c:ser>
        <c:ser>
          <c:idx val="16"/>
          <c:order val="10"/>
          <c:tx>
            <c:strRef>
              <c:f>New_Ceased_LAC!$AK$48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New_Ceased_LAC!$AL$48:$AP$48</c:f>
              <c:numCache>
                <c:formatCode>0.0</c:formatCode>
                <c:ptCount val="5"/>
                <c:pt idx="0">
                  <c:v>42.585587514571884</c:v>
                </c:pt>
                <c:pt idx="1">
                  <c:v>30.096739519885343</c:v>
                </c:pt>
                <c:pt idx="2">
                  <c:v>31.847902140082514</c:v>
                </c:pt>
                <c:pt idx="3">
                  <c:v>36.540803897685748</c:v>
                </c:pt>
                <c:pt idx="4">
                  <c:v>39.709740704847896</c:v>
                </c:pt>
              </c:numCache>
            </c:numRef>
          </c:val>
          <c:smooth val="0"/>
          <c:extLst>
            <c:ext xmlns:c16="http://schemas.microsoft.com/office/drawing/2014/chart" uri="{C3380CC4-5D6E-409C-BE32-E72D297353CC}">
              <c16:uniqueId val="{0000000B-8143-4367-8D6C-9BE96F85EAB2}"/>
            </c:ext>
          </c:extLst>
        </c:ser>
        <c:ser>
          <c:idx val="17"/>
          <c:order val="11"/>
          <c:tx>
            <c:strRef>
              <c:f>New_Ceased_LAC!$AK$49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New_Ceased_LAC!$AL$49:$AP$49</c:f>
              <c:numCache>
                <c:formatCode>0.0</c:formatCode>
                <c:ptCount val="5"/>
                <c:pt idx="0">
                  <c:v>31.325951930866864</c:v>
                </c:pt>
                <c:pt idx="1">
                  <c:v>25.425333369397634</c:v>
                </c:pt>
                <c:pt idx="2">
                  <c:v>21.742720317058403</c:v>
                </c:pt>
                <c:pt idx="3">
                  <c:v>26.570048309178745</c:v>
                </c:pt>
                <c:pt idx="4">
                  <c:v>29.528856547760288</c:v>
                </c:pt>
              </c:numCache>
            </c:numRef>
          </c:val>
          <c:smooth val="0"/>
          <c:extLst>
            <c:ext xmlns:c16="http://schemas.microsoft.com/office/drawing/2014/chart" uri="{C3380CC4-5D6E-409C-BE32-E72D297353CC}">
              <c16:uniqueId val="{0000000C-8143-4367-8D6C-9BE96F85EAB2}"/>
            </c:ext>
          </c:extLst>
        </c:ser>
        <c:ser>
          <c:idx val="19"/>
          <c:order val="12"/>
          <c:tx>
            <c:strRef>
              <c:f>New_Ceased_LAC!$AK$50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New_Ceased_LAC!$AL$50:$AP$50</c:f>
              <c:numCache>
                <c:formatCode>0.0</c:formatCode>
                <c:ptCount val="5"/>
                <c:pt idx="0">
                  <c:v>24.609581637112168</c:v>
                </c:pt>
                <c:pt idx="1">
                  <c:v>29.384965831435078</c:v>
                </c:pt>
                <c:pt idx="2">
                  <c:v>28.122642156526513</c:v>
                </c:pt>
                <c:pt idx="3">
                  <c:v>31.638418079096045</c:v>
                </c:pt>
                <c:pt idx="4">
                  <c:v>16.276840063323597</c:v>
                </c:pt>
              </c:numCache>
            </c:numRef>
          </c:val>
          <c:smooth val="0"/>
          <c:extLst>
            <c:ext xmlns:c16="http://schemas.microsoft.com/office/drawing/2014/chart" uri="{C3380CC4-5D6E-409C-BE32-E72D297353CC}">
              <c16:uniqueId val="{0000000D-8143-4367-8D6C-9BE96F85EAB2}"/>
            </c:ext>
          </c:extLst>
        </c:ser>
        <c:ser>
          <c:idx val="20"/>
          <c:order val="13"/>
          <c:tx>
            <c:strRef>
              <c:f>New_Ceased_LAC!$AK$51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New_Ceased_LAC!$AL$51:$AP$51</c:f>
              <c:numCache>
                <c:formatCode>0.0</c:formatCode>
                <c:ptCount val="5"/>
                <c:pt idx="0">
                  <c:v>39.727353391949663</c:v>
                </c:pt>
                <c:pt idx="1">
                  <c:v>38.603052053803005</c:v>
                </c:pt>
                <c:pt idx="2">
                  <c:v>45.962582003725601</c:v>
                </c:pt>
                <c:pt idx="3">
                  <c:v>39.100880271099435</c:v>
                </c:pt>
                <c:pt idx="4">
                  <c:v>32.358604808131339</c:v>
                </c:pt>
              </c:numCache>
            </c:numRef>
          </c:val>
          <c:smooth val="0"/>
          <c:extLst>
            <c:ext xmlns:c16="http://schemas.microsoft.com/office/drawing/2014/chart" uri="{C3380CC4-5D6E-409C-BE32-E72D297353CC}">
              <c16:uniqueId val="{0000000F-8143-4367-8D6C-9BE96F85EAB2}"/>
            </c:ext>
          </c:extLst>
        </c:ser>
        <c:ser>
          <c:idx val="22"/>
          <c:order val="14"/>
          <c:tx>
            <c:strRef>
              <c:f>New_Ceased_LAC!$AK$52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New_Ceased_LAC!$AL$52:$AP$52</c:f>
              <c:numCache>
                <c:formatCode>0.0</c:formatCode>
                <c:ptCount val="5"/>
                <c:pt idx="0">
                  <c:v>14.454843147513031</c:v>
                </c:pt>
                <c:pt idx="1">
                  <c:v>16.207706203412517</c:v>
                </c:pt>
                <c:pt idx="2">
                  <c:v>17.341842397336293</c:v>
                </c:pt>
                <c:pt idx="3">
                  <c:v>14.381446037323457</c:v>
                </c:pt>
                <c:pt idx="4">
                  <c:v>13.475262729982836</c:v>
                </c:pt>
              </c:numCache>
            </c:numRef>
          </c:val>
          <c:smooth val="0"/>
          <c:extLst>
            <c:ext xmlns:c16="http://schemas.microsoft.com/office/drawing/2014/chart" uri="{C3380CC4-5D6E-409C-BE32-E72D297353CC}">
              <c16:uniqueId val="{00000010-8143-4367-8D6C-9BE96F85EAB2}"/>
            </c:ext>
          </c:extLst>
        </c:ser>
        <c:ser>
          <c:idx val="23"/>
          <c:order val="15"/>
          <c:tx>
            <c:strRef>
              <c:f>New_Ceased_LAC!$AK$53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New_Ceased_LAC!$AL$53:$AP$53</c:f>
              <c:numCache>
                <c:formatCode>0.0</c:formatCode>
                <c:ptCount val="5"/>
                <c:pt idx="0">
                  <c:v>16.827814380650864</c:v>
                </c:pt>
                <c:pt idx="1">
                  <c:v>13.783597518952446</c:v>
                </c:pt>
                <c:pt idx="2">
                  <c:v>21.968492556727849</c:v>
                </c:pt>
                <c:pt idx="3">
                  <c:v>28.643446379468376</c:v>
                </c:pt>
                <c:pt idx="4">
                  <c:v>19.815994338287329</c:v>
                </c:pt>
              </c:numCache>
            </c:numRef>
          </c:val>
          <c:smooth val="0"/>
          <c:extLst>
            <c:ext xmlns:c16="http://schemas.microsoft.com/office/drawing/2014/chart" uri="{C3380CC4-5D6E-409C-BE32-E72D297353CC}">
              <c16:uniqueId val="{00000013-8143-4367-8D6C-9BE96F85EAB2}"/>
            </c:ext>
          </c:extLst>
        </c:ser>
        <c:ser>
          <c:idx val="24"/>
          <c:order val="16"/>
          <c:tx>
            <c:strRef>
              <c:f>New_Ceased_LAC!$AK$54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New_Ceased_LAC!$AL$54:$AP$54</c:f>
              <c:numCache>
                <c:formatCode>0.0</c:formatCode>
                <c:ptCount val="5"/>
                <c:pt idx="0">
                  <c:v>26.332317301542485</c:v>
                </c:pt>
                <c:pt idx="1">
                  <c:v>26.168525302951007</c:v>
                </c:pt>
                <c:pt idx="2">
                  <c:v>23.793998878936591</c:v>
                </c:pt>
                <c:pt idx="3">
                  <c:v>22.441626397667875</c:v>
                </c:pt>
                <c:pt idx="4">
                  <c:v>22.904004290311047</c:v>
                </c:pt>
              </c:numCache>
            </c:numRef>
          </c:val>
          <c:smooth val="0"/>
          <c:extLst>
            <c:ext xmlns:c16="http://schemas.microsoft.com/office/drawing/2014/chart" uri="{C3380CC4-5D6E-409C-BE32-E72D297353CC}">
              <c16:uniqueId val="{00000014-8143-4367-8D6C-9BE96F85EAB2}"/>
            </c:ext>
          </c:extLst>
        </c:ser>
        <c:ser>
          <c:idx val="25"/>
          <c:order val="17"/>
          <c:tx>
            <c:strRef>
              <c:f>New_Ceased_LAC!$AK$55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New_Ceased_LAC!$AL$55:$AP$55</c:f>
              <c:numCache>
                <c:formatCode>0.0</c:formatCode>
                <c:ptCount val="5"/>
                <c:pt idx="0">
                  <c:v>15.171850382213924</c:v>
                </c:pt>
                <c:pt idx="1">
                  <c:v>14.963471525393892</c:v>
                </c:pt>
                <c:pt idx="2">
                  <c:v>13.578934939189988</c:v>
                </c:pt>
                <c:pt idx="3">
                  <c:v>28.728050889690149</c:v>
                </c:pt>
                <c:pt idx="4">
                  <c:v>18.37752690995012</c:v>
                </c:pt>
              </c:numCache>
            </c:numRef>
          </c:val>
          <c:smooth val="0"/>
          <c:extLst>
            <c:ext xmlns:c16="http://schemas.microsoft.com/office/drawing/2014/chart" uri="{C3380CC4-5D6E-409C-BE32-E72D297353CC}">
              <c16:uniqueId val="{00000015-8143-4367-8D6C-9BE96F85EAB2}"/>
            </c:ext>
          </c:extLst>
        </c:ser>
        <c:ser>
          <c:idx val="26"/>
          <c:order val="18"/>
          <c:tx>
            <c:strRef>
              <c:f>New_Ceased_LAC!$AK$56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New_Ceased_LAC!$AL$56:$AP$56</c:f>
              <c:numCache>
                <c:formatCode>0.0</c:formatCode>
                <c:ptCount val="5"/>
                <c:pt idx="0">
                  <c:v>11.063059438801165</c:v>
                </c:pt>
                <c:pt idx="1">
                  <c:v>12.600059294396681</c:v>
                </c:pt>
                <c:pt idx="2">
                  <c:v>22.61178244061368</c:v>
                </c:pt>
                <c:pt idx="3">
                  <c:v>15.757290686735654</c:v>
                </c:pt>
                <c:pt idx="4">
                  <c:v>13.390589647688969</c:v>
                </c:pt>
              </c:numCache>
            </c:numRef>
          </c:val>
          <c:smooth val="0"/>
          <c:extLst>
            <c:ext xmlns:c16="http://schemas.microsoft.com/office/drawing/2014/chart" uri="{C3380CC4-5D6E-409C-BE32-E72D297353CC}">
              <c16:uniqueId val="{00000016-8143-4367-8D6C-9BE96F85EAB2}"/>
            </c:ext>
          </c:extLst>
        </c:ser>
        <c:ser>
          <c:idx val="4"/>
          <c:order val="19"/>
          <c:tx>
            <c:strRef>
              <c:f>New_Ceased_LAC!$AK$57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New_Ceased_LAC!$AL$57:$AP$57</c:f>
              <c:numCache>
                <c:formatCode>0.0</c:formatCode>
                <c:ptCount val="5"/>
                <c:pt idx="0">
                  <c:v>22.72122458063</c:v>
                </c:pt>
                <c:pt idx="1">
                  <c:v>22.913601117918549</c:v>
                </c:pt>
                <c:pt idx="2">
                  <c:v>26.378108959258068</c:v>
                </c:pt>
                <c:pt idx="3">
                  <c:v>28.29209861730001</c:v>
                </c:pt>
                <c:pt idx="4">
                  <c:v>32.076845275520661</c:v>
                </c:pt>
              </c:numCache>
            </c:numRef>
          </c:val>
          <c:smooth val="0"/>
          <c:extLst>
            <c:ext xmlns:c16="http://schemas.microsoft.com/office/drawing/2014/chart" uri="{C3380CC4-5D6E-409C-BE32-E72D297353CC}">
              <c16:uniqueId val="{00000017-8143-4367-8D6C-9BE96F85EAB2}"/>
            </c:ext>
          </c:extLst>
        </c:ser>
        <c:ser>
          <c:idx val="14"/>
          <c:order val="20"/>
          <c:tx>
            <c:strRef>
              <c:f>New_Ceased_LAC!$AK$58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New_Ceased_LAC!$Y$2:$AC$3</c:f>
              <c:strCache>
                <c:ptCount val="5"/>
                <c:pt idx="0">
                  <c:v>2019/20</c:v>
                </c:pt>
                <c:pt idx="1">
                  <c:v>2020/21</c:v>
                </c:pt>
                <c:pt idx="2">
                  <c:v>2021/22</c:v>
                </c:pt>
                <c:pt idx="3">
                  <c:v>2022/23</c:v>
                </c:pt>
                <c:pt idx="4">
                  <c:v>2023/24</c:v>
                </c:pt>
              </c:strCache>
            </c:strRef>
          </c:cat>
          <c:val>
            <c:numRef>
              <c:f>New_Ceased_LAC!$AL$58:$AP$58</c:f>
              <c:numCache>
                <c:formatCode>0.0</c:formatCode>
                <c:ptCount val="5"/>
                <c:pt idx="0">
                  <c:v>26.26692762269802</c:v>
                </c:pt>
                <c:pt idx="1">
                  <c:v>24.126651687330131</c:v>
                </c:pt>
                <c:pt idx="2">
                  <c:v>26.362595956533767</c:v>
                </c:pt>
                <c:pt idx="3">
                  <c:v>27.764248549254912</c:v>
                </c:pt>
                <c:pt idx="4">
                  <c:v>27.544774635404693</c:v>
                </c:pt>
              </c:numCache>
            </c:numRef>
          </c:val>
          <c:smooth val="0"/>
          <c:extLst>
            <c:ext xmlns:c16="http://schemas.microsoft.com/office/drawing/2014/chart" uri="{C3380CC4-5D6E-409C-BE32-E72D297353CC}">
              <c16:uniqueId val="{00000018-8143-4367-8D6C-9BE96F85EAB2}"/>
            </c:ext>
          </c:extLst>
        </c:ser>
        <c:ser>
          <c:idx val="6"/>
          <c:order val="21"/>
          <c:tx>
            <c:strRef>
              <c:f>New_Ceased_LAC!$AK$59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New_Ceased_LAC!$Y$2:$AC$3</c:f>
              <c:strCache>
                <c:ptCount val="5"/>
                <c:pt idx="0">
                  <c:v>2019/20</c:v>
                </c:pt>
                <c:pt idx="1">
                  <c:v>2020/21</c:v>
                </c:pt>
                <c:pt idx="2">
                  <c:v>2021/22</c:v>
                </c:pt>
                <c:pt idx="3">
                  <c:v>2022/23</c:v>
                </c:pt>
                <c:pt idx="4">
                  <c:v>2023/24</c:v>
                </c:pt>
              </c:strCache>
            </c:strRef>
          </c:cat>
          <c:val>
            <c:numRef>
              <c:f>New_Ceased_LAC!$AL$59:$AP$59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8143-4367-8D6C-9BE96F85EAB2}"/>
            </c:ext>
          </c:extLst>
        </c:ser>
        <c:dLbls>
          <c:showLegendKey val="0"/>
          <c:showVal val="0"/>
          <c:showCatName val="0"/>
          <c:showSerName val="0"/>
          <c:showPercent val="0"/>
          <c:showBubbleSize val="0"/>
        </c:dLbls>
        <c:marker val="1"/>
        <c:smooth val="0"/>
        <c:axId val="613060992"/>
        <c:axId val="613062912"/>
      </c:lineChart>
      <c:catAx>
        <c:axId val="613060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13062912"/>
        <c:crosses val="autoZero"/>
        <c:auto val="1"/>
        <c:lblAlgn val="ctr"/>
        <c:lblOffset val="100"/>
        <c:tickLblSkip val="1"/>
        <c:tickMarkSkip val="1"/>
        <c:noMultiLvlLbl val="0"/>
      </c:catAx>
      <c:valAx>
        <c:axId val="613062912"/>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13060992"/>
        <c:crosses val="autoZero"/>
        <c:crossBetween val="between"/>
      </c:valAx>
      <c:spPr>
        <a:noFill/>
        <a:ln w="3175">
          <a:solidFill>
            <a:srgbClr val="000000"/>
          </a:solidFill>
          <a:prstDash val="solid"/>
        </a:ln>
      </c:spPr>
    </c:plotArea>
    <c:legend>
      <c:legendPos val="r"/>
      <c:layout>
        <c:manualLayout>
          <c:xMode val="edge"/>
          <c:yMode val="edge"/>
          <c:x val="0.6538495913317024"/>
          <c:y val="7.5190870500600387E-2"/>
          <c:w val="0.34004895014230935"/>
          <c:h val="0.89602431295865037"/>
        </c:manualLayout>
      </c:layout>
      <c:overlay val="0"/>
      <c:spPr>
        <a:solidFill>
          <a:srgbClr val="FFFFFF"/>
        </a:solidFill>
        <a:ln w="25400">
          <a:noFill/>
        </a:ln>
      </c:spPr>
    </c:legend>
    <c:plotVisOnly val="0"/>
    <c:dispBlanksAs val="span"/>
    <c:showDLblsOverMax val="0"/>
  </c:chart>
  <c:spPr>
    <a:solidFill>
      <a:schemeClr val="bg1"/>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Children starting to be Looked After who were remanded into LA Care</a:t>
            </a:r>
          </a:p>
          <a:p>
            <a:pPr>
              <a:defRPr sz="1100" b="1" i="0" u="none" strike="noStrike" baseline="0">
                <a:solidFill>
                  <a:srgbClr val="000000"/>
                </a:solidFill>
                <a:latin typeface="Arial"/>
                <a:ea typeface="Arial"/>
                <a:cs typeface="Arial"/>
              </a:defRPr>
            </a:pPr>
            <a:r>
              <a:rPr lang="en-GB" sz="1100"/>
              <a:t> (Selected LA</a:t>
            </a:r>
            <a:r>
              <a:rPr lang="en-GB" sz="1100" baseline="0"/>
              <a:t> vs. SE &amp; National)</a:t>
            </a:r>
            <a:r>
              <a:rPr lang="en-GB" sz="1100"/>
              <a:t> </a:t>
            </a:r>
          </a:p>
        </c:rich>
      </c:tx>
      <c:layout>
        <c:manualLayout>
          <c:xMode val="edge"/>
          <c:yMode val="edge"/>
          <c:x val="0.12250045476988644"/>
          <c:y val="3.86179797700726E-3"/>
        </c:manualLayout>
      </c:layout>
      <c:overlay val="0"/>
      <c:spPr>
        <a:noFill/>
        <a:ln w="25400">
          <a:noFill/>
        </a:ln>
      </c:spPr>
    </c:title>
    <c:autoTitleDeleted val="0"/>
    <c:plotArea>
      <c:layout>
        <c:manualLayout>
          <c:layoutTarget val="inner"/>
          <c:xMode val="edge"/>
          <c:yMode val="edge"/>
          <c:x val="9.8666564984461691E-2"/>
          <c:y val="0.32355555555555554"/>
          <c:w val="0.61637119617473557"/>
          <c:h val="0.45634995625546798"/>
        </c:manualLayout>
      </c:layout>
      <c:barChart>
        <c:barDir val="col"/>
        <c:grouping val="clustered"/>
        <c:varyColors val="0"/>
        <c:ser>
          <c:idx val="6"/>
          <c:order val="0"/>
          <c:tx>
            <c:strRef>
              <c:f>New_Ceased_LAC!$Z$4</c:f>
              <c:strCache>
                <c:ptCount val="1"/>
                <c:pt idx="0">
                  <c:v>Selected LA- (none)</c:v>
                </c:pt>
              </c:strCache>
            </c:strRef>
          </c:tx>
          <c:spPr>
            <a:solidFill>
              <a:srgbClr val="66FF99"/>
            </a:solidFill>
            <a:ln>
              <a:solidFill>
                <a:schemeClr val="tx1">
                  <a:lumMod val="75000"/>
                  <a:lumOff val="25000"/>
                </a:schemeClr>
              </a:solidFill>
            </a:ln>
          </c:spPr>
          <c:invertIfNegative val="0"/>
          <c:cat>
            <c:strRef>
              <c:f>New_Ceased_LAC!$Y$2:$AC$3</c:f>
              <c:strCache>
                <c:ptCount val="5"/>
                <c:pt idx="0">
                  <c:v>2019/20</c:v>
                </c:pt>
                <c:pt idx="1">
                  <c:v>2020/21</c:v>
                </c:pt>
                <c:pt idx="2">
                  <c:v>2021/22</c:v>
                </c:pt>
                <c:pt idx="3">
                  <c:v>2022/23</c:v>
                </c:pt>
                <c:pt idx="4">
                  <c:v>2023/24</c:v>
                </c:pt>
              </c:strCache>
            </c:strRef>
          </c:cat>
          <c:val>
            <c:numRef>
              <c:f>New_Ceased_LAC!$AW$59:$BA$59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9D17-4BE6-9144-13104056A7D8}"/>
            </c:ext>
          </c:extLst>
        </c:ser>
        <c:ser>
          <c:idx val="4"/>
          <c:order val="1"/>
          <c:tx>
            <c:strRef>
              <c:f>New_Ceased_LAC!$B$161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New_Ceased_LAC!$Y$2:$AC$3</c:f>
              <c:strCache>
                <c:ptCount val="5"/>
                <c:pt idx="0">
                  <c:v>2019/20</c:v>
                </c:pt>
                <c:pt idx="1">
                  <c:v>2020/21</c:v>
                </c:pt>
                <c:pt idx="2">
                  <c:v>2021/22</c:v>
                </c:pt>
                <c:pt idx="3">
                  <c:v>2022/23</c:v>
                </c:pt>
                <c:pt idx="4">
                  <c:v>2023/24</c:v>
                </c:pt>
              </c:strCache>
            </c:strRef>
          </c:cat>
          <c:val>
            <c:numRef>
              <c:f>New_Ceased_LAC!$D$161:$H$161</c:f>
              <c:numCache>
                <c:formatCode>0%</c:formatCode>
                <c:ptCount val="5"/>
                <c:pt idx="0">
                  <c:v>1.3698630136986301E-2</c:v>
                </c:pt>
                <c:pt idx="1">
                  <c:v>9.0415913200723331E-3</c:v>
                </c:pt>
                <c:pt idx="2">
                  <c:v>7.8339208773991389E-3</c:v>
                </c:pt>
                <c:pt idx="3">
                  <c:v>8.9928057553956831E-3</c:v>
                </c:pt>
                <c:pt idx="4">
                  <c:v>1.1164274322169059E-2</c:v>
                </c:pt>
              </c:numCache>
            </c:numRef>
          </c:val>
          <c:extLst>
            <c:ext xmlns:c16="http://schemas.microsoft.com/office/drawing/2014/chart" uri="{C3380CC4-5D6E-409C-BE32-E72D297353CC}">
              <c16:uniqueId val="{00000001-9D17-4BE6-9144-13104056A7D8}"/>
            </c:ext>
          </c:extLst>
        </c:ser>
        <c:ser>
          <c:idx val="0"/>
          <c:order val="2"/>
          <c:tx>
            <c:strRef>
              <c:f>New_Ceased_LAC!$B$162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New_Ceased_LAC!$Y$2:$AC$3</c:f>
              <c:strCache>
                <c:ptCount val="5"/>
                <c:pt idx="0">
                  <c:v>2019/20</c:v>
                </c:pt>
                <c:pt idx="1">
                  <c:v>2020/21</c:v>
                </c:pt>
                <c:pt idx="2">
                  <c:v>2021/22</c:v>
                </c:pt>
                <c:pt idx="3">
                  <c:v>2022/23</c:v>
                </c:pt>
                <c:pt idx="4">
                  <c:v>2023/24</c:v>
                </c:pt>
              </c:strCache>
            </c:strRef>
          </c:cat>
          <c:val>
            <c:numRef>
              <c:f>New_Ceased_LAC!$D$162:$H$162</c:f>
              <c:numCache>
                <c:formatCode>0%</c:formatCode>
                <c:ptCount val="5"/>
                <c:pt idx="0">
                  <c:v>2.292541168873103E-2</c:v>
                </c:pt>
                <c:pt idx="1">
                  <c:v>1.8635724331926864E-2</c:v>
                </c:pt>
                <c:pt idx="2">
                  <c:v>1.5156401160915834E-2</c:v>
                </c:pt>
                <c:pt idx="3">
                  <c:v>1.4242424242424242E-2</c:v>
                </c:pt>
                <c:pt idx="4">
                  <c:v>1.5128593040847202E-2</c:v>
                </c:pt>
              </c:numCache>
            </c:numRef>
          </c:val>
          <c:extLst>
            <c:ext xmlns:c16="http://schemas.microsoft.com/office/drawing/2014/chart" uri="{C3380CC4-5D6E-409C-BE32-E72D297353CC}">
              <c16:uniqueId val="{00000002-9D17-4BE6-9144-13104056A7D8}"/>
            </c:ext>
          </c:extLst>
        </c:ser>
        <c:dLbls>
          <c:showLegendKey val="0"/>
          <c:showVal val="0"/>
          <c:showCatName val="0"/>
          <c:showSerName val="0"/>
          <c:showPercent val="0"/>
          <c:showBubbleSize val="0"/>
        </c:dLbls>
        <c:gapWidth val="100"/>
        <c:axId val="612776960"/>
        <c:axId val="602936064"/>
      </c:barChart>
      <c:catAx>
        <c:axId val="612776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2936064"/>
        <c:crosses val="autoZero"/>
        <c:auto val="1"/>
        <c:lblAlgn val="ctr"/>
        <c:lblOffset val="100"/>
        <c:noMultiLvlLbl val="0"/>
      </c:catAx>
      <c:valAx>
        <c:axId val="602936064"/>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2776960"/>
        <c:crosses val="autoZero"/>
        <c:crossBetween val="between"/>
      </c:valAx>
      <c:spPr>
        <a:noFill/>
        <a:ln w="3175">
          <a:solidFill>
            <a:srgbClr val="000000"/>
          </a:solidFill>
          <a:prstDash val="solid"/>
        </a:ln>
      </c:spPr>
    </c:plotArea>
    <c:legend>
      <c:legendPos val="r"/>
      <c:layout>
        <c:manualLayout>
          <c:xMode val="edge"/>
          <c:yMode val="edge"/>
          <c:x val="0.72924872014760533"/>
          <c:y val="0.32502155412391631"/>
          <c:w val="0.27075127985239467"/>
          <c:h val="0.60612546238737708"/>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Children starting to be Looked After during the period who were remanded into Local Authority Care</a:t>
            </a:r>
          </a:p>
        </c:rich>
      </c:tx>
      <c:layout>
        <c:manualLayout>
          <c:xMode val="edge"/>
          <c:yMode val="edge"/>
          <c:x val="0.11860373868745022"/>
          <c:y val="6.1214799217111891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5910956479277301"/>
        </c:manualLayout>
      </c:layout>
      <c:lineChart>
        <c:grouping val="standard"/>
        <c:varyColors val="0"/>
        <c:ser>
          <c:idx val="0"/>
          <c:order val="0"/>
          <c:tx>
            <c:strRef>
              <c:f>New_Ceased_LAC!$AK$38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2E1B-4D85-B41C-629FE6AFBA88}"/>
              </c:ext>
            </c:extLst>
          </c:dPt>
          <c:cat>
            <c:strRef>
              <c:f>New_Ceased_LAC!$Y$2:$AC$3</c:f>
              <c:strCache>
                <c:ptCount val="5"/>
                <c:pt idx="0">
                  <c:v>2019/20</c:v>
                </c:pt>
                <c:pt idx="1">
                  <c:v>2020/21</c:v>
                </c:pt>
                <c:pt idx="2">
                  <c:v>2021/22</c:v>
                </c:pt>
                <c:pt idx="3">
                  <c:v>2022/23</c:v>
                </c:pt>
                <c:pt idx="4">
                  <c:v>2023/24</c:v>
                </c:pt>
              </c:strCache>
            </c:strRef>
          </c:cat>
          <c:val>
            <c:numRef>
              <c:f>New_Ceased_LAC!$AW$38:$BA$38</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2E1B-4D85-B41C-629FE6AFBA88}"/>
            </c:ext>
          </c:extLst>
        </c:ser>
        <c:ser>
          <c:idx val="1"/>
          <c:order val="1"/>
          <c:tx>
            <c:strRef>
              <c:f>New_Ceased_LAC!$AK$39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New_Ceased_LAC!$AW$39:$BA$39</c:f>
              <c:numCache>
                <c:formatCode>0.0%</c:formatCode>
                <c:ptCount val="5"/>
                <c:pt idx="0">
                  <c:v>#N/A</c:v>
                </c:pt>
                <c:pt idx="1">
                  <c:v>#N/A</c:v>
                </c:pt>
                <c:pt idx="2">
                  <c:v>#N/A</c:v>
                </c:pt>
                <c:pt idx="3">
                  <c:v>0</c:v>
                </c:pt>
                <c:pt idx="4">
                  <c:v>#N/A</c:v>
                </c:pt>
              </c:numCache>
            </c:numRef>
          </c:val>
          <c:smooth val="0"/>
          <c:extLst>
            <c:ext xmlns:c16="http://schemas.microsoft.com/office/drawing/2014/chart" uri="{C3380CC4-5D6E-409C-BE32-E72D297353CC}">
              <c16:uniqueId val="{00000002-2E1B-4D85-B41C-629FE6AFBA88}"/>
            </c:ext>
          </c:extLst>
        </c:ser>
        <c:ser>
          <c:idx val="2"/>
          <c:order val="2"/>
          <c:tx>
            <c:strRef>
              <c:f>New_Ceased_LAC!$AK$40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New_Ceased_LAC!$AW$40:$BA$40</c:f>
              <c:numCache>
                <c:formatCode>0.0%</c:formatCode>
                <c:ptCount val="5"/>
                <c:pt idx="0">
                  <c:v>#N/A</c:v>
                </c:pt>
                <c:pt idx="1">
                  <c:v>#N/A</c:v>
                </c:pt>
                <c:pt idx="2">
                  <c:v>0</c:v>
                </c:pt>
                <c:pt idx="3">
                  <c:v>#N/A</c:v>
                </c:pt>
                <c:pt idx="4">
                  <c:v>3.0434782608695653E-2</c:v>
                </c:pt>
              </c:numCache>
            </c:numRef>
          </c:val>
          <c:smooth val="0"/>
          <c:extLst>
            <c:ext xmlns:c16="http://schemas.microsoft.com/office/drawing/2014/chart" uri="{C3380CC4-5D6E-409C-BE32-E72D297353CC}">
              <c16:uniqueId val="{00000003-2E1B-4D85-B41C-629FE6AFBA88}"/>
            </c:ext>
          </c:extLst>
        </c:ser>
        <c:ser>
          <c:idx val="5"/>
          <c:order val="3"/>
          <c:tx>
            <c:strRef>
              <c:f>New_Ceased_LAC!$AK$41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New_Ceased_LAC!$AW$41:$BA$41</c:f>
              <c:numCache>
                <c:formatCode>0.0%</c:formatCode>
                <c:ptCount val="5"/>
                <c:pt idx="0">
                  <c:v>#N/A</c:v>
                </c:pt>
                <c:pt idx="1">
                  <c:v>#N/A</c:v>
                </c:pt>
                <c:pt idx="2">
                  <c:v>#N/A</c:v>
                </c:pt>
                <c:pt idx="3">
                  <c:v>2.4896265560165973E-2</c:v>
                </c:pt>
                <c:pt idx="4">
                  <c:v>#N/A</c:v>
                </c:pt>
              </c:numCache>
            </c:numRef>
          </c:val>
          <c:smooth val="0"/>
          <c:extLst>
            <c:ext xmlns:c16="http://schemas.microsoft.com/office/drawing/2014/chart" uri="{C3380CC4-5D6E-409C-BE32-E72D297353CC}">
              <c16:uniqueId val="{00000004-2E1B-4D85-B41C-629FE6AFBA88}"/>
            </c:ext>
          </c:extLst>
        </c:ser>
        <c:ser>
          <c:idx val="9"/>
          <c:order val="4"/>
          <c:tx>
            <c:strRef>
              <c:f>New_Ceased_LAC!$AK$42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New_Ceased_LAC!$AW$42:$BA$42</c:f>
              <c:numCache>
                <c:formatCode>0.0%</c:formatCode>
                <c:ptCount val="5"/>
                <c:pt idx="0">
                  <c:v>1.8214936247723135E-2</c:v>
                </c:pt>
                <c:pt idx="1">
                  <c:v>9.7719869706840382E-3</c:v>
                </c:pt>
                <c:pt idx="2">
                  <c:v>#N/A</c:v>
                </c:pt>
                <c:pt idx="3">
                  <c:v>#N/A</c:v>
                </c:pt>
                <c:pt idx="4">
                  <c:v>#N/A</c:v>
                </c:pt>
              </c:numCache>
            </c:numRef>
          </c:val>
          <c:smooth val="0"/>
          <c:extLst>
            <c:ext xmlns:c16="http://schemas.microsoft.com/office/drawing/2014/chart" uri="{C3380CC4-5D6E-409C-BE32-E72D297353CC}">
              <c16:uniqueId val="{00000005-2E1B-4D85-B41C-629FE6AFBA88}"/>
            </c:ext>
          </c:extLst>
        </c:ser>
        <c:ser>
          <c:idx val="10"/>
          <c:order val="5"/>
          <c:tx>
            <c:strRef>
              <c:f>New_Ceased_LAC!$AK$43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New_Ceased_LAC!$AW$43:$BA$43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2E1B-4D85-B41C-629FE6AFBA88}"/>
            </c:ext>
          </c:extLst>
        </c:ser>
        <c:ser>
          <c:idx val="11"/>
          <c:order val="6"/>
          <c:tx>
            <c:strRef>
              <c:f>New_Ceased_LAC!$AK$44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New_Ceased_LAC!$AW$44:$BA$44</c:f>
              <c:numCache>
                <c:formatCode>0.0%</c:formatCode>
                <c:ptCount val="5"/>
                <c:pt idx="0">
                  <c:v>1.1627906976744186E-2</c:v>
                </c:pt>
                <c:pt idx="1">
                  <c:v>9.2213114754098359E-3</c:v>
                </c:pt>
                <c:pt idx="2">
                  <c:v>5.3511705685618726E-3</c:v>
                </c:pt>
                <c:pt idx="3">
                  <c:v>6.7226890756302525E-3</c:v>
                </c:pt>
                <c:pt idx="4">
                  <c:v>6.2021160160525357E-3</c:v>
                </c:pt>
              </c:numCache>
            </c:numRef>
          </c:val>
          <c:smooth val="0"/>
          <c:extLst>
            <c:ext xmlns:c16="http://schemas.microsoft.com/office/drawing/2014/chart" uri="{C3380CC4-5D6E-409C-BE32-E72D297353CC}">
              <c16:uniqueId val="{00000007-2E1B-4D85-B41C-629FE6AFBA88}"/>
            </c:ext>
          </c:extLst>
        </c:ser>
        <c:ser>
          <c:idx val="12"/>
          <c:order val="7"/>
          <c:tx>
            <c:strRef>
              <c:f>New_Ceased_LAC!$AK$45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New_Ceased_LAC!$AW$45:$BA$45</c:f>
              <c:numCache>
                <c:formatCode>0.0%</c:formatCode>
                <c:ptCount val="5"/>
                <c:pt idx="0">
                  <c:v>#N/A</c:v>
                </c:pt>
                <c:pt idx="1">
                  <c:v>#N/A</c:v>
                </c:pt>
                <c:pt idx="2">
                  <c:v>0</c:v>
                </c:pt>
                <c:pt idx="3">
                  <c:v>#N/A</c:v>
                </c:pt>
                <c:pt idx="4">
                  <c:v>#N/A</c:v>
                </c:pt>
              </c:numCache>
            </c:numRef>
          </c:val>
          <c:smooth val="0"/>
          <c:extLst>
            <c:ext xmlns:c16="http://schemas.microsoft.com/office/drawing/2014/chart" uri="{C3380CC4-5D6E-409C-BE32-E72D297353CC}">
              <c16:uniqueId val="{00000008-2E1B-4D85-B41C-629FE6AFBA88}"/>
            </c:ext>
          </c:extLst>
        </c:ser>
        <c:ser>
          <c:idx val="13"/>
          <c:order val="8"/>
          <c:tx>
            <c:strRef>
              <c:f>New_Ceased_LAC!$AK$46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New_Ceased_LAC!$AW$46:$BA$46</c:f>
              <c:numCache>
                <c:formatCode>0.0%</c:formatCode>
                <c:ptCount val="5"/>
                <c:pt idx="0">
                  <c:v>#N/A</c:v>
                </c:pt>
                <c:pt idx="1">
                  <c:v>#N/A</c:v>
                </c:pt>
                <c:pt idx="2">
                  <c:v>#N/A</c:v>
                </c:pt>
                <c:pt idx="3">
                  <c:v>0</c:v>
                </c:pt>
                <c:pt idx="4">
                  <c:v>#N/A</c:v>
                </c:pt>
              </c:numCache>
            </c:numRef>
          </c:val>
          <c:smooth val="0"/>
          <c:extLst>
            <c:ext xmlns:c16="http://schemas.microsoft.com/office/drawing/2014/chart" uri="{C3380CC4-5D6E-409C-BE32-E72D297353CC}">
              <c16:uniqueId val="{00000009-2E1B-4D85-B41C-629FE6AFBA88}"/>
            </c:ext>
          </c:extLst>
        </c:ser>
        <c:ser>
          <c:idx val="15"/>
          <c:order val="9"/>
          <c:tx>
            <c:strRef>
              <c:f>New_Ceased_LAC!$AK$47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New_Ceased_LAC!$AW$47:$BA$47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2E1B-4D85-B41C-629FE6AFBA88}"/>
            </c:ext>
          </c:extLst>
        </c:ser>
        <c:ser>
          <c:idx val="16"/>
          <c:order val="10"/>
          <c:tx>
            <c:strRef>
              <c:f>New_Ceased_LAC!$AK$48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New_Ceased_LAC!$AW$48:$BA$48</c:f>
              <c:numCache>
                <c:formatCode>0.0%</c:formatCode>
                <c:ptCount val="5"/>
                <c:pt idx="0">
                  <c:v>#N/A</c:v>
                </c:pt>
                <c:pt idx="1">
                  <c:v>0</c:v>
                </c:pt>
                <c:pt idx="2">
                  <c:v>#N/A</c:v>
                </c:pt>
                <c:pt idx="3">
                  <c:v>#N/A</c:v>
                </c:pt>
                <c:pt idx="4">
                  <c:v>#N/A</c:v>
                </c:pt>
              </c:numCache>
            </c:numRef>
          </c:val>
          <c:smooth val="0"/>
          <c:extLst>
            <c:ext xmlns:c16="http://schemas.microsoft.com/office/drawing/2014/chart" uri="{C3380CC4-5D6E-409C-BE32-E72D297353CC}">
              <c16:uniqueId val="{0000000B-2E1B-4D85-B41C-629FE6AFBA88}"/>
            </c:ext>
          </c:extLst>
        </c:ser>
        <c:ser>
          <c:idx val="17"/>
          <c:order val="11"/>
          <c:tx>
            <c:strRef>
              <c:f>New_Ceased_LAC!$AK$49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New_Ceased_LAC!$AW$49:$BA$49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2E1B-4D85-B41C-629FE6AFBA88}"/>
            </c:ext>
          </c:extLst>
        </c:ser>
        <c:ser>
          <c:idx val="19"/>
          <c:order val="12"/>
          <c:tx>
            <c:strRef>
              <c:f>New_Ceased_LAC!$AK$50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New_Ceased_LAC!$AW$50:$BA$50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2E1B-4D85-B41C-629FE6AFBA88}"/>
            </c:ext>
          </c:extLst>
        </c:ser>
        <c:ser>
          <c:idx val="20"/>
          <c:order val="13"/>
          <c:tx>
            <c:strRef>
              <c:f>New_Ceased_LAC!$AK$51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New_Ceased_LAC!$AW$51:$BA$51</c:f>
              <c:numCache>
                <c:formatCode>0.0%</c:formatCode>
                <c:ptCount val="5"/>
                <c:pt idx="0">
                  <c:v>#N/A</c:v>
                </c:pt>
                <c:pt idx="1">
                  <c:v>#N/A</c:v>
                </c:pt>
                <c:pt idx="2">
                  <c:v>#N/A</c:v>
                </c:pt>
                <c:pt idx="3">
                  <c:v>3.5897435897435895E-2</c:v>
                </c:pt>
                <c:pt idx="4">
                  <c:v>4.9079754601226995E-2</c:v>
                </c:pt>
              </c:numCache>
            </c:numRef>
          </c:val>
          <c:smooth val="0"/>
          <c:extLst>
            <c:ext xmlns:c16="http://schemas.microsoft.com/office/drawing/2014/chart" uri="{C3380CC4-5D6E-409C-BE32-E72D297353CC}">
              <c16:uniqueId val="{0000000F-2E1B-4D85-B41C-629FE6AFBA88}"/>
            </c:ext>
          </c:extLst>
        </c:ser>
        <c:ser>
          <c:idx val="22"/>
          <c:order val="14"/>
          <c:tx>
            <c:strRef>
              <c:f>New_Ceased_LAC!$AK$52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New_Ceased_LAC!$AW$52:$BA$52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2E1B-4D85-B41C-629FE6AFBA88}"/>
            </c:ext>
          </c:extLst>
        </c:ser>
        <c:ser>
          <c:idx val="23"/>
          <c:order val="15"/>
          <c:tx>
            <c:strRef>
              <c:f>New_Ceased_LAC!$AK$53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New_Ceased_LAC!$AW$53:$BA$53</c:f>
              <c:numCache>
                <c:formatCode>0.0%</c:formatCode>
                <c:ptCount val="5"/>
                <c:pt idx="0">
                  <c:v>#N/A</c:v>
                </c:pt>
                <c:pt idx="1">
                  <c:v>0</c:v>
                </c:pt>
                <c:pt idx="2">
                  <c:v>0</c:v>
                </c:pt>
                <c:pt idx="3">
                  <c:v>0</c:v>
                </c:pt>
                <c:pt idx="4">
                  <c:v>#N/A</c:v>
                </c:pt>
              </c:numCache>
            </c:numRef>
          </c:val>
          <c:smooth val="0"/>
          <c:extLst>
            <c:ext xmlns:c16="http://schemas.microsoft.com/office/drawing/2014/chart" uri="{C3380CC4-5D6E-409C-BE32-E72D297353CC}">
              <c16:uniqueId val="{00000013-2E1B-4D85-B41C-629FE6AFBA88}"/>
            </c:ext>
          </c:extLst>
        </c:ser>
        <c:ser>
          <c:idx val="24"/>
          <c:order val="16"/>
          <c:tx>
            <c:strRef>
              <c:f>New_Ceased_LAC!$AK$54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New_Ceased_LAC!$AW$54:$BA$54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2E1B-4D85-B41C-629FE6AFBA88}"/>
            </c:ext>
          </c:extLst>
        </c:ser>
        <c:ser>
          <c:idx val="25"/>
          <c:order val="17"/>
          <c:tx>
            <c:strRef>
              <c:f>New_Ceased_LAC!$AK$55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New_Ceased_LAC!$AW$55:$BA$55</c:f>
              <c:numCache>
                <c:formatCode>0.0%</c:formatCode>
                <c:ptCount val="5"/>
                <c:pt idx="0">
                  <c:v>0</c:v>
                </c:pt>
                <c:pt idx="1">
                  <c:v>0</c:v>
                </c:pt>
                <c:pt idx="2">
                  <c:v>0</c:v>
                </c:pt>
                <c:pt idx="3">
                  <c:v>#N/A</c:v>
                </c:pt>
                <c:pt idx="4">
                  <c:v>0</c:v>
                </c:pt>
              </c:numCache>
            </c:numRef>
          </c:val>
          <c:smooth val="0"/>
          <c:extLst>
            <c:ext xmlns:c16="http://schemas.microsoft.com/office/drawing/2014/chart" uri="{C3380CC4-5D6E-409C-BE32-E72D297353CC}">
              <c16:uniqueId val="{00000015-2E1B-4D85-B41C-629FE6AFBA88}"/>
            </c:ext>
          </c:extLst>
        </c:ser>
        <c:ser>
          <c:idx val="26"/>
          <c:order val="18"/>
          <c:tx>
            <c:strRef>
              <c:f>New_Ceased_LAC!$AK$56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New_Ceased_LAC!$AW$56:$BA$56</c:f>
              <c:numCache>
                <c:formatCode>0.0%</c:formatCode>
                <c:ptCount val="5"/>
                <c:pt idx="0">
                  <c:v>0</c:v>
                </c:pt>
                <c:pt idx="1">
                  <c:v>#N/A</c:v>
                </c:pt>
                <c:pt idx="2">
                  <c:v>#N/A</c:v>
                </c:pt>
                <c:pt idx="3">
                  <c:v>0</c:v>
                </c:pt>
                <c:pt idx="4">
                  <c:v>0</c:v>
                </c:pt>
              </c:numCache>
            </c:numRef>
          </c:val>
          <c:smooth val="0"/>
          <c:extLst>
            <c:ext xmlns:c16="http://schemas.microsoft.com/office/drawing/2014/chart" uri="{C3380CC4-5D6E-409C-BE32-E72D297353CC}">
              <c16:uniqueId val="{00000016-2E1B-4D85-B41C-629FE6AFBA88}"/>
            </c:ext>
          </c:extLst>
        </c:ser>
        <c:ser>
          <c:idx val="4"/>
          <c:order val="19"/>
          <c:tx>
            <c:strRef>
              <c:f>New_Ceased_LAC!$AK$57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New_Ceased_LAC!$AW$57:$BA$57</c:f>
              <c:numCache>
                <c:formatCode>0.0%</c:formatCode>
                <c:ptCount val="5"/>
                <c:pt idx="0">
                  <c:v>1.3698630136986301E-2</c:v>
                </c:pt>
                <c:pt idx="1">
                  <c:v>9.0415913200723331E-3</c:v>
                </c:pt>
                <c:pt idx="2">
                  <c:v>7.8339208773991389E-3</c:v>
                </c:pt>
                <c:pt idx="3">
                  <c:v>8.9928057553956831E-3</c:v>
                </c:pt>
                <c:pt idx="4">
                  <c:v>1.1164274322169059E-2</c:v>
                </c:pt>
              </c:numCache>
            </c:numRef>
          </c:val>
          <c:smooth val="0"/>
          <c:extLst>
            <c:ext xmlns:c16="http://schemas.microsoft.com/office/drawing/2014/chart" uri="{C3380CC4-5D6E-409C-BE32-E72D297353CC}">
              <c16:uniqueId val="{00000017-2E1B-4D85-B41C-629FE6AFBA88}"/>
            </c:ext>
          </c:extLst>
        </c:ser>
        <c:ser>
          <c:idx val="14"/>
          <c:order val="20"/>
          <c:tx>
            <c:strRef>
              <c:f>New_Ceased_LAC!$AK$58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New_Ceased_LAC!$Y$2:$AC$3</c:f>
              <c:strCache>
                <c:ptCount val="5"/>
                <c:pt idx="0">
                  <c:v>2019/20</c:v>
                </c:pt>
                <c:pt idx="1">
                  <c:v>2020/21</c:v>
                </c:pt>
                <c:pt idx="2">
                  <c:v>2021/22</c:v>
                </c:pt>
                <c:pt idx="3">
                  <c:v>2022/23</c:v>
                </c:pt>
                <c:pt idx="4">
                  <c:v>2023/24</c:v>
                </c:pt>
              </c:strCache>
            </c:strRef>
          </c:cat>
          <c:val>
            <c:numRef>
              <c:f>New_Ceased_LAC!$AW$58:$BA$58</c:f>
              <c:numCache>
                <c:formatCode>0.0%</c:formatCode>
                <c:ptCount val="5"/>
                <c:pt idx="0">
                  <c:v>2.292541168873103E-2</c:v>
                </c:pt>
                <c:pt idx="1">
                  <c:v>1.8635724331926864E-2</c:v>
                </c:pt>
                <c:pt idx="2">
                  <c:v>1.5156401160915834E-2</c:v>
                </c:pt>
                <c:pt idx="3">
                  <c:v>1.4242424242424242E-2</c:v>
                </c:pt>
                <c:pt idx="4">
                  <c:v>1.5128593040847202E-2</c:v>
                </c:pt>
              </c:numCache>
            </c:numRef>
          </c:val>
          <c:smooth val="0"/>
          <c:extLst>
            <c:ext xmlns:c16="http://schemas.microsoft.com/office/drawing/2014/chart" uri="{C3380CC4-5D6E-409C-BE32-E72D297353CC}">
              <c16:uniqueId val="{00000018-2E1B-4D85-B41C-629FE6AFBA88}"/>
            </c:ext>
          </c:extLst>
        </c:ser>
        <c:ser>
          <c:idx val="6"/>
          <c:order val="21"/>
          <c:tx>
            <c:strRef>
              <c:f>New_Ceased_LAC!$AK$59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New_Ceased_LAC!$Y$2:$AC$3</c:f>
              <c:strCache>
                <c:ptCount val="5"/>
                <c:pt idx="0">
                  <c:v>2019/20</c:v>
                </c:pt>
                <c:pt idx="1">
                  <c:v>2020/21</c:v>
                </c:pt>
                <c:pt idx="2">
                  <c:v>2021/22</c:v>
                </c:pt>
                <c:pt idx="3">
                  <c:v>2022/23</c:v>
                </c:pt>
                <c:pt idx="4">
                  <c:v>2023/24</c:v>
                </c:pt>
              </c:strCache>
            </c:strRef>
          </c:cat>
          <c:val>
            <c:numRef>
              <c:f>New_Ceased_LAC!$AW$59:$BA$59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2E1B-4D85-B41C-629FE6AFBA88}"/>
            </c:ext>
          </c:extLst>
        </c:ser>
        <c:dLbls>
          <c:showLegendKey val="0"/>
          <c:showVal val="0"/>
          <c:showCatName val="0"/>
          <c:showSerName val="0"/>
          <c:showPercent val="0"/>
          <c:showBubbleSize val="0"/>
        </c:dLbls>
        <c:marker val="1"/>
        <c:smooth val="0"/>
        <c:axId val="612994432"/>
        <c:axId val="612996608"/>
      </c:lineChart>
      <c:catAx>
        <c:axId val="612994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2996608"/>
        <c:crosses val="autoZero"/>
        <c:auto val="1"/>
        <c:lblAlgn val="ctr"/>
        <c:lblOffset val="100"/>
        <c:tickLblSkip val="1"/>
        <c:tickMarkSkip val="1"/>
        <c:noMultiLvlLbl val="0"/>
      </c:catAx>
      <c:valAx>
        <c:axId val="61299660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299443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87462283984208933"/>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DA8426"/>
            </a:solidFill>
            <a:ln>
              <a:noFill/>
            </a:ln>
          </c:spPr>
          <c:invertIfNegative val="0"/>
          <c:cat>
            <c:strRef>
              <c:f>Referral_Source!$B$40:$B$60</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Referral_Source!$D$40:$D$60</c:f>
              <c:numCache>
                <c:formatCode>0.0</c:formatCode>
                <c:ptCount val="21"/>
                <c:pt idx="0">
                  <c:v>7.4123097286565187</c:v>
                </c:pt>
                <c:pt idx="1">
                  <c:v>6.5090574147988951</c:v>
                </c:pt>
                <c:pt idx="2">
                  <c:v>5.6948640483383688</c:v>
                </c:pt>
                <c:pt idx="3">
                  <c:v>10.090466249130133</c:v>
                </c:pt>
                <c:pt idx="4">
                  <c:v>#N/A</c:v>
                </c:pt>
                <c:pt idx="5">
                  <c:v>6.7153951576062134</c:v>
                </c:pt>
                <c:pt idx="6">
                  <c:v>7.328605200945626</c:v>
                </c:pt>
                <c:pt idx="7">
                  <c:v>7.9500283929585471</c:v>
                </c:pt>
                <c:pt idx="8">
                  <c:v>7.7448747152619593</c:v>
                </c:pt>
                <c:pt idx="9">
                  <c:v>8.0047553001783243</c:v>
                </c:pt>
                <c:pt idx="10">
                  <c:v>6.9444444444444446</c:v>
                </c:pt>
                <c:pt idx="11">
                  <c:v>4.7952047952047954</c:v>
                </c:pt>
                <c:pt idx="12">
                  <c:v>3.2826022082960309</c:v>
                </c:pt>
                <c:pt idx="13">
                  <c:v>6.4641241111829357</c:v>
                </c:pt>
                <c:pt idx="14">
                  <c:v>6.7300182244207241</c:v>
                </c:pt>
                <c:pt idx="15">
                  <c:v>8.234560199625701</c:v>
                </c:pt>
                <c:pt idx="16">
                  <c:v>8.4226453158491985</c:v>
                </c:pt>
                <c:pt idx="17">
                  <c:v>3.6403750689464975</c:v>
                </c:pt>
                <c:pt idx="18">
                  <c:v>9.043927648578812</c:v>
                </c:pt>
                <c:pt idx="19">
                  <c:v>7.1116504854368934</c:v>
                </c:pt>
                <c:pt idx="20">
                  <c:v>8.0194899173447389</c:v>
                </c:pt>
              </c:numCache>
            </c:numRef>
          </c:val>
          <c:extLst>
            <c:ext xmlns:c16="http://schemas.microsoft.com/office/drawing/2014/chart" uri="{C3380CC4-5D6E-409C-BE32-E72D297353CC}">
              <c16:uniqueId val="{00000000-F694-46B9-8E18-E248F6F091E1}"/>
            </c:ext>
          </c:extLst>
        </c:ser>
        <c:dLbls>
          <c:showLegendKey val="0"/>
          <c:showVal val="0"/>
          <c:showCatName val="0"/>
          <c:showSerName val="0"/>
          <c:showPercent val="0"/>
          <c:showBubbleSize val="0"/>
        </c:dLbls>
        <c:gapWidth val="40"/>
        <c:axId val="539607808"/>
        <c:axId val="539609344"/>
      </c:barChart>
      <c:catAx>
        <c:axId val="539607808"/>
        <c:scaling>
          <c:orientation val="maxMin"/>
        </c:scaling>
        <c:delete val="1"/>
        <c:axPos val="l"/>
        <c:numFmt formatCode="General" sourceLinked="0"/>
        <c:majorTickMark val="out"/>
        <c:minorTickMark val="none"/>
        <c:tickLblPos val="nextTo"/>
        <c:crossAx val="539609344"/>
        <c:crosses val="autoZero"/>
        <c:auto val="1"/>
        <c:lblAlgn val="ctr"/>
        <c:lblOffset val="100"/>
        <c:noMultiLvlLbl val="0"/>
      </c:catAx>
      <c:valAx>
        <c:axId val="539609344"/>
        <c:scaling>
          <c:orientation val="minMax"/>
        </c:scaling>
        <c:delete val="1"/>
        <c:axPos val="b"/>
        <c:majorGridlines/>
        <c:numFmt formatCode="0.0" sourceLinked="1"/>
        <c:majorTickMark val="out"/>
        <c:minorTickMark val="none"/>
        <c:tickLblPos val="nextTo"/>
        <c:crossAx val="539607808"/>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b="1" i="0" u="none" strike="noStrike" baseline="0">
                <a:solidFill>
                  <a:srgbClr val="000000"/>
                </a:solidFill>
                <a:latin typeface="Arial"/>
                <a:ea typeface="Arial"/>
                <a:cs typeface="Arial"/>
              </a:defRPr>
            </a:pPr>
            <a:r>
              <a:rPr lang="en-GB" sz="1050"/>
              <a:t>%</a:t>
            </a:r>
            <a:r>
              <a:rPr lang="en-GB" sz="1050" baseline="0"/>
              <a:t> Children Starting to be Looked who had been looked after  previously in the last 12 months (</a:t>
            </a:r>
            <a:r>
              <a:rPr lang="en-GB" sz="1050"/>
              <a:t>Selected LA</a:t>
            </a:r>
            <a:r>
              <a:rPr lang="en-GB" sz="1050" baseline="0"/>
              <a:t> vs. SE &amp; National)</a:t>
            </a:r>
            <a:r>
              <a:rPr lang="en-GB" sz="1050"/>
              <a:t> </a:t>
            </a:r>
          </a:p>
        </c:rich>
      </c:tx>
      <c:layout>
        <c:manualLayout>
          <c:xMode val="edge"/>
          <c:yMode val="edge"/>
          <c:x val="0.15497907356175072"/>
          <c:y val="3.8616300816810812E-3"/>
        </c:manualLayout>
      </c:layout>
      <c:overlay val="0"/>
      <c:spPr>
        <a:noFill/>
        <a:ln w="25400">
          <a:noFill/>
        </a:ln>
      </c:spPr>
    </c:title>
    <c:autoTitleDeleted val="0"/>
    <c:plotArea>
      <c:layout>
        <c:manualLayout>
          <c:layoutTarget val="inner"/>
          <c:xMode val="edge"/>
          <c:yMode val="edge"/>
          <c:x val="9.8666614692965365E-2"/>
          <c:y val="0.31657128256567524"/>
          <c:w val="0.60603544606429149"/>
          <c:h val="0.49962342885844518"/>
        </c:manualLayout>
      </c:layout>
      <c:barChart>
        <c:barDir val="col"/>
        <c:grouping val="clustered"/>
        <c:varyColors val="0"/>
        <c:ser>
          <c:idx val="6"/>
          <c:order val="0"/>
          <c:tx>
            <c:strRef>
              <c:f>New_Ceased_LAC!$Z$4</c:f>
              <c:strCache>
                <c:ptCount val="1"/>
                <c:pt idx="0">
                  <c:v>Selected LA- (none)</c:v>
                </c:pt>
              </c:strCache>
            </c:strRef>
          </c:tx>
          <c:spPr>
            <a:solidFill>
              <a:srgbClr val="66FF99"/>
            </a:solidFill>
            <a:ln>
              <a:solidFill>
                <a:schemeClr val="tx1">
                  <a:lumMod val="75000"/>
                  <a:lumOff val="25000"/>
                </a:schemeClr>
              </a:solidFill>
            </a:ln>
          </c:spPr>
          <c:invertIfNegative val="0"/>
          <c:cat>
            <c:strRef>
              <c:f>New_Ceased_LAC!$Y$2:$AC$3</c:f>
              <c:strCache>
                <c:ptCount val="5"/>
                <c:pt idx="0">
                  <c:v>2019/20</c:v>
                </c:pt>
                <c:pt idx="1">
                  <c:v>2020/21</c:v>
                </c:pt>
                <c:pt idx="2">
                  <c:v>2021/22</c:v>
                </c:pt>
                <c:pt idx="3">
                  <c:v>2022/23</c:v>
                </c:pt>
                <c:pt idx="4">
                  <c:v>2023/24</c:v>
                </c:pt>
              </c:strCache>
            </c:strRef>
          </c:cat>
          <c:val>
            <c:numRef>
              <c:f>New_Ceased_LAC!$AR$59:$AV$59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2866-431D-BA73-68172AD4CE85}"/>
            </c:ext>
          </c:extLst>
        </c:ser>
        <c:ser>
          <c:idx val="4"/>
          <c:order val="1"/>
          <c:tx>
            <c:strRef>
              <c:f>New_Ceased_LAC!$B$161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New_Ceased_LAC!$Y$2:$AC$3</c:f>
              <c:strCache>
                <c:ptCount val="5"/>
                <c:pt idx="0">
                  <c:v>2019/20</c:v>
                </c:pt>
                <c:pt idx="1">
                  <c:v>2020/21</c:v>
                </c:pt>
                <c:pt idx="2">
                  <c:v>2021/22</c:v>
                </c:pt>
                <c:pt idx="3">
                  <c:v>2022/23</c:v>
                </c:pt>
                <c:pt idx="4">
                  <c:v>2023/24</c:v>
                </c:pt>
              </c:strCache>
            </c:strRef>
          </c:cat>
          <c:val>
            <c:numRef>
              <c:f>New_Ceased_LAC!$D$128:$H$128</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2866-431D-BA73-68172AD4CE85}"/>
            </c:ext>
          </c:extLst>
        </c:ser>
        <c:ser>
          <c:idx val="0"/>
          <c:order val="2"/>
          <c:tx>
            <c:strRef>
              <c:f>New_Ceased_LAC!$B$162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New_Ceased_LAC!$Y$2:$AC$3</c:f>
              <c:strCache>
                <c:ptCount val="5"/>
                <c:pt idx="0">
                  <c:v>2019/20</c:v>
                </c:pt>
                <c:pt idx="1">
                  <c:v>2020/21</c:v>
                </c:pt>
                <c:pt idx="2">
                  <c:v>2021/22</c:v>
                </c:pt>
                <c:pt idx="3">
                  <c:v>2022/23</c:v>
                </c:pt>
                <c:pt idx="4">
                  <c:v>2023/24</c:v>
                </c:pt>
              </c:strCache>
            </c:strRef>
          </c:cat>
          <c:val>
            <c:numRef>
              <c:f>New_Ceased_LAC!$D$129:$H$129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2-2866-431D-BA73-68172AD4CE85}"/>
            </c:ext>
          </c:extLst>
        </c:ser>
        <c:dLbls>
          <c:showLegendKey val="0"/>
          <c:showVal val="0"/>
          <c:showCatName val="0"/>
          <c:showSerName val="0"/>
          <c:showPercent val="0"/>
          <c:showBubbleSize val="0"/>
        </c:dLbls>
        <c:gapWidth val="100"/>
        <c:axId val="613424128"/>
        <c:axId val="613450496"/>
      </c:barChart>
      <c:catAx>
        <c:axId val="613424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3450496"/>
        <c:crosses val="autoZero"/>
        <c:auto val="1"/>
        <c:lblAlgn val="ctr"/>
        <c:lblOffset val="100"/>
        <c:noMultiLvlLbl val="0"/>
      </c:catAx>
      <c:valAx>
        <c:axId val="613450496"/>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3424128"/>
        <c:crosses val="autoZero"/>
        <c:crossBetween val="between"/>
      </c:valAx>
      <c:spPr>
        <a:noFill/>
        <a:ln w="3175">
          <a:solidFill>
            <a:srgbClr val="000000"/>
          </a:solidFill>
          <a:prstDash val="solid"/>
        </a:ln>
      </c:spPr>
    </c:plotArea>
    <c:legend>
      <c:legendPos val="r"/>
      <c:layout>
        <c:manualLayout>
          <c:xMode val="edge"/>
          <c:yMode val="edge"/>
          <c:x val="0.72264806008159854"/>
          <c:y val="0.31827447220410948"/>
          <c:w val="0.27735193991840129"/>
          <c:h val="0.57730792315218471"/>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Children starting to be Looked After during the period who had been LAC with in the previous 12 months</a:t>
            </a:r>
          </a:p>
        </c:rich>
      </c:tx>
      <c:layout>
        <c:manualLayout>
          <c:xMode val="edge"/>
          <c:yMode val="edge"/>
          <c:x val="0.11290212286682554"/>
          <c:y val="1.0301221879597805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New_Ceased_LAC!$AK$38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E67C-42BD-94E5-3EF73AEC1F8C}"/>
              </c:ext>
            </c:extLst>
          </c:dPt>
          <c:cat>
            <c:strRef>
              <c:f>New_Ceased_LAC!$Y$2:$AC$3</c:f>
              <c:strCache>
                <c:ptCount val="5"/>
                <c:pt idx="0">
                  <c:v>2019/20</c:v>
                </c:pt>
                <c:pt idx="1">
                  <c:v>2020/21</c:v>
                </c:pt>
                <c:pt idx="2">
                  <c:v>2021/22</c:v>
                </c:pt>
                <c:pt idx="3">
                  <c:v>2022/23</c:v>
                </c:pt>
                <c:pt idx="4">
                  <c:v>2023/24</c:v>
                </c:pt>
              </c:strCache>
            </c:strRef>
          </c:cat>
          <c:val>
            <c:numRef>
              <c:f>New_Ceased_LAC!$AR$38:$AV$38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E67C-42BD-94E5-3EF73AEC1F8C}"/>
            </c:ext>
          </c:extLst>
        </c:ser>
        <c:ser>
          <c:idx val="1"/>
          <c:order val="1"/>
          <c:tx>
            <c:strRef>
              <c:f>New_Ceased_LAC!$AK$39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New_Ceased_LAC!$AR$39:$AV$39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E67C-42BD-94E5-3EF73AEC1F8C}"/>
            </c:ext>
          </c:extLst>
        </c:ser>
        <c:ser>
          <c:idx val="2"/>
          <c:order val="2"/>
          <c:tx>
            <c:strRef>
              <c:f>New_Ceased_LAC!$AK$40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New_Ceased_LAC!$AR$40:$AV$40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E67C-42BD-94E5-3EF73AEC1F8C}"/>
            </c:ext>
          </c:extLst>
        </c:ser>
        <c:ser>
          <c:idx val="5"/>
          <c:order val="3"/>
          <c:tx>
            <c:strRef>
              <c:f>New_Ceased_LAC!$AK$41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New_Ceased_LAC!$AR$41:$AV$41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E67C-42BD-94E5-3EF73AEC1F8C}"/>
            </c:ext>
          </c:extLst>
        </c:ser>
        <c:ser>
          <c:idx val="9"/>
          <c:order val="4"/>
          <c:tx>
            <c:strRef>
              <c:f>New_Ceased_LAC!$AK$42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New_Ceased_LAC!$AR$42:$AV$42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E67C-42BD-94E5-3EF73AEC1F8C}"/>
            </c:ext>
          </c:extLst>
        </c:ser>
        <c:ser>
          <c:idx val="10"/>
          <c:order val="5"/>
          <c:tx>
            <c:strRef>
              <c:f>New_Ceased_LAC!$AK$43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New_Ceased_LAC!$AR$43:$AV$43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E67C-42BD-94E5-3EF73AEC1F8C}"/>
            </c:ext>
          </c:extLst>
        </c:ser>
        <c:ser>
          <c:idx val="11"/>
          <c:order val="6"/>
          <c:tx>
            <c:strRef>
              <c:f>New_Ceased_LAC!$AK$44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New_Ceased_LAC!$AR$44:$AV$44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E67C-42BD-94E5-3EF73AEC1F8C}"/>
            </c:ext>
          </c:extLst>
        </c:ser>
        <c:ser>
          <c:idx val="12"/>
          <c:order val="7"/>
          <c:tx>
            <c:strRef>
              <c:f>New_Ceased_LAC!$AK$45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New_Ceased_LAC!$AR$45:$AV$45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E67C-42BD-94E5-3EF73AEC1F8C}"/>
            </c:ext>
          </c:extLst>
        </c:ser>
        <c:ser>
          <c:idx val="13"/>
          <c:order val="8"/>
          <c:tx>
            <c:strRef>
              <c:f>New_Ceased_LAC!$AK$46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New_Ceased_LAC!$AR$46:$AV$46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E67C-42BD-94E5-3EF73AEC1F8C}"/>
            </c:ext>
          </c:extLst>
        </c:ser>
        <c:ser>
          <c:idx val="15"/>
          <c:order val="9"/>
          <c:tx>
            <c:strRef>
              <c:f>New_Ceased_LAC!$AK$47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New_Ceased_LAC!$AR$47:$AV$47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E67C-42BD-94E5-3EF73AEC1F8C}"/>
            </c:ext>
          </c:extLst>
        </c:ser>
        <c:ser>
          <c:idx val="16"/>
          <c:order val="10"/>
          <c:tx>
            <c:strRef>
              <c:f>New_Ceased_LAC!$AK$48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New_Ceased_LAC!$AR$48:$AV$48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E67C-42BD-94E5-3EF73AEC1F8C}"/>
            </c:ext>
          </c:extLst>
        </c:ser>
        <c:ser>
          <c:idx val="17"/>
          <c:order val="11"/>
          <c:tx>
            <c:strRef>
              <c:f>New_Ceased_LAC!$AK$49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New_Ceased_LAC!$AR$49:$AV$49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E67C-42BD-94E5-3EF73AEC1F8C}"/>
            </c:ext>
          </c:extLst>
        </c:ser>
        <c:ser>
          <c:idx val="19"/>
          <c:order val="12"/>
          <c:tx>
            <c:strRef>
              <c:f>New_Ceased_LAC!$AK$50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New_Ceased_LAC!$AR$50:$AV$50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E67C-42BD-94E5-3EF73AEC1F8C}"/>
            </c:ext>
          </c:extLst>
        </c:ser>
        <c:ser>
          <c:idx val="20"/>
          <c:order val="13"/>
          <c:tx>
            <c:strRef>
              <c:f>New_Ceased_LAC!$AK$51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New_Ceased_LAC!$AR$51:$AV$51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E67C-42BD-94E5-3EF73AEC1F8C}"/>
            </c:ext>
          </c:extLst>
        </c:ser>
        <c:ser>
          <c:idx val="22"/>
          <c:order val="14"/>
          <c:tx>
            <c:strRef>
              <c:f>New_Ceased_LAC!$AK$52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New_Ceased_LAC!$AR$52:$AV$52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E67C-42BD-94E5-3EF73AEC1F8C}"/>
            </c:ext>
          </c:extLst>
        </c:ser>
        <c:ser>
          <c:idx val="23"/>
          <c:order val="15"/>
          <c:tx>
            <c:strRef>
              <c:f>New_Ceased_LAC!$AK$53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New_Ceased_LAC!$AR$53:$AV$53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E67C-42BD-94E5-3EF73AEC1F8C}"/>
            </c:ext>
          </c:extLst>
        </c:ser>
        <c:ser>
          <c:idx val="24"/>
          <c:order val="16"/>
          <c:tx>
            <c:strRef>
              <c:f>New_Ceased_LAC!$AK$54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New_Ceased_LAC!$AR$54:$AV$54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E67C-42BD-94E5-3EF73AEC1F8C}"/>
            </c:ext>
          </c:extLst>
        </c:ser>
        <c:ser>
          <c:idx val="25"/>
          <c:order val="17"/>
          <c:tx>
            <c:strRef>
              <c:f>New_Ceased_LAC!$AK$55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New_Ceased_LAC!$AR$55:$AV$55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E67C-42BD-94E5-3EF73AEC1F8C}"/>
            </c:ext>
          </c:extLst>
        </c:ser>
        <c:ser>
          <c:idx val="26"/>
          <c:order val="18"/>
          <c:tx>
            <c:strRef>
              <c:f>New_Ceased_LAC!$AK$56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New_Ceased_LAC!$AR$56:$AV$56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E67C-42BD-94E5-3EF73AEC1F8C}"/>
            </c:ext>
          </c:extLst>
        </c:ser>
        <c:ser>
          <c:idx val="4"/>
          <c:order val="19"/>
          <c:tx>
            <c:strRef>
              <c:f>New_Ceased_LAC!$AK$57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New_Ceased_LAC!$AR$57:$AV$57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E67C-42BD-94E5-3EF73AEC1F8C}"/>
            </c:ext>
          </c:extLst>
        </c:ser>
        <c:ser>
          <c:idx val="14"/>
          <c:order val="20"/>
          <c:tx>
            <c:strRef>
              <c:f>New_Ceased_LAC!$AK$58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New_Ceased_LAC!$Y$2:$AC$3</c:f>
              <c:strCache>
                <c:ptCount val="5"/>
                <c:pt idx="0">
                  <c:v>2019/20</c:v>
                </c:pt>
                <c:pt idx="1">
                  <c:v>2020/21</c:v>
                </c:pt>
                <c:pt idx="2">
                  <c:v>2021/22</c:v>
                </c:pt>
                <c:pt idx="3">
                  <c:v>2022/23</c:v>
                </c:pt>
                <c:pt idx="4">
                  <c:v>2023/24</c:v>
                </c:pt>
              </c:strCache>
            </c:strRef>
          </c:cat>
          <c:val>
            <c:numRef>
              <c:f>New_Ceased_LAC!$AR$58:$AV$58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E67C-42BD-94E5-3EF73AEC1F8C}"/>
            </c:ext>
          </c:extLst>
        </c:ser>
        <c:ser>
          <c:idx val="6"/>
          <c:order val="21"/>
          <c:tx>
            <c:strRef>
              <c:f>New_Ceased_LAC!$AK$59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New_Ceased_LAC!$Y$2:$AC$3</c:f>
              <c:strCache>
                <c:ptCount val="5"/>
                <c:pt idx="0">
                  <c:v>2019/20</c:v>
                </c:pt>
                <c:pt idx="1">
                  <c:v>2020/21</c:v>
                </c:pt>
                <c:pt idx="2">
                  <c:v>2021/22</c:v>
                </c:pt>
                <c:pt idx="3">
                  <c:v>2022/23</c:v>
                </c:pt>
                <c:pt idx="4">
                  <c:v>2023/24</c:v>
                </c:pt>
              </c:strCache>
            </c:strRef>
          </c:cat>
          <c:val>
            <c:numRef>
              <c:f>New_Ceased_LAC!$AR$59:$AV$59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E67C-42BD-94E5-3EF73AEC1F8C}"/>
            </c:ext>
          </c:extLst>
        </c:ser>
        <c:dLbls>
          <c:showLegendKey val="0"/>
          <c:showVal val="0"/>
          <c:showCatName val="0"/>
          <c:showSerName val="0"/>
          <c:showPercent val="0"/>
          <c:showBubbleSize val="0"/>
        </c:dLbls>
        <c:marker val="1"/>
        <c:smooth val="0"/>
        <c:axId val="613502336"/>
        <c:axId val="613512704"/>
      </c:lineChart>
      <c:catAx>
        <c:axId val="613502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3512704"/>
        <c:crosses val="autoZero"/>
        <c:auto val="1"/>
        <c:lblAlgn val="ctr"/>
        <c:lblOffset val="100"/>
        <c:tickLblSkip val="1"/>
        <c:tickMarkSkip val="1"/>
        <c:noMultiLvlLbl val="0"/>
      </c:catAx>
      <c:valAx>
        <c:axId val="613512704"/>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3502336"/>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7109092691214423"/>
          <c:y val="7.5190870500600387E-2"/>
          <c:w val="0.31566325129860862"/>
          <c:h val="0.90203916471900625"/>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Children Ceasing to be Looked After, per 10,000 0-17 year olds</a:t>
            </a:r>
          </a:p>
        </c:rich>
      </c:tx>
      <c:layout>
        <c:manualLayout>
          <c:xMode val="edge"/>
          <c:yMode val="edge"/>
          <c:x val="0.15042497812773403"/>
          <c:y val="1.0531740794488318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564470041043567"/>
        </c:manualLayout>
      </c:layout>
      <c:lineChart>
        <c:grouping val="standard"/>
        <c:varyColors val="0"/>
        <c:ser>
          <c:idx val="0"/>
          <c:order val="0"/>
          <c:tx>
            <c:strRef>
              <c:f>New_Ceased_LAC!$AK$205</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A974-4274-AA20-B9DEC64B7043}"/>
              </c:ext>
            </c:extLst>
          </c:dPt>
          <c:cat>
            <c:strRef>
              <c:f>New_Ceased_LAC!$Y$2:$AC$3</c:f>
              <c:strCache>
                <c:ptCount val="5"/>
                <c:pt idx="0">
                  <c:v>2019/20</c:v>
                </c:pt>
                <c:pt idx="1">
                  <c:v>2020/21</c:v>
                </c:pt>
                <c:pt idx="2">
                  <c:v>2021/22</c:v>
                </c:pt>
                <c:pt idx="3">
                  <c:v>2022/23</c:v>
                </c:pt>
                <c:pt idx="4">
                  <c:v>2023/24</c:v>
                </c:pt>
              </c:strCache>
            </c:strRef>
          </c:cat>
          <c:val>
            <c:numRef>
              <c:f>New_Ceased_LAC!$AL$205:$AP$205</c:f>
              <c:numCache>
                <c:formatCode>0.0</c:formatCode>
                <c:ptCount val="5"/>
                <c:pt idx="0">
                  <c:v>22.712286614403986</c:v>
                </c:pt>
                <c:pt idx="1">
                  <c:v>13.408712038849025</c:v>
                </c:pt>
                <c:pt idx="2">
                  <c:v>19.408403119721093</c:v>
                </c:pt>
                <c:pt idx="3">
                  <c:v>24.00282386163078</c:v>
                </c:pt>
                <c:pt idx="4">
                  <c:v>19.897371452508114</c:v>
                </c:pt>
              </c:numCache>
            </c:numRef>
          </c:val>
          <c:smooth val="0"/>
          <c:extLst>
            <c:ext xmlns:c16="http://schemas.microsoft.com/office/drawing/2014/chart" uri="{C3380CC4-5D6E-409C-BE32-E72D297353CC}">
              <c16:uniqueId val="{00000001-A974-4274-AA20-B9DEC64B7043}"/>
            </c:ext>
          </c:extLst>
        </c:ser>
        <c:ser>
          <c:idx val="1"/>
          <c:order val="1"/>
          <c:tx>
            <c:strRef>
              <c:f>New_Ceased_LAC!$AK$206</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New_Ceased_LAC!$AL$206:$AP$206</c:f>
              <c:numCache>
                <c:formatCode>0.0</c:formatCode>
                <c:ptCount val="5"/>
                <c:pt idx="0">
                  <c:v>36.775339861989174</c:v>
                </c:pt>
                <c:pt idx="1">
                  <c:v>31.898924193144861</c:v>
                </c:pt>
                <c:pt idx="2">
                  <c:v>28.435013262599469</c:v>
                </c:pt>
                <c:pt idx="3">
                  <c:v>34.577853203224436</c:v>
                </c:pt>
                <c:pt idx="4">
                  <c:v>28.928984699781424</c:v>
                </c:pt>
              </c:numCache>
            </c:numRef>
          </c:val>
          <c:smooth val="0"/>
          <c:extLst>
            <c:ext xmlns:c16="http://schemas.microsoft.com/office/drawing/2014/chart" uri="{C3380CC4-5D6E-409C-BE32-E72D297353CC}">
              <c16:uniqueId val="{00000002-A974-4274-AA20-B9DEC64B7043}"/>
            </c:ext>
          </c:extLst>
        </c:ser>
        <c:ser>
          <c:idx val="2"/>
          <c:order val="2"/>
          <c:tx>
            <c:strRef>
              <c:f>New_Ceased_LAC!$AK$207</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New_Ceased_LAC!$AL$207:$AP$207</c:f>
              <c:numCache>
                <c:formatCode>0.0</c:formatCode>
                <c:ptCount val="5"/>
                <c:pt idx="0">
                  <c:v>19.240688734781436</c:v>
                </c:pt>
                <c:pt idx="1">
                  <c:v>15.021021266174129</c:v>
                </c:pt>
                <c:pt idx="2">
                  <c:v>16.678811432272688</c:v>
                </c:pt>
                <c:pt idx="3">
                  <c:v>15.80431243299051</c:v>
                </c:pt>
                <c:pt idx="4">
                  <c:v>15.985456369107322</c:v>
                </c:pt>
              </c:numCache>
            </c:numRef>
          </c:val>
          <c:smooth val="0"/>
          <c:extLst>
            <c:ext xmlns:c16="http://schemas.microsoft.com/office/drawing/2014/chart" uri="{C3380CC4-5D6E-409C-BE32-E72D297353CC}">
              <c16:uniqueId val="{00000003-A974-4274-AA20-B9DEC64B7043}"/>
            </c:ext>
          </c:extLst>
        </c:ser>
        <c:ser>
          <c:idx val="5"/>
          <c:order val="3"/>
          <c:tx>
            <c:strRef>
              <c:f>New_Ceased_LAC!$AK$208</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New_Ceased_LAC!$AL$208:$AP$208</c:f>
              <c:numCache>
                <c:formatCode>0.0</c:formatCode>
                <c:ptCount val="5"/>
                <c:pt idx="0">
                  <c:v>17.100494554075457</c:v>
                </c:pt>
                <c:pt idx="1">
                  <c:v>17.184311504701274</c:v>
                </c:pt>
                <c:pt idx="2">
                  <c:v>21.969615237497425</c:v>
                </c:pt>
                <c:pt idx="3">
                  <c:v>20.714806710430341</c:v>
                </c:pt>
                <c:pt idx="4">
                  <c:v>22.68208404918634</c:v>
                </c:pt>
              </c:numCache>
            </c:numRef>
          </c:val>
          <c:smooth val="0"/>
          <c:extLst>
            <c:ext xmlns:c16="http://schemas.microsoft.com/office/drawing/2014/chart" uri="{C3380CC4-5D6E-409C-BE32-E72D297353CC}">
              <c16:uniqueId val="{00000004-A974-4274-AA20-B9DEC64B7043}"/>
            </c:ext>
          </c:extLst>
        </c:ser>
        <c:ser>
          <c:idx val="9"/>
          <c:order val="4"/>
          <c:tx>
            <c:strRef>
              <c:f>New_Ceased_LAC!$AK$209</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New_Ceased_LAC!$AL$209:$AP$209</c:f>
              <c:numCache>
                <c:formatCode>0.0</c:formatCode>
                <c:ptCount val="5"/>
                <c:pt idx="0">
                  <c:v>22.338369012672729</c:v>
                </c:pt>
                <c:pt idx="1">
                  <c:v>20.502654968584064</c:v>
                </c:pt>
                <c:pt idx="2">
                  <c:v>19.791477561946255</c:v>
                </c:pt>
                <c:pt idx="3">
                  <c:v>21.588291526595576</c:v>
                </c:pt>
                <c:pt idx="4">
                  <c:v>22.443191764994221</c:v>
                </c:pt>
              </c:numCache>
            </c:numRef>
          </c:val>
          <c:smooth val="0"/>
          <c:extLst>
            <c:ext xmlns:c16="http://schemas.microsoft.com/office/drawing/2014/chart" uri="{C3380CC4-5D6E-409C-BE32-E72D297353CC}">
              <c16:uniqueId val="{00000005-A974-4274-AA20-B9DEC64B7043}"/>
            </c:ext>
          </c:extLst>
        </c:ser>
        <c:ser>
          <c:idx val="10"/>
          <c:order val="5"/>
          <c:tx>
            <c:strRef>
              <c:f>New_Ceased_LAC!$AK$210</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New_Ceased_LAC!$AL$210:$AP$210</c:f>
              <c:numCache>
                <c:formatCode>0.0</c:formatCode>
                <c:ptCount val="5"/>
                <c:pt idx="0">
                  <c:v>21.80980206575861</c:v>
                </c:pt>
                <c:pt idx="1">
                  <c:v>27.205759249958145</c:v>
                </c:pt>
                <c:pt idx="2">
                  <c:v>37.654425452699272</c:v>
                </c:pt>
                <c:pt idx="3">
                  <c:v>32.718619869125519</c:v>
                </c:pt>
                <c:pt idx="4">
                  <c:v>35.83923542964417</c:v>
                </c:pt>
              </c:numCache>
            </c:numRef>
          </c:val>
          <c:smooth val="0"/>
          <c:extLst>
            <c:ext xmlns:c16="http://schemas.microsoft.com/office/drawing/2014/chart" uri="{C3380CC4-5D6E-409C-BE32-E72D297353CC}">
              <c16:uniqueId val="{00000006-A974-4274-AA20-B9DEC64B7043}"/>
            </c:ext>
          </c:extLst>
        </c:ser>
        <c:ser>
          <c:idx val="11"/>
          <c:order val="6"/>
          <c:tx>
            <c:strRef>
              <c:f>New_Ceased_LAC!$AK$211</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New_Ceased_LAC!$AL$211:$AP$211</c:f>
              <c:numCache>
                <c:formatCode>0.0</c:formatCode>
                <c:ptCount val="5"/>
                <c:pt idx="0">
                  <c:v>22.1393579586192</c:v>
                </c:pt>
                <c:pt idx="1">
                  <c:v>33.998756070138505</c:v>
                </c:pt>
                <c:pt idx="2">
                  <c:v>41.476861921324883</c:v>
                </c:pt>
                <c:pt idx="3">
                  <c:v>47.57071440654731</c:v>
                </c:pt>
                <c:pt idx="4">
                  <c:v>78.517046955203668</c:v>
                </c:pt>
              </c:numCache>
            </c:numRef>
          </c:val>
          <c:smooth val="0"/>
          <c:extLst>
            <c:ext xmlns:c16="http://schemas.microsoft.com/office/drawing/2014/chart" uri="{C3380CC4-5D6E-409C-BE32-E72D297353CC}">
              <c16:uniqueId val="{00000007-A974-4274-AA20-B9DEC64B7043}"/>
            </c:ext>
          </c:extLst>
        </c:ser>
        <c:ser>
          <c:idx val="12"/>
          <c:order val="7"/>
          <c:tx>
            <c:strRef>
              <c:f>New_Ceased_LAC!$AK$212</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New_Ceased_LAC!$AL$212:$AP$212</c:f>
              <c:numCache>
                <c:formatCode>0.0</c:formatCode>
                <c:ptCount val="5"/>
                <c:pt idx="0">
                  <c:v>28.269883151149642</c:v>
                </c:pt>
                <c:pt idx="1">
                  <c:v>21.194756260303006</c:v>
                </c:pt>
                <c:pt idx="2">
                  <c:v>19.430559255370827</c:v>
                </c:pt>
                <c:pt idx="3">
                  <c:v>22.631052266954047</c:v>
                </c:pt>
                <c:pt idx="4">
                  <c:v>27.741538830656651</c:v>
                </c:pt>
              </c:numCache>
            </c:numRef>
          </c:val>
          <c:smooth val="0"/>
          <c:extLst>
            <c:ext xmlns:c16="http://schemas.microsoft.com/office/drawing/2014/chart" uri="{C3380CC4-5D6E-409C-BE32-E72D297353CC}">
              <c16:uniqueId val="{00000008-A974-4274-AA20-B9DEC64B7043}"/>
            </c:ext>
          </c:extLst>
        </c:ser>
        <c:ser>
          <c:idx val="13"/>
          <c:order val="8"/>
          <c:tx>
            <c:strRef>
              <c:f>New_Ceased_LAC!$AK$213</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New_Ceased_LAC!$AL$213:$AP$213</c:f>
              <c:numCache>
                <c:formatCode>0.0</c:formatCode>
                <c:ptCount val="5"/>
                <c:pt idx="0">
                  <c:v>21.437779741298144</c:v>
                </c:pt>
                <c:pt idx="1">
                  <c:v>24.240675275954118</c:v>
                </c:pt>
                <c:pt idx="2">
                  <c:v>26.854311768507213</c:v>
                </c:pt>
                <c:pt idx="3">
                  <c:v>24.523967245000073</c:v>
                </c:pt>
                <c:pt idx="4">
                  <c:v>24.863661964091925</c:v>
                </c:pt>
              </c:numCache>
            </c:numRef>
          </c:val>
          <c:smooth val="0"/>
          <c:extLst>
            <c:ext xmlns:c16="http://schemas.microsoft.com/office/drawing/2014/chart" uri="{C3380CC4-5D6E-409C-BE32-E72D297353CC}">
              <c16:uniqueId val="{00000009-A974-4274-AA20-B9DEC64B7043}"/>
            </c:ext>
          </c:extLst>
        </c:ser>
        <c:ser>
          <c:idx val="15"/>
          <c:order val="9"/>
          <c:tx>
            <c:strRef>
              <c:f>New_Ceased_LAC!$AK$214</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New_Ceased_LAC!$AL$214:$AP$214</c:f>
              <c:numCache>
                <c:formatCode>0.0</c:formatCode>
                <c:ptCount val="5"/>
                <c:pt idx="0">
                  <c:v>22.294691509322917</c:v>
                </c:pt>
                <c:pt idx="1">
                  <c:v>19.143500506132117</c:v>
                </c:pt>
                <c:pt idx="2">
                  <c:v>20.431452136419232</c:v>
                </c:pt>
                <c:pt idx="3">
                  <c:v>23.204804130053901</c:v>
                </c:pt>
                <c:pt idx="4">
                  <c:v>21.966492901872069</c:v>
                </c:pt>
              </c:numCache>
            </c:numRef>
          </c:val>
          <c:smooth val="0"/>
          <c:extLst>
            <c:ext xmlns:c16="http://schemas.microsoft.com/office/drawing/2014/chart" uri="{C3380CC4-5D6E-409C-BE32-E72D297353CC}">
              <c16:uniqueId val="{0000000A-A974-4274-AA20-B9DEC64B7043}"/>
            </c:ext>
          </c:extLst>
        </c:ser>
        <c:ser>
          <c:idx val="16"/>
          <c:order val="10"/>
          <c:tx>
            <c:strRef>
              <c:f>New_Ceased_LAC!$AK$215</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New_Ceased_LAC!$AL$215:$AP$215</c:f>
              <c:numCache>
                <c:formatCode>0.0</c:formatCode>
                <c:ptCount val="5"/>
                <c:pt idx="0">
                  <c:v>48.533295268003712</c:v>
                </c:pt>
                <c:pt idx="1">
                  <c:v>51.594410605517737</c:v>
                </c:pt>
                <c:pt idx="2">
                  <c:v>30.882814196443654</c:v>
                </c:pt>
                <c:pt idx="3">
                  <c:v>37.496119032265767</c:v>
                </c:pt>
                <c:pt idx="4">
                  <c:v>36.873330654501622</c:v>
                </c:pt>
              </c:numCache>
            </c:numRef>
          </c:val>
          <c:smooth val="0"/>
          <c:extLst>
            <c:ext xmlns:c16="http://schemas.microsoft.com/office/drawing/2014/chart" uri="{C3380CC4-5D6E-409C-BE32-E72D297353CC}">
              <c16:uniqueId val="{0000000B-A974-4274-AA20-B9DEC64B7043}"/>
            </c:ext>
          </c:extLst>
        </c:ser>
        <c:ser>
          <c:idx val="17"/>
          <c:order val="11"/>
          <c:tx>
            <c:strRef>
              <c:f>New_Ceased_LAC!$AK$216</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New_Ceased_LAC!$AL$216:$AP$216</c:f>
              <c:numCache>
                <c:formatCode>0.0</c:formatCode>
                <c:ptCount val="5"/>
                <c:pt idx="0">
                  <c:v>29.4355927626249</c:v>
                </c:pt>
                <c:pt idx="1">
                  <c:v>27.318709258608099</c:v>
                </c:pt>
                <c:pt idx="2">
                  <c:v>31.92601970606044</c:v>
                </c:pt>
                <c:pt idx="3">
                  <c:v>22.007514761137951</c:v>
                </c:pt>
                <c:pt idx="4">
                  <c:v>25.574098974399536</c:v>
                </c:pt>
              </c:numCache>
            </c:numRef>
          </c:val>
          <c:smooth val="0"/>
          <c:extLst>
            <c:ext xmlns:c16="http://schemas.microsoft.com/office/drawing/2014/chart" uri="{C3380CC4-5D6E-409C-BE32-E72D297353CC}">
              <c16:uniqueId val="{0000000C-A974-4274-AA20-B9DEC64B7043}"/>
            </c:ext>
          </c:extLst>
        </c:ser>
        <c:ser>
          <c:idx val="19"/>
          <c:order val="12"/>
          <c:tx>
            <c:strRef>
              <c:f>New_Ceased_LAC!$AK$217</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New_Ceased_LAC!$AL$217:$AP$217</c:f>
              <c:numCache>
                <c:formatCode>0.0</c:formatCode>
                <c:ptCount val="5"/>
                <c:pt idx="0">
                  <c:v>28.749511258308612</c:v>
                </c:pt>
                <c:pt idx="1">
                  <c:v>23.462414578587698</c:v>
                </c:pt>
                <c:pt idx="2">
                  <c:v>25.607609118137958</c:v>
                </c:pt>
                <c:pt idx="3">
                  <c:v>27.344632768361581</c:v>
                </c:pt>
                <c:pt idx="4">
                  <c:v>27.648331066467478</c:v>
                </c:pt>
              </c:numCache>
            </c:numRef>
          </c:val>
          <c:smooth val="0"/>
          <c:extLst>
            <c:ext xmlns:c16="http://schemas.microsoft.com/office/drawing/2014/chart" uri="{C3380CC4-5D6E-409C-BE32-E72D297353CC}">
              <c16:uniqueId val="{0000000D-A974-4274-AA20-B9DEC64B7043}"/>
            </c:ext>
          </c:extLst>
        </c:ser>
        <c:ser>
          <c:idx val="20"/>
          <c:order val="13"/>
          <c:tx>
            <c:strRef>
              <c:f>New_Ceased_LAC!$AK$218</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New_Ceased_LAC!$AL$218:$AP$218</c:f>
              <c:numCache>
                <c:formatCode>0.0</c:formatCode>
                <c:ptCount val="5"/>
                <c:pt idx="0">
                  <c:v>40.130676776639511</c:v>
                </c:pt>
                <c:pt idx="1">
                  <c:v>36.793533988780986</c:v>
                </c:pt>
                <c:pt idx="2">
                  <c:v>33.813881914635132</c:v>
                </c:pt>
                <c:pt idx="3">
                  <c:v>43.712778969741933</c:v>
                </c:pt>
                <c:pt idx="4">
                  <c:v>42.483076251166302</c:v>
                </c:pt>
              </c:numCache>
            </c:numRef>
          </c:val>
          <c:smooth val="0"/>
          <c:extLst>
            <c:ext xmlns:c16="http://schemas.microsoft.com/office/drawing/2014/chart" uri="{C3380CC4-5D6E-409C-BE32-E72D297353CC}">
              <c16:uniqueId val="{0000000F-A974-4274-AA20-B9DEC64B7043}"/>
            </c:ext>
          </c:extLst>
        </c:ser>
        <c:ser>
          <c:idx val="22"/>
          <c:order val="14"/>
          <c:tx>
            <c:strRef>
              <c:f>New_Ceased_LAC!$AK$219</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New_Ceased_LAC!$AL$219:$AP$219</c:f>
              <c:numCache>
                <c:formatCode>0.0</c:formatCode>
                <c:ptCount val="5"/>
                <c:pt idx="0">
                  <c:v>14.144819701989961</c:v>
                </c:pt>
                <c:pt idx="1">
                  <c:v>15.820887439607921</c:v>
                </c:pt>
                <c:pt idx="2">
                  <c:v>15.414971019854482</c:v>
                </c:pt>
                <c:pt idx="3">
                  <c:v>15.975168289480676</c:v>
                </c:pt>
                <c:pt idx="4">
                  <c:v>15.771327049896112</c:v>
                </c:pt>
              </c:numCache>
            </c:numRef>
          </c:val>
          <c:smooth val="0"/>
          <c:extLst>
            <c:ext xmlns:c16="http://schemas.microsoft.com/office/drawing/2014/chart" uri="{C3380CC4-5D6E-409C-BE32-E72D297353CC}">
              <c16:uniqueId val="{00000010-A974-4274-AA20-B9DEC64B7043}"/>
            </c:ext>
          </c:extLst>
        </c:ser>
        <c:ser>
          <c:idx val="23"/>
          <c:order val="15"/>
          <c:tx>
            <c:strRef>
              <c:f>New_Ceased_LAC!$AK$220</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New_Ceased_LAC!$AL$220:$AP$220</c:f>
              <c:numCache>
                <c:formatCode>0.0</c:formatCode>
                <c:ptCount val="5"/>
                <c:pt idx="0">
                  <c:v>21.106072274036681</c:v>
                </c:pt>
                <c:pt idx="1">
                  <c:v>16.655180335400875</c:v>
                </c:pt>
                <c:pt idx="2">
                  <c:v>16.187310304957364</c:v>
                </c:pt>
                <c:pt idx="3">
                  <c:v>20.050412465627865</c:v>
                </c:pt>
                <c:pt idx="4">
                  <c:v>22.929936305732483</c:v>
                </c:pt>
              </c:numCache>
            </c:numRef>
          </c:val>
          <c:smooth val="0"/>
          <c:extLst>
            <c:ext xmlns:c16="http://schemas.microsoft.com/office/drawing/2014/chart" uri="{C3380CC4-5D6E-409C-BE32-E72D297353CC}">
              <c16:uniqueId val="{00000013-A974-4274-AA20-B9DEC64B7043}"/>
            </c:ext>
          </c:extLst>
        </c:ser>
        <c:ser>
          <c:idx val="24"/>
          <c:order val="16"/>
          <c:tx>
            <c:strRef>
              <c:f>New_Ceased_LAC!$AK$221</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New_Ceased_LAC!$AL$221:$AP$221</c:f>
              <c:numCache>
                <c:formatCode>0.0</c:formatCode>
                <c:ptCount val="5"/>
                <c:pt idx="0">
                  <c:v>20.455082367719001</c:v>
                </c:pt>
                <c:pt idx="1">
                  <c:v>22.200111575690304</c:v>
                </c:pt>
                <c:pt idx="2">
                  <c:v>26.139080499216401</c:v>
                </c:pt>
                <c:pt idx="3">
                  <c:v>21.257520482213039</c:v>
                </c:pt>
                <c:pt idx="4">
                  <c:v>22.40123346442617</c:v>
                </c:pt>
              </c:numCache>
            </c:numRef>
          </c:val>
          <c:smooth val="0"/>
          <c:extLst>
            <c:ext xmlns:c16="http://schemas.microsoft.com/office/drawing/2014/chart" uri="{C3380CC4-5D6E-409C-BE32-E72D297353CC}">
              <c16:uniqueId val="{00000014-A974-4274-AA20-B9DEC64B7043}"/>
            </c:ext>
          </c:extLst>
        </c:ser>
        <c:ser>
          <c:idx val="25"/>
          <c:order val="17"/>
          <c:tx>
            <c:strRef>
              <c:f>New_Ceased_LAC!$AK$222</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New_Ceased_LAC!$AL$222:$AP$222</c:f>
              <c:numCache>
                <c:formatCode>0.0</c:formatCode>
                <c:ptCount val="5"/>
                <c:pt idx="0">
                  <c:v>18.089513917255061</c:v>
                </c:pt>
                <c:pt idx="1">
                  <c:v>11.442654695889445</c:v>
                </c:pt>
                <c:pt idx="2">
                  <c:v>14.464517652615422</c:v>
                </c:pt>
                <c:pt idx="3">
                  <c:v>21.399466479054908</c:v>
                </c:pt>
                <c:pt idx="4">
                  <c:v>21.878008226131094</c:v>
                </c:pt>
              </c:numCache>
            </c:numRef>
          </c:val>
          <c:smooth val="0"/>
          <c:extLst>
            <c:ext xmlns:c16="http://schemas.microsoft.com/office/drawing/2014/chart" uri="{C3380CC4-5D6E-409C-BE32-E72D297353CC}">
              <c16:uniqueId val="{00000015-A974-4274-AA20-B9DEC64B7043}"/>
            </c:ext>
          </c:extLst>
        </c:ser>
        <c:ser>
          <c:idx val="26"/>
          <c:order val="18"/>
          <c:tx>
            <c:strRef>
              <c:f>New_Ceased_LAC!$AK$223</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New_Ceased_LAC!$AL$223:$AP$223</c:f>
              <c:numCache>
                <c:formatCode>0.0</c:formatCode>
                <c:ptCount val="5"/>
                <c:pt idx="0">
                  <c:v>13.828824298501459</c:v>
                </c:pt>
                <c:pt idx="1">
                  <c:v>12.105939322067398</c:v>
                </c:pt>
                <c:pt idx="2">
                  <c:v>14.101971844683799</c:v>
                </c:pt>
                <c:pt idx="3">
                  <c:v>15.757290686735654</c:v>
                </c:pt>
                <c:pt idx="4">
                  <c:v>12.928845177079005</c:v>
                </c:pt>
              </c:numCache>
            </c:numRef>
          </c:val>
          <c:smooth val="0"/>
          <c:extLst>
            <c:ext xmlns:c16="http://schemas.microsoft.com/office/drawing/2014/chart" uri="{C3380CC4-5D6E-409C-BE32-E72D297353CC}">
              <c16:uniqueId val="{00000016-A974-4274-AA20-B9DEC64B7043}"/>
            </c:ext>
          </c:extLst>
        </c:ser>
        <c:ser>
          <c:idx val="4"/>
          <c:order val="19"/>
          <c:tx>
            <c:strRef>
              <c:f>New_Ceased_LAC!$AK$224</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New_Ceased_LAC!$AL$224:$AP$224</c:f>
              <c:numCache>
                <c:formatCode>0.0</c:formatCode>
                <c:ptCount val="5"/>
                <c:pt idx="0">
                  <c:v>22.098725277051095</c:v>
                </c:pt>
                <c:pt idx="1">
                  <c:v>23.048265138955141</c:v>
                </c:pt>
                <c:pt idx="2">
                  <c:v>24.848943222489481</c:v>
                </c:pt>
                <c:pt idx="3">
                  <c:v>26.562006255810442</c:v>
                </c:pt>
                <c:pt idx="4">
                  <c:v>32.278143071612227</c:v>
                </c:pt>
              </c:numCache>
            </c:numRef>
          </c:val>
          <c:smooth val="0"/>
          <c:extLst>
            <c:ext xmlns:c16="http://schemas.microsoft.com/office/drawing/2014/chart" uri="{C3380CC4-5D6E-409C-BE32-E72D297353CC}">
              <c16:uniqueId val="{00000017-A974-4274-AA20-B9DEC64B7043}"/>
            </c:ext>
          </c:extLst>
        </c:ser>
        <c:ser>
          <c:idx val="14"/>
          <c:order val="20"/>
          <c:tx>
            <c:strRef>
              <c:f>New_Ceased_LAC!$AK$225</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New_Ceased_LAC!$Y$2:$AC$3</c:f>
              <c:strCache>
                <c:ptCount val="5"/>
                <c:pt idx="0">
                  <c:v>2019/20</c:v>
                </c:pt>
                <c:pt idx="1">
                  <c:v>2020/21</c:v>
                </c:pt>
                <c:pt idx="2">
                  <c:v>2021/22</c:v>
                </c:pt>
                <c:pt idx="3">
                  <c:v>2022/23</c:v>
                </c:pt>
                <c:pt idx="4">
                  <c:v>2023/24</c:v>
                </c:pt>
              </c:strCache>
            </c:strRef>
          </c:cat>
          <c:val>
            <c:numRef>
              <c:f>New_Ceased_LAC!$AL$225:$AP$225</c:f>
              <c:numCache>
                <c:formatCode>0.0</c:formatCode>
                <c:ptCount val="5"/>
                <c:pt idx="0">
                  <c:v>25.096493004702435</c:v>
                </c:pt>
                <c:pt idx="1">
                  <c:v>23.761867572507633</c:v>
                </c:pt>
                <c:pt idx="2">
                  <c:v>25.56347179661304</c:v>
                </c:pt>
                <c:pt idx="3">
                  <c:v>26.653678607284718</c:v>
                </c:pt>
                <c:pt idx="4">
                  <c:v>28.019828237286106</c:v>
                </c:pt>
              </c:numCache>
            </c:numRef>
          </c:val>
          <c:smooth val="0"/>
          <c:extLst>
            <c:ext xmlns:c16="http://schemas.microsoft.com/office/drawing/2014/chart" uri="{C3380CC4-5D6E-409C-BE32-E72D297353CC}">
              <c16:uniqueId val="{00000018-A974-4274-AA20-B9DEC64B7043}"/>
            </c:ext>
          </c:extLst>
        </c:ser>
        <c:ser>
          <c:idx val="6"/>
          <c:order val="21"/>
          <c:tx>
            <c:strRef>
              <c:f>New_Ceased_LAC!$AK$226</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New_Ceased_LAC!$Y$2:$AC$3</c:f>
              <c:strCache>
                <c:ptCount val="5"/>
                <c:pt idx="0">
                  <c:v>2019/20</c:v>
                </c:pt>
                <c:pt idx="1">
                  <c:v>2020/21</c:v>
                </c:pt>
                <c:pt idx="2">
                  <c:v>2021/22</c:v>
                </c:pt>
                <c:pt idx="3">
                  <c:v>2022/23</c:v>
                </c:pt>
                <c:pt idx="4">
                  <c:v>2023/24</c:v>
                </c:pt>
              </c:strCache>
            </c:strRef>
          </c:cat>
          <c:val>
            <c:numRef>
              <c:f>New_Ceased_LAC!$AL$226:$AP$226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A974-4274-AA20-B9DEC64B7043}"/>
            </c:ext>
          </c:extLst>
        </c:ser>
        <c:dLbls>
          <c:showLegendKey val="0"/>
          <c:showVal val="0"/>
          <c:showCatName val="0"/>
          <c:showSerName val="0"/>
          <c:showPercent val="0"/>
          <c:showBubbleSize val="0"/>
        </c:dLbls>
        <c:marker val="1"/>
        <c:smooth val="0"/>
        <c:axId val="613720832"/>
        <c:axId val="613722752"/>
      </c:lineChart>
      <c:catAx>
        <c:axId val="613720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3722752"/>
        <c:crosses val="autoZero"/>
        <c:auto val="1"/>
        <c:lblAlgn val="ctr"/>
        <c:lblOffset val="100"/>
        <c:tickLblSkip val="1"/>
        <c:tickMarkSkip val="1"/>
        <c:noMultiLvlLbl val="0"/>
      </c:catAx>
      <c:valAx>
        <c:axId val="613722752"/>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372083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a:t>
            </a:r>
            <a:r>
              <a:rPr lang="en-GB" sz="1100" b="1" i="0" u="none" strike="noStrike" baseline="0">
                <a:effectLst/>
              </a:rPr>
              <a:t>Children Ceasing to be Looked After </a:t>
            </a:r>
          </a:p>
          <a:p>
            <a:pPr>
              <a:defRPr sz="1100" b="1" i="0" u="none" strike="noStrike" baseline="0">
                <a:solidFill>
                  <a:srgbClr val="000000"/>
                </a:solidFill>
                <a:latin typeface="Arial"/>
                <a:ea typeface="Arial"/>
                <a:cs typeface="Arial"/>
              </a:defRPr>
            </a:pPr>
            <a:r>
              <a:rPr lang="en-GB" sz="1100"/>
              <a:t>(Selected LA</a:t>
            </a:r>
            <a:r>
              <a:rPr lang="en-GB" sz="1100" baseline="0"/>
              <a:t> vs. SE)</a:t>
            </a:r>
            <a:r>
              <a:rPr lang="en-GB" sz="1100"/>
              <a:t> </a:t>
            </a:r>
          </a:p>
        </c:rich>
      </c:tx>
      <c:layout>
        <c:manualLayout>
          <c:xMode val="edge"/>
          <c:yMode val="edge"/>
          <c:x val="0.16182916565358071"/>
          <c:y val="3.8613721671887789E-3"/>
        </c:manualLayout>
      </c:layout>
      <c:overlay val="0"/>
      <c:spPr>
        <a:noFill/>
        <a:ln w="25400">
          <a:noFill/>
        </a:ln>
      </c:spPr>
    </c:title>
    <c:autoTitleDeleted val="0"/>
    <c:plotArea>
      <c:layout>
        <c:manualLayout>
          <c:layoutTarget val="inner"/>
          <c:xMode val="edge"/>
          <c:yMode val="edge"/>
          <c:x val="9.6909984154078643E-2"/>
          <c:y val="0.21898575178102736"/>
          <c:w val="0.65146216862752293"/>
          <c:h val="0.57934411424378407"/>
        </c:manualLayout>
      </c:layout>
      <c:barChart>
        <c:barDir val="col"/>
        <c:grouping val="clustered"/>
        <c:varyColors val="0"/>
        <c:ser>
          <c:idx val="6"/>
          <c:order val="0"/>
          <c:tx>
            <c:strRef>
              <c:f>New_Ceased_LAC!$Z$4</c:f>
              <c:strCache>
                <c:ptCount val="1"/>
                <c:pt idx="0">
                  <c:v>Selected LA- (none)</c:v>
                </c:pt>
              </c:strCache>
            </c:strRef>
          </c:tx>
          <c:spPr>
            <a:solidFill>
              <a:srgbClr val="66FF99"/>
            </a:solidFill>
            <a:ln>
              <a:solidFill>
                <a:schemeClr val="tx1">
                  <a:lumMod val="75000"/>
                  <a:lumOff val="25000"/>
                </a:schemeClr>
              </a:solidFill>
            </a:ln>
          </c:spPr>
          <c:invertIfNegative val="0"/>
          <c:cat>
            <c:strRef>
              <c:f>New_Ceased_LAC!$Y$2:$AC$3</c:f>
              <c:strCache>
                <c:ptCount val="5"/>
                <c:pt idx="0">
                  <c:v>2019/20</c:v>
                </c:pt>
                <c:pt idx="1">
                  <c:v>2020/21</c:v>
                </c:pt>
                <c:pt idx="2">
                  <c:v>2021/22</c:v>
                </c:pt>
                <c:pt idx="3">
                  <c:v>2022/23</c:v>
                </c:pt>
                <c:pt idx="4">
                  <c:v>2023/24</c:v>
                </c:pt>
              </c:strCache>
            </c:strRef>
          </c:cat>
          <c:val>
            <c:numRef>
              <c:f>New_Ceased_LAC!$AL$226:$AP$226</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BB45-440A-B7A1-EC3774F55BD0}"/>
            </c:ext>
          </c:extLst>
        </c:ser>
        <c:ser>
          <c:idx val="4"/>
          <c:order val="1"/>
          <c:tx>
            <c:strRef>
              <c:f>New_Ceased_LAC!$B$30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New_Ceased_LAC!$Y$2:$AC$3</c:f>
              <c:strCache>
                <c:ptCount val="5"/>
                <c:pt idx="0">
                  <c:v>2019/20</c:v>
                </c:pt>
                <c:pt idx="1">
                  <c:v>2020/21</c:v>
                </c:pt>
                <c:pt idx="2">
                  <c:v>2021/22</c:v>
                </c:pt>
                <c:pt idx="3">
                  <c:v>2022/23</c:v>
                </c:pt>
                <c:pt idx="4">
                  <c:v>2023/24</c:v>
                </c:pt>
              </c:strCache>
            </c:strRef>
          </c:cat>
          <c:val>
            <c:numRef>
              <c:f>New_Ceased_LAC!$K$199:$O$199</c:f>
              <c:numCache>
                <c:formatCode>0.0</c:formatCode>
                <c:ptCount val="5"/>
                <c:pt idx="0">
                  <c:v>22.098725277051095</c:v>
                </c:pt>
                <c:pt idx="1">
                  <c:v>23.048265138955141</c:v>
                </c:pt>
                <c:pt idx="2">
                  <c:v>24.848943222489481</c:v>
                </c:pt>
                <c:pt idx="3">
                  <c:v>26.562006255810442</c:v>
                </c:pt>
                <c:pt idx="4">
                  <c:v>32.278143071612227</c:v>
                </c:pt>
              </c:numCache>
            </c:numRef>
          </c:val>
          <c:extLst>
            <c:ext xmlns:c16="http://schemas.microsoft.com/office/drawing/2014/chart" uri="{C3380CC4-5D6E-409C-BE32-E72D297353CC}">
              <c16:uniqueId val="{00000001-BB45-440A-B7A1-EC3774F55BD0}"/>
            </c:ext>
          </c:extLst>
        </c:ser>
        <c:ser>
          <c:idx val="0"/>
          <c:order val="2"/>
          <c:tx>
            <c:strRef>
              <c:f>New_Ceased_LAC!$B$31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New_Ceased_LAC!$Y$2:$AC$3</c:f>
              <c:strCache>
                <c:ptCount val="5"/>
                <c:pt idx="0">
                  <c:v>2019/20</c:v>
                </c:pt>
                <c:pt idx="1">
                  <c:v>2020/21</c:v>
                </c:pt>
                <c:pt idx="2">
                  <c:v>2021/22</c:v>
                </c:pt>
                <c:pt idx="3">
                  <c:v>2022/23</c:v>
                </c:pt>
                <c:pt idx="4">
                  <c:v>2023/24</c:v>
                </c:pt>
              </c:strCache>
            </c:strRef>
          </c:cat>
          <c:val>
            <c:numRef>
              <c:f>New_Ceased_LAC!$K$200:$O$200</c:f>
              <c:numCache>
                <c:formatCode>0.0</c:formatCode>
                <c:ptCount val="5"/>
                <c:pt idx="0">
                  <c:v>25.096493004702435</c:v>
                </c:pt>
                <c:pt idx="1">
                  <c:v>23.761867572507633</c:v>
                </c:pt>
                <c:pt idx="2">
                  <c:v>25.56347179661304</c:v>
                </c:pt>
                <c:pt idx="3">
                  <c:v>26.653678607284718</c:v>
                </c:pt>
                <c:pt idx="4">
                  <c:v>28.019828237286106</c:v>
                </c:pt>
              </c:numCache>
            </c:numRef>
          </c:val>
          <c:extLst>
            <c:ext xmlns:c16="http://schemas.microsoft.com/office/drawing/2014/chart" uri="{C3380CC4-5D6E-409C-BE32-E72D297353CC}">
              <c16:uniqueId val="{00000002-BB45-440A-B7A1-EC3774F55BD0}"/>
            </c:ext>
          </c:extLst>
        </c:ser>
        <c:dLbls>
          <c:showLegendKey val="0"/>
          <c:showVal val="0"/>
          <c:showCatName val="0"/>
          <c:showSerName val="0"/>
          <c:showPercent val="0"/>
          <c:showBubbleSize val="0"/>
        </c:dLbls>
        <c:gapWidth val="100"/>
        <c:axId val="613839232"/>
        <c:axId val="613840768"/>
      </c:barChart>
      <c:catAx>
        <c:axId val="613839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3840768"/>
        <c:crosses val="autoZero"/>
        <c:auto val="1"/>
        <c:lblAlgn val="ctr"/>
        <c:lblOffset val="100"/>
        <c:noMultiLvlLbl val="0"/>
      </c:catAx>
      <c:valAx>
        <c:axId val="61384076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3839232"/>
        <c:crosses val="autoZero"/>
        <c:crossBetween val="between"/>
      </c:valAx>
      <c:spPr>
        <a:noFill/>
        <a:ln w="3175">
          <a:solidFill>
            <a:srgbClr val="000000"/>
          </a:solidFill>
          <a:prstDash val="solid"/>
        </a:ln>
      </c:spPr>
    </c:plotArea>
    <c:legend>
      <c:legendPos val="r"/>
      <c:layout>
        <c:manualLayout>
          <c:xMode val="edge"/>
          <c:yMode val="edge"/>
          <c:x val="0.75990284431229316"/>
          <c:y val="0.17953653819588342"/>
          <c:w val="0.24009715568770687"/>
          <c:h val="0.82046369203849523"/>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Children Starting</a:t>
            </a:r>
            <a:r>
              <a:rPr lang="en-GB" sz="1100" baseline="0"/>
              <a:t> to be </a:t>
            </a:r>
            <a:r>
              <a:rPr lang="en-GB" sz="1100"/>
              <a:t>Looked After</a:t>
            </a:r>
            <a:r>
              <a:rPr lang="en-GB" sz="1100" baseline="0"/>
              <a:t> </a:t>
            </a:r>
          </a:p>
          <a:p>
            <a:pPr>
              <a:defRPr sz="1100" b="1" i="0" u="none" strike="noStrike" baseline="0">
                <a:solidFill>
                  <a:srgbClr val="000000"/>
                </a:solidFill>
                <a:latin typeface="Arial"/>
                <a:ea typeface="Arial"/>
                <a:cs typeface="Arial"/>
              </a:defRPr>
            </a:pPr>
            <a:r>
              <a:rPr lang="en-GB" sz="1100"/>
              <a:t>vs. IDACI</a:t>
            </a:r>
          </a:p>
        </c:rich>
      </c:tx>
      <c:layout>
        <c:manualLayout>
          <c:xMode val="edge"/>
          <c:yMode val="edge"/>
          <c:x val="0.17946629821378035"/>
          <c:y val="1.8026389235282242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5"/>
          <c:order val="4"/>
          <c:tx>
            <c:strRef>
              <c:f>New_Ceased_LAC!$X$38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5288-4881-A9E1-DDC1A2FCBD05}"/>
                </c:ext>
              </c:extLst>
            </c:dLbl>
            <c:dLbl>
              <c:idx val="1"/>
              <c:layout>
                <c:manualLayout>
                  <c:x val="-6.13657022088391E-2"/>
                  <c:y val="-5.4298642533936708E-2"/>
                </c:manualLayout>
              </c:layout>
              <c:tx>
                <c:strRef>
                  <c:f>New_Ceased_LAC!$AC$39</c:f>
                  <c:strCache>
                    <c:ptCount val="1"/>
                    <c:pt idx="0">
                      <c:v>r² = 0.301</c:v>
                    </c:pt>
                  </c:strCache>
                </c:strRef>
              </c:tx>
              <c:spPr>
                <a:noFill/>
                <a:ln>
                  <a:noFill/>
                </a:ln>
                <a:effectLst/>
              </c:spPr>
              <c:txPr>
                <a:bodyPr wrap="square" lIns="38100" tIns="19050" rIns="38100" bIns="19050" anchor="ctr">
                  <a:spAutoFit/>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{E4FAAADE-B962-4AA6-BF7F-12871083D213}</c15:txfldGUID>
                      <c15:f>New_Ceased_LAC!$AC$39</c15:f>
                      <c15:dlblFieldTableCache>
                        <c:ptCount val="1"/>
                        <c:pt idx="0">
                          <c:v>r² = 0.301</c:v>
                        </c:pt>
                      </c15:dlblFieldTableCache>
                    </c15:dlblFTEntry>
                  </c15:dlblFieldTable>
                  <c15:showDataLabelsRange val="0"/>
                </c:ext>
                <c:ext xmlns:c16="http://schemas.microsoft.com/office/drawing/2014/chart" uri="{C3380CC4-5D6E-409C-BE32-E72D297353CC}">
                  <c16:uniqueId val="{00000001-5288-4881-A9E1-DDC1A2FCBD05}"/>
                </c:ext>
              </c:extLst>
            </c:dLbl>
            <c:spPr>
              <a:noFill/>
              <a:ln>
                <a:noFill/>
              </a:ln>
              <a:effectLst/>
            </c:spPr>
            <c:txPr>
              <a:bodyPr wrap="square" lIns="38100" tIns="19050" rIns="38100" bIns="19050" anchor="ctr">
                <a:spAutoFit/>
              </a:bodyPr>
              <a:lstStyle/>
              <a:p>
                <a:pPr>
                  <a:defRPr>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New_Ceased_LAC!$AA$38:$AA$39</c:f>
              <c:numCache>
                <c:formatCode>General</c:formatCode>
                <c:ptCount val="2"/>
                <c:pt idx="0" formatCode="#,##0.0">
                  <c:v>3</c:v>
                </c:pt>
                <c:pt idx="1">
                  <c:v>22</c:v>
                </c:pt>
              </c:numCache>
            </c:numRef>
          </c:xVal>
          <c:yVal>
            <c:numRef>
              <c:f>New_Ceased_LAC!$AB$38:$AB$39</c:f>
              <c:numCache>
                <c:formatCode>0.0</c:formatCode>
                <c:ptCount val="2"/>
                <c:pt idx="0">
                  <c:v>8.8134934304073873</c:v>
                </c:pt>
                <c:pt idx="1">
                  <c:v>41.693681005324521</c:v>
                </c:pt>
              </c:numCache>
            </c:numRef>
          </c:yVal>
          <c:smooth val="1"/>
          <c:extLst>
            <c:ext xmlns:c16="http://schemas.microsoft.com/office/drawing/2014/chart" uri="{C3380CC4-5D6E-409C-BE32-E72D297353CC}">
              <c16:uniqueId val="{00000002-5288-4881-A9E1-DDC1A2FCBD05}"/>
            </c:ext>
          </c:extLst>
        </c:ser>
        <c:dLbls>
          <c:showLegendKey val="0"/>
          <c:showVal val="0"/>
          <c:showCatName val="0"/>
          <c:showSerName val="0"/>
          <c:showPercent val="0"/>
          <c:showBubbleSize val="0"/>
        </c:dLbls>
        <c:axId val="614117376"/>
        <c:axId val="614119296"/>
      </c:scatterChart>
      <c:scatterChart>
        <c:scatterStyle val="lineMarker"/>
        <c:varyColors val="0"/>
        <c:ser>
          <c:idx val="0"/>
          <c:order val="0"/>
          <c:tx>
            <c:strRef>
              <c:f>New_Ceased_LAC!$AQ$35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5288-4881-A9E1-DDC1A2FCBD05}"/>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{1BA5CE7C-6CC7-48DD-91D7-869A4ECFEDB4}</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5288-4881-A9E1-DDC1A2FCBD05}"/>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{DD95AC36-36A9-4749-84B3-E6BF915ECBA7}</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5288-4881-A9E1-DDC1A2FCBD05}"/>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{455D1B65-F9E6-4E6E-AC19-AA01473A5847}</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5288-4881-A9E1-DDC1A2FCBD05}"/>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{F40CCF91-2AB6-4EC6-90B6-A32A42631B5D}</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5288-4881-A9E1-DDC1A2FCBD05}"/>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{F9CB1E20-6AE4-487E-B3B6-AA02F9B6CCFE}</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8-5288-4881-A9E1-DDC1A2FCBD05}"/>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{C3CF490F-B8B8-4D30-9055-14256B9DE16C}</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5288-4881-A9E1-DDC1A2FCBD05}"/>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{0D5CCB21-FFF6-45AF-941B-0B591239CEE8}</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A-5288-4881-A9E1-DDC1A2FCBD05}"/>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{40752318-F6FB-489E-8B11-D55922A58480}</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B-5288-4881-A9E1-DDC1A2FCBD05}"/>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{3E7732BB-C131-4D45-9C52-EA3C45BCCCC9}</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5288-4881-A9E1-DDC1A2FCBD05}"/>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{2F8F1BB9-6C33-4338-9D53-37892D6F2740}</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5288-4881-A9E1-DDC1A2FCBD05}"/>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{D09EA3E2-6E9D-41D2-A742-68C2F0EBBDAD}</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5288-4881-A9E1-DDC1A2FCBD05}"/>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{29B725E6-57DB-4B55-98F8-E88A58AFA551}</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F-5288-4881-A9E1-DDC1A2FCBD05}"/>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{3CFEDDC2-C54E-432C-BDC6-F6330C4D516A}</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10-5288-4881-A9E1-DDC1A2FCBD05}"/>
                </c:ext>
              </c:extLst>
            </c:dLbl>
            <c:dLbl>
              <c:idx val="13"/>
              <c:tx>
                <c:strRef>
                  <c:f>ReportData!$K$17</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{A4E6D2C7-39E9-4CD8-A144-1E5C73994F88}</c15:txfldGUID>
                      <c15:f>ReportData!$K$17</c15:f>
                      <c15:dlblFieldTableCache>
                        <c:ptCount val="1"/>
                        <c:pt idx="0">
                          <c:v>Southampton</c:v>
                        </c:pt>
                      </c15:dlblFieldTableCache>
                    </c15:dlblFTEntry>
                  </c15:dlblFieldTable>
                  <c15:showDataLabelsRange val="0"/>
                </c:ext>
                <c:ext xmlns:c16="http://schemas.microsoft.com/office/drawing/2014/chart" uri="{C3380CC4-5D6E-409C-BE32-E72D297353CC}">
                  <c16:uniqueId val="{00000011-5288-4881-A9E1-DDC1A2FCBD05}"/>
                </c:ext>
              </c:extLst>
            </c:dLbl>
            <c:dLbl>
              <c:idx val="14"/>
              <c:tx>
                <c:strRef>
                  <c:f>ReportData!$K$18</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{3F8A62BC-A4C3-4D54-B494-CCE57C8F1D2B}</c15:txfldGUID>
                      <c15:f>ReportData!$K$18</c15:f>
                      <c15:dlblFieldTableCache>
                        <c:ptCount val="1"/>
                        <c:pt idx="0">
                          <c:v>Surrey</c:v>
                        </c:pt>
                      </c15:dlblFieldTableCache>
                    </c15:dlblFTEntry>
                  </c15:dlblFieldTable>
                  <c15:showDataLabelsRange val="0"/>
                </c:ext>
                <c:ext xmlns:c16="http://schemas.microsoft.com/office/drawing/2014/chart" uri="{C3380CC4-5D6E-409C-BE32-E72D297353CC}">
                  <c16:uniqueId val="{00000012-5288-4881-A9E1-DDC1A2FCBD05}"/>
                </c:ext>
              </c:extLst>
            </c:dLbl>
            <c:dLbl>
              <c:idx val="15"/>
              <c:tx>
                <c:strRef>
                  <c:f>ReportData!$K$19</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{F2D20355-8485-422F-840A-4B2D880221E1}</c15:txfldGUID>
                      <c15:f>ReportData!$K$19</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5288-4881-A9E1-DDC1A2FCBD05}"/>
                </c:ext>
              </c:extLst>
            </c:dLbl>
            <c:dLbl>
              <c:idx val="16"/>
              <c:tx>
                <c:strRef>
                  <c:f>ReportData!$K$20</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{9ACB7359-8464-459A-88BD-DAD5E57E0969}</c15:txfldGUID>
                      <c15:f>ReportData!$K$20</c15:f>
                      <c15:dlblFieldTableCache>
                        <c:ptCount val="1"/>
                        <c:pt idx="0">
                          <c:v>West Sussex</c:v>
                        </c:pt>
                      </c15:dlblFieldTableCache>
                    </c15:dlblFTEntry>
                  </c15:dlblFieldTable>
                  <c15:showDataLabelsRange val="0"/>
                </c:ext>
                <c:ext xmlns:c16="http://schemas.microsoft.com/office/drawing/2014/chart" uri="{C3380CC4-5D6E-409C-BE32-E72D297353CC}">
                  <c16:uniqueId val="{00000014-5288-4881-A9E1-DDC1A2FCBD05}"/>
                </c:ext>
              </c:extLst>
            </c:dLbl>
            <c:dLbl>
              <c:idx val="17"/>
              <c:layout>
                <c:manualLayout>
                  <c:x val="-2.1259252882280515E-2"/>
                  <c:y val="1.782607922639495E-2"/>
                </c:manualLayout>
              </c:layout>
              <c:tx>
                <c:strRef>
                  <c:f>ReportData!$K$21</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{DA2E063F-5C22-4826-B393-7EEF88642ED5}</c15:txfldGUID>
                      <c15:f>ReportData!$K$21</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5288-4881-A9E1-DDC1A2FCBD05}"/>
                </c:ext>
              </c:extLst>
            </c:dLbl>
            <c:dLbl>
              <c:idx val="18"/>
              <c:tx>
                <c:strRef>
                  <c:f>ReportData!$K$22</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{4353530C-9335-4852-9C30-9BB124E77BC0}</c15:txfldGUID>
                      <c15:f>ReportData!$K$22</c15:f>
                      <c15:dlblFieldTableCache>
                        <c:ptCount val="1"/>
                        <c:pt idx="0">
                          <c:v>Wokingham</c:v>
                        </c:pt>
                      </c15:dlblFieldTableCache>
                    </c15:dlblFTEntry>
                  </c15:dlblFieldTable>
                  <c15:showDataLabelsRange val="0"/>
                </c:ext>
                <c:ext xmlns:c16="http://schemas.microsoft.com/office/drawing/2014/chart" uri="{C3380CC4-5D6E-409C-BE32-E72D297353CC}">
                  <c16:uniqueId val="{00000016-5288-4881-A9E1-DDC1A2FCBD05}"/>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(New_Ceased_LAC!$AQ$38:$AQ$50,New_Ceased_LAC!$AQ$51:$AQ$52,New_Ceased_LAC!$AQ$53:$AQ$56)</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(New_Ceased_LAC!$AP$38:$AP$50,New_Ceased_LAC!$AP$51:$AP$52,New_Ceased_LAC!$AP$53:$AP$56)</c:f>
              <c:numCache>
                <c:formatCode>0.0</c:formatCode>
                <c:ptCount val="19"/>
                <c:pt idx="0">
                  <c:v>13.963067685970607</c:v>
                </c:pt>
                <c:pt idx="1">
                  <c:v>30.000428577551109</c:v>
                </c:pt>
                <c:pt idx="2">
                  <c:v>18.022818455366099</c:v>
                </c:pt>
                <c:pt idx="3">
                  <c:v>23.164681582147754</c:v>
                </c:pt>
                <c:pt idx="4">
                  <c:v>24.018766849900217</c:v>
                </c:pt>
                <c:pt idx="5">
                  <c:v>29.43937196006485</c:v>
                </c:pt>
                <c:pt idx="6">
                  <c:v>78.68929641835949</c:v>
                </c:pt>
                <c:pt idx="7">
                  <c:v>28.491310150404125</c:v>
                </c:pt>
                <c:pt idx="8">
                  <c:v>32.69365495830872</c:v>
                </c:pt>
                <c:pt idx="9">
                  <c:v>14.3601849119701</c:v>
                </c:pt>
                <c:pt idx="10">
                  <c:v>39.709740704847896</c:v>
                </c:pt>
                <c:pt idx="11">
                  <c:v>29.528856547760288</c:v>
                </c:pt>
                <c:pt idx="12">
                  <c:v>16.276840063323597</c:v>
                </c:pt>
                <c:pt idx="13">
                  <c:v>32.358604808131339</c:v>
                </c:pt>
                <c:pt idx="14">
                  <c:v>13.475262729982836</c:v>
                </c:pt>
                <c:pt idx="15">
                  <c:v>19.815994338287329</c:v>
                </c:pt>
                <c:pt idx="16">
                  <c:v>22.904004290311047</c:v>
                </c:pt>
                <c:pt idx="17">
                  <c:v>18.37752690995012</c:v>
                </c:pt>
                <c:pt idx="18">
                  <c:v>13.390589647688969</c:v>
                </c:pt>
              </c:numCache>
            </c:numRef>
          </c:yVal>
          <c:smooth val="0"/>
          <c:extLst>
            <c:ext xmlns:c16="http://schemas.microsoft.com/office/drawing/2014/chart" uri="{C3380CC4-5D6E-409C-BE32-E72D297353CC}">
              <c16:uniqueId val="{00000017-5288-4881-A9E1-DDC1A2FCBD05}"/>
            </c:ext>
          </c:extLst>
        </c:ser>
        <c:ser>
          <c:idx val="1"/>
          <c:order val="1"/>
          <c:tx>
            <c:strRef>
              <c:f>New_Ceased_LAC!$Z$4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New_Ceased_LAC!$AQ$59</c:f>
              <c:numCache>
                <c:formatCode>0.0</c:formatCode>
                <c:ptCount val="1"/>
                <c:pt idx="0">
                  <c:v>#N/A</c:v>
                </c:pt>
              </c:numCache>
            </c:numRef>
          </c:xVal>
          <c:yVal>
            <c:numRef>
              <c:f>New_Ceased_LAC!$AP$59</c:f>
              <c:numCache>
                <c:formatCode>0.0</c:formatCode>
                <c:ptCount val="1"/>
                <c:pt idx="0">
                  <c:v>#N/A</c:v>
                </c:pt>
              </c:numCache>
            </c:numRef>
          </c:yVal>
          <c:smooth val="0"/>
          <c:extLst>
            <c:ext xmlns:c16="http://schemas.microsoft.com/office/drawing/2014/chart" uri="{C3380CC4-5D6E-409C-BE32-E72D297353CC}">
              <c16:uniqueId val="{0000001C-5288-4881-A9E1-DDC1A2FCBD05}"/>
            </c:ext>
          </c:extLst>
        </c:ser>
        <c:ser>
          <c:idx val="4"/>
          <c:order val="2"/>
          <c:tx>
            <c:strRef>
              <c:f>New_Ceased_LAC!$B$30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New_Ceased_LAC!$AQ$57</c:f>
              <c:numCache>
                <c:formatCode>0.0</c:formatCode>
                <c:ptCount val="1"/>
                <c:pt idx="0">
                  <c:v>12.371268250968637</c:v>
                </c:pt>
              </c:numCache>
            </c:numRef>
          </c:xVal>
          <c:yVal>
            <c:numRef>
              <c:f>New_Ceased_LAC!$O$30</c:f>
              <c:numCache>
                <c:formatCode>0.0</c:formatCode>
                <c:ptCount val="1"/>
                <c:pt idx="0">
                  <c:v>32.076845275520661</c:v>
                </c:pt>
              </c:numCache>
            </c:numRef>
          </c:yVal>
          <c:smooth val="0"/>
          <c:extLst>
            <c:ext xmlns:c16="http://schemas.microsoft.com/office/drawing/2014/chart" uri="{C3380CC4-5D6E-409C-BE32-E72D297353CC}">
              <c16:uniqueId val="{0000001D-5288-4881-A9E1-DDC1A2FCBD05}"/>
            </c:ext>
          </c:extLst>
        </c:ser>
        <c:ser>
          <c:idx val="2"/>
          <c:order val="3"/>
          <c:tx>
            <c:strRef>
              <c:f>New_Ceased_LAC!$X$40</c:f>
              <c:strCache>
                <c:ptCount val="1"/>
                <c:pt idx="0">
                  <c:v>National Trend 2024</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5288-4881-A9E1-DDC1A2FCBD05}"/>
                </c:ext>
              </c:extLst>
            </c:dLbl>
            <c:dLbl>
              <c:idx val="1"/>
              <c:layout>
                <c:manualLayout>
                  <c:x val="-4.9707670151682461E-2"/>
                  <c:y val="2.4132730015082957E-2"/>
                </c:manualLayout>
              </c:layout>
              <c:tx>
                <c:strRef>
                  <c:f>New_Ceased_LAC!$AC$40</c:f>
                  <c:strCache>
                    <c:ptCount val="1"/>
                    <c:pt idx="0">
                      <c:v>r² = 0.053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{D05CA601-E658-4CA8-9F30-264F394BF03C}</c15:txfldGUID>
                      <c15:f>New_Ceased_LAC!$AC$40</c15:f>
                      <c15:dlblFieldTableCache>
                        <c:ptCount val="1"/>
                        <c:pt idx="0">
                          <c:v>r² = 0.053</c:v>
                        </c:pt>
                      </c15:dlblFieldTableCache>
                    </c15:dlblFTEntry>
                  </c15:dlblFieldTable>
                  <c15:showDataLabelsRange val="0"/>
                </c:ext>
                <c:ext xmlns:c16="http://schemas.microsoft.com/office/drawing/2014/chart" uri="{C3380CC4-5D6E-409C-BE32-E72D297353CC}">
                  <c16:uniqueId val="{0000001F-5288-4881-A9E1-DDC1A2FCBD05}"/>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New_Ceased_LAC!$AA$40:$AA$41</c:f>
              <c:numCache>
                <c:formatCode>General</c:formatCode>
                <c:ptCount val="2"/>
                <c:pt idx="0" formatCode="#,##0.0">
                  <c:v>3</c:v>
                </c:pt>
                <c:pt idx="1">
                  <c:v>22</c:v>
                </c:pt>
              </c:numCache>
            </c:numRef>
          </c:xVal>
          <c:yVal>
            <c:numRef>
              <c:f>New_Ceased_LAC!$AB$40:$AB$41</c:f>
              <c:numCache>
                <c:formatCode>0.0</c:formatCode>
                <c:ptCount val="2"/>
                <c:pt idx="0">
                  <c:v>18.674885113173772</c:v>
                </c:pt>
                <c:pt idx="1">
                  <c:v>33.320637701089481</c:v>
                </c:pt>
              </c:numCache>
            </c:numRef>
          </c:yVal>
          <c:smooth val="0"/>
          <c:extLst>
            <c:ext xmlns:c16="http://schemas.microsoft.com/office/drawing/2014/chart" uri="{C3380CC4-5D6E-409C-BE32-E72D297353CC}">
              <c16:uniqueId val="{00000020-5288-4881-A9E1-DDC1A2FCBD05}"/>
            </c:ext>
          </c:extLst>
        </c:ser>
        <c:dLbls>
          <c:showLegendKey val="0"/>
          <c:showVal val="0"/>
          <c:showCatName val="0"/>
          <c:showSerName val="0"/>
          <c:showPercent val="0"/>
          <c:showBubbleSize val="0"/>
        </c:dLbls>
        <c:axId val="614117376"/>
        <c:axId val="614119296"/>
      </c:scatterChart>
      <c:valAx>
        <c:axId val="614117376"/>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187099831048435"/>
              <c:y val="0.9192924074535932"/>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4119296"/>
        <c:crosses val="autoZero"/>
        <c:crossBetween val="midCat"/>
        <c:majorUnit val="5"/>
      </c:valAx>
      <c:valAx>
        <c:axId val="614119296"/>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a:t>Rate of Children Starting to be Looked After per</a:t>
                </a:r>
              </a:p>
              <a:p>
                <a:pPr>
                  <a:defRPr sz="900" b="1" i="0" u="none" strike="noStrike" baseline="0">
                    <a:solidFill>
                      <a:srgbClr val="000000"/>
                    </a:solidFill>
                    <a:latin typeface="Arial"/>
                    <a:ea typeface="Arial"/>
                    <a:cs typeface="Arial"/>
                  </a:defRPr>
                </a:pPr>
                <a:r>
                  <a:rPr lang="en-GB" sz="900"/>
                  <a:t>10,000 0-17 year olds</a:t>
                </a:r>
              </a:p>
            </c:rich>
          </c:tx>
          <c:layout>
            <c:manualLayout>
              <c:xMode val="edge"/>
              <c:yMode val="edge"/>
              <c:x val="3.3112372581334308E-2"/>
              <c:y val="0.1580138003111601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4117376"/>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Children Ceasing</a:t>
            </a:r>
            <a:r>
              <a:rPr lang="en-GB" sz="1100" baseline="0"/>
              <a:t> to be </a:t>
            </a:r>
            <a:r>
              <a:rPr lang="en-GB" sz="1100"/>
              <a:t>Looked After</a:t>
            </a:r>
            <a:r>
              <a:rPr lang="en-GB" sz="1100" baseline="0"/>
              <a:t> </a:t>
            </a:r>
            <a:r>
              <a:rPr lang="en-GB" sz="1100"/>
              <a:t>vs. IDACI</a:t>
            </a:r>
          </a:p>
        </c:rich>
      </c:tx>
      <c:layout>
        <c:manualLayout>
          <c:xMode val="edge"/>
          <c:yMode val="edge"/>
          <c:x val="0.155140928049077"/>
          <c:y val="2.4113877657184739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5"/>
          <c:order val="4"/>
          <c:tx>
            <c:strRef>
              <c:f>New_Ceased_LAC!$X$230</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54EE-458D-B66D-632D3A978584}"/>
                </c:ext>
              </c:extLst>
            </c:dLbl>
            <c:dLbl>
              <c:idx val="1"/>
              <c:layout>
                <c:manualLayout>
                  <c:x val="-6.725146198830409E-2"/>
                  <c:y val="-2.1021021021021023E-2"/>
                </c:manualLayout>
              </c:layout>
              <c:tx>
                <c:strRef>
                  <c:f>New_Ceased_LAC!$AC$231</c:f>
                  <c:strCache>
                    <c:ptCount val="1"/>
                    <c:pt idx="0">
                      <c:v>r² = 0.318</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{3ADB71C8-05F7-4D4C-8471-E12F9723F697}</c15:txfldGUID>
                      <c15:f>New_Ceased_LAC!$AC$231</c15:f>
                      <c15:dlblFieldTableCache>
                        <c:ptCount val="1"/>
                        <c:pt idx="0">
                          <c:v>r² = 0.318</c:v>
                        </c:pt>
                      </c15:dlblFieldTableCache>
                    </c15:dlblFTEntry>
                  </c15:dlblFieldTable>
                  <c15:showDataLabelsRange val="0"/>
                </c:ext>
                <c:ext xmlns:c16="http://schemas.microsoft.com/office/drawing/2014/chart" uri="{C3380CC4-5D6E-409C-BE32-E72D297353CC}">
                  <c16:uniqueId val="{00000001-54EE-458D-B66D-632D3A97858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New_Ceased_LAC!$AA$230:$AA$231</c:f>
              <c:numCache>
                <c:formatCode>General</c:formatCode>
                <c:ptCount val="2"/>
                <c:pt idx="0" formatCode="#,##0.0">
                  <c:v>3</c:v>
                </c:pt>
                <c:pt idx="1">
                  <c:v>22</c:v>
                </c:pt>
              </c:numCache>
            </c:numRef>
          </c:xVal>
          <c:yVal>
            <c:numRef>
              <c:f>New_Ceased_LAC!$AB$230:$AB$231</c:f>
              <c:numCache>
                <c:formatCode>0.0</c:formatCode>
                <c:ptCount val="2"/>
                <c:pt idx="0">
                  <c:v>10.477061446221949</c:v>
                </c:pt>
                <c:pt idx="1">
                  <c:v>43.065842000370054</c:v>
                </c:pt>
              </c:numCache>
            </c:numRef>
          </c:yVal>
          <c:smooth val="1"/>
          <c:extLst>
            <c:ext xmlns:c16="http://schemas.microsoft.com/office/drawing/2014/chart" uri="{C3380CC4-5D6E-409C-BE32-E72D297353CC}">
              <c16:uniqueId val="{00000002-54EE-458D-B66D-632D3A978584}"/>
            </c:ext>
          </c:extLst>
        </c:ser>
        <c:dLbls>
          <c:showLegendKey val="0"/>
          <c:showVal val="0"/>
          <c:showCatName val="0"/>
          <c:showSerName val="0"/>
          <c:showPercent val="0"/>
          <c:showBubbleSize val="0"/>
        </c:dLbls>
        <c:axId val="614572032"/>
        <c:axId val="614573952"/>
      </c:scatterChart>
      <c:scatterChart>
        <c:scatterStyle val="lineMarker"/>
        <c:varyColors val="0"/>
        <c:ser>
          <c:idx val="0"/>
          <c:order val="0"/>
          <c:tx>
            <c:strRef>
              <c:f>New_Ceased_LAC!$AQ$35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54EE-458D-B66D-632D3A978584}"/>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{9001865B-9D78-4DFC-85A6-2AF2832363B2}</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54EE-458D-B66D-632D3A978584}"/>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{589515AE-6CF1-47DA-A27E-B3918DE0E5A4}</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54EE-458D-B66D-632D3A978584}"/>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{C953684F-D8B2-4DCA-A4E5-703157A9C7E7}</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54EE-458D-B66D-632D3A978584}"/>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{40C5B7DE-C92F-4DF2-932E-EF9BB57DB2B1}</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54EE-458D-B66D-632D3A978584}"/>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{BCF88E49-4D9B-4281-BFEB-C8FACB275FFA}</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8-54EE-458D-B66D-632D3A978584}"/>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{958AB4F9-DCDE-4A80-BE43-E369BB3191DF}</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54EE-458D-B66D-632D3A978584}"/>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{3A2C01B0-C8F2-47C7-B4EC-FDFBA788DA76}</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A-54EE-458D-B66D-632D3A978584}"/>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{852F0C85-85BF-4BF5-8259-2C70048D69B9}</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B-54EE-458D-B66D-632D3A978584}"/>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{C50CC0F5-BFA0-4CB1-A0F1-D2A941A8B3B3}</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54EE-458D-B66D-632D3A978584}"/>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{25CD009D-8D85-4524-BEDE-C211DA1900EE}</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54EE-458D-B66D-632D3A978584}"/>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{51C09333-012B-454B-BC1C-00C86A45AEBB}</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54EE-458D-B66D-632D3A978584}"/>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{49B7EE9D-DA36-4B32-8E93-1E7C9D853791}</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F-54EE-458D-B66D-632D3A978584}"/>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{36CF65F6-F268-44E6-B079-50E55971822E}</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10-54EE-458D-B66D-632D3A978584}"/>
                </c:ext>
              </c:extLst>
            </c:dLbl>
            <c:dLbl>
              <c:idx val="13"/>
              <c:tx>
                <c:strRef>
                  <c:f>ReportData!$K$17</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{3E98B37C-9DE4-46EC-BE74-054D5F6CCDBE}</c15:txfldGUID>
                      <c15:f>ReportData!$K$17</c15:f>
                      <c15:dlblFieldTableCache>
                        <c:ptCount val="1"/>
                        <c:pt idx="0">
                          <c:v>Southampton</c:v>
                        </c:pt>
                      </c15:dlblFieldTableCache>
                    </c15:dlblFTEntry>
                  </c15:dlblFieldTable>
                  <c15:showDataLabelsRange val="0"/>
                </c:ext>
                <c:ext xmlns:c16="http://schemas.microsoft.com/office/drawing/2014/chart" uri="{C3380CC4-5D6E-409C-BE32-E72D297353CC}">
                  <c16:uniqueId val="{00000011-54EE-458D-B66D-632D3A978584}"/>
                </c:ext>
              </c:extLst>
            </c:dLbl>
            <c:dLbl>
              <c:idx val="14"/>
              <c:tx>
                <c:strRef>
                  <c:f>ReportData!$K$18</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{AA5A31A2-C8CF-4819-98E8-BA4F4454FF71}</c15:txfldGUID>
                      <c15:f>ReportData!$K$18</c15:f>
                      <c15:dlblFieldTableCache>
                        <c:ptCount val="1"/>
                        <c:pt idx="0">
                          <c:v>Surrey</c:v>
                        </c:pt>
                      </c15:dlblFieldTableCache>
                    </c15:dlblFTEntry>
                  </c15:dlblFieldTable>
                  <c15:showDataLabelsRange val="0"/>
                </c:ext>
                <c:ext xmlns:c16="http://schemas.microsoft.com/office/drawing/2014/chart" uri="{C3380CC4-5D6E-409C-BE32-E72D297353CC}">
                  <c16:uniqueId val="{00000012-54EE-458D-B66D-632D3A978584}"/>
                </c:ext>
              </c:extLst>
            </c:dLbl>
            <c:dLbl>
              <c:idx val="15"/>
              <c:tx>
                <c:strRef>
                  <c:f>ReportData!$K$19</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{E56B277D-0F14-4167-A9C0-D359D0E08CD5}</c15:txfldGUID>
                      <c15:f>ReportData!$K$19</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54EE-458D-B66D-632D3A978584}"/>
                </c:ext>
              </c:extLst>
            </c:dLbl>
            <c:dLbl>
              <c:idx val="16"/>
              <c:tx>
                <c:strRef>
                  <c:f>ReportData!$K$20</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{E4A1373F-3A29-4C63-B722-C64141CC357F}</c15:txfldGUID>
                      <c15:f>ReportData!$K$20</c15:f>
                      <c15:dlblFieldTableCache>
                        <c:ptCount val="1"/>
                        <c:pt idx="0">
                          <c:v>West Sussex</c:v>
                        </c:pt>
                      </c15:dlblFieldTableCache>
                    </c15:dlblFTEntry>
                  </c15:dlblFieldTable>
                  <c15:showDataLabelsRange val="0"/>
                </c:ext>
                <c:ext xmlns:c16="http://schemas.microsoft.com/office/drawing/2014/chart" uri="{C3380CC4-5D6E-409C-BE32-E72D297353CC}">
                  <c16:uniqueId val="{00000014-54EE-458D-B66D-632D3A978584}"/>
                </c:ext>
              </c:extLst>
            </c:dLbl>
            <c:dLbl>
              <c:idx val="17"/>
              <c:layout>
                <c:manualLayout>
                  <c:x val="-2.1259252882280515E-2"/>
                  <c:y val="1.782607922639495E-2"/>
                </c:manualLayout>
              </c:layout>
              <c:tx>
                <c:strRef>
                  <c:f>ReportData!$K$21</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{A1491DFF-576E-49A7-8D8A-11A1AC86B4CC}</c15:txfldGUID>
                      <c15:f>ReportData!$K$21</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54EE-458D-B66D-632D3A978584}"/>
                </c:ext>
              </c:extLst>
            </c:dLbl>
            <c:dLbl>
              <c:idx val="18"/>
              <c:tx>
                <c:strRef>
                  <c:f>ReportData!$K$22</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{1C262D58-A39F-4A48-952D-75D4FF3A8DD3}</c15:txfldGUID>
                      <c15:f>ReportData!$K$22</c15:f>
                      <c15:dlblFieldTableCache>
                        <c:ptCount val="1"/>
                        <c:pt idx="0">
                          <c:v>Wokingham</c:v>
                        </c:pt>
                      </c15:dlblFieldTableCache>
                    </c15:dlblFTEntry>
                  </c15:dlblFieldTable>
                  <c15:showDataLabelsRange val="0"/>
                </c:ext>
                <c:ext xmlns:c16="http://schemas.microsoft.com/office/drawing/2014/chart" uri="{C3380CC4-5D6E-409C-BE32-E72D297353CC}">
                  <c16:uniqueId val="{00000016-54EE-458D-B66D-632D3A978584}"/>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(New_Ceased_LAC!$AQ$205:$AQ$217,New_Ceased_LAC!$AQ$218:$AQ$219,New_Ceased_LAC!$AQ$220:$AQ$223)</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(New_Ceased_LAC!$AP$205:$AP$217,New_Ceased_LAC!$AP$218:$AP$219,New_Ceased_LAC!$AP$220:$AP$223)</c:f>
              <c:numCache>
                <c:formatCode>0.0</c:formatCode>
                <c:ptCount val="19"/>
                <c:pt idx="0">
                  <c:v>19.897371452508114</c:v>
                </c:pt>
                <c:pt idx="1">
                  <c:v>28.928984699781424</c:v>
                </c:pt>
                <c:pt idx="2">
                  <c:v>15.985456369107322</c:v>
                </c:pt>
                <c:pt idx="3">
                  <c:v>22.68208404918634</c:v>
                </c:pt>
                <c:pt idx="4">
                  <c:v>22.443191764994221</c:v>
                </c:pt>
                <c:pt idx="5">
                  <c:v>35.83923542964417</c:v>
                </c:pt>
                <c:pt idx="6">
                  <c:v>78.517046955203668</c:v>
                </c:pt>
                <c:pt idx="7">
                  <c:v>27.741538830656651</c:v>
                </c:pt>
                <c:pt idx="8">
                  <c:v>24.863661964091925</c:v>
                </c:pt>
                <c:pt idx="9">
                  <c:v>21.966492901872069</c:v>
                </c:pt>
                <c:pt idx="10">
                  <c:v>36.873330654501622</c:v>
                </c:pt>
                <c:pt idx="11">
                  <c:v>25.574098974399536</c:v>
                </c:pt>
                <c:pt idx="12">
                  <c:v>27.648331066467478</c:v>
                </c:pt>
                <c:pt idx="13">
                  <c:v>42.483076251166302</c:v>
                </c:pt>
                <c:pt idx="14">
                  <c:v>15.771327049896112</c:v>
                </c:pt>
                <c:pt idx="15">
                  <c:v>22.929936305732483</c:v>
                </c:pt>
                <c:pt idx="16">
                  <c:v>22.40123346442617</c:v>
                </c:pt>
                <c:pt idx="17">
                  <c:v>21.878008226131094</c:v>
                </c:pt>
                <c:pt idx="18">
                  <c:v>12.928845177079005</c:v>
                </c:pt>
              </c:numCache>
            </c:numRef>
          </c:yVal>
          <c:smooth val="0"/>
          <c:extLst>
            <c:ext xmlns:c16="http://schemas.microsoft.com/office/drawing/2014/chart" uri="{C3380CC4-5D6E-409C-BE32-E72D297353CC}">
              <c16:uniqueId val="{00000017-54EE-458D-B66D-632D3A978584}"/>
            </c:ext>
          </c:extLst>
        </c:ser>
        <c:ser>
          <c:idx val="1"/>
          <c:order val="1"/>
          <c:tx>
            <c:strRef>
              <c:f>New_Ceased_LAC!$Z$4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New_Ceased_LAC!$AQ$226</c:f>
              <c:numCache>
                <c:formatCode>0.0</c:formatCode>
                <c:ptCount val="1"/>
                <c:pt idx="0">
                  <c:v>#N/A</c:v>
                </c:pt>
              </c:numCache>
            </c:numRef>
          </c:xVal>
          <c:yVal>
            <c:numRef>
              <c:f>New_Ceased_LAC!$AP$226</c:f>
              <c:numCache>
                <c:formatCode>0.0</c:formatCode>
                <c:ptCount val="1"/>
                <c:pt idx="0">
                  <c:v>#N/A</c:v>
                </c:pt>
              </c:numCache>
            </c:numRef>
          </c:yVal>
          <c:smooth val="0"/>
          <c:extLst>
            <c:ext xmlns:c16="http://schemas.microsoft.com/office/drawing/2014/chart" uri="{C3380CC4-5D6E-409C-BE32-E72D297353CC}">
              <c16:uniqueId val="{0000001C-54EE-458D-B66D-632D3A978584}"/>
            </c:ext>
          </c:extLst>
        </c:ser>
        <c:ser>
          <c:idx val="4"/>
          <c:order val="2"/>
          <c:tx>
            <c:strRef>
              <c:f>New_Ceased_LAC!$B$199</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New_Ceased_LAC!$AQ$224</c:f>
              <c:numCache>
                <c:formatCode>0.0</c:formatCode>
                <c:ptCount val="1"/>
                <c:pt idx="0">
                  <c:v>12.371268250968637</c:v>
                </c:pt>
              </c:numCache>
            </c:numRef>
          </c:xVal>
          <c:yVal>
            <c:numRef>
              <c:f>New_Ceased_LAC!$O$199</c:f>
              <c:numCache>
                <c:formatCode>0.0</c:formatCode>
                <c:ptCount val="1"/>
                <c:pt idx="0">
                  <c:v>32.278143071612227</c:v>
                </c:pt>
              </c:numCache>
            </c:numRef>
          </c:yVal>
          <c:smooth val="0"/>
          <c:extLst>
            <c:ext xmlns:c16="http://schemas.microsoft.com/office/drawing/2014/chart" uri="{C3380CC4-5D6E-409C-BE32-E72D297353CC}">
              <c16:uniqueId val="{0000001D-54EE-458D-B66D-632D3A978584}"/>
            </c:ext>
          </c:extLst>
        </c:ser>
        <c:ser>
          <c:idx val="2"/>
          <c:order val="3"/>
          <c:tx>
            <c:strRef>
              <c:f>New_Ceased_LAC!$X$232</c:f>
              <c:strCache>
                <c:ptCount val="1"/>
                <c:pt idx="0">
                  <c:v>National Trend 2024</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54EE-458D-B66D-632D3A978584}"/>
                </c:ext>
              </c:extLst>
            </c:dLbl>
            <c:dLbl>
              <c:idx val="1"/>
              <c:layout>
                <c:manualLayout>
                  <c:x val="-5.8479532163742687E-2"/>
                  <c:y val="-1.8018018018018018E-2"/>
                </c:manualLayout>
              </c:layout>
              <c:tx>
                <c:strRef>
                  <c:f>New_Ceased_LAC!$AC$232</c:f>
                  <c:strCache>
                    <c:ptCount val="1"/>
                    <c:pt idx="0">
                      <c:v>r² = 0.035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{F3C5F3B1-895A-4DEF-A556-1B7F66FDD593}</c15:txfldGUID>
                      <c15:f>New_Ceased_LAC!$AC$232</c15:f>
                      <c15:dlblFieldTableCache>
                        <c:ptCount val="1"/>
                        <c:pt idx="0">
                          <c:v>r² = 0.035</c:v>
                        </c:pt>
                      </c15:dlblFieldTableCache>
                    </c15:dlblFTEntry>
                  </c15:dlblFieldTable>
                  <c15:showDataLabelsRange val="0"/>
                </c:ext>
                <c:ext xmlns:c16="http://schemas.microsoft.com/office/drawing/2014/chart" uri="{C3380CC4-5D6E-409C-BE32-E72D297353CC}">
                  <c16:uniqueId val="{0000001F-54EE-458D-B66D-632D3A978584}"/>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New_Ceased_LAC!$AA$232:$AA$233</c:f>
              <c:numCache>
                <c:formatCode>General</c:formatCode>
                <c:ptCount val="2"/>
                <c:pt idx="0" formatCode="#,##0.0">
                  <c:v>3</c:v>
                </c:pt>
                <c:pt idx="1">
                  <c:v>22</c:v>
                </c:pt>
              </c:numCache>
            </c:numRef>
          </c:xVal>
          <c:yVal>
            <c:numRef>
              <c:f>New_Ceased_LAC!$AB$232:$AB$233</c:f>
              <c:numCache>
                <c:formatCode>0.0</c:formatCode>
                <c:ptCount val="2"/>
                <c:pt idx="0">
                  <c:v>20.396989278804242</c:v>
                </c:pt>
                <c:pt idx="1">
                  <c:v>34.233329187140633</c:v>
                </c:pt>
              </c:numCache>
            </c:numRef>
          </c:yVal>
          <c:smooth val="0"/>
          <c:extLst>
            <c:ext xmlns:c16="http://schemas.microsoft.com/office/drawing/2014/chart" uri="{C3380CC4-5D6E-409C-BE32-E72D297353CC}">
              <c16:uniqueId val="{00000020-54EE-458D-B66D-632D3A978584}"/>
            </c:ext>
          </c:extLst>
        </c:ser>
        <c:dLbls>
          <c:showLegendKey val="0"/>
          <c:showVal val="0"/>
          <c:showCatName val="0"/>
          <c:showSerName val="0"/>
          <c:showPercent val="0"/>
          <c:showBubbleSize val="0"/>
        </c:dLbls>
        <c:axId val="614572032"/>
        <c:axId val="614573952"/>
      </c:scatterChart>
      <c:valAx>
        <c:axId val="614572032"/>
        <c:scaling>
          <c:orientation val="minMax"/>
          <c:max val="25"/>
          <c:min val="0"/>
        </c:scaling>
        <c:delete val="0"/>
        <c:axPos val="b"/>
        <c:title>
          <c:tx>
            <c:strRef>
              <c:f>ReportData!$C$5</c:f>
              <c:strCache>
                <c:ptCount val="1"/>
                <c:pt idx="0">
                  <c:v>Local Authority IDACI Score 2019</c:v>
                </c:pt>
              </c:strCache>
            </c:strRef>
          </c:tx>
          <c:layout>
            <c:manualLayout>
              <c:xMode val="edge"/>
              <c:yMode val="edge"/>
              <c:x val="0.28703935760998994"/>
              <c:y val="0.9132862784043887"/>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4573952"/>
        <c:crosses val="autoZero"/>
        <c:crossBetween val="midCat"/>
        <c:majorUnit val="5"/>
      </c:valAx>
      <c:valAx>
        <c:axId val="614573952"/>
        <c:scaling>
          <c:orientation val="minMax"/>
        </c:scaling>
        <c:delete val="0"/>
        <c:axPos val="l"/>
        <c:majorGridlines>
          <c:spPr>
            <a:ln w="12700">
              <a:solidFill>
                <a:schemeClr val="bg1">
                  <a:lumMod val="75000"/>
                </a:schemeClr>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a:t>Rate of Children Ceasing to be Looked After per</a:t>
                </a:r>
              </a:p>
              <a:p>
                <a:pPr>
                  <a:defRPr sz="1000" b="1" i="0" u="none" strike="noStrike" baseline="0">
                    <a:solidFill>
                      <a:srgbClr val="000000"/>
                    </a:solidFill>
                    <a:latin typeface="Arial"/>
                    <a:ea typeface="Arial"/>
                    <a:cs typeface="Arial"/>
                  </a:defRPr>
                </a:pPr>
                <a:r>
                  <a:rPr lang="en-GB" sz="1000"/>
                  <a:t>10,000 0-17 year olds</a:t>
                </a:r>
              </a:p>
            </c:rich>
          </c:tx>
          <c:layout>
            <c:manualLayout>
              <c:xMode val="edge"/>
              <c:yMode val="edge"/>
              <c:x val="2.6778137293408395E-2"/>
              <c:y val="0.128160365089498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4572032"/>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Net</a:t>
            </a:r>
            <a:r>
              <a:rPr lang="en-GB" sz="1100" baseline="0"/>
              <a:t> Number of Children Starting to be Looked After</a:t>
            </a:r>
            <a:r>
              <a:rPr lang="en-GB" sz="1100"/>
              <a:t>, Rate per 10,000 0-17 year olds</a:t>
            </a:r>
          </a:p>
        </c:rich>
      </c:tx>
      <c:layout>
        <c:manualLayout>
          <c:xMode val="edge"/>
          <c:yMode val="edge"/>
          <c:x val="0.13414596431260045"/>
          <c:y val="1.0531689865157358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New_Ceased_LAC!$AK$339</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FA10-4EFA-A700-E9BE728E9C95}"/>
              </c:ext>
            </c:extLst>
          </c:dPt>
          <c:cat>
            <c:strRef>
              <c:f>New_Ceased_LAC!$Y$2:$AC$3</c:f>
              <c:strCache>
                <c:ptCount val="5"/>
                <c:pt idx="0">
                  <c:v>2019/20</c:v>
                </c:pt>
                <c:pt idx="1">
                  <c:v>2020/21</c:v>
                </c:pt>
                <c:pt idx="2">
                  <c:v>2021/22</c:v>
                </c:pt>
                <c:pt idx="3">
                  <c:v>2022/23</c:v>
                </c:pt>
                <c:pt idx="4">
                  <c:v>2023/24</c:v>
                </c:pt>
              </c:strCache>
            </c:strRef>
          </c:cat>
          <c:val>
            <c:numRef>
              <c:f>New_Ceased_LAC!$AL$339:$AP$339</c:f>
              <c:numCache>
                <c:formatCode>0.0</c:formatCode>
                <c:ptCount val="5"/>
                <c:pt idx="0">
                  <c:v>-5.4949080518719322</c:v>
                </c:pt>
                <c:pt idx="1">
                  <c:v>1.449590490686381</c:v>
                </c:pt>
                <c:pt idx="2">
                  <c:v>-3.2347338532868486</c:v>
                </c:pt>
                <c:pt idx="3">
                  <c:v>5.6477232615601833</c:v>
                </c:pt>
                <c:pt idx="4">
                  <c:v>-5.9343037665375089</c:v>
                </c:pt>
              </c:numCache>
            </c:numRef>
          </c:val>
          <c:smooth val="0"/>
          <c:extLst>
            <c:ext xmlns:c16="http://schemas.microsoft.com/office/drawing/2014/chart" uri="{C3380CC4-5D6E-409C-BE32-E72D297353CC}">
              <c16:uniqueId val="{00000001-FA10-4EFA-A700-E9BE728E9C95}"/>
            </c:ext>
          </c:extLst>
        </c:ser>
        <c:ser>
          <c:idx val="1"/>
          <c:order val="1"/>
          <c:tx>
            <c:strRef>
              <c:f>New_Ceased_LAC!$AK$340</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New_Ceased_LAC!$AL$340:$AP$340</c:f>
              <c:numCache>
                <c:formatCode>0.0</c:formatCode>
                <c:ptCount val="5"/>
                <c:pt idx="0">
                  <c:v>-4.9584727903805632</c:v>
                </c:pt>
                <c:pt idx="1">
                  <c:v>-0.41697940121757987</c:v>
                </c:pt>
                <c:pt idx="2">
                  <c:v>2.3342175066312998</c:v>
                </c:pt>
                <c:pt idx="3">
                  <c:v>-9.9703012303775971</c:v>
                </c:pt>
                <c:pt idx="4">
                  <c:v>1.0714438777696824</c:v>
                </c:pt>
              </c:numCache>
            </c:numRef>
          </c:val>
          <c:smooth val="0"/>
          <c:extLst>
            <c:ext xmlns:c16="http://schemas.microsoft.com/office/drawing/2014/chart" uri="{C3380CC4-5D6E-409C-BE32-E72D297353CC}">
              <c16:uniqueId val="{00000002-FA10-4EFA-A700-E9BE728E9C95}"/>
            </c:ext>
          </c:extLst>
        </c:ser>
        <c:ser>
          <c:idx val="2"/>
          <c:order val="2"/>
          <c:tx>
            <c:strRef>
              <c:f>New_Ceased_LAC!$AK$341</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New_Ceased_LAC!$AL$341:$AP$341</c:f>
              <c:numCache>
                <c:formatCode>0.0</c:formatCode>
                <c:ptCount val="5"/>
                <c:pt idx="0">
                  <c:v>-2.6200086787787487</c:v>
                </c:pt>
                <c:pt idx="1">
                  <c:v>1.714355687987265</c:v>
                </c:pt>
                <c:pt idx="2">
                  <c:v>-1.0525463525220631</c:v>
                </c:pt>
                <c:pt idx="3">
                  <c:v>-0.4765119326529802</c:v>
                </c:pt>
                <c:pt idx="4">
                  <c:v>2.0373620862587765</c:v>
                </c:pt>
              </c:numCache>
            </c:numRef>
          </c:val>
          <c:smooth val="0"/>
          <c:extLst>
            <c:ext xmlns:c16="http://schemas.microsoft.com/office/drawing/2014/chart" uri="{C3380CC4-5D6E-409C-BE32-E72D297353CC}">
              <c16:uniqueId val="{00000003-FA10-4EFA-A700-E9BE728E9C95}"/>
            </c:ext>
          </c:extLst>
        </c:ser>
        <c:ser>
          <c:idx val="5"/>
          <c:order val="3"/>
          <c:tx>
            <c:strRef>
              <c:f>New_Ceased_LAC!$AK$342</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New_Ceased_LAC!$AL$342:$AP$342</c:f>
              <c:numCache>
                <c:formatCode>0.0</c:formatCode>
                <c:ptCount val="5"/>
                <c:pt idx="0">
                  <c:v>-0.19432380175085745</c:v>
                </c:pt>
                <c:pt idx="1">
                  <c:v>2.6362296058348549</c:v>
                </c:pt>
                <c:pt idx="2">
                  <c:v>1.1769436734373619</c:v>
                </c:pt>
                <c:pt idx="3">
                  <c:v>2.7230731825917824</c:v>
                </c:pt>
                <c:pt idx="4">
                  <c:v>0.4825975329614115</c:v>
                </c:pt>
              </c:numCache>
            </c:numRef>
          </c:val>
          <c:smooth val="0"/>
          <c:extLst>
            <c:ext xmlns:c16="http://schemas.microsoft.com/office/drawing/2014/chart" uri="{C3380CC4-5D6E-409C-BE32-E72D297353CC}">
              <c16:uniqueId val="{00000004-FA10-4EFA-A700-E9BE728E9C95}"/>
            </c:ext>
          </c:extLst>
        </c:ser>
        <c:ser>
          <c:idx val="9"/>
          <c:order val="4"/>
          <c:tx>
            <c:strRef>
              <c:f>New_Ceased_LAC!$AK$343</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New_Ceased_LAC!$AL$343:$AP$343</c:f>
              <c:numCache>
                <c:formatCode>0.0</c:formatCode>
                <c:ptCount val="5"/>
                <c:pt idx="0">
                  <c:v>-2.6849001217154722</c:v>
                </c:pt>
                <c:pt idx="1">
                  <c:v>1.4670311583105526</c:v>
                </c:pt>
                <c:pt idx="2">
                  <c:v>1.8865976812646612</c:v>
                </c:pt>
                <c:pt idx="3">
                  <c:v>4.1977233523935844</c:v>
                </c:pt>
                <c:pt idx="4">
                  <c:v>1.5755750849059906</c:v>
                </c:pt>
              </c:numCache>
            </c:numRef>
          </c:val>
          <c:smooth val="0"/>
          <c:extLst>
            <c:ext xmlns:c16="http://schemas.microsoft.com/office/drawing/2014/chart" uri="{C3380CC4-5D6E-409C-BE32-E72D297353CC}">
              <c16:uniqueId val="{00000005-FA10-4EFA-A700-E9BE728E9C95}"/>
            </c:ext>
          </c:extLst>
        </c:ser>
        <c:ser>
          <c:idx val="10"/>
          <c:order val="5"/>
          <c:tx>
            <c:strRef>
              <c:f>New_Ceased_LAC!$AK$344</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New_Ceased_LAC!$AL$344:$AP$344</c:f>
              <c:numCache>
                <c:formatCode>0.0</c:formatCode>
                <c:ptCount val="5"/>
                <c:pt idx="0">
                  <c:v>7.8186082877247847</c:v>
                </c:pt>
                <c:pt idx="1">
                  <c:v>2.5113008538422905</c:v>
                </c:pt>
                <c:pt idx="2">
                  <c:v>2.5385005923168049</c:v>
                </c:pt>
                <c:pt idx="3">
                  <c:v>2.9744199881023201</c:v>
                </c:pt>
                <c:pt idx="4">
                  <c:v>-6.3998634695793166</c:v>
                </c:pt>
              </c:numCache>
            </c:numRef>
          </c:val>
          <c:smooth val="0"/>
          <c:extLst>
            <c:ext xmlns:c16="http://schemas.microsoft.com/office/drawing/2014/chart" uri="{C3380CC4-5D6E-409C-BE32-E72D297353CC}">
              <c16:uniqueId val="{00000006-FA10-4EFA-A700-E9BE728E9C95}"/>
            </c:ext>
          </c:extLst>
        </c:ser>
        <c:ser>
          <c:idx val="11"/>
          <c:order val="6"/>
          <c:tx>
            <c:strRef>
              <c:f>New_Ceased_LAC!$AK$345</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New_Ceased_LAC!$AL$345:$AP$345</c:f>
              <c:numCache>
                <c:formatCode>0.0</c:formatCode>
                <c:ptCount val="5"/>
                <c:pt idx="0">
                  <c:v>6.239819045247688</c:v>
                </c:pt>
                <c:pt idx="1">
                  <c:v>-4.8142477812597182</c:v>
                </c:pt>
                <c:pt idx="2">
                  <c:v>3.0051384892782016</c:v>
                </c:pt>
                <c:pt idx="3">
                  <c:v>4.4916554375280731</c:v>
                </c:pt>
                <c:pt idx="4">
                  <c:v>0.17224946315583983</c:v>
                </c:pt>
              </c:numCache>
            </c:numRef>
          </c:val>
          <c:smooth val="0"/>
          <c:extLst>
            <c:ext xmlns:c16="http://schemas.microsoft.com/office/drawing/2014/chart" uri="{C3380CC4-5D6E-409C-BE32-E72D297353CC}">
              <c16:uniqueId val="{00000007-FA10-4EFA-A700-E9BE728E9C95}"/>
            </c:ext>
          </c:extLst>
        </c:ser>
        <c:ser>
          <c:idx val="12"/>
          <c:order val="7"/>
          <c:tx>
            <c:strRef>
              <c:f>New_Ceased_LAC!$AK$346</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New_Ceased_LAC!$AL$346:$AP$346</c:f>
              <c:numCache>
                <c:formatCode>0.0</c:formatCode>
                <c:ptCount val="5"/>
                <c:pt idx="0">
                  <c:v>-0.94232943837165473</c:v>
                </c:pt>
                <c:pt idx="1">
                  <c:v>2.1979747232906823</c:v>
                </c:pt>
                <c:pt idx="2">
                  <c:v>0.15669805851105506</c:v>
                </c:pt>
                <c:pt idx="3">
                  <c:v>2.3092910476483719</c:v>
                </c:pt>
                <c:pt idx="4">
                  <c:v>0.74977131974747702</c:v>
                </c:pt>
              </c:numCache>
            </c:numRef>
          </c:val>
          <c:smooth val="0"/>
          <c:extLst>
            <c:ext xmlns:c16="http://schemas.microsoft.com/office/drawing/2014/chart" uri="{C3380CC4-5D6E-409C-BE32-E72D297353CC}">
              <c16:uniqueId val="{00000008-FA10-4EFA-A700-E9BE728E9C95}"/>
            </c:ext>
          </c:extLst>
        </c:ser>
        <c:ser>
          <c:idx val="13"/>
          <c:order val="8"/>
          <c:tx>
            <c:strRef>
              <c:f>New_Ceased_LAC!$AK$347</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New_Ceased_LAC!$AL$347:$AP$347</c:f>
              <c:numCache>
                <c:formatCode>0.0</c:formatCode>
                <c:ptCount val="5"/>
                <c:pt idx="0">
                  <c:v>2.896997262337587</c:v>
                </c:pt>
                <c:pt idx="1">
                  <c:v>-1.0100281364980881</c:v>
                </c:pt>
                <c:pt idx="2">
                  <c:v>-5.3134199755869886</c:v>
                </c:pt>
                <c:pt idx="3">
                  <c:v>-1.1275387239080492</c:v>
                </c:pt>
                <c:pt idx="4">
                  <c:v>7.8299929942167941</c:v>
                </c:pt>
              </c:numCache>
            </c:numRef>
          </c:val>
          <c:smooth val="0"/>
          <c:extLst>
            <c:ext xmlns:c16="http://schemas.microsoft.com/office/drawing/2014/chart" uri="{C3380CC4-5D6E-409C-BE32-E72D297353CC}">
              <c16:uniqueId val="{00000009-FA10-4EFA-A700-E9BE728E9C95}"/>
            </c:ext>
          </c:extLst>
        </c:ser>
        <c:ser>
          <c:idx val="15"/>
          <c:order val="9"/>
          <c:tx>
            <c:strRef>
              <c:f>New_Ceased_LAC!$AK$348</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New_Ceased_LAC!$AL$348:$AP$348</c:f>
              <c:numCache>
                <c:formatCode>0.0</c:formatCode>
                <c:ptCount val="5"/>
                <c:pt idx="0">
                  <c:v>-0.90009624105962094</c:v>
                </c:pt>
                <c:pt idx="1">
                  <c:v>0.68861512611986042</c:v>
                </c:pt>
                <c:pt idx="2">
                  <c:v>4.9199483405424242</c:v>
                </c:pt>
                <c:pt idx="3">
                  <c:v>1.4043253219917344</c:v>
                </c:pt>
                <c:pt idx="4">
                  <c:v>-7.6063079899019703</c:v>
                </c:pt>
              </c:numCache>
            </c:numRef>
          </c:val>
          <c:smooth val="0"/>
          <c:extLst>
            <c:ext xmlns:c16="http://schemas.microsoft.com/office/drawing/2014/chart" uri="{C3380CC4-5D6E-409C-BE32-E72D297353CC}">
              <c16:uniqueId val="{0000000A-FA10-4EFA-A700-E9BE728E9C95}"/>
            </c:ext>
          </c:extLst>
        </c:ser>
        <c:ser>
          <c:idx val="16"/>
          <c:order val="10"/>
          <c:tx>
            <c:strRef>
              <c:f>New_Ceased_LAC!$AK$349</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New_Ceased_LAC!$AL$349:$AP$349</c:f>
              <c:numCache>
                <c:formatCode>0.0</c:formatCode>
                <c:ptCount val="5"/>
                <c:pt idx="0">
                  <c:v>-5.9477077534318274</c:v>
                </c:pt>
                <c:pt idx="1">
                  <c:v>-21.49767108563239</c:v>
                </c:pt>
                <c:pt idx="2">
                  <c:v>0.96508794363886419</c:v>
                </c:pt>
                <c:pt idx="3">
                  <c:v>-0.9553151345800196</c:v>
                </c:pt>
                <c:pt idx="4">
                  <c:v>2.8364100503462781</c:v>
                </c:pt>
              </c:numCache>
            </c:numRef>
          </c:val>
          <c:smooth val="0"/>
          <c:extLst>
            <c:ext xmlns:c16="http://schemas.microsoft.com/office/drawing/2014/chart" uri="{C3380CC4-5D6E-409C-BE32-E72D297353CC}">
              <c16:uniqueId val="{0000000B-FA10-4EFA-A700-E9BE728E9C95}"/>
            </c:ext>
          </c:extLst>
        </c:ser>
        <c:ser>
          <c:idx val="17"/>
          <c:order val="11"/>
          <c:tx>
            <c:strRef>
              <c:f>New_Ceased_LAC!$AK$350</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New_Ceased_LAC!$AL$350:$AP$350</c:f>
              <c:numCache>
                <c:formatCode>0.0</c:formatCode>
                <c:ptCount val="5"/>
                <c:pt idx="0">
                  <c:v>1.890359168241966</c:v>
                </c:pt>
                <c:pt idx="1">
                  <c:v>-1.8933758892104622</c:v>
                </c:pt>
                <c:pt idx="2">
                  <c:v>-10.183299389002036</c:v>
                </c:pt>
                <c:pt idx="3">
                  <c:v>4.5625335480407943</c:v>
                </c:pt>
                <c:pt idx="4">
                  <c:v>3.954757573360753</c:v>
                </c:pt>
              </c:numCache>
            </c:numRef>
          </c:val>
          <c:smooth val="0"/>
          <c:extLst>
            <c:ext xmlns:c16="http://schemas.microsoft.com/office/drawing/2014/chart" uri="{C3380CC4-5D6E-409C-BE32-E72D297353CC}">
              <c16:uniqueId val="{0000000C-FA10-4EFA-A700-E9BE728E9C95}"/>
            </c:ext>
          </c:extLst>
        </c:ser>
        <c:ser>
          <c:idx val="19"/>
          <c:order val="12"/>
          <c:tx>
            <c:strRef>
              <c:f>New_Ceased_LAC!$AK$351</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New_Ceased_LAC!$AL$351:$AP$351</c:f>
              <c:numCache>
                <c:formatCode>0.0</c:formatCode>
                <c:ptCount val="5"/>
                <c:pt idx="0">
                  <c:v>-4.1399296211964396</c:v>
                </c:pt>
                <c:pt idx="1">
                  <c:v>5.9225512528473807</c:v>
                </c:pt>
                <c:pt idx="2">
                  <c:v>2.51503303838855</c:v>
                </c:pt>
                <c:pt idx="3">
                  <c:v>4.2937853107344637</c:v>
                </c:pt>
                <c:pt idx="4">
                  <c:v>-11.371491003143884</c:v>
                </c:pt>
              </c:numCache>
            </c:numRef>
          </c:val>
          <c:smooth val="0"/>
          <c:extLst>
            <c:ext xmlns:c16="http://schemas.microsoft.com/office/drawing/2014/chart" uri="{C3380CC4-5D6E-409C-BE32-E72D297353CC}">
              <c16:uniqueId val="{0000000D-FA10-4EFA-A700-E9BE728E9C95}"/>
            </c:ext>
          </c:extLst>
        </c:ser>
        <c:ser>
          <c:idx val="20"/>
          <c:order val="13"/>
          <c:tx>
            <c:strRef>
              <c:f>New_Ceased_LAC!$AK$352</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New_Ceased_LAC!$AL$352:$AP$352</c:f>
              <c:numCache>
                <c:formatCode>0.0</c:formatCode>
                <c:ptCount val="5"/>
                <c:pt idx="0">
                  <c:v>-0.40332338468984436</c:v>
                </c:pt>
                <c:pt idx="1">
                  <c:v>1.8095180650220157</c:v>
                </c:pt>
                <c:pt idx="2">
                  <c:v>12.148700089090468</c:v>
                </c:pt>
                <c:pt idx="3">
                  <c:v>-4.6118986986424977</c:v>
                </c:pt>
                <c:pt idx="4">
                  <c:v>-10.12447144303496</c:v>
                </c:pt>
              </c:numCache>
            </c:numRef>
          </c:val>
          <c:smooth val="0"/>
          <c:extLst>
            <c:ext xmlns:c16="http://schemas.microsoft.com/office/drawing/2014/chart" uri="{C3380CC4-5D6E-409C-BE32-E72D297353CC}">
              <c16:uniqueId val="{0000000F-FA10-4EFA-A700-E9BE728E9C95}"/>
            </c:ext>
          </c:extLst>
        </c:ser>
        <c:ser>
          <c:idx val="22"/>
          <c:order val="14"/>
          <c:tx>
            <c:strRef>
              <c:f>New_Ceased_LAC!$AK$353</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New_Ceased_LAC!$AL$353:$AP$353</c:f>
              <c:numCache>
                <c:formatCode>0.0</c:formatCode>
                <c:ptCount val="5"/>
                <c:pt idx="0">
                  <c:v>0.31002344552306771</c:v>
                </c:pt>
                <c:pt idx="1">
                  <c:v>0.38681876380459468</c:v>
                </c:pt>
                <c:pt idx="2">
                  <c:v>1.9268713774818103</c:v>
                </c:pt>
                <c:pt idx="3">
                  <c:v>-1.593722252157217</c:v>
                </c:pt>
                <c:pt idx="4">
                  <c:v>-2.2960643199132766</c:v>
                </c:pt>
              </c:numCache>
            </c:numRef>
          </c:val>
          <c:smooth val="0"/>
          <c:extLst>
            <c:ext xmlns:c16="http://schemas.microsoft.com/office/drawing/2014/chart" uri="{C3380CC4-5D6E-409C-BE32-E72D297353CC}">
              <c16:uniqueId val="{00000010-FA10-4EFA-A700-E9BE728E9C95}"/>
            </c:ext>
          </c:extLst>
        </c:ser>
        <c:ser>
          <c:idx val="23"/>
          <c:order val="15"/>
          <c:tx>
            <c:strRef>
              <c:f>New_Ceased_LAC!$AK$354</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New_Ceased_LAC!$AL$354:$AP$354</c:f>
              <c:numCache>
                <c:formatCode>0.0</c:formatCode>
                <c:ptCount val="5"/>
                <c:pt idx="0">
                  <c:v>-4.2782578933858133</c:v>
                </c:pt>
                <c:pt idx="1">
                  <c:v>-2.8715828164484263</c:v>
                </c:pt>
                <c:pt idx="2">
                  <c:v>5.7811822517704874</c:v>
                </c:pt>
                <c:pt idx="3">
                  <c:v>8.5930339138405127</c:v>
                </c:pt>
                <c:pt idx="4">
                  <c:v>-3.1139419674451521</c:v>
                </c:pt>
              </c:numCache>
            </c:numRef>
          </c:val>
          <c:smooth val="0"/>
          <c:extLst>
            <c:ext xmlns:c16="http://schemas.microsoft.com/office/drawing/2014/chart" uri="{C3380CC4-5D6E-409C-BE32-E72D297353CC}">
              <c16:uniqueId val="{00000013-FA10-4EFA-A700-E9BE728E9C95}"/>
            </c:ext>
          </c:extLst>
        </c:ser>
        <c:ser>
          <c:idx val="24"/>
          <c:order val="16"/>
          <c:tx>
            <c:strRef>
              <c:f>New_Ceased_LAC!$AK$355</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New_Ceased_LAC!$AL$355:$AP$355</c:f>
              <c:numCache>
                <c:formatCode>0.0</c:formatCode>
                <c:ptCount val="5"/>
                <c:pt idx="0">
                  <c:v>5.8772349338234875</c:v>
                </c:pt>
                <c:pt idx="1">
                  <c:v>3.9684137272607014</c:v>
                </c:pt>
                <c:pt idx="2">
                  <c:v>-2.3450816202798084</c:v>
                </c:pt>
                <c:pt idx="3">
                  <c:v>1.1841059154548377</c:v>
                </c:pt>
                <c:pt idx="4">
                  <c:v>0.50277082588487665</c:v>
                </c:pt>
              </c:numCache>
            </c:numRef>
          </c:val>
          <c:smooth val="0"/>
          <c:extLst>
            <c:ext xmlns:c16="http://schemas.microsoft.com/office/drawing/2014/chart" uri="{C3380CC4-5D6E-409C-BE32-E72D297353CC}">
              <c16:uniqueId val="{00000014-FA10-4EFA-A700-E9BE728E9C95}"/>
            </c:ext>
          </c:extLst>
        </c:ser>
        <c:ser>
          <c:idx val="25"/>
          <c:order val="17"/>
          <c:tx>
            <c:strRef>
              <c:f>New_Ceased_LAC!$AK$356</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New_Ceased_LAC!$AL$356:$AP$356</c:f>
              <c:numCache>
                <c:formatCode>0.0</c:formatCode>
                <c:ptCount val="5"/>
                <c:pt idx="0">
                  <c:v>-2.9176635350411391</c:v>
                </c:pt>
                <c:pt idx="1">
                  <c:v>3.5208168295044446</c:v>
                </c:pt>
                <c:pt idx="2">
                  <c:v>-0.88558271342543393</c:v>
                </c:pt>
                <c:pt idx="3">
                  <c:v>7.3285844106352425</c:v>
                </c:pt>
                <c:pt idx="4">
                  <c:v>-3.5004813161809749</c:v>
                </c:pt>
              </c:numCache>
            </c:numRef>
          </c:val>
          <c:smooth val="0"/>
          <c:extLst>
            <c:ext xmlns:c16="http://schemas.microsoft.com/office/drawing/2014/chart" uri="{C3380CC4-5D6E-409C-BE32-E72D297353CC}">
              <c16:uniqueId val="{00000015-FA10-4EFA-A700-E9BE728E9C95}"/>
            </c:ext>
          </c:extLst>
        </c:ser>
        <c:ser>
          <c:idx val="26"/>
          <c:order val="18"/>
          <c:tx>
            <c:strRef>
              <c:f>New_Ceased_LAC!$AK$357</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New_Ceased_LAC!$AL$357:$AP$357</c:f>
              <c:numCache>
                <c:formatCode>0.0</c:formatCode>
                <c:ptCount val="5"/>
                <c:pt idx="0">
                  <c:v>-2.7657648597002913</c:v>
                </c:pt>
                <c:pt idx="1">
                  <c:v>0.49411997232928156</c:v>
                </c:pt>
                <c:pt idx="2">
                  <c:v>8.5098105959298795</c:v>
                </c:pt>
                <c:pt idx="3">
                  <c:v>0</c:v>
                </c:pt>
                <c:pt idx="4">
                  <c:v>0.46174447060996449</c:v>
                </c:pt>
              </c:numCache>
            </c:numRef>
          </c:val>
          <c:smooth val="0"/>
          <c:extLst>
            <c:ext xmlns:c16="http://schemas.microsoft.com/office/drawing/2014/chart" uri="{C3380CC4-5D6E-409C-BE32-E72D297353CC}">
              <c16:uniqueId val="{00000016-FA10-4EFA-A700-E9BE728E9C95}"/>
            </c:ext>
          </c:extLst>
        </c:ser>
        <c:ser>
          <c:idx val="4"/>
          <c:order val="19"/>
          <c:tx>
            <c:strRef>
              <c:f>New_Ceased_LAC!$AK$358</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New_Ceased_LAC!$Y$2:$AC$3</c:f>
              <c:strCache>
                <c:ptCount val="5"/>
                <c:pt idx="0">
                  <c:v>2019/20</c:v>
                </c:pt>
                <c:pt idx="1">
                  <c:v>2020/21</c:v>
                </c:pt>
                <c:pt idx="2">
                  <c:v>2021/22</c:v>
                </c:pt>
                <c:pt idx="3">
                  <c:v>2022/23</c:v>
                </c:pt>
                <c:pt idx="4">
                  <c:v>2023/24</c:v>
                </c:pt>
              </c:strCache>
            </c:strRef>
          </c:cat>
          <c:val>
            <c:numRef>
              <c:f>New_Ceased_LAC!$AL$358:$AP$358</c:f>
              <c:numCache>
                <c:formatCode>0.0</c:formatCode>
                <c:ptCount val="5"/>
                <c:pt idx="0">
                  <c:v>0.60174932679294069</c:v>
                </c:pt>
                <c:pt idx="1">
                  <c:v>-0.13466402103659184</c:v>
                </c:pt>
                <c:pt idx="2">
                  <c:v>1.5291657367685836</c:v>
                </c:pt>
                <c:pt idx="3">
                  <c:v>1.7453578823262417</c:v>
                </c:pt>
                <c:pt idx="4">
                  <c:v>-0.72902348058937272</c:v>
                </c:pt>
              </c:numCache>
            </c:numRef>
          </c:val>
          <c:smooth val="0"/>
          <c:extLst>
            <c:ext xmlns:c16="http://schemas.microsoft.com/office/drawing/2014/chart" uri="{C3380CC4-5D6E-409C-BE32-E72D297353CC}">
              <c16:uniqueId val="{00000017-FA10-4EFA-A700-E9BE728E9C95}"/>
            </c:ext>
          </c:extLst>
        </c:ser>
        <c:ser>
          <c:idx val="14"/>
          <c:order val="20"/>
          <c:tx>
            <c:strRef>
              <c:f>New_Ceased_LAC!$AK$359</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New_Ceased_LAC!$Y$2:$AC$3</c:f>
              <c:strCache>
                <c:ptCount val="5"/>
                <c:pt idx="0">
                  <c:v>2019/20</c:v>
                </c:pt>
                <c:pt idx="1">
                  <c:v>2020/21</c:v>
                </c:pt>
                <c:pt idx="2">
                  <c:v>2021/22</c:v>
                </c:pt>
                <c:pt idx="3">
                  <c:v>2022/23</c:v>
                </c:pt>
                <c:pt idx="4">
                  <c:v>2023/24</c:v>
                </c:pt>
              </c:strCache>
            </c:strRef>
          </c:cat>
          <c:val>
            <c:numRef>
              <c:f>New_Ceased_LAC!$AL$359:$AP$359</c:f>
              <c:numCache>
                <c:formatCode>0.0</c:formatCode>
                <c:ptCount val="5"/>
                <c:pt idx="0">
                  <c:v>1.1704346179955849</c:v>
                </c:pt>
                <c:pt idx="1">
                  <c:v>0.364784114822502</c:v>
                </c:pt>
                <c:pt idx="2">
                  <c:v>0.79912415992072683</c:v>
                </c:pt>
                <c:pt idx="3">
                  <c:v>1.1105699419701964</c:v>
                </c:pt>
                <c:pt idx="4">
                  <c:v>-0.47505360188141227</c:v>
                </c:pt>
              </c:numCache>
            </c:numRef>
          </c:val>
          <c:smooth val="0"/>
          <c:extLst>
            <c:ext xmlns:c16="http://schemas.microsoft.com/office/drawing/2014/chart" uri="{C3380CC4-5D6E-409C-BE32-E72D297353CC}">
              <c16:uniqueId val="{00000018-FA10-4EFA-A700-E9BE728E9C95}"/>
            </c:ext>
          </c:extLst>
        </c:ser>
        <c:ser>
          <c:idx val="6"/>
          <c:order val="21"/>
          <c:tx>
            <c:strRef>
              <c:f>New_Ceased_LAC!$AK$360</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New_Ceased_LAC!$Y$2:$AC$3</c:f>
              <c:strCache>
                <c:ptCount val="5"/>
                <c:pt idx="0">
                  <c:v>2019/20</c:v>
                </c:pt>
                <c:pt idx="1">
                  <c:v>2020/21</c:v>
                </c:pt>
                <c:pt idx="2">
                  <c:v>2021/22</c:v>
                </c:pt>
                <c:pt idx="3">
                  <c:v>2022/23</c:v>
                </c:pt>
                <c:pt idx="4">
                  <c:v>2023/24</c:v>
                </c:pt>
              </c:strCache>
            </c:strRef>
          </c:cat>
          <c:val>
            <c:numRef>
              <c:f>New_Ceased_LAC!$AL$360:$AP$360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FA10-4EFA-A700-E9BE728E9C95}"/>
            </c:ext>
          </c:extLst>
        </c:ser>
        <c:dLbls>
          <c:showLegendKey val="0"/>
          <c:showVal val="0"/>
          <c:showCatName val="0"/>
          <c:showSerName val="0"/>
          <c:showPercent val="0"/>
          <c:showBubbleSize val="0"/>
        </c:dLbls>
        <c:marker val="1"/>
        <c:smooth val="0"/>
        <c:axId val="614462208"/>
        <c:axId val="614464128"/>
      </c:lineChart>
      <c:catAx>
        <c:axId val="6144622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4464128"/>
        <c:crossesAt val="0"/>
        <c:auto val="1"/>
        <c:lblAlgn val="ctr"/>
        <c:lblOffset val="100"/>
        <c:tickLblSkip val="1"/>
        <c:tickMarkSkip val="1"/>
        <c:noMultiLvlLbl val="0"/>
      </c:catAx>
      <c:valAx>
        <c:axId val="614464128"/>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4462208"/>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90424208521765126"/>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Net Number of Children Starting to be Looked After (Rate per 10,000 0-17 year olds)</a:t>
            </a:r>
          </a:p>
          <a:p>
            <a:pPr>
              <a:defRPr sz="1100" b="1" i="0" u="none" strike="noStrike" baseline="0">
                <a:solidFill>
                  <a:srgbClr val="000000"/>
                </a:solidFill>
                <a:latin typeface="Arial"/>
                <a:ea typeface="Arial"/>
                <a:cs typeface="Arial"/>
              </a:defRPr>
            </a:pPr>
            <a:endParaRPr lang="en-GB" sz="1100"/>
          </a:p>
        </c:rich>
      </c:tx>
      <c:layout>
        <c:manualLayout>
          <c:xMode val="edge"/>
          <c:yMode val="edge"/>
          <c:x val="0.14566663782411815"/>
          <c:y val="3.8613923259592552E-3"/>
        </c:manualLayout>
      </c:layout>
      <c:overlay val="0"/>
      <c:spPr>
        <a:noFill/>
        <a:ln w="25400">
          <a:noFill/>
        </a:ln>
      </c:spPr>
    </c:title>
    <c:autoTitleDeleted val="0"/>
    <c:plotArea>
      <c:layout>
        <c:manualLayout>
          <c:layoutTarget val="inner"/>
          <c:xMode val="edge"/>
          <c:yMode val="edge"/>
          <c:x val="8.281553876456442E-2"/>
          <c:y val="0.21898575178102736"/>
          <c:w val="0.66555649913014059"/>
          <c:h val="0.55067054118235226"/>
        </c:manualLayout>
      </c:layout>
      <c:barChart>
        <c:barDir val="col"/>
        <c:grouping val="clustered"/>
        <c:varyColors val="0"/>
        <c:ser>
          <c:idx val="6"/>
          <c:order val="0"/>
          <c:tx>
            <c:strRef>
              <c:f>New_Ceased_LAC!$Z$4</c:f>
              <c:strCache>
                <c:ptCount val="1"/>
                <c:pt idx="0">
                  <c:v>Selected LA- (none)</c:v>
                </c:pt>
              </c:strCache>
            </c:strRef>
          </c:tx>
          <c:spPr>
            <a:solidFill>
              <a:srgbClr val="66FF99"/>
            </a:solidFill>
            <a:ln>
              <a:solidFill>
                <a:schemeClr val="tx1">
                  <a:lumMod val="75000"/>
                  <a:lumOff val="25000"/>
                </a:schemeClr>
              </a:solidFill>
            </a:ln>
          </c:spPr>
          <c:invertIfNegative val="0"/>
          <c:cat>
            <c:strRef>
              <c:f>New_Ceased_LAC!$Y$2:$AC$3</c:f>
              <c:strCache>
                <c:ptCount val="5"/>
                <c:pt idx="0">
                  <c:v>2019/20</c:v>
                </c:pt>
                <c:pt idx="1">
                  <c:v>2020/21</c:v>
                </c:pt>
                <c:pt idx="2">
                  <c:v>2021/22</c:v>
                </c:pt>
                <c:pt idx="3">
                  <c:v>2022/23</c:v>
                </c:pt>
                <c:pt idx="4">
                  <c:v>2023/24</c:v>
                </c:pt>
              </c:strCache>
            </c:strRef>
          </c:cat>
          <c:val>
            <c:numRef>
              <c:f>New_Ceased_LAC!$AL$360:$AP$360</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7B5F-4B03-8275-4BB0A3ECB32D}"/>
            </c:ext>
          </c:extLst>
        </c:ser>
        <c:ser>
          <c:idx val="4"/>
          <c:order val="1"/>
          <c:tx>
            <c:strRef>
              <c:f>New_Ceased_LAC!$B$30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New_Ceased_LAC!$Y$2:$AC$3</c:f>
              <c:strCache>
                <c:ptCount val="5"/>
                <c:pt idx="0">
                  <c:v>2019/20</c:v>
                </c:pt>
                <c:pt idx="1">
                  <c:v>2020/21</c:v>
                </c:pt>
                <c:pt idx="2">
                  <c:v>2021/22</c:v>
                </c:pt>
                <c:pt idx="3">
                  <c:v>2022/23</c:v>
                </c:pt>
                <c:pt idx="4">
                  <c:v>2023/24</c:v>
                </c:pt>
              </c:strCache>
            </c:strRef>
          </c:cat>
          <c:val>
            <c:numRef>
              <c:f>New_Ceased_LAC!$K$333:$O$333</c:f>
              <c:numCache>
                <c:formatCode>0.0</c:formatCode>
                <c:ptCount val="5"/>
                <c:pt idx="0">
                  <c:v>0.60174932679294069</c:v>
                </c:pt>
                <c:pt idx="1">
                  <c:v>-0.13466402103659184</c:v>
                </c:pt>
                <c:pt idx="2">
                  <c:v>1.5291657367685836</c:v>
                </c:pt>
                <c:pt idx="3">
                  <c:v>1.7453578823262417</c:v>
                </c:pt>
                <c:pt idx="4">
                  <c:v>-0.72902348058937272</c:v>
                </c:pt>
              </c:numCache>
            </c:numRef>
          </c:val>
          <c:extLst>
            <c:ext xmlns:c16="http://schemas.microsoft.com/office/drawing/2014/chart" uri="{C3380CC4-5D6E-409C-BE32-E72D297353CC}">
              <c16:uniqueId val="{00000001-7B5F-4B03-8275-4BB0A3ECB32D}"/>
            </c:ext>
          </c:extLst>
        </c:ser>
        <c:ser>
          <c:idx val="0"/>
          <c:order val="2"/>
          <c:tx>
            <c:strRef>
              <c:f>New_Ceased_LAC!$B$31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New_Ceased_LAC!$Y$2:$AC$3</c:f>
              <c:strCache>
                <c:ptCount val="5"/>
                <c:pt idx="0">
                  <c:v>2019/20</c:v>
                </c:pt>
                <c:pt idx="1">
                  <c:v>2020/21</c:v>
                </c:pt>
                <c:pt idx="2">
                  <c:v>2021/22</c:v>
                </c:pt>
                <c:pt idx="3">
                  <c:v>2022/23</c:v>
                </c:pt>
                <c:pt idx="4">
                  <c:v>2023/24</c:v>
                </c:pt>
              </c:strCache>
            </c:strRef>
          </c:cat>
          <c:val>
            <c:numRef>
              <c:f>New_Ceased_LAC!$K$334:$O$334</c:f>
              <c:numCache>
                <c:formatCode>0.0</c:formatCode>
                <c:ptCount val="5"/>
                <c:pt idx="0">
                  <c:v>1.1704346179955849</c:v>
                </c:pt>
                <c:pt idx="1">
                  <c:v>0.364784114822502</c:v>
                </c:pt>
                <c:pt idx="2">
                  <c:v>0.79912415992072683</c:v>
                </c:pt>
                <c:pt idx="3">
                  <c:v>1.1105699419701964</c:v>
                </c:pt>
                <c:pt idx="4" formatCode="0%">
                  <c:v>-0.47505360188141227</c:v>
                </c:pt>
              </c:numCache>
            </c:numRef>
          </c:val>
          <c:extLst>
            <c:ext xmlns:c16="http://schemas.microsoft.com/office/drawing/2014/chart" uri="{C3380CC4-5D6E-409C-BE32-E72D297353CC}">
              <c16:uniqueId val="{00000002-7B5F-4B03-8275-4BB0A3ECB32D}"/>
            </c:ext>
          </c:extLst>
        </c:ser>
        <c:dLbls>
          <c:showLegendKey val="0"/>
          <c:showVal val="0"/>
          <c:showCatName val="0"/>
          <c:showSerName val="0"/>
          <c:showPercent val="0"/>
          <c:showBubbleSize val="0"/>
        </c:dLbls>
        <c:gapWidth val="100"/>
        <c:axId val="614639872"/>
        <c:axId val="614645760"/>
      </c:barChart>
      <c:catAx>
        <c:axId val="6146398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4645760"/>
        <c:crosses val="autoZero"/>
        <c:auto val="1"/>
        <c:lblAlgn val="ctr"/>
        <c:lblOffset val="100"/>
        <c:noMultiLvlLbl val="0"/>
      </c:catAx>
      <c:valAx>
        <c:axId val="614645760"/>
        <c:scaling>
          <c:orientation val="minMax"/>
        </c:scaling>
        <c:delete val="0"/>
        <c:axPos val="l"/>
        <c:majorGridlines>
          <c:spPr>
            <a:ln w="12700">
              <a:solidFill>
                <a:schemeClr val="bg1">
                  <a:lumMod val="75000"/>
                </a:schemeClr>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4639872"/>
        <c:crosses val="autoZero"/>
        <c:crossBetween val="between"/>
      </c:valAx>
      <c:spPr>
        <a:noFill/>
        <a:ln w="3175">
          <a:solidFill>
            <a:srgbClr val="000000"/>
          </a:solidFill>
          <a:prstDash val="solid"/>
        </a:ln>
      </c:spPr>
    </c:plotArea>
    <c:legend>
      <c:legendPos val="r"/>
      <c:layout>
        <c:manualLayout>
          <c:xMode val="edge"/>
          <c:yMode val="edge"/>
          <c:x val="0.75426506317189923"/>
          <c:y val="0.21128205128205127"/>
          <c:w val="0.2457349368281008"/>
          <c:h val="0.67826429980276137"/>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Net Number of Children Starting to be Looked After (Rate per 10,000 0-17 year olds) vs. IDACI</a:t>
            </a:r>
          </a:p>
        </c:rich>
      </c:tx>
      <c:layout>
        <c:manualLayout>
          <c:xMode val="edge"/>
          <c:yMode val="edge"/>
          <c:x val="0.13590189587346713"/>
          <c:y val="1.2101756511205328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5"/>
          <c:order val="4"/>
          <c:tx>
            <c:strRef>
              <c:f>New_Ceased_LAC!$X$342</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15A2-4F21-BC6B-49475065F5BF}"/>
                </c:ext>
              </c:extLst>
            </c:dLbl>
            <c:dLbl>
              <c:idx val="1"/>
              <c:layout>
                <c:manualLayout>
                  <c:x val="-2.7576922863500414E-2"/>
                  <c:y val="-1.773759456538521E-2"/>
                </c:manualLayout>
              </c:layout>
              <c:tx>
                <c:strRef>
                  <c:f>New_Ceased_LAC!$AC$343</c:f>
                  <c:strCache>
                    <c:ptCount val="1"/>
                    <c:pt idx="0">
                      <c:v>r² = 0</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{A9684226-7B4B-4D62-99C9-CD638A3105E4}</c15:txfldGUID>
                      <c15:f>New_Ceased_LAC!$AC$343</c15:f>
                      <c15:dlblFieldTableCache>
                        <c:ptCount val="1"/>
                        <c:pt idx="0">
                          <c:v>r² = 0</c:v>
                        </c:pt>
                      </c15:dlblFieldTableCache>
                    </c15:dlblFTEntry>
                  </c15:dlblFieldTable>
                  <c15:showDataLabelsRange val="0"/>
                </c:ext>
                <c:ext xmlns:c16="http://schemas.microsoft.com/office/drawing/2014/chart" uri="{C3380CC4-5D6E-409C-BE32-E72D297353CC}">
                  <c16:uniqueId val="{00000001-15A2-4F21-BC6B-49475065F5BF}"/>
                </c:ext>
              </c:extLst>
            </c:dLbl>
            <c:spPr>
              <a:noFill/>
              <a:ln>
                <a:noFill/>
              </a:ln>
              <a:effectLst/>
            </c:spPr>
            <c:txPr>
              <a:bodyPr wrap="square" lIns="38100" tIns="19050" rIns="38100" bIns="19050" anchor="ctr">
                <a:spAutoFit/>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New_Ceased_LAC!$AA$342:$AA$343</c:f>
              <c:numCache>
                <c:formatCode>General</c:formatCode>
                <c:ptCount val="2"/>
                <c:pt idx="0" formatCode="#,##0.0">
                  <c:v>3</c:v>
                </c:pt>
                <c:pt idx="1">
                  <c:v>22</c:v>
                </c:pt>
              </c:numCache>
            </c:numRef>
          </c:xVal>
          <c:yVal>
            <c:numRef>
              <c:f>New_Ceased_LAC!$AB$342:$AB$343</c:f>
              <c:numCache>
                <c:formatCode>0.0</c:formatCode>
                <c:ptCount val="2"/>
                <c:pt idx="0">
                  <c:v>-1.6635680158145603</c:v>
                </c:pt>
                <c:pt idx="1">
                  <c:v>-1.3721609950455342</c:v>
                </c:pt>
              </c:numCache>
            </c:numRef>
          </c:yVal>
          <c:smooth val="1"/>
          <c:extLst>
            <c:ext xmlns:c16="http://schemas.microsoft.com/office/drawing/2014/chart" uri="{C3380CC4-5D6E-409C-BE32-E72D297353CC}">
              <c16:uniqueId val="{00000002-15A2-4F21-BC6B-49475065F5BF}"/>
            </c:ext>
          </c:extLst>
        </c:ser>
        <c:dLbls>
          <c:showLegendKey val="0"/>
          <c:showVal val="0"/>
          <c:showCatName val="0"/>
          <c:showSerName val="0"/>
          <c:showPercent val="0"/>
          <c:showBubbleSize val="0"/>
        </c:dLbls>
        <c:axId val="614677120"/>
        <c:axId val="614687488"/>
      </c:scatterChart>
      <c:scatterChart>
        <c:scatterStyle val="lineMarker"/>
        <c:varyColors val="0"/>
        <c:ser>
          <c:idx val="0"/>
          <c:order val="0"/>
          <c:tx>
            <c:strRef>
              <c:f>New_Ceased_LAC!$AQ$202</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15A2-4F21-BC6B-49475065F5BF}"/>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{0D04E921-76ED-41DE-B9B9-5040200BC8E6}</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15A2-4F21-BC6B-49475065F5BF}"/>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{D118D242-07F4-4EF7-AA58-965C04336D60}</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15A2-4F21-BC6B-49475065F5BF}"/>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{19462F2F-E40E-4AB3-BC0A-373F51F8EEBB}</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15A2-4F21-BC6B-49475065F5BF}"/>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{F8E7E71A-D21C-4379-A1D5-4D8CB24E00DA}</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15A2-4F21-BC6B-49475065F5BF}"/>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{7EED0254-6810-4DD7-B2C5-1EF615DC61E3}</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8-15A2-4F21-BC6B-49475065F5BF}"/>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{31AA70FC-0CD9-4DA5-885A-A02CF92EF70F}</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15A2-4F21-BC6B-49475065F5BF}"/>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{698B0186-0A5D-4F9F-BE68-CC2E9300234C}</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A-15A2-4F21-BC6B-49475065F5BF}"/>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{9F76E1BE-6041-4E3E-9FF3-B0783C57A581}</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B-15A2-4F21-BC6B-49475065F5BF}"/>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{D67E6F60-D7BC-465E-BA74-30121E7DB587}</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15A2-4F21-BC6B-49475065F5BF}"/>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{A8EFA4D8-A012-4585-9EED-5FCF4DC54749}</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15A2-4F21-BC6B-49475065F5BF}"/>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{858783F3-E2E1-4C8D-937F-A8C495A16CAC}</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15A2-4F21-BC6B-49475065F5BF}"/>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{A7AA1F8C-E48C-4337-B16A-55E3EF7F6AC2}</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F-15A2-4F21-BC6B-49475065F5BF}"/>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{EBF934E7-CAE5-414F-852F-07A2F9B0EE3B}</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10-15A2-4F21-BC6B-49475065F5BF}"/>
                </c:ext>
              </c:extLst>
            </c:dLbl>
            <c:dLbl>
              <c:idx val="13"/>
              <c:tx>
                <c:strRef>
                  <c:f>ReportData!$K$17</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{32C0FEDE-98DC-4A8A-B059-68392320D91B}</c15:txfldGUID>
                      <c15:f>ReportData!$K$17</c15:f>
                      <c15:dlblFieldTableCache>
                        <c:ptCount val="1"/>
                        <c:pt idx="0">
                          <c:v>Southampton</c:v>
                        </c:pt>
                      </c15:dlblFieldTableCache>
                    </c15:dlblFTEntry>
                  </c15:dlblFieldTable>
                  <c15:showDataLabelsRange val="0"/>
                </c:ext>
                <c:ext xmlns:c16="http://schemas.microsoft.com/office/drawing/2014/chart" uri="{C3380CC4-5D6E-409C-BE32-E72D297353CC}">
                  <c16:uniqueId val="{00000011-15A2-4F21-BC6B-49475065F5BF}"/>
                </c:ext>
              </c:extLst>
            </c:dLbl>
            <c:dLbl>
              <c:idx val="14"/>
              <c:tx>
                <c:strRef>
                  <c:f>ReportData!$K$18</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{F3EBC14E-7421-4C44-8581-2915F80A6CFE}</c15:txfldGUID>
                      <c15:f>ReportData!$K$18</c15:f>
                      <c15:dlblFieldTableCache>
                        <c:ptCount val="1"/>
                        <c:pt idx="0">
                          <c:v>Surrey</c:v>
                        </c:pt>
                      </c15:dlblFieldTableCache>
                    </c15:dlblFTEntry>
                  </c15:dlblFieldTable>
                  <c15:showDataLabelsRange val="0"/>
                </c:ext>
                <c:ext xmlns:c16="http://schemas.microsoft.com/office/drawing/2014/chart" uri="{C3380CC4-5D6E-409C-BE32-E72D297353CC}">
                  <c16:uniqueId val="{00000012-15A2-4F21-BC6B-49475065F5BF}"/>
                </c:ext>
              </c:extLst>
            </c:dLbl>
            <c:dLbl>
              <c:idx val="15"/>
              <c:tx>
                <c:strRef>
                  <c:f>ReportData!$K$19</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{3DD3A297-5AEE-4FA4-8660-6311BBB3F9E9}</c15:txfldGUID>
                      <c15:f>ReportData!$K$19</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15A2-4F21-BC6B-49475065F5BF}"/>
                </c:ext>
              </c:extLst>
            </c:dLbl>
            <c:dLbl>
              <c:idx val="16"/>
              <c:tx>
                <c:strRef>
                  <c:f>ReportData!$K$20</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{D077B83F-8041-4428-BCE4-D8AD7C6EBD48}</c15:txfldGUID>
                      <c15:f>ReportData!$K$20</c15:f>
                      <c15:dlblFieldTableCache>
                        <c:ptCount val="1"/>
                        <c:pt idx="0">
                          <c:v>West Sussex</c:v>
                        </c:pt>
                      </c15:dlblFieldTableCache>
                    </c15:dlblFTEntry>
                  </c15:dlblFieldTable>
                  <c15:showDataLabelsRange val="0"/>
                </c:ext>
                <c:ext xmlns:c16="http://schemas.microsoft.com/office/drawing/2014/chart" uri="{C3380CC4-5D6E-409C-BE32-E72D297353CC}">
                  <c16:uniqueId val="{00000014-15A2-4F21-BC6B-49475065F5BF}"/>
                </c:ext>
              </c:extLst>
            </c:dLbl>
            <c:dLbl>
              <c:idx val="17"/>
              <c:layout>
                <c:manualLayout>
                  <c:x val="-2.1259252882280515E-2"/>
                  <c:y val="1.782607922639495E-2"/>
                </c:manualLayout>
              </c:layout>
              <c:tx>
                <c:strRef>
                  <c:f>ReportData!$K$21</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{D1B3F925-3EE0-47D1-AF4F-A79B24E92C36}</c15:txfldGUID>
                      <c15:f>ReportData!$K$21</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15A2-4F21-BC6B-49475065F5BF}"/>
                </c:ext>
              </c:extLst>
            </c:dLbl>
            <c:dLbl>
              <c:idx val="18"/>
              <c:tx>
                <c:strRef>
                  <c:f>ReportData!$K$22</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{89E30654-F4EE-42FC-BDEC-C17B779B6E70}</c15:txfldGUID>
                      <c15:f>ReportData!$K$22</c15:f>
                      <c15:dlblFieldTableCache>
                        <c:ptCount val="1"/>
                        <c:pt idx="0">
                          <c:v>Wokingham</c:v>
                        </c:pt>
                      </c15:dlblFieldTableCache>
                    </c15:dlblFTEntry>
                  </c15:dlblFieldTable>
                  <c15:showDataLabelsRange val="0"/>
                </c:ext>
                <c:ext xmlns:c16="http://schemas.microsoft.com/office/drawing/2014/chart" uri="{C3380CC4-5D6E-409C-BE32-E72D297353CC}">
                  <c16:uniqueId val="{00000016-15A2-4F21-BC6B-49475065F5BF}"/>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(New_Ceased_LAC!$AQ$339:$AQ$351,New_Ceased_LAC!$AQ$352:$AQ$353,New_Ceased_LAC!$AQ$354:$AQ$357)</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(New_Ceased_LAC!$AP$339:$AP$351,New_Ceased_LAC!$AP$352:$AP$353,New_Ceased_LAC!$AP$354:$AP$357)</c:f>
              <c:numCache>
                <c:formatCode>0.0</c:formatCode>
                <c:ptCount val="19"/>
                <c:pt idx="0">
                  <c:v>-5.9343037665375089</c:v>
                </c:pt>
                <c:pt idx="1">
                  <c:v>1.0714438777696824</c:v>
                </c:pt>
                <c:pt idx="2">
                  <c:v>2.0373620862587765</c:v>
                </c:pt>
                <c:pt idx="3">
                  <c:v>0.4825975329614115</c:v>
                </c:pt>
                <c:pt idx="4">
                  <c:v>1.5755750849059906</c:v>
                </c:pt>
                <c:pt idx="5">
                  <c:v>-6.3998634695793166</c:v>
                </c:pt>
                <c:pt idx="6">
                  <c:v>0.17224946315583983</c:v>
                </c:pt>
                <c:pt idx="7">
                  <c:v>0.74977131974747702</c:v>
                </c:pt>
                <c:pt idx="8">
                  <c:v>7.8299929942167941</c:v>
                </c:pt>
                <c:pt idx="9">
                  <c:v>-7.6063079899019703</c:v>
                </c:pt>
                <c:pt idx="10">
                  <c:v>2.8364100503462781</c:v>
                </c:pt>
                <c:pt idx="11">
                  <c:v>3.954757573360753</c:v>
                </c:pt>
                <c:pt idx="12">
                  <c:v>-11.371491003143884</c:v>
                </c:pt>
                <c:pt idx="13">
                  <c:v>-10.12447144303496</c:v>
                </c:pt>
                <c:pt idx="14">
                  <c:v>-2.2960643199132766</c:v>
                </c:pt>
                <c:pt idx="15">
                  <c:v>-3.1139419674451521</c:v>
                </c:pt>
                <c:pt idx="16">
                  <c:v>0.50277082588487665</c:v>
                </c:pt>
                <c:pt idx="17">
                  <c:v>-3.5004813161809749</c:v>
                </c:pt>
                <c:pt idx="18">
                  <c:v>0.46174447060996449</c:v>
                </c:pt>
              </c:numCache>
            </c:numRef>
          </c:yVal>
          <c:smooth val="0"/>
          <c:extLst>
            <c:ext xmlns:c16="http://schemas.microsoft.com/office/drawing/2014/chart" uri="{C3380CC4-5D6E-409C-BE32-E72D297353CC}">
              <c16:uniqueId val="{00000017-15A2-4F21-BC6B-49475065F5BF}"/>
            </c:ext>
          </c:extLst>
        </c:ser>
        <c:ser>
          <c:idx val="1"/>
          <c:order val="1"/>
          <c:tx>
            <c:strRef>
              <c:f>New_Ceased_LAC!$Z$4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New_Ceased_LAC!$AQ$360</c:f>
              <c:numCache>
                <c:formatCode>0.0</c:formatCode>
                <c:ptCount val="1"/>
                <c:pt idx="0">
                  <c:v>#N/A</c:v>
                </c:pt>
              </c:numCache>
            </c:numRef>
          </c:xVal>
          <c:yVal>
            <c:numRef>
              <c:f>New_Ceased_LAC!$AP$360</c:f>
              <c:numCache>
                <c:formatCode>0.0</c:formatCode>
                <c:ptCount val="1"/>
                <c:pt idx="0">
                  <c:v>#N/A</c:v>
                </c:pt>
              </c:numCache>
            </c:numRef>
          </c:yVal>
          <c:smooth val="0"/>
          <c:extLst>
            <c:ext xmlns:c16="http://schemas.microsoft.com/office/drawing/2014/chart" uri="{C3380CC4-5D6E-409C-BE32-E72D297353CC}">
              <c16:uniqueId val="{0000001C-15A2-4F21-BC6B-49475065F5BF}"/>
            </c:ext>
          </c:extLst>
        </c:ser>
        <c:ser>
          <c:idx val="4"/>
          <c:order val="2"/>
          <c:tx>
            <c:strRef>
              <c:f>New_Ceased_LAC!$B$199</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New_Ceased_LAC!$AQ$224</c:f>
              <c:numCache>
                <c:formatCode>0.0</c:formatCode>
                <c:ptCount val="1"/>
                <c:pt idx="0">
                  <c:v>12.371268250968637</c:v>
                </c:pt>
              </c:numCache>
            </c:numRef>
          </c:xVal>
          <c:yVal>
            <c:numRef>
              <c:f>New_Ceased_LAC!$O$333</c:f>
              <c:numCache>
                <c:formatCode>0.0</c:formatCode>
                <c:ptCount val="1"/>
                <c:pt idx="0">
                  <c:v>-0.72902348058937272</c:v>
                </c:pt>
              </c:numCache>
            </c:numRef>
          </c:yVal>
          <c:smooth val="0"/>
          <c:extLst>
            <c:ext xmlns:c16="http://schemas.microsoft.com/office/drawing/2014/chart" uri="{C3380CC4-5D6E-409C-BE32-E72D297353CC}">
              <c16:uniqueId val="{0000001D-15A2-4F21-BC6B-49475065F5BF}"/>
            </c:ext>
          </c:extLst>
        </c:ser>
        <c:ser>
          <c:idx val="2"/>
          <c:order val="3"/>
          <c:tx>
            <c:strRef>
              <c:f>New_Ceased_LAC!$X$232</c:f>
              <c:strCache>
                <c:ptCount val="1"/>
                <c:pt idx="0">
                  <c:v>National Trend 2024</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15A2-4F21-BC6B-49475065F5BF}"/>
                </c:ext>
              </c:extLst>
            </c:dLbl>
            <c:dLbl>
              <c:idx val="1"/>
              <c:layout>
                <c:manualLayout>
                  <c:x val="-4.6783625730994045E-2"/>
                  <c:y val="-1.8099547511312219E-2"/>
                </c:manualLayout>
              </c:layout>
              <c:tx>
                <c:strRef>
                  <c:f>New_Ceased_LAC!$AC$344</c:f>
                  <c:strCache>
                    <c:ptCount val="1"/>
                    <c:pt idx="0">
                      <c:v>r² = 0.002</c:v>
                    </c:pt>
                  </c:strCache>
                </c:strRef>
              </c:tx>
              <c:spPr/>
              <c:txPr>
                <a:bodyPr/>
                <a:lstStyle/>
                <a:p>
                  <a:pPr>
                    <a:defRPr sz="900"/>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{5DDBCEC1-4585-4CF4-AE1F-F75A1A7925D1}</c15:txfldGUID>
                      <c15:f>New_Ceased_LAC!$AC$344</c15:f>
                      <c15:dlblFieldTableCache>
                        <c:ptCount val="1"/>
                        <c:pt idx="0">
                          <c:v>r² = 0.002</c:v>
                        </c:pt>
                      </c15:dlblFieldTableCache>
                    </c15:dlblFTEntry>
                  </c15:dlblFieldTable>
                  <c15:showDataLabelsRange val="0"/>
                </c:ext>
                <c:ext xmlns:c16="http://schemas.microsoft.com/office/drawing/2014/chart" uri="{C3380CC4-5D6E-409C-BE32-E72D297353CC}">
                  <c16:uniqueId val="{0000001F-15A2-4F21-BC6B-49475065F5BF}"/>
                </c:ext>
              </c:extLst>
            </c:dLbl>
            <c:spPr>
              <a:noFill/>
              <a:ln>
                <a:noFill/>
              </a:ln>
              <a:effectLst/>
            </c:spPr>
            <c:txPr>
              <a:bodyPr wrap="square" lIns="38100" tIns="19050" rIns="38100" bIns="19050" anchor="ctr">
                <a:spAutoFit/>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New_Ceased_LAC!$AA$344:$AA$345</c:f>
              <c:numCache>
                <c:formatCode>General</c:formatCode>
                <c:ptCount val="2"/>
                <c:pt idx="0" formatCode="#,##0.0">
                  <c:v>3</c:v>
                </c:pt>
                <c:pt idx="1">
                  <c:v>22</c:v>
                </c:pt>
              </c:numCache>
            </c:numRef>
          </c:xVal>
          <c:yVal>
            <c:numRef>
              <c:f>New_Ceased_LAC!$AB$344:$AB$345</c:f>
              <c:numCache>
                <c:formatCode>0.0</c:formatCode>
                <c:ptCount val="2"/>
                <c:pt idx="0">
                  <c:v>-1.7221041656304645</c:v>
                </c:pt>
                <c:pt idx="1">
                  <c:v>-0.91269148605115336</c:v>
                </c:pt>
              </c:numCache>
            </c:numRef>
          </c:yVal>
          <c:smooth val="0"/>
          <c:extLst>
            <c:ext xmlns:c16="http://schemas.microsoft.com/office/drawing/2014/chart" uri="{C3380CC4-5D6E-409C-BE32-E72D297353CC}">
              <c16:uniqueId val="{00000020-15A2-4F21-BC6B-49475065F5BF}"/>
            </c:ext>
          </c:extLst>
        </c:ser>
        <c:dLbls>
          <c:showLegendKey val="0"/>
          <c:showVal val="0"/>
          <c:showCatName val="0"/>
          <c:showSerName val="0"/>
          <c:showPercent val="0"/>
          <c:showBubbleSize val="0"/>
        </c:dLbls>
        <c:axId val="614677120"/>
        <c:axId val="614687488"/>
      </c:scatterChart>
      <c:valAx>
        <c:axId val="614677120"/>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4087952964064139"/>
              <c:y val="0.91929229487900843"/>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4687488"/>
        <c:crosses val="autoZero"/>
        <c:crossBetween val="midCat"/>
        <c:majorUnit val="5"/>
      </c:valAx>
      <c:valAx>
        <c:axId val="614687488"/>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b="1" i="0" u="none" strike="noStrike" baseline="0">
                    <a:effectLst/>
                  </a:rPr>
                  <a:t>Net Number of Children Starting to be Looked After</a:t>
                </a:r>
              </a:p>
              <a:p>
                <a:pPr>
                  <a:defRPr sz="900" b="1" i="0" u="none" strike="noStrike" baseline="0">
                    <a:solidFill>
                      <a:srgbClr val="000000"/>
                    </a:solidFill>
                    <a:latin typeface="Arial"/>
                    <a:ea typeface="Arial"/>
                    <a:cs typeface="Arial"/>
                  </a:defRPr>
                </a:pPr>
                <a:r>
                  <a:rPr lang="en-GB" sz="900" b="1" i="0" u="none" strike="noStrike" baseline="0">
                    <a:effectLst/>
                  </a:rPr>
                  <a:t> (Rate per 10,000 0-17 year olds)</a:t>
                </a:r>
                <a:endParaRPr lang="en-GB" sz="900"/>
              </a:p>
            </c:rich>
          </c:tx>
          <c:layout>
            <c:manualLayout>
              <c:xMode val="edge"/>
              <c:yMode val="edge"/>
              <c:x val="3.2034314949531933E-2"/>
              <c:y val="0.1187981140366504"/>
            </c:manualLayout>
          </c:layout>
          <c:overlay val="0"/>
          <c:spPr>
            <a:noFill/>
            <a:ln w="25400">
              <a:noFill/>
            </a:ln>
          </c:spPr>
        </c:title>
        <c:numFmt formatCode="#,##0" sourceLinked="0"/>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4677120"/>
        <c:crosses val="autoZero"/>
        <c:crossBetween val="midCat"/>
      </c:valAx>
      <c:spPr>
        <a:noFill/>
        <a:ln w="3175">
          <a:solidFill>
            <a:srgbClr val="000000"/>
          </a:solidFill>
          <a:prstDash val="solid"/>
        </a:ln>
      </c:spPr>
    </c:plotArea>
    <c:plotVisOnly val="0"/>
    <c:dispBlanksAs val="span"/>
    <c:showDLblsOverMax val="0"/>
  </c:chart>
  <c:spPr>
    <a:solidFill>
      <a:schemeClr val="bg1"/>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LAC to CAO</a:t>
            </a:r>
          </a:p>
          <a:p>
            <a:pPr>
              <a:defRPr sz="1100" b="1" i="0" u="none" strike="noStrike" baseline="0">
                <a:solidFill>
                  <a:srgbClr val="000000"/>
                </a:solidFill>
                <a:latin typeface="Arial"/>
                <a:ea typeface="Arial"/>
                <a:cs typeface="Arial"/>
              </a:defRPr>
            </a:pPr>
            <a:r>
              <a:rPr lang="en-GB" sz="1100"/>
              <a:t>(Selected LA</a:t>
            </a:r>
            <a:r>
              <a:rPr lang="en-GB" sz="1100" baseline="0"/>
              <a:t> vs. SE &amp; National)</a:t>
            </a:r>
            <a:r>
              <a:rPr lang="en-GB" sz="1100"/>
              <a:t> </a:t>
            </a:r>
          </a:p>
        </c:rich>
      </c:tx>
      <c:layout>
        <c:manualLayout>
          <c:xMode val="edge"/>
          <c:yMode val="edge"/>
          <c:x val="0.20505982905982906"/>
          <c:y val="3.8613923259592556E-3"/>
        </c:manualLayout>
      </c:layout>
      <c:overlay val="0"/>
      <c:spPr>
        <a:noFill/>
        <a:ln w="25400">
          <a:noFill/>
        </a:ln>
      </c:spPr>
    </c:title>
    <c:autoTitleDeleted val="0"/>
    <c:plotArea>
      <c:layout>
        <c:manualLayout>
          <c:layoutTarget val="inner"/>
          <c:xMode val="edge"/>
          <c:yMode val="edge"/>
          <c:x val="9.8666564984461691E-2"/>
          <c:y val="0.2386337547773742"/>
          <c:w val="0.62627218627374548"/>
          <c:h val="0.55540868645689123"/>
        </c:manualLayout>
      </c:layout>
      <c:barChart>
        <c:barDir val="col"/>
        <c:grouping val="clustered"/>
        <c:varyColors val="0"/>
        <c:ser>
          <c:idx val="6"/>
          <c:order val="0"/>
          <c:tx>
            <c:strRef>
              <c:f>New_Ceased_LAC!$Z$4</c:f>
              <c:strCache>
                <c:ptCount val="1"/>
                <c:pt idx="0">
                  <c:v>Selected LA- (none)</c:v>
                </c:pt>
              </c:strCache>
            </c:strRef>
          </c:tx>
          <c:spPr>
            <a:solidFill>
              <a:srgbClr val="66FF99"/>
            </a:solidFill>
            <a:ln>
              <a:solidFill>
                <a:schemeClr val="tx1">
                  <a:lumMod val="75000"/>
                  <a:lumOff val="25000"/>
                </a:schemeClr>
              </a:solidFill>
            </a:ln>
          </c:spPr>
          <c:invertIfNegative val="0"/>
          <c:cat>
            <c:strRef>
              <c:f>Permanence!$Y$2:$AC$3</c:f>
              <c:strCache>
                <c:ptCount val="5"/>
                <c:pt idx="0">
                  <c:v>2019/20</c:v>
                </c:pt>
                <c:pt idx="1">
                  <c:v>2020/21</c:v>
                </c:pt>
                <c:pt idx="2">
                  <c:v>2021/22</c:v>
                </c:pt>
                <c:pt idx="3">
                  <c:v>2022/23</c:v>
                </c:pt>
                <c:pt idx="4">
                  <c:v>2023/24</c:v>
                </c:pt>
              </c:strCache>
            </c:strRef>
          </c:cat>
          <c:val>
            <c:numRef>
              <c:f>New_Ceased_LAC!$AR$226:$AV$226</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72D4-49C4-9369-86490EB9A684}"/>
            </c:ext>
          </c:extLst>
        </c:ser>
        <c:ser>
          <c:idx val="4"/>
          <c:order val="1"/>
          <c:tx>
            <c:strRef>
              <c:f>Permanence!$B$196</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Permanence!$Y$2:$AC$3</c:f>
              <c:strCache>
                <c:ptCount val="5"/>
                <c:pt idx="0">
                  <c:v>2019/20</c:v>
                </c:pt>
                <c:pt idx="1">
                  <c:v>2020/21</c:v>
                </c:pt>
                <c:pt idx="2">
                  <c:v>2021/22</c:v>
                </c:pt>
                <c:pt idx="3">
                  <c:v>2022/23</c:v>
                </c:pt>
                <c:pt idx="4">
                  <c:v>2023/24</c:v>
                </c:pt>
              </c:strCache>
            </c:strRef>
          </c:cat>
          <c:val>
            <c:numRef>
              <c:f>New_Ceased_LAC!$D$262:$H$262</c:f>
              <c:numCache>
                <c:formatCode>0%</c:formatCode>
                <c:ptCount val="5"/>
                <c:pt idx="0">
                  <c:v>3.7558685446009391E-2</c:v>
                </c:pt>
                <c:pt idx="1">
                  <c:v>2.6966292134831461E-2</c:v>
                </c:pt>
                <c:pt idx="2">
                  <c:v>3.1185031185031187E-2</c:v>
                </c:pt>
                <c:pt idx="3">
                  <c:v>2.4904214559386972E-2</c:v>
                </c:pt>
                <c:pt idx="4">
                  <c:v>2.1806853582554516E-2</c:v>
                </c:pt>
              </c:numCache>
            </c:numRef>
          </c:val>
          <c:extLst>
            <c:ext xmlns:c16="http://schemas.microsoft.com/office/drawing/2014/chart" uri="{C3380CC4-5D6E-409C-BE32-E72D297353CC}">
              <c16:uniqueId val="{00000001-72D4-49C4-9369-86490EB9A684}"/>
            </c:ext>
          </c:extLst>
        </c:ser>
        <c:ser>
          <c:idx val="0"/>
          <c:order val="2"/>
          <c:tx>
            <c:strRef>
              <c:f>Permanence!$B$197</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Permanence!$Y$2:$AC$3</c:f>
              <c:strCache>
                <c:ptCount val="5"/>
                <c:pt idx="0">
                  <c:v>2019/20</c:v>
                </c:pt>
                <c:pt idx="1">
                  <c:v>2020/21</c:v>
                </c:pt>
                <c:pt idx="2">
                  <c:v>2021/22</c:v>
                </c:pt>
                <c:pt idx="3">
                  <c:v>2022/23</c:v>
                </c:pt>
                <c:pt idx="4">
                  <c:v>2023/24</c:v>
                </c:pt>
              </c:strCache>
            </c:strRef>
          </c:cat>
          <c:val>
            <c:numRef>
              <c:f>New_Ceased_LAC!$D$263:$H$263</c:f>
              <c:numCache>
                <c:formatCode>0%</c:formatCode>
                <c:ptCount val="5"/>
                <c:pt idx="0">
                  <c:v>3.9202433254477864E-2</c:v>
                </c:pt>
                <c:pt idx="1">
                  <c:v>3.7843627275972867E-2</c:v>
                </c:pt>
                <c:pt idx="2">
                  <c:v>3.9241769205187897E-2</c:v>
                </c:pt>
                <c:pt idx="3">
                  <c:v>3.5037878787878785E-2</c:v>
                </c:pt>
                <c:pt idx="4">
                  <c:v>3.4205829863176683E-2</c:v>
                </c:pt>
              </c:numCache>
            </c:numRef>
          </c:val>
          <c:extLst>
            <c:ext xmlns:c16="http://schemas.microsoft.com/office/drawing/2014/chart" uri="{C3380CC4-5D6E-409C-BE32-E72D297353CC}">
              <c16:uniqueId val="{00000002-72D4-49C4-9369-86490EB9A684}"/>
            </c:ext>
          </c:extLst>
        </c:ser>
        <c:dLbls>
          <c:showLegendKey val="0"/>
          <c:showVal val="0"/>
          <c:showCatName val="0"/>
          <c:showSerName val="0"/>
          <c:showPercent val="0"/>
          <c:showBubbleSize val="0"/>
        </c:dLbls>
        <c:gapWidth val="100"/>
        <c:axId val="641459328"/>
        <c:axId val="641460864"/>
      </c:barChart>
      <c:catAx>
        <c:axId val="641459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41460864"/>
        <c:crosses val="autoZero"/>
        <c:auto val="1"/>
        <c:lblAlgn val="ctr"/>
        <c:lblOffset val="100"/>
        <c:noMultiLvlLbl val="0"/>
      </c:catAx>
      <c:valAx>
        <c:axId val="641460864"/>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41459328"/>
        <c:crosses val="autoZero"/>
        <c:crossBetween val="between"/>
      </c:valAx>
      <c:spPr>
        <a:noFill/>
        <a:ln w="3175">
          <a:solidFill>
            <a:srgbClr val="000000"/>
          </a:solidFill>
          <a:prstDash val="solid"/>
        </a:ln>
      </c:spPr>
    </c:plotArea>
    <c:legend>
      <c:legendPos val="r"/>
      <c:layout>
        <c:manualLayout>
          <c:xMode val="edge"/>
          <c:yMode val="edge"/>
          <c:x val="0.73254905018060856"/>
          <c:y val="0.19521791403857064"/>
          <c:w val="0.26745094981939138"/>
          <c:h val="0.6682353551305346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C8C300"/>
            </a:solidFill>
            <a:ln>
              <a:noFill/>
            </a:ln>
          </c:spPr>
          <c:invertIfNegative val="0"/>
          <c:cat>
            <c:strRef>
              <c:f>Referral_Source!$B$40:$B$60</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Referral_Source!$F$40:$F$60</c:f>
              <c:numCache>
                <c:formatCode>0.0</c:formatCode>
                <c:ptCount val="21"/>
                <c:pt idx="0">
                  <c:v>28.45797485109199</c:v>
                </c:pt>
                <c:pt idx="1">
                  <c:v>23.088731961928158</c:v>
                </c:pt>
                <c:pt idx="2">
                  <c:v>21.465256797583081</c:v>
                </c:pt>
                <c:pt idx="3">
                  <c:v>15.170494084899095</c:v>
                </c:pt>
                <c:pt idx="4">
                  <c:v>#N/A</c:v>
                </c:pt>
                <c:pt idx="5">
                  <c:v>34.536317953403383</c:v>
                </c:pt>
                <c:pt idx="6">
                  <c:v>25.739289121148023</c:v>
                </c:pt>
                <c:pt idx="7">
                  <c:v>30.872610259322354</c:v>
                </c:pt>
                <c:pt idx="8">
                  <c:v>24.145785876993166</c:v>
                </c:pt>
                <c:pt idx="9">
                  <c:v>20.923320784624529</c:v>
                </c:pt>
                <c:pt idx="10">
                  <c:v>18.353174603174601</c:v>
                </c:pt>
                <c:pt idx="11">
                  <c:v>18.514818514818515</c:v>
                </c:pt>
                <c:pt idx="12">
                  <c:v>25.544613548194565</c:v>
                </c:pt>
                <c:pt idx="13">
                  <c:v>28.862314156431804</c:v>
                </c:pt>
                <c:pt idx="14">
                  <c:v>21.075240822702423</c:v>
                </c:pt>
                <c:pt idx="15">
                  <c:v>21.896444167186523</c:v>
                </c:pt>
                <c:pt idx="16">
                  <c:v>18.509645694111715</c:v>
                </c:pt>
                <c:pt idx="17">
                  <c:v>25.041367898510753</c:v>
                </c:pt>
                <c:pt idx="18">
                  <c:v>24.806201550387595</c:v>
                </c:pt>
                <c:pt idx="19">
                  <c:v>23.764342453662842</c:v>
                </c:pt>
                <c:pt idx="20">
                  <c:v>21.996912488341426</c:v>
                </c:pt>
              </c:numCache>
            </c:numRef>
          </c:val>
          <c:extLst>
            <c:ext xmlns:c16="http://schemas.microsoft.com/office/drawing/2014/chart" uri="{C3380CC4-5D6E-409C-BE32-E72D297353CC}">
              <c16:uniqueId val="{00000000-1A13-420F-A22D-2B8FEBC9BE60}"/>
            </c:ext>
          </c:extLst>
        </c:ser>
        <c:dLbls>
          <c:showLegendKey val="0"/>
          <c:showVal val="0"/>
          <c:showCatName val="0"/>
          <c:showSerName val="0"/>
          <c:showPercent val="0"/>
          <c:showBubbleSize val="0"/>
        </c:dLbls>
        <c:gapWidth val="40"/>
        <c:axId val="539952640"/>
        <c:axId val="539954176"/>
      </c:barChart>
      <c:catAx>
        <c:axId val="539952640"/>
        <c:scaling>
          <c:orientation val="maxMin"/>
        </c:scaling>
        <c:delete val="1"/>
        <c:axPos val="l"/>
        <c:numFmt formatCode="General" sourceLinked="0"/>
        <c:majorTickMark val="out"/>
        <c:minorTickMark val="none"/>
        <c:tickLblPos val="nextTo"/>
        <c:crossAx val="539954176"/>
        <c:crosses val="autoZero"/>
        <c:auto val="1"/>
        <c:lblAlgn val="ctr"/>
        <c:lblOffset val="100"/>
        <c:noMultiLvlLbl val="0"/>
      </c:catAx>
      <c:valAx>
        <c:axId val="539954176"/>
        <c:scaling>
          <c:orientation val="minMax"/>
        </c:scaling>
        <c:delete val="1"/>
        <c:axPos val="b"/>
        <c:majorGridlines/>
        <c:numFmt formatCode="0.0" sourceLinked="1"/>
        <c:majorTickMark val="out"/>
        <c:minorTickMark val="none"/>
        <c:tickLblPos val="nextTo"/>
        <c:crossAx val="539952640"/>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Children ceasing to be Looked After in year who were </a:t>
            </a:r>
          </a:p>
          <a:p>
            <a:pPr>
              <a:defRPr sz="1100" b="1" i="0" u="none" strike="noStrike" baseline="0">
                <a:solidFill>
                  <a:srgbClr val="000000"/>
                </a:solidFill>
                <a:latin typeface="Arial"/>
                <a:ea typeface="Arial"/>
                <a:cs typeface="Arial"/>
              </a:defRPr>
            </a:pPr>
            <a:r>
              <a:rPr lang="en-GB" sz="1100"/>
              <a:t>granted a Child Arrangement Order (%)</a:t>
            </a:r>
          </a:p>
        </c:rich>
      </c:tx>
      <c:layout>
        <c:manualLayout>
          <c:xMode val="edge"/>
          <c:yMode val="edge"/>
          <c:x val="0.15268319086573323"/>
          <c:y val="8.2113560256378611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50930878282328"/>
        </c:manualLayout>
      </c:layout>
      <c:lineChart>
        <c:grouping val="standard"/>
        <c:varyColors val="0"/>
        <c:ser>
          <c:idx val="0"/>
          <c:order val="0"/>
          <c:tx>
            <c:strRef>
              <c:f>New_Ceased_LAC!$AK$205</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4123-4D68-AA18-D47D67948ED6}"/>
              </c:ext>
            </c:extLst>
          </c:dPt>
          <c:cat>
            <c:strRef>
              <c:f>New_Ceased_LAC!$AR$204:$AV$204</c:f>
              <c:strCache>
                <c:ptCount val="5"/>
                <c:pt idx="0">
                  <c:v>2019/20</c:v>
                </c:pt>
                <c:pt idx="1">
                  <c:v>2020/21</c:v>
                </c:pt>
                <c:pt idx="2">
                  <c:v>2021/22</c:v>
                </c:pt>
                <c:pt idx="3">
                  <c:v>2022/23</c:v>
                </c:pt>
                <c:pt idx="4">
                  <c:v>2023/24</c:v>
                </c:pt>
              </c:strCache>
            </c:strRef>
          </c:cat>
          <c:val>
            <c:numRef>
              <c:f>New_Ceased_LAC!$AR$205:$AV$205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4123-4D68-AA18-D47D67948ED6}"/>
            </c:ext>
          </c:extLst>
        </c:ser>
        <c:ser>
          <c:idx val="1"/>
          <c:order val="1"/>
          <c:tx>
            <c:strRef>
              <c:f>New_Ceased_LAC!$AK$206</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New_Ceased_LAC!$AR$204:$AV$204</c:f>
              <c:strCache>
                <c:ptCount val="5"/>
                <c:pt idx="0">
                  <c:v>2019/20</c:v>
                </c:pt>
                <c:pt idx="1">
                  <c:v>2020/21</c:v>
                </c:pt>
                <c:pt idx="2">
                  <c:v>2021/22</c:v>
                </c:pt>
                <c:pt idx="3">
                  <c:v>2022/23</c:v>
                </c:pt>
                <c:pt idx="4">
                  <c:v>2023/24</c:v>
                </c:pt>
              </c:strCache>
            </c:strRef>
          </c:cat>
          <c:val>
            <c:numRef>
              <c:f>New_Ceased_LAC!$AR$206:$AV$206</c:f>
              <c:numCache>
                <c:formatCode>0.0%</c:formatCode>
                <c:ptCount val="5"/>
                <c:pt idx="0">
                  <c:v>3.3707865168539325E-2</c:v>
                </c:pt>
                <c:pt idx="1">
                  <c:v>#N/A</c:v>
                </c:pt>
                <c:pt idx="2">
                  <c:v>#N/A</c:v>
                </c:pt>
                <c:pt idx="3">
                  <c:v>5.5214723926380369E-2</c:v>
                </c:pt>
                <c:pt idx="4">
                  <c:v>#N/A</c:v>
                </c:pt>
              </c:numCache>
            </c:numRef>
          </c:val>
          <c:smooth val="0"/>
          <c:extLst>
            <c:ext xmlns:c16="http://schemas.microsoft.com/office/drawing/2014/chart" uri="{C3380CC4-5D6E-409C-BE32-E72D297353CC}">
              <c16:uniqueId val="{00000002-4123-4D68-AA18-D47D67948ED6}"/>
            </c:ext>
          </c:extLst>
        </c:ser>
        <c:ser>
          <c:idx val="2"/>
          <c:order val="2"/>
          <c:tx>
            <c:strRef>
              <c:f>New_Ceased_LAC!$AK$207</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New_Ceased_LAC!$AR$204:$AV$204</c:f>
              <c:strCache>
                <c:ptCount val="5"/>
                <c:pt idx="0">
                  <c:v>2019/20</c:v>
                </c:pt>
                <c:pt idx="1">
                  <c:v>2020/21</c:v>
                </c:pt>
                <c:pt idx="2">
                  <c:v>2021/22</c:v>
                </c:pt>
                <c:pt idx="3">
                  <c:v>2022/23</c:v>
                </c:pt>
                <c:pt idx="4">
                  <c:v>2023/24</c:v>
                </c:pt>
              </c:strCache>
            </c:strRef>
          </c:cat>
          <c:val>
            <c:numRef>
              <c:f>New_Ceased_LAC!$AR$207:$AV$207</c:f>
              <c:numCache>
                <c:formatCode>0.0%</c:formatCode>
                <c:ptCount val="5"/>
                <c:pt idx="0">
                  <c:v>2.9787234042553193E-2</c:v>
                </c:pt>
                <c:pt idx="1">
                  <c:v>#N/A</c:v>
                </c:pt>
                <c:pt idx="2">
                  <c:v>#N/A</c:v>
                </c:pt>
                <c:pt idx="3">
                  <c:v>0</c:v>
                </c:pt>
                <c:pt idx="4">
                  <c:v>#N/A</c:v>
                </c:pt>
              </c:numCache>
            </c:numRef>
          </c:val>
          <c:smooth val="0"/>
          <c:extLst>
            <c:ext xmlns:c16="http://schemas.microsoft.com/office/drawing/2014/chart" uri="{C3380CC4-5D6E-409C-BE32-E72D297353CC}">
              <c16:uniqueId val="{00000003-4123-4D68-AA18-D47D67948ED6}"/>
            </c:ext>
          </c:extLst>
        </c:ser>
        <c:ser>
          <c:idx val="5"/>
          <c:order val="3"/>
          <c:tx>
            <c:strRef>
              <c:f>New_Ceased_LAC!$AK$208</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New_Ceased_LAC!$AR$204:$AV$204</c:f>
              <c:strCache>
                <c:ptCount val="5"/>
                <c:pt idx="0">
                  <c:v>2019/20</c:v>
                </c:pt>
                <c:pt idx="1">
                  <c:v>2020/21</c:v>
                </c:pt>
                <c:pt idx="2">
                  <c:v>2021/22</c:v>
                </c:pt>
                <c:pt idx="3">
                  <c:v>2022/23</c:v>
                </c:pt>
                <c:pt idx="4">
                  <c:v>2023/24</c:v>
                </c:pt>
              </c:strCache>
            </c:strRef>
          </c:cat>
          <c:val>
            <c:numRef>
              <c:f>New_Ceased_LAC!$AR$208:$AV$208</c:f>
              <c:numCache>
                <c:formatCode>0.0%</c:formatCode>
                <c:ptCount val="5"/>
                <c:pt idx="0">
                  <c:v>#N/A</c:v>
                </c:pt>
                <c:pt idx="1">
                  <c:v>3.9772727272727272E-2</c:v>
                </c:pt>
                <c:pt idx="2">
                  <c:v>#N/A</c:v>
                </c:pt>
                <c:pt idx="3">
                  <c:v>3.7558685446009391E-2</c:v>
                </c:pt>
                <c:pt idx="4">
                  <c:v>5.106382978723404E-2</c:v>
                </c:pt>
              </c:numCache>
            </c:numRef>
          </c:val>
          <c:smooth val="0"/>
          <c:extLst>
            <c:ext xmlns:c16="http://schemas.microsoft.com/office/drawing/2014/chart" uri="{C3380CC4-5D6E-409C-BE32-E72D297353CC}">
              <c16:uniqueId val="{00000004-4123-4D68-AA18-D47D67948ED6}"/>
            </c:ext>
          </c:extLst>
        </c:ser>
        <c:ser>
          <c:idx val="9"/>
          <c:order val="4"/>
          <c:tx>
            <c:strRef>
              <c:f>New_Ceased_LAC!$AK$209</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New_Ceased_LAC!$AR$204:$AV$204</c:f>
              <c:strCache>
                <c:ptCount val="5"/>
                <c:pt idx="0">
                  <c:v>2019/20</c:v>
                </c:pt>
                <c:pt idx="1">
                  <c:v>2020/21</c:v>
                </c:pt>
                <c:pt idx="2">
                  <c:v>2021/22</c:v>
                </c:pt>
                <c:pt idx="3">
                  <c:v>2022/23</c:v>
                </c:pt>
                <c:pt idx="4">
                  <c:v>2023/24</c:v>
                </c:pt>
              </c:strCache>
            </c:strRef>
          </c:cat>
          <c:val>
            <c:numRef>
              <c:f>New_Ceased_LAC!$AR$209:$AV$209</c:f>
              <c:numCache>
                <c:formatCode>0.0%</c:formatCode>
                <c:ptCount val="5"/>
                <c:pt idx="0">
                  <c:v>4.3269230769230768E-2</c:v>
                </c:pt>
                <c:pt idx="1">
                  <c:v>2.9668411867364748E-2</c:v>
                </c:pt>
                <c:pt idx="2">
                  <c:v>4.1366906474820143E-2</c:v>
                </c:pt>
                <c:pt idx="3">
                  <c:v>1.6339869281045753E-2</c:v>
                </c:pt>
                <c:pt idx="4">
                  <c:v>3.7441497659906398E-2</c:v>
                </c:pt>
              </c:numCache>
            </c:numRef>
          </c:val>
          <c:smooth val="0"/>
          <c:extLst>
            <c:ext xmlns:c16="http://schemas.microsoft.com/office/drawing/2014/chart" uri="{C3380CC4-5D6E-409C-BE32-E72D297353CC}">
              <c16:uniqueId val="{00000005-4123-4D68-AA18-D47D67948ED6}"/>
            </c:ext>
          </c:extLst>
        </c:ser>
        <c:ser>
          <c:idx val="10"/>
          <c:order val="5"/>
          <c:tx>
            <c:strRef>
              <c:f>New_Ceased_LAC!$AK$210</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New_Ceased_LAC!$AR$204:$AV$204</c:f>
              <c:strCache>
                <c:ptCount val="5"/>
                <c:pt idx="0">
                  <c:v>2019/20</c:v>
                </c:pt>
                <c:pt idx="1">
                  <c:v>2020/21</c:v>
                </c:pt>
                <c:pt idx="2">
                  <c:v>2021/22</c:v>
                </c:pt>
                <c:pt idx="3">
                  <c:v>2022/23</c:v>
                </c:pt>
                <c:pt idx="4">
                  <c:v>2023/24</c:v>
                </c:pt>
              </c:strCache>
            </c:strRef>
          </c:cat>
          <c:val>
            <c:numRef>
              <c:f>New_Ceased_LAC!$AR$210:$AV$210</c:f>
              <c:numCache>
                <c:formatCode>0.0%</c:formatCode>
                <c:ptCount val="5"/>
                <c:pt idx="0">
                  <c:v>#N/A</c:v>
                </c:pt>
                <c:pt idx="1">
                  <c:v>9.2307692307692313E-2</c:v>
                </c:pt>
                <c:pt idx="2">
                  <c:v>0.10112359550561797</c:v>
                </c:pt>
                <c:pt idx="3">
                  <c:v>#N/A</c:v>
                </c:pt>
                <c:pt idx="4">
                  <c:v>#N/A</c:v>
                </c:pt>
              </c:numCache>
            </c:numRef>
          </c:val>
          <c:smooth val="0"/>
          <c:extLst>
            <c:ext xmlns:c16="http://schemas.microsoft.com/office/drawing/2014/chart" uri="{C3380CC4-5D6E-409C-BE32-E72D297353CC}">
              <c16:uniqueId val="{00000006-4123-4D68-AA18-D47D67948ED6}"/>
            </c:ext>
          </c:extLst>
        </c:ser>
        <c:ser>
          <c:idx val="11"/>
          <c:order val="6"/>
          <c:tx>
            <c:strRef>
              <c:f>New_Ceased_LAC!$AK$211</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New_Ceased_LAC!$AR$204:$AV$204</c:f>
              <c:strCache>
                <c:ptCount val="5"/>
                <c:pt idx="0">
                  <c:v>2019/20</c:v>
                </c:pt>
                <c:pt idx="1">
                  <c:v>2020/21</c:v>
                </c:pt>
                <c:pt idx="2">
                  <c:v>2021/22</c:v>
                </c:pt>
                <c:pt idx="3">
                  <c:v>2022/23</c:v>
                </c:pt>
                <c:pt idx="4">
                  <c:v>2023/24</c:v>
                </c:pt>
              </c:strCache>
            </c:strRef>
          </c:cat>
          <c:val>
            <c:numRef>
              <c:f>New_Ceased_LAC!$AR$211:$AV$211</c:f>
              <c:numCache>
                <c:formatCode>0.0%</c:formatCode>
                <c:ptCount val="5"/>
                <c:pt idx="0">
                  <c:v>2.4390243902439025E-2</c:v>
                </c:pt>
                <c:pt idx="1">
                  <c:v>#N/A</c:v>
                </c:pt>
                <c:pt idx="2">
                  <c:v>5.0215208034433282E-3</c:v>
                </c:pt>
                <c:pt idx="3">
                  <c:v>8.5836909871244635E-3</c:v>
                </c:pt>
                <c:pt idx="4">
                  <c:v>1.0968921389396709E-2</c:v>
                </c:pt>
              </c:numCache>
            </c:numRef>
          </c:val>
          <c:smooth val="0"/>
          <c:extLst>
            <c:ext xmlns:c16="http://schemas.microsoft.com/office/drawing/2014/chart" uri="{C3380CC4-5D6E-409C-BE32-E72D297353CC}">
              <c16:uniqueId val="{00000007-4123-4D68-AA18-D47D67948ED6}"/>
            </c:ext>
          </c:extLst>
        </c:ser>
        <c:ser>
          <c:idx val="12"/>
          <c:order val="7"/>
          <c:tx>
            <c:strRef>
              <c:f>New_Ceased_LAC!$AK$212</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New_Ceased_LAC!$AR$204:$AV$204</c:f>
              <c:strCache>
                <c:ptCount val="5"/>
                <c:pt idx="0">
                  <c:v>2019/20</c:v>
                </c:pt>
                <c:pt idx="1">
                  <c:v>2020/21</c:v>
                </c:pt>
                <c:pt idx="2">
                  <c:v>2021/22</c:v>
                </c:pt>
                <c:pt idx="3">
                  <c:v>2022/23</c:v>
                </c:pt>
                <c:pt idx="4">
                  <c:v>2023/24</c:v>
                </c:pt>
              </c:strCache>
            </c:strRef>
          </c:cat>
          <c:val>
            <c:numRef>
              <c:f>New_Ceased_LAC!$AR$212:$AV$212</c:f>
              <c:numCache>
                <c:formatCode>0.0%</c:formatCode>
                <c:ptCount val="5"/>
                <c:pt idx="0">
                  <c:v>7.7777777777777779E-2</c:v>
                </c:pt>
                <c:pt idx="1">
                  <c:v>0</c:v>
                </c:pt>
                <c:pt idx="2">
                  <c:v>#N/A</c:v>
                </c:pt>
                <c:pt idx="3">
                  <c:v>5.4421768707482991E-2</c:v>
                </c:pt>
                <c:pt idx="4">
                  <c:v>3.2432432432432434E-2</c:v>
                </c:pt>
              </c:numCache>
            </c:numRef>
          </c:val>
          <c:smooth val="0"/>
          <c:extLst>
            <c:ext xmlns:c16="http://schemas.microsoft.com/office/drawing/2014/chart" uri="{C3380CC4-5D6E-409C-BE32-E72D297353CC}">
              <c16:uniqueId val="{00000008-4123-4D68-AA18-D47D67948ED6}"/>
            </c:ext>
          </c:extLst>
        </c:ser>
        <c:ser>
          <c:idx val="13"/>
          <c:order val="8"/>
          <c:tx>
            <c:strRef>
              <c:f>New_Ceased_LAC!$AK$213</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New_Ceased_LAC!$AR$204:$AV$204</c:f>
              <c:strCache>
                <c:ptCount val="5"/>
                <c:pt idx="0">
                  <c:v>2019/20</c:v>
                </c:pt>
                <c:pt idx="1">
                  <c:v>2020/21</c:v>
                </c:pt>
                <c:pt idx="2">
                  <c:v>2021/22</c:v>
                </c:pt>
                <c:pt idx="3">
                  <c:v>2022/23</c:v>
                </c:pt>
                <c:pt idx="4">
                  <c:v>2023/24</c:v>
                </c:pt>
              </c:strCache>
            </c:strRef>
          </c:cat>
          <c:val>
            <c:numRef>
              <c:f>New_Ceased_LAC!$AR$213:$AV$213</c:f>
              <c:numCache>
                <c:formatCode>0.0%</c:formatCode>
                <c:ptCount val="5"/>
                <c:pt idx="0">
                  <c:v>6.0810810810810814E-2</c:v>
                </c:pt>
                <c:pt idx="1">
                  <c:v>#N/A</c:v>
                </c:pt>
                <c:pt idx="2">
                  <c:v>#N/A</c:v>
                </c:pt>
                <c:pt idx="3">
                  <c:v>#N/A</c:v>
                </c:pt>
                <c:pt idx="4">
                  <c:v>#N/A</c:v>
                </c:pt>
              </c:numCache>
            </c:numRef>
          </c:val>
          <c:smooth val="0"/>
          <c:extLst>
            <c:ext xmlns:c16="http://schemas.microsoft.com/office/drawing/2014/chart" uri="{C3380CC4-5D6E-409C-BE32-E72D297353CC}">
              <c16:uniqueId val="{00000009-4123-4D68-AA18-D47D67948ED6}"/>
            </c:ext>
          </c:extLst>
        </c:ser>
        <c:ser>
          <c:idx val="15"/>
          <c:order val="9"/>
          <c:tx>
            <c:strRef>
              <c:f>New_Ceased_LAC!$AK$214</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New_Ceased_LAC!$AR$204:$AV$204</c:f>
              <c:strCache>
                <c:ptCount val="5"/>
                <c:pt idx="0">
                  <c:v>2019/20</c:v>
                </c:pt>
                <c:pt idx="1">
                  <c:v>2020/21</c:v>
                </c:pt>
                <c:pt idx="2">
                  <c:v>2021/22</c:v>
                </c:pt>
                <c:pt idx="3">
                  <c:v>2022/23</c:v>
                </c:pt>
                <c:pt idx="4">
                  <c:v>2023/24</c:v>
                </c:pt>
              </c:strCache>
            </c:strRef>
          </c:cat>
          <c:val>
            <c:numRef>
              <c:f>New_Ceased_LAC!$AR$214:$AV$214</c:f>
              <c:numCache>
                <c:formatCode>0.0%</c:formatCode>
                <c:ptCount val="5"/>
                <c:pt idx="0">
                  <c:v>5.2795031055900624E-2</c:v>
                </c:pt>
                <c:pt idx="1">
                  <c:v>0.10071942446043165</c:v>
                </c:pt>
                <c:pt idx="2">
                  <c:v>5.3511705685618728E-2</c:v>
                </c:pt>
                <c:pt idx="3">
                  <c:v>#N/A</c:v>
                </c:pt>
                <c:pt idx="4">
                  <c:v>6.2686567164179099E-2</c:v>
                </c:pt>
              </c:numCache>
            </c:numRef>
          </c:val>
          <c:smooth val="0"/>
          <c:extLst>
            <c:ext xmlns:c16="http://schemas.microsoft.com/office/drawing/2014/chart" uri="{C3380CC4-5D6E-409C-BE32-E72D297353CC}">
              <c16:uniqueId val="{0000000A-4123-4D68-AA18-D47D67948ED6}"/>
            </c:ext>
          </c:extLst>
        </c:ser>
        <c:ser>
          <c:idx val="16"/>
          <c:order val="10"/>
          <c:tx>
            <c:strRef>
              <c:f>New_Ceased_LAC!$AK$215</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New_Ceased_LAC!$AR$204:$AV$204</c:f>
              <c:strCache>
                <c:ptCount val="5"/>
                <c:pt idx="0">
                  <c:v>2019/20</c:v>
                </c:pt>
                <c:pt idx="1">
                  <c:v>2020/21</c:v>
                </c:pt>
                <c:pt idx="2">
                  <c:v>2021/22</c:v>
                </c:pt>
                <c:pt idx="3">
                  <c:v>2022/23</c:v>
                </c:pt>
                <c:pt idx="4">
                  <c:v>2023/24</c:v>
                </c:pt>
              </c:strCache>
            </c:strRef>
          </c:cat>
          <c:val>
            <c:numRef>
              <c:f>New_Ceased_LAC!$AR$215:$AV$215</c:f>
              <c:numCache>
                <c:formatCode>0.0%</c:formatCode>
                <c:ptCount val="5"/>
                <c:pt idx="0">
                  <c:v>#N/A</c:v>
                </c:pt>
                <c:pt idx="1">
                  <c:v>5.5555555555555552E-2</c:v>
                </c:pt>
                <c:pt idx="2">
                  <c:v>#N/A</c:v>
                </c:pt>
                <c:pt idx="3">
                  <c:v>8.2802547770700632E-2</c:v>
                </c:pt>
                <c:pt idx="4">
                  <c:v>6.4102564102564097E-2</c:v>
                </c:pt>
              </c:numCache>
            </c:numRef>
          </c:val>
          <c:smooth val="0"/>
          <c:extLst>
            <c:ext xmlns:c16="http://schemas.microsoft.com/office/drawing/2014/chart" uri="{C3380CC4-5D6E-409C-BE32-E72D297353CC}">
              <c16:uniqueId val="{0000000B-4123-4D68-AA18-D47D67948ED6}"/>
            </c:ext>
          </c:extLst>
        </c:ser>
        <c:ser>
          <c:idx val="17"/>
          <c:order val="11"/>
          <c:tx>
            <c:strRef>
              <c:f>New_Ceased_LAC!$AK$216</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New_Ceased_LAC!$AR$204:$AV$204</c:f>
              <c:strCache>
                <c:ptCount val="5"/>
                <c:pt idx="0">
                  <c:v>2019/20</c:v>
                </c:pt>
                <c:pt idx="1">
                  <c:v>2020/21</c:v>
                </c:pt>
                <c:pt idx="2">
                  <c:v>2021/22</c:v>
                </c:pt>
                <c:pt idx="3">
                  <c:v>2022/23</c:v>
                </c:pt>
                <c:pt idx="4">
                  <c:v>2023/24</c:v>
                </c:pt>
              </c:strCache>
            </c:strRef>
          </c:cat>
          <c:val>
            <c:numRef>
              <c:f>New_Ceased_LAC!$AR$216:$AV$216</c:f>
              <c:numCache>
                <c:formatCode>0.0%</c:formatCode>
                <c:ptCount val="5"/>
                <c:pt idx="0">
                  <c:v>0</c:v>
                </c:pt>
                <c:pt idx="1">
                  <c:v>0</c:v>
                </c:pt>
                <c:pt idx="2">
                  <c:v>0</c:v>
                </c:pt>
                <c:pt idx="3">
                  <c:v>#N/A</c:v>
                </c:pt>
                <c:pt idx="4">
                  <c:v>0</c:v>
                </c:pt>
              </c:numCache>
            </c:numRef>
          </c:val>
          <c:smooth val="0"/>
          <c:extLst>
            <c:ext xmlns:c16="http://schemas.microsoft.com/office/drawing/2014/chart" uri="{C3380CC4-5D6E-409C-BE32-E72D297353CC}">
              <c16:uniqueId val="{0000000C-4123-4D68-AA18-D47D67948ED6}"/>
            </c:ext>
          </c:extLst>
        </c:ser>
        <c:ser>
          <c:idx val="19"/>
          <c:order val="12"/>
          <c:tx>
            <c:strRef>
              <c:f>New_Ceased_LAC!$AK$217</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New_Ceased_LAC!$AR$204:$AV$204</c:f>
              <c:strCache>
                <c:ptCount val="5"/>
                <c:pt idx="0">
                  <c:v>2019/20</c:v>
                </c:pt>
                <c:pt idx="1">
                  <c:v>2020/21</c:v>
                </c:pt>
                <c:pt idx="2">
                  <c:v>2021/22</c:v>
                </c:pt>
                <c:pt idx="3">
                  <c:v>2022/23</c:v>
                </c:pt>
                <c:pt idx="4">
                  <c:v>2023/24</c:v>
                </c:pt>
              </c:strCache>
            </c:strRef>
          </c:cat>
          <c:val>
            <c:numRef>
              <c:f>New_Ceased_LAC!$AR$217:$AV$217</c:f>
              <c:numCache>
                <c:formatCode>0.0%</c:formatCode>
                <c:ptCount val="5"/>
                <c:pt idx="0">
                  <c:v>#N/A</c:v>
                </c:pt>
                <c:pt idx="1">
                  <c:v>0</c:v>
                </c:pt>
                <c:pt idx="2">
                  <c:v>0</c:v>
                </c:pt>
                <c:pt idx="3">
                  <c:v>#N/A</c:v>
                </c:pt>
                <c:pt idx="4">
                  <c:v>6.4516129032258063E-2</c:v>
                </c:pt>
              </c:numCache>
            </c:numRef>
          </c:val>
          <c:smooth val="0"/>
          <c:extLst>
            <c:ext xmlns:c16="http://schemas.microsoft.com/office/drawing/2014/chart" uri="{C3380CC4-5D6E-409C-BE32-E72D297353CC}">
              <c16:uniqueId val="{0000000D-4123-4D68-AA18-D47D67948ED6}"/>
            </c:ext>
          </c:extLst>
        </c:ser>
        <c:ser>
          <c:idx val="20"/>
          <c:order val="13"/>
          <c:tx>
            <c:strRef>
              <c:f>New_Ceased_LAC!$AK$218</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New_Ceased_LAC!$AR$204:$AV$204</c:f>
              <c:strCache>
                <c:ptCount val="5"/>
                <c:pt idx="0">
                  <c:v>2019/20</c:v>
                </c:pt>
                <c:pt idx="1">
                  <c:v>2020/21</c:v>
                </c:pt>
                <c:pt idx="2">
                  <c:v>2021/22</c:v>
                </c:pt>
                <c:pt idx="3">
                  <c:v>2022/23</c:v>
                </c:pt>
                <c:pt idx="4">
                  <c:v>2023/24</c:v>
                </c:pt>
              </c:strCache>
            </c:strRef>
          </c:cat>
          <c:val>
            <c:numRef>
              <c:f>New_Ceased_LAC!$AR$218:$AV$218</c:f>
              <c:numCache>
                <c:formatCode>0.0%</c:formatCode>
                <c:ptCount val="5"/>
                <c:pt idx="0">
                  <c:v>0.10552763819095477</c:v>
                </c:pt>
                <c:pt idx="1">
                  <c:v>6.5573770491803282E-2</c:v>
                </c:pt>
                <c:pt idx="2">
                  <c:v>9.580838323353294E-2</c:v>
                </c:pt>
                <c:pt idx="3">
                  <c:v>6.8807339449541288E-2</c:v>
                </c:pt>
                <c:pt idx="4">
                  <c:v>3.2710280373831772E-2</c:v>
                </c:pt>
              </c:numCache>
            </c:numRef>
          </c:val>
          <c:smooth val="0"/>
          <c:extLst>
            <c:ext xmlns:c16="http://schemas.microsoft.com/office/drawing/2014/chart" uri="{C3380CC4-5D6E-409C-BE32-E72D297353CC}">
              <c16:uniqueId val="{0000000F-4123-4D68-AA18-D47D67948ED6}"/>
            </c:ext>
          </c:extLst>
        </c:ser>
        <c:ser>
          <c:idx val="22"/>
          <c:order val="14"/>
          <c:tx>
            <c:strRef>
              <c:f>New_Ceased_LAC!$AK$219</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New_Ceased_LAC!$AR$204:$AV$204</c:f>
              <c:strCache>
                <c:ptCount val="5"/>
                <c:pt idx="0">
                  <c:v>2019/20</c:v>
                </c:pt>
                <c:pt idx="1">
                  <c:v>2020/21</c:v>
                </c:pt>
                <c:pt idx="2">
                  <c:v>2021/22</c:v>
                </c:pt>
                <c:pt idx="3">
                  <c:v>2022/23</c:v>
                </c:pt>
                <c:pt idx="4">
                  <c:v>2023/24</c:v>
                </c:pt>
              </c:strCache>
            </c:strRef>
          </c:cat>
          <c:val>
            <c:numRef>
              <c:f>New_Ceased_LAC!$AR$219:$AV$219</c:f>
              <c:numCache>
                <c:formatCode>0.0%</c:formatCode>
                <c:ptCount val="5"/>
                <c:pt idx="0">
                  <c:v>2.7397260273972601E-2</c:v>
                </c:pt>
                <c:pt idx="1">
                  <c:v>#N/A</c:v>
                </c:pt>
                <c:pt idx="2">
                  <c:v>2.75E-2</c:v>
                </c:pt>
                <c:pt idx="3">
                  <c:v>2.1377672209026127E-2</c:v>
                </c:pt>
                <c:pt idx="4">
                  <c:v>1.6706443914081145E-2</c:v>
                </c:pt>
              </c:numCache>
            </c:numRef>
          </c:val>
          <c:smooth val="0"/>
          <c:extLst>
            <c:ext xmlns:c16="http://schemas.microsoft.com/office/drawing/2014/chart" uri="{C3380CC4-5D6E-409C-BE32-E72D297353CC}">
              <c16:uniqueId val="{00000010-4123-4D68-AA18-D47D67948ED6}"/>
            </c:ext>
          </c:extLst>
        </c:ser>
        <c:ser>
          <c:idx val="23"/>
          <c:order val="15"/>
          <c:tx>
            <c:strRef>
              <c:f>New_Ceased_LAC!$AK$220</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New_Ceased_LAC!$AR$204:$AV$204</c:f>
              <c:strCache>
                <c:ptCount val="5"/>
                <c:pt idx="0">
                  <c:v>2019/20</c:v>
                </c:pt>
                <c:pt idx="1">
                  <c:v>2020/21</c:v>
                </c:pt>
                <c:pt idx="2">
                  <c:v>2021/22</c:v>
                </c:pt>
                <c:pt idx="3">
                  <c:v>2022/23</c:v>
                </c:pt>
                <c:pt idx="4">
                  <c:v>2023/24</c:v>
                </c:pt>
              </c:strCache>
            </c:strRef>
          </c:cat>
          <c:val>
            <c:numRef>
              <c:f>New_Ceased_LAC!$AR$220:$AV$220</c:f>
              <c:numCache>
                <c:formatCode>0.0%</c:formatCode>
                <c:ptCount val="5"/>
                <c:pt idx="0">
                  <c:v>#N/A</c:v>
                </c:pt>
                <c:pt idx="1">
                  <c:v>0</c:v>
                </c:pt>
                <c:pt idx="2">
                  <c:v>0</c:v>
                </c:pt>
                <c:pt idx="3">
                  <c:v>#N/A</c:v>
                </c:pt>
                <c:pt idx="4">
                  <c:v>#N/A</c:v>
                </c:pt>
              </c:numCache>
            </c:numRef>
          </c:val>
          <c:smooth val="0"/>
          <c:extLst>
            <c:ext xmlns:c16="http://schemas.microsoft.com/office/drawing/2014/chart" uri="{C3380CC4-5D6E-409C-BE32-E72D297353CC}">
              <c16:uniqueId val="{00000012-4123-4D68-AA18-D47D67948ED6}"/>
            </c:ext>
          </c:extLst>
        </c:ser>
        <c:ser>
          <c:idx val="24"/>
          <c:order val="16"/>
          <c:tx>
            <c:strRef>
              <c:f>New_Ceased_LAC!$AK$221</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New_Ceased_LAC!$AR$204:$AV$204</c:f>
              <c:strCache>
                <c:ptCount val="5"/>
                <c:pt idx="0">
                  <c:v>2019/20</c:v>
                </c:pt>
                <c:pt idx="1">
                  <c:v>2020/21</c:v>
                </c:pt>
                <c:pt idx="2">
                  <c:v>2021/22</c:v>
                </c:pt>
                <c:pt idx="3">
                  <c:v>2022/23</c:v>
                </c:pt>
                <c:pt idx="4">
                  <c:v>2023/24</c:v>
                </c:pt>
              </c:strCache>
            </c:strRef>
          </c:cat>
          <c:val>
            <c:numRef>
              <c:f>New_Ceased_LAC!$AR$221:$AV$221</c:f>
              <c:numCache>
                <c:formatCode>0.0%</c:formatCode>
                <c:ptCount val="5"/>
                <c:pt idx="0">
                  <c:v>#N/A</c:v>
                </c:pt>
                <c:pt idx="1">
                  <c:v>4.4041450777202069E-2</c:v>
                </c:pt>
                <c:pt idx="2">
                  <c:v>8.3150984682713341E-2</c:v>
                </c:pt>
                <c:pt idx="3">
                  <c:v>3.4482758620689655E-2</c:v>
                </c:pt>
                <c:pt idx="4">
                  <c:v>#N/A</c:v>
                </c:pt>
              </c:numCache>
            </c:numRef>
          </c:val>
          <c:smooth val="0"/>
          <c:extLst>
            <c:ext xmlns:c16="http://schemas.microsoft.com/office/drawing/2014/chart" uri="{C3380CC4-5D6E-409C-BE32-E72D297353CC}">
              <c16:uniqueId val="{00000013-4123-4D68-AA18-D47D67948ED6}"/>
            </c:ext>
          </c:extLst>
        </c:ser>
        <c:ser>
          <c:idx val="25"/>
          <c:order val="17"/>
          <c:tx>
            <c:strRef>
              <c:f>New_Ceased_LAC!$AK$222</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New_Ceased_LAC!$AR$204:$AV$204</c:f>
              <c:strCache>
                <c:ptCount val="5"/>
                <c:pt idx="0">
                  <c:v>2019/20</c:v>
                </c:pt>
                <c:pt idx="1">
                  <c:v>2020/21</c:v>
                </c:pt>
                <c:pt idx="2">
                  <c:v>2021/22</c:v>
                </c:pt>
                <c:pt idx="3">
                  <c:v>2022/23</c:v>
                </c:pt>
                <c:pt idx="4">
                  <c:v>2023/24</c:v>
                </c:pt>
              </c:strCache>
            </c:strRef>
          </c:cat>
          <c:val>
            <c:numRef>
              <c:f>New_Ceased_LAC!$AR$222:$AV$222</c:f>
              <c:numCache>
                <c:formatCode>0.0%</c:formatCode>
                <c:ptCount val="5"/>
                <c:pt idx="0">
                  <c:v>#N/A</c:v>
                </c:pt>
                <c:pt idx="1">
                  <c:v>#N/A</c:v>
                </c:pt>
                <c:pt idx="2">
                  <c:v>0.12244897959183673</c:v>
                </c:pt>
                <c:pt idx="3">
                  <c:v>#N/A</c:v>
                </c:pt>
                <c:pt idx="4">
                  <c:v>#N/A</c:v>
                </c:pt>
              </c:numCache>
            </c:numRef>
          </c:val>
          <c:smooth val="0"/>
          <c:extLst>
            <c:ext xmlns:c16="http://schemas.microsoft.com/office/drawing/2014/chart" uri="{C3380CC4-5D6E-409C-BE32-E72D297353CC}">
              <c16:uniqueId val="{00000014-4123-4D68-AA18-D47D67948ED6}"/>
            </c:ext>
          </c:extLst>
        </c:ser>
        <c:ser>
          <c:idx val="26"/>
          <c:order val="18"/>
          <c:tx>
            <c:strRef>
              <c:f>New_Ceased_LAC!$AK$223</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New_Ceased_LAC!$AR$204:$AV$204</c:f>
              <c:strCache>
                <c:ptCount val="5"/>
                <c:pt idx="0">
                  <c:v>2019/20</c:v>
                </c:pt>
                <c:pt idx="1">
                  <c:v>2020/21</c:v>
                </c:pt>
                <c:pt idx="2">
                  <c:v>2021/22</c:v>
                </c:pt>
                <c:pt idx="3">
                  <c:v>2022/23</c:v>
                </c:pt>
                <c:pt idx="4">
                  <c:v>2023/24</c:v>
                </c:pt>
              </c:strCache>
            </c:strRef>
          </c:cat>
          <c:val>
            <c:numRef>
              <c:f>New_Ceased_LAC!$AR$223:$AV$223</c:f>
              <c:numCache>
                <c:formatCode>0.0%</c:formatCode>
                <c:ptCount val="5"/>
                <c:pt idx="0">
                  <c:v>0.10909090909090909</c:v>
                </c:pt>
                <c:pt idx="1">
                  <c:v>#N/A</c:v>
                </c:pt>
                <c:pt idx="2">
                  <c:v>0.10344827586206896</c:v>
                </c:pt>
                <c:pt idx="3">
                  <c:v>0.14925373134328357</c:v>
                </c:pt>
                <c:pt idx="4">
                  <c:v>#N/A</c:v>
                </c:pt>
              </c:numCache>
            </c:numRef>
          </c:val>
          <c:smooth val="0"/>
          <c:extLst>
            <c:ext xmlns:c16="http://schemas.microsoft.com/office/drawing/2014/chart" uri="{C3380CC4-5D6E-409C-BE32-E72D297353CC}">
              <c16:uniqueId val="{00000015-4123-4D68-AA18-D47D67948ED6}"/>
            </c:ext>
          </c:extLst>
        </c:ser>
        <c:ser>
          <c:idx val="4"/>
          <c:order val="19"/>
          <c:tx>
            <c:strRef>
              <c:f>New_Ceased_LAC!$AK$224</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New_Ceased_LAC!$AR$204:$AV$204</c:f>
              <c:strCache>
                <c:ptCount val="5"/>
                <c:pt idx="0">
                  <c:v>2019/20</c:v>
                </c:pt>
                <c:pt idx="1">
                  <c:v>2020/21</c:v>
                </c:pt>
                <c:pt idx="2">
                  <c:v>2021/22</c:v>
                </c:pt>
                <c:pt idx="3">
                  <c:v>2022/23</c:v>
                </c:pt>
                <c:pt idx="4">
                  <c:v>2023/24</c:v>
                </c:pt>
              </c:strCache>
            </c:strRef>
          </c:cat>
          <c:val>
            <c:numRef>
              <c:f>New_Ceased_LAC!$AR$224:$AV$224</c:f>
              <c:numCache>
                <c:formatCode>0.0%</c:formatCode>
                <c:ptCount val="5"/>
                <c:pt idx="0">
                  <c:v>3.7558685446009391E-2</c:v>
                </c:pt>
                <c:pt idx="1">
                  <c:v>2.6966292134831461E-2</c:v>
                </c:pt>
                <c:pt idx="2">
                  <c:v>3.1185031185031187E-2</c:v>
                </c:pt>
                <c:pt idx="3">
                  <c:v>2.4904214559386972E-2</c:v>
                </c:pt>
                <c:pt idx="4">
                  <c:v>2.1806853582554516E-2</c:v>
                </c:pt>
              </c:numCache>
            </c:numRef>
          </c:val>
          <c:smooth val="0"/>
          <c:extLst>
            <c:ext xmlns:c16="http://schemas.microsoft.com/office/drawing/2014/chart" uri="{C3380CC4-5D6E-409C-BE32-E72D297353CC}">
              <c16:uniqueId val="{00000016-4123-4D68-AA18-D47D67948ED6}"/>
            </c:ext>
          </c:extLst>
        </c:ser>
        <c:ser>
          <c:idx val="14"/>
          <c:order val="20"/>
          <c:tx>
            <c:strRef>
              <c:f>New_Ceased_LAC!$AK$225</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New_Ceased_LAC!$AR$204:$AV$204</c:f>
              <c:strCache>
                <c:ptCount val="5"/>
                <c:pt idx="0">
                  <c:v>2019/20</c:v>
                </c:pt>
                <c:pt idx="1">
                  <c:v>2020/21</c:v>
                </c:pt>
                <c:pt idx="2">
                  <c:v>2021/22</c:v>
                </c:pt>
                <c:pt idx="3">
                  <c:v>2022/23</c:v>
                </c:pt>
                <c:pt idx="4">
                  <c:v>2023/24</c:v>
                </c:pt>
              </c:strCache>
            </c:strRef>
          </c:cat>
          <c:val>
            <c:numRef>
              <c:f>New_Ceased_LAC!$AR$225:$AV$225</c:f>
              <c:numCache>
                <c:formatCode>0.0%</c:formatCode>
                <c:ptCount val="5"/>
                <c:pt idx="0">
                  <c:v>3.9202433254477864E-2</c:v>
                </c:pt>
                <c:pt idx="1">
                  <c:v>3.7843627275972867E-2</c:v>
                </c:pt>
                <c:pt idx="2">
                  <c:v>3.9241769205187897E-2</c:v>
                </c:pt>
                <c:pt idx="3">
                  <c:v>3.5037878787878785E-2</c:v>
                </c:pt>
                <c:pt idx="4">
                  <c:v>3.4205829863176683E-2</c:v>
                </c:pt>
              </c:numCache>
            </c:numRef>
          </c:val>
          <c:smooth val="0"/>
          <c:extLst>
            <c:ext xmlns:c16="http://schemas.microsoft.com/office/drawing/2014/chart" uri="{C3380CC4-5D6E-409C-BE32-E72D297353CC}">
              <c16:uniqueId val="{00000017-4123-4D68-AA18-D47D67948ED6}"/>
            </c:ext>
          </c:extLst>
        </c:ser>
        <c:ser>
          <c:idx val="3"/>
          <c:order val="21"/>
          <c:tx>
            <c:strRef>
              <c:f>New_Ceased_LAC!$AK$226</c:f>
              <c:strCache>
                <c:ptCount val="1"/>
                <c:pt idx="0">
                  <c:v>Selected LA- (none)</c:v>
                </c:pt>
              </c:strCache>
            </c:strRef>
          </c:tx>
          <c:spPr>
            <a:ln>
              <a:solidFill>
                <a:schemeClr val="tx1">
                  <a:lumMod val="75000"/>
                  <a:lumOff val="25000"/>
                </a:schemeClr>
              </a:solidFill>
            </a:ln>
          </c:spPr>
          <c:marker>
            <c:symbol val="circle"/>
            <c:size val="7"/>
            <c:spPr>
              <a:solidFill>
                <a:srgbClr val="66FF99"/>
              </a:solidFill>
              <a:ln>
                <a:solidFill>
                  <a:schemeClr val="tx1">
                    <a:lumMod val="75000"/>
                    <a:lumOff val="25000"/>
                  </a:schemeClr>
                </a:solidFill>
              </a:ln>
            </c:spPr>
          </c:marker>
          <c:cat>
            <c:strRef>
              <c:f>New_Ceased_LAC!$AR$204:$AV$204</c:f>
              <c:strCache>
                <c:ptCount val="5"/>
                <c:pt idx="0">
                  <c:v>2019/20</c:v>
                </c:pt>
                <c:pt idx="1">
                  <c:v>2020/21</c:v>
                </c:pt>
                <c:pt idx="2">
                  <c:v>2021/22</c:v>
                </c:pt>
                <c:pt idx="3">
                  <c:v>2022/23</c:v>
                </c:pt>
                <c:pt idx="4">
                  <c:v>2023/24</c:v>
                </c:pt>
              </c:strCache>
            </c:strRef>
          </c:cat>
          <c:val>
            <c:numRef>
              <c:f>New_Ceased_LAC!$AR$226:$AV$226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0880-4DF9-BE92-3D851786E261}"/>
            </c:ext>
          </c:extLst>
        </c:ser>
        <c:dLbls>
          <c:showLegendKey val="0"/>
          <c:showVal val="0"/>
          <c:showCatName val="0"/>
          <c:showSerName val="0"/>
          <c:showPercent val="0"/>
          <c:showBubbleSize val="0"/>
        </c:dLbls>
        <c:marker val="1"/>
        <c:smooth val="0"/>
        <c:axId val="641730432"/>
        <c:axId val="641736704"/>
      </c:lineChart>
      <c:catAx>
        <c:axId val="641730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41736704"/>
        <c:crosses val="autoZero"/>
        <c:auto val="1"/>
        <c:lblAlgn val="ctr"/>
        <c:lblOffset val="100"/>
        <c:tickLblSkip val="1"/>
        <c:tickMarkSkip val="1"/>
        <c:noMultiLvlLbl val="0"/>
      </c:catAx>
      <c:valAx>
        <c:axId val="641736704"/>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4173043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454732510288"/>
          <c:h val="0.909580254702368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LAC to </a:t>
            </a:r>
            <a:r>
              <a:rPr lang="en-GB" sz="1100" baseline="0"/>
              <a:t>SGO</a:t>
            </a:r>
            <a:endParaRPr lang="en-GB" sz="1100"/>
          </a:p>
          <a:p>
            <a:pPr>
              <a:defRPr sz="1100" b="1" i="0" u="none" strike="noStrike" baseline="0">
                <a:solidFill>
                  <a:srgbClr val="000000"/>
                </a:solidFill>
                <a:latin typeface="Arial"/>
                <a:ea typeface="Arial"/>
                <a:cs typeface="Arial"/>
              </a:defRPr>
            </a:pPr>
            <a:r>
              <a:rPr lang="en-GB" sz="1100"/>
              <a:t>(Selected LA</a:t>
            </a:r>
            <a:r>
              <a:rPr lang="en-GB" sz="1100" baseline="0"/>
              <a:t> vs. SE &amp; National)</a:t>
            </a:r>
            <a:r>
              <a:rPr lang="en-GB" sz="1100"/>
              <a:t> </a:t>
            </a:r>
          </a:p>
        </c:rich>
      </c:tx>
      <c:layout>
        <c:manualLayout>
          <c:xMode val="edge"/>
          <c:yMode val="edge"/>
          <c:x val="0.20505982905982906"/>
          <c:y val="3.8613923259592556E-3"/>
        </c:manualLayout>
      </c:layout>
      <c:overlay val="0"/>
      <c:spPr>
        <a:noFill/>
        <a:ln w="25400">
          <a:noFill/>
        </a:ln>
      </c:spPr>
    </c:title>
    <c:autoTitleDeleted val="0"/>
    <c:plotArea>
      <c:layout>
        <c:manualLayout>
          <c:layoutTarget val="inner"/>
          <c:xMode val="edge"/>
          <c:yMode val="edge"/>
          <c:x val="9.8666564984461691E-2"/>
          <c:y val="0.2453145706605242"/>
          <c:w val="0.61307086614173223"/>
          <c:h val="0.52492776655962625"/>
        </c:manualLayout>
      </c:layout>
      <c:barChart>
        <c:barDir val="col"/>
        <c:grouping val="clustered"/>
        <c:varyColors val="0"/>
        <c:ser>
          <c:idx val="6"/>
          <c:order val="0"/>
          <c:tx>
            <c:strRef>
              <c:f>New_Ceased_LAC!$Z$4</c:f>
              <c:strCache>
                <c:ptCount val="1"/>
                <c:pt idx="0">
                  <c:v>Selected LA- (none)</c:v>
                </c:pt>
              </c:strCache>
            </c:strRef>
          </c:tx>
          <c:spPr>
            <a:solidFill>
              <a:srgbClr val="66FF99"/>
            </a:solidFill>
            <a:ln>
              <a:solidFill>
                <a:schemeClr val="tx1">
                  <a:lumMod val="75000"/>
                  <a:lumOff val="25000"/>
                </a:schemeClr>
              </a:solidFill>
            </a:ln>
          </c:spPr>
          <c:invertIfNegative val="0"/>
          <c:cat>
            <c:strRef>
              <c:f>Permanence!$Y$2:$AC$3</c:f>
              <c:strCache>
                <c:ptCount val="5"/>
                <c:pt idx="0">
                  <c:v>2019/20</c:v>
                </c:pt>
                <c:pt idx="1">
                  <c:v>2020/21</c:v>
                </c:pt>
                <c:pt idx="2">
                  <c:v>2021/22</c:v>
                </c:pt>
                <c:pt idx="3">
                  <c:v>2022/23</c:v>
                </c:pt>
                <c:pt idx="4">
                  <c:v>2023/24</c:v>
                </c:pt>
              </c:strCache>
            </c:strRef>
          </c:cat>
          <c:val>
            <c:numRef>
              <c:f>New_Ceased_LAC!$AW$226:$BA$226</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66C1-4916-B86B-1FF29934E3CF}"/>
            </c:ext>
          </c:extLst>
        </c:ser>
        <c:ser>
          <c:idx val="4"/>
          <c:order val="1"/>
          <c:tx>
            <c:strRef>
              <c:f>Permanence!$B$196</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Permanence!$Y$2:$AC$3</c:f>
              <c:strCache>
                <c:ptCount val="5"/>
                <c:pt idx="0">
                  <c:v>2019/20</c:v>
                </c:pt>
                <c:pt idx="1">
                  <c:v>2020/21</c:v>
                </c:pt>
                <c:pt idx="2">
                  <c:v>2021/22</c:v>
                </c:pt>
                <c:pt idx="3">
                  <c:v>2022/23</c:v>
                </c:pt>
                <c:pt idx="4">
                  <c:v>2023/24</c:v>
                </c:pt>
              </c:strCache>
            </c:strRef>
          </c:cat>
          <c:val>
            <c:numRef>
              <c:f>New_Ceased_LAC!$D$295:$H$295</c:f>
              <c:numCache>
                <c:formatCode>0%</c:formatCode>
                <c:ptCount val="5"/>
                <c:pt idx="0">
                  <c:v>0.11267605633802817</c:v>
                </c:pt>
                <c:pt idx="1">
                  <c:v>0.10561797752808989</c:v>
                </c:pt>
                <c:pt idx="2">
                  <c:v>9.7713097713097719E-2</c:v>
                </c:pt>
                <c:pt idx="3">
                  <c:v>0.15900383141762453</c:v>
                </c:pt>
                <c:pt idx="4">
                  <c:v>6.6978193146417439E-2</c:v>
                </c:pt>
              </c:numCache>
            </c:numRef>
          </c:val>
          <c:extLst>
            <c:ext xmlns:c16="http://schemas.microsoft.com/office/drawing/2014/chart" uri="{C3380CC4-5D6E-409C-BE32-E72D297353CC}">
              <c16:uniqueId val="{00000001-66C1-4916-B86B-1FF29934E3CF}"/>
            </c:ext>
          </c:extLst>
        </c:ser>
        <c:ser>
          <c:idx val="0"/>
          <c:order val="2"/>
          <c:tx>
            <c:strRef>
              <c:f>Permanence!$B$197</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Permanence!$Y$2:$AC$3</c:f>
              <c:strCache>
                <c:ptCount val="5"/>
                <c:pt idx="0">
                  <c:v>2019/20</c:v>
                </c:pt>
                <c:pt idx="1">
                  <c:v>2020/21</c:v>
                </c:pt>
                <c:pt idx="2">
                  <c:v>2021/22</c:v>
                </c:pt>
                <c:pt idx="3">
                  <c:v>2022/23</c:v>
                </c:pt>
                <c:pt idx="4">
                  <c:v>2023/24</c:v>
                </c:pt>
              </c:strCache>
            </c:strRef>
          </c:cat>
          <c:val>
            <c:numRef>
              <c:f>New_Ceased_LAC!$D$296:$H$296</c:f>
              <c:numCache>
                <c:formatCode>0%</c:formatCode>
                <c:ptCount val="5"/>
                <c:pt idx="0">
                  <c:v>0.1250422440013518</c:v>
                </c:pt>
                <c:pt idx="1">
                  <c:v>0.13566583363084614</c:v>
                </c:pt>
                <c:pt idx="2">
                  <c:v>0.12869970069837047</c:v>
                </c:pt>
                <c:pt idx="3">
                  <c:v>0.24273989898989898</c:v>
                </c:pt>
                <c:pt idx="4">
                  <c:v>0.11481261154074955</c:v>
                </c:pt>
              </c:numCache>
            </c:numRef>
          </c:val>
          <c:extLst>
            <c:ext xmlns:c16="http://schemas.microsoft.com/office/drawing/2014/chart" uri="{C3380CC4-5D6E-409C-BE32-E72D297353CC}">
              <c16:uniqueId val="{00000002-66C1-4916-B86B-1FF29934E3CF}"/>
            </c:ext>
          </c:extLst>
        </c:ser>
        <c:dLbls>
          <c:showLegendKey val="0"/>
          <c:showVal val="0"/>
          <c:showCatName val="0"/>
          <c:showSerName val="0"/>
          <c:showPercent val="0"/>
          <c:showBubbleSize val="0"/>
        </c:dLbls>
        <c:gapWidth val="100"/>
        <c:axId val="641771008"/>
        <c:axId val="641772544"/>
      </c:barChart>
      <c:catAx>
        <c:axId val="641771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41772544"/>
        <c:crosses val="autoZero"/>
        <c:auto val="1"/>
        <c:lblAlgn val="ctr"/>
        <c:lblOffset val="100"/>
        <c:noMultiLvlLbl val="0"/>
      </c:catAx>
      <c:valAx>
        <c:axId val="641772544"/>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41771008"/>
        <c:crosses val="autoZero"/>
        <c:crossBetween val="between"/>
      </c:valAx>
      <c:spPr>
        <a:noFill/>
        <a:ln w="3175">
          <a:solidFill>
            <a:srgbClr val="000000"/>
          </a:solidFill>
          <a:prstDash val="solid"/>
        </a:ln>
      </c:spPr>
    </c:plotArea>
    <c:legend>
      <c:legendPos val="r"/>
      <c:layout>
        <c:manualLayout>
          <c:xMode val="edge"/>
          <c:yMode val="edge"/>
          <c:x val="0.71274706998258885"/>
          <c:y val="0.25120263334582277"/>
          <c:w val="0.2872529300174112"/>
          <c:h val="0.62105293598444933"/>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Children ceasing to be Looked After in year who were </a:t>
            </a:r>
          </a:p>
          <a:p>
            <a:pPr>
              <a:defRPr sz="1100" b="1" i="0" u="none" strike="noStrike" baseline="0">
                <a:solidFill>
                  <a:srgbClr val="000000"/>
                </a:solidFill>
                <a:latin typeface="Arial"/>
                <a:ea typeface="Arial"/>
                <a:cs typeface="Arial"/>
              </a:defRPr>
            </a:pPr>
            <a:r>
              <a:rPr lang="en-GB" sz="1100"/>
              <a:t>granted a Special Guardianship Order (%)</a:t>
            </a:r>
          </a:p>
        </c:rich>
      </c:tx>
      <c:layout>
        <c:manualLayout>
          <c:xMode val="edge"/>
          <c:yMode val="edge"/>
          <c:x val="0.13452495480866447"/>
          <c:y val="1.0301220184467538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50930878282328"/>
        </c:manualLayout>
      </c:layout>
      <c:lineChart>
        <c:grouping val="standard"/>
        <c:varyColors val="0"/>
        <c:ser>
          <c:idx val="0"/>
          <c:order val="0"/>
          <c:tx>
            <c:strRef>
              <c:f>New_Ceased_LAC!$AK$205</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0AC8-4018-B821-560C91EE6C38}"/>
              </c:ext>
            </c:extLst>
          </c:dPt>
          <c:cat>
            <c:strRef>
              <c:f>New_Ceased_LAC!$AW$204:$BA$204</c:f>
              <c:strCache>
                <c:ptCount val="5"/>
                <c:pt idx="0">
                  <c:v>2019/20</c:v>
                </c:pt>
                <c:pt idx="1">
                  <c:v>2020/21</c:v>
                </c:pt>
                <c:pt idx="2">
                  <c:v>2021/22</c:v>
                </c:pt>
                <c:pt idx="3">
                  <c:v>2022/23</c:v>
                </c:pt>
                <c:pt idx="4">
                  <c:v>2023/24</c:v>
                </c:pt>
              </c:strCache>
            </c:strRef>
          </c:cat>
          <c:val>
            <c:numRef>
              <c:f>New_Ceased_LAC!$AW$205:$BA$205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0AC8-4018-B821-560C91EE6C38}"/>
            </c:ext>
          </c:extLst>
        </c:ser>
        <c:ser>
          <c:idx val="1"/>
          <c:order val="1"/>
          <c:tx>
            <c:strRef>
              <c:f>New_Ceased_LAC!$AK$206</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New_Ceased_LAC!$AW$204:$BA$204</c:f>
              <c:strCache>
                <c:ptCount val="5"/>
                <c:pt idx="0">
                  <c:v>2019/20</c:v>
                </c:pt>
                <c:pt idx="1">
                  <c:v>2020/21</c:v>
                </c:pt>
                <c:pt idx="2">
                  <c:v>2021/22</c:v>
                </c:pt>
                <c:pt idx="3">
                  <c:v>2022/23</c:v>
                </c:pt>
                <c:pt idx="4">
                  <c:v>2023/24</c:v>
                </c:pt>
              </c:strCache>
            </c:strRef>
          </c:cat>
          <c:val>
            <c:numRef>
              <c:f>New_Ceased_LAC!$AW$206:$BA$206</c:f>
              <c:numCache>
                <c:formatCode>0.0%</c:formatCode>
                <c:ptCount val="5"/>
                <c:pt idx="0">
                  <c:v>0.16292134831460675</c:v>
                </c:pt>
                <c:pt idx="1">
                  <c:v>0.19607843137254902</c:v>
                </c:pt>
                <c:pt idx="2">
                  <c:v>0.11940298507462686</c:v>
                </c:pt>
                <c:pt idx="3">
                  <c:v>8.5889570552147243E-2</c:v>
                </c:pt>
                <c:pt idx="4">
                  <c:v>0.1037037037037037</c:v>
                </c:pt>
              </c:numCache>
            </c:numRef>
          </c:val>
          <c:smooth val="0"/>
          <c:extLst>
            <c:ext xmlns:c16="http://schemas.microsoft.com/office/drawing/2014/chart" uri="{C3380CC4-5D6E-409C-BE32-E72D297353CC}">
              <c16:uniqueId val="{00000002-0AC8-4018-B821-560C91EE6C38}"/>
            </c:ext>
          </c:extLst>
        </c:ser>
        <c:ser>
          <c:idx val="2"/>
          <c:order val="2"/>
          <c:tx>
            <c:strRef>
              <c:f>New_Ceased_LAC!$AK$207</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New_Ceased_LAC!$AW$204:$BA$204</c:f>
              <c:strCache>
                <c:ptCount val="5"/>
                <c:pt idx="0">
                  <c:v>2019/20</c:v>
                </c:pt>
                <c:pt idx="1">
                  <c:v>2020/21</c:v>
                </c:pt>
                <c:pt idx="2">
                  <c:v>2021/22</c:v>
                </c:pt>
                <c:pt idx="3">
                  <c:v>2022/23</c:v>
                </c:pt>
                <c:pt idx="4">
                  <c:v>2023/24</c:v>
                </c:pt>
              </c:strCache>
            </c:strRef>
          </c:cat>
          <c:val>
            <c:numRef>
              <c:f>New_Ceased_LAC!$AW$207:$BA$207</c:f>
              <c:numCache>
                <c:formatCode>0.0%</c:formatCode>
                <c:ptCount val="5"/>
                <c:pt idx="0">
                  <c:v>7.6595744680851063E-2</c:v>
                </c:pt>
                <c:pt idx="1">
                  <c:v>8.6956521739130432E-2</c:v>
                </c:pt>
                <c:pt idx="2">
                  <c:v>0.12621359223300971</c:v>
                </c:pt>
                <c:pt idx="3">
                  <c:v>7.0351758793969849E-2</c:v>
                </c:pt>
                <c:pt idx="4">
                  <c:v>8.8235294117647065E-2</c:v>
                </c:pt>
              </c:numCache>
            </c:numRef>
          </c:val>
          <c:smooth val="0"/>
          <c:extLst>
            <c:ext xmlns:c16="http://schemas.microsoft.com/office/drawing/2014/chart" uri="{C3380CC4-5D6E-409C-BE32-E72D297353CC}">
              <c16:uniqueId val="{00000003-0AC8-4018-B821-560C91EE6C38}"/>
            </c:ext>
          </c:extLst>
        </c:ser>
        <c:ser>
          <c:idx val="5"/>
          <c:order val="3"/>
          <c:tx>
            <c:strRef>
              <c:f>New_Ceased_LAC!$AK$208</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New_Ceased_LAC!$AW$204:$BA$204</c:f>
              <c:strCache>
                <c:ptCount val="5"/>
                <c:pt idx="0">
                  <c:v>2019/20</c:v>
                </c:pt>
                <c:pt idx="1">
                  <c:v>2020/21</c:v>
                </c:pt>
                <c:pt idx="2">
                  <c:v>2021/22</c:v>
                </c:pt>
                <c:pt idx="3">
                  <c:v>2022/23</c:v>
                </c:pt>
                <c:pt idx="4">
                  <c:v>2023/24</c:v>
                </c:pt>
              </c:strCache>
            </c:strRef>
          </c:cat>
          <c:val>
            <c:numRef>
              <c:f>New_Ceased_LAC!$AW$208:$BA$208</c:f>
              <c:numCache>
                <c:formatCode>0.0%</c:formatCode>
                <c:ptCount val="5"/>
                <c:pt idx="0">
                  <c:v>0.125</c:v>
                </c:pt>
                <c:pt idx="1">
                  <c:v>0.16477272727272727</c:v>
                </c:pt>
                <c:pt idx="2">
                  <c:v>0.16071428571428573</c:v>
                </c:pt>
                <c:pt idx="3">
                  <c:v>0.18779342723004694</c:v>
                </c:pt>
                <c:pt idx="4">
                  <c:v>0.16170212765957448</c:v>
                </c:pt>
              </c:numCache>
            </c:numRef>
          </c:val>
          <c:smooth val="0"/>
          <c:extLst>
            <c:ext xmlns:c16="http://schemas.microsoft.com/office/drawing/2014/chart" uri="{C3380CC4-5D6E-409C-BE32-E72D297353CC}">
              <c16:uniqueId val="{00000004-0AC8-4018-B821-560C91EE6C38}"/>
            </c:ext>
          </c:extLst>
        </c:ser>
        <c:ser>
          <c:idx val="9"/>
          <c:order val="4"/>
          <c:tx>
            <c:strRef>
              <c:f>New_Ceased_LAC!$AK$209</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New_Ceased_LAC!$AW$204:$BA$204</c:f>
              <c:strCache>
                <c:ptCount val="5"/>
                <c:pt idx="0">
                  <c:v>2019/20</c:v>
                </c:pt>
                <c:pt idx="1">
                  <c:v>2020/21</c:v>
                </c:pt>
                <c:pt idx="2">
                  <c:v>2021/22</c:v>
                </c:pt>
                <c:pt idx="3">
                  <c:v>2022/23</c:v>
                </c:pt>
                <c:pt idx="4">
                  <c:v>2023/24</c:v>
                </c:pt>
              </c:strCache>
            </c:strRef>
          </c:cat>
          <c:val>
            <c:numRef>
              <c:f>New_Ceased_LAC!$AW$209:$BA$209</c:f>
              <c:numCache>
                <c:formatCode>0.0%</c:formatCode>
                <c:ptCount val="5"/>
                <c:pt idx="0">
                  <c:v>0.14423076923076922</c:v>
                </c:pt>
                <c:pt idx="1">
                  <c:v>0.13438045375218149</c:v>
                </c:pt>
                <c:pt idx="2">
                  <c:v>0.10971223021582734</c:v>
                </c:pt>
                <c:pt idx="3">
                  <c:v>0.13235294117647059</c:v>
                </c:pt>
                <c:pt idx="4">
                  <c:v>0.11388455538221529</c:v>
                </c:pt>
              </c:numCache>
            </c:numRef>
          </c:val>
          <c:smooth val="0"/>
          <c:extLst>
            <c:ext xmlns:c16="http://schemas.microsoft.com/office/drawing/2014/chart" uri="{C3380CC4-5D6E-409C-BE32-E72D297353CC}">
              <c16:uniqueId val="{00000005-0AC8-4018-B821-560C91EE6C38}"/>
            </c:ext>
          </c:extLst>
        </c:ser>
        <c:ser>
          <c:idx val="10"/>
          <c:order val="5"/>
          <c:tx>
            <c:strRef>
              <c:f>New_Ceased_LAC!$AK$210</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New_Ceased_LAC!$AW$204:$BA$204</c:f>
              <c:strCache>
                <c:ptCount val="5"/>
                <c:pt idx="0">
                  <c:v>2019/20</c:v>
                </c:pt>
                <c:pt idx="1">
                  <c:v>2020/21</c:v>
                </c:pt>
                <c:pt idx="2">
                  <c:v>2021/22</c:v>
                </c:pt>
                <c:pt idx="3">
                  <c:v>2022/23</c:v>
                </c:pt>
                <c:pt idx="4">
                  <c:v>2023/24</c:v>
                </c:pt>
              </c:strCache>
            </c:strRef>
          </c:cat>
          <c:val>
            <c:numRef>
              <c:f>New_Ceased_LAC!$AW$210:$BA$210</c:f>
              <c:numCache>
                <c:formatCode>0.0%</c:formatCode>
                <c:ptCount val="5"/>
                <c:pt idx="0">
                  <c:v>#N/A</c:v>
                </c:pt>
                <c:pt idx="1">
                  <c:v>#N/A</c:v>
                </c:pt>
                <c:pt idx="2">
                  <c:v>0.10112359550561797</c:v>
                </c:pt>
                <c:pt idx="3">
                  <c:v>7.792207792207792E-2</c:v>
                </c:pt>
                <c:pt idx="4">
                  <c:v>#N/A</c:v>
                </c:pt>
              </c:numCache>
            </c:numRef>
          </c:val>
          <c:smooth val="0"/>
          <c:extLst>
            <c:ext xmlns:c16="http://schemas.microsoft.com/office/drawing/2014/chart" uri="{C3380CC4-5D6E-409C-BE32-E72D297353CC}">
              <c16:uniqueId val="{00000006-0AC8-4018-B821-560C91EE6C38}"/>
            </c:ext>
          </c:extLst>
        </c:ser>
        <c:ser>
          <c:idx val="11"/>
          <c:order val="6"/>
          <c:tx>
            <c:strRef>
              <c:f>New_Ceased_LAC!$AK$211</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New_Ceased_LAC!$AW$204:$BA$204</c:f>
              <c:strCache>
                <c:ptCount val="5"/>
                <c:pt idx="0">
                  <c:v>2019/20</c:v>
                </c:pt>
                <c:pt idx="1">
                  <c:v>2020/21</c:v>
                </c:pt>
                <c:pt idx="2">
                  <c:v>2021/22</c:v>
                </c:pt>
                <c:pt idx="3">
                  <c:v>2022/23</c:v>
                </c:pt>
                <c:pt idx="4">
                  <c:v>2023/24</c:v>
                </c:pt>
              </c:strCache>
            </c:strRef>
          </c:cat>
          <c:val>
            <c:numRef>
              <c:f>New_Ceased_LAC!$AW$211:$BA$211</c:f>
              <c:numCache>
                <c:formatCode>0.0%</c:formatCode>
                <c:ptCount val="5"/>
                <c:pt idx="0">
                  <c:v>6.6395663956639567E-2</c:v>
                </c:pt>
                <c:pt idx="1">
                  <c:v>3.1662269129287601E-2</c:v>
                </c:pt>
                <c:pt idx="2">
                  <c:v>2.7977044476327116E-2</c:v>
                </c:pt>
                <c:pt idx="3">
                  <c:v>2.023298589822195E-2</c:v>
                </c:pt>
                <c:pt idx="4">
                  <c:v>1.4259597806215722E-2</c:v>
                </c:pt>
              </c:numCache>
            </c:numRef>
          </c:val>
          <c:smooth val="0"/>
          <c:extLst>
            <c:ext xmlns:c16="http://schemas.microsoft.com/office/drawing/2014/chart" uri="{C3380CC4-5D6E-409C-BE32-E72D297353CC}">
              <c16:uniqueId val="{00000007-0AC8-4018-B821-560C91EE6C38}"/>
            </c:ext>
          </c:extLst>
        </c:ser>
        <c:ser>
          <c:idx val="12"/>
          <c:order val="7"/>
          <c:tx>
            <c:strRef>
              <c:f>New_Ceased_LAC!$AK$212</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New_Ceased_LAC!$AW$204:$BA$204</c:f>
              <c:strCache>
                <c:ptCount val="5"/>
                <c:pt idx="0">
                  <c:v>2019/20</c:v>
                </c:pt>
                <c:pt idx="1">
                  <c:v>2020/21</c:v>
                </c:pt>
                <c:pt idx="2">
                  <c:v>2021/22</c:v>
                </c:pt>
                <c:pt idx="3">
                  <c:v>2022/23</c:v>
                </c:pt>
                <c:pt idx="4">
                  <c:v>2023/24</c:v>
                </c:pt>
              </c:strCache>
            </c:strRef>
          </c:cat>
          <c:val>
            <c:numRef>
              <c:f>New_Ceased_LAC!$AW$212:$BA$212</c:f>
              <c:numCache>
                <c:formatCode>0.0%</c:formatCode>
                <c:ptCount val="5"/>
                <c:pt idx="0">
                  <c:v>0.12777777777777777</c:v>
                </c:pt>
                <c:pt idx="1">
                  <c:v>8.8888888888888892E-2</c:v>
                </c:pt>
                <c:pt idx="2">
                  <c:v>0.16129032258064516</c:v>
                </c:pt>
                <c:pt idx="3">
                  <c:v>7.4829931972789115E-2</c:v>
                </c:pt>
                <c:pt idx="4">
                  <c:v>0.12432432432432433</c:v>
                </c:pt>
              </c:numCache>
            </c:numRef>
          </c:val>
          <c:smooth val="0"/>
          <c:extLst>
            <c:ext xmlns:c16="http://schemas.microsoft.com/office/drawing/2014/chart" uri="{C3380CC4-5D6E-409C-BE32-E72D297353CC}">
              <c16:uniqueId val="{00000008-0AC8-4018-B821-560C91EE6C38}"/>
            </c:ext>
          </c:extLst>
        </c:ser>
        <c:ser>
          <c:idx val="13"/>
          <c:order val="8"/>
          <c:tx>
            <c:strRef>
              <c:f>New_Ceased_LAC!$AK$213</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New_Ceased_LAC!$AW$204:$BA$204</c:f>
              <c:strCache>
                <c:ptCount val="5"/>
                <c:pt idx="0">
                  <c:v>2019/20</c:v>
                </c:pt>
                <c:pt idx="1">
                  <c:v>2020/21</c:v>
                </c:pt>
                <c:pt idx="2">
                  <c:v>2021/22</c:v>
                </c:pt>
                <c:pt idx="3">
                  <c:v>2022/23</c:v>
                </c:pt>
                <c:pt idx="4">
                  <c:v>2023/24</c:v>
                </c:pt>
              </c:strCache>
            </c:strRef>
          </c:cat>
          <c:val>
            <c:numRef>
              <c:f>New_Ceased_LAC!$AW$213:$BA$213</c:f>
              <c:numCache>
                <c:formatCode>0.0%</c:formatCode>
                <c:ptCount val="5"/>
                <c:pt idx="0">
                  <c:v>0.13513513513513514</c:v>
                </c:pt>
                <c:pt idx="1">
                  <c:v>0.25595238095238093</c:v>
                </c:pt>
                <c:pt idx="2">
                  <c:v>0.18716577540106952</c:v>
                </c:pt>
                <c:pt idx="3">
                  <c:v>0.17816091954022989</c:v>
                </c:pt>
                <c:pt idx="4">
                  <c:v>0.18232044198895028</c:v>
                </c:pt>
              </c:numCache>
            </c:numRef>
          </c:val>
          <c:smooth val="0"/>
          <c:extLst>
            <c:ext xmlns:c16="http://schemas.microsoft.com/office/drawing/2014/chart" uri="{C3380CC4-5D6E-409C-BE32-E72D297353CC}">
              <c16:uniqueId val="{00000009-0AC8-4018-B821-560C91EE6C38}"/>
            </c:ext>
          </c:extLst>
        </c:ser>
        <c:ser>
          <c:idx val="15"/>
          <c:order val="9"/>
          <c:tx>
            <c:strRef>
              <c:f>New_Ceased_LAC!$AK$214</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New_Ceased_LAC!$AW$204:$BA$204</c:f>
              <c:strCache>
                <c:ptCount val="5"/>
                <c:pt idx="0">
                  <c:v>2019/20</c:v>
                </c:pt>
                <c:pt idx="1">
                  <c:v>2020/21</c:v>
                </c:pt>
                <c:pt idx="2">
                  <c:v>2021/22</c:v>
                </c:pt>
                <c:pt idx="3">
                  <c:v>2022/23</c:v>
                </c:pt>
                <c:pt idx="4">
                  <c:v>2023/24</c:v>
                </c:pt>
              </c:strCache>
            </c:strRef>
          </c:cat>
          <c:val>
            <c:numRef>
              <c:f>New_Ceased_LAC!$AW$214:$BA$214</c:f>
              <c:numCache>
                <c:formatCode>0.0%</c:formatCode>
                <c:ptCount val="5"/>
                <c:pt idx="0">
                  <c:v>0.13664596273291926</c:v>
                </c:pt>
                <c:pt idx="1">
                  <c:v>5.3956834532374098E-2</c:v>
                </c:pt>
                <c:pt idx="2">
                  <c:v>0.11371237458193979</c:v>
                </c:pt>
                <c:pt idx="3">
                  <c:v>0.10086455331412104</c:v>
                </c:pt>
                <c:pt idx="4">
                  <c:v>8.3582089552238809E-2</c:v>
                </c:pt>
              </c:numCache>
            </c:numRef>
          </c:val>
          <c:smooth val="0"/>
          <c:extLst>
            <c:ext xmlns:c16="http://schemas.microsoft.com/office/drawing/2014/chart" uri="{C3380CC4-5D6E-409C-BE32-E72D297353CC}">
              <c16:uniqueId val="{0000000A-0AC8-4018-B821-560C91EE6C38}"/>
            </c:ext>
          </c:extLst>
        </c:ser>
        <c:ser>
          <c:idx val="16"/>
          <c:order val="10"/>
          <c:tx>
            <c:strRef>
              <c:f>New_Ceased_LAC!$AK$215</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New_Ceased_LAC!$AW$204:$BA$204</c:f>
              <c:strCache>
                <c:ptCount val="5"/>
                <c:pt idx="0">
                  <c:v>2019/20</c:v>
                </c:pt>
                <c:pt idx="1">
                  <c:v>2020/21</c:v>
                </c:pt>
                <c:pt idx="2">
                  <c:v>2021/22</c:v>
                </c:pt>
                <c:pt idx="3">
                  <c:v>2022/23</c:v>
                </c:pt>
                <c:pt idx="4">
                  <c:v>2023/24</c:v>
                </c:pt>
              </c:strCache>
            </c:strRef>
          </c:cat>
          <c:val>
            <c:numRef>
              <c:f>New_Ceased_LAC!$AW$215:$BA$215</c:f>
              <c:numCache>
                <c:formatCode>0.0%</c:formatCode>
                <c:ptCount val="5"/>
                <c:pt idx="0">
                  <c:v>3.4313725490196081E-2</c:v>
                </c:pt>
                <c:pt idx="1">
                  <c:v>5.5555555555555552E-2</c:v>
                </c:pt>
                <c:pt idx="2">
                  <c:v>6.25E-2</c:v>
                </c:pt>
                <c:pt idx="3">
                  <c:v>7.0063694267515922E-2</c:v>
                </c:pt>
                <c:pt idx="4">
                  <c:v>0.10256410256410256</c:v>
                </c:pt>
              </c:numCache>
            </c:numRef>
          </c:val>
          <c:smooth val="0"/>
          <c:extLst>
            <c:ext xmlns:c16="http://schemas.microsoft.com/office/drawing/2014/chart" uri="{C3380CC4-5D6E-409C-BE32-E72D297353CC}">
              <c16:uniqueId val="{0000000B-0AC8-4018-B821-560C91EE6C38}"/>
            </c:ext>
          </c:extLst>
        </c:ser>
        <c:ser>
          <c:idx val="17"/>
          <c:order val="11"/>
          <c:tx>
            <c:strRef>
              <c:f>New_Ceased_LAC!$AK$216</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New_Ceased_LAC!$AW$204:$BA$204</c:f>
              <c:strCache>
                <c:ptCount val="5"/>
                <c:pt idx="0">
                  <c:v>2019/20</c:v>
                </c:pt>
                <c:pt idx="1">
                  <c:v>2020/21</c:v>
                </c:pt>
                <c:pt idx="2">
                  <c:v>2021/22</c:v>
                </c:pt>
                <c:pt idx="3">
                  <c:v>2022/23</c:v>
                </c:pt>
                <c:pt idx="4">
                  <c:v>2023/24</c:v>
                </c:pt>
              </c:strCache>
            </c:strRef>
          </c:cat>
          <c:val>
            <c:numRef>
              <c:f>New_Ceased_LAC!$AW$216:$BA$216</c:f>
              <c:numCache>
                <c:formatCode>0.0%</c:formatCode>
                <c:ptCount val="5"/>
                <c:pt idx="0">
                  <c:v>0.15596330275229359</c:v>
                </c:pt>
                <c:pt idx="1">
                  <c:v>0.22772277227722773</c:v>
                </c:pt>
                <c:pt idx="2">
                  <c:v>9.4827586206896547E-2</c:v>
                </c:pt>
                <c:pt idx="3">
                  <c:v>#N/A</c:v>
                </c:pt>
                <c:pt idx="4">
                  <c:v>0.15463917525773196</c:v>
                </c:pt>
              </c:numCache>
            </c:numRef>
          </c:val>
          <c:smooth val="0"/>
          <c:extLst>
            <c:ext xmlns:c16="http://schemas.microsoft.com/office/drawing/2014/chart" uri="{C3380CC4-5D6E-409C-BE32-E72D297353CC}">
              <c16:uniqueId val="{0000000C-0AC8-4018-B821-560C91EE6C38}"/>
            </c:ext>
          </c:extLst>
        </c:ser>
        <c:ser>
          <c:idx val="19"/>
          <c:order val="12"/>
          <c:tx>
            <c:strRef>
              <c:f>New_Ceased_LAC!$AK$217</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New_Ceased_LAC!$AW$204:$BA$204</c:f>
              <c:strCache>
                <c:ptCount val="5"/>
                <c:pt idx="0">
                  <c:v>2019/20</c:v>
                </c:pt>
                <c:pt idx="1">
                  <c:v>2020/21</c:v>
                </c:pt>
                <c:pt idx="2">
                  <c:v>2021/22</c:v>
                </c:pt>
                <c:pt idx="3">
                  <c:v>2022/23</c:v>
                </c:pt>
                <c:pt idx="4">
                  <c:v>2023/24</c:v>
                </c:pt>
              </c:strCache>
            </c:strRef>
          </c:cat>
          <c:val>
            <c:numRef>
              <c:f>New_Ceased_LAC!$AW$217:$BA$217</c:f>
              <c:numCache>
                <c:formatCode>0.0%</c:formatCode>
                <c:ptCount val="5"/>
                <c:pt idx="0">
                  <c:v>#N/A</c:v>
                </c:pt>
                <c:pt idx="1">
                  <c:v>0.10679611650485436</c:v>
                </c:pt>
                <c:pt idx="2">
                  <c:v>0.13392857142857142</c:v>
                </c:pt>
                <c:pt idx="3">
                  <c:v>9.9173553719008267E-2</c:v>
                </c:pt>
                <c:pt idx="4">
                  <c:v>0.10483870967741936</c:v>
                </c:pt>
              </c:numCache>
            </c:numRef>
          </c:val>
          <c:smooth val="0"/>
          <c:extLst>
            <c:ext xmlns:c16="http://schemas.microsoft.com/office/drawing/2014/chart" uri="{C3380CC4-5D6E-409C-BE32-E72D297353CC}">
              <c16:uniqueId val="{0000000D-0AC8-4018-B821-560C91EE6C38}"/>
            </c:ext>
          </c:extLst>
        </c:ser>
        <c:ser>
          <c:idx val="20"/>
          <c:order val="13"/>
          <c:tx>
            <c:strRef>
              <c:f>New_Ceased_LAC!$AK$218</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New_Ceased_LAC!$AW$204:$BA$204</c:f>
              <c:strCache>
                <c:ptCount val="5"/>
                <c:pt idx="0">
                  <c:v>2019/20</c:v>
                </c:pt>
                <c:pt idx="1">
                  <c:v>2020/21</c:v>
                </c:pt>
                <c:pt idx="2">
                  <c:v>2021/22</c:v>
                </c:pt>
                <c:pt idx="3">
                  <c:v>2022/23</c:v>
                </c:pt>
                <c:pt idx="4">
                  <c:v>2023/24</c:v>
                </c:pt>
              </c:strCache>
            </c:strRef>
          </c:cat>
          <c:val>
            <c:numRef>
              <c:f>New_Ceased_LAC!$AW$218:$BA$218</c:f>
              <c:numCache>
                <c:formatCode>0.0%</c:formatCode>
                <c:ptCount val="5"/>
                <c:pt idx="0">
                  <c:v>8.5427135678391955E-2</c:v>
                </c:pt>
                <c:pt idx="1">
                  <c:v>0.18032786885245902</c:v>
                </c:pt>
                <c:pt idx="2">
                  <c:v>0.1437125748502994</c:v>
                </c:pt>
                <c:pt idx="3">
                  <c:v>0.13761467889908258</c:v>
                </c:pt>
                <c:pt idx="4">
                  <c:v>0.13084112149532709</c:v>
                </c:pt>
              </c:numCache>
            </c:numRef>
          </c:val>
          <c:smooth val="0"/>
          <c:extLst>
            <c:ext xmlns:c16="http://schemas.microsoft.com/office/drawing/2014/chart" uri="{C3380CC4-5D6E-409C-BE32-E72D297353CC}">
              <c16:uniqueId val="{0000000F-0AC8-4018-B821-560C91EE6C38}"/>
            </c:ext>
          </c:extLst>
        </c:ser>
        <c:ser>
          <c:idx val="22"/>
          <c:order val="14"/>
          <c:tx>
            <c:strRef>
              <c:f>New_Ceased_LAC!$AK$219</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New_Ceased_LAC!$AW$204:$BA$204</c:f>
              <c:strCache>
                <c:ptCount val="5"/>
                <c:pt idx="0">
                  <c:v>2019/20</c:v>
                </c:pt>
                <c:pt idx="1">
                  <c:v>2020/21</c:v>
                </c:pt>
                <c:pt idx="2">
                  <c:v>2021/22</c:v>
                </c:pt>
                <c:pt idx="3">
                  <c:v>2022/23</c:v>
                </c:pt>
                <c:pt idx="4">
                  <c:v>2023/24</c:v>
                </c:pt>
              </c:strCache>
            </c:strRef>
          </c:cat>
          <c:val>
            <c:numRef>
              <c:f>New_Ceased_LAC!$AW$219:$BA$219</c:f>
              <c:numCache>
                <c:formatCode>0.0%</c:formatCode>
                <c:ptCount val="5"/>
                <c:pt idx="0">
                  <c:v>9.8630136986301367E-2</c:v>
                </c:pt>
                <c:pt idx="1">
                  <c:v>0.10757946210268948</c:v>
                </c:pt>
                <c:pt idx="2">
                  <c:v>0.1075</c:v>
                </c:pt>
                <c:pt idx="3">
                  <c:v>0.19477434679334918</c:v>
                </c:pt>
                <c:pt idx="4">
                  <c:v>7.1599045346062054E-2</c:v>
                </c:pt>
              </c:numCache>
            </c:numRef>
          </c:val>
          <c:smooth val="0"/>
          <c:extLst>
            <c:ext xmlns:c16="http://schemas.microsoft.com/office/drawing/2014/chart" uri="{C3380CC4-5D6E-409C-BE32-E72D297353CC}">
              <c16:uniqueId val="{00000010-0AC8-4018-B821-560C91EE6C38}"/>
            </c:ext>
          </c:extLst>
        </c:ser>
        <c:ser>
          <c:idx val="23"/>
          <c:order val="15"/>
          <c:tx>
            <c:strRef>
              <c:f>New_Ceased_LAC!$AK$220</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New_Ceased_LAC!$AW$204:$BA$204</c:f>
              <c:strCache>
                <c:ptCount val="5"/>
                <c:pt idx="0">
                  <c:v>2019/20</c:v>
                </c:pt>
                <c:pt idx="1">
                  <c:v>2020/21</c:v>
                </c:pt>
                <c:pt idx="2">
                  <c:v>2021/22</c:v>
                </c:pt>
                <c:pt idx="3">
                  <c:v>2022/23</c:v>
                </c:pt>
                <c:pt idx="4">
                  <c:v>2023/24</c:v>
                </c:pt>
              </c:strCache>
            </c:strRef>
          </c:cat>
          <c:val>
            <c:numRef>
              <c:f>New_Ceased_LAC!$AW$220:$BA$220</c:f>
              <c:numCache>
                <c:formatCode>0.0%</c:formatCode>
                <c:ptCount val="5"/>
                <c:pt idx="0">
                  <c:v>#N/A</c:v>
                </c:pt>
                <c:pt idx="1">
                  <c:v>0.13793103448275862</c:v>
                </c:pt>
                <c:pt idx="2">
                  <c:v>0.16071428571428573</c:v>
                </c:pt>
                <c:pt idx="3">
                  <c:v>#N/A</c:v>
                </c:pt>
                <c:pt idx="4">
                  <c:v>0.12345679012345678</c:v>
                </c:pt>
              </c:numCache>
            </c:numRef>
          </c:val>
          <c:smooth val="0"/>
          <c:extLst>
            <c:ext xmlns:c16="http://schemas.microsoft.com/office/drawing/2014/chart" uri="{C3380CC4-5D6E-409C-BE32-E72D297353CC}">
              <c16:uniqueId val="{00000012-0AC8-4018-B821-560C91EE6C38}"/>
            </c:ext>
          </c:extLst>
        </c:ser>
        <c:ser>
          <c:idx val="24"/>
          <c:order val="16"/>
          <c:tx>
            <c:strRef>
              <c:f>New_Ceased_LAC!$AK$221</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New_Ceased_LAC!$AW$204:$BA$204</c:f>
              <c:strCache>
                <c:ptCount val="5"/>
                <c:pt idx="0">
                  <c:v>2019/20</c:v>
                </c:pt>
                <c:pt idx="1">
                  <c:v>2020/21</c:v>
                </c:pt>
                <c:pt idx="2">
                  <c:v>2021/22</c:v>
                </c:pt>
                <c:pt idx="3">
                  <c:v>2022/23</c:v>
                </c:pt>
                <c:pt idx="4">
                  <c:v>2023/24</c:v>
                </c:pt>
              </c:strCache>
            </c:strRef>
          </c:cat>
          <c:val>
            <c:numRef>
              <c:f>New_Ceased_LAC!$AW$221:$BA$221</c:f>
              <c:numCache>
                <c:formatCode>0.0%</c:formatCode>
                <c:ptCount val="5"/>
                <c:pt idx="0">
                  <c:v>6.1971830985915494E-2</c:v>
                </c:pt>
                <c:pt idx="1">
                  <c:v>0.16321243523316062</c:v>
                </c:pt>
                <c:pt idx="2">
                  <c:v>0.12691466083150985</c:v>
                </c:pt>
                <c:pt idx="3">
                  <c:v>0.13527851458885942</c:v>
                </c:pt>
                <c:pt idx="4">
                  <c:v>0.10224438902743142</c:v>
                </c:pt>
              </c:numCache>
            </c:numRef>
          </c:val>
          <c:smooth val="0"/>
          <c:extLst>
            <c:ext xmlns:c16="http://schemas.microsoft.com/office/drawing/2014/chart" uri="{C3380CC4-5D6E-409C-BE32-E72D297353CC}">
              <c16:uniqueId val="{00000013-0AC8-4018-B821-560C91EE6C38}"/>
            </c:ext>
          </c:extLst>
        </c:ser>
        <c:ser>
          <c:idx val="25"/>
          <c:order val="17"/>
          <c:tx>
            <c:strRef>
              <c:f>New_Ceased_LAC!$AK$222</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New_Ceased_LAC!$AW$204:$BA$204</c:f>
              <c:strCache>
                <c:ptCount val="5"/>
                <c:pt idx="0">
                  <c:v>2019/20</c:v>
                </c:pt>
                <c:pt idx="1">
                  <c:v>2020/21</c:v>
                </c:pt>
                <c:pt idx="2">
                  <c:v>2021/22</c:v>
                </c:pt>
                <c:pt idx="3">
                  <c:v>2022/23</c:v>
                </c:pt>
                <c:pt idx="4">
                  <c:v>2023/24</c:v>
                </c:pt>
              </c:strCache>
            </c:strRef>
          </c:cat>
          <c:val>
            <c:numRef>
              <c:f>New_Ceased_LAC!$AW$222:$BA$222</c:f>
              <c:numCache>
                <c:formatCode>0.0%</c:formatCode>
                <c:ptCount val="5"/>
                <c:pt idx="0">
                  <c:v>9.6774193548387094E-2</c:v>
                </c:pt>
                <c:pt idx="1">
                  <c:v>#N/A</c:v>
                </c:pt>
                <c:pt idx="2">
                  <c:v>0.14285714285714285</c:v>
                </c:pt>
                <c:pt idx="3">
                  <c:v>0.13698630136986301</c:v>
                </c:pt>
                <c:pt idx="4">
                  <c:v>#N/A</c:v>
                </c:pt>
              </c:numCache>
            </c:numRef>
          </c:val>
          <c:smooth val="0"/>
          <c:extLst>
            <c:ext xmlns:c16="http://schemas.microsoft.com/office/drawing/2014/chart" uri="{C3380CC4-5D6E-409C-BE32-E72D297353CC}">
              <c16:uniqueId val="{00000014-0AC8-4018-B821-560C91EE6C38}"/>
            </c:ext>
          </c:extLst>
        </c:ser>
        <c:ser>
          <c:idx val="26"/>
          <c:order val="18"/>
          <c:tx>
            <c:strRef>
              <c:f>New_Ceased_LAC!$AK$223</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New_Ceased_LAC!$AW$204:$BA$204</c:f>
              <c:strCache>
                <c:ptCount val="5"/>
                <c:pt idx="0">
                  <c:v>2019/20</c:v>
                </c:pt>
                <c:pt idx="1">
                  <c:v>2020/21</c:v>
                </c:pt>
                <c:pt idx="2">
                  <c:v>2021/22</c:v>
                </c:pt>
                <c:pt idx="3">
                  <c:v>2022/23</c:v>
                </c:pt>
                <c:pt idx="4">
                  <c:v>2023/24</c:v>
                </c:pt>
              </c:strCache>
            </c:strRef>
          </c:cat>
          <c:val>
            <c:numRef>
              <c:f>New_Ceased_LAC!$AW$223:$BA$223</c:f>
              <c:numCache>
                <c:formatCode>0.0%</c:formatCode>
                <c:ptCount val="5"/>
                <c:pt idx="0">
                  <c:v>0.16363636363636364</c:v>
                </c:pt>
                <c:pt idx="1">
                  <c:v>0.18367346938775511</c:v>
                </c:pt>
                <c:pt idx="2">
                  <c:v>0.22413793103448276</c:v>
                </c:pt>
                <c:pt idx="3">
                  <c:v>8.9552238805970144E-2</c:v>
                </c:pt>
                <c:pt idx="4">
                  <c:v>#N/A</c:v>
                </c:pt>
              </c:numCache>
            </c:numRef>
          </c:val>
          <c:smooth val="0"/>
          <c:extLst>
            <c:ext xmlns:c16="http://schemas.microsoft.com/office/drawing/2014/chart" uri="{C3380CC4-5D6E-409C-BE32-E72D297353CC}">
              <c16:uniqueId val="{00000015-0AC8-4018-B821-560C91EE6C38}"/>
            </c:ext>
          </c:extLst>
        </c:ser>
        <c:ser>
          <c:idx val="4"/>
          <c:order val="19"/>
          <c:tx>
            <c:strRef>
              <c:f>New_Ceased_LAC!$AK$224</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New_Ceased_LAC!$AW$204:$BA$204</c:f>
              <c:strCache>
                <c:ptCount val="5"/>
                <c:pt idx="0">
                  <c:v>2019/20</c:v>
                </c:pt>
                <c:pt idx="1">
                  <c:v>2020/21</c:v>
                </c:pt>
                <c:pt idx="2">
                  <c:v>2021/22</c:v>
                </c:pt>
                <c:pt idx="3">
                  <c:v>2022/23</c:v>
                </c:pt>
                <c:pt idx="4">
                  <c:v>2023/24</c:v>
                </c:pt>
              </c:strCache>
            </c:strRef>
          </c:cat>
          <c:val>
            <c:numRef>
              <c:f>New_Ceased_LAC!$AW$224:$BA$224</c:f>
              <c:numCache>
                <c:formatCode>0.0%</c:formatCode>
                <c:ptCount val="5"/>
                <c:pt idx="0">
                  <c:v>0.11267605633802817</c:v>
                </c:pt>
                <c:pt idx="1">
                  <c:v>0.10561797752808989</c:v>
                </c:pt>
                <c:pt idx="2">
                  <c:v>9.7713097713097719E-2</c:v>
                </c:pt>
                <c:pt idx="3">
                  <c:v>0.15900383141762453</c:v>
                </c:pt>
                <c:pt idx="4">
                  <c:v>6.6978193146417439E-2</c:v>
                </c:pt>
              </c:numCache>
            </c:numRef>
          </c:val>
          <c:smooth val="0"/>
          <c:extLst>
            <c:ext xmlns:c16="http://schemas.microsoft.com/office/drawing/2014/chart" uri="{C3380CC4-5D6E-409C-BE32-E72D297353CC}">
              <c16:uniqueId val="{00000016-0AC8-4018-B821-560C91EE6C38}"/>
            </c:ext>
          </c:extLst>
        </c:ser>
        <c:ser>
          <c:idx val="14"/>
          <c:order val="20"/>
          <c:tx>
            <c:strRef>
              <c:f>New_Ceased_LAC!$AK$225</c:f>
              <c:strCache>
                <c:ptCount val="1"/>
                <c:pt idx="0">
                  <c:v>England</c:v>
                </c:pt>
              </c:strCache>
            </c:strRef>
          </c:tx>
          <c:spPr>
            <a:ln w="19050">
              <a:solidFill>
                <a:schemeClr val="tx1">
                  <a:lumMod val="75000"/>
                  <a:lumOff val="25000"/>
                </a:schemeClr>
              </a:solidFill>
            </a:ln>
          </c:spPr>
          <c:marker>
            <c:symbol val="plus"/>
            <c:size val="6"/>
            <c:spPr>
              <a:noFill/>
              <a:ln>
                <a:solidFill>
                  <a:schemeClr val="tx1">
                    <a:lumMod val="75000"/>
                    <a:lumOff val="25000"/>
                  </a:schemeClr>
                </a:solidFill>
              </a:ln>
            </c:spPr>
          </c:marker>
          <c:cat>
            <c:strRef>
              <c:f>New_Ceased_LAC!$AW$204:$BA$204</c:f>
              <c:strCache>
                <c:ptCount val="5"/>
                <c:pt idx="0">
                  <c:v>2019/20</c:v>
                </c:pt>
                <c:pt idx="1">
                  <c:v>2020/21</c:v>
                </c:pt>
                <c:pt idx="2">
                  <c:v>2021/22</c:v>
                </c:pt>
                <c:pt idx="3">
                  <c:v>2022/23</c:v>
                </c:pt>
                <c:pt idx="4">
                  <c:v>2023/24</c:v>
                </c:pt>
              </c:strCache>
            </c:strRef>
          </c:cat>
          <c:val>
            <c:numRef>
              <c:f>New_Ceased_LAC!$AW$225:$BA$225</c:f>
              <c:numCache>
                <c:formatCode>0.0%</c:formatCode>
                <c:ptCount val="5"/>
                <c:pt idx="0">
                  <c:v>0.1250422440013518</c:v>
                </c:pt>
                <c:pt idx="1">
                  <c:v>0.13566583363084614</c:v>
                </c:pt>
                <c:pt idx="2">
                  <c:v>0.12869970069837047</c:v>
                </c:pt>
                <c:pt idx="3">
                  <c:v>0.24273989898989898</c:v>
                </c:pt>
                <c:pt idx="4">
                  <c:v>0.11481261154074955</c:v>
                </c:pt>
              </c:numCache>
            </c:numRef>
          </c:val>
          <c:smooth val="0"/>
          <c:extLst>
            <c:ext xmlns:c16="http://schemas.microsoft.com/office/drawing/2014/chart" uri="{C3380CC4-5D6E-409C-BE32-E72D297353CC}">
              <c16:uniqueId val="{00000017-0AC8-4018-B821-560C91EE6C38}"/>
            </c:ext>
          </c:extLst>
        </c:ser>
        <c:ser>
          <c:idx val="3"/>
          <c:order val="21"/>
          <c:tx>
            <c:strRef>
              <c:f>New_Ceased_LAC!$AK$226</c:f>
              <c:strCache>
                <c:ptCount val="1"/>
                <c:pt idx="0">
                  <c:v>Selected LA- (none)</c:v>
                </c:pt>
              </c:strCache>
            </c:strRef>
          </c:tx>
          <c:spPr>
            <a:ln w="25400">
              <a:solidFill>
                <a:schemeClr val="tx1">
                  <a:lumMod val="75000"/>
                  <a:lumOff val="25000"/>
                </a:schemeClr>
              </a:solidFill>
            </a:ln>
          </c:spPr>
          <c:marker>
            <c:symbol val="circle"/>
            <c:size val="6"/>
            <c:spPr>
              <a:solidFill>
                <a:srgbClr val="66FF99"/>
              </a:solidFill>
              <a:ln w="12700">
                <a:solidFill>
                  <a:schemeClr val="tx1">
                    <a:lumMod val="75000"/>
                    <a:lumOff val="25000"/>
                  </a:schemeClr>
                </a:solidFill>
              </a:ln>
            </c:spPr>
          </c:marker>
          <c:cat>
            <c:strRef>
              <c:f>New_Ceased_LAC!$AW$204:$BA$204</c:f>
              <c:strCache>
                <c:ptCount val="5"/>
                <c:pt idx="0">
                  <c:v>2019/20</c:v>
                </c:pt>
                <c:pt idx="1">
                  <c:v>2020/21</c:v>
                </c:pt>
                <c:pt idx="2">
                  <c:v>2021/22</c:v>
                </c:pt>
                <c:pt idx="3">
                  <c:v>2022/23</c:v>
                </c:pt>
                <c:pt idx="4">
                  <c:v>2023/24</c:v>
                </c:pt>
              </c:strCache>
            </c:strRef>
          </c:cat>
          <c:val>
            <c:numRef>
              <c:f>New_Ceased_LAC!$AW$226:$BA$226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4704-40D2-8594-62E699EF02F1}"/>
            </c:ext>
          </c:extLst>
        </c:ser>
        <c:dLbls>
          <c:showLegendKey val="0"/>
          <c:showVal val="0"/>
          <c:showCatName val="0"/>
          <c:showSerName val="0"/>
          <c:showPercent val="0"/>
          <c:showBubbleSize val="0"/>
        </c:dLbls>
        <c:marker val="1"/>
        <c:smooth val="0"/>
        <c:axId val="641869312"/>
        <c:axId val="641870848"/>
      </c:lineChart>
      <c:catAx>
        <c:axId val="641869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41870848"/>
        <c:crosses val="autoZero"/>
        <c:auto val="1"/>
        <c:lblAlgn val="ctr"/>
        <c:lblOffset val="100"/>
        <c:tickLblSkip val="1"/>
        <c:tickMarkSkip val="1"/>
        <c:noMultiLvlLbl val="0"/>
      </c:catAx>
      <c:valAx>
        <c:axId val="6418708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4186931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454732510288"/>
          <c:h val="0.92480920654149001"/>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Children Starting to be </a:t>
            </a:r>
            <a:r>
              <a:rPr lang="en-GB" sz="1100" b="1" i="0" u="none" strike="noStrike" baseline="0">
                <a:effectLst/>
              </a:rPr>
              <a:t>Looked After </a:t>
            </a:r>
          </a:p>
          <a:p>
            <a:pPr>
              <a:defRPr sz="1100" b="1" i="0" u="none" strike="noStrike" baseline="0">
                <a:solidFill>
                  <a:srgbClr val="000000"/>
                </a:solidFill>
                <a:latin typeface="Arial"/>
                <a:ea typeface="Arial"/>
                <a:cs typeface="Arial"/>
              </a:defRPr>
            </a:pPr>
            <a:r>
              <a:rPr lang="en-GB" sz="1100"/>
              <a:t>(Selected LA</a:t>
            </a:r>
            <a:r>
              <a:rPr lang="en-GB" sz="1100" baseline="0"/>
              <a:t> vs. SE)</a:t>
            </a:r>
            <a:r>
              <a:rPr lang="en-GB" sz="1100"/>
              <a:t> </a:t>
            </a:r>
          </a:p>
        </c:rich>
      </c:tx>
      <c:layout>
        <c:manualLayout>
          <c:xMode val="edge"/>
          <c:yMode val="edge"/>
          <c:x val="0.19147321024527109"/>
          <c:y val="3.8613923259592552E-3"/>
        </c:manualLayout>
      </c:layout>
      <c:overlay val="0"/>
      <c:spPr>
        <a:noFill/>
        <a:ln w="25400">
          <a:noFill/>
        </a:ln>
      </c:spPr>
    </c:title>
    <c:autoTitleDeleted val="0"/>
    <c:plotArea>
      <c:layout>
        <c:manualLayout>
          <c:layoutTarget val="inner"/>
          <c:xMode val="edge"/>
          <c:yMode val="edge"/>
          <c:x val="7.7177784066632268E-2"/>
          <c:y val="0.22524530587522715"/>
          <c:w val="0.6711944199364086"/>
          <c:h val="0.5601899762529684"/>
        </c:manualLayout>
      </c:layout>
      <c:barChart>
        <c:barDir val="col"/>
        <c:grouping val="clustered"/>
        <c:varyColors val="0"/>
        <c:ser>
          <c:idx val="6"/>
          <c:order val="0"/>
          <c:tx>
            <c:strRef>
              <c:f>New_Ceased_LAC!$Z$4</c:f>
              <c:strCache>
                <c:ptCount val="1"/>
                <c:pt idx="0">
                  <c:v>Selected LA- (none)</c:v>
                </c:pt>
              </c:strCache>
            </c:strRef>
          </c:tx>
          <c:spPr>
            <a:solidFill>
              <a:srgbClr val="66FF99"/>
            </a:solidFill>
            <a:ln>
              <a:solidFill>
                <a:schemeClr val="tx1">
                  <a:lumMod val="75000"/>
                  <a:lumOff val="25000"/>
                </a:schemeClr>
              </a:solidFill>
            </a:ln>
          </c:spPr>
          <c:invertIfNegative val="0"/>
          <c:cat>
            <c:strRef>
              <c:f>New_Ceased_LAC!$Y$2:$AC$3</c:f>
              <c:strCache>
                <c:ptCount val="5"/>
                <c:pt idx="0">
                  <c:v>2019/20</c:v>
                </c:pt>
                <c:pt idx="1">
                  <c:v>2020/21</c:v>
                </c:pt>
                <c:pt idx="2">
                  <c:v>2021/22</c:v>
                </c:pt>
                <c:pt idx="3">
                  <c:v>2022/23</c:v>
                </c:pt>
                <c:pt idx="4">
                  <c:v>2023/24</c:v>
                </c:pt>
              </c:strCache>
            </c:strRef>
          </c:cat>
          <c:val>
            <c:numRef>
              <c:f>New_Ceased_LAC!$AL$59:$AP$59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3844-4DD9-8C6E-AADD8A8EE22E}"/>
            </c:ext>
          </c:extLst>
        </c:ser>
        <c:ser>
          <c:idx val="4"/>
          <c:order val="1"/>
          <c:tx>
            <c:strRef>
              <c:f>New_Ceased_LAC!$B$30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New_Ceased_LAC!$Y$2:$AC$3</c:f>
              <c:strCache>
                <c:ptCount val="5"/>
                <c:pt idx="0">
                  <c:v>2019/20</c:v>
                </c:pt>
                <c:pt idx="1">
                  <c:v>2020/21</c:v>
                </c:pt>
                <c:pt idx="2">
                  <c:v>2021/22</c:v>
                </c:pt>
                <c:pt idx="3">
                  <c:v>2022/23</c:v>
                </c:pt>
                <c:pt idx="4">
                  <c:v>2023/24</c:v>
                </c:pt>
              </c:strCache>
            </c:strRef>
          </c:cat>
          <c:val>
            <c:numRef>
              <c:f>New_Ceased_LAC!$K$30:$O$30</c:f>
              <c:numCache>
                <c:formatCode>0.0</c:formatCode>
                <c:ptCount val="5"/>
                <c:pt idx="0">
                  <c:v>22.72122458063</c:v>
                </c:pt>
                <c:pt idx="1">
                  <c:v>22.913601117918549</c:v>
                </c:pt>
                <c:pt idx="2">
                  <c:v>26.378108959258068</c:v>
                </c:pt>
                <c:pt idx="3">
                  <c:v>28.29209861730001</c:v>
                </c:pt>
                <c:pt idx="4">
                  <c:v>32.076845275520661</c:v>
                </c:pt>
              </c:numCache>
            </c:numRef>
          </c:val>
          <c:extLst>
            <c:ext xmlns:c16="http://schemas.microsoft.com/office/drawing/2014/chart" uri="{C3380CC4-5D6E-409C-BE32-E72D297353CC}">
              <c16:uniqueId val="{00000001-3844-4DD9-8C6E-AADD8A8EE22E}"/>
            </c:ext>
          </c:extLst>
        </c:ser>
        <c:ser>
          <c:idx val="0"/>
          <c:order val="2"/>
          <c:tx>
            <c:strRef>
              <c:f>New_Ceased_LAC!$B$31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New_Ceased_LAC!$Y$2:$AC$3</c:f>
              <c:strCache>
                <c:ptCount val="5"/>
                <c:pt idx="0">
                  <c:v>2019/20</c:v>
                </c:pt>
                <c:pt idx="1">
                  <c:v>2020/21</c:v>
                </c:pt>
                <c:pt idx="2">
                  <c:v>2021/22</c:v>
                </c:pt>
                <c:pt idx="3">
                  <c:v>2022/23</c:v>
                </c:pt>
                <c:pt idx="4">
                  <c:v>2023/24</c:v>
                </c:pt>
              </c:strCache>
            </c:strRef>
          </c:cat>
          <c:val>
            <c:numRef>
              <c:f>New_Ceased_LAC!$K$31:$O$31</c:f>
              <c:numCache>
                <c:formatCode>0.0</c:formatCode>
                <c:ptCount val="5"/>
                <c:pt idx="0">
                  <c:v>26.26692762269802</c:v>
                </c:pt>
                <c:pt idx="1">
                  <c:v>24.126651687330131</c:v>
                </c:pt>
                <c:pt idx="2">
                  <c:v>26.362595956533767</c:v>
                </c:pt>
                <c:pt idx="3">
                  <c:v>27.764248549254912</c:v>
                </c:pt>
                <c:pt idx="4">
                  <c:v>27.544774635404693</c:v>
                </c:pt>
              </c:numCache>
            </c:numRef>
          </c:val>
          <c:extLst>
            <c:ext xmlns:c16="http://schemas.microsoft.com/office/drawing/2014/chart" uri="{C3380CC4-5D6E-409C-BE32-E72D297353CC}">
              <c16:uniqueId val="{00000002-3844-4DD9-8C6E-AADD8A8EE22E}"/>
            </c:ext>
          </c:extLst>
        </c:ser>
        <c:dLbls>
          <c:showLegendKey val="0"/>
          <c:showVal val="0"/>
          <c:showCatName val="0"/>
          <c:showSerName val="0"/>
          <c:showPercent val="0"/>
          <c:showBubbleSize val="0"/>
        </c:dLbls>
        <c:gapWidth val="100"/>
        <c:axId val="603004928"/>
        <c:axId val="603006464"/>
      </c:barChart>
      <c:catAx>
        <c:axId val="603004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3006464"/>
        <c:crosses val="autoZero"/>
        <c:auto val="1"/>
        <c:lblAlgn val="ctr"/>
        <c:lblOffset val="100"/>
        <c:noMultiLvlLbl val="0"/>
      </c:catAx>
      <c:valAx>
        <c:axId val="603006464"/>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3004928"/>
        <c:crosses val="autoZero"/>
        <c:crossBetween val="between"/>
      </c:valAx>
      <c:spPr>
        <a:noFill/>
        <a:ln w="3175">
          <a:solidFill>
            <a:srgbClr val="000000"/>
          </a:solidFill>
          <a:prstDash val="solid"/>
        </a:ln>
      </c:spPr>
    </c:plotArea>
    <c:legend>
      <c:legendPos val="r"/>
      <c:layout>
        <c:manualLayout>
          <c:xMode val="edge"/>
          <c:yMode val="edge"/>
          <c:x val="0.75128224273689925"/>
          <c:y val="0.17953653819588342"/>
          <c:w val="0.24871775726310072"/>
          <c:h val="0.73367873394523908"/>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b="1" i="0" u="none" strike="noStrike" baseline="0">
                <a:solidFill>
                  <a:srgbClr val="000000"/>
                </a:solidFill>
                <a:latin typeface="Arial"/>
                <a:ea typeface="Arial"/>
                <a:cs typeface="Arial"/>
              </a:defRPr>
            </a:pPr>
            <a:r>
              <a:rPr lang="en-GB" sz="1100"/>
              <a:t>Distance from Expected Rate of </a:t>
            </a:r>
            <a:r>
              <a:rPr lang="en-GB" sz="1100" b="1" i="0" u="none" strike="noStrike" baseline="0">
                <a:effectLst/>
              </a:rPr>
              <a:t>Children Starting to be Looked After</a:t>
            </a:r>
            <a:endParaRPr lang="en-GB" sz="1100"/>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26753493047411625"/>
          <c:y val="0.13754659323684476"/>
          <c:w val="0.6965077344055397"/>
          <c:h val="0.80483344421018621"/>
        </c:manualLayout>
      </c:layout>
      <c:barChart>
        <c:barDir val="bar"/>
        <c:grouping val="clustered"/>
        <c:varyColors val="0"/>
        <c:ser>
          <c:idx val="2"/>
          <c:order val="0"/>
          <c:tx>
            <c:strRef>
              <c:f>New_Ceased_LAC!$S$7</c:f>
              <c:strCache>
                <c:ptCount val="1"/>
                <c:pt idx="0">
                  <c:v>Distance from 2024 Expected Rate based on IDACI</c:v>
                </c:pt>
              </c:strCache>
            </c:strRef>
          </c:tx>
          <c:spPr>
            <a:solidFill>
              <a:srgbClr val="FB994F"/>
            </a:solidFill>
            <a:ln w="25400">
              <a:noFill/>
            </a:ln>
          </c:spPr>
          <c:invertIfNegative val="0"/>
          <c:cat>
            <c:strRef>
              <c:f>New_Ceased_LAC!$X$72:$X$92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New_Ceased_LAC!$T$11:$T$31</c:f>
              <c:numCache>
                <c:formatCode>0.0</c:formatCode>
                <c:ptCount val="21"/>
                <c:pt idx="0">
                  <c:v>-9.2597090202927816</c:v>
                </c:pt>
                <c:pt idx="1">
                  <c:v>1.8443457364108475</c:v>
                </c:pt>
                <c:pt idx="2">
                  <c:v>-4.8916266174674874</c:v>
                </c:pt>
                <c:pt idx="3">
                  <c:v>-5.608064525852118</c:v>
                </c:pt>
                <c:pt idx="4">
                  <c:v>-0.12900475665258426</c:v>
                </c:pt>
                <c:pt idx="5">
                  <c:v>-0.79794940672659109</c:v>
                </c:pt>
                <c:pt idx="6">
                  <c:v>50.147799035431973</c:v>
                </c:pt>
                <c:pt idx="7">
                  <c:v>-2.439757391604374</c:v>
                </c:pt>
                <c:pt idx="8">
                  <c:v>4.7688208422408138</c:v>
                </c:pt>
                <c:pt idx="9">
                  <c:v>-9.7875866945827017</c:v>
                </c:pt>
                <c:pt idx="10">
                  <c:v>7.7765953541925299</c:v>
                </c:pt>
                <c:pt idx="11">
                  <c:v>0.83319334811787016</c:v>
                </c:pt>
                <c:pt idx="12">
                  <c:v>-11.416745327671954</c:v>
                </c:pt>
                <c:pt idx="13">
                  <c:v>0.19421073240362574</c:v>
                </c:pt>
                <c:pt idx="14">
                  <c:v>-9.2850165261358466</c:v>
                </c:pt>
                <c:pt idx="15">
                  <c:v>-3.2526165512611591</c:v>
                </c:pt>
                <c:pt idx="16">
                  <c:v>-1.9375134914588159</c:v>
                </c:pt>
                <c:pt idx="17">
                  <c:v>-3.1494258124493442</c:v>
                </c:pt>
                <c:pt idx="18">
                  <c:v>-7.2884510827785327</c:v>
                </c:pt>
                <c:pt idx="19">
                  <c:v>6.1783140445218194</c:v>
                </c:pt>
                <c:pt idx="20">
                  <c:v>-1.986785955452433</c:v>
                </c:pt>
              </c:numCache>
            </c:numRef>
          </c:val>
          <c:extLst>
            <c:ext xmlns:c16="http://schemas.microsoft.com/office/drawing/2014/chart" uri="{C3380CC4-5D6E-409C-BE32-E72D297353CC}">
              <c16:uniqueId val="{00000000-2116-4E8D-9FBB-83A2696F1008}"/>
            </c:ext>
          </c:extLst>
        </c:ser>
        <c:ser>
          <c:idx val="0"/>
          <c:order val="1"/>
          <c:tx>
            <c:strRef>
              <c:f>New_Ceased_LAC!$Z$4</c:f>
              <c:strCache>
                <c:ptCount val="1"/>
                <c:pt idx="0">
                  <c:v>Selected LA- (none)</c:v>
                </c:pt>
              </c:strCache>
            </c:strRef>
          </c:tx>
          <c:spPr>
            <a:solidFill>
              <a:srgbClr val="66FF99"/>
            </a:solidFill>
            <a:ln w="12700">
              <a:solidFill>
                <a:srgbClr val="000000"/>
              </a:solidFill>
              <a:prstDash val="solid"/>
            </a:ln>
          </c:spPr>
          <c:invertIfNegative val="0"/>
          <c:cat>
            <c:strRef>
              <c:f>New_Ceased_LAC!$X$72:$X$92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New_Ceased_LAC!$Z$72:$Z$92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2116-4E8D-9FBB-83A2696F1008}"/>
            </c:ext>
          </c:extLst>
        </c:ser>
        <c:dLbls>
          <c:showLegendKey val="0"/>
          <c:showVal val="0"/>
          <c:showCatName val="0"/>
          <c:showSerName val="0"/>
          <c:showPercent val="0"/>
          <c:showBubbleSize val="0"/>
        </c:dLbls>
        <c:gapWidth val="40"/>
        <c:overlap val="100"/>
        <c:axId val="600957312"/>
        <c:axId val="600958848"/>
      </c:barChart>
      <c:catAx>
        <c:axId val="60095731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0958848"/>
        <c:crossesAt val="0"/>
        <c:auto val="1"/>
        <c:lblAlgn val="ctr"/>
        <c:lblOffset val="100"/>
        <c:noMultiLvlLbl val="0"/>
      </c:catAx>
      <c:valAx>
        <c:axId val="600958848"/>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0957312"/>
        <c:crosses val="max"/>
        <c:crossBetween val="between"/>
      </c:valAx>
      <c:spPr>
        <a:noFill/>
        <a:ln w="12700">
          <a:solidFill>
            <a:srgbClr val="000000"/>
          </a:solidFill>
          <a:prstDash val="solid"/>
        </a:ln>
      </c:spPr>
    </c:plotArea>
    <c:legend>
      <c:legendPos val="t"/>
      <c:layout>
        <c:manualLayout>
          <c:xMode val="edge"/>
          <c:yMode val="edge"/>
          <c:x val="0.10119040040740976"/>
          <c:y val="6.8369174100532656E-2"/>
          <c:w val="0.82341078362722009"/>
          <c:h val="5.5317861156072644E-2"/>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New_Ceased_LAC!$AK$5</c:f>
          <c:strCache>
            <c:ptCount val="1"/>
            <c:pt idx="0">
              <c:v>Average Annual Change in Number of Children Starting to be Looked After</c:v>
            </c:pt>
          </c:strCache>
        </c:strRef>
      </c:tx>
      <c:layout>
        <c:manualLayout>
          <c:xMode val="edge"/>
          <c:yMode val="edge"/>
          <c:x val="3.1836650339967347E-2"/>
          <c:y val="1.2345612903487528E-2"/>
        </c:manualLayout>
      </c:layout>
      <c:overlay val="1"/>
      <c:txPr>
        <a:bodyPr/>
        <a:lstStyle/>
        <a:p>
          <a:pPr algn="l">
            <a:defRPr sz="1100" b="1"/>
          </a:pPr>
          <a:endParaRPr lang="en-US"/>
        </a:p>
      </c:txPr>
    </c:title>
    <c:autoTitleDeleted val="0"/>
    <c:plotArea>
      <c:layout>
        <c:manualLayout>
          <c:layoutTarget val="inner"/>
          <c:xMode val="edge"/>
          <c:yMode val="edge"/>
          <c:x val="0.26583809159161659"/>
          <c:y val="0.13343135348822138"/>
          <c:w val="0.68840427716091512"/>
          <c:h val="0.80894867308253138"/>
        </c:manualLayout>
      </c:layout>
      <c:barChart>
        <c:barDir val="bar"/>
        <c:grouping val="clustered"/>
        <c:varyColors val="0"/>
        <c:ser>
          <c:idx val="0"/>
          <c:order val="0"/>
          <c:tx>
            <c:strRef>
              <c:f>New_Ceased_LAC!$I$7</c:f>
              <c:strCache>
                <c:ptCount val="1"/>
                <c:pt idx="0">
                  <c:v>Average Annual Change </c:v>
                </c:pt>
              </c:strCache>
            </c:strRef>
          </c:tx>
          <c:spPr>
            <a:solidFill>
              <a:srgbClr val="FB994F"/>
            </a:solidFill>
            <a:ln w="25400">
              <a:noFill/>
            </a:ln>
          </c:spPr>
          <c:invertIfNegative val="0"/>
          <c:cat>
            <c:strRef>
              <c:f>New_Ceased_LAC!$B$11:$B$31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New_Ceased_LAC!$I$11:$I$31</c:f>
              <c:numCache>
                <c:formatCode>0.0%</c:formatCode>
                <c:ptCount val="21"/>
                <c:pt idx="0">
                  <c:v>7.8189635999703466E-2</c:v>
                </c:pt>
                <c:pt idx="1">
                  <c:v>-1.3079766773532474E-2</c:v>
                </c:pt>
                <c:pt idx="2">
                  <c:v>3.5756368985625071E-2</c:v>
                </c:pt>
                <c:pt idx="3">
                  <c:v>8.6566326526487894E-2</c:v>
                </c:pt>
                <c:pt idx="4">
                  <c:v>6.2255665708912375E-2</c:v>
                </c:pt>
                <c:pt idx="5">
                  <c:v>7.4445944673891262E-3</c:v>
                </c:pt>
                <c:pt idx="6">
                  <c:v>0.32325723286428765</c:v>
                </c:pt>
                <c:pt idx="7">
                  <c:v>4.1021879937485892E-2</c:v>
                </c:pt>
                <c:pt idx="8">
                  <c:v>0.10760298959814413</c:v>
                </c:pt>
                <c:pt idx="9">
                  <c:v>-4.8186069580299404E-2</c:v>
                </c:pt>
                <c:pt idx="10">
                  <c:v>2.1649467303427143E-3</c:v>
                </c:pt>
                <c:pt idx="11">
                  <c:v>8.8120119440642936E-3</c:v>
                </c:pt>
                <c:pt idx="12">
                  <c:v>-4.5316049432267538E-2</c:v>
                </c:pt>
                <c:pt idx="13">
                  <c:v>-3.704019277284766E-2</c:v>
                </c:pt>
                <c:pt idx="14">
                  <c:v>-3.9691679450646108E-3</c:v>
                </c:pt>
                <c:pt idx="15">
                  <c:v>0.10317053226286056</c:v>
                </c:pt>
                <c:pt idx="16">
                  <c:v>-2.5802282582387981E-2</c:v>
                </c:pt>
                <c:pt idx="17">
                  <c:v>0.16400548513719865</c:v>
                </c:pt>
                <c:pt idx="18">
                  <c:v>0.14218051754338534</c:v>
                </c:pt>
                <c:pt idx="19">
                  <c:v>9.1499831667897435E-2</c:v>
                </c:pt>
                <c:pt idx="20">
                  <c:v>1.8590430290072815E-2</c:v>
                </c:pt>
              </c:numCache>
            </c:numRef>
          </c:val>
          <c:extLst>
            <c:ext xmlns:c16="http://schemas.microsoft.com/office/drawing/2014/chart" uri="{C3380CC4-5D6E-409C-BE32-E72D297353CC}">
              <c16:uniqueId val="{00000000-9CCB-4C03-96AD-708B25777E56}"/>
            </c:ext>
          </c:extLst>
        </c:ser>
        <c:ser>
          <c:idx val="1"/>
          <c:order val="1"/>
          <c:tx>
            <c:strRef>
              <c:f>New_Ceased_LAC!$Z$4</c:f>
              <c:strCache>
                <c:ptCount val="1"/>
                <c:pt idx="0">
                  <c:v>Selected LA- (none)</c:v>
                </c:pt>
              </c:strCache>
            </c:strRef>
          </c:tx>
          <c:spPr>
            <a:solidFill>
              <a:srgbClr val="66FF99"/>
            </a:solidFill>
            <a:ln w="12700">
              <a:solidFill>
                <a:srgbClr val="000000"/>
              </a:solidFill>
              <a:prstDash val="solid"/>
            </a:ln>
          </c:spPr>
          <c:invertIfNegative val="0"/>
          <c:cat>
            <c:strRef>
              <c:f>New_Ceased_LAC!$B$11:$B$31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New_Ceased_LAC!$Y$72:$Y$92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9CCB-4C03-96AD-708B25777E56}"/>
            </c:ext>
          </c:extLst>
        </c:ser>
        <c:dLbls>
          <c:showLegendKey val="0"/>
          <c:showVal val="0"/>
          <c:showCatName val="0"/>
          <c:showSerName val="0"/>
          <c:showPercent val="0"/>
          <c:showBubbleSize val="0"/>
        </c:dLbls>
        <c:gapWidth val="40"/>
        <c:overlap val="100"/>
        <c:axId val="601315968"/>
        <c:axId val="601321856"/>
      </c:barChart>
      <c:catAx>
        <c:axId val="60131596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601321856"/>
        <c:crosses val="autoZero"/>
        <c:auto val="1"/>
        <c:lblAlgn val="ctr"/>
        <c:lblOffset val="100"/>
        <c:noMultiLvlLbl val="0"/>
      </c:catAx>
      <c:valAx>
        <c:axId val="601321856"/>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01315968"/>
        <c:crosses val="max"/>
        <c:crossBetween val="between"/>
      </c:valAx>
      <c:spPr>
        <a:noFill/>
        <a:ln w="3175">
          <a:solidFill>
            <a:srgbClr val="000000"/>
          </a:solidFill>
          <a:prstDash val="solid"/>
        </a:ln>
      </c:spPr>
    </c:plotArea>
    <c:legend>
      <c:legendPos val="t"/>
      <c:layout>
        <c:manualLayout>
          <c:xMode val="edge"/>
          <c:yMode val="edge"/>
          <c:x val="2.836206896551724E-2"/>
          <c:y val="7.8066985350641618E-2"/>
          <c:w val="0.92134016653090767"/>
          <c:h val="4.089223042176466E-2"/>
        </c:manualLayout>
      </c:layout>
      <c:overlay val="0"/>
      <c:spPr>
        <a:noFill/>
        <a:ln w="12700">
          <a:noFill/>
          <a:prstDash val="solid"/>
        </a:ln>
      </c:spPr>
    </c:legend>
    <c:plotVisOnly val="0"/>
    <c:dispBlanksAs val="gap"/>
    <c:showDLblsOverMax val="0"/>
  </c:chart>
  <c:spPr>
    <a:solidFill>
      <a:srgbClr val="FFFFFF"/>
    </a:solidFill>
    <a:ln w="12700">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Children Placed for Adoption at last</a:t>
            </a:r>
            <a:r>
              <a:rPr lang="en-GB" sz="1100" baseline="0"/>
              <a:t> day in period </a:t>
            </a:r>
            <a:r>
              <a:rPr lang="en-GB" sz="1100"/>
              <a:t>per 10,000 0-17 year olds</a:t>
            </a:r>
          </a:p>
        </c:rich>
      </c:tx>
      <c:layout>
        <c:manualLayout>
          <c:xMode val="edge"/>
          <c:yMode val="edge"/>
          <c:x val="0.10916144830377505"/>
          <c:y val="1.2605231944076981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Permanence!$AN$38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AF79-4A96-A731-660B51CA24CE}"/>
              </c:ext>
            </c:extLst>
          </c:dPt>
          <c:cat>
            <c:strRef>
              <c:f>Permanence!$Y$2:$AC$3</c:f>
              <c:strCache>
                <c:ptCount val="5"/>
                <c:pt idx="0">
                  <c:v>2019/20</c:v>
                </c:pt>
                <c:pt idx="1">
                  <c:v>2020/21</c:v>
                </c:pt>
                <c:pt idx="2">
                  <c:v>2021/22</c:v>
                </c:pt>
                <c:pt idx="3">
                  <c:v>2022/23</c:v>
                </c:pt>
                <c:pt idx="4">
                  <c:v>2023/24</c:v>
                </c:pt>
              </c:strCache>
            </c:strRef>
          </c:cat>
          <c:val>
            <c:numRef>
              <c:f>Permanence!$AO$38:$AS$38</c:f>
              <c:numCache>
                <c:formatCode>0.0</c:formatCode>
                <c:ptCount val="5"/>
                <c:pt idx="0">
                  <c:v>0</c:v>
                </c:pt>
                <c:pt idx="1">
                  <c:v>#N/A</c:v>
                </c:pt>
                <c:pt idx="2">
                  <c:v>#N/A</c:v>
                </c:pt>
                <c:pt idx="3">
                  <c:v>#N/A</c:v>
                </c:pt>
                <c:pt idx="4">
                  <c:v>0</c:v>
                </c:pt>
              </c:numCache>
            </c:numRef>
          </c:val>
          <c:smooth val="0"/>
          <c:extLst>
            <c:ext xmlns:c16="http://schemas.microsoft.com/office/drawing/2014/chart" uri="{C3380CC4-5D6E-409C-BE32-E72D297353CC}">
              <c16:uniqueId val="{00000001-AF79-4A96-A731-660B51CA24CE}"/>
            </c:ext>
          </c:extLst>
        </c:ser>
        <c:ser>
          <c:idx val="1"/>
          <c:order val="1"/>
          <c:tx>
            <c:strRef>
              <c:f>Permanence!$AN$39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Permanence!$Y$2:$AC$3</c:f>
              <c:strCache>
                <c:ptCount val="5"/>
                <c:pt idx="0">
                  <c:v>2019/20</c:v>
                </c:pt>
                <c:pt idx="1">
                  <c:v>2020/21</c:v>
                </c:pt>
                <c:pt idx="2">
                  <c:v>2021/22</c:v>
                </c:pt>
                <c:pt idx="3">
                  <c:v>2022/23</c:v>
                </c:pt>
                <c:pt idx="4">
                  <c:v>2023/24</c:v>
                </c:pt>
              </c:strCache>
            </c:strRef>
          </c:cat>
          <c:val>
            <c:numRef>
              <c:f>Permanence!$AO$39:$AS$39</c:f>
              <c:numCache>
                <c:formatCode>0.0</c:formatCode>
                <c:ptCount val="5"/>
                <c:pt idx="0">
                  <c:v>1.6528242634601875</c:v>
                </c:pt>
                <c:pt idx="1">
                  <c:v>1.4594279042615295</c:v>
                </c:pt>
                <c:pt idx="2">
                  <c:v>3.3952254641909816</c:v>
                </c:pt>
                <c:pt idx="3">
                  <c:v>4.2426813746287655</c:v>
                </c:pt>
                <c:pt idx="4">
                  <c:v>2.1428877555393648</c:v>
                </c:pt>
              </c:numCache>
            </c:numRef>
          </c:val>
          <c:smooth val="0"/>
          <c:extLst>
            <c:ext xmlns:c16="http://schemas.microsoft.com/office/drawing/2014/chart" uri="{C3380CC4-5D6E-409C-BE32-E72D297353CC}">
              <c16:uniqueId val="{00000002-AF79-4A96-A731-660B51CA24CE}"/>
            </c:ext>
          </c:extLst>
        </c:ser>
        <c:ser>
          <c:idx val="2"/>
          <c:order val="2"/>
          <c:tx>
            <c:strRef>
              <c:f>Permanence!$AN$40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Permanence!$Y$2:$AC$3</c:f>
              <c:strCache>
                <c:ptCount val="5"/>
                <c:pt idx="0">
                  <c:v>2019/20</c:v>
                </c:pt>
                <c:pt idx="1">
                  <c:v>2020/21</c:v>
                </c:pt>
                <c:pt idx="2">
                  <c:v>2021/22</c:v>
                </c:pt>
                <c:pt idx="3">
                  <c:v>2022/23</c:v>
                </c:pt>
                <c:pt idx="4">
                  <c:v>2023/24</c:v>
                </c:pt>
              </c:strCache>
            </c:strRef>
          </c:cat>
          <c:val>
            <c:numRef>
              <c:f>Permanence!$AO$40:$AS$40</c:f>
              <c:numCache>
                <c:formatCode>0.0</c:formatCode>
                <c:ptCount val="5"/>
                <c:pt idx="0">
                  <c:v>0.65500216969468716</c:v>
                </c:pt>
                <c:pt idx="1">
                  <c:v>1.0612678068492591</c:v>
                </c:pt>
                <c:pt idx="2">
                  <c:v>0.89061614444174553</c:v>
                </c:pt>
                <c:pt idx="3">
                  <c:v>#N/A</c:v>
                </c:pt>
                <c:pt idx="4">
                  <c:v>#N/A</c:v>
                </c:pt>
              </c:numCache>
            </c:numRef>
          </c:val>
          <c:smooth val="0"/>
          <c:extLst>
            <c:ext xmlns:c16="http://schemas.microsoft.com/office/drawing/2014/chart" uri="{C3380CC4-5D6E-409C-BE32-E72D297353CC}">
              <c16:uniqueId val="{00000003-AF79-4A96-A731-660B51CA24CE}"/>
            </c:ext>
          </c:extLst>
        </c:ser>
        <c:ser>
          <c:idx val="5"/>
          <c:order val="3"/>
          <c:tx>
            <c:strRef>
              <c:f>Permanence!$AN$41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Permanence!$Y$2:$AC$3</c:f>
              <c:strCache>
                <c:ptCount val="5"/>
                <c:pt idx="0">
                  <c:v>2019/20</c:v>
                </c:pt>
                <c:pt idx="1">
                  <c:v>2020/21</c:v>
                </c:pt>
                <c:pt idx="2">
                  <c:v>2021/22</c:v>
                </c:pt>
                <c:pt idx="3">
                  <c:v>2022/23</c:v>
                </c:pt>
                <c:pt idx="4">
                  <c:v>2023/24</c:v>
                </c:pt>
              </c:strCache>
            </c:strRef>
          </c:cat>
          <c:val>
            <c:numRef>
              <c:f>Permanence!$AO$41:$AS$41</c:f>
              <c:numCache>
                <c:formatCode>0.0</c:formatCode>
                <c:ptCount val="5"/>
                <c:pt idx="0">
                  <c:v>2.9148570262628617</c:v>
                </c:pt>
                <c:pt idx="1">
                  <c:v>2.2456770716370986</c:v>
                </c:pt>
                <c:pt idx="2">
                  <c:v>1.3731009523435891</c:v>
                </c:pt>
                <c:pt idx="3">
                  <c:v>1.5560418186238756</c:v>
                </c:pt>
                <c:pt idx="4">
                  <c:v>1.3512730922919522</c:v>
                </c:pt>
              </c:numCache>
            </c:numRef>
          </c:val>
          <c:smooth val="0"/>
          <c:extLst>
            <c:ext xmlns:c16="http://schemas.microsoft.com/office/drawing/2014/chart" uri="{C3380CC4-5D6E-409C-BE32-E72D297353CC}">
              <c16:uniqueId val="{00000004-AF79-4A96-A731-660B51CA24CE}"/>
            </c:ext>
          </c:extLst>
        </c:ser>
        <c:ser>
          <c:idx val="9"/>
          <c:order val="4"/>
          <c:tx>
            <c:strRef>
              <c:f>Permanence!$AN$42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Permanence!$Y$2:$AC$3</c:f>
              <c:strCache>
                <c:ptCount val="5"/>
                <c:pt idx="0">
                  <c:v>2019/20</c:v>
                </c:pt>
                <c:pt idx="1">
                  <c:v>2020/21</c:v>
                </c:pt>
                <c:pt idx="2">
                  <c:v>2021/22</c:v>
                </c:pt>
                <c:pt idx="3">
                  <c:v>2022/23</c:v>
                </c:pt>
                <c:pt idx="4">
                  <c:v>2023/24</c:v>
                </c:pt>
              </c:strCache>
            </c:strRef>
          </c:cat>
          <c:val>
            <c:numRef>
              <c:f>Permanence!$AO$42:$AS$42</c:f>
              <c:numCache>
                <c:formatCode>0.0</c:formatCode>
                <c:ptCount val="5"/>
                <c:pt idx="0">
                  <c:v>1.3603493950025058</c:v>
                </c:pt>
                <c:pt idx="1">
                  <c:v>1.2881249194921924</c:v>
                </c:pt>
                <c:pt idx="2">
                  <c:v>1.1746740279572419</c:v>
                </c:pt>
                <c:pt idx="3">
                  <c:v>1.3051744877190137</c:v>
                </c:pt>
                <c:pt idx="4">
                  <c:v>0.91033227127901684</c:v>
                </c:pt>
              </c:numCache>
            </c:numRef>
          </c:val>
          <c:smooth val="0"/>
          <c:extLst>
            <c:ext xmlns:c16="http://schemas.microsoft.com/office/drawing/2014/chart" uri="{C3380CC4-5D6E-409C-BE32-E72D297353CC}">
              <c16:uniqueId val="{00000005-AF79-4A96-A731-660B51CA24CE}"/>
            </c:ext>
          </c:extLst>
        </c:ser>
        <c:ser>
          <c:idx val="10"/>
          <c:order val="5"/>
          <c:tx>
            <c:strRef>
              <c:f>Permanence!$AN$43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Permanence!$Y$2:$AC$3</c:f>
              <c:strCache>
                <c:ptCount val="5"/>
                <c:pt idx="0">
                  <c:v>2019/20</c:v>
                </c:pt>
                <c:pt idx="1">
                  <c:v>2020/21</c:v>
                </c:pt>
                <c:pt idx="2">
                  <c:v>2021/22</c:v>
                </c:pt>
                <c:pt idx="3">
                  <c:v>2022/23</c:v>
                </c:pt>
                <c:pt idx="4">
                  <c:v>2023/24</c:v>
                </c:pt>
              </c:strCache>
            </c:strRef>
          </c:cat>
          <c:val>
            <c:numRef>
              <c:f>Permanence!$AO$43:$AS$43</c:f>
              <c:numCache>
                <c:formatCode>0.0</c:formatCode>
                <c:ptCount val="5"/>
                <c:pt idx="0">
                  <c:v>0.82301139870787199</c:v>
                </c:pt>
                <c:pt idx="1">
                  <c:v>3.3484011384563868</c:v>
                </c:pt>
                <c:pt idx="2">
                  <c:v>#N/A</c:v>
                </c:pt>
                <c:pt idx="3">
                  <c:v>#N/A</c:v>
                </c:pt>
                <c:pt idx="4">
                  <c:v>#N/A</c:v>
                </c:pt>
              </c:numCache>
            </c:numRef>
          </c:val>
          <c:smooth val="0"/>
          <c:extLst>
            <c:ext xmlns:c16="http://schemas.microsoft.com/office/drawing/2014/chart" uri="{C3380CC4-5D6E-409C-BE32-E72D297353CC}">
              <c16:uniqueId val="{00000006-AF79-4A96-A731-660B51CA24CE}"/>
            </c:ext>
          </c:extLst>
        </c:ser>
        <c:ser>
          <c:idx val="11"/>
          <c:order val="6"/>
          <c:tx>
            <c:strRef>
              <c:f>Permanence!$AN$44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Permanence!$Y$2:$AC$3</c:f>
              <c:strCache>
                <c:ptCount val="5"/>
                <c:pt idx="0">
                  <c:v>2019/20</c:v>
                </c:pt>
                <c:pt idx="1">
                  <c:v>2020/21</c:v>
                </c:pt>
                <c:pt idx="2">
                  <c:v>2021/22</c:v>
                </c:pt>
                <c:pt idx="3">
                  <c:v>2022/23</c:v>
                </c:pt>
                <c:pt idx="4">
                  <c:v>2023/24</c:v>
                </c:pt>
              </c:strCache>
            </c:strRef>
          </c:cat>
          <c:val>
            <c:numRef>
              <c:f>Permanence!$AO$44:$AS$44</c:f>
              <c:numCache>
                <c:formatCode>0.0</c:formatCode>
                <c:ptCount val="5"/>
                <c:pt idx="0">
                  <c:v>1.0799686809082536</c:v>
                </c:pt>
                <c:pt idx="1">
                  <c:v>1.6446188072626367</c:v>
                </c:pt>
                <c:pt idx="2">
                  <c:v>1.6959692464243314</c:v>
                </c:pt>
                <c:pt idx="3">
                  <c:v>1.3416633125083854</c:v>
                </c:pt>
                <c:pt idx="4">
                  <c:v>1.3779957052467187</c:v>
                </c:pt>
              </c:numCache>
            </c:numRef>
          </c:val>
          <c:smooth val="0"/>
          <c:extLst>
            <c:ext xmlns:c16="http://schemas.microsoft.com/office/drawing/2014/chart" uri="{C3380CC4-5D6E-409C-BE32-E72D297353CC}">
              <c16:uniqueId val="{00000007-AF79-4A96-A731-660B51CA24CE}"/>
            </c:ext>
          </c:extLst>
        </c:ser>
        <c:ser>
          <c:idx val="12"/>
          <c:order val="7"/>
          <c:tx>
            <c:strRef>
              <c:f>Permanence!$AN$45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Permanence!$Y$2:$AC$3</c:f>
              <c:strCache>
                <c:ptCount val="5"/>
                <c:pt idx="0">
                  <c:v>2019/20</c:v>
                </c:pt>
                <c:pt idx="1">
                  <c:v>2020/21</c:v>
                </c:pt>
                <c:pt idx="2">
                  <c:v>2021/22</c:v>
                </c:pt>
                <c:pt idx="3">
                  <c:v>2022/23</c:v>
                </c:pt>
                <c:pt idx="4">
                  <c:v>2023/24</c:v>
                </c:pt>
              </c:strCache>
            </c:strRef>
          </c:cat>
          <c:val>
            <c:numRef>
              <c:f>Permanence!$AO$45:$AS$45</c:f>
              <c:numCache>
                <c:formatCode>0.0</c:formatCode>
                <c:ptCount val="5"/>
                <c:pt idx="0">
                  <c:v>2.198768689533861</c:v>
                </c:pt>
                <c:pt idx="1">
                  <c:v>2.6689693068529716</c:v>
                </c:pt>
                <c:pt idx="2">
                  <c:v>3.2906592287321557</c:v>
                </c:pt>
                <c:pt idx="3">
                  <c:v>1.5395273650989147</c:v>
                </c:pt>
                <c:pt idx="4">
                  <c:v>1.1996341115959632</c:v>
                </c:pt>
              </c:numCache>
            </c:numRef>
          </c:val>
          <c:smooth val="0"/>
          <c:extLst>
            <c:ext xmlns:c16="http://schemas.microsoft.com/office/drawing/2014/chart" uri="{C3380CC4-5D6E-409C-BE32-E72D297353CC}">
              <c16:uniqueId val="{00000008-AF79-4A96-A731-660B51CA24CE}"/>
            </c:ext>
          </c:extLst>
        </c:ser>
        <c:ser>
          <c:idx val="13"/>
          <c:order val="8"/>
          <c:tx>
            <c:strRef>
              <c:f>Permanence!$AN$46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Permanence!$Y$2:$AC$3</c:f>
              <c:strCache>
                <c:ptCount val="5"/>
                <c:pt idx="0">
                  <c:v>2019/20</c:v>
                </c:pt>
                <c:pt idx="1">
                  <c:v>2020/21</c:v>
                </c:pt>
                <c:pt idx="2">
                  <c:v>2021/22</c:v>
                </c:pt>
                <c:pt idx="3">
                  <c:v>2022/23</c:v>
                </c:pt>
                <c:pt idx="4">
                  <c:v>2023/24</c:v>
                </c:pt>
              </c:strCache>
            </c:strRef>
          </c:cat>
          <c:val>
            <c:numRef>
              <c:f>Permanence!$AO$46:$AS$46</c:f>
              <c:numCache>
                <c:formatCode>0.0</c:formatCode>
                <c:ptCount val="5"/>
                <c:pt idx="0">
                  <c:v>2.3175978098700698</c:v>
                </c:pt>
                <c:pt idx="1">
                  <c:v>2.8857946757088233</c:v>
                </c:pt>
                <c:pt idx="2">
                  <c:v>1.5796653981474833</c:v>
                </c:pt>
                <c:pt idx="3">
                  <c:v>1.2684810643965552</c:v>
                </c:pt>
                <c:pt idx="4">
                  <c:v>1.5110512795856972</c:v>
                </c:pt>
              </c:numCache>
            </c:numRef>
          </c:val>
          <c:smooth val="0"/>
          <c:extLst>
            <c:ext xmlns:c16="http://schemas.microsoft.com/office/drawing/2014/chart" uri="{C3380CC4-5D6E-409C-BE32-E72D297353CC}">
              <c16:uniqueId val="{00000009-AF79-4A96-A731-660B51CA24CE}"/>
            </c:ext>
          </c:extLst>
        </c:ser>
        <c:ser>
          <c:idx val="15"/>
          <c:order val="9"/>
          <c:tx>
            <c:strRef>
              <c:f>Permanence!$AN$47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Permanence!$Y$2:$AC$3</c:f>
              <c:strCache>
                <c:ptCount val="5"/>
                <c:pt idx="0">
                  <c:v>2019/20</c:v>
                </c:pt>
                <c:pt idx="1">
                  <c:v>2020/21</c:v>
                </c:pt>
                <c:pt idx="2">
                  <c:v>2021/22</c:v>
                </c:pt>
                <c:pt idx="3">
                  <c:v>2022/23</c:v>
                </c:pt>
                <c:pt idx="4">
                  <c:v>2023/24</c:v>
                </c:pt>
              </c:strCache>
            </c:strRef>
          </c:cat>
          <c:val>
            <c:numRef>
              <c:f>Permanence!$AO$47:$AS$47</c:f>
              <c:numCache>
                <c:formatCode>0.0</c:formatCode>
                <c:ptCount val="5"/>
                <c:pt idx="0">
                  <c:v>1.1770489306164273</c:v>
                </c:pt>
                <c:pt idx="1">
                  <c:v>2.0658453783595809</c:v>
                </c:pt>
                <c:pt idx="2">
                  <c:v>1.571650164339941</c:v>
                </c:pt>
                <c:pt idx="3">
                  <c:v>1.0699621500889407</c:v>
                </c:pt>
                <c:pt idx="4">
                  <c:v>#N/A</c:v>
                </c:pt>
              </c:numCache>
            </c:numRef>
          </c:val>
          <c:smooth val="0"/>
          <c:extLst>
            <c:ext xmlns:c16="http://schemas.microsoft.com/office/drawing/2014/chart" uri="{C3380CC4-5D6E-409C-BE32-E72D297353CC}">
              <c16:uniqueId val="{0000000A-AF79-4A96-A731-660B51CA24CE}"/>
            </c:ext>
          </c:extLst>
        </c:ser>
        <c:ser>
          <c:idx val="16"/>
          <c:order val="10"/>
          <c:tx>
            <c:strRef>
              <c:f>Permanence!$AN$48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Permanence!$Y$2:$AC$3</c:f>
              <c:strCache>
                <c:ptCount val="5"/>
                <c:pt idx="0">
                  <c:v>2019/20</c:v>
                </c:pt>
                <c:pt idx="1">
                  <c:v>2020/21</c:v>
                </c:pt>
                <c:pt idx="2">
                  <c:v>2021/22</c:v>
                </c:pt>
                <c:pt idx="3">
                  <c:v>2022/23</c:v>
                </c:pt>
                <c:pt idx="4">
                  <c:v>2023/24</c:v>
                </c:pt>
              </c:strCache>
            </c:strRef>
          </c:cat>
          <c:val>
            <c:numRef>
              <c:f>Permanence!$AO$48:$AS$48</c:f>
              <c:numCache>
                <c:formatCode>0.0</c:formatCode>
                <c:ptCount val="5"/>
                <c:pt idx="0">
                  <c:v>1.6653581709609115</c:v>
                </c:pt>
                <c:pt idx="1">
                  <c:v>2.3886301206258209</c:v>
                </c:pt>
                <c:pt idx="2">
                  <c:v>#N/A</c:v>
                </c:pt>
                <c:pt idx="3">
                  <c:v>1.4329727018700296</c:v>
                </c:pt>
                <c:pt idx="4">
                  <c:v>2.3636750419552319</c:v>
                </c:pt>
              </c:numCache>
            </c:numRef>
          </c:val>
          <c:smooth val="0"/>
          <c:extLst>
            <c:ext xmlns:c16="http://schemas.microsoft.com/office/drawing/2014/chart" uri="{C3380CC4-5D6E-409C-BE32-E72D297353CC}">
              <c16:uniqueId val="{0000000B-AF79-4A96-A731-660B51CA24CE}"/>
            </c:ext>
          </c:extLst>
        </c:ser>
        <c:ser>
          <c:idx val="17"/>
          <c:order val="11"/>
          <c:tx>
            <c:strRef>
              <c:f>Permanence!$AN$49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Permanence!$Y$2:$AC$3</c:f>
              <c:strCache>
                <c:ptCount val="5"/>
                <c:pt idx="0">
                  <c:v>2019/20</c:v>
                </c:pt>
                <c:pt idx="1">
                  <c:v>2020/21</c:v>
                </c:pt>
                <c:pt idx="2">
                  <c:v>2021/22</c:v>
                </c:pt>
                <c:pt idx="3">
                  <c:v>2022/23</c:v>
                </c:pt>
                <c:pt idx="4">
                  <c:v>2023/24</c:v>
                </c:pt>
              </c:strCache>
            </c:strRef>
          </c:cat>
          <c:val>
            <c:numRef>
              <c:f>Permanence!$AO$49:$AS$49</c:f>
              <c:numCache>
                <c:formatCode>0.0</c:formatCode>
                <c:ptCount val="5"/>
                <c:pt idx="0">
                  <c:v>2.7005130974885225</c:v>
                </c:pt>
                <c:pt idx="1">
                  <c:v>2.4343404289848802</c:v>
                </c:pt>
                <c:pt idx="2">
                  <c:v>3.027467385919524</c:v>
                </c:pt>
                <c:pt idx="3">
                  <c:v>#N/A</c:v>
                </c:pt>
                <c:pt idx="4">
                  <c:v>#N/A</c:v>
                </c:pt>
              </c:numCache>
            </c:numRef>
          </c:val>
          <c:smooth val="0"/>
          <c:extLst>
            <c:ext xmlns:c16="http://schemas.microsoft.com/office/drawing/2014/chart" uri="{C3380CC4-5D6E-409C-BE32-E72D297353CC}">
              <c16:uniqueId val="{0000000C-AF79-4A96-A731-660B51CA24CE}"/>
            </c:ext>
          </c:extLst>
        </c:ser>
        <c:ser>
          <c:idx val="19"/>
          <c:order val="12"/>
          <c:tx>
            <c:strRef>
              <c:f>Permanence!$AN$50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Permanence!$Y$2:$AC$3</c:f>
              <c:strCache>
                <c:ptCount val="5"/>
                <c:pt idx="0">
                  <c:v>2019/20</c:v>
                </c:pt>
                <c:pt idx="1">
                  <c:v>2020/21</c:v>
                </c:pt>
                <c:pt idx="2">
                  <c:v>2021/22</c:v>
                </c:pt>
                <c:pt idx="3">
                  <c:v>2022/23</c:v>
                </c:pt>
                <c:pt idx="4">
                  <c:v>2023/24</c:v>
                </c:pt>
              </c:strCache>
            </c:strRef>
          </c:cat>
          <c:val>
            <c:numRef>
              <c:f>Permanence!$AO$50:$AS$50</c:f>
              <c:numCache>
                <c:formatCode>0.0</c:formatCode>
                <c:ptCount val="5"/>
                <c:pt idx="0">
                  <c:v>1.839968720531751</c:v>
                </c:pt>
                <c:pt idx="1">
                  <c:v>1.8223234624145788</c:v>
                </c:pt>
                <c:pt idx="2">
                  <c:v>1.8291149370098543</c:v>
                </c:pt>
                <c:pt idx="3">
                  <c:v>#N/A</c:v>
                </c:pt>
                <c:pt idx="4">
                  <c:v>2.2297041182635065</c:v>
                </c:pt>
              </c:numCache>
            </c:numRef>
          </c:val>
          <c:smooth val="0"/>
          <c:extLst>
            <c:ext xmlns:c16="http://schemas.microsoft.com/office/drawing/2014/chart" uri="{C3380CC4-5D6E-409C-BE32-E72D297353CC}">
              <c16:uniqueId val="{0000000D-AF79-4A96-A731-660B51CA24CE}"/>
            </c:ext>
          </c:extLst>
        </c:ser>
        <c:ser>
          <c:idx val="20"/>
          <c:order val="13"/>
          <c:tx>
            <c:strRef>
              <c:f>Permanence!$AN$51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Permanence!$Y$2:$AC$3</c:f>
              <c:strCache>
                <c:ptCount val="5"/>
                <c:pt idx="0">
                  <c:v>2019/20</c:v>
                </c:pt>
                <c:pt idx="1">
                  <c:v>2020/21</c:v>
                </c:pt>
                <c:pt idx="2">
                  <c:v>2021/22</c:v>
                </c:pt>
                <c:pt idx="3">
                  <c:v>2022/23</c:v>
                </c:pt>
                <c:pt idx="4">
                  <c:v>2023/24</c:v>
                </c:pt>
              </c:strCache>
            </c:strRef>
          </c:cat>
          <c:val>
            <c:numRef>
              <c:f>Permanence!$AO$51:$AS$51</c:f>
              <c:numCache>
                <c:formatCode>0.0</c:formatCode>
                <c:ptCount val="5"/>
                <c:pt idx="0">
                  <c:v>2.8232636928289101</c:v>
                </c:pt>
                <c:pt idx="1">
                  <c:v>2.2116331905824635</c:v>
                </c:pt>
                <c:pt idx="2">
                  <c:v>3.442131691908966</c:v>
                </c:pt>
                <c:pt idx="3">
                  <c:v>3.2082773555773896</c:v>
                </c:pt>
                <c:pt idx="4">
                  <c:v>2.9777857185396939</c:v>
                </c:pt>
              </c:numCache>
            </c:numRef>
          </c:val>
          <c:smooth val="0"/>
          <c:extLst>
            <c:ext xmlns:c16="http://schemas.microsoft.com/office/drawing/2014/chart" uri="{C3380CC4-5D6E-409C-BE32-E72D297353CC}">
              <c16:uniqueId val="{0000000F-AF79-4A96-A731-660B51CA24CE}"/>
            </c:ext>
          </c:extLst>
        </c:ser>
        <c:ser>
          <c:idx val="22"/>
          <c:order val="14"/>
          <c:tx>
            <c:strRef>
              <c:f>Permanence!$AN$52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Permanence!$Y$2:$AC$3</c:f>
              <c:strCache>
                <c:ptCount val="5"/>
                <c:pt idx="0">
                  <c:v>2019/20</c:v>
                </c:pt>
                <c:pt idx="1">
                  <c:v>2020/21</c:v>
                </c:pt>
                <c:pt idx="2">
                  <c:v>2021/22</c:v>
                </c:pt>
                <c:pt idx="3">
                  <c:v>2022/23</c:v>
                </c:pt>
                <c:pt idx="4">
                  <c:v>2023/24</c:v>
                </c:pt>
              </c:strCache>
            </c:strRef>
          </c:cat>
          <c:val>
            <c:numRef>
              <c:f>Permanence!$AO$52:$AS$52</c:f>
              <c:numCache>
                <c:formatCode>0.0</c:formatCode>
                <c:ptCount val="5"/>
                <c:pt idx="0">
                  <c:v>0.85256447518843614</c:v>
                </c:pt>
                <c:pt idx="1">
                  <c:v>0.38681876380459468</c:v>
                </c:pt>
                <c:pt idx="2">
                  <c:v>0.23122456529781724</c:v>
                </c:pt>
                <c:pt idx="3">
                  <c:v>0.37945767908505168</c:v>
                </c:pt>
                <c:pt idx="4">
                  <c:v>0.56460598030654341</c:v>
                </c:pt>
              </c:numCache>
            </c:numRef>
          </c:val>
          <c:smooth val="0"/>
          <c:extLst>
            <c:ext xmlns:c16="http://schemas.microsoft.com/office/drawing/2014/chart" uri="{C3380CC4-5D6E-409C-BE32-E72D297353CC}">
              <c16:uniqueId val="{00000010-AF79-4A96-A731-660B51CA24CE}"/>
            </c:ext>
          </c:extLst>
        </c:ser>
        <c:ser>
          <c:idx val="23"/>
          <c:order val="15"/>
          <c:tx>
            <c:strRef>
              <c:f>Permanence!$AN$53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Permanence!$Y$2:$AC$3</c:f>
              <c:strCache>
                <c:ptCount val="5"/>
                <c:pt idx="0">
                  <c:v>2019/20</c:v>
                </c:pt>
                <c:pt idx="1">
                  <c:v>2020/21</c:v>
                </c:pt>
                <c:pt idx="2">
                  <c:v>2021/22</c:v>
                </c:pt>
                <c:pt idx="3">
                  <c:v>2022/23</c:v>
                </c:pt>
                <c:pt idx="4">
                  <c:v>2023/24</c:v>
                </c:pt>
              </c:strCache>
            </c:strRef>
          </c:cat>
          <c:val>
            <c:numRef>
              <c:f>Permanence!$AO$53:$AS$53</c:f>
              <c:numCache>
                <c:formatCode>0.0</c:formatCode>
                <c:ptCount val="5"/>
                <c:pt idx="0">
                  <c:v>0.28521719289238756</c:v>
                </c:pt>
                <c:pt idx="1">
                  <c:v>#N/A</c:v>
                </c:pt>
                <c:pt idx="2">
                  <c:v>#N/A</c:v>
                </c:pt>
                <c:pt idx="3">
                  <c:v>#N/A</c:v>
                </c:pt>
                <c:pt idx="4">
                  <c:v>1.981599433828733</c:v>
                </c:pt>
              </c:numCache>
            </c:numRef>
          </c:val>
          <c:smooth val="0"/>
          <c:extLst>
            <c:ext xmlns:c16="http://schemas.microsoft.com/office/drawing/2014/chart" uri="{C3380CC4-5D6E-409C-BE32-E72D297353CC}">
              <c16:uniqueId val="{00000013-AF79-4A96-A731-660B51CA24CE}"/>
            </c:ext>
          </c:extLst>
        </c:ser>
        <c:ser>
          <c:idx val="24"/>
          <c:order val="16"/>
          <c:tx>
            <c:strRef>
              <c:f>Permanence!$AN$54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Permanence!$Y$2:$AC$3</c:f>
              <c:strCache>
                <c:ptCount val="5"/>
                <c:pt idx="0">
                  <c:v>2019/20</c:v>
                </c:pt>
                <c:pt idx="1">
                  <c:v>2020/21</c:v>
                </c:pt>
                <c:pt idx="2">
                  <c:v>2021/22</c:v>
                </c:pt>
                <c:pt idx="3">
                  <c:v>2022/23</c:v>
                </c:pt>
                <c:pt idx="4">
                  <c:v>2023/24</c:v>
                </c:pt>
              </c:strCache>
            </c:strRef>
          </c:cat>
          <c:val>
            <c:numRef>
              <c:f>Permanence!$AO$54:$AS$54</c:f>
              <c:numCache>
                <c:formatCode>0.0</c:formatCode>
                <c:ptCount val="5"/>
                <c:pt idx="0">
                  <c:v>1.8438384106112902</c:v>
                </c:pt>
                <c:pt idx="1">
                  <c:v>1.4953443030257718</c:v>
                </c:pt>
                <c:pt idx="2">
                  <c:v>1.3155335918642825</c:v>
                </c:pt>
                <c:pt idx="3">
                  <c:v>1.1277199194807976</c:v>
                </c:pt>
                <c:pt idx="4">
                  <c:v>1.6200393278512693</c:v>
                </c:pt>
              </c:numCache>
            </c:numRef>
          </c:val>
          <c:smooth val="0"/>
          <c:extLst>
            <c:ext xmlns:c16="http://schemas.microsoft.com/office/drawing/2014/chart" uri="{C3380CC4-5D6E-409C-BE32-E72D297353CC}">
              <c16:uniqueId val="{00000014-AF79-4A96-A731-660B51CA24CE}"/>
            </c:ext>
          </c:extLst>
        </c:ser>
        <c:ser>
          <c:idx val="25"/>
          <c:order val="17"/>
          <c:tx>
            <c:strRef>
              <c:f>Permanence!$AN$55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Permanence!$Y$2:$AC$3</c:f>
              <c:strCache>
                <c:ptCount val="5"/>
                <c:pt idx="0">
                  <c:v>2019/20</c:v>
                </c:pt>
                <c:pt idx="1">
                  <c:v>2020/21</c:v>
                </c:pt>
                <c:pt idx="2">
                  <c:v>2021/22</c:v>
                </c:pt>
                <c:pt idx="3">
                  <c:v>2022/23</c:v>
                </c:pt>
                <c:pt idx="4">
                  <c:v>2023/24</c:v>
                </c:pt>
              </c:strCache>
            </c:strRef>
          </c:cat>
          <c:val>
            <c:numRef>
              <c:f>Permanence!$AO$55:$AS$55</c:f>
              <c:numCache>
                <c:formatCode>0.0</c:formatCode>
                <c:ptCount val="5"/>
                <c:pt idx="0">
                  <c:v>0.87529906051234174</c:v>
                </c:pt>
                <c:pt idx="1">
                  <c:v>#N/A</c:v>
                </c:pt>
                <c:pt idx="2">
                  <c:v>#N/A</c:v>
                </c:pt>
                <c:pt idx="3">
                  <c:v>#N/A</c:v>
                </c:pt>
                <c:pt idx="4">
                  <c:v>#N/A</c:v>
                </c:pt>
              </c:numCache>
            </c:numRef>
          </c:val>
          <c:smooth val="0"/>
          <c:extLst>
            <c:ext xmlns:c16="http://schemas.microsoft.com/office/drawing/2014/chart" uri="{C3380CC4-5D6E-409C-BE32-E72D297353CC}">
              <c16:uniqueId val="{00000015-AF79-4A96-A731-660B51CA24CE}"/>
            </c:ext>
          </c:extLst>
        </c:ser>
        <c:ser>
          <c:idx val="26"/>
          <c:order val="18"/>
          <c:tx>
            <c:strRef>
              <c:f>Permanence!$AN$56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Permanence!$Y$2:$AC$3</c:f>
              <c:strCache>
                <c:ptCount val="5"/>
                <c:pt idx="0">
                  <c:v>2019/20</c:v>
                </c:pt>
                <c:pt idx="1">
                  <c:v>2020/21</c:v>
                </c:pt>
                <c:pt idx="2">
                  <c:v>2021/22</c:v>
                </c:pt>
                <c:pt idx="3">
                  <c:v>2022/23</c:v>
                </c:pt>
                <c:pt idx="4">
                  <c:v>2023/24</c:v>
                </c:pt>
              </c:strCache>
            </c:strRef>
          </c:cat>
          <c:val>
            <c:numRef>
              <c:f>Permanence!$AO$56:$AS$56</c:f>
              <c:numCache>
                <c:formatCode>0.0</c:formatCode>
                <c:ptCount val="5"/>
                <c:pt idx="0">
                  <c:v>1.2571658453183143</c:v>
                </c:pt>
                <c:pt idx="1">
                  <c:v>#N/A</c:v>
                </c:pt>
                <c:pt idx="2">
                  <c:v>#N/A</c:v>
                </c:pt>
                <c:pt idx="3">
                  <c:v>1.4111006585136405</c:v>
                </c:pt>
                <c:pt idx="4">
                  <c:v>#N/A</c:v>
                </c:pt>
              </c:numCache>
            </c:numRef>
          </c:val>
          <c:smooth val="0"/>
          <c:extLst>
            <c:ext xmlns:c16="http://schemas.microsoft.com/office/drawing/2014/chart" uri="{C3380CC4-5D6E-409C-BE32-E72D297353CC}">
              <c16:uniqueId val="{00000016-AF79-4A96-A731-660B51CA24CE}"/>
            </c:ext>
          </c:extLst>
        </c:ser>
        <c:ser>
          <c:idx val="4"/>
          <c:order val="19"/>
          <c:tx>
            <c:strRef>
              <c:f>Permanence!$AN$57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Permanence!$Y$2:$AC$3</c:f>
              <c:strCache>
                <c:ptCount val="5"/>
                <c:pt idx="0">
                  <c:v>2019/20</c:v>
                </c:pt>
                <c:pt idx="1">
                  <c:v>2020/21</c:v>
                </c:pt>
                <c:pt idx="2">
                  <c:v>2021/22</c:v>
                </c:pt>
                <c:pt idx="3">
                  <c:v>2022/23</c:v>
                </c:pt>
                <c:pt idx="4">
                  <c:v>2023/24</c:v>
                </c:pt>
              </c:strCache>
            </c:strRef>
          </c:cat>
          <c:val>
            <c:numRef>
              <c:f>Permanence!$AO$57:$AS$57</c:f>
              <c:numCache>
                <c:formatCode>0.0</c:formatCode>
                <c:ptCount val="5"/>
                <c:pt idx="0">
                  <c:v>1.4058109272490251</c:v>
                </c:pt>
                <c:pt idx="1">
                  <c:v>1.6724701380456852</c:v>
                </c:pt>
                <c:pt idx="2">
                  <c:v>1.5578211275163139</c:v>
                </c:pt>
                <c:pt idx="3">
                  <c:v>1.4050958550283188</c:v>
                </c:pt>
                <c:pt idx="4">
                  <c:v>1.4650810667573742</c:v>
                </c:pt>
              </c:numCache>
            </c:numRef>
          </c:val>
          <c:smooth val="0"/>
          <c:extLst>
            <c:ext xmlns:c16="http://schemas.microsoft.com/office/drawing/2014/chart" uri="{C3380CC4-5D6E-409C-BE32-E72D297353CC}">
              <c16:uniqueId val="{00000017-AF79-4A96-A731-660B51CA24CE}"/>
            </c:ext>
          </c:extLst>
        </c:ser>
        <c:ser>
          <c:idx val="14"/>
          <c:order val="20"/>
          <c:tx>
            <c:strRef>
              <c:f>Permanence!$AN$58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Permanence!$Y$2:$AC$3</c:f>
              <c:strCache>
                <c:ptCount val="5"/>
                <c:pt idx="0">
                  <c:v>2019/20</c:v>
                </c:pt>
                <c:pt idx="1">
                  <c:v>2020/21</c:v>
                </c:pt>
                <c:pt idx="2">
                  <c:v>2021/22</c:v>
                </c:pt>
                <c:pt idx="3">
                  <c:v>2022/23</c:v>
                </c:pt>
                <c:pt idx="4">
                  <c:v>2023/24</c:v>
                </c:pt>
              </c:strCache>
            </c:strRef>
          </c:cat>
          <c:val>
            <c:numRef>
              <c:f>Permanence!$AO$58:$AS$58</c:f>
              <c:numCache>
                <c:formatCode>0.0</c:formatCode>
                <c:ptCount val="5"/>
                <c:pt idx="0">
                  <c:v>1.7471705167180471</c:v>
                </c:pt>
                <c:pt idx="1">
                  <c:v>1.9257207922025106</c:v>
                </c:pt>
                <c:pt idx="2">
                  <c:v>1.8192826619471867</c:v>
                </c:pt>
                <c:pt idx="3">
                  <c:v>1.6742683216065841</c:v>
                </c:pt>
                <c:pt idx="4">
                  <c:v>1.591846279988592</c:v>
                </c:pt>
              </c:numCache>
            </c:numRef>
          </c:val>
          <c:smooth val="0"/>
          <c:extLst>
            <c:ext xmlns:c16="http://schemas.microsoft.com/office/drawing/2014/chart" uri="{C3380CC4-5D6E-409C-BE32-E72D297353CC}">
              <c16:uniqueId val="{00000018-AF79-4A96-A731-660B51CA24CE}"/>
            </c:ext>
          </c:extLst>
        </c:ser>
        <c:ser>
          <c:idx val="6"/>
          <c:order val="21"/>
          <c:tx>
            <c:strRef>
              <c:f>Permanence!$AN$59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Permanence!$Y$2:$AC$3</c:f>
              <c:strCache>
                <c:ptCount val="5"/>
                <c:pt idx="0">
                  <c:v>2019/20</c:v>
                </c:pt>
                <c:pt idx="1">
                  <c:v>2020/21</c:v>
                </c:pt>
                <c:pt idx="2">
                  <c:v>2021/22</c:v>
                </c:pt>
                <c:pt idx="3">
                  <c:v>2022/23</c:v>
                </c:pt>
                <c:pt idx="4">
                  <c:v>2023/24</c:v>
                </c:pt>
              </c:strCache>
            </c:strRef>
          </c:cat>
          <c:val>
            <c:numRef>
              <c:f>Permanence!$AO$59:$AS$59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AF79-4A96-A731-660B51CA24CE}"/>
            </c:ext>
          </c:extLst>
        </c:ser>
        <c:dLbls>
          <c:showLegendKey val="0"/>
          <c:showVal val="0"/>
          <c:showCatName val="0"/>
          <c:showSerName val="0"/>
          <c:showPercent val="0"/>
          <c:showBubbleSize val="0"/>
        </c:dLbls>
        <c:marker val="1"/>
        <c:smooth val="0"/>
        <c:axId val="417511296"/>
        <c:axId val="417512832"/>
      </c:lineChart>
      <c:catAx>
        <c:axId val="417511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7512832"/>
        <c:crosses val="autoZero"/>
        <c:auto val="1"/>
        <c:lblAlgn val="ctr"/>
        <c:lblOffset val="100"/>
        <c:tickLblSkip val="1"/>
        <c:tickMarkSkip val="1"/>
        <c:noMultiLvlLbl val="0"/>
      </c:catAx>
      <c:valAx>
        <c:axId val="417512832"/>
        <c:scaling>
          <c:orientation val="minMax"/>
        </c:scaling>
        <c:delete val="0"/>
        <c:axPos val="l"/>
        <c:majorGridlines>
          <c:spPr>
            <a:ln w="12700">
              <a:solidFill>
                <a:schemeClr val="bg1">
                  <a:lumMod val="75000"/>
                </a:schemeClr>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7511296"/>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9083699342811208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Children Placed for Adoption </a:t>
            </a:r>
          </a:p>
          <a:p>
            <a:pPr>
              <a:defRPr sz="1100" b="1"/>
            </a:pPr>
            <a:r>
              <a:rPr lang="en-GB" sz="1100" b="1"/>
              <a:t>(Selected LA vs. SE) </a:t>
            </a:r>
          </a:p>
        </c:rich>
      </c:tx>
      <c:layout>
        <c:manualLayout>
          <c:xMode val="edge"/>
          <c:yMode val="edge"/>
          <c:x val="0.20835954946191171"/>
          <c:y val="3.8613923259592552E-3"/>
        </c:manualLayout>
      </c:layout>
      <c:overlay val="0"/>
      <c:spPr>
        <a:noFill/>
        <a:ln w="25400">
          <a:noFill/>
        </a:ln>
      </c:spPr>
    </c:title>
    <c:autoTitleDeleted val="0"/>
    <c:plotArea>
      <c:layout>
        <c:manualLayout>
          <c:layoutTarget val="inner"/>
          <c:xMode val="edge"/>
          <c:yMode val="edge"/>
          <c:x val="7.8261915952240774E-2"/>
          <c:y val="0.23471773128950596"/>
          <c:w val="0.67011018727554161"/>
          <c:h val="0.55860704911886017"/>
        </c:manualLayout>
      </c:layout>
      <c:barChart>
        <c:barDir val="col"/>
        <c:grouping val="clustered"/>
        <c:varyColors val="0"/>
        <c:ser>
          <c:idx val="6"/>
          <c:order val="0"/>
          <c:tx>
            <c:strRef>
              <c:f>Permanence!$Y$4</c:f>
              <c:strCache>
                <c:ptCount val="1"/>
                <c:pt idx="0">
                  <c:v>Selected LA- (none)</c:v>
                </c:pt>
              </c:strCache>
            </c:strRef>
          </c:tx>
          <c:spPr>
            <a:solidFill>
              <a:srgbClr val="66FF99"/>
            </a:solidFill>
            <a:ln>
              <a:solidFill>
                <a:schemeClr val="tx1">
                  <a:lumMod val="75000"/>
                  <a:lumOff val="25000"/>
                </a:schemeClr>
              </a:solidFill>
            </a:ln>
          </c:spPr>
          <c:invertIfNegative val="0"/>
          <c:cat>
            <c:strRef>
              <c:f>Permanence!$Y$2:$AC$3</c:f>
              <c:strCache>
                <c:ptCount val="5"/>
                <c:pt idx="0">
                  <c:v>2019/20</c:v>
                </c:pt>
                <c:pt idx="1">
                  <c:v>2020/21</c:v>
                </c:pt>
                <c:pt idx="2">
                  <c:v>2021/22</c:v>
                </c:pt>
                <c:pt idx="3">
                  <c:v>2022/23</c:v>
                </c:pt>
                <c:pt idx="4">
                  <c:v>2023/24</c:v>
                </c:pt>
              </c:strCache>
            </c:strRef>
          </c:cat>
          <c:val>
            <c:numRef>
              <c:f>Permanence!$AO$59:$AS$59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2607-414A-BE2C-58813A8ACD44}"/>
            </c:ext>
          </c:extLst>
        </c:ser>
        <c:ser>
          <c:idx val="4"/>
          <c:order val="1"/>
          <c:tx>
            <c:strRef>
              <c:f>Permanence!$B$30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Permanence!$Y$2:$AC$3</c:f>
              <c:strCache>
                <c:ptCount val="5"/>
                <c:pt idx="0">
                  <c:v>2019/20</c:v>
                </c:pt>
                <c:pt idx="1">
                  <c:v>2020/21</c:v>
                </c:pt>
                <c:pt idx="2">
                  <c:v>2021/22</c:v>
                </c:pt>
                <c:pt idx="3">
                  <c:v>2022/23</c:v>
                </c:pt>
                <c:pt idx="4">
                  <c:v>2023/24</c:v>
                </c:pt>
              </c:strCache>
            </c:strRef>
          </c:cat>
          <c:val>
            <c:numRef>
              <c:f>Permanence!$K$30:$O$30</c:f>
              <c:numCache>
                <c:formatCode>0.0</c:formatCode>
                <c:ptCount val="5"/>
                <c:pt idx="0">
                  <c:v>1.4058109272490251</c:v>
                </c:pt>
                <c:pt idx="1">
                  <c:v>1.6724701380456852</c:v>
                </c:pt>
                <c:pt idx="2">
                  <c:v>1.5578211275163139</c:v>
                </c:pt>
                <c:pt idx="3">
                  <c:v>1.4050958550283188</c:v>
                </c:pt>
                <c:pt idx="4">
                  <c:v>1.4650810667573742</c:v>
                </c:pt>
              </c:numCache>
            </c:numRef>
          </c:val>
          <c:extLst>
            <c:ext xmlns:c16="http://schemas.microsoft.com/office/drawing/2014/chart" uri="{C3380CC4-5D6E-409C-BE32-E72D297353CC}">
              <c16:uniqueId val="{00000001-2607-414A-BE2C-58813A8ACD44}"/>
            </c:ext>
          </c:extLst>
        </c:ser>
        <c:ser>
          <c:idx val="0"/>
          <c:order val="2"/>
          <c:tx>
            <c:strRef>
              <c:f>Permanence!$B$31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Permanence!$Y$2:$AC$3</c:f>
              <c:strCache>
                <c:ptCount val="5"/>
                <c:pt idx="0">
                  <c:v>2019/20</c:v>
                </c:pt>
                <c:pt idx="1">
                  <c:v>2020/21</c:v>
                </c:pt>
                <c:pt idx="2">
                  <c:v>2021/22</c:v>
                </c:pt>
                <c:pt idx="3">
                  <c:v>2022/23</c:v>
                </c:pt>
                <c:pt idx="4">
                  <c:v>2023/24</c:v>
                </c:pt>
              </c:strCache>
            </c:strRef>
          </c:cat>
          <c:val>
            <c:numRef>
              <c:f>Permanence!$K$31:$O$31</c:f>
              <c:numCache>
                <c:formatCode>0.0</c:formatCode>
                <c:ptCount val="5"/>
                <c:pt idx="0">
                  <c:v>1.7471705167180471</c:v>
                </c:pt>
                <c:pt idx="1">
                  <c:v>1.9257207922025106</c:v>
                </c:pt>
                <c:pt idx="2">
                  <c:v>1.8192826619471867</c:v>
                </c:pt>
                <c:pt idx="3">
                  <c:v>1.6742683216065841</c:v>
                </c:pt>
                <c:pt idx="4">
                  <c:v>1.591846279988592</c:v>
                </c:pt>
              </c:numCache>
            </c:numRef>
          </c:val>
          <c:extLst>
            <c:ext xmlns:c16="http://schemas.microsoft.com/office/drawing/2014/chart" uri="{C3380CC4-5D6E-409C-BE32-E72D297353CC}">
              <c16:uniqueId val="{00000002-2607-414A-BE2C-58813A8ACD44}"/>
            </c:ext>
          </c:extLst>
        </c:ser>
        <c:dLbls>
          <c:showLegendKey val="0"/>
          <c:showVal val="0"/>
          <c:showCatName val="0"/>
          <c:showSerName val="0"/>
          <c:showPercent val="0"/>
          <c:showBubbleSize val="0"/>
        </c:dLbls>
        <c:gapWidth val="100"/>
        <c:axId val="418350208"/>
        <c:axId val="418351744"/>
      </c:barChart>
      <c:catAx>
        <c:axId val="418350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418351744"/>
        <c:crosses val="autoZero"/>
        <c:auto val="1"/>
        <c:lblAlgn val="ctr"/>
        <c:lblOffset val="100"/>
        <c:noMultiLvlLbl val="0"/>
      </c:catAx>
      <c:valAx>
        <c:axId val="418351744"/>
        <c:scaling>
          <c:orientation val="minMax"/>
        </c:scaling>
        <c:delete val="0"/>
        <c:axPos val="l"/>
        <c:majorGridlines>
          <c:spPr>
            <a:ln w="12700">
              <a:solidFill>
                <a:schemeClr val="bg1">
                  <a:lumMod val="75000"/>
                </a:schemeClr>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418350208"/>
        <c:crosses val="autoZero"/>
        <c:crossBetween val="between"/>
      </c:valAx>
      <c:spPr>
        <a:noFill/>
        <a:ln w="3175">
          <a:solidFill>
            <a:srgbClr val="000000"/>
          </a:solidFill>
          <a:prstDash val="solid"/>
        </a:ln>
      </c:spPr>
    </c:plotArea>
    <c:legend>
      <c:legendPos val="r"/>
      <c:layout>
        <c:manualLayout>
          <c:xMode val="edge"/>
          <c:yMode val="edge"/>
          <c:x val="0.75990284431229316"/>
          <c:y val="0.18747281589801273"/>
          <c:w val="0.24009715568770687"/>
          <c:h val="0.72574197456087219"/>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pPr>
            <a:r>
              <a:rPr lang="en-GB" sz="1100" b="1"/>
              <a:t>% LAC to Adoption </a:t>
            </a:r>
          </a:p>
          <a:p>
            <a:pPr>
              <a:defRPr sz="1100" b="1"/>
            </a:pPr>
            <a:r>
              <a:rPr lang="en-GB" sz="1100" b="1"/>
              <a:t>(Selected LA vs. SE &amp; National) </a:t>
            </a:r>
          </a:p>
        </c:rich>
      </c:tx>
      <c:layout>
        <c:manualLayout>
          <c:xMode val="edge"/>
          <c:yMode val="edge"/>
          <c:x val="0.22894280346936333"/>
          <c:y val="5.0468247682057491E-3"/>
        </c:manualLayout>
      </c:layout>
      <c:overlay val="0"/>
      <c:spPr>
        <a:noFill/>
        <a:ln w="25400">
          <a:noFill/>
        </a:ln>
      </c:spPr>
    </c:title>
    <c:autoTitleDeleted val="0"/>
    <c:plotArea>
      <c:layout>
        <c:manualLayout>
          <c:layoutTarget val="inner"/>
          <c:xMode val="edge"/>
          <c:yMode val="edge"/>
          <c:x val="9.8666564984461691E-2"/>
          <c:y val="0.2174161563137941"/>
          <c:w val="0.59531262906857463"/>
          <c:h val="0.57385335604979193"/>
        </c:manualLayout>
      </c:layout>
      <c:barChart>
        <c:barDir val="col"/>
        <c:grouping val="clustered"/>
        <c:varyColors val="0"/>
        <c:ser>
          <c:idx val="6"/>
          <c:order val="0"/>
          <c:tx>
            <c:strRef>
              <c:f>Permanence!$Y$4</c:f>
              <c:strCache>
                <c:ptCount val="1"/>
                <c:pt idx="0">
                  <c:v>Selected LA- (none)</c:v>
                </c:pt>
              </c:strCache>
            </c:strRef>
          </c:tx>
          <c:spPr>
            <a:solidFill>
              <a:srgbClr val="66FF99"/>
            </a:solidFill>
            <a:ln>
              <a:solidFill>
                <a:schemeClr val="tx1">
                  <a:lumMod val="75000"/>
                  <a:lumOff val="25000"/>
                </a:schemeClr>
              </a:solidFill>
            </a:ln>
          </c:spPr>
          <c:invertIfNegative val="0"/>
          <c:cat>
            <c:strRef>
              <c:f>Permanence!$Y$2:$AC$3</c:f>
              <c:strCache>
                <c:ptCount val="5"/>
                <c:pt idx="0">
                  <c:v>2019/20</c:v>
                </c:pt>
                <c:pt idx="1">
                  <c:v>2020/21</c:v>
                </c:pt>
                <c:pt idx="2">
                  <c:v>2021/22</c:v>
                </c:pt>
                <c:pt idx="3">
                  <c:v>2022/23</c:v>
                </c:pt>
                <c:pt idx="4">
                  <c:v>2023/24</c:v>
                </c:pt>
              </c:strCache>
            </c:strRef>
          </c:cat>
          <c:val>
            <c:numRef>
              <c:f>Permanence!$AZ$59:$BD$59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AD75-41EA-83B5-FC0C89E7BAD7}"/>
            </c:ext>
          </c:extLst>
        </c:ser>
        <c:ser>
          <c:idx val="4"/>
          <c:order val="1"/>
          <c:tx>
            <c:strRef>
              <c:f>Permanence!$B$196</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Permanence!$Y$2:$AC$3</c:f>
              <c:strCache>
                <c:ptCount val="5"/>
                <c:pt idx="0">
                  <c:v>2019/20</c:v>
                </c:pt>
                <c:pt idx="1">
                  <c:v>2020/21</c:v>
                </c:pt>
                <c:pt idx="2">
                  <c:v>2021/22</c:v>
                </c:pt>
                <c:pt idx="3">
                  <c:v>2022/23</c:v>
                </c:pt>
                <c:pt idx="4">
                  <c:v>2023/24</c:v>
                </c:pt>
              </c:strCache>
            </c:strRef>
          </c:cat>
          <c:val>
            <c:numRef>
              <c:f>Permanence!$D$196:$H$196</c:f>
              <c:numCache>
                <c:formatCode>0%</c:formatCode>
                <c:ptCount val="5"/>
                <c:pt idx="0">
                  <c:v>0.11032863849765258</c:v>
                </c:pt>
                <c:pt idx="1">
                  <c:v>8.3146067415730343E-2</c:v>
                </c:pt>
                <c:pt idx="2">
                  <c:v>7.4844074844074848E-2</c:v>
                </c:pt>
                <c:pt idx="3">
                  <c:v>7.2796934865900387E-2</c:v>
                </c:pt>
                <c:pt idx="4">
                  <c:v>6.0747663551401869E-2</c:v>
                </c:pt>
              </c:numCache>
            </c:numRef>
          </c:val>
          <c:extLst>
            <c:ext xmlns:c16="http://schemas.microsoft.com/office/drawing/2014/chart" uri="{C3380CC4-5D6E-409C-BE32-E72D297353CC}">
              <c16:uniqueId val="{00000001-AD75-41EA-83B5-FC0C89E7BAD7}"/>
            </c:ext>
          </c:extLst>
        </c:ser>
        <c:ser>
          <c:idx val="0"/>
          <c:order val="2"/>
          <c:tx>
            <c:strRef>
              <c:f>Permanence!$B$197</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Permanence!$Y$2:$AC$3</c:f>
              <c:strCache>
                <c:ptCount val="5"/>
                <c:pt idx="0">
                  <c:v>2019/20</c:v>
                </c:pt>
                <c:pt idx="1">
                  <c:v>2020/21</c:v>
                </c:pt>
                <c:pt idx="2">
                  <c:v>2021/22</c:v>
                </c:pt>
                <c:pt idx="3">
                  <c:v>2022/23</c:v>
                </c:pt>
                <c:pt idx="4">
                  <c:v>2023/24</c:v>
                </c:pt>
              </c:strCache>
            </c:strRef>
          </c:cat>
          <c:val>
            <c:numRef>
              <c:f>Permanence!$D$197:$H$197</c:f>
              <c:numCache>
                <c:formatCode>0%</c:formatCode>
                <c:ptCount val="5"/>
                <c:pt idx="0">
                  <c:v>0.1165934437309902</c:v>
                </c:pt>
                <c:pt idx="1">
                  <c:v>0.10246340592645484</c:v>
                </c:pt>
                <c:pt idx="2">
                  <c:v>9.8104423012969733E-2</c:v>
                </c:pt>
                <c:pt idx="3">
                  <c:v>9.3434343434343439E-2</c:v>
                </c:pt>
                <c:pt idx="4">
                  <c:v>8.8637715645449131E-2</c:v>
                </c:pt>
              </c:numCache>
            </c:numRef>
          </c:val>
          <c:extLst>
            <c:ext xmlns:c16="http://schemas.microsoft.com/office/drawing/2014/chart" uri="{C3380CC4-5D6E-409C-BE32-E72D297353CC}">
              <c16:uniqueId val="{00000002-AD75-41EA-83B5-FC0C89E7BAD7}"/>
            </c:ext>
          </c:extLst>
        </c:ser>
        <c:dLbls>
          <c:showLegendKey val="0"/>
          <c:showVal val="0"/>
          <c:showCatName val="0"/>
          <c:showSerName val="0"/>
          <c:showPercent val="0"/>
          <c:showBubbleSize val="0"/>
        </c:dLbls>
        <c:gapWidth val="100"/>
        <c:axId val="418423168"/>
        <c:axId val="418424704"/>
      </c:barChart>
      <c:catAx>
        <c:axId val="418423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418424704"/>
        <c:crosses val="autoZero"/>
        <c:auto val="1"/>
        <c:lblAlgn val="ctr"/>
        <c:lblOffset val="100"/>
        <c:noMultiLvlLbl val="0"/>
      </c:catAx>
      <c:valAx>
        <c:axId val="418424704"/>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418423168"/>
        <c:crosses val="autoZero"/>
        <c:crossBetween val="between"/>
      </c:valAx>
      <c:spPr>
        <a:noFill/>
        <a:ln w="3175">
          <a:solidFill>
            <a:srgbClr val="000000"/>
          </a:solidFill>
          <a:prstDash val="solid"/>
        </a:ln>
      </c:spPr>
    </c:plotArea>
    <c:legend>
      <c:legendPos val="r"/>
      <c:layout>
        <c:manualLayout>
          <c:xMode val="edge"/>
          <c:yMode val="edge"/>
          <c:x val="0.70150578893374371"/>
          <c:y val="0.21128233970753657"/>
          <c:w val="0.29849421106625629"/>
          <c:h val="0.78871731942598089"/>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Children ceasing to be Looked After in year who were Adopted (%)</a:t>
            </a:r>
          </a:p>
        </c:rich>
      </c:tx>
      <c:layout>
        <c:manualLayout>
          <c:xMode val="edge"/>
          <c:yMode val="edge"/>
          <c:x val="0.10022377637577912"/>
          <c:y val="3.8578057742782146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Permanence!$AN$38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B997-4DF0-97AC-E2B4E5E7FBB8}"/>
              </c:ext>
            </c:extLst>
          </c:dPt>
          <c:cat>
            <c:strRef>
              <c:f>Permanence!$Y$2:$AC$3</c:f>
              <c:strCache>
                <c:ptCount val="5"/>
                <c:pt idx="0">
                  <c:v>2019/20</c:v>
                </c:pt>
                <c:pt idx="1">
                  <c:v>2020/21</c:v>
                </c:pt>
                <c:pt idx="2">
                  <c:v>2021/22</c:v>
                </c:pt>
                <c:pt idx="3">
                  <c:v>2022/23</c:v>
                </c:pt>
                <c:pt idx="4">
                  <c:v>2023/24</c:v>
                </c:pt>
              </c:strCache>
            </c:strRef>
          </c:cat>
          <c:val>
            <c:numRef>
              <c:f>Permanence!$AZ$38:$BD$38</c:f>
              <c:numCache>
                <c:formatCode>0.0%</c:formatCode>
                <c:ptCount val="5"/>
                <c:pt idx="0">
                  <c:v>9.6774193548387094E-2</c:v>
                </c:pt>
                <c:pt idx="1">
                  <c:v>#N/A</c:v>
                </c:pt>
                <c:pt idx="2">
                  <c:v>#N/A</c:v>
                </c:pt>
                <c:pt idx="3">
                  <c:v>8.8235294117647065E-2</c:v>
                </c:pt>
                <c:pt idx="4">
                  <c:v>#N/A</c:v>
                </c:pt>
              </c:numCache>
            </c:numRef>
          </c:val>
          <c:smooth val="0"/>
          <c:extLst>
            <c:ext xmlns:c16="http://schemas.microsoft.com/office/drawing/2014/chart" uri="{C3380CC4-5D6E-409C-BE32-E72D297353CC}">
              <c16:uniqueId val="{00000001-B997-4DF0-97AC-E2B4E5E7FBB8}"/>
            </c:ext>
          </c:extLst>
        </c:ser>
        <c:ser>
          <c:idx val="1"/>
          <c:order val="1"/>
          <c:tx>
            <c:strRef>
              <c:f>Permanence!$AN$39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Permanence!$Y$2:$AC$3</c:f>
              <c:strCache>
                <c:ptCount val="5"/>
                <c:pt idx="0">
                  <c:v>2019/20</c:v>
                </c:pt>
                <c:pt idx="1">
                  <c:v>2020/21</c:v>
                </c:pt>
                <c:pt idx="2">
                  <c:v>2021/22</c:v>
                </c:pt>
                <c:pt idx="3">
                  <c:v>2022/23</c:v>
                </c:pt>
                <c:pt idx="4">
                  <c:v>2023/24</c:v>
                </c:pt>
              </c:strCache>
            </c:strRef>
          </c:cat>
          <c:val>
            <c:numRef>
              <c:f>Permanence!$AZ$39:$BD$39</c:f>
              <c:numCache>
                <c:formatCode>0.0%</c:formatCode>
                <c:ptCount val="5"/>
                <c:pt idx="0">
                  <c:v>0.10112359550561797</c:v>
                </c:pt>
                <c:pt idx="1">
                  <c:v>7.1895424836601302E-2</c:v>
                </c:pt>
                <c:pt idx="2">
                  <c:v>5.9701492537313432E-2</c:v>
                </c:pt>
                <c:pt idx="3">
                  <c:v>6.7484662576687116E-2</c:v>
                </c:pt>
                <c:pt idx="4">
                  <c:v>0.16296296296296298</c:v>
                </c:pt>
              </c:numCache>
            </c:numRef>
          </c:val>
          <c:smooth val="0"/>
          <c:extLst>
            <c:ext xmlns:c16="http://schemas.microsoft.com/office/drawing/2014/chart" uri="{C3380CC4-5D6E-409C-BE32-E72D297353CC}">
              <c16:uniqueId val="{00000002-B997-4DF0-97AC-E2B4E5E7FBB8}"/>
            </c:ext>
          </c:extLst>
        </c:ser>
        <c:ser>
          <c:idx val="2"/>
          <c:order val="2"/>
          <c:tx>
            <c:strRef>
              <c:f>Permanence!$AN$40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Permanence!$Y$2:$AC$3</c:f>
              <c:strCache>
                <c:ptCount val="5"/>
                <c:pt idx="0">
                  <c:v>2019/20</c:v>
                </c:pt>
                <c:pt idx="1">
                  <c:v>2020/21</c:v>
                </c:pt>
                <c:pt idx="2">
                  <c:v>2021/22</c:v>
                </c:pt>
                <c:pt idx="3">
                  <c:v>2022/23</c:v>
                </c:pt>
                <c:pt idx="4">
                  <c:v>2023/24</c:v>
                </c:pt>
              </c:strCache>
            </c:strRef>
          </c:cat>
          <c:val>
            <c:numRef>
              <c:f>Permanence!$AZ$40:$BD$40</c:f>
              <c:numCache>
                <c:formatCode>0.0%</c:formatCode>
                <c:ptCount val="5"/>
                <c:pt idx="0">
                  <c:v>9.7872340425531917E-2</c:v>
                </c:pt>
                <c:pt idx="1">
                  <c:v>0.14130434782608695</c:v>
                </c:pt>
                <c:pt idx="2">
                  <c:v>0.11165048543689321</c:v>
                </c:pt>
                <c:pt idx="3">
                  <c:v>8.0402010050251257E-2</c:v>
                </c:pt>
                <c:pt idx="4">
                  <c:v>5.8823529411764705E-2</c:v>
                </c:pt>
              </c:numCache>
            </c:numRef>
          </c:val>
          <c:smooth val="0"/>
          <c:extLst>
            <c:ext xmlns:c16="http://schemas.microsoft.com/office/drawing/2014/chart" uri="{C3380CC4-5D6E-409C-BE32-E72D297353CC}">
              <c16:uniqueId val="{00000003-B997-4DF0-97AC-E2B4E5E7FBB8}"/>
            </c:ext>
          </c:extLst>
        </c:ser>
        <c:ser>
          <c:idx val="5"/>
          <c:order val="3"/>
          <c:tx>
            <c:strRef>
              <c:f>Permanence!$AN$41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Permanence!$Y$2:$AC$3</c:f>
              <c:strCache>
                <c:ptCount val="5"/>
                <c:pt idx="0">
                  <c:v>2019/20</c:v>
                </c:pt>
                <c:pt idx="1">
                  <c:v>2020/21</c:v>
                </c:pt>
                <c:pt idx="2">
                  <c:v>2021/22</c:v>
                </c:pt>
                <c:pt idx="3">
                  <c:v>2022/23</c:v>
                </c:pt>
                <c:pt idx="4">
                  <c:v>2023/24</c:v>
                </c:pt>
              </c:strCache>
            </c:strRef>
          </c:cat>
          <c:val>
            <c:numRef>
              <c:f>Permanence!$AZ$41:$BD$41</c:f>
              <c:numCache>
                <c:formatCode>0.0%</c:formatCode>
                <c:ptCount val="5"/>
                <c:pt idx="0">
                  <c:v>0.15340909090909091</c:v>
                </c:pt>
                <c:pt idx="1">
                  <c:v>0.15340909090909091</c:v>
                </c:pt>
                <c:pt idx="2">
                  <c:v>8.4821428571428575E-2</c:v>
                </c:pt>
                <c:pt idx="3">
                  <c:v>7.0422535211267609E-2</c:v>
                </c:pt>
                <c:pt idx="4">
                  <c:v>8.085106382978724E-2</c:v>
                </c:pt>
              </c:numCache>
            </c:numRef>
          </c:val>
          <c:smooth val="0"/>
          <c:extLst>
            <c:ext xmlns:c16="http://schemas.microsoft.com/office/drawing/2014/chart" uri="{C3380CC4-5D6E-409C-BE32-E72D297353CC}">
              <c16:uniqueId val="{00000004-B997-4DF0-97AC-E2B4E5E7FBB8}"/>
            </c:ext>
          </c:extLst>
        </c:ser>
        <c:ser>
          <c:idx val="9"/>
          <c:order val="4"/>
          <c:tx>
            <c:strRef>
              <c:f>Permanence!$AN$42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Permanence!$Y$2:$AC$3</c:f>
              <c:strCache>
                <c:ptCount val="5"/>
                <c:pt idx="0">
                  <c:v>2019/20</c:v>
                </c:pt>
                <c:pt idx="1">
                  <c:v>2020/21</c:v>
                </c:pt>
                <c:pt idx="2">
                  <c:v>2021/22</c:v>
                </c:pt>
                <c:pt idx="3">
                  <c:v>2022/23</c:v>
                </c:pt>
                <c:pt idx="4">
                  <c:v>2023/24</c:v>
                </c:pt>
              </c:strCache>
            </c:strRef>
          </c:cat>
          <c:val>
            <c:numRef>
              <c:f>Permanence!$AZ$42:$BD$42</c:f>
              <c:numCache>
                <c:formatCode>0.0%</c:formatCode>
                <c:ptCount val="5"/>
                <c:pt idx="0">
                  <c:v>0.11217948717948718</c:v>
                </c:pt>
                <c:pt idx="1">
                  <c:v>8.9005235602094238E-2</c:v>
                </c:pt>
                <c:pt idx="2">
                  <c:v>7.7338129496402883E-2</c:v>
                </c:pt>
                <c:pt idx="3">
                  <c:v>9.3137254901960786E-2</c:v>
                </c:pt>
                <c:pt idx="4">
                  <c:v>0.10920436817472699</c:v>
                </c:pt>
              </c:numCache>
            </c:numRef>
          </c:val>
          <c:smooth val="0"/>
          <c:extLst>
            <c:ext xmlns:c16="http://schemas.microsoft.com/office/drawing/2014/chart" uri="{C3380CC4-5D6E-409C-BE32-E72D297353CC}">
              <c16:uniqueId val="{00000005-B997-4DF0-97AC-E2B4E5E7FBB8}"/>
            </c:ext>
          </c:extLst>
        </c:ser>
        <c:ser>
          <c:idx val="10"/>
          <c:order val="5"/>
          <c:tx>
            <c:strRef>
              <c:f>Permanence!$AN$43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Permanence!$Y$2:$AC$3</c:f>
              <c:strCache>
                <c:ptCount val="5"/>
                <c:pt idx="0">
                  <c:v>2019/20</c:v>
                </c:pt>
                <c:pt idx="1">
                  <c:v>2020/21</c:v>
                </c:pt>
                <c:pt idx="2">
                  <c:v>2021/22</c:v>
                </c:pt>
                <c:pt idx="3">
                  <c:v>2022/23</c:v>
                </c:pt>
                <c:pt idx="4">
                  <c:v>2023/24</c:v>
                </c:pt>
              </c:strCache>
            </c:strRef>
          </c:cat>
          <c:val>
            <c:numRef>
              <c:f>Permanence!$AZ$43:$BD$43</c:f>
              <c:numCache>
                <c:formatCode>0.0%</c:formatCode>
                <c:ptCount val="5"/>
                <c:pt idx="0">
                  <c:v>0.16981132075471697</c:v>
                </c:pt>
                <c:pt idx="1">
                  <c:v>#N/A</c:v>
                </c:pt>
                <c:pt idx="2">
                  <c:v>0.15730337078651685</c:v>
                </c:pt>
                <c:pt idx="3">
                  <c:v>#N/A</c:v>
                </c:pt>
                <c:pt idx="4">
                  <c:v>8.3333333333333329E-2</c:v>
                </c:pt>
              </c:numCache>
            </c:numRef>
          </c:val>
          <c:smooth val="0"/>
          <c:extLst>
            <c:ext xmlns:c16="http://schemas.microsoft.com/office/drawing/2014/chart" uri="{C3380CC4-5D6E-409C-BE32-E72D297353CC}">
              <c16:uniqueId val="{00000006-B997-4DF0-97AC-E2B4E5E7FBB8}"/>
            </c:ext>
          </c:extLst>
        </c:ser>
        <c:ser>
          <c:idx val="11"/>
          <c:order val="6"/>
          <c:tx>
            <c:strRef>
              <c:f>Permanence!$AN$44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Permanence!$Y$2:$AC$3</c:f>
              <c:strCache>
                <c:ptCount val="5"/>
                <c:pt idx="0">
                  <c:v>2019/20</c:v>
                </c:pt>
                <c:pt idx="1">
                  <c:v>2020/21</c:v>
                </c:pt>
                <c:pt idx="2">
                  <c:v>2021/22</c:v>
                </c:pt>
                <c:pt idx="3">
                  <c:v>2022/23</c:v>
                </c:pt>
                <c:pt idx="4">
                  <c:v>2023/24</c:v>
                </c:pt>
              </c:strCache>
            </c:strRef>
          </c:cat>
          <c:val>
            <c:numRef>
              <c:f>Permanence!$AZ$44:$BD$44</c:f>
              <c:numCache>
                <c:formatCode>0.0%</c:formatCode>
                <c:ptCount val="5"/>
                <c:pt idx="0">
                  <c:v>8.5365853658536592E-2</c:v>
                </c:pt>
                <c:pt idx="1">
                  <c:v>3.8698328935795952E-2</c:v>
                </c:pt>
                <c:pt idx="2">
                  <c:v>3.443328550932568E-2</c:v>
                </c:pt>
                <c:pt idx="3">
                  <c:v>3.4334763948497854E-2</c:v>
                </c:pt>
                <c:pt idx="4">
                  <c:v>2.4862888482632541E-2</c:v>
                </c:pt>
              </c:numCache>
            </c:numRef>
          </c:val>
          <c:smooth val="0"/>
          <c:extLst>
            <c:ext xmlns:c16="http://schemas.microsoft.com/office/drawing/2014/chart" uri="{C3380CC4-5D6E-409C-BE32-E72D297353CC}">
              <c16:uniqueId val="{00000007-B997-4DF0-97AC-E2B4E5E7FBB8}"/>
            </c:ext>
          </c:extLst>
        </c:ser>
        <c:ser>
          <c:idx val="12"/>
          <c:order val="7"/>
          <c:tx>
            <c:strRef>
              <c:f>Permanence!$AN$45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Permanence!$Y$2:$AC$3</c:f>
              <c:strCache>
                <c:ptCount val="5"/>
                <c:pt idx="0">
                  <c:v>2019/20</c:v>
                </c:pt>
                <c:pt idx="1">
                  <c:v>2020/21</c:v>
                </c:pt>
                <c:pt idx="2">
                  <c:v>2021/22</c:v>
                </c:pt>
                <c:pt idx="3">
                  <c:v>2022/23</c:v>
                </c:pt>
                <c:pt idx="4">
                  <c:v>2023/24</c:v>
                </c:pt>
              </c:strCache>
            </c:strRef>
          </c:cat>
          <c:val>
            <c:numRef>
              <c:f>Permanence!$AZ$45:$BD$45</c:f>
              <c:numCache>
                <c:formatCode>0.0%</c:formatCode>
                <c:ptCount val="5"/>
                <c:pt idx="0">
                  <c:v>0.12777777777777777</c:v>
                </c:pt>
                <c:pt idx="1">
                  <c:v>0.1037037037037037</c:v>
                </c:pt>
                <c:pt idx="2">
                  <c:v>0.17741935483870969</c:v>
                </c:pt>
                <c:pt idx="3">
                  <c:v>0.14285714285714285</c:v>
                </c:pt>
                <c:pt idx="4">
                  <c:v>9.7297297297297303E-2</c:v>
                </c:pt>
              </c:numCache>
            </c:numRef>
          </c:val>
          <c:smooth val="0"/>
          <c:extLst>
            <c:ext xmlns:c16="http://schemas.microsoft.com/office/drawing/2014/chart" uri="{C3380CC4-5D6E-409C-BE32-E72D297353CC}">
              <c16:uniqueId val="{00000008-B997-4DF0-97AC-E2B4E5E7FBB8}"/>
            </c:ext>
          </c:extLst>
        </c:ser>
        <c:ser>
          <c:idx val="13"/>
          <c:order val="8"/>
          <c:tx>
            <c:strRef>
              <c:f>Permanence!$AN$46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Permanence!$Y$2:$AC$3</c:f>
              <c:strCache>
                <c:ptCount val="5"/>
                <c:pt idx="0">
                  <c:v>2019/20</c:v>
                </c:pt>
                <c:pt idx="1">
                  <c:v>2020/21</c:v>
                </c:pt>
                <c:pt idx="2">
                  <c:v>2021/22</c:v>
                </c:pt>
                <c:pt idx="3">
                  <c:v>2022/23</c:v>
                </c:pt>
                <c:pt idx="4">
                  <c:v>2023/24</c:v>
                </c:pt>
              </c:strCache>
            </c:strRef>
          </c:cat>
          <c:val>
            <c:numRef>
              <c:f>Permanence!$AZ$46:$BD$46</c:f>
              <c:numCache>
                <c:formatCode>0.0%</c:formatCode>
                <c:ptCount val="5"/>
                <c:pt idx="0">
                  <c:v>0.12837837837837837</c:v>
                </c:pt>
                <c:pt idx="1">
                  <c:v>0.11904761904761904</c:v>
                </c:pt>
                <c:pt idx="2">
                  <c:v>0.1497326203208556</c:v>
                </c:pt>
                <c:pt idx="3">
                  <c:v>0.10919540229885058</c:v>
                </c:pt>
                <c:pt idx="4">
                  <c:v>0.10497237569060773</c:v>
                </c:pt>
              </c:numCache>
            </c:numRef>
          </c:val>
          <c:smooth val="0"/>
          <c:extLst>
            <c:ext xmlns:c16="http://schemas.microsoft.com/office/drawing/2014/chart" uri="{C3380CC4-5D6E-409C-BE32-E72D297353CC}">
              <c16:uniqueId val="{00000009-B997-4DF0-97AC-E2B4E5E7FBB8}"/>
            </c:ext>
          </c:extLst>
        </c:ser>
        <c:ser>
          <c:idx val="15"/>
          <c:order val="9"/>
          <c:tx>
            <c:strRef>
              <c:f>Permanence!$AN$47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Permanence!$Y$2:$AC$3</c:f>
              <c:strCache>
                <c:ptCount val="5"/>
                <c:pt idx="0">
                  <c:v>2019/20</c:v>
                </c:pt>
                <c:pt idx="1">
                  <c:v>2020/21</c:v>
                </c:pt>
                <c:pt idx="2">
                  <c:v>2021/22</c:v>
                </c:pt>
                <c:pt idx="3">
                  <c:v>2022/23</c:v>
                </c:pt>
                <c:pt idx="4">
                  <c:v>2023/24</c:v>
                </c:pt>
              </c:strCache>
            </c:strRef>
          </c:cat>
          <c:val>
            <c:numRef>
              <c:f>Permanence!$AZ$47:$BD$47</c:f>
              <c:numCache>
                <c:formatCode>0.0%</c:formatCode>
                <c:ptCount val="5"/>
                <c:pt idx="0">
                  <c:v>0.10869565217391304</c:v>
                </c:pt>
                <c:pt idx="1">
                  <c:v>9.3525179856115109E-2</c:v>
                </c:pt>
                <c:pt idx="2">
                  <c:v>9.3645484949832769E-2</c:v>
                </c:pt>
                <c:pt idx="3">
                  <c:v>6.9164265129683003E-2</c:v>
                </c:pt>
                <c:pt idx="4">
                  <c:v>7.4626865671641784E-2</c:v>
                </c:pt>
              </c:numCache>
            </c:numRef>
          </c:val>
          <c:smooth val="0"/>
          <c:extLst>
            <c:ext xmlns:c16="http://schemas.microsoft.com/office/drawing/2014/chart" uri="{C3380CC4-5D6E-409C-BE32-E72D297353CC}">
              <c16:uniqueId val="{0000000A-B997-4DF0-97AC-E2B4E5E7FBB8}"/>
            </c:ext>
          </c:extLst>
        </c:ser>
        <c:ser>
          <c:idx val="16"/>
          <c:order val="10"/>
          <c:tx>
            <c:strRef>
              <c:f>Permanence!$AN$48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Permanence!$Y$2:$AC$3</c:f>
              <c:strCache>
                <c:ptCount val="5"/>
                <c:pt idx="0">
                  <c:v>2019/20</c:v>
                </c:pt>
                <c:pt idx="1">
                  <c:v>2020/21</c:v>
                </c:pt>
                <c:pt idx="2">
                  <c:v>2021/22</c:v>
                </c:pt>
                <c:pt idx="3">
                  <c:v>2022/23</c:v>
                </c:pt>
                <c:pt idx="4">
                  <c:v>2023/24</c:v>
                </c:pt>
              </c:strCache>
            </c:strRef>
          </c:cat>
          <c:val>
            <c:numRef>
              <c:f>Permanence!$AZ$48:$BD$48</c:f>
              <c:numCache>
                <c:formatCode>0.0%</c:formatCode>
                <c:ptCount val="5"/>
                <c:pt idx="0">
                  <c:v>0.11274509803921569</c:v>
                </c:pt>
                <c:pt idx="1">
                  <c:v>7.8703703703703706E-2</c:v>
                </c:pt>
                <c:pt idx="2">
                  <c:v>0.140625</c:v>
                </c:pt>
                <c:pt idx="3">
                  <c:v>8.2802547770700632E-2</c:v>
                </c:pt>
                <c:pt idx="4">
                  <c:v>0.11538461538461539</c:v>
                </c:pt>
              </c:numCache>
            </c:numRef>
          </c:val>
          <c:smooth val="0"/>
          <c:extLst>
            <c:ext xmlns:c16="http://schemas.microsoft.com/office/drawing/2014/chart" uri="{C3380CC4-5D6E-409C-BE32-E72D297353CC}">
              <c16:uniqueId val="{0000000B-B997-4DF0-97AC-E2B4E5E7FBB8}"/>
            </c:ext>
          </c:extLst>
        </c:ser>
        <c:ser>
          <c:idx val="17"/>
          <c:order val="11"/>
          <c:tx>
            <c:strRef>
              <c:f>Permanence!$AN$49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Permanence!$Y$2:$AC$3</c:f>
              <c:strCache>
                <c:ptCount val="5"/>
                <c:pt idx="0">
                  <c:v>2019/20</c:v>
                </c:pt>
                <c:pt idx="1">
                  <c:v>2020/21</c:v>
                </c:pt>
                <c:pt idx="2">
                  <c:v>2021/22</c:v>
                </c:pt>
                <c:pt idx="3">
                  <c:v>2022/23</c:v>
                </c:pt>
                <c:pt idx="4">
                  <c:v>2023/24</c:v>
                </c:pt>
              </c:strCache>
            </c:strRef>
          </c:cat>
          <c:val>
            <c:numRef>
              <c:f>Permanence!$AZ$49:$BD$49</c:f>
              <c:numCache>
                <c:formatCode>0.0%</c:formatCode>
                <c:ptCount val="5"/>
                <c:pt idx="0">
                  <c:v>0.14678899082568808</c:v>
                </c:pt>
                <c:pt idx="1">
                  <c:v>0.10891089108910891</c:v>
                </c:pt>
                <c:pt idx="2">
                  <c:v>0.1206896551724138</c:v>
                </c:pt>
                <c:pt idx="3">
                  <c:v>0.17073170731707318</c:v>
                </c:pt>
                <c:pt idx="4">
                  <c:v>#N/A</c:v>
                </c:pt>
              </c:numCache>
            </c:numRef>
          </c:val>
          <c:smooth val="0"/>
          <c:extLst>
            <c:ext xmlns:c16="http://schemas.microsoft.com/office/drawing/2014/chart" uri="{C3380CC4-5D6E-409C-BE32-E72D297353CC}">
              <c16:uniqueId val="{0000000C-B997-4DF0-97AC-E2B4E5E7FBB8}"/>
            </c:ext>
          </c:extLst>
        </c:ser>
        <c:ser>
          <c:idx val="19"/>
          <c:order val="12"/>
          <c:tx>
            <c:strRef>
              <c:f>Permanence!$AN$50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Permanence!$Y$2:$AC$3</c:f>
              <c:strCache>
                <c:ptCount val="5"/>
                <c:pt idx="0">
                  <c:v>2019/20</c:v>
                </c:pt>
                <c:pt idx="1">
                  <c:v>2020/21</c:v>
                </c:pt>
                <c:pt idx="2">
                  <c:v>2021/22</c:v>
                </c:pt>
                <c:pt idx="3">
                  <c:v>2022/23</c:v>
                </c:pt>
                <c:pt idx="4">
                  <c:v>2023/24</c:v>
                </c:pt>
              </c:strCache>
            </c:strRef>
          </c:cat>
          <c:val>
            <c:numRef>
              <c:f>Permanence!$AZ$50:$BD$50</c:f>
              <c:numCache>
                <c:formatCode>0.0%</c:formatCode>
                <c:ptCount val="5"/>
                <c:pt idx="0">
                  <c:v>0.12</c:v>
                </c:pt>
                <c:pt idx="1">
                  <c:v>9.7087378640776698E-2</c:v>
                </c:pt>
                <c:pt idx="2">
                  <c:v>8.0357142857142863E-2</c:v>
                </c:pt>
                <c:pt idx="3">
                  <c:v>0.16528925619834711</c:v>
                </c:pt>
                <c:pt idx="4">
                  <c:v>#N/A</c:v>
                </c:pt>
              </c:numCache>
            </c:numRef>
          </c:val>
          <c:smooth val="0"/>
          <c:extLst>
            <c:ext xmlns:c16="http://schemas.microsoft.com/office/drawing/2014/chart" uri="{C3380CC4-5D6E-409C-BE32-E72D297353CC}">
              <c16:uniqueId val="{0000000D-B997-4DF0-97AC-E2B4E5E7FBB8}"/>
            </c:ext>
          </c:extLst>
        </c:ser>
        <c:ser>
          <c:idx val="20"/>
          <c:order val="13"/>
          <c:tx>
            <c:strRef>
              <c:f>Permanence!$AN$51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Permanence!$Y$2:$AC$3</c:f>
              <c:strCache>
                <c:ptCount val="5"/>
                <c:pt idx="0">
                  <c:v>2019/20</c:v>
                </c:pt>
                <c:pt idx="1">
                  <c:v>2020/21</c:v>
                </c:pt>
                <c:pt idx="2">
                  <c:v>2021/22</c:v>
                </c:pt>
                <c:pt idx="3">
                  <c:v>2022/23</c:v>
                </c:pt>
                <c:pt idx="4">
                  <c:v>2023/24</c:v>
                </c:pt>
              </c:strCache>
            </c:strRef>
          </c:cat>
          <c:val>
            <c:numRef>
              <c:f>Permanence!$AZ$51:$BD$51</c:f>
              <c:numCache>
                <c:formatCode>0.0%</c:formatCode>
                <c:ptCount val="5"/>
                <c:pt idx="0">
                  <c:v>0.135678391959799</c:v>
                </c:pt>
                <c:pt idx="1">
                  <c:v>0.17486338797814208</c:v>
                </c:pt>
                <c:pt idx="2">
                  <c:v>9.580838323353294E-2</c:v>
                </c:pt>
                <c:pt idx="3">
                  <c:v>0.14678899082568808</c:v>
                </c:pt>
                <c:pt idx="4">
                  <c:v>0.14018691588785046</c:v>
                </c:pt>
              </c:numCache>
            </c:numRef>
          </c:val>
          <c:smooth val="0"/>
          <c:extLst>
            <c:ext xmlns:c16="http://schemas.microsoft.com/office/drawing/2014/chart" uri="{C3380CC4-5D6E-409C-BE32-E72D297353CC}">
              <c16:uniqueId val="{0000000F-B997-4DF0-97AC-E2B4E5E7FBB8}"/>
            </c:ext>
          </c:extLst>
        </c:ser>
        <c:ser>
          <c:idx val="22"/>
          <c:order val="14"/>
          <c:tx>
            <c:strRef>
              <c:f>Permanence!$AN$52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Permanence!$Y$2:$AC$3</c:f>
              <c:strCache>
                <c:ptCount val="5"/>
                <c:pt idx="0">
                  <c:v>2019/20</c:v>
                </c:pt>
                <c:pt idx="1">
                  <c:v>2020/21</c:v>
                </c:pt>
                <c:pt idx="2">
                  <c:v>2021/22</c:v>
                </c:pt>
                <c:pt idx="3">
                  <c:v>2022/23</c:v>
                </c:pt>
                <c:pt idx="4">
                  <c:v>2023/24</c:v>
                </c:pt>
              </c:strCache>
            </c:strRef>
          </c:cat>
          <c:val>
            <c:numRef>
              <c:f>Permanence!$AZ$52:$BD$52</c:f>
              <c:numCache>
                <c:formatCode>0.0%</c:formatCode>
                <c:ptCount val="5"/>
                <c:pt idx="0">
                  <c:v>7.6712328767123292E-2</c:v>
                </c:pt>
                <c:pt idx="1">
                  <c:v>7.3349633251833746E-2</c:v>
                </c:pt>
                <c:pt idx="2">
                  <c:v>5.7500000000000002E-2</c:v>
                </c:pt>
                <c:pt idx="3">
                  <c:v>7.3634204275534437E-2</c:v>
                </c:pt>
                <c:pt idx="4">
                  <c:v>6.205250596658711E-2</c:v>
                </c:pt>
              </c:numCache>
            </c:numRef>
          </c:val>
          <c:smooth val="0"/>
          <c:extLst>
            <c:ext xmlns:c16="http://schemas.microsoft.com/office/drawing/2014/chart" uri="{C3380CC4-5D6E-409C-BE32-E72D297353CC}">
              <c16:uniqueId val="{00000010-B997-4DF0-97AC-E2B4E5E7FBB8}"/>
            </c:ext>
          </c:extLst>
        </c:ser>
        <c:ser>
          <c:idx val="23"/>
          <c:order val="15"/>
          <c:tx>
            <c:strRef>
              <c:f>Permanence!$AN$53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Permanence!$Y$2:$AC$3</c:f>
              <c:strCache>
                <c:ptCount val="5"/>
                <c:pt idx="0">
                  <c:v>2019/20</c:v>
                </c:pt>
                <c:pt idx="1">
                  <c:v>2020/21</c:v>
                </c:pt>
                <c:pt idx="2">
                  <c:v>2021/22</c:v>
                </c:pt>
                <c:pt idx="3">
                  <c:v>2022/23</c:v>
                </c:pt>
                <c:pt idx="4">
                  <c:v>2023/24</c:v>
                </c:pt>
              </c:strCache>
            </c:strRef>
          </c:cat>
          <c:val>
            <c:numRef>
              <c:f>Permanence!$AZ$53:$BD$53</c:f>
              <c:numCache>
                <c:formatCode>0.0%</c:formatCode>
                <c:ptCount val="5"/>
                <c:pt idx="0">
                  <c:v>8.1081081081081086E-2</c:v>
                </c:pt>
                <c:pt idx="1">
                  <c:v>0.10344827586206896</c:v>
                </c:pt>
                <c:pt idx="2">
                  <c:v>#N/A</c:v>
                </c:pt>
                <c:pt idx="3">
                  <c:v>#N/A</c:v>
                </c:pt>
                <c:pt idx="4">
                  <c:v>#N/A</c:v>
                </c:pt>
              </c:numCache>
            </c:numRef>
          </c:val>
          <c:smooth val="0"/>
          <c:extLst>
            <c:ext xmlns:c16="http://schemas.microsoft.com/office/drawing/2014/chart" uri="{C3380CC4-5D6E-409C-BE32-E72D297353CC}">
              <c16:uniqueId val="{00000013-B997-4DF0-97AC-E2B4E5E7FBB8}"/>
            </c:ext>
          </c:extLst>
        </c:ser>
        <c:ser>
          <c:idx val="24"/>
          <c:order val="16"/>
          <c:tx>
            <c:strRef>
              <c:f>Permanence!$AN$54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Permanence!$Y$2:$AC$3</c:f>
              <c:strCache>
                <c:ptCount val="5"/>
                <c:pt idx="0">
                  <c:v>2019/20</c:v>
                </c:pt>
                <c:pt idx="1">
                  <c:v>2020/21</c:v>
                </c:pt>
                <c:pt idx="2">
                  <c:v>2021/22</c:v>
                </c:pt>
                <c:pt idx="3">
                  <c:v>2022/23</c:v>
                </c:pt>
                <c:pt idx="4">
                  <c:v>2023/24</c:v>
                </c:pt>
              </c:strCache>
            </c:strRef>
          </c:cat>
          <c:val>
            <c:numRef>
              <c:f>Permanence!$AZ$54:$BD$54</c:f>
              <c:numCache>
                <c:formatCode>0.0%</c:formatCode>
                <c:ptCount val="5"/>
                <c:pt idx="0">
                  <c:v>0.10985915492957747</c:v>
                </c:pt>
                <c:pt idx="1">
                  <c:v>9.3264248704663211E-2</c:v>
                </c:pt>
                <c:pt idx="2">
                  <c:v>7.8774617067833702E-2</c:v>
                </c:pt>
                <c:pt idx="3">
                  <c:v>7.6923076923076927E-2</c:v>
                </c:pt>
                <c:pt idx="4">
                  <c:v>7.9800498753117205E-2</c:v>
                </c:pt>
              </c:numCache>
            </c:numRef>
          </c:val>
          <c:smooth val="0"/>
          <c:extLst>
            <c:ext xmlns:c16="http://schemas.microsoft.com/office/drawing/2014/chart" uri="{C3380CC4-5D6E-409C-BE32-E72D297353CC}">
              <c16:uniqueId val="{00000014-B997-4DF0-97AC-E2B4E5E7FBB8}"/>
            </c:ext>
          </c:extLst>
        </c:ser>
        <c:ser>
          <c:idx val="25"/>
          <c:order val="17"/>
          <c:tx>
            <c:strRef>
              <c:f>Permanence!$AN$55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Permanence!$Y$2:$AC$3</c:f>
              <c:strCache>
                <c:ptCount val="5"/>
                <c:pt idx="0">
                  <c:v>2019/20</c:v>
                </c:pt>
                <c:pt idx="1">
                  <c:v>2020/21</c:v>
                </c:pt>
                <c:pt idx="2">
                  <c:v>2021/22</c:v>
                </c:pt>
                <c:pt idx="3">
                  <c:v>2022/23</c:v>
                </c:pt>
                <c:pt idx="4">
                  <c:v>2023/24</c:v>
                </c:pt>
              </c:strCache>
            </c:strRef>
          </c:cat>
          <c:val>
            <c:numRef>
              <c:f>Permanence!$AZ$55:$BD$55</c:f>
              <c:numCache>
                <c:formatCode>0.0%</c:formatCode>
                <c:ptCount val="5"/>
                <c:pt idx="0">
                  <c:v>0</c:v>
                </c:pt>
                <c:pt idx="1">
                  <c:v>#N/A</c:v>
                </c:pt>
                <c:pt idx="2">
                  <c:v>#N/A</c:v>
                </c:pt>
                <c:pt idx="3">
                  <c:v>8.2191780821917804E-2</c:v>
                </c:pt>
                <c:pt idx="4">
                  <c:v>#N/A</c:v>
                </c:pt>
              </c:numCache>
            </c:numRef>
          </c:val>
          <c:smooth val="0"/>
          <c:extLst>
            <c:ext xmlns:c16="http://schemas.microsoft.com/office/drawing/2014/chart" uri="{C3380CC4-5D6E-409C-BE32-E72D297353CC}">
              <c16:uniqueId val="{00000015-B997-4DF0-97AC-E2B4E5E7FBB8}"/>
            </c:ext>
          </c:extLst>
        </c:ser>
        <c:ser>
          <c:idx val="26"/>
          <c:order val="18"/>
          <c:tx>
            <c:strRef>
              <c:f>Permanence!$AN$56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Permanence!$Y$2:$AC$3</c:f>
              <c:strCache>
                <c:ptCount val="5"/>
                <c:pt idx="0">
                  <c:v>2019/20</c:v>
                </c:pt>
                <c:pt idx="1">
                  <c:v>2020/21</c:v>
                </c:pt>
                <c:pt idx="2">
                  <c:v>2021/22</c:v>
                </c:pt>
                <c:pt idx="3">
                  <c:v>2022/23</c:v>
                </c:pt>
                <c:pt idx="4">
                  <c:v>2023/24</c:v>
                </c:pt>
              </c:strCache>
            </c:strRef>
          </c:cat>
          <c:val>
            <c:numRef>
              <c:f>Permanence!$AZ$56:$BD$56</c:f>
              <c:numCache>
                <c:formatCode>0.0%</c:formatCode>
                <c:ptCount val="5"/>
                <c:pt idx="0">
                  <c:v>0.10909090909090909</c:v>
                </c:pt>
                <c:pt idx="1">
                  <c:v>#N/A</c:v>
                </c:pt>
                <c:pt idx="2">
                  <c:v>#N/A</c:v>
                </c:pt>
                <c:pt idx="3">
                  <c:v>#N/A</c:v>
                </c:pt>
                <c:pt idx="4">
                  <c:v>#N/A</c:v>
                </c:pt>
              </c:numCache>
            </c:numRef>
          </c:val>
          <c:smooth val="0"/>
          <c:extLst>
            <c:ext xmlns:c16="http://schemas.microsoft.com/office/drawing/2014/chart" uri="{C3380CC4-5D6E-409C-BE32-E72D297353CC}">
              <c16:uniqueId val="{00000016-B997-4DF0-97AC-E2B4E5E7FBB8}"/>
            </c:ext>
          </c:extLst>
        </c:ser>
        <c:ser>
          <c:idx val="4"/>
          <c:order val="19"/>
          <c:tx>
            <c:strRef>
              <c:f>Permanence!$AN$57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Permanence!$Y$2:$AC$3</c:f>
              <c:strCache>
                <c:ptCount val="5"/>
                <c:pt idx="0">
                  <c:v>2019/20</c:v>
                </c:pt>
                <c:pt idx="1">
                  <c:v>2020/21</c:v>
                </c:pt>
                <c:pt idx="2">
                  <c:v>2021/22</c:v>
                </c:pt>
                <c:pt idx="3">
                  <c:v>2022/23</c:v>
                </c:pt>
                <c:pt idx="4">
                  <c:v>2023/24</c:v>
                </c:pt>
              </c:strCache>
            </c:strRef>
          </c:cat>
          <c:val>
            <c:numRef>
              <c:f>Permanence!$AZ$57:$BD$57</c:f>
              <c:numCache>
                <c:formatCode>0.0%</c:formatCode>
                <c:ptCount val="5"/>
                <c:pt idx="0">
                  <c:v>0.11032863849765258</c:v>
                </c:pt>
                <c:pt idx="1">
                  <c:v>8.3146067415730343E-2</c:v>
                </c:pt>
                <c:pt idx="2">
                  <c:v>7.4844074844074848E-2</c:v>
                </c:pt>
                <c:pt idx="3">
                  <c:v>7.2796934865900387E-2</c:v>
                </c:pt>
                <c:pt idx="4">
                  <c:v>6.0747663551401869E-2</c:v>
                </c:pt>
              </c:numCache>
            </c:numRef>
          </c:val>
          <c:smooth val="0"/>
          <c:extLst>
            <c:ext xmlns:c16="http://schemas.microsoft.com/office/drawing/2014/chart" uri="{C3380CC4-5D6E-409C-BE32-E72D297353CC}">
              <c16:uniqueId val="{00000017-B997-4DF0-97AC-E2B4E5E7FBB8}"/>
            </c:ext>
          </c:extLst>
        </c:ser>
        <c:ser>
          <c:idx val="14"/>
          <c:order val="20"/>
          <c:tx>
            <c:strRef>
              <c:f>Permanence!$AN$58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Permanence!$Y$2:$AC$3</c:f>
              <c:strCache>
                <c:ptCount val="5"/>
                <c:pt idx="0">
                  <c:v>2019/20</c:v>
                </c:pt>
                <c:pt idx="1">
                  <c:v>2020/21</c:v>
                </c:pt>
                <c:pt idx="2">
                  <c:v>2021/22</c:v>
                </c:pt>
                <c:pt idx="3">
                  <c:v>2022/23</c:v>
                </c:pt>
                <c:pt idx="4">
                  <c:v>2023/24</c:v>
                </c:pt>
              </c:strCache>
            </c:strRef>
          </c:cat>
          <c:val>
            <c:numRef>
              <c:f>Permanence!$AZ$58:$BD$58</c:f>
              <c:numCache>
                <c:formatCode>0.0%</c:formatCode>
                <c:ptCount val="5"/>
                <c:pt idx="0">
                  <c:v>0.1165934437309902</c:v>
                </c:pt>
                <c:pt idx="1">
                  <c:v>0.10246340592645484</c:v>
                </c:pt>
                <c:pt idx="2">
                  <c:v>9.8104423012969733E-2</c:v>
                </c:pt>
                <c:pt idx="3">
                  <c:v>9.3434343434343439E-2</c:v>
                </c:pt>
                <c:pt idx="4">
                  <c:v>8.8637715645449131E-2</c:v>
                </c:pt>
              </c:numCache>
            </c:numRef>
          </c:val>
          <c:smooth val="0"/>
          <c:extLst>
            <c:ext xmlns:c16="http://schemas.microsoft.com/office/drawing/2014/chart" uri="{C3380CC4-5D6E-409C-BE32-E72D297353CC}">
              <c16:uniqueId val="{00000018-B997-4DF0-97AC-E2B4E5E7FBB8}"/>
            </c:ext>
          </c:extLst>
        </c:ser>
        <c:ser>
          <c:idx val="6"/>
          <c:order val="21"/>
          <c:tx>
            <c:strRef>
              <c:f>Permanence!$AN$59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Permanence!$Y$2:$AC$3</c:f>
              <c:strCache>
                <c:ptCount val="5"/>
                <c:pt idx="0">
                  <c:v>2019/20</c:v>
                </c:pt>
                <c:pt idx="1">
                  <c:v>2020/21</c:v>
                </c:pt>
                <c:pt idx="2">
                  <c:v>2021/22</c:v>
                </c:pt>
                <c:pt idx="3">
                  <c:v>2022/23</c:v>
                </c:pt>
                <c:pt idx="4">
                  <c:v>2023/24</c:v>
                </c:pt>
              </c:strCache>
            </c:strRef>
          </c:cat>
          <c:val>
            <c:numRef>
              <c:f>Permanence!$AZ$59:$BD$59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B997-4DF0-97AC-E2B4E5E7FBB8}"/>
            </c:ext>
          </c:extLst>
        </c:ser>
        <c:dLbls>
          <c:showLegendKey val="0"/>
          <c:showVal val="0"/>
          <c:showCatName val="0"/>
          <c:showSerName val="0"/>
          <c:showPercent val="0"/>
          <c:showBubbleSize val="0"/>
        </c:dLbls>
        <c:marker val="1"/>
        <c:smooth val="0"/>
        <c:axId val="418116736"/>
        <c:axId val="418118272"/>
      </c:lineChart>
      <c:catAx>
        <c:axId val="418116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8118272"/>
        <c:crosses val="autoZero"/>
        <c:auto val="1"/>
        <c:lblAlgn val="ctr"/>
        <c:lblOffset val="100"/>
        <c:tickLblSkip val="1"/>
        <c:tickMarkSkip val="1"/>
        <c:noMultiLvlLbl val="0"/>
      </c:catAx>
      <c:valAx>
        <c:axId val="418118272"/>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8116736"/>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91057251443569553"/>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62A73B"/>
            </a:solidFill>
            <a:ln>
              <a:noFill/>
            </a:ln>
          </c:spPr>
          <c:invertIfNegative val="0"/>
          <c:cat>
            <c:strRef>
              <c:f>Referral_Source!$B$40:$B$60</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Referral_Source!$H$40:$H$60</c:f>
              <c:numCache>
                <c:formatCode>0.0</c:formatCode>
                <c:ptCount val="21"/>
                <c:pt idx="0">
                  <c:v>12.508272667107875</c:v>
                </c:pt>
                <c:pt idx="1">
                  <c:v>14.860300890389929</c:v>
                </c:pt>
                <c:pt idx="2">
                  <c:v>15.37764350453172</c:v>
                </c:pt>
                <c:pt idx="3">
                  <c:v>11.969380654140572</c:v>
                </c:pt>
                <c:pt idx="4">
                  <c:v>#N/A</c:v>
                </c:pt>
                <c:pt idx="5">
                  <c:v>14.595705801735953</c:v>
                </c:pt>
                <c:pt idx="6">
                  <c:v>14.41665629795529</c:v>
                </c:pt>
                <c:pt idx="7">
                  <c:v>11.20575430626538</c:v>
                </c:pt>
                <c:pt idx="8">
                  <c:v>12.495932313699967</c:v>
                </c:pt>
                <c:pt idx="9">
                  <c:v>13.176144244105409</c:v>
                </c:pt>
                <c:pt idx="10">
                  <c:v>14.814814814814813</c:v>
                </c:pt>
                <c:pt idx="11">
                  <c:v>15.251415251415251</c:v>
                </c:pt>
                <c:pt idx="12">
                  <c:v>14.32408236347359</c:v>
                </c:pt>
                <c:pt idx="13">
                  <c:v>14.835164835164836</c:v>
                </c:pt>
                <c:pt idx="14">
                  <c:v>16.701379848997657</c:v>
                </c:pt>
                <c:pt idx="15">
                  <c:v>11.228945726762321</c:v>
                </c:pt>
                <c:pt idx="16">
                  <c:v>12.066574202496533</c:v>
                </c:pt>
                <c:pt idx="17">
                  <c:v>14.230557087699944</c:v>
                </c:pt>
                <c:pt idx="18">
                  <c:v>15.051679586563308</c:v>
                </c:pt>
                <c:pt idx="19">
                  <c:v>14.032436010591351</c:v>
                </c:pt>
                <c:pt idx="20">
                  <c:v>14.693017721030458</c:v>
                </c:pt>
              </c:numCache>
            </c:numRef>
          </c:val>
          <c:extLst>
            <c:ext xmlns:c16="http://schemas.microsoft.com/office/drawing/2014/chart" uri="{C3380CC4-5D6E-409C-BE32-E72D297353CC}">
              <c16:uniqueId val="{00000000-3ED6-4434-AF4B-863065C1D6DE}"/>
            </c:ext>
          </c:extLst>
        </c:ser>
        <c:dLbls>
          <c:showLegendKey val="0"/>
          <c:showVal val="0"/>
          <c:showCatName val="0"/>
          <c:showSerName val="0"/>
          <c:showPercent val="0"/>
          <c:showBubbleSize val="0"/>
        </c:dLbls>
        <c:gapWidth val="40"/>
        <c:axId val="539986176"/>
        <c:axId val="539987968"/>
      </c:barChart>
      <c:catAx>
        <c:axId val="539986176"/>
        <c:scaling>
          <c:orientation val="maxMin"/>
        </c:scaling>
        <c:delete val="1"/>
        <c:axPos val="l"/>
        <c:numFmt formatCode="General" sourceLinked="0"/>
        <c:majorTickMark val="out"/>
        <c:minorTickMark val="none"/>
        <c:tickLblPos val="nextTo"/>
        <c:crossAx val="539987968"/>
        <c:crosses val="autoZero"/>
        <c:auto val="1"/>
        <c:lblAlgn val="ctr"/>
        <c:lblOffset val="100"/>
        <c:noMultiLvlLbl val="0"/>
      </c:catAx>
      <c:valAx>
        <c:axId val="539987968"/>
        <c:scaling>
          <c:orientation val="minMax"/>
        </c:scaling>
        <c:delete val="1"/>
        <c:axPos val="b"/>
        <c:majorGridlines/>
        <c:numFmt formatCode="0.0" sourceLinked="1"/>
        <c:majorTickMark val="out"/>
        <c:minorTickMark val="none"/>
        <c:tickLblPos val="nextTo"/>
        <c:crossAx val="539986176"/>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a:t>
            </a:r>
            <a:r>
              <a:rPr lang="en-GB" sz="900" baseline="0"/>
              <a:t> Placed within 12 Months of Adoption Decision</a:t>
            </a:r>
          </a:p>
          <a:p>
            <a:pPr>
              <a:defRPr sz="900" b="1" i="0" u="none" strike="noStrike" baseline="0">
                <a:solidFill>
                  <a:srgbClr val="000000"/>
                </a:solidFill>
                <a:latin typeface="Arial"/>
                <a:ea typeface="Arial"/>
                <a:cs typeface="Arial"/>
              </a:defRPr>
            </a:pPr>
            <a:r>
              <a:rPr lang="en-GB" sz="900"/>
              <a:t>(Selected LA</a:t>
            </a:r>
            <a:r>
              <a:rPr lang="en-GB" sz="900" baseline="0"/>
              <a:t> vs. SE &amp; National)</a:t>
            </a:r>
            <a:r>
              <a:rPr lang="en-GB" sz="900"/>
              <a:t> </a:t>
            </a:r>
          </a:p>
        </c:rich>
      </c:tx>
      <c:layout>
        <c:manualLayout>
          <c:xMode val="edge"/>
          <c:yMode val="edge"/>
          <c:x val="0.13326495726495724"/>
          <c:y val="3.8615036134181857E-3"/>
        </c:manualLayout>
      </c:layout>
      <c:overlay val="0"/>
      <c:spPr>
        <a:noFill/>
        <a:ln w="25400">
          <a:noFill/>
        </a:ln>
      </c:spPr>
    </c:title>
    <c:autoTitleDeleted val="0"/>
    <c:plotArea>
      <c:layout>
        <c:manualLayout>
          <c:layoutTarget val="inner"/>
          <c:xMode val="edge"/>
          <c:yMode val="edge"/>
          <c:x val="9.8666564984461691E-2"/>
          <c:y val="0.18211034790863909"/>
          <c:w val="0.64607416380644722"/>
          <c:h val="0.61872898866365111"/>
        </c:manualLayout>
      </c:layout>
      <c:barChart>
        <c:barDir val="col"/>
        <c:grouping val="clustered"/>
        <c:varyColors val="0"/>
        <c:ser>
          <c:idx val="6"/>
          <c:order val="0"/>
          <c:tx>
            <c:strRef>
              <c:f>Permanence!$Y$4</c:f>
              <c:strCache>
                <c:ptCount val="1"/>
                <c:pt idx="0">
                  <c:v>Selected LA- (none)</c:v>
                </c:pt>
              </c:strCache>
            </c:strRef>
          </c:tx>
          <c:spPr>
            <a:solidFill>
              <a:srgbClr val="66FF99"/>
            </a:solidFill>
            <a:ln>
              <a:solidFill>
                <a:schemeClr val="tx1">
                  <a:lumMod val="75000"/>
                  <a:lumOff val="25000"/>
                </a:schemeClr>
              </a:solidFill>
            </a:ln>
          </c:spPr>
          <c:invertIfNegative val="0"/>
          <c:cat>
            <c:strRef>
              <c:f>Permanence!$Y$2:$AC$3</c:f>
              <c:strCache>
                <c:ptCount val="5"/>
                <c:pt idx="0">
                  <c:v>2019/20</c:v>
                </c:pt>
                <c:pt idx="1">
                  <c:v>2020/21</c:v>
                </c:pt>
                <c:pt idx="2">
                  <c:v>2021/22</c:v>
                </c:pt>
                <c:pt idx="3">
                  <c:v>2022/23</c:v>
                </c:pt>
                <c:pt idx="4">
                  <c:v>2023/24</c:v>
                </c:pt>
              </c:strCache>
            </c:strRef>
          </c:cat>
          <c:val>
            <c:numRef>
              <c:f>Permanence!$AU$59:$AY$59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13AB-490B-85A1-058D53595012}"/>
            </c:ext>
          </c:extLst>
        </c:ser>
        <c:ser>
          <c:idx val="4"/>
          <c:order val="1"/>
          <c:tx>
            <c:strRef>
              <c:f>Permanence!$B$196</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Permanence!$Y$2:$AC$3</c:f>
              <c:strCache>
                <c:ptCount val="5"/>
                <c:pt idx="0">
                  <c:v>2019/20</c:v>
                </c:pt>
                <c:pt idx="1">
                  <c:v>2020/21</c:v>
                </c:pt>
                <c:pt idx="2">
                  <c:v>2021/22</c:v>
                </c:pt>
                <c:pt idx="3">
                  <c:v>2022/23</c:v>
                </c:pt>
                <c:pt idx="4">
                  <c:v>2023/24</c:v>
                </c:pt>
              </c:strCache>
            </c:strRef>
          </c:cat>
          <c:val>
            <c:numRef>
              <c:f>Permanence!$D$163:$H$163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13AB-490B-85A1-058D53595012}"/>
            </c:ext>
          </c:extLst>
        </c:ser>
        <c:ser>
          <c:idx val="0"/>
          <c:order val="2"/>
          <c:tx>
            <c:strRef>
              <c:f>Permanence!$B$197</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Permanence!$Y$2:$AC$3</c:f>
              <c:strCache>
                <c:ptCount val="5"/>
                <c:pt idx="0">
                  <c:v>2019/20</c:v>
                </c:pt>
                <c:pt idx="1">
                  <c:v>2020/21</c:v>
                </c:pt>
                <c:pt idx="2">
                  <c:v>2021/22</c:v>
                </c:pt>
                <c:pt idx="3">
                  <c:v>2022/23</c:v>
                </c:pt>
                <c:pt idx="4">
                  <c:v>2023/24</c:v>
                </c:pt>
              </c:strCache>
            </c:strRef>
          </c:cat>
          <c:val>
            <c:numRef>
              <c:f>Permanence!$D$164:$H$164</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2-13AB-490B-85A1-058D53595012}"/>
            </c:ext>
          </c:extLst>
        </c:ser>
        <c:dLbls>
          <c:showLegendKey val="0"/>
          <c:showVal val="0"/>
          <c:showCatName val="0"/>
          <c:showSerName val="0"/>
          <c:showPercent val="0"/>
          <c:showBubbleSize val="0"/>
        </c:dLbls>
        <c:gapWidth val="100"/>
        <c:axId val="418169600"/>
        <c:axId val="418171136"/>
      </c:barChart>
      <c:catAx>
        <c:axId val="418169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8171136"/>
        <c:crosses val="autoZero"/>
        <c:auto val="1"/>
        <c:lblAlgn val="ctr"/>
        <c:lblOffset val="100"/>
        <c:noMultiLvlLbl val="0"/>
      </c:catAx>
      <c:valAx>
        <c:axId val="418171136"/>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8169600"/>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78871731942598089"/>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LAC Adopted who were placed within 12 months of the Adoption Decision</a:t>
            </a:r>
          </a:p>
        </c:rich>
      </c:tx>
      <c:layout>
        <c:manualLayout>
          <c:xMode val="edge"/>
          <c:yMode val="edge"/>
          <c:x val="0.12946592470238572"/>
          <c:y val="1.0301221879597805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Permanence!$AN$38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33B7-4D0D-AC98-AB0DAFE7D887}"/>
              </c:ext>
            </c:extLst>
          </c:dPt>
          <c:cat>
            <c:strRef>
              <c:f>Permanence!$Y$2:$AC$3</c:f>
              <c:strCache>
                <c:ptCount val="5"/>
                <c:pt idx="0">
                  <c:v>2019/20</c:v>
                </c:pt>
                <c:pt idx="1">
                  <c:v>2020/21</c:v>
                </c:pt>
                <c:pt idx="2">
                  <c:v>2021/22</c:v>
                </c:pt>
                <c:pt idx="3">
                  <c:v>2022/23</c:v>
                </c:pt>
                <c:pt idx="4">
                  <c:v>2023/24</c:v>
                </c:pt>
              </c:strCache>
            </c:strRef>
          </c:cat>
          <c:val>
            <c:numRef>
              <c:f>Permanence!$AU$38:$AY$38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33B7-4D0D-AC98-AB0DAFE7D887}"/>
            </c:ext>
          </c:extLst>
        </c:ser>
        <c:ser>
          <c:idx val="1"/>
          <c:order val="1"/>
          <c:tx>
            <c:strRef>
              <c:f>Permanence!$AN$39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Permanence!$Y$2:$AC$3</c:f>
              <c:strCache>
                <c:ptCount val="5"/>
                <c:pt idx="0">
                  <c:v>2019/20</c:v>
                </c:pt>
                <c:pt idx="1">
                  <c:v>2020/21</c:v>
                </c:pt>
                <c:pt idx="2">
                  <c:v>2021/22</c:v>
                </c:pt>
                <c:pt idx="3">
                  <c:v>2022/23</c:v>
                </c:pt>
                <c:pt idx="4">
                  <c:v>2023/24</c:v>
                </c:pt>
              </c:strCache>
            </c:strRef>
          </c:cat>
          <c:val>
            <c:numRef>
              <c:f>Permanence!$AU$39:$AY$39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33B7-4D0D-AC98-AB0DAFE7D887}"/>
            </c:ext>
          </c:extLst>
        </c:ser>
        <c:ser>
          <c:idx val="2"/>
          <c:order val="2"/>
          <c:tx>
            <c:strRef>
              <c:f>Permanence!$AN$40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Permanence!$Y$2:$AC$3</c:f>
              <c:strCache>
                <c:ptCount val="5"/>
                <c:pt idx="0">
                  <c:v>2019/20</c:v>
                </c:pt>
                <c:pt idx="1">
                  <c:v>2020/21</c:v>
                </c:pt>
                <c:pt idx="2">
                  <c:v>2021/22</c:v>
                </c:pt>
                <c:pt idx="3">
                  <c:v>2022/23</c:v>
                </c:pt>
                <c:pt idx="4">
                  <c:v>2023/24</c:v>
                </c:pt>
              </c:strCache>
            </c:strRef>
          </c:cat>
          <c:val>
            <c:numRef>
              <c:f>Permanence!$AU$40:$AY$40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33B7-4D0D-AC98-AB0DAFE7D887}"/>
            </c:ext>
          </c:extLst>
        </c:ser>
        <c:ser>
          <c:idx val="5"/>
          <c:order val="3"/>
          <c:tx>
            <c:strRef>
              <c:f>Permanence!$AN$41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Permanence!$Y$2:$AC$3</c:f>
              <c:strCache>
                <c:ptCount val="5"/>
                <c:pt idx="0">
                  <c:v>2019/20</c:v>
                </c:pt>
                <c:pt idx="1">
                  <c:v>2020/21</c:v>
                </c:pt>
                <c:pt idx="2">
                  <c:v>2021/22</c:v>
                </c:pt>
                <c:pt idx="3">
                  <c:v>2022/23</c:v>
                </c:pt>
                <c:pt idx="4">
                  <c:v>2023/24</c:v>
                </c:pt>
              </c:strCache>
            </c:strRef>
          </c:cat>
          <c:val>
            <c:numRef>
              <c:f>Permanence!$AU$41:$AY$41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33B7-4D0D-AC98-AB0DAFE7D887}"/>
            </c:ext>
          </c:extLst>
        </c:ser>
        <c:ser>
          <c:idx val="9"/>
          <c:order val="4"/>
          <c:tx>
            <c:strRef>
              <c:f>Permanence!$AN$42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Permanence!$Y$2:$AC$3</c:f>
              <c:strCache>
                <c:ptCount val="5"/>
                <c:pt idx="0">
                  <c:v>2019/20</c:v>
                </c:pt>
                <c:pt idx="1">
                  <c:v>2020/21</c:v>
                </c:pt>
                <c:pt idx="2">
                  <c:v>2021/22</c:v>
                </c:pt>
                <c:pt idx="3">
                  <c:v>2022/23</c:v>
                </c:pt>
                <c:pt idx="4">
                  <c:v>2023/24</c:v>
                </c:pt>
              </c:strCache>
            </c:strRef>
          </c:cat>
          <c:val>
            <c:numRef>
              <c:f>Permanence!$AU$42:$AY$42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33B7-4D0D-AC98-AB0DAFE7D887}"/>
            </c:ext>
          </c:extLst>
        </c:ser>
        <c:ser>
          <c:idx val="10"/>
          <c:order val="5"/>
          <c:tx>
            <c:strRef>
              <c:f>Permanence!$AN$43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Permanence!$Y$2:$AC$3</c:f>
              <c:strCache>
                <c:ptCount val="5"/>
                <c:pt idx="0">
                  <c:v>2019/20</c:v>
                </c:pt>
                <c:pt idx="1">
                  <c:v>2020/21</c:v>
                </c:pt>
                <c:pt idx="2">
                  <c:v>2021/22</c:v>
                </c:pt>
                <c:pt idx="3">
                  <c:v>2022/23</c:v>
                </c:pt>
                <c:pt idx="4">
                  <c:v>2023/24</c:v>
                </c:pt>
              </c:strCache>
            </c:strRef>
          </c:cat>
          <c:val>
            <c:numRef>
              <c:f>Permanence!$AU$43:$AY$43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33B7-4D0D-AC98-AB0DAFE7D887}"/>
            </c:ext>
          </c:extLst>
        </c:ser>
        <c:ser>
          <c:idx val="11"/>
          <c:order val="6"/>
          <c:tx>
            <c:strRef>
              <c:f>Permanence!$AN$44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Permanence!$Y$2:$AC$3</c:f>
              <c:strCache>
                <c:ptCount val="5"/>
                <c:pt idx="0">
                  <c:v>2019/20</c:v>
                </c:pt>
                <c:pt idx="1">
                  <c:v>2020/21</c:v>
                </c:pt>
                <c:pt idx="2">
                  <c:v>2021/22</c:v>
                </c:pt>
                <c:pt idx="3">
                  <c:v>2022/23</c:v>
                </c:pt>
                <c:pt idx="4">
                  <c:v>2023/24</c:v>
                </c:pt>
              </c:strCache>
            </c:strRef>
          </c:cat>
          <c:val>
            <c:numRef>
              <c:f>Permanence!$AU$44:$AY$44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33B7-4D0D-AC98-AB0DAFE7D887}"/>
            </c:ext>
          </c:extLst>
        </c:ser>
        <c:ser>
          <c:idx val="12"/>
          <c:order val="7"/>
          <c:tx>
            <c:strRef>
              <c:f>Permanence!$AN$45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Permanence!$Y$2:$AC$3</c:f>
              <c:strCache>
                <c:ptCount val="5"/>
                <c:pt idx="0">
                  <c:v>2019/20</c:v>
                </c:pt>
                <c:pt idx="1">
                  <c:v>2020/21</c:v>
                </c:pt>
                <c:pt idx="2">
                  <c:v>2021/22</c:v>
                </c:pt>
                <c:pt idx="3">
                  <c:v>2022/23</c:v>
                </c:pt>
                <c:pt idx="4">
                  <c:v>2023/24</c:v>
                </c:pt>
              </c:strCache>
            </c:strRef>
          </c:cat>
          <c:val>
            <c:numRef>
              <c:f>Permanence!$AU$45:$AY$45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33B7-4D0D-AC98-AB0DAFE7D887}"/>
            </c:ext>
          </c:extLst>
        </c:ser>
        <c:ser>
          <c:idx val="13"/>
          <c:order val="8"/>
          <c:tx>
            <c:strRef>
              <c:f>Permanence!$AN$46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Permanence!$Y$2:$AC$3</c:f>
              <c:strCache>
                <c:ptCount val="5"/>
                <c:pt idx="0">
                  <c:v>2019/20</c:v>
                </c:pt>
                <c:pt idx="1">
                  <c:v>2020/21</c:v>
                </c:pt>
                <c:pt idx="2">
                  <c:v>2021/22</c:v>
                </c:pt>
                <c:pt idx="3">
                  <c:v>2022/23</c:v>
                </c:pt>
                <c:pt idx="4">
                  <c:v>2023/24</c:v>
                </c:pt>
              </c:strCache>
            </c:strRef>
          </c:cat>
          <c:val>
            <c:numRef>
              <c:f>Permanence!$AU$46:$AY$46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33B7-4D0D-AC98-AB0DAFE7D887}"/>
            </c:ext>
          </c:extLst>
        </c:ser>
        <c:ser>
          <c:idx val="15"/>
          <c:order val="9"/>
          <c:tx>
            <c:strRef>
              <c:f>Permanence!$AN$47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Permanence!$Y$2:$AC$3</c:f>
              <c:strCache>
                <c:ptCount val="5"/>
                <c:pt idx="0">
                  <c:v>2019/20</c:v>
                </c:pt>
                <c:pt idx="1">
                  <c:v>2020/21</c:v>
                </c:pt>
                <c:pt idx="2">
                  <c:v>2021/22</c:v>
                </c:pt>
                <c:pt idx="3">
                  <c:v>2022/23</c:v>
                </c:pt>
                <c:pt idx="4">
                  <c:v>2023/24</c:v>
                </c:pt>
              </c:strCache>
            </c:strRef>
          </c:cat>
          <c:val>
            <c:numRef>
              <c:f>Permanence!$AU$47:$AY$47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33B7-4D0D-AC98-AB0DAFE7D887}"/>
            </c:ext>
          </c:extLst>
        </c:ser>
        <c:ser>
          <c:idx val="16"/>
          <c:order val="10"/>
          <c:tx>
            <c:strRef>
              <c:f>Permanence!$AN$48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Permanence!$Y$2:$AC$3</c:f>
              <c:strCache>
                <c:ptCount val="5"/>
                <c:pt idx="0">
                  <c:v>2019/20</c:v>
                </c:pt>
                <c:pt idx="1">
                  <c:v>2020/21</c:v>
                </c:pt>
                <c:pt idx="2">
                  <c:v>2021/22</c:v>
                </c:pt>
                <c:pt idx="3">
                  <c:v>2022/23</c:v>
                </c:pt>
                <c:pt idx="4">
                  <c:v>2023/24</c:v>
                </c:pt>
              </c:strCache>
            </c:strRef>
          </c:cat>
          <c:val>
            <c:numRef>
              <c:f>Permanence!$AU$48:$AY$48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33B7-4D0D-AC98-AB0DAFE7D887}"/>
            </c:ext>
          </c:extLst>
        </c:ser>
        <c:ser>
          <c:idx val="17"/>
          <c:order val="11"/>
          <c:tx>
            <c:strRef>
              <c:f>Permanence!$AN$49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Permanence!$Y$2:$AC$3</c:f>
              <c:strCache>
                <c:ptCount val="5"/>
                <c:pt idx="0">
                  <c:v>2019/20</c:v>
                </c:pt>
                <c:pt idx="1">
                  <c:v>2020/21</c:v>
                </c:pt>
                <c:pt idx="2">
                  <c:v>2021/22</c:v>
                </c:pt>
                <c:pt idx="3">
                  <c:v>2022/23</c:v>
                </c:pt>
                <c:pt idx="4">
                  <c:v>2023/24</c:v>
                </c:pt>
              </c:strCache>
            </c:strRef>
          </c:cat>
          <c:val>
            <c:numRef>
              <c:f>Permanence!$AU$49:$AY$49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33B7-4D0D-AC98-AB0DAFE7D887}"/>
            </c:ext>
          </c:extLst>
        </c:ser>
        <c:ser>
          <c:idx val="19"/>
          <c:order val="12"/>
          <c:tx>
            <c:strRef>
              <c:f>Permanence!$AN$50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Permanence!$Y$2:$AC$3</c:f>
              <c:strCache>
                <c:ptCount val="5"/>
                <c:pt idx="0">
                  <c:v>2019/20</c:v>
                </c:pt>
                <c:pt idx="1">
                  <c:v>2020/21</c:v>
                </c:pt>
                <c:pt idx="2">
                  <c:v>2021/22</c:v>
                </c:pt>
                <c:pt idx="3">
                  <c:v>2022/23</c:v>
                </c:pt>
                <c:pt idx="4">
                  <c:v>2023/24</c:v>
                </c:pt>
              </c:strCache>
            </c:strRef>
          </c:cat>
          <c:val>
            <c:numRef>
              <c:f>Permanence!$AU$50:$AY$50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33B7-4D0D-AC98-AB0DAFE7D887}"/>
            </c:ext>
          </c:extLst>
        </c:ser>
        <c:ser>
          <c:idx val="3"/>
          <c:order val="13"/>
          <c:tx>
            <c:strRef>
              <c:f>Adoption!#REF!</c:f>
              <c:strCache>
                <c:ptCount val="1"/>
                <c:pt idx="0">
                  <c:v>#REF!</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Permanence!$Y$2:$AC$3</c:f>
              <c:strCache>
                <c:ptCount val="5"/>
                <c:pt idx="0">
                  <c:v>2019/20</c:v>
                </c:pt>
                <c:pt idx="1">
                  <c:v>2020/21</c:v>
                </c:pt>
                <c:pt idx="2">
                  <c:v>2021/22</c:v>
                </c:pt>
                <c:pt idx="3">
                  <c:v>2022/23</c:v>
                </c:pt>
                <c:pt idx="4">
                  <c:v>2023/24</c:v>
                </c:pt>
              </c:strCache>
            </c:strRef>
          </c:cat>
          <c:val>
            <c:numRef>
              <c:f>Adoption!#REF!</c:f>
              <c:numCache>
                <c:formatCode>General</c:formatCode>
                <c:ptCount val="1"/>
                <c:pt idx="0">
                  <c:v>1</c:v>
                </c:pt>
              </c:numCache>
            </c:numRef>
          </c:val>
          <c:smooth val="0"/>
          <c:extLst>
            <c:ext xmlns:c16="http://schemas.microsoft.com/office/drawing/2014/chart" uri="{C3380CC4-5D6E-409C-BE32-E72D297353CC}">
              <c16:uniqueId val="{0000000E-33B7-4D0D-AC98-AB0DAFE7D887}"/>
            </c:ext>
          </c:extLst>
        </c:ser>
        <c:ser>
          <c:idx val="20"/>
          <c:order val="14"/>
          <c:tx>
            <c:strRef>
              <c:f>Permanence!$AN$51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Permanence!$Y$2:$AC$3</c:f>
              <c:strCache>
                <c:ptCount val="5"/>
                <c:pt idx="0">
                  <c:v>2019/20</c:v>
                </c:pt>
                <c:pt idx="1">
                  <c:v>2020/21</c:v>
                </c:pt>
                <c:pt idx="2">
                  <c:v>2021/22</c:v>
                </c:pt>
                <c:pt idx="3">
                  <c:v>2022/23</c:v>
                </c:pt>
                <c:pt idx="4">
                  <c:v>2023/24</c:v>
                </c:pt>
              </c:strCache>
            </c:strRef>
          </c:cat>
          <c:val>
            <c:numRef>
              <c:f>Permanence!$AU$51:$AY$51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33B7-4D0D-AC98-AB0DAFE7D887}"/>
            </c:ext>
          </c:extLst>
        </c:ser>
        <c:ser>
          <c:idx val="22"/>
          <c:order val="15"/>
          <c:tx>
            <c:strRef>
              <c:f>Permanence!$AN$52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Permanence!$Y$2:$AC$3</c:f>
              <c:strCache>
                <c:ptCount val="5"/>
                <c:pt idx="0">
                  <c:v>2019/20</c:v>
                </c:pt>
                <c:pt idx="1">
                  <c:v>2020/21</c:v>
                </c:pt>
                <c:pt idx="2">
                  <c:v>2021/22</c:v>
                </c:pt>
                <c:pt idx="3">
                  <c:v>2022/23</c:v>
                </c:pt>
                <c:pt idx="4">
                  <c:v>2023/24</c:v>
                </c:pt>
              </c:strCache>
            </c:strRef>
          </c:cat>
          <c:val>
            <c:numRef>
              <c:f>Permanence!$AU$52:$AY$52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33B7-4D0D-AC98-AB0DAFE7D887}"/>
            </c:ext>
          </c:extLst>
        </c:ser>
        <c:ser>
          <c:idx val="7"/>
          <c:order val="16"/>
          <c:tx>
            <c:strRef>
              <c:f>Adoption!#REF!</c:f>
              <c:strCache>
                <c:ptCount val="1"/>
                <c:pt idx="0">
                  <c:v>#REF!</c:v>
                </c:pt>
              </c:strCache>
            </c:strRef>
          </c:tx>
          <c:spPr>
            <a:ln w="12700"/>
          </c:spPr>
          <c:marker>
            <c:symbol val="triangle"/>
            <c:size val="5"/>
            <c:spPr>
              <a:solidFill>
                <a:schemeClr val="accent2">
                  <a:lumMod val="20000"/>
                  <a:lumOff val="80000"/>
                </a:schemeClr>
              </a:solidFill>
            </c:spPr>
          </c:marker>
          <c:cat>
            <c:strRef>
              <c:f>Permanence!$Y$2:$AC$3</c:f>
              <c:strCache>
                <c:ptCount val="5"/>
                <c:pt idx="0">
                  <c:v>2019/20</c:v>
                </c:pt>
                <c:pt idx="1">
                  <c:v>2020/21</c:v>
                </c:pt>
                <c:pt idx="2">
                  <c:v>2021/22</c:v>
                </c:pt>
                <c:pt idx="3">
                  <c:v>2022/23</c:v>
                </c:pt>
                <c:pt idx="4">
                  <c:v>2023/24</c:v>
                </c:pt>
              </c:strCache>
            </c:strRef>
          </c:cat>
          <c:val>
            <c:numRef>
              <c:f>Adoption!#REF!</c:f>
              <c:numCache>
                <c:formatCode>General</c:formatCode>
                <c:ptCount val="1"/>
                <c:pt idx="0">
                  <c:v>1</c:v>
                </c:pt>
              </c:numCache>
            </c:numRef>
          </c:val>
          <c:smooth val="0"/>
          <c:extLst>
            <c:ext xmlns:c16="http://schemas.microsoft.com/office/drawing/2014/chart" uri="{C3380CC4-5D6E-409C-BE32-E72D297353CC}">
              <c16:uniqueId val="{00000011-33B7-4D0D-AC98-AB0DAFE7D887}"/>
            </c:ext>
          </c:extLst>
        </c:ser>
        <c:ser>
          <c:idx val="23"/>
          <c:order val="17"/>
          <c:tx>
            <c:strRef>
              <c:f>Permanence!$AN$53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Permanence!$Y$2:$AC$3</c:f>
              <c:strCache>
                <c:ptCount val="5"/>
                <c:pt idx="0">
                  <c:v>2019/20</c:v>
                </c:pt>
                <c:pt idx="1">
                  <c:v>2020/21</c:v>
                </c:pt>
                <c:pt idx="2">
                  <c:v>2021/22</c:v>
                </c:pt>
                <c:pt idx="3">
                  <c:v>2022/23</c:v>
                </c:pt>
                <c:pt idx="4">
                  <c:v>2023/24</c:v>
                </c:pt>
              </c:strCache>
            </c:strRef>
          </c:cat>
          <c:val>
            <c:numRef>
              <c:f>Permanence!$AU$53:$AY$53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33B7-4D0D-AC98-AB0DAFE7D887}"/>
            </c:ext>
          </c:extLst>
        </c:ser>
        <c:ser>
          <c:idx val="24"/>
          <c:order val="18"/>
          <c:tx>
            <c:strRef>
              <c:f>Permanence!$AN$54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Permanence!$Y$2:$AC$3</c:f>
              <c:strCache>
                <c:ptCount val="5"/>
                <c:pt idx="0">
                  <c:v>2019/20</c:v>
                </c:pt>
                <c:pt idx="1">
                  <c:v>2020/21</c:v>
                </c:pt>
                <c:pt idx="2">
                  <c:v>2021/22</c:v>
                </c:pt>
                <c:pt idx="3">
                  <c:v>2022/23</c:v>
                </c:pt>
                <c:pt idx="4">
                  <c:v>2023/24</c:v>
                </c:pt>
              </c:strCache>
            </c:strRef>
          </c:cat>
          <c:val>
            <c:numRef>
              <c:f>Permanence!$AU$54:$AY$54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33B7-4D0D-AC98-AB0DAFE7D887}"/>
            </c:ext>
          </c:extLst>
        </c:ser>
        <c:ser>
          <c:idx val="25"/>
          <c:order val="19"/>
          <c:tx>
            <c:strRef>
              <c:f>Permanence!$AN$55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Permanence!$Y$2:$AC$3</c:f>
              <c:strCache>
                <c:ptCount val="5"/>
                <c:pt idx="0">
                  <c:v>2019/20</c:v>
                </c:pt>
                <c:pt idx="1">
                  <c:v>2020/21</c:v>
                </c:pt>
                <c:pt idx="2">
                  <c:v>2021/22</c:v>
                </c:pt>
                <c:pt idx="3">
                  <c:v>2022/23</c:v>
                </c:pt>
                <c:pt idx="4">
                  <c:v>2023/24</c:v>
                </c:pt>
              </c:strCache>
            </c:strRef>
          </c:cat>
          <c:val>
            <c:numRef>
              <c:f>Permanence!$AU$55:$AY$55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33B7-4D0D-AC98-AB0DAFE7D887}"/>
            </c:ext>
          </c:extLst>
        </c:ser>
        <c:ser>
          <c:idx val="26"/>
          <c:order val="20"/>
          <c:tx>
            <c:strRef>
              <c:f>Permanence!$AN$56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Permanence!$Y$2:$AC$3</c:f>
              <c:strCache>
                <c:ptCount val="5"/>
                <c:pt idx="0">
                  <c:v>2019/20</c:v>
                </c:pt>
                <c:pt idx="1">
                  <c:v>2020/21</c:v>
                </c:pt>
                <c:pt idx="2">
                  <c:v>2021/22</c:v>
                </c:pt>
                <c:pt idx="3">
                  <c:v>2022/23</c:v>
                </c:pt>
                <c:pt idx="4">
                  <c:v>2023/24</c:v>
                </c:pt>
              </c:strCache>
            </c:strRef>
          </c:cat>
          <c:val>
            <c:numRef>
              <c:f>Permanence!$AU$56:$AY$56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33B7-4D0D-AC98-AB0DAFE7D887}"/>
            </c:ext>
          </c:extLst>
        </c:ser>
        <c:ser>
          <c:idx val="4"/>
          <c:order val="21"/>
          <c:tx>
            <c:strRef>
              <c:f>Permanence!$AN$57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Permanence!$Y$2:$AC$3</c:f>
              <c:strCache>
                <c:ptCount val="5"/>
                <c:pt idx="0">
                  <c:v>2019/20</c:v>
                </c:pt>
                <c:pt idx="1">
                  <c:v>2020/21</c:v>
                </c:pt>
                <c:pt idx="2">
                  <c:v>2021/22</c:v>
                </c:pt>
                <c:pt idx="3">
                  <c:v>2022/23</c:v>
                </c:pt>
                <c:pt idx="4">
                  <c:v>2023/24</c:v>
                </c:pt>
              </c:strCache>
            </c:strRef>
          </c:cat>
          <c:val>
            <c:numRef>
              <c:f>Permanence!$AU$57:$AY$57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33B7-4D0D-AC98-AB0DAFE7D887}"/>
            </c:ext>
          </c:extLst>
        </c:ser>
        <c:ser>
          <c:idx val="14"/>
          <c:order val="22"/>
          <c:tx>
            <c:strRef>
              <c:f>Permanence!$AN$58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Permanence!$Y$2:$AC$3</c:f>
              <c:strCache>
                <c:ptCount val="5"/>
                <c:pt idx="0">
                  <c:v>2019/20</c:v>
                </c:pt>
                <c:pt idx="1">
                  <c:v>2020/21</c:v>
                </c:pt>
                <c:pt idx="2">
                  <c:v>2021/22</c:v>
                </c:pt>
                <c:pt idx="3">
                  <c:v>2022/23</c:v>
                </c:pt>
                <c:pt idx="4">
                  <c:v>2023/24</c:v>
                </c:pt>
              </c:strCache>
            </c:strRef>
          </c:cat>
          <c:val>
            <c:numRef>
              <c:f>Permanence!$AU$58:$AY$58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33B7-4D0D-AC98-AB0DAFE7D887}"/>
            </c:ext>
          </c:extLst>
        </c:ser>
        <c:ser>
          <c:idx val="6"/>
          <c:order val="23"/>
          <c:tx>
            <c:strRef>
              <c:f>Permanence!$AN$59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Permanence!$Y$2:$AC$3</c:f>
              <c:strCache>
                <c:ptCount val="5"/>
                <c:pt idx="0">
                  <c:v>2019/20</c:v>
                </c:pt>
                <c:pt idx="1">
                  <c:v>2020/21</c:v>
                </c:pt>
                <c:pt idx="2">
                  <c:v>2021/22</c:v>
                </c:pt>
                <c:pt idx="3">
                  <c:v>2022/23</c:v>
                </c:pt>
                <c:pt idx="4">
                  <c:v>2023/24</c:v>
                </c:pt>
              </c:strCache>
            </c:strRef>
          </c:cat>
          <c:val>
            <c:numRef>
              <c:f>Permanence!$AU$59:$AY$59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33B7-4D0D-AC98-AB0DAFE7D887}"/>
            </c:ext>
          </c:extLst>
        </c:ser>
        <c:dLbls>
          <c:showLegendKey val="0"/>
          <c:showVal val="0"/>
          <c:showCatName val="0"/>
          <c:showSerName val="0"/>
          <c:showPercent val="0"/>
          <c:showBubbleSize val="0"/>
        </c:dLbls>
        <c:marker val="1"/>
        <c:smooth val="0"/>
        <c:axId val="418710656"/>
        <c:axId val="418712576"/>
      </c:lineChart>
      <c:catAx>
        <c:axId val="418710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8712576"/>
        <c:crosses val="autoZero"/>
        <c:auto val="1"/>
        <c:lblAlgn val="ctr"/>
        <c:lblOffset val="100"/>
        <c:tickLblSkip val="1"/>
        <c:tickMarkSkip val="1"/>
        <c:noMultiLvlLbl val="0"/>
      </c:catAx>
      <c:valAx>
        <c:axId val="418712576"/>
        <c:scaling>
          <c:orientation val="minMax"/>
          <c:max val="1.02"/>
          <c:min val="0"/>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8710656"/>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7109092691214423"/>
          <c:y val="7.5190870500600387E-2"/>
          <c:w val="0.31566325129860862"/>
          <c:h val="0.9083087582271959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Average time in days, between a child entering care and moving in with their adoptive family,</a:t>
            </a:r>
            <a:r>
              <a:rPr lang="en-GB" sz="1100" baseline="0"/>
              <a:t> adjusted for Foster Carer Adoptions</a:t>
            </a:r>
            <a:endParaRPr lang="en-GB" sz="1100"/>
          </a:p>
        </c:rich>
      </c:tx>
      <c:layout>
        <c:manualLayout>
          <c:xMode val="edge"/>
          <c:yMode val="edge"/>
          <c:x val="0.11094738157730284"/>
          <c:y val="2.8956318826864725E-5"/>
        </c:manualLayout>
      </c:layout>
      <c:overlay val="0"/>
      <c:spPr>
        <a:noFill/>
        <a:ln w="25400">
          <a:noFill/>
        </a:ln>
      </c:spPr>
    </c:title>
    <c:autoTitleDeleted val="0"/>
    <c:plotArea>
      <c:layout>
        <c:manualLayout>
          <c:layoutTarget val="inner"/>
          <c:xMode val="edge"/>
          <c:yMode val="edge"/>
          <c:x val="8.9669774541780586E-2"/>
          <c:y val="8.7930472481386662E-2"/>
          <c:w val="0.57004965595516777"/>
          <c:h val="0.85160420432807993"/>
        </c:manualLayout>
      </c:layout>
      <c:lineChart>
        <c:grouping val="standard"/>
        <c:varyColors val="0"/>
        <c:ser>
          <c:idx val="0"/>
          <c:order val="0"/>
          <c:tx>
            <c:strRef>
              <c:f>Permanence!$AN$106</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2F32-4786-988B-D3CBA8172BAD}"/>
              </c:ext>
            </c:extLst>
          </c:dPt>
          <c:cat>
            <c:strRef>
              <c:f>Permanence!$Y$2:$AC$3</c:f>
              <c:strCache>
                <c:ptCount val="5"/>
                <c:pt idx="0">
                  <c:v>2019/20</c:v>
                </c:pt>
                <c:pt idx="1">
                  <c:v>2020/21</c:v>
                </c:pt>
                <c:pt idx="2">
                  <c:v>2021/22</c:v>
                </c:pt>
                <c:pt idx="3">
                  <c:v>2022/23</c:v>
                </c:pt>
                <c:pt idx="4">
                  <c:v>2023/24</c:v>
                </c:pt>
              </c:strCache>
            </c:strRef>
          </c:cat>
          <c:val>
            <c:numRef>
              <c:f>Permanence!$AU$106:$AY$106</c:f>
              <c:numCache>
                <c:formatCode>0</c:formatCode>
                <c:ptCount val="5"/>
                <c:pt idx="0">
                  <c:v>#N/A</c:v>
                </c:pt>
                <c:pt idx="1">
                  <c:v>#N/A</c:v>
                </c:pt>
                <c:pt idx="2">
                  <c:v>#N/A</c:v>
                </c:pt>
                <c:pt idx="3">
                  <c:v>899.83333333333337</c:v>
                </c:pt>
                <c:pt idx="4">
                  <c:v>139.66666666666666</c:v>
                </c:pt>
              </c:numCache>
            </c:numRef>
          </c:val>
          <c:smooth val="0"/>
          <c:extLst>
            <c:ext xmlns:c16="http://schemas.microsoft.com/office/drawing/2014/chart" uri="{C3380CC4-5D6E-409C-BE32-E72D297353CC}">
              <c16:uniqueId val="{00000001-2F32-4786-988B-D3CBA8172BAD}"/>
            </c:ext>
          </c:extLst>
        </c:ser>
        <c:ser>
          <c:idx val="1"/>
          <c:order val="1"/>
          <c:tx>
            <c:strRef>
              <c:f>Permanence!$AN$107</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Permanence!$Y$2:$AC$3</c:f>
              <c:strCache>
                <c:ptCount val="5"/>
                <c:pt idx="0">
                  <c:v>2019/20</c:v>
                </c:pt>
                <c:pt idx="1">
                  <c:v>2020/21</c:v>
                </c:pt>
                <c:pt idx="2">
                  <c:v>2021/22</c:v>
                </c:pt>
                <c:pt idx="3">
                  <c:v>2022/23</c:v>
                </c:pt>
                <c:pt idx="4">
                  <c:v>2023/24</c:v>
                </c:pt>
              </c:strCache>
            </c:strRef>
          </c:cat>
          <c:val>
            <c:numRef>
              <c:f>Permanence!$AU$107:$AY$107</c:f>
              <c:numCache>
                <c:formatCode>0</c:formatCode>
                <c:ptCount val="5"/>
                <c:pt idx="0">
                  <c:v>410</c:v>
                </c:pt>
                <c:pt idx="1">
                  <c:v>#N/A</c:v>
                </c:pt>
                <c:pt idx="2">
                  <c:v>#N/A</c:v>
                </c:pt>
                <c:pt idx="3">
                  <c:v>632.72727272727275</c:v>
                </c:pt>
                <c:pt idx="4">
                  <c:v>724.68181818181813</c:v>
                </c:pt>
              </c:numCache>
            </c:numRef>
          </c:val>
          <c:smooth val="0"/>
          <c:extLst>
            <c:ext xmlns:c16="http://schemas.microsoft.com/office/drawing/2014/chart" uri="{C3380CC4-5D6E-409C-BE32-E72D297353CC}">
              <c16:uniqueId val="{00000002-2F32-4786-988B-D3CBA8172BAD}"/>
            </c:ext>
          </c:extLst>
        </c:ser>
        <c:ser>
          <c:idx val="2"/>
          <c:order val="2"/>
          <c:tx>
            <c:strRef>
              <c:f>Permanence!$AN$108</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Permanence!$Y$2:$AC$3</c:f>
              <c:strCache>
                <c:ptCount val="5"/>
                <c:pt idx="0">
                  <c:v>2019/20</c:v>
                </c:pt>
                <c:pt idx="1">
                  <c:v>2020/21</c:v>
                </c:pt>
                <c:pt idx="2">
                  <c:v>2021/22</c:v>
                </c:pt>
                <c:pt idx="3">
                  <c:v>2022/23</c:v>
                </c:pt>
                <c:pt idx="4">
                  <c:v>2023/24</c:v>
                </c:pt>
              </c:strCache>
            </c:strRef>
          </c:cat>
          <c:val>
            <c:numRef>
              <c:f>Permanence!$AU$108:$AY$108</c:f>
              <c:numCache>
                <c:formatCode>0</c:formatCode>
                <c:ptCount val="5"/>
                <c:pt idx="0">
                  <c:v>442.60869565217394</c:v>
                </c:pt>
                <c:pt idx="1">
                  <c:v>281.30769230769198</c:v>
                </c:pt>
                <c:pt idx="2">
                  <c:v>310.17391304347825</c:v>
                </c:pt>
                <c:pt idx="3">
                  <c:v>419.1875</c:v>
                </c:pt>
                <c:pt idx="4">
                  <c:v>275.5</c:v>
                </c:pt>
              </c:numCache>
            </c:numRef>
          </c:val>
          <c:smooth val="0"/>
          <c:extLst>
            <c:ext xmlns:c16="http://schemas.microsoft.com/office/drawing/2014/chart" uri="{C3380CC4-5D6E-409C-BE32-E72D297353CC}">
              <c16:uniqueId val="{00000003-2F32-4786-988B-D3CBA8172BAD}"/>
            </c:ext>
          </c:extLst>
        </c:ser>
        <c:ser>
          <c:idx val="5"/>
          <c:order val="3"/>
          <c:tx>
            <c:strRef>
              <c:f>Permanence!$AN$109</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Permanence!$Y$2:$AC$3</c:f>
              <c:strCache>
                <c:ptCount val="5"/>
                <c:pt idx="0">
                  <c:v>2019/20</c:v>
                </c:pt>
                <c:pt idx="1">
                  <c:v>2020/21</c:v>
                </c:pt>
                <c:pt idx="2">
                  <c:v>2021/22</c:v>
                </c:pt>
                <c:pt idx="3">
                  <c:v>2022/23</c:v>
                </c:pt>
                <c:pt idx="4">
                  <c:v>2023/24</c:v>
                </c:pt>
              </c:strCache>
            </c:strRef>
          </c:cat>
          <c:val>
            <c:numRef>
              <c:f>Permanence!$AU$109:$AY$109</c:f>
              <c:numCache>
                <c:formatCode>0</c:formatCode>
                <c:ptCount val="5"/>
                <c:pt idx="0">
                  <c:v>489.46153846153851</c:v>
                </c:pt>
                <c:pt idx="1">
                  <c:v>420.03703703703701</c:v>
                </c:pt>
                <c:pt idx="2">
                  <c:v>511.05263157894734</c:v>
                </c:pt>
                <c:pt idx="3">
                  <c:v>580.4</c:v>
                </c:pt>
                <c:pt idx="4">
                  <c:v>503.15789473684208</c:v>
                </c:pt>
              </c:numCache>
            </c:numRef>
          </c:val>
          <c:smooth val="0"/>
          <c:extLst>
            <c:ext xmlns:c16="http://schemas.microsoft.com/office/drawing/2014/chart" uri="{C3380CC4-5D6E-409C-BE32-E72D297353CC}">
              <c16:uniqueId val="{00000004-2F32-4786-988B-D3CBA8172BAD}"/>
            </c:ext>
          </c:extLst>
        </c:ser>
        <c:ser>
          <c:idx val="9"/>
          <c:order val="4"/>
          <c:tx>
            <c:strRef>
              <c:f>Permanence!$AN$110</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Permanence!$Y$2:$AC$3</c:f>
              <c:strCache>
                <c:ptCount val="5"/>
                <c:pt idx="0">
                  <c:v>2019/20</c:v>
                </c:pt>
                <c:pt idx="1">
                  <c:v>2020/21</c:v>
                </c:pt>
                <c:pt idx="2">
                  <c:v>2021/22</c:v>
                </c:pt>
                <c:pt idx="3">
                  <c:v>2022/23</c:v>
                </c:pt>
                <c:pt idx="4">
                  <c:v>2023/24</c:v>
                </c:pt>
              </c:strCache>
            </c:strRef>
          </c:cat>
          <c:val>
            <c:numRef>
              <c:f>Permanence!$AU$110:$AY$110</c:f>
              <c:numCache>
                <c:formatCode>0</c:formatCode>
                <c:ptCount val="5"/>
                <c:pt idx="0">
                  <c:v>378.78571428571428</c:v>
                </c:pt>
                <c:pt idx="1">
                  <c:v>302.41509433962267</c:v>
                </c:pt>
                <c:pt idx="2">
                  <c:v>305.23255813953489</c:v>
                </c:pt>
                <c:pt idx="3">
                  <c:v>500.70175438596493</c:v>
                </c:pt>
                <c:pt idx="4">
                  <c:v>393.34285714285716</c:v>
                </c:pt>
              </c:numCache>
            </c:numRef>
          </c:val>
          <c:smooth val="0"/>
          <c:extLst>
            <c:ext xmlns:c16="http://schemas.microsoft.com/office/drawing/2014/chart" uri="{C3380CC4-5D6E-409C-BE32-E72D297353CC}">
              <c16:uniqueId val="{00000005-2F32-4786-988B-D3CBA8172BAD}"/>
            </c:ext>
          </c:extLst>
        </c:ser>
        <c:ser>
          <c:idx val="10"/>
          <c:order val="5"/>
          <c:tx>
            <c:strRef>
              <c:f>Permanence!$AN$111</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Permanence!$Y$2:$AC$3</c:f>
              <c:strCache>
                <c:ptCount val="5"/>
                <c:pt idx="0">
                  <c:v>2019/20</c:v>
                </c:pt>
                <c:pt idx="1">
                  <c:v>2020/21</c:v>
                </c:pt>
                <c:pt idx="2">
                  <c:v>2021/22</c:v>
                </c:pt>
                <c:pt idx="3">
                  <c:v>2022/23</c:v>
                </c:pt>
                <c:pt idx="4">
                  <c:v>2023/24</c:v>
                </c:pt>
              </c:strCache>
            </c:strRef>
          </c:cat>
          <c:val>
            <c:numRef>
              <c:f>Permanence!$AU$111:$AY$111</c:f>
              <c:numCache>
                <c:formatCode>0</c:formatCode>
                <c:ptCount val="5"/>
                <c:pt idx="0">
                  <c:v>#N/A</c:v>
                </c:pt>
                <c:pt idx="1">
                  <c:v>#N/A</c:v>
                </c:pt>
                <c:pt idx="2">
                  <c:v>448.85714285714283</c:v>
                </c:pt>
                <c:pt idx="3">
                  <c:v>531.66666666666663</c:v>
                </c:pt>
                <c:pt idx="4">
                  <c:v>425.85714285714283</c:v>
                </c:pt>
              </c:numCache>
            </c:numRef>
          </c:val>
          <c:smooth val="0"/>
          <c:extLst>
            <c:ext xmlns:c16="http://schemas.microsoft.com/office/drawing/2014/chart" uri="{C3380CC4-5D6E-409C-BE32-E72D297353CC}">
              <c16:uniqueId val="{00000006-2F32-4786-988B-D3CBA8172BAD}"/>
            </c:ext>
          </c:extLst>
        </c:ser>
        <c:ser>
          <c:idx val="11"/>
          <c:order val="6"/>
          <c:tx>
            <c:strRef>
              <c:f>Permanence!$AN$112</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Permanence!$Y$2:$AC$3</c:f>
              <c:strCache>
                <c:ptCount val="5"/>
                <c:pt idx="0">
                  <c:v>2019/20</c:v>
                </c:pt>
                <c:pt idx="1">
                  <c:v>2020/21</c:v>
                </c:pt>
                <c:pt idx="2">
                  <c:v>2021/22</c:v>
                </c:pt>
                <c:pt idx="3">
                  <c:v>2022/23</c:v>
                </c:pt>
                <c:pt idx="4">
                  <c:v>2023/24</c:v>
                </c:pt>
              </c:strCache>
            </c:strRef>
          </c:cat>
          <c:val>
            <c:numRef>
              <c:f>Permanence!$AU$112:$AY$112</c:f>
              <c:numCache>
                <c:formatCode>0</c:formatCode>
                <c:ptCount val="5"/>
                <c:pt idx="0">
                  <c:v>336.63492063492066</c:v>
                </c:pt>
                <c:pt idx="1">
                  <c:v>274.3095238095238</c:v>
                </c:pt>
                <c:pt idx="2">
                  <c:v>392.25531914893617</c:v>
                </c:pt>
                <c:pt idx="3">
                  <c:v>352.08928571428572</c:v>
                </c:pt>
                <c:pt idx="4">
                  <c:v>345.9264705882353</c:v>
                </c:pt>
              </c:numCache>
            </c:numRef>
          </c:val>
          <c:smooth val="0"/>
          <c:extLst>
            <c:ext xmlns:c16="http://schemas.microsoft.com/office/drawing/2014/chart" uri="{C3380CC4-5D6E-409C-BE32-E72D297353CC}">
              <c16:uniqueId val="{00000007-2F32-4786-988B-D3CBA8172BAD}"/>
            </c:ext>
          </c:extLst>
        </c:ser>
        <c:ser>
          <c:idx val="12"/>
          <c:order val="7"/>
          <c:tx>
            <c:strRef>
              <c:f>Permanence!$AN$113</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Permanence!$Y$2:$AC$3</c:f>
              <c:strCache>
                <c:ptCount val="5"/>
                <c:pt idx="0">
                  <c:v>2019/20</c:v>
                </c:pt>
                <c:pt idx="1">
                  <c:v>2020/21</c:v>
                </c:pt>
                <c:pt idx="2">
                  <c:v>2021/22</c:v>
                </c:pt>
                <c:pt idx="3">
                  <c:v>2022/23</c:v>
                </c:pt>
                <c:pt idx="4">
                  <c:v>2023/24</c:v>
                </c:pt>
              </c:strCache>
            </c:strRef>
          </c:cat>
          <c:val>
            <c:numRef>
              <c:f>Permanence!$AU$113:$AY$113</c:f>
              <c:numCache>
                <c:formatCode>0</c:formatCode>
                <c:ptCount val="5"/>
                <c:pt idx="0">
                  <c:v>502.78947368421052</c:v>
                </c:pt>
                <c:pt idx="1">
                  <c:v>394</c:v>
                </c:pt>
                <c:pt idx="2">
                  <c:v>375.22727272727275</c:v>
                </c:pt>
                <c:pt idx="3">
                  <c:v>426.57142857142856</c:v>
                </c:pt>
                <c:pt idx="4">
                  <c:v>472.66666666666669</c:v>
                </c:pt>
              </c:numCache>
            </c:numRef>
          </c:val>
          <c:smooth val="0"/>
          <c:extLst>
            <c:ext xmlns:c16="http://schemas.microsoft.com/office/drawing/2014/chart" uri="{C3380CC4-5D6E-409C-BE32-E72D297353CC}">
              <c16:uniqueId val="{00000008-2F32-4786-988B-D3CBA8172BAD}"/>
            </c:ext>
          </c:extLst>
        </c:ser>
        <c:ser>
          <c:idx val="13"/>
          <c:order val="8"/>
          <c:tx>
            <c:strRef>
              <c:f>Permanence!$AN$114</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Permanence!$Y$2:$AC$3</c:f>
              <c:strCache>
                <c:ptCount val="5"/>
                <c:pt idx="0">
                  <c:v>2019/20</c:v>
                </c:pt>
                <c:pt idx="1">
                  <c:v>2020/21</c:v>
                </c:pt>
                <c:pt idx="2">
                  <c:v>2021/22</c:v>
                </c:pt>
                <c:pt idx="3">
                  <c:v>2022/23</c:v>
                </c:pt>
                <c:pt idx="4">
                  <c:v>2023/24</c:v>
                </c:pt>
              </c:strCache>
            </c:strRef>
          </c:cat>
          <c:val>
            <c:numRef>
              <c:f>Permanence!$AU$114:$AY$114</c:f>
              <c:numCache>
                <c:formatCode>0</c:formatCode>
                <c:ptCount val="5"/>
                <c:pt idx="0">
                  <c:v>403.07142857142856</c:v>
                </c:pt>
                <c:pt idx="1">
                  <c:v>401.58823529411762</c:v>
                </c:pt>
                <c:pt idx="2">
                  <c:v>442.76</c:v>
                </c:pt>
                <c:pt idx="3">
                  <c:v>330.78947368421052</c:v>
                </c:pt>
                <c:pt idx="4">
                  <c:v>490.70588235294116</c:v>
                </c:pt>
              </c:numCache>
            </c:numRef>
          </c:val>
          <c:smooth val="0"/>
          <c:extLst>
            <c:ext xmlns:c16="http://schemas.microsoft.com/office/drawing/2014/chart" uri="{C3380CC4-5D6E-409C-BE32-E72D297353CC}">
              <c16:uniqueId val="{00000009-2F32-4786-988B-D3CBA8172BAD}"/>
            </c:ext>
          </c:extLst>
        </c:ser>
        <c:ser>
          <c:idx val="15"/>
          <c:order val="9"/>
          <c:tx>
            <c:strRef>
              <c:f>Permanence!$AN$115</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Permanence!$Y$2:$AC$3</c:f>
              <c:strCache>
                <c:ptCount val="5"/>
                <c:pt idx="0">
                  <c:v>2019/20</c:v>
                </c:pt>
                <c:pt idx="1">
                  <c:v>2020/21</c:v>
                </c:pt>
                <c:pt idx="2">
                  <c:v>2021/22</c:v>
                </c:pt>
                <c:pt idx="3">
                  <c:v>2022/23</c:v>
                </c:pt>
                <c:pt idx="4">
                  <c:v>2023/24</c:v>
                </c:pt>
              </c:strCache>
            </c:strRef>
          </c:cat>
          <c:val>
            <c:numRef>
              <c:f>Permanence!$AU$115:$AY$115</c:f>
              <c:numCache>
                <c:formatCode>0</c:formatCode>
                <c:ptCount val="5"/>
                <c:pt idx="0">
                  <c:v>525.18181818181813</c:v>
                </c:pt>
                <c:pt idx="1">
                  <c:v>469.04</c:v>
                </c:pt>
                <c:pt idx="2">
                  <c:v>361.42857142857144</c:v>
                </c:pt>
                <c:pt idx="3">
                  <c:v>400.08333333333331</c:v>
                </c:pt>
                <c:pt idx="4">
                  <c:v>519.44000000000005</c:v>
                </c:pt>
              </c:numCache>
            </c:numRef>
          </c:val>
          <c:smooth val="0"/>
          <c:extLst>
            <c:ext xmlns:c16="http://schemas.microsoft.com/office/drawing/2014/chart" uri="{C3380CC4-5D6E-409C-BE32-E72D297353CC}">
              <c16:uniqueId val="{0000000A-2F32-4786-988B-D3CBA8172BAD}"/>
            </c:ext>
          </c:extLst>
        </c:ser>
        <c:ser>
          <c:idx val="16"/>
          <c:order val="10"/>
          <c:tx>
            <c:strRef>
              <c:f>Permanence!$AN$116</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Permanence!$Y$2:$AC$3</c:f>
              <c:strCache>
                <c:ptCount val="5"/>
                <c:pt idx="0">
                  <c:v>2019/20</c:v>
                </c:pt>
                <c:pt idx="1">
                  <c:v>2020/21</c:v>
                </c:pt>
                <c:pt idx="2">
                  <c:v>2021/22</c:v>
                </c:pt>
                <c:pt idx="3">
                  <c:v>2022/23</c:v>
                </c:pt>
                <c:pt idx="4">
                  <c:v>2023/24</c:v>
                </c:pt>
              </c:strCache>
            </c:strRef>
          </c:cat>
          <c:val>
            <c:numRef>
              <c:f>Permanence!$AU$116:$AY$116</c:f>
              <c:numCache>
                <c:formatCode>0</c:formatCode>
                <c:ptCount val="5"/>
                <c:pt idx="0">
                  <c:v>390.08</c:v>
                </c:pt>
                <c:pt idx="1">
                  <c:v>321.11111111111109</c:v>
                </c:pt>
                <c:pt idx="2">
                  <c:v>356</c:v>
                </c:pt>
                <c:pt idx="3">
                  <c:v>410.15384615384613</c:v>
                </c:pt>
                <c:pt idx="4">
                  <c:v>324.22222222222223</c:v>
                </c:pt>
              </c:numCache>
            </c:numRef>
          </c:val>
          <c:smooth val="0"/>
          <c:extLst>
            <c:ext xmlns:c16="http://schemas.microsoft.com/office/drawing/2014/chart" uri="{C3380CC4-5D6E-409C-BE32-E72D297353CC}">
              <c16:uniqueId val="{0000000B-2F32-4786-988B-D3CBA8172BAD}"/>
            </c:ext>
          </c:extLst>
        </c:ser>
        <c:ser>
          <c:idx val="17"/>
          <c:order val="11"/>
          <c:tx>
            <c:strRef>
              <c:f>Permanence!$AN$117</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Permanence!$Y$2:$AC$3</c:f>
              <c:strCache>
                <c:ptCount val="5"/>
                <c:pt idx="0">
                  <c:v>2019/20</c:v>
                </c:pt>
                <c:pt idx="1">
                  <c:v>2020/21</c:v>
                </c:pt>
                <c:pt idx="2">
                  <c:v>2021/22</c:v>
                </c:pt>
                <c:pt idx="3">
                  <c:v>2022/23</c:v>
                </c:pt>
                <c:pt idx="4">
                  <c:v>2023/24</c:v>
                </c:pt>
              </c:strCache>
            </c:strRef>
          </c:cat>
          <c:val>
            <c:numRef>
              <c:f>Permanence!$AU$117:$AY$117</c:f>
              <c:numCache>
                <c:formatCode>0</c:formatCode>
                <c:ptCount val="5"/>
                <c:pt idx="0">
                  <c:v>439.33333333333331</c:v>
                </c:pt>
                <c:pt idx="1">
                  <c:v>315.72727272727275</c:v>
                </c:pt>
                <c:pt idx="2">
                  <c:v>456.64285714285717</c:v>
                </c:pt>
                <c:pt idx="3">
                  <c:v>512.42857142857144</c:v>
                </c:pt>
                <c:pt idx="4">
                  <c:v>584.4</c:v>
                </c:pt>
              </c:numCache>
            </c:numRef>
          </c:val>
          <c:smooth val="0"/>
          <c:extLst>
            <c:ext xmlns:c16="http://schemas.microsoft.com/office/drawing/2014/chart" uri="{C3380CC4-5D6E-409C-BE32-E72D297353CC}">
              <c16:uniqueId val="{0000000C-2F32-4786-988B-D3CBA8172BAD}"/>
            </c:ext>
          </c:extLst>
        </c:ser>
        <c:ser>
          <c:idx val="19"/>
          <c:order val="12"/>
          <c:tx>
            <c:strRef>
              <c:f>Permanence!$AN$118</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Permanence!$Y$2:$AC$3</c:f>
              <c:strCache>
                <c:ptCount val="5"/>
                <c:pt idx="0">
                  <c:v>2019/20</c:v>
                </c:pt>
                <c:pt idx="1">
                  <c:v>2020/21</c:v>
                </c:pt>
                <c:pt idx="2">
                  <c:v>2021/22</c:v>
                </c:pt>
                <c:pt idx="3">
                  <c:v>2022/23</c:v>
                </c:pt>
                <c:pt idx="4">
                  <c:v>2023/24</c:v>
                </c:pt>
              </c:strCache>
            </c:strRef>
          </c:cat>
          <c:val>
            <c:numRef>
              <c:f>Permanence!$AU$118:$AY$118</c:f>
              <c:numCache>
                <c:formatCode>0</c:formatCode>
                <c:ptCount val="5"/>
                <c:pt idx="0">
                  <c:v>404.8</c:v>
                </c:pt>
                <c:pt idx="1">
                  <c:v>#N/A</c:v>
                </c:pt>
                <c:pt idx="2">
                  <c:v>#N/A</c:v>
                </c:pt>
                <c:pt idx="3">
                  <c:v>541.78947368421052</c:v>
                </c:pt>
                <c:pt idx="4">
                  <c:v>594.75</c:v>
                </c:pt>
              </c:numCache>
            </c:numRef>
          </c:val>
          <c:smooth val="0"/>
          <c:extLst>
            <c:ext xmlns:c16="http://schemas.microsoft.com/office/drawing/2014/chart" uri="{C3380CC4-5D6E-409C-BE32-E72D297353CC}">
              <c16:uniqueId val="{0000000D-2F32-4786-988B-D3CBA8172BAD}"/>
            </c:ext>
          </c:extLst>
        </c:ser>
        <c:ser>
          <c:idx val="20"/>
          <c:order val="13"/>
          <c:tx>
            <c:strRef>
              <c:f>Permanence!$AN$119</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Permanence!$Y$2:$AC$3</c:f>
              <c:strCache>
                <c:ptCount val="5"/>
                <c:pt idx="0">
                  <c:v>2019/20</c:v>
                </c:pt>
                <c:pt idx="1">
                  <c:v>2020/21</c:v>
                </c:pt>
                <c:pt idx="2">
                  <c:v>2021/22</c:v>
                </c:pt>
                <c:pt idx="3">
                  <c:v>2022/23</c:v>
                </c:pt>
                <c:pt idx="4">
                  <c:v>2023/24</c:v>
                </c:pt>
              </c:strCache>
            </c:strRef>
          </c:cat>
          <c:val>
            <c:numRef>
              <c:f>Permanence!$AU$119:$AY$119</c:f>
              <c:numCache>
                <c:formatCode>0</c:formatCode>
                <c:ptCount val="5"/>
                <c:pt idx="0">
                  <c:v>340.06896551724139</c:v>
                </c:pt>
                <c:pt idx="1">
                  <c:v>374.51612903225805</c:v>
                </c:pt>
                <c:pt idx="2">
                  <c:v>383.5</c:v>
                </c:pt>
                <c:pt idx="3">
                  <c:v>346.59375</c:v>
                </c:pt>
                <c:pt idx="4">
                  <c:v>445.53333333333336</c:v>
                </c:pt>
              </c:numCache>
            </c:numRef>
          </c:val>
          <c:smooth val="0"/>
          <c:extLst>
            <c:ext xmlns:c16="http://schemas.microsoft.com/office/drawing/2014/chart" uri="{C3380CC4-5D6E-409C-BE32-E72D297353CC}">
              <c16:uniqueId val="{0000000F-2F32-4786-988B-D3CBA8172BAD}"/>
            </c:ext>
          </c:extLst>
        </c:ser>
        <c:ser>
          <c:idx val="22"/>
          <c:order val="14"/>
          <c:tx>
            <c:strRef>
              <c:f>Permanence!$AN$120</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Permanence!$Y$2:$AC$3</c:f>
              <c:strCache>
                <c:ptCount val="5"/>
                <c:pt idx="0">
                  <c:v>2019/20</c:v>
                </c:pt>
                <c:pt idx="1">
                  <c:v>2020/21</c:v>
                </c:pt>
                <c:pt idx="2">
                  <c:v>2021/22</c:v>
                </c:pt>
                <c:pt idx="3">
                  <c:v>2022/23</c:v>
                </c:pt>
                <c:pt idx="4">
                  <c:v>2023/24</c:v>
                </c:pt>
              </c:strCache>
            </c:strRef>
          </c:cat>
          <c:val>
            <c:numRef>
              <c:f>Permanence!$AU$120:$AY$120</c:f>
              <c:numCache>
                <c:formatCode>0</c:formatCode>
                <c:ptCount val="5"/>
                <c:pt idx="0">
                  <c:v>325.96428571428572</c:v>
                </c:pt>
                <c:pt idx="1">
                  <c:v>493.23333333333335</c:v>
                </c:pt>
                <c:pt idx="2">
                  <c:v>550</c:v>
                </c:pt>
                <c:pt idx="3">
                  <c:v>448.06451612903226</c:v>
                </c:pt>
                <c:pt idx="4">
                  <c:v>605.20000000000005</c:v>
                </c:pt>
              </c:numCache>
            </c:numRef>
          </c:val>
          <c:smooth val="0"/>
          <c:extLst>
            <c:ext xmlns:c16="http://schemas.microsoft.com/office/drawing/2014/chart" uri="{C3380CC4-5D6E-409C-BE32-E72D297353CC}">
              <c16:uniqueId val="{00000010-2F32-4786-988B-D3CBA8172BAD}"/>
            </c:ext>
          </c:extLst>
        </c:ser>
        <c:ser>
          <c:idx val="23"/>
          <c:order val="15"/>
          <c:tx>
            <c:strRef>
              <c:f>Permanence!$AN$121</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Permanence!$Y$2:$AC$3</c:f>
              <c:strCache>
                <c:ptCount val="5"/>
                <c:pt idx="0">
                  <c:v>2019/20</c:v>
                </c:pt>
                <c:pt idx="1">
                  <c:v>2020/21</c:v>
                </c:pt>
                <c:pt idx="2">
                  <c:v>2021/22</c:v>
                </c:pt>
                <c:pt idx="3">
                  <c:v>2022/23</c:v>
                </c:pt>
                <c:pt idx="4">
                  <c:v>2023/24</c:v>
                </c:pt>
              </c:strCache>
            </c:strRef>
          </c:cat>
          <c:val>
            <c:numRef>
              <c:f>Permanence!$AU$121:$AY$121</c:f>
              <c:numCache>
                <c:formatCode>0</c:formatCode>
                <c:ptCount val="5"/>
                <c:pt idx="0">
                  <c:v>#N/A</c:v>
                </c:pt>
                <c:pt idx="1">
                  <c:v>#N/A</c:v>
                </c:pt>
                <c:pt idx="2">
                  <c:v>#N/A</c:v>
                </c:pt>
                <c:pt idx="3">
                  <c:v>604</c:v>
                </c:pt>
                <c:pt idx="4">
                  <c:v>133.5</c:v>
                </c:pt>
              </c:numCache>
            </c:numRef>
          </c:val>
          <c:smooth val="0"/>
          <c:extLst>
            <c:ext xmlns:c16="http://schemas.microsoft.com/office/drawing/2014/chart" uri="{C3380CC4-5D6E-409C-BE32-E72D297353CC}">
              <c16:uniqueId val="{00000013-2F32-4786-988B-D3CBA8172BAD}"/>
            </c:ext>
          </c:extLst>
        </c:ser>
        <c:ser>
          <c:idx val="24"/>
          <c:order val="16"/>
          <c:tx>
            <c:strRef>
              <c:f>Permanence!$AN$122</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Permanence!$Y$2:$AC$3</c:f>
              <c:strCache>
                <c:ptCount val="5"/>
                <c:pt idx="0">
                  <c:v>2019/20</c:v>
                </c:pt>
                <c:pt idx="1">
                  <c:v>2020/21</c:v>
                </c:pt>
                <c:pt idx="2">
                  <c:v>2021/22</c:v>
                </c:pt>
                <c:pt idx="3">
                  <c:v>2022/23</c:v>
                </c:pt>
                <c:pt idx="4">
                  <c:v>2023/24</c:v>
                </c:pt>
              </c:strCache>
            </c:strRef>
          </c:cat>
          <c:val>
            <c:numRef>
              <c:f>Permanence!$AU$122:$AY$122</c:f>
              <c:numCache>
                <c:formatCode>0</c:formatCode>
                <c:ptCount val="5"/>
                <c:pt idx="0">
                  <c:v>537.61363636363637</c:v>
                </c:pt>
                <c:pt idx="1">
                  <c:v>485</c:v>
                </c:pt>
                <c:pt idx="2">
                  <c:v>419.16666666666669</c:v>
                </c:pt>
                <c:pt idx="3">
                  <c:v>380.34482758620692</c:v>
                </c:pt>
                <c:pt idx="4">
                  <c:v>474.0625</c:v>
                </c:pt>
              </c:numCache>
            </c:numRef>
          </c:val>
          <c:smooth val="0"/>
          <c:extLst>
            <c:ext xmlns:c16="http://schemas.microsoft.com/office/drawing/2014/chart" uri="{C3380CC4-5D6E-409C-BE32-E72D297353CC}">
              <c16:uniqueId val="{00000014-2F32-4786-988B-D3CBA8172BAD}"/>
            </c:ext>
          </c:extLst>
        </c:ser>
        <c:ser>
          <c:idx val="25"/>
          <c:order val="17"/>
          <c:tx>
            <c:strRef>
              <c:f>Permanence!$AN$123</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Permanence!$Y$2:$AC$3</c:f>
              <c:strCache>
                <c:ptCount val="5"/>
                <c:pt idx="0">
                  <c:v>2019/20</c:v>
                </c:pt>
                <c:pt idx="1">
                  <c:v>2020/21</c:v>
                </c:pt>
                <c:pt idx="2">
                  <c:v>2021/22</c:v>
                </c:pt>
                <c:pt idx="3">
                  <c:v>2022/23</c:v>
                </c:pt>
                <c:pt idx="4">
                  <c:v>2023/24</c:v>
                </c:pt>
              </c:strCache>
            </c:strRef>
          </c:cat>
          <c:val>
            <c:numRef>
              <c:f>Permanence!$AU$123:$AY$123</c:f>
              <c:numCache>
                <c:formatCode>0</c:formatCode>
                <c:ptCount val="5"/>
                <c:pt idx="0">
                  <c:v>#N/A</c:v>
                </c:pt>
                <c:pt idx="1">
                  <c:v>#N/A</c:v>
                </c:pt>
                <c:pt idx="2">
                  <c:v>#N/A</c:v>
                </c:pt>
                <c:pt idx="3">
                  <c:v>312.33333333333331</c:v>
                </c:pt>
                <c:pt idx="4">
                  <c:v>445</c:v>
                </c:pt>
              </c:numCache>
            </c:numRef>
          </c:val>
          <c:smooth val="0"/>
          <c:extLst>
            <c:ext xmlns:c16="http://schemas.microsoft.com/office/drawing/2014/chart" uri="{C3380CC4-5D6E-409C-BE32-E72D297353CC}">
              <c16:uniqueId val="{00000015-2F32-4786-988B-D3CBA8172BAD}"/>
            </c:ext>
          </c:extLst>
        </c:ser>
        <c:ser>
          <c:idx val="26"/>
          <c:order val="18"/>
          <c:tx>
            <c:strRef>
              <c:f>Permanence!$AN$124</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Permanence!$Y$2:$AC$3</c:f>
              <c:strCache>
                <c:ptCount val="5"/>
                <c:pt idx="0">
                  <c:v>2019/20</c:v>
                </c:pt>
                <c:pt idx="1">
                  <c:v>2020/21</c:v>
                </c:pt>
                <c:pt idx="2">
                  <c:v>2021/22</c:v>
                </c:pt>
                <c:pt idx="3">
                  <c:v>2022/23</c:v>
                </c:pt>
                <c:pt idx="4">
                  <c:v>2023/24</c:v>
                </c:pt>
              </c:strCache>
            </c:strRef>
          </c:cat>
          <c:val>
            <c:numRef>
              <c:f>Permanence!$AU$124:$AY$124</c:f>
              <c:numCache>
                <c:formatCode>0</c:formatCode>
                <c:ptCount val="5"/>
                <c:pt idx="0">
                  <c:v>#N/A</c:v>
                </c:pt>
                <c:pt idx="1">
                  <c:v>#N/A</c:v>
                </c:pt>
                <c:pt idx="2">
                  <c:v>#N/A</c:v>
                </c:pt>
                <c:pt idx="3">
                  <c:v>565</c:v>
                </c:pt>
                <c:pt idx="4">
                  <c:v>645.25</c:v>
                </c:pt>
              </c:numCache>
            </c:numRef>
          </c:val>
          <c:smooth val="0"/>
          <c:extLst>
            <c:ext xmlns:c16="http://schemas.microsoft.com/office/drawing/2014/chart" uri="{C3380CC4-5D6E-409C-BE32-E72D297353CC}">
              <c16:uniqueId val="{00000016-2F32-4786-988B-D3CBA8172BAD}"/>
            </c:ext>
          </c:extLst>
        </c:ser>
        <c:ser>
          <c:idx val="4"/>
          <c:order val="19"/>
          <c:tx>
            <c:strRef>
              <c:f>Permanence!$AN$125</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Permanence!$Y$2:$AC$3</c:f>
              <c:strCache>
                <c:ptCount val="5"/>
                <c:pt idx="0">
                  <c:v>2019/20</c:v>
                </c:pt>
                <c:pt idx="1">
                  <c:v>2020/21</c:v>
                </c:pt>
                <c:pt idx="2">
                  <c:v>2021/22</c:v>
                </c:pt>
                <c:pt idx="3">
                  <c:v>2022/23</c:v>
                </c:pt>
                <c:pt idx="4">
                  <c:v>2023/24</c:v>
                </c:pt>
              </c:strCache>
            </c:strRef>
          </c:cat>
          <c:val>
            <c:numRef>
              <c:f>Permanence!$AU$125:$AY$125</c:f>
              <c:numCache>
                <c:formatCode>0</c:formatCode>
                <c:ptCount val="5"/>
                <c:pt idx="0">
                  <c:v>417</c:v>
                </c:pt>
                <c:pt idx="1">
                  <c:v>372.44324324324299</c:v>
                </c:pt>
                <c:pt idx="2">
                  <c:v>404.87675070028013</c:v>
                </c:pt>
                <c:pt idx="3">
                  <c:v>442</c:v>
                </c:pt>
                <c:pt idx="4">
                  <c:v>446.51948051948051</c:v>
                </c:pt>
              </c:numCache>
            </c:numRef>
          </c:val>
          <c:smooth val="0"/>
          <c:extLst>
            <c:ext xmlns:c16="http://schemas.microsoft.com/office/drawing/2014/chart" uri="{C3380CC4-5D6E-409C-BE32-E72D297353CC}">
              <c16:uniqueId val="{00000017-2F32-4786-988B-D3CBA8172BAD}"/>
            </c:ext>
          </c:extLst>
        </c:ser>
        <c:ser>
          <c:idx val="14"/>
          <c:order val="20"/>
          <c:tx>
            <c:strRef>
              <c:f>Permanence!$AN$126</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Permanence!$Y$2:$AC$3</c:f>
              <c:strCache>
                <c:ptCount val="5"/>
                <c:pt idx="0">
                  <c:v>2019/20</c:v>
                </c:pt>
                <c:pt idx="1">
                  <c:v>2020/21</c:v>
                </c:pt>
                <c:pt idx="2">
                  <c:v>2021/22</c:v>
                </c:pt>
                <c:pt idx="3">
                  <c:v>2022/23</c:v>
                </c:pt>
                <c:pt idx="4">
                  <c:v>2023/24</c:v>
                </c:pt>
              </c:strCache>
            </c:strRef>
          </c:cat>
          <c:val>
            <c:numRef>
              <c:f>Permanence!$AU$126:$AY$126</c:f>
              <c:numCache>
                <c:formatCode>0</c:formatCode>
                <c:ptCount val="5"/>
                <c:pt idx="0">
                  <c:v>459</c:v>
                </c:pt>
                <c:pt idx="1">
                  <c:v>418.115752212389</c:v>
                </c:pt>
                <c:pt idx="2">
                  <c:v>458.75887978142077</c:v>
                </c:pt>
                <c:pt idx="3">
                  <c:v>480</c:v>
                </c:pt>
                <c:pt idx="4">
                  <c:v>485.03991949010401</c:v>
                </c:pt>
              </c:numCache>
            </c:numRef>
          </c:val>
          <c:smooth val="0"/>
          <c:extLst>
            <c:ext xmlns:c16="http://schemas.microsoft.com/office/drawing/2014/chart" uri="{C3380CC4-5D6E-409C-BE32-E72D297353CC}">
              <c16:uniqueId val="{00000018-2F32-4786-988B-D3CBA8172BAD}"/>
            </c:ext>
          </c:extLst>
        </c:ser>
        <c:ser>
          <c:idx val="6"/>
          <c:order val="21"/>
          <c:tx>
            <c:strRef>
              <c:f>Permanence!$AN$127</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Permanence!$Y$2:$AC$3</c:f>
              <c:strCache>
                <c:ptCount val="5"/>
                <c:pt idx="0">
                  <c:v>2019/20</c:v>
                </c:pt>
                <c:pt idx="1">
                  <c:v>2020/21</c:v>
                </c:pt>
                <c:pt idx="2">
                  <c:v>2021/22</c:v>
                </c:pt>
                <c:pt idx="3">
                  <c:v>2022/23</c:v>
                </c:pt>
                <c:pt idx="4">
                  <c:v>2023/24</c:v>
                </c:pt>
              </c:strCache>
            </c:strRef>
          </c:cat>
          <c:val>
            <c:numRef>
              <c:f>Permanence!$AU$127:$AY$127</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2F32-4786-988B-D3CBA8172BAD}"/>
            </c:ext>
          </c:extLst>
        </c:ser>
        <c:dLbls>
          <c:showLegendKey val="0"/>
          <c:showVal val="0"/>
          <c:showCatName val="0"/>
          <c:showSerName val="0"/>
          <c:showPercent val="0"/>
          <c:showBubbleSize val="0"/>
        </c:dLbls>
        <c:marker val="1"/>
        <c:smooth val="0"/>
        <c:axId val="418850688"/>
        <c:axId val="418861056"/>
      </c:lineChart>
      <c:catAx>
        <c:axId val="418850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8861056"/>
        <c:crosses val="autoZero"/>
        <c:auto val="1"/>
        <c:lblAlgn val="ctr"/>
        <c:lblOffset val="100"/>
        <c:tickLblSkip val="1"/>
        <c:tickMarkSkip val="1"/>
        <c:noMultiLvlLbl val="0"/>
      </c:catAx>
      <c:valAx>
        <c:axId val="418861056"/>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8850688"/>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8310302428412661"/>
          <c:y val="8.9571923694438046E-2"/>
          <c:w val="0.30365113144640704"/>
          <c:h val="0.8875273487578305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pPr>
            <a:r>
              <a:rPr lang="en-GB" sz="1100" b="1"/>
              <a:t>% Avg. Days LAC start to PFA (adjusted for FC Adoptions) (Selected LA vs. SE &amp; National) </a:t>
            </a:r>
          </a:p>
        </c:rich>
      </c:tx>
      <c:layout>
        <c:manualLayout>
          <c:xMode val="edge"/>
          <c:yMode val="edge"/>
          <c:x val="0.14557745544964773"/>
          <c:y val="4.6299833822547329E-3"/>
        </c:manualLayout>
      </c:layout>
      <c:overlay val="0"/>
      <c:spPr>
        <a:noFill/>
        <a:ln w="25400">
          <a:noFill/>
        </a:ln>
      </c:spPr>
    </c:title>
    <c:autoTitleDeleted val="0"/>
    <c:plotArea>
      <c:layout>
        <c:manualLayout>
          <c:layoutTarget val="inner"/>
          <c:xMode val="edge"/>
          <c:yMode val="edge"/>
          <c:x val="9.590606437353226E-2"/>
          <c:y val="0.22625852241842551"/>
          <c:w val="0.64607416380644722"/>
          <c:h val="0.57631893646430288"/>
        </c:manualLayout>
      </c:layout>
      <c:barChart>
        <c:barDir val="col"/>
        <c:grouping val="clustered"/>
        <c:varyColors val="0"/>
        <c:ser>
          <c:idx val="6"/>
          <c:order val="0"/>
          <c:tx>
            <c:strRef>
              <c:f>Permanence!$Y$4</c:f>
              <c:strCache>
                <c:ptCount val="1"/>
                <c:pt idx="0">
                  <c:v>Selected LA- (none)</c:v>
                </c:pt>
              </c:strCache>
            </c:strRef>
          </c:tx>
          <c:spPr>
            <a:solidFill>
              <a:srgbClr val="66FF99"/>
            </a:solidFill>
            <a:ln>
              <a:solidFill>
                <a:schemeClr val="tx1">
                  <a:lumMod val="75000"/>
                  <a:lumOff val="25000"/>
                </a:schemeClr>
              </a:solidFill>
            </a:ln>
          </c:spPr>
          <c:invertIfNegative val="0"/>
          <c:cat>
            <c:strRef>
              <c:f>Permanence!$Y$2:$AC$3</c:f>
              <c:strCache>
                <c:ptCount val="5"/>
                <c:pt idx="0">
                  <c:v>2019/20</c:v>
                </c:pt>
                <c:pt idx="1">
                  <c:v>2020/21</c:v>
                </c:pt>
                <c:pt idx="2">
                  <c:v>2021/22</c:v>
                </c:pt>
                <c:pt idx="3">
                  <c:v>2022/23</c:v>
                </c:pt>
                <c:pt idx="4">
                  <c:v>2023/24</c:v>
                </c:pt>
              </c:strCache>
            </c:strRef>
          </c:cat>
          <c:val>
            <c:numRef>
              <c:f>Permanence!$AU$127:$AY$127</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B163-46AB-A2FB-21A651C9A73F}"/>
            </c:ext>
          </c:extLst>
        </c:ser>
        <c:ser>
          <c:idx val="4"/>
          <c:order val="1"/>
          <c:tx>
            <c:strRef>
              <c:f>Permanence!$B$196</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Permanence!$Y$2:$AC$3</c:f>
              <c:strCache>
                <c:ptCount val="5"/>
                <c:pt idx="0">
                  <c:v>2019/20</c:v>
                </c:pt>
                <c:pt idx="1">
                  <c:v>2020/21</c:v>
                </c:pt>
                <c:pt idx="2">
                  <c:v>2021/22</c:v>
                </c:pt>
                <c:pt idx="3">
                  <c:v>2022/23</c:v>
                </c:pt>
                <c:pt idx="4">
                  <c:v>2023/24</c:v>
                </c:pt>
              </c:strCache>
            </c:strRef>
          </c:cat>
          <c:val>
            <c:numRef>
              <c:f>Permanence!$K$98:$O$98</c:f>
              <c:numCache>
                <c:formatCode>0</c:formatCode>
                <c:ptCount val="5"/>
                <c:pt idx="0">
                  <c:v>417</c:v>
                </c:pt>
                <c:pt idx="1">
                  <c:v>372.44324324324299</c:v>
                </c:pt>
                <c:pt idx="2">
                  <c:v>404.87675070028013</c:v>
                </c:pt>
                <c:pt idx="3">
                  <c:v>442</c:v>
                </c:pt>
                <c:pt idx="4">
                  <c:v>446.51948051948051</c:v>
                </c:pt>
              </c:numCache>
            </c:numRef>
          </c:val>
          <c:extLst>
            <c:ext xmlns:c16="http://schemas.microsoft.com/office/drawing/2014/chart" uri="{C3380CC4-5D6E-409C-BE32-E72D297353CC}">
              <c16:uniqueId val="{00000001-B163-46AB-A2FB-21A651C9A73F}"/>
            </c:ext>
          </c:extLst>
        </c:ser>
        <c:ser>
          <c:idx val="0"/>
          <c:order val="2"/>
          <c:tx>
            <c:strRef>
              <c:f>Permanence!$B$99</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Permanence!$Y$2:$AC$3</c:f>
              <c:strCache>
                <c:ptCount val="5"/>
                <c:pt idx="0">
                  <c:v>2019/20</c:v>
                </c:pt>
                <c:pt idx="1">
                  <c:v>2020/21</c:v>
                </c:pt>
                <c:pt idx="2">
                  <c:v>2021/22</c:v>
                </c:pt>
                <c:pt idx="3">
                  <c:v>2022/23</c:v>
                </c:pt>
                <c:pt idx="4">
                  <c:v>2023/24</c:v>
                </c:pt>
              </c:strCache>
            </c:strRef>
          </c:cat>
          <c:val>
            <c:numRef>
              <c:f>Permanence!$K$99:$O$99</c:f>
              <c:numCache>
                <c:formatCode>0</c:formatCode>
                <c:ptCount val="5"/>
                <c:pt idx="0">
                  <c:v>459</c:v>
                </c:pt>
                <c:pt idx="1">
                  <c:v>418.115752212389</c:v>
                </c:pt>
                <c:pt idx="2">
                  <c:v>458.75887978142077</c:v>
                </c:pt>
                <c:pt idx="3">
                  <c:v>480</c:v>
                </c:pt>
                <c:pt idx="4">
                  <c:v>485.03991949010401</c:v>
                </c:pt>
              </c:numCache>
            </c:numRef>
          </c:val>
          <c:extLst>
            <c:ext xmlns:c16="http://schemas.microsoft.com/office/drawing/2014/chart" uri="{C3380CC4-5D6E-409C-BE32-E72D297353CC}">
              <c16:uniqueId val="{00000002-B163-46AB-A2FB-21A651C9A73F}"/>
            </c:ext>
          </c:extLst>
        </c:ser>
        <c:dLbls>
          <c:showLegendKey val="0"/>
          <c:showVal val="0"/>
          <c:showCatName val="0"/>
          <c:showSerName val="0"/>
          <c:showPercent val="0"/>
          <c:showBubbleSize val="0"/>
        </c:dLbls>
        <c:gapWidth val="100"/>
        <c:axId val="419239424"/>
        <c:axId val="419240960"/>
      </c:barChart>
      <c:catAx>
        <c:axId val="419239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419240960"/>
        <c:crosses val="autoZero"/>
        <c:auto val="1"/>
        <c:lblAlgn val="ctr"/>
        <c:lblOffset val="100"/>
        <c:noMultiLvlLbl val="0"/>
      </c:catAx>
      <c:valAx>
        <c:axId val="419240960"/>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419239424"/>
        <c:crosses val="autoZero"/>
        <c:crossBetween val="between"/>
      </c:valAx>
      <c:spPr>
        <a:noFill/>
        <a:ln w="3175">
          <a:solidFill>
            <a:srgbClr val="000000"/>
          </a:solidFill>
          <a:prstDash val="solid"/>
        </a:ln>
      </c:spPr>
    </c:plotArea>
    <c:legend>
      <c:legendPos val="r"/>
      <c:layout>
        <c:manualLayout>
          <c:xMode val="edge"/>
          <c:yMode val="edge"/>
          <c:x val="0.75289088863892017"/>
          <c:y val="0.21128205128205127"/>
          <c:w val="0.24710911136107985"/>
          <c:h val="0.70982186398297864"/>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Children Placed for Adoption vs. IDACI</a:t>
            </a:r>
          </a:p>
        </c:rich>
      </c:tx>
      <c:layout>
        <c:manualLayout>
          <c:xMode val="edge"/>
          <c:yMode val="edge"/>
          <c:x val="0.15926796821630174"/>
          <c:y val="3.0147147896105751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Permanence!$AT$35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0178-4DD4-8EEF-C65A511D636C}"/>
              </c:ext>
            </c:extLst>
          </c:dPt>
          <c:dLbls>
            <c:dLbl>
              <c:idx val="0"/>
              <c:tx>
                <c:strRef>
                  <c:f>ReportData!$K$4</c:f>
                  <c:strCache>
                    <c:ptCount val="1"/>
                    <c:pt idx="0">
                      <c:v>Bracknell Forest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{40E94E89-29C1-4043-B9E1-F9ACFC71EF97}</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0178-4DD4-8EEF-C65A511D636C}"/>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{F8E3C64F-D2A5-440E-BD12-A3ADA706C546}</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0178-4DD4-8EEF-C65A511D636C}"/>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{429278C7-CB31-43D6-AB83-23CDBD9B333D}</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0178-4DD4-8EEF-C65A511D636C}"/>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{4EA162FA-AB18-4237-A6A7-779BBFB7677B}</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0178-4DD4-8EEF-C65A511D636C}"/>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{A3137EC2-4CA1-40CF-9EA0-6AEEA04B1309}</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5-0178-4DD4-8EEF-C65A511D636C}"/>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{EC8FA428-D500-4FB5-AF18-0E7FD2AD5435}</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0178-4DD4-8EEF-C65A511D636C}"/>
                </c:ext>
              </c:extLst>
            </c:dLbl>
            <c:dLbl>
              <c:idx val="6"/>
              <c:tx>
                <c:strRef>
                  <c:f>ReportData!$K$10</c:f>
                  <c:strCache>
                    <c:ptCount val="1"/>
                    <c:pt idx="0">
                      <c:v>Kent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{235AD343-789C-4E54-8165-D866510388C9}</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7-0178-4DD4-8EEF-C65A511D636C}"/>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{184BB41B-4F59-48B4-B298-9BAA92A32D25}</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8-0178-4DD4-8EEF-C65A511D636C}"/>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{40F19341-0959-41F8-9CDE-8313A0AAED09}</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0178-4DD4-8EEF-C65A511D636C}"/>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{7AA46EAA-C0E5-4141-9578-159A6AD0D1A9}</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0178-4DD4-8EEF-C65A511D636C}"/>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{7BCADC23-8ECF-4F11-87E6-3B17F9DAF526}</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0178-4DD4-8EEF-C65A511D636C}"/>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{B0CE0391-6799-4D8E-86A1-ED1F61794F62}</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C-0178-4DD4-8EEF-C65A511D636C}"/>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{62031629-F2A7-4052-8FD3-DB820D524602}</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0D-0178-4DD4-8EEF-C65A511D636C}"/>
                </c:ext>
              </c:extLst>
            </c:dLbl>
            <c:dLbl>
              <c:idx val="13"/>
              <c:tx>
                <c:strRef>
                  <c:f>ReportData!$K$17</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{75F6900E-EF26-41E0-A93A-92B7A8807DF3}</c15:txfldGUID>
                      <c15:f>ReportData!$K$17</c15:f>
                      <c15:dlblFieldTableCache>
                        <c:ptCount val="1"/>
                        <c:pt idx="0">
                          <c:v>Southampton</c:v>
                        </c:pt>
                      </c15:dlblFieldTableCache>
                    </c15:dlblFTEntry>
                  </c15:dlblFieldTable>
                  <c15:showDataLabelsRange val="0"/>
                </c:ext>
                <c:ext xmlns:c16="http://schemas.microsoft.com/office/drawing/2014/chart" uri="{C3380CC4-5D6E-409C-BE32-E72D297353CC}">
                  <c16:uniqueId val="{0000000E-0178-4DD4-8EEF-C65A511D636C}"/>
                </c:ext>
              </c:extLst>
            </c:dLbl>
            <c:dLbl>
              <c:idx val="14"/>
              <c:layout>
                <c:manualLayout>
                  <c:x val="-9.8201550387596953E-2"/>
                  <c:y val="0"/>
                </c:manualLayout>
              </c:layout>
              <c:tx>
                <c:strRef>
                  <c:f>ReportData!$K$18</c:f>
                  <c:strCache>
                    <c:ptCount val="1"/>
                    <c:pt idx="0">
                      <c:v>Surrey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{59AD8E7D-0E70-453F-B75A-ACE93FB7949F}</c15:txfldGUID>
                      <c15:f>ReportData!$K$18</c15:f>
                      <c15:dlblFieldTableCache>
                        <c:ptCount val="1"/>
                        <c:pt idx="0">
                          <c:v>Surrey</c:v>
                        </c:pt>
                      </c15:dlblFieldTableCache>
                    </c15:dlblFTEntry>
                  </c15:dlblFieldTable>
                  <c15:showDataLabelsRange val="0"/>
                </c:ext>
                <c:ext xmlns:c16="http://schemas.microsoft.com/office/drawing/2014/chart" uri="{C3380CC4-5D6E-409C-BE32-E72D297353CC}">
                  <c16:uniqueId val="{0000000F-0178-4DD4-8EEF-C65A511D636C}"/>
                </c:ext>
              </c:extLst>
            </c:dLbl>
            <c:dLbl>
              <c:idx val="15"/>
              <c:tx>
                <c:strRef>
                  <c:f>ReportData!$K$19</c:f>
                  <c:strCache>
                    <c:ptCount val="1"/>
                    <c:pt idx="0">
                      <c:v>West Berkshire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{3697C7EE-1396-4670-82D8-FB2F85E536A5}</c15:txfldGUID>
                      <c15:f>ReportData!$K$19</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0178-4DD4-8EEF-C65A511D636C}"/>
                </c:ext>
              </c:extLst>
            </c:dLbl>
            <c:dLbl>
              <c:idx val="16"/>
              <c:tx>
                <c:strRef>
                  <c:f>ReportData!$K$20</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{806251FD-7293-4379-8853-4385AE2FC4C6}</c15:txfldGUID>
                      <c15:f>ReportData!$K$20</c15:f>
                      <c15:dlblFieldTableCache>
                        <c:ptCount val="1"/>
                        <c:pt idx="0">
                          <c:v>West Sussex</c:v>
                        </c:pt>
                      </c15:dlblFieldTableCache>
                    </c15:dlblFTEntry>
                  </c15:dlblFieldTable>
                  <c15:showDataLabelsRange val="0"/>
                </c:ext>
                <c:ext xmlns:c16="http://schemas.microsoft.com/office/drawing/2014/chart" uri="{C3380CC4-5D6E-409C-BE32-E72D297353CC}">
                  <c16:uniqueId val="{00000011-0178-4DD4-8EEF-C65A511D636C}"/>
                </c:ext>
              </c:extLst>
            </c:dLbl>
            <c:dLbl>
              <c:idx val="17"/>
              <c:tx>
                <c:strRef>
                  <c:f>ReportData!$K$21</c:f>
                  <c:strCache>
                    <c:ptCount val="1"/>
                    <c:pt idx="0">
                      <c:v>Windsor &amp; Maidenhead</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{776A7FE3-AE4A-436A-8EC9-CB6BE8EDE94F}</c15:txfldGUID>
                      <c15:f>ReportData!$K$21</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0178-4DD4-8EEF-C65A511D636C}"/>
                </c:ext>
              </c:extLst>
            </c:dLbl>
            <c:dLbl>
              <c:idx val="18"/>
              <c:tx>
                <c:strRef>
                  <c:f>ReportData!$K$22</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{58472617-9133-44F5-877D-042291715494}</c15:txfldGUID>
                      <c15:f>ReportData!$K$22</c15:f>
                      <c15:dlblFieldTableCache>
                        <c:ptCount val="1"/>
                        <c:pt idx="0">
                          <c:v>Wokingham</c:v>
                        </c:pt>
                      </c15:dlblFieldTableCache>
                    </c15:dlblFTEntry>
                  </c15:dlblFieldTable>
                  <c15:showDataLabelsRange val="0"/>
                </c:ext>
                <c:ext xmlns:c16="http://schemas.microsoft.com/office/drawing/2014/chart" uri="{C3380CC4-5D6E-409C-BE32-E72D297353CC}">
                  <c16:uniqueId val="{00000013-0178-4DD4-8EEF-C65A511D636C}"/>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(Permanence!$AT$38:$AT$50,Permanence!$AT$51:$AT$52,Permanence!$AT$53:$AT$56)</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(Permanence!$AS$38:$AS$50,Permanence!$AS$51:$AS$52,Permanence!$AS$53:$AS$56)</c:f>
              <c:numCache>
                <c:formatCode>0.0</c:formatCode>
                <c:ptCount val="19"/>
                <c:pt idx="0">
                  <c:v>0</c:v>
                </c:pt>
                <c:pt idx="1">
                  <c:v>2.1428877555393648</c:v>
                </c:pt>
                <c:pt idx="2">
                  <c:v>#N/A</c:v>
                </c:pt>
                <c:pt idx="3">
                  <c:v>1.3512730922919522</c:v>
                </c:pt>
                <c:pt idx="4">
                  <c:v>0.91033227127901684</c:v>
                </c:pt>
                <c:pt idx="5">
                  <c:v>#N/A</c:v>
                </c:pt>
                <c:pt idx="6">
                  <c:v>1.3779957052467187</c:v>
                </c:pt>
                <c:pt idx="7">
                  <c:v>1.1996341115959632</c:v>
                </c:pt>
                <c:pt idx="8">
                  <c:v>1.5110512795856972</c:v>
                </c:pt>
                <c:pt idx="9">
                  <c:v>#N/A</c:v>
                </c:pt>
                <c:pt idx="10">
                  <c:v>2.3636750419552319</c:v>
                </c:pt>
                <c:pt idx="11">
                  <c:v>#N/A</c:v>
                </c:pt>
                <c:pt idx="12">
                  <c:v>2.2297041182635065</c:v>
                </c:pt>
                <c:pt idx="13">
                  <c:v>2.9777857185396939</c:v>
                </c:pt>
                <c:pt idx="14">
                  <c:v>0.56460598030654341</c:v>
                </c:pt>
                <c:pt idx="15">
                  <c:v>1.981599433828733</c:v>
                </c:pt>
                <c:pt idx="16">
                  <c:v>1.6200393278512693</c:v>
                </c:pt>
                <c:pt idx="17">
                  <c:v>#N/A</c:v>
                </c:pt>
                <c:pt idx="18">
                  <c:v>#N/A</c:v>
                </c:pt>
              </c:numCache>
            </c:numRef>
          </c:yVal>
          <c:smooth val="0"/>
          <c:extLst>
            <c:ext xmlns:c16="http://schemas.microsoft.com/office/drawing/2014/chart" uri="{C3380CC4-5D6E-409C-BE32-E72D297353CC}">
              <c16:uniqueId val="{00000015-0178-4DD4-8EEF-C65A511D636C}"/>
            </c:ext>
          </c:extLst>
        </c:ser>
        <c:ser>
          <c:idx val="1"/>
          <c:order val="1"/>
          <c:tx>
            <c:strRef>
              <c:f>Permanence!$Y$4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Permanence!$AT$59</c:f>
              <c:numCache>
                <c:formatCode>0.0</c:formatCode>
                <c:ptCount val="1"/>
                <c:pt idx="0">
                  <c:v>#N/A</c:v>
                </c:pt>
              </c:numCache>
            </c:numRef>
          </c:xVal>
          <c:yVal>
            <c:numRef>
              <c:f>Permanence!$AS$59</c:f>
              <c:numCache>
                <c:formatCode>0.0</c:formatCode>
                <c:ptCount val="1"/>
                <c:pt idx="0">
                  <c:v>#N/A</c:v>
                </c:pt>
              </c:numCache>
            </c:numRef>
          </c:yVal>
          <c:smooth val="0"/>
          <c:extLst>
            <c:ext xmlns:c16="http://schemas.microsoft.com/office/drawing/2014/chart" uri="{C3380CC4-5D6E-409C-BE32-E72D297353CC}">
              <c16:uniqueId val="{0000001A-0178-4DD4-8EEF-C65A511D636C}"/>
            </c:ext>
          </c:extLst>
        </c:ser>
        <c:ser>
          <c:idx val="4"/>
          <c:order val="2"/>
          <c:tx>
            <c:strRef>
              <c:f>Permanence!$B$30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Permanence!$AT$125</c:f>
              <c:numCache>
                <c:formatCode>0.0</c:formatCode>
                <c:ptCount val="1"/>
                <c:pt idx="0">
                  <c:v>12.62884379180689</c:v>
                </c:pt>
              </c:numCache>
            </c:numRef>
          </c:xVal>
          <c:yVal>
            <c:numRef>
              <c:f>Permanence!$O$30</c:f>
              <c:numCache>
                <c:formatCode>0.0</c:formatCode>
                <c:ptCount val="1"/>
                <c:pt idx="0">
                  <c:v>1.4650810667573742</c:v>
                </c:pt>
              </c:numCache>
            </c:numRef>
          </c:yVal>
          <c:smooth val="0"/>
          <c:extLst>
            <c:ext xmlns:c16="http://schemas.microsoft.com/office/drawing/2014/chart" uri="{C3380CC4-5D6E-409C-BE32-E72D297353CC}">
              <c16:uniqueId val="{0000001B-0178-4DD4-8EEF-C65A511D636C}"/>
            </c:ext>
          </c:extLst>
        </c:ser>
        <c:dLbls>
          <c:showLegendKey val="0"/>
          <c:showVal val="0"/>
          <c:showCatName val="0"/>
          <c:showSerName val="0"/>
          <c:showPercent val="0"/>
          <c:showBubbleSize val="0"/>
        </c:dLbls>
        <c:axId val="419281536"/>
        <c:axId val="419062912"/>
      </c:scatterChart>
      <c:scatterChart>
        <c:scatterStyle val="smoothMarker"/>
        <c:varyColors val="0"/>
        <c:ser>
          <c:idx val="2"/>
          <c:order val="3"/>
          <c:tx>
            <c:strRef>
              <c:f>Permanence!$W$38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1E98-48B7-8E0C-15F295CC25C1}"/>
                </c:ext>
              </c:extLst>
            </c:dLbl>
            <c:dLbl>
              <c:idx val="1"/>
              <c:layout>
                <c:manualLayout>
                  <c:x val="-8.9922480620155149E-2"/>
                  <c:y val="-3.3182503770739093E-2"/>
                </c:manualLayout>
              </c:layout>
              <c:tx>
                <c:strRef>
                  <c:f>Permanence!$AB$39</c:f>
                  <c:strCache>
                    <c:ptCount val="1"/>
                    <c:pt idx="0">
                      <c:v>r² = 0.407</c:v>
                    </c:pt>
                  </c:strCache>
                </c:strRef>
              </c:tx>
              <c:spPr>
                <a:noFill/>
                <a:ln>
                  <a:noFill/>
                </a:ln>
                <a:effectLst/>
              </c:spPr>
              <c:txPr>
                <a:bodyPr wrap="square" lIns="38100" tIns="19050" rIns="38100" bIns="19050" anchor="ctr">
                  <a:spAutoFit/>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{F256E2F1-503C-481D-A830-FF107BA576AF}</c15:txfldGUID>
                      <c15:f>Permanence!$AB$39</c15:f>
                      <c15:dlblFieldTableCache>
                        <c:ptCount val="1"/>
                        <c:pt idx="0">
                          <c:v>r² = 0.407</c:v>
                        </c:pt>
                      </c15:dlblFieldTableCache>
                    </c15:dlblFTEntry>
                  </c15:dlblFieldTable>
                  <c15:showDataLabelsRange val="0"/>
                </c:ext>
                <c:ext xmlns:c16="http://schemas.microsoft.com/office/drawing/2014/chart" uri="{C3380CC4-5D6E-409C-BE32-E72D297353CC}">
                  <c16:uniqueId val="{00000005-1E98-48B7-8E0C-15F295CC25C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Permanence!$Z$38:$Z$39</c:f>
              <c:numCache>
                <c:formatCode>General</c:formatCode>
                <c:ptCount val="2"/>
                <c:pt idx="0" formatCode="#,##0.0">
                  <c:v>3</c:v>
                </c:pt>
                <c:pt idx="1">
                  <c:v>22</c:v>
                </c:pt>
              </c:numCache>
            </c:numRef>
          </c:xVal>
          <c:yVal>
            <c:numRef>
              <c:f>Permanence!$AA$38:$AA$39</c:f>
              <c:numCache>
                <c:formatCode>0.0</c:formatCode>
                <c:ptCount val="2"/>
                <c:pt idx="0">
                  <c:v>0.24889356167669896</c:v>
                </c:pt>
                <c:pt idx="1">
                  <c:v>2.4835259710555606</c:v>
                </c:pt>
              </c:numCache>
            </c:numRef>
          </c:yVal>
          <c:smooth val="1"/>
          <c:extLst>
            <c:ext xmlns:c16="http://schemas.microsoft.com/office/drawing/2014/chart" uri="{C3380CC4-5D6E-409C-BE32-E72D297353CC}">
              <c16:uniqueId val="{00000003-1E98-48B7-8E0C-15F295CC25C1}"/>
            </c:ext>
          </c:extLst>
        </c:ser>
        <c:dLbls>
          <c:showLegendKey val="0"/>
          <c:showVal val="0"/>
          <c:showCatName val="0"/>
          <c:showSerName val="0"/>
          <c:showPercent val="0"/>
          <c:showBubbleSize val="0"/>
        </c:dLbls>
        <c:axId val="419281536"/>
        <c:axId val="419062912"/>
      </c:scatterChart>
      <c:valAx>
        <c:axId val="419281536"/>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4087952964064139"/>
              <c:y val="0.91929229487900843"/>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cross"/>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9062912"/>
        <c:crosses val="autoZero"/>
        <c:crossBetween val="midCat"/>
        <c:majorUnit val="5"/>
      </c:valAx>
      <c:valAx>
        <c:axId val="419062912"/>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b="1" i="0" u="none" strike="noStrike" baseline="0">
                    <a:effectLst/>
                  </a:rPr>
                  <a:t>Rate of Children Placed for Adoption </a:t>
                </a:r>
                <a:r>
                  <a:rPr lang="en-GB" sz="900"/>
                  <a:t>per</a:t>
                </a:r>
              </a:p>
              <a:p>
                <a:pPr>
                  <a:defRPr sz="900" b="1" i="0" u="none" strike="noStrike" baseline="0">
                    <a:solidFill>
                      <a:srgbClr val="000000"/>
                    </a:solidFill>
                    <a:latin typeface="Arial"/>
                    <a:ea typeface="Arial"/>
                    <a:cs typeface="Arial"/>
                  </a:defRPr>
                </a:pPr>
                <a:r>
                  <a:rPr lang="en-GB" sz="900"/>
                  <a:t>10,000 0-17 year olds</a:t>
                </a:r>
              </a:p>
            </c:rich>
          </c:tx>
          <c:layout>
            <c:manualLayout>
              <c:xMode val="edge"/>
              <c:yMode val="edge"/>
              <c:x val="4.3297966991414215E-2"/>
              <c:y val="0.1972294865856699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9281536"/>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Avg. time in days between a child entering care and moving in with their adoptive family,</a:t>
            </a:r>
            <a:r>
              <a:rPr lang="en-GB" sz="1100" baseline="0"/>
              <a:t> adjusted for Foster Carer Adoptions</a:t>
            </a:r>
            <a:r>
              <a:rPr lang="en-GB" sz="1100"/>
              <a:t> vs. IDACI</a:t>
            </a:r>
          </a:p>
        </c:rich>
      </c:tx>
      <c:layout>
        <c:manualLayout>
          <c:xMode val="edge"/>
          <c:yMode val="edge"/>
          <c:x val="0.13027724689753586"/>
          <c:y val="2.9978266291374213E-3"/>
        </c:manualLayout>
      </c:layout>
      <c:overlay val="0"/>
      <c:spPr>
        <a:noFill/>
        <a:ln w="25400">
          <a:noFill/>
        </a:ln>
      </c:spPr>
    </c:title>
    <c:autoTitleDeleted val="0"/>
    <c:plotArea>
      <c:layout>
        <c:manualLayout>
          <c:layoutTarget val="inner"/>
          <c:xMode val="edge"/>
          <c:yMode val="edge"/>
          <c:x val="0.17846630896801616"/>
          <c:y val="0.13091530979442048"/>
          <c:w val="0.71042412839987923"/>
          <c:h val="0.72144796380090492"/>
        </c:manualLayout>
      </c:layout>
      <c:scatterChart>
        <c:scatterStyle val="smoothMarker"/>
        <c:varyColors val="0"/>
        <c:ser>
          <c:idx val="2"/>
          <c:order val="3"/>
          <c:tx>
            <c:strRef>
              <c:f>Permanence!$W$106</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19AD-45E4-807E-EF1D02C7F9F9}"/>
                </c:ext>
              </c:extLst>
            </c:dLbl>
            <c:dLbl>
              <c:idx val="1"/>
              <c:layout>
                <c:manualLayout>
                  <c:x val="-7.4418604651162679E-2"/>
                  <c:y val="-2.7149321266968326E-2"/>
                </c:manualLayout>
              </c:layout>
              <c:tx>
                <c:strRef>
                  <c:f>Permanence!$AB$107</c:f>
                  <c:strCache>
                    <c:ptCount val="1"/>
                    <c:pt idx="0">
                      <c:v>r² = 0.013</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{5743AA84-0A80-465B-B264-A1B68C5A0A26}</c15:txfldGUID>
                      <c15:f>Permanence!$AB$107</c15:f>
                      <c15:dlblFieldTableCache>
                        <c:ptCount val="1"/>
                        <c:pt idx="0">
                          <c:v>r² = 0.013</c:v>
                        </c:pt>
                      </c15:dlblFieldTableCache>
                    </c15:dlblFTEntry>
                  </c15:dlblFieldTable>
                  <c15:showDataLabelsRange val="0"/>
                </c:ext>
                <c:ext xmlns:c16="http://schemas.microsoft.com/office/drawing/2014/chart" uri="{C3380CC4-5D6E-409C-BE32-E72D297353CC}">
                  <c16:uniqueId val="{00000001-19AD-45E4-807E-EF1D02C7F9F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Permanence!$Z$106:$Z$107</c:f>
              <c:numCache>
                <c:formatCode>General</c:formatCode>
                <c:ptCount val="2"/>
                <c:pt idx="0" formatCode="#,##0.0">
                  <c:v>5</c:v>
                </c:pt>
                <c:pt idx="1">
                  <c:v>35</c:v>
                </c:pt>
              </c:numCache>
            </c:numRef>
          </c:xVal>
          <c:yVal>
            <c:numRef>
              <c:f>Permanence!$AA$106:$AA$107</c:f>
              <c:numCache>
                <c:formatCode>0.0</c:formatCode>
                <c:ptCount val="2"/>
                <c:pt idx="0">
                  <c:v>419.28031362629508</c:v>
                </c:pt>
                <c:pt idx="1">
                  <c:v>532.03210551334564</c:v>
                </c:pt>
              </c:numCache>
            </c:numRef>
          </c:yVal>
          <c:smooth val="1"/>
          <c:extLst>
            <c:ext xmlns:c16="http://schemas.microsoft.com/office/drawing/2014/chart" uri="{C3380CC4-5D6E-409C-BE32-E72D297353CC}">
              <c16:uniqueId val="{00000002-19AD-45E4-807E-EF1D02C7F9F9}"/>
            </c:ext>
          </c:extLst>
        </c:ser>
        <c:dLbls>
          <c:showLegendKey val="0"/>
          <c:showVal val="0"/>
          <c:showCatName val="0"/>
          <c:showSerName val="0"/>
          <c:showPercent val="0"/>
          <c:showBubbleSize val="0"/>
        </c:dLbls>
        <c:axId val="419128832"/>
        <c:axId val="419172352"/>
      </c:scatterChart>
      <c:scatterChart>
        <c:scatterStyle val="lineMarker"/>
        <c:varyColors val="0"/>
        <c:ser>
          <c:idx val="0"/>
          <c:order val="0"/>
          <c:tx>
            <c:strRef>
              <c:f>Permanence!$AT$35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19AD-45E4-807E-EF1D02C7F9F9}"/>
              </c:ext>
            </c:extLst>
          </c:dPt>
          <c:dLbls>
            <c:dLbl>
              <c:idx val="0"/>
              <c:tx>
                <c:strRef>
                  <c:f>ReportData!$K$4</c:f>
                  <c:strCache>
                    <c:ptCount val="1"/>
                    <c:pt idx="0">
                      <c:v>Bracknell Forest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{A5EEB12F-916E-483B-800B-983A6037D694}</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19AD-45E4-807E-EF1D02C7F9F9}"/>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{F38D0FC6-5001-4570-AE63-26B744472CE6}</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19AD-45E4-807E-EF1D02C7F9F9}"/>
                </c:ext>
              </c:extLst>
            </c:dLbl>
            <c:dLbl>
              <c:idx val="2"/>
              <c:tx>
                <c:strRef>
                  <c:f>ReportData!$K$6</c:f>
                  <c:strCache>
                    <c:ptCount val="1"/>
                    <c:pt idx="0">
                      <c:v>Buckinghamshire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{6459E4D5-154C-49D6-BE79-7D970A21DAD8}</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19AD-45E4-807E-EF1D02C7F9F9}"/>
                </c:ext>
              </c:extLst>
            </c:dLbl>
            <c:dLbl>
              <c:idx val="3"/>
              <c:tx>
                <c:strRef>
                  <c:f>ReportData!$K$7</c:f>
                  <c:strCache>
                    <c:ptCount val="1"/>
                    <c:pt idx="0">
                      <c:v>East Sussex</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{F93D76D8-AE81-42C2-954B-F6BB2D3C13E3}</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19AD-45E4-807E-EF1D02C7F9F9}"/>
                </c:ext>
              </c:extLst>
            </c:dLbl>
            <c:dLbl>
              <c:idx val="4"/>
              <c:tx>
                <c:strRef>
                  <c:f>ReportData!$K$8</c:f>
                  <c:strCache>
                    <c:ptCount val="1"/>
                    <c:pt idx="0">
                      <c:v>Hampshire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{9C3EBAB7-17BC-4233-8869-DF00E2F3D736}</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8-19AD-45E4-807E-EF1D02C7F9F9}"/>
                </c:ext>
              </c:extLst>
            </c:dLbl>
            <c:dLbl>
              <c:idx val="5"/>
              <c:tx>
                <c:strRef>
                  <c:f>ReportData!$K$9</c:f>
                  <c:strCache>
                    <c:ptCount val="1"/>
                    <c:pt idx="0">
                      <c:v>Isle of Wight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{078836F2-EC55-4A30-AF33-D5450BA78ED2}</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19AD-45E4-807E-EF1D02C7F9F9}"/>
                </c:ext>
              </c:extLst>
            </c:dLbl>
            <c:dLbl>
              <c:idx val="6"/>
              <c:tx>
                <c:strRef>
                  <c:f>ReportData!$K$10</c:f>
                  <c:strCache>
                    <c:ptCount val="1"/>
                    <c:pt idx="0">
                      <c:v>Kent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{89CE67DC-7441-45CE-9BA6-D6434E71456F}</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A-19AD-45E4-807E-EF1D02C7F9F9}"/>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{0781F00B-C436-4FC3-8FFA-45B72244924A}</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B-19AD-45E4-807E-EF1D02C7F9F9}"/>
                </c:ext>
              </c:extLst>
            </c:dLbl>
            <c:dLbl>
              <c:idx val="8"/>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{4E987AA9-8CEB-4A5C-B82C-15B2C7F0F7DD}</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19AD-45E4-807E-EF1D02C7F9F9}"/>
                </c:ext>
              </c:extLst>
            </c:dLbl>
            <c:dLbl>
              <c:idx val="9"/>
              <c:tx>
                <c:strRef>
                  <c:f>ReportData!$K$13</c:f>
                  <c:strCache>
                    <c:ptCount val="1"/>
                    <c:pt idx="0">
                      <c:v>Oxfordshire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{9DA383BC-B14A-4929-8EC8-2C473CC3AE83}</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19AD-45E4-807E-EF1D02C7F9F9}"/>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{811D295A-8045-4AC2-BF15-68A9B2F14A75}</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19AD-45E4-807E-EF1D02C7F9F9}"/>
                </c:ext>
              </c:extLst>
            </c:dLbl>
            <c:dLbl>
              <c:idx val="11"/>
              <c:tx>
                <c:strRef>
                  <c:f>ReportData!$K$15</c:f>
                  <c:strCache>
                    <c:ptCount val="1"/>
                    <c:pt idx="0">
                      <c:v>Reading</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{8E6548DE-3D41-42F9-82CD-F1B08039DABA}</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F-19AD-45E4-807E-EF1D02C7F9F9}"/>
                </c:ext>
              </c:extLst>
            </c:dLbl>
            <c:dLbl>
              <c:idx val="12"/>
              <c:layout>
                <c:manualLayout>
                  <c:x val="-8.4925690021232462E-3"/>
                  <c:y val="-5.5303534080086845E-17"/>
                </c:manualLayout>
              </c:layout>
              <c:tx>
                <c:strRef>
                  <c:f>ReportData!$K$16</c:f>
                  <c:strCache>
                    <c:ptCount val="1"/>
                    <c:pt idx="0">
                      <c:v>Slough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{57ED5F93-5B8D-40A3-A011-3B6547416FC6}</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10-19AD-45E4-807E-EF1D02C7F9F9}"/>
                </c:ext>
              </c:extLst>
            </c:dLbl>
            <c:dLbl>
              <c:idx val="13"/>
              <c:tx>
                <c:strRef>
                  <c:f>ReportData!$K$17</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{CCAAC3B5-3F25-4A7F-8287-26D8577C00FC}</c15:txfldGUID>
                      <c15:f>ReportData!$K$17</c15:f>
                      <c15:dlblFieldTableCache>
                        <c:ptCount val="1"/>
                        <c:pt idx="0">
                          <c:v>Southampton</c:v>
                        </c:pt>
                      </c15:dlblFieldTableCache>
                    </c15:dlblFTEntry>
                  </c15:dlblFieldTable>
                  <c15:showDataLabelsRange val="0"/>
                </c:ext>
                <c:ext xmlns:c16="http://schemas.microsoft.com/office/drawing/2014/chart" uri="{C3380CC4-5D6E-409C-BE32-E72D297353CC}">
                  <c16:uniqueId val="{00000011-19AD-45E4-807E-EF1D02C7F9F9}"/>
                </c:ext>
              </c:extLst>
            </c:dLbl>
            <c:dLbl>
              <c:idx val="14"/>
              <c:tx>
                <c:strRef>
                  <c:f>ReportData!$K$18</c:f>
                  <c:strCache>
                    <c:ptCount val="1"/>
                    <c:pt idx="0">
                      <c:v>Surrey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{3A57CF0E-E99C-46BE-995D-C0AA7E2E4944}</c15:txfldGUID>
                      <c15:f>ReportData!$K$18</c15:f>
                      <c15:dlblFieldTableCache>
                        <c:ptCount val="1"/>
                        <c:pt idx="0">
                          <c:v>Surrey</c:v>
                        </c:pt>
                      </c15:dlblFieldTableCache>
                    </c15:dlblFTEntry>
                  </c15:dlblFieldTable>
                  <c15:showDataLabelsRange val="0"/>
                </c:ext>
                <c:ext xmlns:c16="http://schemas.microsoft.com/office/drawing/2014/chart" uri="{C3380CC4-5D6E-409C-BE32-E72D297353CC}">
                  <c16:uniqueId val="{00000012-19AD-45E4-807E-EF1D02C7F9F9}"/>
                </c:ext>
              </c:extLst>
            </c:dLbl>
            <c:dLbl>
              <c:idx val="15"/>
              <c:tx>
                <c:strRef>
                  <c:f>ReportData!$K$19</c:f>
                  <c:strCache>
                    <c:ptCount val="1"/>
                    <c:pt idx="0">
                      <c:v>West Berkshire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{BF546BF3-CA93-4176-A1CD-64AB70DA9E5D}</c15:txfldGUID>
                      <c15:f>ReportData!$K$19</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19AD-45E4-807E-EF1D02C7F9F9}"/>
                </c:ext>
              </c:extLst>
            </c:dLbl>
            <c:dLbl>
              <c:idx val="16"/>
              <c:tx>
                <c:strRef>
                  <c:f>ReportData!$K$20</c:f>
                  <c:strCache>
                    <c:ptCount val="1"/>
                    <c:pt idx="0">
                      <c:v>West Sussex</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{783F6339-41D3-4537-A3A2-F8F13C8FDA1E}</c15:txfldGUID>
                      <c15:f>ReportData!$K$20</c15:f>
                      <c15:dlblFieldTableCache>
                        <c:ptCount val="1"/>
                        <c:pt idx="0">
                          <c:v>West Sussex</c:v>
                        </c:pt>
                      </c15:dlblFieldTableCache>
                    </c15:dlblFTEntry>
                  </c15:dlblFieldTable>
                  <c15:showDataLabelsRange val="0"/>
                </c:ext>
                <c:ext xmlns:c16="http://schemas.microsoft.com/office/drawing/2014/chart" uri="{C3380CC4-5D6E-409C-BE32-E72D297353CC}">
                  <c16:uniqueId val="{00000014-19AD-45E4-807E-EF1D02C7F9F9}"/>
                </c:ext>
              </c:extLst>
            </c:dLbl>
            <c:dLbl>
              <c:idx val="17"/>
              <c:tx>
                <c:strRef>
                  <c:f>ReportData!$K$21</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{DC573911-936D-408F-9D9E-D0E2F90073E8}</c15:txfldGUID>
                      <c15:f>ReportData!$K$21</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19AD-45E4-807E-EF1D02C7F9F9}"/>
                </c:ext>
              </c:extLst>
            </c:dLbl>
            <c:dLbl>
              <c:idx val="18"/>
              <c:tx>
                <c:strRef>
                  <c:f>ReportData!$K$22</c:f>
                  <c:strCache>
                    <c:ptCount val="1"/>
                    <c:pt idx="0">
                      <c:v>Wokingham</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{CB44A26F-8066-48B1-8516-E3C21848C256}</c15:txfldGUID>
                      <c15:f>ReportData!$K$22</c15:f>
                      <c15:dlblFieldTableCache>
                        <c:ptCount val="1"/>
                        <c:pt idx="0">
                          <c:v>Wokingham</c:v>
                        </c:pt>
                      </c15:dlblFieldTableCache>
                    </c15:dlblFTEntry>
                  </c15:dlblFieldTable>
                  <c15:showDataLabelsRange val="0"/>
                </c:ext>
                <c:ext xmlns:c16="http://schemas.microsoft.com/office/drawing/2014/chart" uri="{C3380CC4-5D6E-409C-BE32-E72D297353CC}">
                  <c16:uniqueId val="{00000016-19AD-45E4-807E-EF1D02C7F9F9}"/>
                </c:ext>
              </c:extLst>
            </c:dLbl>
            <c:spPr>
              <a:noFill/>
              <a:ln>
                <a:noFill/>
              </a:ln>
              <a:effectLst/>
            </c:spPr>
            <c:txPr>
              <a:bodyPr/>
              <a:lstStyle/>
              <a:p>
                <a:pPr>
                  <a:defRPr sz="700">
                    <a:solidFill>
                      <a:schemeClr val="bg1">
                        <a:lumMod val="65000"/>
                      </a:schemeClr>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(Permanence!$AT$106:$AT$118,Permanence!$AT$119:$AT$120,Permanence!$AT$121:$AT$124)</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(Permanence!$AY$106:$AY$118,Permanence!$AY$119:$AY$120,Permanence!$AY$121:$AY$124)</c:f>
              <c:numCache>
                <c:formatCode>0</c:formatCode>
                <c:ptCount val="19"/>
                <c:pt idx="0">
                  <c:v>139.66666666666666</c:v>
                </c:pt>
                <c:pt idx="1">
                  <c:v>724.68181818181813</c:v>
                </c:pt>
                <c:pt idx="2">
                  <c:v>275.5</c:v>
                </c:pt>
                <c:pt idx="3">
                  <c:v>503.15789473684208</c:v>
                </c:pt>
                <c:pt idx="4">
                  <c:v>393.34285714285716</c:v>
                </c:pt>
                <c:pt idx="5">
                  <c:v>425.85714285714283</c:v>
                </c:pt>
                <c:pt idx="6">
                  <c:v>345.9264705882353</c:v>
                </c:pt>
                <c:pt idx="7">
                  <c:v>472.66666666666669</c:v>
                </c:pt>
                <c:pt idx="8">
                  <c:v>490.70588235294116</c:v>
                </c:pt>
                <c:pt idx="9">
                  <c:v>519.44000000000005</c:v>
                </c:pt>
                <c:pt idx="10">
                  <c:v>324.22222222222223</c:v>
                </c:pt>
                <c:pt idx="11">
                  <c:v>584.4</c:v>
                </c:pt>
                <c:pt idx="12">
                  <c:v>594.75</c:v>
                </c:pt>
                <c:pt idx="13">
                  <c:v>445.53333333333336</c:v>
                </c:pt>
                <c:pt idx="14">
                  <c:v>605.20000000000005</c:v>
                </c:pt>
                <c:pt idx="15">
                  <c:v>133.5</c:v>
                </c:pt>
                <c:pt idx="16">
                  <c:v>474.0625</c:v>
                </c:pt>
                <c:pt idx="17">
                  <c:v>445</c:v>
                </c:pt>
                <c:pt idx="18">
                  <c:v>645.25</c:v>
                </c:pt>
              </c:numCache>
            </c:numRef>
          </c:yVal>
          <c:smooth val="0"/>
          <c:extLst>
            <c:ext xmlns:c16="http://schemas.microsoft.com/office/drawing/2014/chart" uri="{C3380CC4-5D6E-409C-BE32-E72D297353CC}">
              <c16:uniqueId val="{00000017-19AD-45E4-807E-EF1D02C7F9F9}"/>
            </c:ext>
          </c:extLst>
        </c:ser>
        <c:ser>
          <c:idx val="1"/>
          <c:order val="1"/>
          <c:tx>
            <c:strRef>
              <c:f>Permanence!$Y$4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Permanence!$AT$127</c:f>
              <c:numCache>
                <c:formatCode>0.0</c:formatCode>
                <c:ptCount val="1"/>
                <c:pt idx="0">
                  <c:v>#N/A</c:v>
                </c:pt>
              </c:numCache>
            </c:numRef>
          </c:xVal>
          <c:yVal>
            <c:numRef>
              <c:f>Permanence!$AS$127</c:f>
              <c:numCache>
                <c:formatCode>0.0</c:formatCode>
                <c:ptCount val="1"/>
                <c:pt idx="0">
                  <c:v>#N/A</c:v>
                </c:pt>
              </c:numCache>
            </c:numRef>
          </c:yVal>
          <c:smooth val="0"/>
          <c:extLst>
            <c:ext xmlns:c16="http://schemas.microsoft.com/office/drawing/2014/chart" uri="{C3380CC4-5D6E-409C-BE32-E72D297353CC}">
              <c16:uniqueId val="{0000001C-19AD-45E4-807E-EF1D02C7F9F9}"/>
            </c:ext>
          </c:extLst>
        </c:ser>
        <c:ser>
          <c:idx val="4"/>
          <c:order val="2"/>
          <c:tx>
            <c:strRef>
              <c:f>Permanence!$B$30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Permanence!$AT$125</c:f>
              <c:numCache>
                <c:formatCode>0.0</c:formatCode>
                <c:ptCount val="1"/>
                <c:pt idx="0">
                  <c:v>12.62884379180689</c:v>
                </c:pt>
              </c:numCache>
            </c:numRef>
          </c:xVal>
          <c:yVal>
            <c:numRef>
              <c:f>Permanence!$O$98</c:f>
              <c:numCache>
                <c:formatCode>0</c:formatCode>
                <c:ptCount val="1"/>
                <c:pt idx="0">
                  <c:v>446.51948051948051</c:v>
                </c:pt>
              </c:numCache>
            </c:numRef>
          </c:yVal>
          <c:smooth val="0"/>
          <c:extLst>
            <c:ext xmlns:c16="http://schemas.microsoft.com/office/drawing/2014/chart" uri="{C3380CC4-5D6E-409C-BE32-E72D297353CC}">
              <c16:uniqueId val="{0000001D-19AD-45E4-807E-EF1D02C7F9F9}"/>
            </c:ext>
          </c:extLst>
        </c:ser>
        <c:dLbls>
          <c:showLegendKey val="0"/>
          <c:showVal val="0"/>
          <c:showCatName val="0"/>
          <c:showSerName val="0"/>
          <c:showPercent val="0"/>
          <c:showBubbleSize val="0"/>
        </c:dLbls>
        <c:axId val="419128832"/>
        <c:axId val="419172352"/>
      </c:scatterChart>
      <c:valAx>
        <c:axId val="419128832"/>
        <c:scaling>
          <c:orientation val="minMax"/>
          <c:max val="40"/>
          <c:min val="0"/>
        </c:scaling>
        <c:delete val="0"/>
        <c:axPos val="b"/>
        <c:title>
          <c:tx>
            <c:rich>
              <a:bodyPr/>
              <a:lstStyle/>
              <a:p>
                <a:pPr>
                  <a:defRPr sz="900" b="1" i="0" u="none" strike="noStrike" baseline="0">
                    <a:solidFill>
                      <a:srgbClr val="000000"/>
                    </a:solidFill>
                    <a:latin typeface="Arial"/>
                    <a:ea typeface="Arial"/>
                    <a:cs typeface="Arial"/>
                  </a:defRPr>
                </a:pPr>
                <a:r>
                  <a:rPr lang="en-GB" sz="900"/>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9172352"/>
        <c:crosses val="autoZero"/>
        <c:crossBetween val="midCat"/>
        <c:majorUnit val="5"/>
      </c:valAx>
      <c:valAx>
        <c:axId val="419172352"/>
        <c:scaling>
          <c:orientation val="minMax"/>
        </c:scaling>
        <c:delete val="0"/>
        <c:axPos val="l"/>
        <c:majorGridlines>
          <c:spPr>
            <a:ln w="12700">
              <a:solidFill>
                <a:schemeClr val="bg1">
                  <a:lumMod val="75000"/>
                </a:schemeClr>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b="1" i="0" u="none" strike="noStrike" baseline="0">
                    <a:effectLst/>
                  </a:rPr>
                  <a:t>Rate of Children Placed for Adoption </a:t>
                </a:r>
                <a:r>
                  <a:rPr lang="en-GB" sz="1000"/>
                  <a:t>per</a:t>
                </a:r>
              </a:p>
              <a:p>
                <a:pPr>
                  <a:defRPr sz="1000" b="1" i="0" u="none" strike="noStrike" baseline="0">
                    <a:solidFill>
                      <a:srgbClr val="000000"/>
                    </a:solidFill>
                    <a:latin typeface="Arial"/>
                    <a:ea typeface="Arial"/>
                    <a:cs typeface="Arial"/>
                  </a:defRPr>
                </a:pPr>
                <a:r>
                  <a:rPr lang="en-GB" sz="1000"/>
                  <a:t>10,000 0-17 year olds</a:t>
                </a:r>
              </a:p>
            </c:rich>
          </c:tx>
          <c:layout>
            <c:manualLayout>
              <c:xMode val="edge"/>
              <c:yMode val="edge"/>
              <c:x val="2.6293861325586726E-2"/>
              <c:y val="0.209295851593211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9128832"/>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Care Leavers</a:t>
            </a:r>
            <a:r>
              <a:rPr lang="en-GB" sz="1100" baseline="0"/>
              <a:t> (Aged 19-21)</a:t>
            </a:r>
            <a:r>
              <a:rPr lang="en-GB" sz="1100"/>
              <a:t>, per 10,000 0-17 year olds</a:t>
            </a:r>
          </a:p>
        </c:rich>
      </c:tx>
      <c:layout>
        <c:manualLayout>
          <c:xMode val="edge"/>
          <c:yMode val="edge"/>
          <c:x val="0.1028982493660624"/>
          <c:y val="1.0531689865157358E-2"/>
        </c:manualLayout>
      </c:layout>
      <c:overlay val="0"/>
      <c:spPr>
        <a:noFill/>
        <a:ln w="25400">
          <a:noFill/>
        </a:ln>
      </c:spPr>
    </c:title>
    <c:autoTitleDeleted val="0"/>
    <c:plotArea>
      <c:layout>
        <c:manualLayout>
          <c:layoutTarget val="inner"/>
          <c:xMode val="edge"/>
          <c:yMode val="edge"/>
          <c:x val="8.9669774541780586E-2"/>
          <c:y val="7.5616524512562011E-2"/>
          <c:w val="0.56646157264493902"/>
          <c:h val="0.86466476534538173"/>
        </c:manualLayout>
      </c:layout>
      <c:lineChart>
        <c:grouping val="standard"/>
        <c:varyColors val="0"/>
        <c:ser>
          <c:idx val="0"/>
          <c:order val="0"/>
          <c:tx>
            <c:strRef>
              <c:f>Care_Leavers!$AK$38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D4B3-4BFD-A55C-DD3ACEE208E5}"/>
              </c:ext>
            </c:extLst>
          </c:dPt>
          <c:cat>
            <c:strRef>
              <c:f>Care_Leavers!$Y$2:$AC$3</c:f>
              <c:strCache>
                <c:ptCount val="5"/>
                <c:pt idx="0">
                  <c:v>2019/20</c:v>
                </c:pt>
                <c:pt idx="1">
                  <c:v>2020/21</c:v>
                </c:pt>
                <c:pt idx="2">
                  <c:v>2021/22</c:v>
                </c:pt>
                <c:pt idx="3">
                  <c:v>2022/23</c:v>
                </c:pt>
                <c:pt idx="4">
                  <c:v>2023/24</c:v>
                </c:pt>
              </c:strCache>
            </c:strRef>
          </c:cat>
          <c:val>
            <c:numRef>
              <c:f>Care_Leavers!$AL$38:$AP$38</c:f>
              <c:numCache>
                <c:formatCode>0.0</c:formatCode>
                <c:ptCount val="5"/>
                <c:pt idx="0">
                  <c:v>174.52541334966321</c:v>
                </c:pt>
                <c:pt idx="1">
                  <c:v>189.15510718789406</c:v>
                </c:pt>
                <c:pt idx="2">
                  <c:v>182.4</c:v>
                </c:pt>
                <c:pt idx="3">
                  <c:v>246.65981500513874</c:v>
                </c:pt>
                <c:pt idx="4">
                  <c:v>262.22537207654142</c:v>
                </c:pt>
              </c:numCache>
            </c:numRef>
          </c:val>
          <c:smooth val="0"/>
          <c:extLst>
            <c:ext xmlns:c16="http://schemas.microsoft.com/office/drawing/2014/chart" uri="{C3380CC4-5D6E-409C-BE32-E72D297353CC}">
              <c16:uniqueId val="{00000001-D4B3-4BFD-A55C-DD3ACEE208E5}"/>
            </c:ext>
          </c:extLst>
        </c:ser>
        <c:ser>
          <c:idx val="1"/>
          <c:order val="1"/>
          <c:tx>
            <c:strRef>
              <c:f>Care_Leavers!$AK$39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Care_Leavers!$AL$39:$AP$39</c:f>
              <c:numCache>
                <c:formatCode>0.0</c:formatCode>
                <c:ptCount val="5"/>
                <c:pt idx="0">
                  <c:v>116.4860877969378</c:v>
                </c:pt>
                <c:pt idx="1">
                  <c:v>114.81115902124786</c:v>
                </c:pt>
                <c:pt idx="2">
                  <c:v>123.33912653473118</c:v>
                </c:pt>
                <c:pt idx="3">
                  <c:v>109.50434873729435</c:v>
                </c:pt>
                <c:pt idx="4">
                  <c:v>109.25990013348495</c:v>
                </c:pt>
              </c:numCache>
            </c:numRef>
          </c:val>
          <c:smooth val="0"/>
          <c:extLst>
            <c:ext xmlns:c16="http://schemas.microsoft.com/office/drawing/2014/chart" uri="{C3380CC4-5D6E-409C-BE32-E72D297353CC}">
              <c16:uniqueId val="{00000002-D4B3-4BFD-A55C-DD3ACEE208E5}"/>
            </c:ext>
          </c:extLst>
        </c:ser>
        <c:ser>
          <c:idx val="2"/>
          <c:order val="2"/>
          <c:tx>
            <c:strRef>
              <c:f>Care_Leavers!$AK$40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Care_Leavers!$AL$40:$AP$40</c:f>
              <c:numCache>
                <c:formatCode>0.0</c:formatCode>
                <c:ptCount val="5"/>
                <c:pt idx="0">
                  <c:v>143.48051179646475</c:v>
                </c:pt>
                <c:pt idx="1">
                  <c:v>152.6773860451394</c:v>
                </c:pt>
                <c:pt idx="2">
                  <c:v>170.36275517697166</c:v>
                </c:pt>
                <c:pt idx="3">
                  <c:v>191.33937562940582</c:v>
                </c:pt>
                <c:pt idx="4">
                  <c:v>196.45888915837983</c:v>
                </c:pt>
              </c:numCache>
            </c:numRef>
          </c:val>
          <c:smooth val="0"/>
          <c:extLst>
            <c:ext xmlns:c16="http://schemas.microsoft.com/office/drawing/2014/chart" uri="{C3380CC4-5D6E-409C-BE32-E72D297353CC}">
              <c16:uniqueId val="{00000003-D4B3-4BFD-A55C-DD3ACEE208E5}"/>
            </c:ext>
          </c:extLst>
        </c:ser>
        <c:ser>
          <c:idx val="5"/>
          <c:order val="3"/>
          <c:tx>
            <c:strRef>
              <c:f>Care_Leavers!$AK$41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Care_Leavers!$AL$41:$AP$41</c:f>
              <c:numCache>
                <c:formatCode>0.0</c:formatCode>
                <c:ptCount val="5"/>
                <c:pt idx="0">
                  <c:v>138.84043814972441</c:v>
                </c:pt>
                <c:pt idx="1">
                  <c:v>155.63080913610492</c:v>
                </c:pt>
                <c:pt idx="2">
                  <c:v>168.44638291472401</c:v>
                </c:pt>
                <c:pt idx="3">
                  <c:v>191.36902456031609</c:v>
                </c:pt>
                <c:pt idx="4">
                  <c:v>205.35302261190586</c:v>
                </c:pt>
              </c:numCache>
            </c:numRef>
          </c:val>
          <c:smooth val="0"/>
          <c:extLst>
            <c:ext xmlns:c16="http://schemas.microsoft.com/office/drawing/2014/chart" uri="{C3380CC4-5D6E-409C-BE32-E72D297353CC}">
              <c16:uniqueId val="{00000004-D4B3-4BFD-A55C-DD3ACEE208E5}"/>
            </c:ext>
          </c:extLst>
        </c:ser>
        <c:ser>
          <c:idx val="9"/>
          <c:order val="4"/>
          <c:tx>
            <c:strRef>
              <c:f>Care_Leavers!$AK$42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Care_Leavers!$AL$42:$AP$42</c:f>
              <c:numCache>
                <c:formatCode>0.0</c:formatCode>
                <c:ptCount val="5"/>
                <c:pt idx="0">
                  <c:v>143.4335546010673</c:v>
                </c:pt>
                <c:pt idx="1">
                  <c:v>163.14452562390343</c:v>
                </c:pt>
                <c:pt idx="2">
                  <c:v>182.12967843964157</c:v>
                </c:pt>
                <c:pt idx="3">
                  <c:v>194.6592092997752</c:v>
                </c:pt>
                <c:pt idx="4">
                  <c:v>196.41426558744718</c:v>
                </c:pt>
              </c:numCache>
            </c:numRef>
          </c:val>
          <c:smooth val="0"/>
          <c:extLst>
            <c:ext xmlns:c16="http://schemas.microsoft.com/office/drawing/2014/chart" uri="{C3380CC4-5D6E-409C-BE32-E72D297353CC}">
              <c16:uniqueId val="{00000005-D4B3-4BFD-A55C-DD3ACEE208E5}"/>
            </c:ext>
          </c:extLst>
        </c:ser>
        <c:ser>
          <c:idx val="10"/>
          <c:order val="5"/>
          <c:tx>
            <c:strRef>
              <c:f>Care_Leavers!$AK$43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Care_Leavers!$Y$2:$AC$3</c:f>
              <c:strCache>
                <c:ptCount val="5"/>
                <c:pt idx="0">
                  <c:v>2019/20</c:v>
                </c:pt>
                <c:pt idx="1">
                  <c:v>2020/21</c:v>
                </c:pt>
                <c:pt idx="2">
                  <c:v>2021/22</c:v>
                </c:pt>
                <c:pt idx="3">
                  <c:v>2022/23</c:v>
                </c:pt>
                <c:pt idx="4">
                  <c:v>2023/24</c:v>
                </c:pt>
              </c:strCache>
            </c:strRef>
          </c:cat>
          <c:val>
            <c:numRef>
              <c:f>Care_Leavers!$AL$43:$AP$43</c:f>
              <c:numCache>
                <c:formatCode>0.0</c:formatCode>
                <c:ptCount val="5"/>
                <c:pt idx="0">
                  <c:v>243.35664335664336</c:v>
                </c:pt>
                <c:pt idx="1">
                  <c:v>242.47735904177623</c:v>
                </c:pt>
                <c:pt idx="2">
                  <c:v>230.6477093206951</c:v>
                </c:pt>
                <c:pt idx="3">
                  <c:v>261.88835286009646</c:v>
                </c:pt>
                <c:pt idx="4">
                  <c:v>316.1917998610146</c:v>
                </c:pt>
              </c:numCache>
            </c:numRef>
          </c:val>
          <c:smooth val="0"/>
          <c:extLst>
            <c:ext xmlns:c16="http://schemas.microsoft.com/office/drawing/2014/chart" uri="{C3380CC4-5D6E-409C-BE32-E72D297353CC}">
              <c16:uniqueId val="{00000006-D4B3-4BFD-A55C-DD3ACEE208E5}"/>
            </c:ext>
          </c:extLst>
        </c:ser>
        <c:ser>
          <c:idx val="11"/>
          <c:order val="6"/>
          <c:tx>
            <c:strRef>
              <c:f>Care_Leavers!$AK$44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Care_Leavers!$Y$2:$AC$3</c:f>
              <c:strCache>
                <c:ptCount val="5"/>
                <c:pt idx="0">
                  <c:v>2019/20</c:v>
                </c:pt>
                <c:pt idx="1">
                  <c:v>2020/21</c:v>
                </c:pt>
                <c:pt idx="2">
                  <c:v>2021/22</c:v>
                </c:pt>
                <c:pt idx="3">
                  <c:v>2022/23</c:v>
                </c:pt>
                <c:pt idx="4">
                  <c:v>2023/24</c:v>
                </c:pt>
              </c:strCache>
            </c:strRef>
          </c:cat>
          <c:val>
            <c:numRef>
              <c:f>Care_Leavers!$AL$44:$AP$44</c:f>
              <c:numCache>
                <c:formatCode>0.0</c:formatCode>
                <c:ptCount val="5"/>
                <c:pt idx="0">
                  <c:v>275.80567964262923</c:v>
                </c:pt>
                <c:pt idx="1">
                  <c:v>241.45158638829523</c:v>
                </c:pt>
                <c:pt idx="2">
                  <c:v>247.9111581173982</c:v>
                </c:pt>
                <c:pt idx="3">
                  <c:v>268.61972828251538</c:v>
                </c:pt>
                <c:pt idx="4">
                  <c:v>268.3590613009726</c:v>
                </c:pt>
              </c:numCache>
            </c:numRef>
          </c:val>
          <c:smooth val="0"/>
          <c:extLst>
            <c:ext xmlns:c16="http://schemas.microsoft.com/office/drawing/2014/chart" uri="{C3380CC4-5D6E-409C-BE32-E72D297353CC}">
              <c16:uniqueId val="{00000007-D4B3-4BFD-A55C-DD3ACEE208E5}"/>
            </c:ext>
          </c:extLst>
        </c:ser>
        <c:ser>
          <c:idx val="12"/>
          <c:order val="7"/>
          <c:tx>
            <c:strRef>
              <c:f>Care_Leavers!$AK$45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Care_Leavers!$AL$45:$AP$45</c:f>
              <c:numCache>
                <c:formatCode>0.0</c:formatCode>
                <c:ptCount val="5"/>
                <c:pt idx="0">
                  <c:v>126.39715867544135</c:v>
                </c:pt>
                <c:pt idx="1">
                  <c:v>144.36122869857809</c:v>
                </c:pt>
                <c:pt idx="2">
                  <c:v>157.69317413831945</c:v>
                </c:pt>
                <c:pt idx="3">
                  <c:v>171.06947515419526</c:v>
                </c:pt>
                <c:pt idx="4">
                  <c:v>173.36394948335246</c:v>
                </c:pt>
              </c:numCache>
            </c:numRef>
          </c:val>
          <c:smooth val="0"/>
          <c:extLst>
            <c:ext xmlns:c16="http://schemas.microsoft.com/office/drawing/2014/chart" uri="{C3380CC4-5D6E-409C-BE32-E72D297353CC}">
              <c16:uniqueId val="{00000008-D4B3-4BFD-A55C-DD3ACEE208E5}"/>
            </c:ext>
          </c:extLst>
        </c:ser>
        <c:ser>
          <c:idx val="13"/>
          <c:order val="8"/>
          <c:tx>
            <c:strRef>
              <c:f>Care_Leavers!$AK$46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Care_Leavers!$Y$2:$AC$3</c:f>
              <c:strCache>
                <c:ptCount val="5"/>
                <c:pt idx="0">
                  <c:v>2019/20</c:v>
                </c:pt>
                <c:pt idx="1">
                  <c:v>2020/21</c:v>
                </c:pt>
                <c:pt idx="2">
                  <c:v>2021/22</c:v>
                </c:pt>
                <c:pt idx="3">
                  <c:v>2022/23</c:v>
                </c:pt>
                <c:pt idx="4">
                  <c:v>2023/24</c:v>
                </c:pt>
              </c:strCache>
            </c:strRef>
          </c:cat>
          <c:val>
            <c:numRef>
              <c:f>Care_Leavers!$AL$46:$AP$46</c:f>
              <c:numCache>
                <c:formatCode>0.0</c:formatCode>
                <c:ptCount val="5"/>
                <c:pt idx="0">
                  <c:v>218.89095250729636</c:v>
                </c:pt>
                <c:pt idx="1">
                  <c:v>205.72811617587737</c:v>
                </c:pt>
                <c:pt idx="2">
                  <c:v>201.25457396759018</c:v>
                </c:pt>
                <c:pt idx="3">
                  <c:v>237.72682515121679</c:v>
                </c:pt>
                <c:pt idx="4">
                  <c:v>268.49391693469443</c:v>
                </c:pt>
              </c:numCache>
            </c:numRef>
          </c:val>
          <c:smooth val="0"/>
          <c:extLst>
            <c:ext xmlns:c16="http://schemas.microsoft.com/office/drawing/2014/chart" uri="{C3380CC4-5D6E-409C-BE32-E72D297353CC}">
              <c16:uniqueId val="{00000009-D4B3-4BFD-A55C-DD3ACEE208E5}"/>
            </c:ext>
          </c:extLst>
        </c:ser>
        <c:ser>
          <c:idx val="15"/>
          <c:order val="9"/>
          <c:tx>
            <c:strRef>
              <c:f>Care_Leavers!$AK$47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Care_Leavers!$Y$2:$AC$3</c:f>
              <c:strCache>
                <c:ptCount val="5"/>
                <c:pt idx="0">
                  <c:v>2019/20</c:v>
                </c:pt>
                <c:pt idx="1">
                  <c:v>2020/21</c:v>
                </c:pt>
                <c:pt idx="2">
                  <c:v>2021/22</c:v>
                </c:pt>
                <c:pt idx="3">
                  <c:v>2022/23</c:v>
                </c:pt>
                <c:pt idx="4">
                  <c:v>2023/24</c:v>
                </c:pt>
              </c:strCache>
            </c:strRef>
          </c:cat>
          <c:val>
            <c:numRef>
              <c:f>Care_Leavers!$AL$47:$AP$47</c:f>
              <c:numCache>
                <c:formatCode>0.0</c:formatCode>
                <c:ptCount val="5"/>
                <c:pt idx="0">
                  <c:v>98.721036740509561</c:v>
                </c:pt>
                <c:pt idx="1">
                  <c:v>104.06582768635043</c:v>
                </c:pt>
                <c:pt idx="2">
                  <c:v>109.1746136139428</c:v>
                </c:pt>
                <c:pt idx="3">
                  <c:v>113.0773653612726</c:v>
                </c:pt>
                <c:pt idx="4">
                  <c:v>121.27479552505406</c:v>
                </c:pt>
              </c:numCache>
            </c:numRef>
          </c:val>
          <c:smooth val="0"/>
          <c:extLst>
            <c:ext xmlns:c16="http://schemas.microsoft.com/office/drawing/2014/chart" uri="{C3380CC4-5D6E-409C-BE32-E72D297353CC}">
              <c16:uniqueId val="{0000000A-D4B3-4BFD-A55C-DD3ACEE208E5}"/>
            </c:ext>
          </c:extLst>
        </c:ser>
        <c:ser>
          <c:idx val="16"/>
          <c:order val="10"/>
          <c:tx>
            <c:strRef>
              <c:f>Care_Leavers!$AK$48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Care_Leavers!$AL$48:$AP$48</c:f>
              <c:numCache>
                <c:formatCode>0.0</c:formatCode>
                <c:ptCount val="5"/>
                <c:pt idx="0">
                  <c:v>100.16366612111293</c:v>
                </c:pt>
                <c:pt idx="1">
                  <c:v>140.70418778340891</c:v>
                </c:pt>
                <c:pt idx="2">
                  <c:v>178.74396135265701</c:v>
                </c:pt>
                <c:pt idx="3">
                  <c:v>177.03349282296651</c:v>
                </c:pt>
                <c:pt idx="4">
                  <c:v>164.01661653058301</c:v>
                </c:pt>
              </c:numCache>
            </c:numRef>
          </c:val>
          <c:smooth val="0"/>
          <c:extLst>
            <c:ext xmlns:c16="http://schemas.microsoft.com/office/drawing/2014/chart" uri="{C3380CC4-5D6E-409C-BE32-E72D297353CC}">
              <c16:uniqueId val="{0000000B-D4B3-4BFD-A55C-DD3ACEE208E5}"/>
            </c:ext>
          </c:extLst>
        </c:ser>
        <c:ser>
          <c:idx val="17"/>
          <c:order val="11"/>
          <c:tx>
            <c:strRef>
              <c:f>Care_Leavers!$AK$49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Care_Leavers!$Y$2:$AC$3</c:f>
              <c:strCache>
                <c:ptCount val="5"/>
                <c:pt idx="0">
                  <c:v>2019/20</c:v>
                </c:pt>
                <c:pt idx="1">
                  <c:v>2020/21</c:v>
                </c:pt>
                <c:pt idx="2">
                  <c:v>2021/22</c:v>
                </c:pt>
                <c:pt idx="3">
                  <c:v>2022/23</c:v>
                </c:pt>
                <c:pt idx="4">
                  <c:v>2023/24</c:v>
                </c:pt>
              </c:strCache>
            </c:strRef>
          </c:cat>
          <c:val>
            <c:numRef>
              <c:f>Care_Leavers!$AL$49:$AP$49</c:f>
              <c:numCache>
                <c:formatCode>0.0</c:formatCode>
                <c:ptCount val="5"/>
                <c:pt idx="0">
                  <c:v>104.31728981615369</c:v>
                </c:pt>
                <c:pt idx="1">
                  <c:v>107.41138560687433</c:v>
                </c:pt>
                <c:pt idx="2">
                  <c:v>101.0739102969046</c:v>
                </c:pt>
                <c:pt idx="3">
                  <c:v>114.2232816845451</c:v>
                </c:pt>
                <c:pt idx="4">
                  <c:v>134.06940063091483</c:v>
                </c:pt>
              </c:numCache>
            </c:numRef>
          </c:val>
          <c:smooth val="0"/>
          <c:extLst>
            <c:ext xmlns:c16="http://schemas.microsoft.com/office/drawing/2014/chart" uri="{C3380CC4-5D6E-409C-BE32-E72D297353CC}">
              <c16:uniqueId val="{0000000C-D4B3-4BFD-A55C-DD3ACEE208E5}"/>
            </c:ext>
          </c:extLst>
        </c:ser>
        <c:ser>
          <c:idx val="19"/>
          <c:order val="12"/>
          <c:tx>
            <c:strRef>
              <c:f>Care_Leavers!$AK$50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Care_Leavers!$AL$50:$AP$50</c:f>
              <c:numCache>
                <c:formatCode>0.0</c:formatCode>
                <c:ptCount val="5"/>
                <c:pt idx="0">
                  <c:v>197.49416011892123</c:v>
                </c:pt>
                <c:pt idx="1">
                  <c:v>214.86892995272882</c:v>
                </c:pt>
                <c:pt idx="2">
                  <c:v>194.63224749026838</c:v>
                </c:pt>
                <c:pt idx="3">
                  <c:v>196.93200663349918</c:v>
                </c:pt>
                <c:pt idx="4">
                  <c:v>234.01587964897618</c:v>
                </c:pt>
              </c:numCache>
            </c:numRef>
          </c:val>
          <c:smooth val="0"/>
          <c:extLst>
            <c:ext xmlns:c16="http://schemas.microsoft.com/office/drawing/2014/chart" uri="{C3380CC4-5D6E-409C-BE32-E72D297353CC}">
              <c16:uniqueId val="{0000000D-D4B3-4BFD-A55C-DD3ACEE208E5}"/>
            </c:ext>
          </c:extLst>
        </c:ser>
        <c:ser>
          <c:idx val="20"/>
          <c:order val="13"/>
          <c:tx>
            <c:strRef>
              <c:f>Care_Leavers!$AK$51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Care_Leavers!$AL$51:$AP$51</c:f>
              <c:numCache>
                <c:formatCode>0.0</c:formatCode>
                <c:ptCount val="5"/>
                <c:pt idx="0">
                  <c:v>67.550146960243396</c:v>
                </c:pt>
                <c:pt idx="1">
                  <c:v>78.492067879055895</c:v>
                </c:pt>
                <c:pt idx="2">
                  <c:v>86.775631500742946</c:v>
                </c:pt>
                <c:pt idx="3">
                  <c:v>88.783500606595354</c:v>
                </c:pt>
                <c:pt idx="4">
                  <c:v>102.29633970909478</c:v>
                </c:pt>
              </c:numCache>
            </c:numRef>
          </c:val>
          <c:smooth val="0"/>
          <c:extLst>
            <c:ext xmlns:c16="http://schemas.microsoft.com/office/drawing/2014/chart" uri="{C3380CC4-5D6E-409C-BE32-E72D297353CC}">
              <c16:uniqueId val="{0000000F-D4B3-4BFD-A55C-DD3ACEE208E5}"/>
            </c:ext>
          </c:extLst>
        </c:ser>
        <c:ser>
          <c:idx val="22"/>
          <c:order val="14"/>
          <c:tx>
            <c:strRef>
              <c:f>Care_Leavers!$AK$52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Care_Leavers!$AL$52:$AP$52</c:f>
              <c:numCache>
                <c:formatCode>0.0</c:formatCode>
                <c:ptCount val="5"/>
                <c:pt idx="0">
                  <c:v>136.62582068525558</c:v>
                </c:pt>
                <c:pt idx="1">
                  <c:v>141.09908762995968</c:v>
                </c:pt>
                <c:pt idx="2">
                  <c:v>145.3706683832207</c:v>
                </c:pt>
                <c:pt idx="3">
                  <c:v>155.16526068316969</c:v>
                </c:pt>
                <c:pt idx="4">
                  <c:v>168.91338754570759</c:v>
                </c:pt>
              </c:numCache>
            </c:numRef>
          </c:val>
          <c:smooth val="0"/>
          <c:extLst>
            <c:ext xmlns:c16="http://schemas.microsoft.com/office/drawing/2014/chart" uri="{C3380CC4-5D6E-409C-BE32-E72D297353CC}">
              <c16:uniqueId val="{00000010-D4B3-4BFD-A55C-DD3ACEE208E5}"/>
            </c:ext>
          </c:extLst>
        </c:ser>
        <c:ser>
          <c:idx val="23"/>
          <c:order val="15"/>
          <c:tx>
            <c:strRef>
              <c:f>Care_Leavers!$AK$53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Care_Leavers!$Y$2:$AC$3</c:f>
              <c:strCache>
                <c:ptCount val="5"/>
                <c:pt idx="0">
                  <c:v>2019/20</c:v>
                </c:pt>
                <c:pt idx="1">
                  <c:v>2020/21</c:v>
                </c:pt>
                <c:pt idx="2">
                  <c:v>2021/22</c:v>
                </c:pt>
                <c:pt idx="3">
                  <c:v>2022/23</c:v>
                </c:pt>
                <c:pt idx="4">
                  <c:v>2023/24</c:v>
                </c:pt>
              </c:strCache>
            </c:strRef>
          </c:cat>
          <c:val>
            <c:numRef>
              <c:f>Care_Leavers!$AL$53:$AP$53</c:f>
              <c:numCache>
                <c:formatCode>0.0</c:formatCode>
                <c:ptCount val="5"/>
                <c:pt idx="0">
                  <c:v>205.60267283474684</c:v>
                </c:pt>
                <c:pt idx="1">
                  <c:v>215.08162736460224</c:v>
                </c:pt>
                <c:pt idx="2">
                  <c:v>243.09109518935517</c:v>
                </c:pt>
                <c:pt idx="3">
                  <c:v>295.70656809781065</c:v>
                </c:pt>
                <c:pt idx="4">
                  <c:v>309.02004454342983</c:v>
                </c:pt>
              </c:numCache>
            </c:numRef>
          </c:val>
          <c:smooth val="0"/>
          <c:extLst>
            <c:ext xmlns:c16="http://schemas.microsoft.com/office/drawing/2014/chart" uri="{C3380CC4-5D6E-409C-BE32-E72D297353CC}">
              <c16:uniqueId val="{00000013-D4B3-4BFD-A55C-DD3ACEE208E5}"/>
            </c:ext>
          </c:extLst>
        </c:ser>
        <c:ser>
          <c:idx val="24"/>
          <c:order val="16"/>
          <c:tx>
            <c:strRef>
              <c:f>Care_Leavers!$AK$54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Care_Leavers!$Y$2:$AC$3</c:f>
              <c:strCache>
                <c:ptCount val="5"/>
                <c:pt idx="0">
                  <c:v>2019/20</c:v>
                </c:pt>
                <c:pt idx="1">
                  <c:v>2020/21</c:v>
                </c:pt>
                <c:pt idx="2">
                  <c:v>2021/22</c:v>
                </c:pt>
                <c:pt idx="3">
                  <c:v>2022/23</c:v>
                </c:pt>
                <c:pt idx="4">
                  <c:v>2023/24</c:v>
                </c:pt>
              </c:strCache>
            </c:strRef>
          </c:cat>
          <c:val>
            <c:numRef>
              <c:f>Care_Leavers!$AL$54:$AP$54</c:f>
              <c:numCache>
                <c:formatCode>0.0</c:formatCode>
                <c:ptCount val="5"/>
                <c:pt idx="0">
                  <c:v>160.05899193198576</c:v>
                </c:pt>
                <c:pt idx="1">
                  <c:v>169.27485122327528</c:v>
                </c:pt>
                <c:pt idx="2">
                  <c:v>168.8283139151462</c:v>
                </c:pt>
                <c:pt idx="3">
                  <c:v>204.06274582388599</c:v>
                </c:pt>
                <c:pt idx="4">
                  <c:v>221.90506882740206</c:v>
                </c:pt>
              </c:numCache>
            </c:numRef>
          </c:val>
          <c:smooth val="0"/>
          <c:extLst>
            <c:ext xmlns:c16="http://schemas.microsoft.com/office/drawing/2014/chart" uri="{C3380CC4-5D6E-409C-BE32-E72D297353CC}">
              <c16:uniqueId val="{00000014-D4B3-4BFD-A55C-DD3ACEE208E5}"/>
            </c:ext>
          </c:extLst>
        </c:ser>
        <c:ser>
          <c:idx val="25"/>
          <c:order val="17"/>
          <c:tx>
            <c:strRef>
              <c:f>Care_Leavers!$AK$55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Care_Leavers!$Y$2:$AC$3</c:f>
              <c:strCache>
                <c:ptCount val="5"/>
                <c:pt idx="0">
                  <c:v>2019/20</c:v>
                </c:pt>
                <c:pt idx="1">
                  <c:v>2020/21</c:v>
                </c:pt>
                <c:pt idx="2">
                  <c:v>2021/22</c:v>
                </c:pt>
                <c:pt idx="3">
                  <c:v>2022/23</c:v>
                </c:pt>
                <c:pt idx="4">
                  <c:v>2023/24</c:v>
                </c:pt>
              </c:strCache>
            </c:strRef>
          </c:cat>
          <c:val>
            <c:numRef>
              <c:f>Care_Leavers!$AL$55:$AP$55</c:f>
              <c:numCache>
                <c:formatCode>0.0</c:formatCode>
                <c:ptCount val="5"/>
                <c:pt idx="0">
                  <c:v>162.7906976744186</c:v>
                </c:pt>
                <c:pt idx="1">
                  <c:v>175.43859649122805</c:v>
                </c:pt>
                <c:pt idx="2">
                  <c:v>201.44317498496693</c:v>
                </c:pt>
                <c:pt idx="3">
                  <c:v>188.09744064138141</c:v>
                </c:pt>
                <c:pt idx="4">
                  <c:v>212.63091082196129</c:v>
                </c:pt>
              </c:numCache>
            </c:numRef>
          </c:val>
          <c:smooth val="0"/>
          <c:extLst>
            <c:ext xmlns:c16="http://schemas.microsoft.com/office/drawing/2014/chart" uri="{C3380CC4-5D6E-409C-BE32-E72D297353CC}">
              <c16:uniqueId val="{00000015-D4B3-4BFD-A55C-DD3ACEE208E5}"/>
            </c:ext>
          </c:extLst>
        </c:ser>
        <c:ser>
          <c:idx val="26"/>
          <c:order val="18"/>
          <c:tx>
            <c:strRef>
              <c:f>Care_Leavers!$AK$56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Care_Leavers!$AL$56:$AP$56</c:f>
              <c:numCache>
                <c:formatCode>0.0</c:formatCode>
                <c:ptCount val="5"/>
                <c:pt idx="0">
                  <c:v>115.07220216606498</c:v>
                </c:pt>
                <c:pt idx="1">
                  <c:v>133.84754990925589</c:v>
                </c:pt>
                <c:pt idx="2">
                  <c:v>132.32104121475055</c:v>
                </c:pt>
                <c:pt idx="3">
                  <c:v>129.11555842479018</c:v>
                </c:pt>
                <c:pt idx="4">
                  <c:v>154.80498592681946</c:v>
                </c:pt>
              </c:numCache>
            </c:numRef>
          </c:val>
          <c:smooth val="0"/>
          <c:extLst>
            <c:ext xmlns:c16="http://schemas.microsoft.com/office/drawing/2014/chart" uri="{C3380CC4-5D6E-409C-BE32-E72D297353CC}">
              <c16:uniqueId val="{00000016-D4B3-4BFD-A55C-DD3ACEE208E5}"/>
            </c:ext>
          </c:extLst>
        </c:ser>
        <c:ser>
          <c:idx val="4"/>
          <c:order val="19"/>
          <c:tx>
            <c:strRef>
              <c:f>Care_Leavers!$AK$57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Care_Leavers!$AL$57:$AP$57</c:f>
              <c:numCache>
                <c:formatCode>0.0</c:formatCode>
                <c:ptCount val="5"/>
                <c:pt idx="0">
                  <c:v>155.14569225525565</c:v>
                </c:pt>
                <c:pt idx="1">
                  <c:v>158.87387520380014</c:v>
                </c:pt>
                <c:pt idx="2">
                  <c:v>167.5726896414144</c:v>
                </c:pt>
                <c:pt idx="3">
                  <c:v>178.91624019336459</c:v>
                </c:pt>
                <c:pt idx="4">
                  <c:v>187.01190564124605</c:v>
                </c:pt>
              </c:numCache>
            </c:numRef>
          </c:val>
          <c:smooth val="0"/>
          <c:extLst>
            <c:ext xmlns:c16="http://schemas.microsoft.com/office/drawing/2014/chart" uri="{C3380CC4-5D6E-409C-BE32-E72D297353CC}">
              <c16:uniqueId val="{00000017-D4B3-4BFD-A55C-DD3ACEE208E5}"/>
            </c:ext>
          </c:extLst>
        </c:ser>
        <c:ser>
          <c:idx val="6"/>
          <c:order val="20"/>
          <c:tx>
            <c:strRef>
              <c:f>Care_Leavers!$AK$59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Care_Leavers!$Y$2:$AC$3</c:f>
              <c:strCache>
                <c:ptCount val="5"/>
                <c:pt idx="0">
                  <c:v>2019/20</c:v>
                </c:pt>
                <c:pt idx="1">
                  <c:v>2020/21</c:v>
                </c:pt>
                <c:pt idx="2">
                  <c:v>2021/22</c:v>
                </c:pt>
                <c:pt idx="3">
                  <c:v>2022/23</c:v>
                </c:pt>
                <c:pt idx="4">
                  <c:v>2023/24</c:v>
                </c:pt>
              </c:strCache>
            </c:strRef>
          </c:cat>
          <c:val>
            <c:numRef>
              <c:f>Care_Leavers!$AL$59:$AP$59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D4B3-4BFD-A55C-DD3ACEE208E5}"/>
            </c:ext>
          </c:extLst>
        </c:ser>
        <c:dLbls>
          <c:showLegendKey val="0"/>
          <c:showVal val="0"/>
          <c:showCatName val="0"/>
          <c:showSerName val="0"/>
          <c:showPercent val="0"/>
          <c:showBubbleSize val="0"/>
        </c:dLbls>
        <c:marker val="1"/>
        <c:smooth val="0"/>
        <c:axId val="615060608"/>
        <c:axId val="615062528"/>
      </c:lineChart>
      <c:catAx>
        <c:axId val="615060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5062528"/>
        <c:crosses val="autoZero"/>
        <c:auto val="1"/>
        <c:lblAlgn val="ctr"/>
        <c:lblOffset val="100"/>
        <c:tickLblSkip val="1"/>
        <c:tickMarkSkip val="1"/>
        <c:noMultiLvlLbl val="0"/>
      </c:catAx>
      <c:valAx>
        <c:axId val="615062528"/>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5060608"/>
        <c:crosses val="autoZero"/>
        <c:crossBetween val="between"/>
      </c:valAx>
      <c:spPr>
        <a:noFill/>
        <a:ln w="3175">
          <a:solidFill>
            <a:srgbClr val="000000"/>
          </a:solidFill>
          <a:prstDash val="solid"/>
        </a:ln>
      </c:spPr>
    </c:plotArea>
    <c:legend>
      <c:legendPos val="r"/>
      <c:layout>
        <c:manualLayout>
          <c:xMode val="edge"/>
          <c:yMode val="edge"/>
          <c:x val="0.66247028293743393"/>
          <c:y val="7.5190870500600387E-2"/>
          <c:w val="0.33142825853657765"/>
          <c:h val="0.91865800179158186"/>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a:t>
            </a:r>
            <a:r>
              <a:rPr lang="en-GB" sz="1000" b="1" i="0" u="none" strike="noStrike" baseline="0">
                <a:effectLst/>
              </a:rPr>
              <a:t>Care Leavers (Aged 19-21) </a:t>
            </a:r>
          </a:p>
          <a:p>
            <a:pPr>
              <a:defRPr sz="1000" b="1" i="0" u="none" strike="noStrike" baseline="0">
                <a:solidFill>
                  <a:srgbClr val="000000"/>
                </a:solidFill>
                <a:latin typeface="Arial"/>
                <a:ea typeface="Arial"/>
                <a:cs typeface="Arial"/>
              </a:defRPr>
            </a:pPr>
            <a:r>
              <a:rPr lang="en-GB"/>
              <a:t>(Selected LA</a:t>
            </a:r>
            <a:r>
              <a:rPr lang="en-GB" baseline="0"/>
              <a:t> vs. SE)</a:t>
            </a:r>
            <a:r>
              <a:rPr lang="en-GB"/>
              <a:t> </a:t>
            </a:r>
          </a:p>
        </c:rich>
      </c:tx>
      <c:layout>
        <c:manualLayout>
          <c:xMode val="edge"/>
          <c:yMode val="edge"/>
          <c:x val="0.25559696170928181"/>
          <c:y val="4.0025470189007442E-3"/>
        </c:manualLayout>
      </c:layout>
      <c:overlay val="0"/>
      <c:spPr>
        <a:noFill/>
        <a:ln w="25400">
          <a:noFill/>
        </a:ln>
      </c:spPr>
    </c:title>
    <c:autoTitleDeleted val="0"/>
    <c:plotArea>
      <c:layout>
        <c:manualLayout>
          <c:layoutTarget val="inner"/>
          <c:xMode val="edge"/>
          <c:yMode val="edge"/>
          <c:x val="9.6909984154078643E-2"/>
          <c:y val="0.2187038158691702"/>
          <c:w val="0.65146216862752293"/>
          <c:h val="0.54957337433412534"/>
        </c:manualLayout>
      </c:layout>
      <c:barChart>
        <c:barDir val="col"/>
        <c:grouping val="clustered"/>
        <c:varyColors val="0"/>
        <c:ser>
          <c:idx val="6"/>
          <c:order val="0"/>
          <c:tx>
            <c:strRef>
              <c:f>Care_Leavers!$Z$4</c:f>
              <c:strCache>
                <c:ptCount val="1"/>
                <c:pt idx="0">
                  <c:v>Selected LA- (none)</c:v>
                </c:pt>
              </c:strCache>
            </c:strRef>
          </c:tx>
          <c:spPr>
            <a:solidFill>
              <a:srgbClr val="66FF99"/>
            </a:solidFill>
            <a:ln>
              <a:solidFill>
                <a:schemeClr val="tx1">
                  <a:lumMod val="75000"/>
                  <a:lumOff val="25000"/>
                </a:schemeClr>
              </a:solidFill>
            </a:ln>
          </c:spPr>
          <c:invertIfNegative val="0"/>
          <c:cat>
            <c:strRef>
              <c:f>Care_Leavers!$Y$2:$AC$3</c:f>
              <c:strCache>
                <c:ptCount val="5"/>
                <c:pt idx="0">
                  <c:v>2019/20</c:v>
                </c:pt>
                <c:pt idx="1">
                  <c:v>2020/21</c:v>
                </c:pt>
                <c:pt idx="2">
                  <c:v>2021/22</c:v>
                </c:pt>
                <c:pt idx="3">
                  <c:v>2022/23</c:v>
                </c:pt>
                <c:pt idx="4">
                  <c:v>2023/24</c:v>
                </c:pt>
              </c:strCache>
            </c:strRef>
          </c:cat>
          <c:val>
            <c:numRef>
              <c:f>Care_Leavers!$AL$59:$AP$59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F4E1-42EC-9103-0F92CF6DB7BF}"/>
            </c:ext>
          </c:extLst>
        </c:ser>
        <c:ser>
          <c:idx val="4"/>
          <c:order val="1"/>
          <c:tx>
            <c:strRef>
              <c:f>Care_Leavers!$B$30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Care_Leavers!$Y$2:$AC$3</c:f>
              <c:strCache>
                <c:ptCount val="5"/>
                <c:pt idx="0">
                  <c:v>2019/20</c:v>
                </c:pt>
                <c:pt idx="1">
                  <c:v>2020/21</c:v>
                </c:pt>
                <c:pt idx="2">
                  <c:v>2021/22</c:v>
                </c:pt>
                <c:pt idx="3">
                  <c:v>2022/23</c:v>
                </c:pt>
                <c:pt idx="4">
                  <c:v>2023/24</c:v>
                </c:pt>
              </c:strCache>
            </c:strRef>
          </c:cat>
          <c:val>
            <c:numRef>
              <c:f>Care_Leavers!$K$30:$O$30</c:f>
              <c:numCache>
                <c:formatCode>0.0</c:formatCode>
                <c:ptCount val="5"/>
                <c:pt idx="0">
                  <c:v>155.14569225525565</c:v>
                </c:pt>
                <c:pt idx="1">
                  <c:v>158.87387520380014</c:v>
                </c:pt>
                <c:pt idx="2">
                  <c:v>167.5726896414144</c:v>
                </c:pt>
                <c:pt idx="3">
                  <c:v>178.91624019336459</c:v>
                </c:pt>
                <c:pt idx="4">
                  <c:v>187.01190564124605</c:v>
                </c:pt>
              </c:numCache>
            </c:numRef>
          </c:val>
          <c:extLst>
            <c:ext xmlns:c16="http://schemas.microsoft.com/office/drawing/2014/chart" uri="{C3380CC4-5D6E-409C-BE32-E72D297353CC}">
              <c16:uniqueId val="{00000001-F4E1-42EC-9103-0F92CF6DB7BF}"/>
            </c:ext>
          </c:extLst>
        </c:ser>
        <c:ser>
          <c:idx val="0"/>
          <c:order val="2"/>
          <c:tx>
            <c:strRef>
              <c:f>Care_Leavers!$B$31</c:f>
              <c:strCache>
                <c:ptCount val="1"/>
                <c:pt idx="0">
                  <c:v>England</c:v>
                </c:pt>
              </c:strCache>
            </c:strRef>
          </c:tx>
          <c:spPr>
            <a:solidFill>
              <a:schemeClr val="tx1">
                <a:lumMod val="75000"/>
                <a:lumOff val="25000"/>
              </a:schemeClr>
            </a:solidFill>
            <a:ln>
              <a:solidFill>
                <a:schemeClr val="tx1">
                  <a:lumMod val="75000"/>
                  <a:lumOff val="25000"/>
                </a:schemeClr>
              </a:solidFill>
            </a:ln>
          </c:spPr>
          <c:invertIfNegative val="0"/>
          <c:val>
            <c:numRef>
              <c:f>Care_Leavers!$K$31:$O$31</c:f>
              <c:numCache>
                <c:formatCode>0.0</c:formatCode>
                <c:ptCount val="5"/>
                <c:pt idx="0">
                  <c:v>155.34270060750623</c:v>
                </c:pt>
                <c:pt idx="1">
                  <c:v>164.64348940459578</c:v>
                </c:pt>
                <c:pt idx="2">
                  <c:v>171.27958958167295</c:v>
                </c:pt>
                <c:pt idx="3">
                  <c:v>174.35795764183504</c:v>
                </c:pt>
                <c:pt idx="4">
                  <c:v>179.56476896773216</c:v>
                </c:pt>
              </c:numCache>
            </c:numRef>
          </c:val>
          <c:extLst>
            <c:ext xmlns:c16="http://schemas.microsoft.com/office/drawing/2014/chart" uri="{C3380CC4-5D6E-409C-BE32-E72D297353CC}">
              <c16:uniqueId val="{00000001-D84C-42F3-AD91-2E2AA7BCC937}"/>
            </c:ext>
          </c:extLst>
        </c:ser>
        <c:dLbls>
          <c:showLegendKey val="0"/>
          <c:showVal val="0"/>
          <c:showCatName val="0"/>
          <c:showSerName val="0"/>
          <c:showPercent val="0"/>
          <c:showBubbleSize val="0"/>
        </c:dLbls>
        <c:gapWidth val="100"/>
        <c:axId val="615087488"/>
        <c:axId val="615089280"/>
      </c:barChart>
      <c:catAx>
        <c:axId val="615087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5089280"/>
        <c:crosses val="autoZero"/>
        <c:auto val="1"/>
        <c:lblAlgn val="ctr"/>
        <c:lblOffset val="100"/>
        <c:noMultiLvlLbl val="0"/>
      </c:catAx>
      <c:valAx>
        <c:axId val="61508928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5087488"/>
        <c:crosses val="autoZero"/>
        <c:crossBetween val="between"/>
      </c:valAx>
      <c:spPr>
        <a:noFill/>
        <a:ln w="3175">
          <a:solidFill>
            <a:srgbClr val="000000"/>
          </a:solidFill>
          <a:prstDash val="solid"/>
        </a:ln>
      </c:spPr>
    </c:plotArea>
    <c:legend>
      <c:legendPos val="r"/>
      <c:layout>
        <c:manualLayout>
          <c:xMode val="edge"/>
          <c:yMode val="edge"/>
          <c:x val="0.75990288472126355"/>
          <c:y val="0.21898398794825202"/>
          <c:w val="0.23381914574396737"/>
          <c:h val="0.56073801425709358"/>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pPr>
            <a:r>
              <a:rPr lang="en-GB" sz="1100" b="1"/>
              <a:t>% Care leavers aged 19-21 who were in Suitable Accommodation</a:t>
            </a:r>
          </a:p>
        </c:rich>
      </c:tx>
      <c:layout>
        <c:manualLayout>
          <c:xMode val="edge"/>
          <c:yMode val="edge"/>
          <c:x val="0.10929914529914531"/>
          <c:y val="3.8616326805303181E-3"/>
        </c:manualLayout>
      </c:layout>
      <c:overlay val="0"/>
      <c:spPr>
        <a:noFill/>
        <a:ln w="25400">
          <a:noFill/>
        </a:ln>
      </c:spPr>
    </c:title>
    <c:autoTitleDeleted val="0"/>
    <c:plotArea>
      <c:layout>
        <c:manualLayout>
          <c:layoutTarget val="inner"/>
          <c:xMode val="edge"/>
          <c:yMode val="edge"/>
          <c:x val="9.8666564984461691E-2"/>
          <c:y val="0.22664121530263262"/>
          <c:w val="0.61355837945999325"/>
          <c:h val="0.55955905511811022"/>
        </c:manualLayout>
      </c:layout>
      <c:barChart>
        <c:barDir val="col"/>
        <c:grouping val="clustered"/>
        <c:varyColors val="0"/>
        <c:ser>
          <c:idx val="6"/>
          <c:order val="0"/>
          <c:tx>
            <c:strRef>
              <c:f>Care_Leavers!$Z$4</c:f>
              <c:strCache>
                <c:ptCount val="1"/>
                <c:pt idx="0">
                  <c:v>Selected LA- (none)</c:v>
                </c:pt>
              </c:strCache>
            </c:strRef>
          </c:tx>
          <c:spPr>
            <a:solidFill>
              <a:srgbClr val="66FF99"/>
            </a:solidFill>
            <a:ln>
              <a:solidFill>
                <a:schemeClr val="tx1">
                  <a:lumMod val="75000"/>
                  <a:lumOff val="25000"/>
                </a:schemeClr>
              </a:solidFill>
            </a:ln>
          </c:spPr>
          <c:invertIfNegative val="0"/>
          <c:cat>
            <c:strRef>
              <c:f>Care_Leavers!$Y$2:$AC$3</c:f>
              <c:strCache>
                <c:ptCount val="5"/>
                <c:pt idx="0">
                  <c:v>2019/20</c:v>
                </c:pt>
                <c:pt idx="1">
                  <c:v>2020/21</c:v>
                </c:pt>
                <c:pt idx="2">
                  <c:v>2021/22</c:v>
                </c:pt>
                <c:pt idx="3">
                  <c:v>2022/23</c:v>
                </c:pt>
                <c:pt idx="4">
                  <c:v>2023/24</c:v>
                </c:pt>
              </c:strCache>
            </c:strRef>
          </c:cat>
          <c:val>
            <c:numRef>
              <c:f>Care_Leavers!$AW$59:$BA$59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7644-4539-A6E4-676D5E5EFBA3}"/>
            </c:ext>
          </c:extLst>
        </c:ser>
        <c:ser>
          <c:idx val="4"/>
          <c:order val="1"/>
          <c:tx>
            <c:strRef>
              <c:f>Care_Leavers!$B$161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Care_Leavers!$Y$2:$AC$3</c:f>
              <c:strCache>
                <c:ptCount val="5"/>
                <c:pt idx="0">
                  <c:v>2019/20</c:v>
                </c:pt>
                <c:pt idx="1">
                  <c:v>2020/21</c:v>
                </c:pt>
                <c:pt idx="2">
                  <c:v>2021/22</c:v>
                </c:pt>
                <c:pt idx="3">
                  <c:v>2022/23</c:v>
                </c:pt>
                <c:pt idx="4">
                  <c:v>2023/24</c:v>
                </c:pt>
              </c:strCache>
            </c:strRef>
          </c:cat>
          <c:val>
            <c:numRef>
              <c:f>Care_Leavers!$D$161:$H$161</c:f>
              <c:numCache>
                <c:formatCode>0%</c:formatCode>
                <c:ptCount val="5"/>
                <c:pt idx="0">
                  <c:v>0.78963730569948187</c:v>
                </c:pt>
                <c:pt idx="1">
                  <c:v>0.83956225480074331</c:v>
                </c:pt>
                <c:pt idx="2">
                  <c:v>0.85119047619047616</c:v>
                </c:pt>
                <c:pt idx="3">
                  <c:v>0.85628064881176913</c:v>
                </c:pt>
                <c:pt idx="4">
                  <c:v>0.80143755615453727</c:v>
                </c:pt>
              </c:numCache>
            </c:numRef>
          </c:val>
          <c:extLst>
            <c:ext xmlns:c16="http://schemas.microsoft.com/office/drawing/2014/chart" uri="{C3380CC4-5D6E-409C-BE32-E72D297353CC}">
              <c16:uniqueId val="{00000001-7644-4539-A6E4-676D5E5EFBA3}"/>
            </c:ext>
          </c:extLst>
        </c:ser>
        <c:ser>
          <c:idx val="0"/>
          <c:order val="2"/>
          <c:tx>
            <c:strRef>
              <c:f>Care_Leavers!$B$162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val>
            <c:numRef>
              <c:f>Care_Leavers!$D$162:$H$162</c:f>
              <c:numCache>
                <c:formatCode>0%</c:formatCode>
                <c:ptCount val="5"/>
                <c:pt idx="0">
                  <c:v>0.84325015994881636</c:v>
                </c:pt>
                <c:pt idx="1">
                  <c:v>0.86973910903273444</c:v>
                </c:pt>
                <c:pt idx="2">
                  <c:v>0.87139029473057461</c:v>
                </c:pt>
                <c:pt idx="3">
                  <c:v>0.87503607503607506</c:v>
                </c:pt>
                <c:pt idx="4">
                  <c:v>0.86967280725872975</c:v>
                </c:pt>
              </c:numCache>
            </c:numRef>
          </c:val>
          <c:extLst>
            <c:ext xmlns:c16="http://schemas.microsoft.com/office/drawing/2014/chart" uri="{C3380CC4-5D6E-409C-BE32-E72D297353CC}">
              <c16:uniqueId val="{00000001-A672-4E71-A915-53FD9B14476C}"/>
            </c:ext>
          </c:extLst>
        </c:ser>
        <c:dLbls>
          <c:showLegendKey val="0"/>
          <c:showVal val="0"/>
          <c:showCatName val="0"/>
          <c:showSerName val="0"/>
          <c:showPercent val="0"/>
          <c:showBubbleSize val="0"/>
        </c:dLbls>
        <c:gapWidth val="100"/>
        <c:axId val="615262080"/>
        <c:axId val="615263616"/>
      </c:barChart>
      <c:catAx>
        <c:axId val="615262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15263616"/>
        <c:crosses val="autoZero"/>
        <c:auto val="1"/>
        <c:lblAlgn val="ctr"/>
        <c:lblOffset val="100"/>
        <c:noMultiLvlLbl val="0"/>
      </c:catAx>
      <c:valAx>
        <c:axId val="615263616"/>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15262080"/>
        <c:crosses val="autoZero"/>
        <c:crossBetween val="between"/>
      </c:valAx>
      <c:spPr>
        <a:noFill/>
        <a:ln w="3175">
          <a:solidFill>
            <a:srgbClr val="000000"/>
          </a:solidFill>
          <a:prstDash val="solid"/>
        </a:ln>
      </c:spPr>
    </c:plotArea>
    <c:legend>
      <c:legendPos val="r"/>
      <c:layout>
        <c:manualLayout>
          <c:xMode val="edge"/>
          <c:yMode val="edge"/>
          <c:x val="0.73254905018060856"/>
          <c:y val="0.22744420583790662"/>
          <c:w val="0.26745094981939138"/>
          <c:h val="0.63897812773403317"/>
        </c:manualLayout>
      </c:layout>
      <c:overlay val="0"/>
      <c:spPr>
        <a:noFill/>
        <a:ln w="25400">
          <a:noFill/>
        </a:ln>
      </c:spPr>
    </c:legend>
    <c:plotVisOnly val="0"/>
    <c:dispBlanksAs val="span"/>
    <c:showDLblsOverMax val="0"/>
  </c:chart>
  <c:spPr>
    <a:solidFill>
      <a:sysClr val="window" lastClr="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 Care leavers aged 19-21 who were in Suitable Accommodation</a:t>
            </a:r>
          </a:p>
        </c:rich>
      </c:tx>
      <c:layout>
        <c:manualLayout>
          <c:xMode val="edge"/>
          <c:yMode val="edge"/>
          <c:x val="0.11897610511783741"/>
          <c:y val="6.1215417046023117E-3"/>
        </c:manualLayout>
      </c:layout>
      <c:overlay val="0"/>
      <c:spPr>
        <a:noFill/>
        <a:ln w="25400">
          <a:noFill/>
        </a:ln>
      </c:spPr>
    </c:title>
    <c:autoTitleDeleted val="0"/>
    <c:plotArea>
      <c:layout>
        <c:manualLayout>
          <c:layoutTarget val="inner"/>
          <c:xMode val="edge"/>
          <c:yMode val="edge"/>
          <c:x val="8.9669774541780586E-2"/>
          <c:y val="7.2029119432188426E-2"/>
          <c:w val="0.57508230927201043"/>
          <c:h val="0.86693339233575839"/>
        </c:manualLayout>
      </c:layout>
      <c:lineChart>
        <c:grouping val="standard"/>
        <c:varyColors val="0"/>
        <c:ser>
          <c:idx val="0"/>
          <c:order val="0"/>
          <c:tx>
            <c:strRef>
              <c:f>Care_Leavers!$AK$38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24A6-4E5F-82F2-D6113A3AC8E2}"/>
              </c:ext>
            </c:extLst>
          </c:dPt>
          <c:cat>
            <c:strRef>
              <c:f>Care_Leavers!$Y$2:$AC$3</c:f>
              <c:strCache>
                <c:ptCount val="5"/>
                <c:pt idx="0">
                  <c:v>2019/20</c:v>
                </c:pt>
                <c:pt idx="1">
                  <c:v>2020/21</c:v>
                </c:pt>
                <c:pt idx="2">
                  <c:v>2021/22</c:v>
                </c:pt>
                <c:pt idx="3">
                  <c:v>2022/23</c:v>
                </c:pt>
                <c:pt idx="4">
                  <c:v>2023/24</c:v>
                </c:pt>
              </c:strCache>
            </c:strRef>
          </c:cat>
          <c:val>
            <c:numRef>
              <c:f>Care_Leavers!$AW$38:$BA$38</c:f>
              <c:numCache>
                <c:formatCode>0.0%</c:formatCode>
                <c:ptCount val="5"/>
                <c:pt idx="0">
                  <c:v>0.94736842105263153</c:v>
                </c:pt>
                <c:pt idx="1">
                  <c:v>0.81666666666666665</c:v>
                </c:pt>
                <c:pt idx="2">
                  <c:v>0.84210526315789469</c:v>
                </c:pt>
                <c:pt idx="3">
                  <c:v>0.86111111111111116</c:v>
                </c:pt>
                <c:pt idx="4">
                  <c:v>0.8783783783783784</c:v>
                </c:pt>
              </c:numCache>
            </c:numRef>
          </c:val>
          <c:smooth val="0"/>
          <c:extLst>
            <c:ext xmlns:c16="http://schemas.microsoft.com/office/drawing/2014/chart" uri="{C3380CC4-5D6E-409C-BE32-E72D297353CC}">
              <c16:uniqueId val="{00000001-24A6-4E5F-82F2-D6113A3AC8E2}"/>
            </c:ext>
          </c:extLst>
        </c:ser>
        <c:ser>
          <c:idx val="1"/>
          <c:order val="1"/>
          <c:tx>
            <c:strRef>
              <c:f>Care_Leavers!$AK$39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Care_Leavers!$AW$39:$BA$39</c:f>
              <c:numCache>
                <c:formatCode>0.0%</c:formatCode>
                <c:ptCount val="5"/>
                <c:pt idx="0">
                  <c:v>0.90393013100436681</c:v>
                </c:pt>
                <c:pt idx="1">
                  <c:v>0.8868778280542986</c:v>
                </c:pt>
                <c:pt idx="2">
                  <c:v>0.87272727272727268</c:v>
                </c:pt>
                <c:pt idx="3">
                  <c:v>0.90909090909090906</c:v>
                </c:pt>
                <c:pt idx="4">
                  <c:v>0.91855203619909498</c:v>
                </c:pt>
              </c:numCache>
            </c:numRef>
          </c:val>
          <c:smooth val="0"/>
          <c:extLst>
            <c:ext xmlns:c16="http://schemas.microsoft.com/office/drawing/2014/chart" uri="{C3380CC4-5D6E-409C-BE32-E72D297353CC}">
              <c16:uniqueId val="{00000002-24A6-4E5F-82F2-D6113A3AC8E2}"/>
            </c:ext>
          </c:extLst>
        </c:ser>
        <c:ser>
          <c:idx val="2"/>
          <c:order val="2"/>
          <c:tx>
            <c:strRef>
              <c:f>Care_Leavers!$AK$40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Care_Leavers!$AW$40:$BA$40</c:f>
              <c:numCache>
                <c:formatCode>0.0%</c:formatCode>
                <c:ptCount val="5"/>
                <c:pt idx="0">
                  <c:v>0.82989690721649489</c:v>
                </c:pt>
                <c:pt idx="1">
                  <c:v>0.94202898550724634</c:v>
                </c:pt>
                <c:pt idx="2">
                  <c:v>0.87931034482758619</c:v>
                </c:pt>
                <c:pt idx="3">
                  <c:v>0.86234817813765186</c:v>
                </c:pt>
                <c:pt idx="4">
                  <c:v>0.88065843621399176</c:v>
                </c:pt>
              </c:numCache>
            </c:numRef>
          </c:val>
          <c:smooth val="0"/>
          <c:extLst>
            <c:ext xmlns:c16="http://schemas.microsoft.com/office/drawing/2014/chart" uri="{C3380CC4-5D6E-409C-BE32-E72D297353CC}">
              <c16:uniqueId val="{00000003-24A6-4E5F-82F2-D6113A3AC8E2}"/>
            </c:ext>
          </c:extLst>
        </c:ser>
        <c:ser>
          <c:idx val="5"/>
          <c:order val="3"/>
          <c:tx>
            <c:strRef>
              <c:f>Care_Leavers!$AK$41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Care_Leavers!$AW$41:$BA$41</c:f>
              <c:numCache>
                <c:formatCode>0.0%</c:formatCode>
                <c:ptCount val="5"/>
                <c:pt idx="0">
                  <c:v>0.7839195979899497</c:v>
                </c:pt>
                <c:pt idx="1">
                  <c:v>0.8657407407407407</c:v>
                </c:pt>
                <c:pt idx="2">
                  <c:v>0.8839285714285714</c:v>
                </c:pt>
                <c:pt idx="3">
                  <c:v>0.87449392712550611</c:v>
                </c:pt>
                <c:pt idx="4">
                  <c:v>0.90636704119850187</c:v>
                </c:pt>
              </c:numCache>
            </c:numRef>
          </c:val>
          <c:smooth val="0"/>
          <c:extLst>
            <c:ext xmlns:c16="http://schemas.microsoft.com/office/drawing/2014/chart" uri="{C3380CC4-5D6E-409C-BE32-E72D297353CC}">
              <c16:uniqueId val="{00000004-24A6-4E5F-82F2-D6113A3AC8E2}"/>
            </c:ext>
          </c:extLst>
        </c:ser>
        <c:ser>
          <c:idx val="9"/>
          <c:order val="4"/>
          <c:tx>
            <c:strRef>
              <c:f>Care_Leavers!$AK$42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Care_Leavers!$AW$42:$BA$42</c:f>
              <c:numCache>
                <c:formatCode>0.0%</c:formatCode>
                <c:ptCount val="5"/>
                <c:pt idx="0">
                  <c:v>0.70598911070780401</c:v>
                </c:pt>
                <c:pt idx="1">
                  <c:v>0.7640449438202247</c:v>
                </c:pt>
                <c:pt idx="2">
                  <c:v>0.74529667149059331</c:v>
                </c:pt>
                <c:pt idx="3">
                  <c:v>0.6957746478873239</c:v>
                </c:pt>
                <c:pt idx="4">
                  <c:v>0.3263009845288326</c:v>
                </c:pt>
              </c:numCache>
            </c:numRef>
          </c:val>
          <c:smooth val="0"/>
          <c:extLst>
            <c:ext xmlns:c16="http://schemas.microsoft.com/office/drawing/2014/chart" uri="{C3380CC4-5D6E-409C-BE32-E72D297353CC}">
              <c16:uniqueId val="{00000005-24A6-4E5F-82F2-D6113A3AC8E2}"/>
            </c:ext>
          </c:extLst>
        </c:ser>
        <c:ser>
          <c:idx val="10"/>
          <c:order val="5"/>
          <c:tx>
            <c:strRef>
              <c:f>Care_Leavers!$AK$43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Care_Leavers!$Y$2:$AC$3</c:f>
              <c:strCache>
                <c:ptCount val="5"/>
                <c:pt idx="0">
                  <c:v>2019/20</c:v>
                </c:pt>
                <c:pt idx="1">
                  <c:v>2020/21</c:v>
                </c:pt>
                <c:pt idx="2">
                  <c:v>2021/22</c:v>
                </c:pt>
                <c:pt idx="3">
                  <c:v>2022/23</c:v>
                </c:pt>
                <c:pt idx="4">
                  <c:v>2023/24</c:v>
                </c:pt>
              </c:strCache>
            </c:strRef>
          </c:cat>
          <c:val>
            <c:numRef>
              <c:f>Care_Leavers!$AW$43:$BA$43</c:f>
              <c:numCache>
                <c:formatCode>0.0%</c:formatCode>
                <c:ptCount val="5"/>
                <c:pt idx="0">
                  <c:v>0.93103448275862066</c:v>
                </c:pt>
                <c:pt idx="1">
                  <c:v>0.96385542168674698</c:v>
                </c:pt>
                <c:pt idx="2">
                  <c:v>0.9452054794520548</c:v>
                </c:pt>
                <c:pt idx="3">
                  <c:v>0.89473684210526316</c:v>
                </c:pt>
                <c:pt idx="4">
                  <c:v>0.87912087912087911</c:v>
                </c:pt>
              </c:numCache>
            </c:numRef>
          </c:val>
          <c:smooth val="0"/>
          <c:extLst>
            <c:ext xmlns:c16="http://schemas.microsoft.com/office/drawing/2014/chart" uri="{C3380CC4-5D6E-409C-BE32-E72D297353CC}">
              <c16:uniqueId val="{00000006-24A6-4E5F-82F2-D6113A3AC8E2}"/>
            </c:ext>
          </c:extLst>
        </c:ser>
        <c:ser>
          <c:idx val="11"/>
          <c:order val="6"/>
          <c:tx>
            <c:strRef>
              <c:f>Care_Leavers!$AK$44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Care_Leavers!$Y$2:$AC$3</c:f>
              <c:strCache>
                <c:ptCount val="5"/>
                <c:pt idx="0">
                  <c:v>2019/20</c:v>
                </c:pt>
                <c:pt idx="1">
                  <c:v>2020/21</c:v>
                </c:pt>
                <c:pt idx="2">
                  <c:v>2021/22</c:v>
                </c:pt>
                <c:pt idx="3">
                  <c:v>2022/23</c:v>
                </c:pt>
                <c:pt idx="4">
                  <c:v>2023/24</c:v>
                </c:pt>
              </c:strCache>
            </c:strRef>
          </c:cat>
          <c:val>
            <c:numRef>
              <c:f>Care_Leavers!$AW$44:$BA$44</c:f>
              <c:numCache>
                <c:formatCode>0.0%</c:formatCode>
                <c:ptCount val="5"/>
                <c:pt idx="0">
                  <c:v>0.74620390455531449</c:v>
                </c:pt>
                <c:pt idx="1">
                  <c:v>0.80765957446808512</c:v>
                </c:pt>
                <c:pt idx="2">
                  <c:v>0.85238907849829348</c:v>
                </c:pt>
                <c:pt idx="3">
                  <c:v>0.87973640856672153</c:v>
                </c:pt>
                <c:pt idx="4">
                  <c:v>0.83624272651704068</c:v>
                </c:pt>
              </c:numCache>
            </c:numRef>
          </c:val>
          <c:smooth val="0"/>
          <c:extLst>
            <c:ext xmlns:c16="http://schemas.microsoft.com/office/drawing/2014/chart" uri="{C3380CC4-5D6E-409C-BE32-E72D297353CC}">
              <c16:uniqueId val="{00000007-24A6-4E5F-82F2-D6113A3AC8E2}"/>
            </c:ext>
          </c:extLst>
        </c:ser>
        <c:ser>
          <c:idx val="12"/>
          <c:order val="7"/>
          <c:tx>
            <c:strRef>
              <c:f>Care_Leavers!$AK$45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Care_Leavers!$AW$45:$BA$45</c:f>
              <c:numCache>
                <c:formatCode>0.0%</c:formatCode>
                <c:ptCount val="5"/>
                <c:pt idx="0">
                  <c:v>0.94214876033057848</c:v>
                </c:pt>
                <c:pt idx="1">
                  <c:v>0.88721804511278191</c:v>
                </c:pt>
                <c:pt idx="2">
                  <c:v>0.90714285714285714</c:v>
                </c:pt>
                <c:pt idx="3">
                  <c:v>0.93877551020408168</c:v>
                </c:pt>
                <c:pt idx="4">
                  <c:v>0.93377483443708609</c:v>
                </c:pt>
              </c:numCache>
            </c:numRef>
          </c:val>
          <c:smooth val="0"/>
          <c:extLst>
            <c:ext xmlns:c16="http://schemas.microsoft.com/office/drawing/2014/chart" uri="{C3380CC4-5D6E-409C-BE32-E72D297353CC}">
              <c16:uniqueId val="{00000008-24A6-4E5F-82F2-D6113A3AC8E2}"/>
            </c:ext>
          </c:extLst>
        </c:ser>
        <c:ser>
          <c:idx val="13"/>
          <c:order val="8"/>
          <c:tx>
            <c:strRef>
              <c:f>Care_Leavers!$AK$46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Care_Leavers!$Y$2:$AC$3</c:f>
              <c:strCache>
                <c:ptCount val="5"/>
                <c:pt idx="0">
                  <c:v>2019/20</c:v>
                </c:pt>
                <c:pt idx="1">
                  <c:v>2020/21</c:v>
                </c:pt>
                <c:pt idx="2">
                  <c:v>2021/22</c:v>
                </c:pt>
                <c:pt idx="3">
                  <c:v>2022/23</c:v>
                </c:pt>
                <c:pt idx="4">
                  <c:v>2023/24</c:v>
                </c:pt>
              </c:strCache>
            </c:strRef>
          </c:cat>
          <c:val>
            <c:numRef>
              <c:f>Care_Leavers!$AW$46:$BA$46</c:f>
              <c:numCache>
                <c:formatCode>0.0%</c:formatCode>
                <c:ptCount val="5"/>
                <c:pt idx="0">
                  <c:v>0.81818181818181823</c:v>
                </c:pt>
                <c:pt idx="1">
                  <c:v>0.86274509803921573</c:v>
                </c:pt>
                <c:pt idx="2">
                  <c:v>0.87012987012987009</c:v>
                </c:pt>
                <c:pt idx="3">
                  <c:v>0.86982248520710059</c:v>
                </c:pt>
                <c:pt idx="4">
                  <c:v>0.875</c:v>
                </c:pt>
              </c:numCache>
            </c:numRef>
          </c:val>
          <c:smooth val="0"/>
          <c:extLst>
            <c:ext xmlns:c16="http://schemas.microsoft.com/office/drawing/2014/chart" uri="{C3380CC4-5D6E-409C-BE32-E72D297353CC}">
              <c16:uniqueId val="{00000009-24A6-4E5F-82F2-D6113A3AC8E2}"/>
            </c:ext>
          </c:extLst>
        </c:ser>
        <c:ser>
          <c:idx val="15"/>
          <c:order val="9"/>
          <c:tx>
            <c:strRef>
              <c:f>Care_Leavers!$AK$47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Care_Leavers!$Y$2:$AC$3</c:f>
              <c:strCache>
                <c:ptCount val="5"/>
                <c:pt idx="0">
                  <c:v>2019/20</c:v>
                </c:pt>
                <c:pt idx="1">
                  <c:v>2020/21</c:v>
                </c:pt>
                <c:pt idx="2">
                  <c:v>2021/22</c:v>
                </c:pt>
                <c:pt idx="3">
                  <c:v>2022/23</c:v>
                </c:pt>
                <c:pt idx="4">
                  <c:v>2023/24</c:v>
                </c:pt>
              </c:strCache>
            </c:strRef>
          </c:cat>
          <c:val>
            <c:numRef>
              <c:f>Care_Leavers!$AW$47:$BA$47</c:f>
              <c:numCache>
                <c:formatCode>0.0%</c:formatCode>
                <c:ptCount val="5"/>
                <c:pt idx="0">
                  <c:v>0.76975945017182135</c:v>
                </c:pt>
                <c:pt idx="1">
                  <c:v>0.86378737541528239</c:v>
                </c:pt>
                <c:pt idx="2">
                  <c:v>0.87349397590361444</c:v>
                </c:pt>
                <c:pt idx="3">
                  <c:v>0.87570621468926557</c:v>
                </c:pt>
                <c:pt idx="4">
                  <c:v>0.89922480620155043</c:v>
                </c:pt>
              </c:numCache>
            </c:numRef>
          </c:val>
          <c:smooth val="0"/>
          <c:extLst>
            <c:ext xmlns:c16="http://schemas.microsoft.com/office/drawing/2014/chart" uri="{C3380CC4-5D6E-409C-BE32-E72D297353CC}">
              <c16:uniqueId val="{0000000A-24A6-4E5F-82F2-D6113A3AC8E2}"/>
            </c:ext>
          </c:extLst>
        </c:ser>
        <c:ser>
          <c:idx val="16"/>
          <c:order val="10"/>
          <c:tx>
            <c:strRef>
              <c:f>Care_Leavers!$AK$48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Care_Leavers!$AW$48:$BA$48</c:f>
              <c:numCache>
                <c:formatCode>0.0%</c:formatCode>
                <c:ptCount val="5"/>
                <c:pt idx="0">
                  <c:v>0.70588235294117652</c:v>
                </c:pt>
                <c:pt idx="1">
                  <c:v>0.71563981042654023</c:v>
                </c:pt>
                <c:pt idx="2">
                  <c:v>0.806949806949807</c:v>
                </c:pt>
                <c:pt idx="3">
                  <c:v>0.82625482625482627</c:v>
                </c:pt>
                <c:pt idx="4">
                  <c:v>0.85152838427947597</c:v>
                </c:pt>
              </c:numCache>
            </c:numRef>
          </c:val>
          <c:smooth val="0"/>
          <c:extLst>
            <c:ext xmlns:c16="http://schemas.microsoft.com/office/drawing/2014/chart" uri="{C3380CC4-5D6E-409C-BE32-E72D297353CC}">
              <c16:uniqueId val="{0000000B-24A6-4E5F-82F2-D6113A3AC8E2}"/>
            </c:ext>
          </c:extLst>
        </c:ser>
        <c:ser>
          <c:idx val="17"/>
          <c:order val="11"/>
          <c:tx>
            <c:strRef>
              <c:f>Care_Leavers!$AK$49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Care_Leavers!$Y$2:$AC$3</c:f>
              <c:strCache>
                <c:ptCount val="5"/>
                <c:pt idx="0">
                  <c:v>2019/20</c:v>
                </c:pt>
                <c:pt idx="1">
                  <c:v>2020/21</c:v>
                </c:pt>
                <c:pt idx="2">
                  <c:v>2021/22</c:v>
                </c:pt>
                <c:pt idx="3">
                  <c:v>2022/23</c:v>
                </c:pt>
                <c:pt idx="4">
                  <c:v>2023/24</c:v>
                </c:pt>
              </c:strCache>
            </c:strRef>
          </c:cat>
          <c:val>
            <c:numRef>
              <c:f>Care_Leavers!$AW$49:$BA$49</c:f>
              <c:numCache>
                <c:formatCode>0.0%</c:formatCode>
                <c:ptCount val="5"/>
                <c:pt idx="0">
                  <c:v>0.84158415841584155</c:v>
                </c:pt>
                <c:pt idx="1">
                  <c:v>0.92</c:v>
                </c:pt>
                <c:pt idx="2">
                  <c:v>0.86458333333333337</c:v>
                </c:pt>
                <c:pt idx="3">
                  <c:v>0.8</c:v>
                </c:pt>
                <c:pt idx="4">
                  <c:v>0.80882352941176472</c:v>
                </c:pt>
              </c:numCache>
            </c:numRef>
          </c:val>
          <c:smooth val="0"/>
          <c:extLst>
            <c:ext xmlns:c16="http://schemas.microsoft.com/office/drawing/2014/chart" uri="{C3380CC4-5D6E-409C-BE32-E72D297353CC}">
              <c16:uniqueId val="{0000000C-24A6-4E5F-82F2-D6113A3AC8E2}"/>
            </c:ext>
          </c:extLst>
        </c:ser>
        <c:ser>
          <c:idx val="19"/>
          <c:order val="12"/>
          <c:tx>
            <c:strRef>
              <c:f>Care_Leavers!$AK$50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Care_Leavers!$AW$50:$BA$50</c:f>
              <c:numCache>
                <c:formatCode>0.0%</c:formatCode>
                <c:ptCount val="5"/>
                <c:pt idx="0">
                  <c:v>0.79569892473118276</c:v>
                </c:pt>
                <c:pt idx="1">
                  <c:v>0.8</c:v>
                </c:pt>
                <c:pt idx="2">
                  <c:v>0.77894736842105261</c:v>
                </c:pt>
                <c:pt idx="3">
                  <c:v>0.85263157894736841</c:v>
                </c:pt>
                <c:pt idx="4">
                  <c:v>0.8839285714285714</c:v>
                </c:pt>
              </c:numCache>
            </c:numRef>
          </c:val>
          <c:smooth val="0"/>
          <c:extLst>
            <c:ext xmlns:c16="http://schemas.microsoft.com/office/drawing/2014/chart" uri="{C3380CC4-5D6E-409C-BE32-E72D297353CC}">
              <c16:uniqueId val="{0000000D-24A6-4E5F-82F2-D6113A3AC8E2}"/>
            </c:ext>
          </c:extLst>
        </c:ser>
        <c:ser>
          <c:idx val="20"/>
          <c:order val="13"/>
          <c:tx>
            <c:strRef>
              <c:f>Care_Leavers!$AK$51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Care_Leavers!$AW$51:$BA$51</c:f>
              <c:numCache>
                <c:formatCode>0.0%</c:formatCode>
                <c:ptCount val="5"/>
                <c:pt idx="0">
                  <c:v>0.79389312977099236</c:v>
                </c:pt>
                <c:pt idx="1">
                  <c:v>0.80281690140845074</c:v>
                </c:pt>
                <c:pt idx="2">
                  <c:v>0.84246575342465757</c:v>
                </c:pt>
                <c:pt idx="3">
                  <c:v>0.80124223602484468</c:v>
                </c:pt>
                <c:pt idx="4">
                  <c:v>0.78645833333333337</c:v>
                </c:pt>
              </c:numCache>
            </c:numRef>
          </c:val>
          <c:smooth val="0"/>
          <c:extLst>
            <c:ext xmlns:c16="http://schemas.microsoft.com/office/drawing/2014/chart" uri="{C3380CC4-5D6E-409C-BE32-E72D297353CC}">
              <c16:uniqueId val="{0000000F-24A6-4E5F-82F2-D6113A3AC8E2}"/>
            </c:ext>
          </c:extLst>
        </c:ser>
        <c:ser>
          <c:idx val="22"/>
          <c:order val="14"/>
          <c:tx>
            <c:strRef>
              <c:f>Care_Leavers!$AK$52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Care_Leavers!$AW$52:$BA$52</c:f>
              <c:numCache>
                <c:formatCode>0.0%</c:formatCode>
                <c:ptCount val="5"/>
                <c:pt idx="0">
                  <c:v>0.78210116731517509</c:v>
                </c:pt>
                <c:pt idx="1">
                  <c:v>0.85902255639097747</c:v>
                </c:pt>
                <c:pt idx="2">
                  <c:v>0.86900369003690037</c:v>
                </c:pt>
                <c:pt idx="3">
                  <c:v>0.90374331550802134</c:v>
                </c:pt>
                <c:pt idx="4">
                  <c:v>0.88206785137318255</c:v>
                </c:pt>
              </c:numCache>
            </c:numRef>
          </c:val>
          <c:smooth val="0"/>
          <c:extLst>
            <c:ext xmlns:c16="http://schemas.microsoft.com/office/drawing/2014/chart" uri="{C3380CC4-5D6E-409C-BE32-E72D297353CC}">
              <c16:uniqueId val="{00000010-24A6-4E5F-82F2-D6113A3AC8E2}"/>
            </c:ext>
          </c:extLst>
        </c:ser>
        <c:ser>
          <c:idx val="23"/>
          <c:order val="15"/>
          <c:tx>
            <c:strRef>
              <c:f>Care_Leavers!$AK$53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Care_Leavers!$Y$2:$AC$3</c:f>
              <c:strCache>
                <c:ptCount val="5"/>
                <c:pt idx="0">
                  <c:v>2019/20</c:v>
                </c:pt>
                <c:pt idx="1">
                  <c:v>2020/21</c:v>
                </c:pt>
                <c:pt idx="2">
                  <c:v>2021/22</c:v>
                </c:pt>
                <c:pt idx="3">
                  <c:v>2022/23</c:v>
                </c:pt>
                <c:pt idx="4">
                  <c:v>2023/24</c:v>
                </c:pt>
              </c:strCache>
            </c:strRef>
          </c:cat>
          <c:val>
            <c:numRef>
              <c:f>Care_Leavers!$AW$53:$BA$53</c:f>
              <c:numCache>
                <c:formatCode>0.0%</c:formatCode>
                <c:ptCount val="5"/>
                <c:pt idx="0">
                  <c:v>0.96250000000000002</c:v>
                </c:pt>
                <c:pt idx="1">
                  <c:v>0.92771084337349397</c:v>
                </c:pt>
                <c:pt idx="2">
                  <c:v>0.9263157894736842</c:v>
                </c:pt>
                <c:pt idx="3">
                  <c:v>0.93269230769230771</c:v>
                </c:pt>
                <c:pt idx="4">
                  <c:v>0.87387387387387383</c:v>
                </c:pt>
              </c:numCache>
            </c:numRef>
          </c:val>
          <c:smooth val="0"/>
          <c:extLst>
            <c:ext xmlns:c16="http://schemas.microsoft.com/office/drawing/2014/chart" uri="{C3380CC4-5D6E-409C-BE32-E72D297353CC}">
              <c16:uniqueId val="{00000013-24A6-4E5F-82F2-D6113A3AC8E2}"/>
            </c:ext>
          </c:extLst>
        </c:ser>
        <c:ser>
          <c:idx val="24"/>
          <c:order val="16"/>
          <c:tx>
            <c:strRef>
              <c:f>Care_Leavers!$AK$54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Care_Leavers!$Y$2:$AC$3</c:f>
              <c:strCache>
                <c:ptCount val="5"/>
                <c:pt idx="0">
                  <c:v>2019/20</c:v>
                </c:pt>
                <c:pt idx="1">
                  <c:v>2020/21</c:v>
                </c:pt>
                <c:pt idx="2">
                  <c:v>2021/22</c:v>
                </c:pt>
                <c:pt idx="3">
                  <c:v>2022/23</c:v>
                </c:pt>
                <c:pt idx="4">
                  <c:v>2023/24</c:v>
                </c:pt>
              </c:strCache>
            </c:strRef>
          </c:cat>
          <c:val>
            <c:numRef>
              <c:f>Care_Leavers!$AW$54:$BA$54</c:f>
              <c:numCache>
                <c:formatCode>0.0%</c:formatCode>
                <c:ptCount val="5"/>
                <c:pt idx="0">
                  <c:v>0.86178861788617889</c:v>
                </c:pt>
                <c:pt idx="1">
                  <c:v>0.91666666666666663</c:v>
                </c:pt>
                <c:pt idx="2">
                  <c:v>0.9296875</c:v>
                </c:pt>
                <c:pt idx="3">
                  <c:v>0.90929705215419498</c:v>
                </c:pt>
                <c:pt idx="4">
                  <c:v>0.88796680497925307</c:v>
                </c:pt>
              </c:numCache>
            </c:numRef>
          </c:val>
          <c:smooth val="0"/>
          <c:extLst>
            <c:ext xmlns:c16="http://schemas.microsoft.com/office/drawing/2014/chart" uri="{C3380CC4-5D6E-409C-BE32-E72D297353CC}">
              <c16:uniqueId val="{00000014-24A6-4E5F-82F2-D6113A3AC8E2}"/>
            </c:ext>
          </c:extLst>
        </c:ser>
        <c:ser>
          <c:idx val="25"/>
          <c:order val="17"/>
          <c:tx>
            <c:strRef>
              <c:f>Care_Leavers!$AK$55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Care_Leavers!$Y$2:$AC$3</c:f>
              <c:strCache>
                <c:ptCount val="5"/>
                <c:pt idx="0">
                  <c:v>2019/20</c:v>
                </c:pt>
                <c:pt idx="1">
                  <c:v>2020/21</c:v>
                </c:pt>
                <c:pt idx="2">
                  <c:v>2021/22</c:v>
                </c:pt>
                <c:pt idx="3">
                  <c:v>2022/23</c:v>
                </c:pt>
                <c:pt idx="4">
                  <c:v>2023/24</c:v>
                </c:pt>
              </c:strCache>
            </c:strRef>
          </c:cat>
          <c:val>
            <c:numRef>
              <c:f>Care_Leavers!$AW$55:$BA$55</c:f>
              <c:numCache>
                <c:formatCode>0.0%</c:formatCode>
                <c:ptCount val="5"/>
                <c:pt idx="0">
                  <c:v>0.8035714285714286</c:v>
                </c:pt>
                <c:pt idx="1">
                  <c:v>0.9</c:v>
                </c:pt>
                <c:pt idx="2">
                  <c:v>0.92537313432835822</c:v>
                </c:pt>
                <c:pt idx="3">
                  <c:v>0.93442622950819676</c:v>
                </c:pt>
                <c:pt idx="4">
                  <c:v>0.89552238805970152</c:v>
                </c:pt>
              </c:numCache>
            </c:numRef>
          </c:val>
          <c:smooth val="0"/>
          <c:extLst>
            <c:ext xmlns:c16="http://schemas.microsoft.com/office/drawing/2014/chart" uri="{C3380CC4-5D6E-409C-BE32-E72D297353CC}">
              <c16:uniqueId val="{00000015-24A6-4E5F-82F2-D6113A3AC8E2}"/>
            </c:ext>
          </c:extLst>
        </c:ser>
        <c:ser>
          <c:idx val="26"/>
          <c:order val="18"/>
          <c:tx>
            <c:strRef>
              <c:f>Care_Leavers!$AK$56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Care_Leavers!$AW$56:$BA$56</c:f>
              <c:numCache>
                <c:formatCode>0.0%</c:formatCode>
                <c:ptCount val="5"/>
                <c:pt idx="0">
                  <c:v>0.94117647058823528</c:v>
                </c:pt>
                <c:pt idx="1">
                  <c:v>0.79661016949152541</c:v>
                </c:pt>
                <c:pt idx="2">
                  <c:v>0.77049180327868849</c:v>
                </c:pt>
                <c:pt idx="3">
                  <c:v>0.95</c:v>
                </c:pt>
                <c:pt idx="4">
                  <c:v>0.93506493506493504</c:v>
                </c:pt>
              </c:numCache>
            </c:numRef>
          </c:val>
          <c:smooth val="0"/>
          <c:extLst>
            <c:ext xmlns:c16="http://schemas.microsoft.com/office/drawing/2014/chart" uri="{C3380CC4-5D6E-409C-BE32-E72D297353CC}">
              <c16:uniqueId val="{00000016-24A6-4E5F-82F2-D6113A3AC8E2}"/>
            </c:ext>
          </c:extLst>
        </c:ser>
        <c:ser>
          <c:idx val="4"/>
          <c:order val="19"/>
          <c:tx>
            <c:strRef>
              <c:f>Care_Leavers!$AK$57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Care_Leavers!$AW$57:$BA$57</c:f>
              <c:numCache>
                <c:formatCode>0.0%</c:formatCode>
                <c:ptCount val="5"/>
                <c:pt idx="0">
                  <c:v>0.78963730569948187</c:v>
                </c:pt>
                <c:pt idx="1">
                  <c:v>0.83956225480074331</c:v>
                </c:pt>
                <c:pt idx="2">
                  <c:v>0.85119047619047616</c:v>
                </c:pt>
                <c:pt idx="3">
                  <c:v>0.85628064881176913</c:v>
                </c:pt>
                <c:pt idx="4">
                  <c:v>0.80143755615453727</c:v>
                </c:pt>
              </c:numCache>
            </c:numRef>
          </c:val>
          <c:smooth val="0"/>
          <c:extLst>
            <c:ext xmlns:c16="http://schemas.microsoft.com/office/drawing/2014/chart" uri="{C3380CC4-5D6E-409C-BE32-E72D297353CC}">
              <c16:uniqueId val="{00000017-24A6-4E5F-82F2-D6113A3AC8E2}"/>
            </c:ext>
          </c:extLst>
        </c:ser>
        <c:ser>
          <c:idx val="8"/>
          <c:order val="20"/>
          <c:tx>
            <c:strRef>
              <c:f>Care_Leavers!$B$162</c:f>
              <c:strCache>
                <c:ptCount val="1"/>
                <c:pt idx="0">
                  <c:v>England</c:v>
                </c:pt>
              </c:strCache>
            </c:strRef>
          </c:tx>
          <c:spPr>
            <a:ln w="19050">
              <a:solidFill>
                <a:schemeClr val="tx1">
                  <a:lumMod val="75000"/>
                  <a:lumOff val="25000"/>
                </a:schemeClr>
              </a:solidFill>
            </a:ln>
          </c:spPr>
          <c:marker>
            <c:symbol val="plus"/>
            <c:size val="6"/>
            <c:spPr>
              <a:ln>
                <a:solidFill>
                  <a:schemeClr val="tx1">
                    <a:lumMod val="75000"/>
                    <a:lumOff val="25000"/>
                  </a:schemeClr>
                </a:solidFill>
              </a:ln>
            </c:spPr>
          </c:marker>
          <c:cat>
            <c:strRef>
              <c:f>Care_Leavers!$Y$2:$AC$3</c:f>
              <c:strCache>
                <c:ptCount val="5"/>
                <c:pt idx="0">
                  <c:v>2019/20</c:v>
                </c:pt>
                <c:pt idx="1">
                  <c:v>2020/21</c:v>
                </c:pt>
                <c:pt idx="2">
                  <c:v>2021/22</c:v>
                </c:pt>
                <c:pt idx="3">
                  <c:v>2022/23</c:v>
                </c:pt>
                <c:pt idx="4">
                  <c:v>2023/24</c:v>
                </c:pt>
              </c:strCache>
            </c:strRef>
          </c:cat>
          <c:val>
            <c:numRef>
              <c:f>Care_Leavers!$D$162:$H$162</c:f>
              <c:numCache>
                <c:formatCode>0%</c:formatCode>
                <c:ptCount val="5"/>
                <c:pt idx="0">
                  <c:v>0.84325015994881636</c:v>
                </c:pt>
                <c:pt idx="1">
                  <c:v>0.86973910903273444</c:v>
                </c:pt>
                <c:pt idx="2">
                  <c:v>0.87139029473057461</c:v>
                </c:pt>
                <c:pt idx="3">
                  <c:v>0.87503607503607506</c:v>
                </c:pt>
                <c:pt idx="4">
                  <c:v>0.86967280725872975</c:v>
                </c:pt>
              </c:numCache>
            </c:numRef>
          </c:val>
          <c:smooth val="0"/>
          <c:extLst>
            <c:ext xmlns:c16="http://schemas.microsoft.com/office/drawing/2014/chart" uri="{C3380CC4-5D6E-409C-BE32-E72D297353CC}">
              <c16:uniqueId val="{00000002-1E59-419E-B7FA-BB318CC905B9}"/>
            </c:ext>
          </c:extLst>
        </c:ser>
        <c:ser>
          <c:idx val="6"/>
          <c:order val="21"/>
          <c:tx>
            <c:strRef>
              <c:f>Care_Leavers!$AK$59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Care_Leavers!$Y$2:$AC$3</c:f>
              <c:strCache>
                <c:ptCount val="5"/>
                <c:pt idx="0">
                  <c:v>2019/20</c:v>
                </c:pt>
                <c:pt idx="1">
                  <c:v>2020/21</c:v>
                </c:pt>
                <c:pt idx="2">
                  <c:v>2021/22</c:v>
                </c:pt>
                <c:pt idx="3">
                  <c:v>2022/23</c:v>
                </c:pt>
                <c:pt idx="4">
                  <c:v>2023/24</c:v>
                </c:pt>
              </c:strCache>
            </c:strRef>
          </c:cat>
          <c:val>
            <c:numRef>
              <c:f>Care_Leavers!$AW$59:$BA$59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24A6-4E5F-82F2-D6113A3AC8E2}"/>
            </c:ext>
          </c:extLst>
        </c:ser>
        <c:dLbls>
          <c:showLegendKey val="0"/>
          <c:showVal val="0"/>
          <c:showCatName val="0"/>
          <c:showSerName val="0"/>
          <c:showPercent val="0"/>
          <c:showBubbleSize val="0"/>
        </c:dLbls>
        <c:marker val="1"/>
        <c:smooth val="0"/>
        <c:axId val="625174016"/>
        <c:axId val="625175936"/>
      </c:lineChart>
      <c:catAx>
        <c:axId val="625174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25175936"/>
        <c:crosses val="autoZero"/>
        <c:auto val="1"/>
        <c:lblAlgn val="ctr"/>
        <c:lblOffset val="100"/>
        <c:tickLblSkip val="1"/>
        <c:tickMarkSkip val="1"/>
        <c:noMultiLvlLbl val="0"/>
      </c:catAx>
      <c:valAx>
        <c:axId val="625175936"/>
        <c:scaling>
          <c:orientation val="minMax"/>
          <c:max val="1.05"/>
          <c:min val="0"/>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25174016"/>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0668096366003028"/>
          <c:h val="0.88983448952056177"/>
        </c:manualLayout>
      </c:layout>
      <c:overlay val="0"/>
      <c:spPr>
        <a:solidFill>
          <a:srgbClr val="FFFFFF"/>
        </a:solidFill>
        <a:ln w="25400">
          <a:noFill/>
        </a:ln>
      </c:spPr>
    </c:legend>
    <c:plotVisOnly val="0"/>
    <c:dispBlanksAs val="span"/>
    <c:showDLblsOverMax val="0"/>
  </c:chart>
  <c:spPr>
    <a:solidFill>
      <a:schemeClr val="bg1"/>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E090A9"/>
            </a:solidFill>
            <a:ln>
              <a:noFill/>
            </a:ln>
          </c:spPr>
          <c:invertIfNegative val="0"/>
          <c:cat>
            <c:strRef>
              <c:f>Referral_Source!$B$40:$B$60</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Referral_Source!$J$40:$J$60</c:f>
              <c:numCache>
                <c:formatCode>0.0</c:formatCode>
                <c:ptCount val="21"/>
                <c:pt idx="0">
                  <c:v>1.7207147584381206</c:v>
                </c:pt>
                <c:pt idx="1">
                  <c:v>1.1974209395148909</c:v>
                </c:pt>
                <c:pt idx="2">
                  <c:v>0.52870090634441091</c:v>
                </c:pt>
                <c:pt idx="3">
                  <c:v>1.6005567153792624</c:v>
                </c:pt>
                <c:pt idx="4">
                  <c:v>#N/A</c:v>
                </c:pt>
                <c:pt idx="5">
                  <c:v>1.3933302878026497</c:v>
                </c:pt>
                <c:pt idx="6">
                  <c:v>1.7046161503048403</c:v>
                </c:pt>
                <c:pt idx="7">
                  <c:v>1.722506151807685</c:v>
                </c:pt>
                <c:pt idx="8">
                  <c:v>0</c:v>
                </c:pt>
                <c:pt idx="9">
                  <c:v>0.87180503269268883</c:v>
                </c:pt>
                <c:pt idx="10">
                  <c:v>2.0502645502645502</c:v>
                </c:pt>
                <c:pt idx="11">
                  <c:v>2.231102231102231</c:v>
                </c:pt>
                <c:pt idx="12">
                  <c:v>0</c:v>
                </c:pt>
                <c:pt idx="13">
                  <c:v>0.90497737556561098</c:v>
                </c:pt>
                <c:pt idx="14">
                  <c:v>1.0544129133038271</c:v>
                </c:pt>
                <c:pt idx="15">
                  <c:v>0.37429819089207733</c:v>
                </c:pt>
                <c:pt idx="16">
                  <c:v>0.84478628167948566</c:v>
                </c:pt>
                <c:pt idx="17">
                  <c:v>0.60672917815774963</c:v>
                </c:pt>
                <c:pt idx="18">
                  <c:v>0.58139534883720934</c:v>
                </c:pt>
                <c:pt idx="19">
                  <c:v>1.2213150926743159</c:v>
                </c:pt>
                <c:pt idx="20">
                  <c:v>1.2398289003955874</c:v>
                </c:pt>
              </c:numCache>
            </c:numRef>
          </c:val>
          <c:extLst>
            <c:ext xmlns:c16="http://schemas.microsoft.com/office/drawing/2014/chart" uri="{C3380CC4-5D6E-409C-BE32-E72D297353CC}">
              <c16:uniqueId val="{00000000-C5D3-455C-AAE2-9E91CD26EC09}"/>
            </c:ext>
          </c:extLst>
        </c:ser>
        <c:dLbls>
          <c:showLegendKey val="0"/>
          <c:showVal val="0"/>
          <c:showCatName val="0"/>
          <c:showSerName val="0"/>
          <c:showPercent val="0"/>
          <c:showBubbleSize val="0"/>
        </c:dLbls>
        <c:gapWidth val="40"/>
        <c:axId val="539999232"/>
        <c:axId val="540021504"/>
      </c:barChart>
      <c:catAx>
        <c:axId val="539999232"/>
        <c:scaling>
          <c:orientation val="maxMin"/>
        </c:scaling>
        <c:delete val="1"/>
        <c:axPos val="l"/>
        <c:numFmt formatCode="General" sourceLinked="0"/>
        <c:majorTickMark val="out"/>
        <c:minorTickMark val="none"/>
        <c:tickLblPos val="nextTo"/>
        <c:crossAx val="540021504"/>
        <c:crosses val="autoZero"/>
        <c:auto val="1"/>
        <c:lblAlgn val="ctr"/>
        <c:lblOffset val="100"/>
        <c:noMultiLvlLbl val="0"/>
      </c:catAx>
      <c:valAx>
        <c:axId val="540021504"/>
        <c:scaling>
          <c:orientation val="minMax"/>
        </c:scaling>
        <c:delete val="1"/>
        <c:axPos val="b"/>
        <c:majorGridlines/>
        <c:numFmt formatCode="0.0" sourceLinked="1"/>
        <c:majorTickMark val="out"/>
        <c:minorTickMark val="none"/>
        <c:tickLblPos val="nextTo"/>
        <c:crossAx val="539999232"/>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a:pPr>
            <a:r>
              <a:rPr lang="en-GB" sz="1200" b="1"/>
              <a:t>% Care leavers aged 19-21 who were 'In Touch' (Selected LA vs. SE &amp; England) </a:t>
            </a:r>
          </a:p>
        </c:rich>
      </c:tx>
      <c:layout>
        <c:manualLayout>
          <c:xMode val="edge"/>
          <c:yMode val="edge"/>
          <c:x val="0.14973746463510243"/>
          <c:y val="3.8616300816810812E-3"/>
        </c:manualLayout>
      </c:layout>
      <c:overlay val="0"/>
      <c:spPr>
        <a:noFill/>
        <a:ln w="25400">
          <a:noFill/>
        </a:ln>
      </c:spPr>
    </c:title>
    <c:autoTitleDeleted val="0"/>
    <c:plotArea>
      <c:layout>
        <c:manualLayout>
          <c:layoutTarget val="inner"/>
          <c:xMode val="edge"/>
          <c:yMode val="edge"/>
          <c:x val="9.8666564984461691E-2"/>
          <c:y val="0.25064019818474015"/>
          <c:w val="0.60430264286271151"/>
          <c:h val="0.53789739246915691"/>
        </c:manualLayout>
      </c:layout>
      <c:barChart>
        <c:barDir val="col"/>
        <c:grouping val="clustered"/>
        <c:varyColors val="0"/>
        <c:ser>
          <c:idx val="6"/>
          <c:order val="0"/>
          <c:tx>
            <c:strRef>
              <c:f>Care_Leavers!$Z$4</c:f>
              <c:strCache>
                <c:ptCount val="1"/>
                <c:pt idx="0">
                  <c:v>Selected LA- (none)</c:v>
                </c:pt>
              </c:strCache>
            </c:strRef>
          </c:tx>
          <c:spPr>
            <a:solidFill>
              <a:srgbClr val="66FF99"/>
            </a:solidFill>
            <a:ln>
              <a:solidFill>
                <a:schemeClr val="tx1">
                  <a:lumMod val="75000"/>
                  <a:lumOff val="25000"/>
                </a:schemeClr>
              </a:solidFill>
            </a:ln>
          </c:spPr>
          <c:invertIfNegative val="0"/>
          <c:cat>
            <c:strRef>
              <c:f>Care_Leavers!$Y$2:$AC$3</c:f>
              <c:strCache>
                <c:ptCount val="5"/>
                <c:pt idx="0">
                  <c:v>2019/20</c:v>
                </c:pt>
                <c:pt idx="1">
                  <c:v>2020/21</c:v>
                </c:pt>
                <c:pt idx="2">
                  <c:v>2021/22</c:v>
                </c:pt>
                <c:pt idx="3">
                  <c:v>2022/23</c:v>
                </c:pt>
                <c:pt idx="4">
                  <c:v>2023/24</c:v>
                </c:pt>
              </c:strCache>
            </c:strRef>
          </c:cat>
          <c:val>
            <c:numRef>
              <c:f>Care_Leavers!$AR$59:$AV$59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1B2C-4914-9D08-487F222D4159}"/>
            </c:ext>
          </c:extLst>
        </c:ser>
        <c:ser>
          <c:idx val="4"/>
          <c:order val="1"/>
          <c:tx>
            <c:strRef>
              <c:f>Care_Leavers!$B$161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Care_Leavers!$Y$2:$AC$3</c:f>
              <c:strCache>
                <c:ptCount val="5"/>
                <c:pt idx="0">
                  <c:v>2019/20</c:v>
                </c:pt>
                <c:pt idx="1">
                  <c:v>2020/21</c:v>
                </c:pt>
                <c:pt idx="2">
                  <c:v>2021/22</c:v>
                </c:pt>
                <c:pt idx="3">
                  <c:v>2022/23</c:v>
                </c:pt>
                <c:pt idx="4">
                  <c:v>2023/24</c:v>
                </c:pt>
              </c:strCache>
            </c:strRef>
          </c:cat>
          <c:val>
            <c:numRef>
              <c:f>Care_Leavers!$D$128:$H$128</c:f>
              <c:numCache>
                <c:formatCode>0%</c:formatCode>
                <c:ptCount val="5"/>
                <c:pt idx="0">
                  <c:v>0.85886010362694298</c:v>
                </c:pt>
                <c:pt idx="1">
                  <c:v>0.87652281643609331</c:v>
                </c:pt>
                <c:pt idx="2">
                  <c:v>0.9</c:v>
                </c:pt>
                <c:pt idx="3">
                  <c:v>0.89966050546963405</c:v>
                </c:pt>
                <c:pt idx="4">
                  <c:v>0.84995507637017076</c:v>
                </c:pt>
              </c:numCache>
            </c:numRef>
          </c:val>
          <c:extLst>
            <c:ext xmlns:c16="http://schemas.microsoft.com/office/drawing/2014/chart" uri="{C3380CC4-5D6E-409C-BE32-E72D297353CC}">
              <c16:uniqueId val="{00000001-1B2C-4914-9D08-487F222D4159}"/>
            </c:ext>
          </c:extLst>
        </c:ser>
        <c:ser>
          <c:idx val="0"/>
          <c:order val="2"/>
          <c:tx>
            <c:strRef>
              <c:f>Care_Leavers!$B$129</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val>
            <c:numRef>
              <c:f>Care_Leavers!$D$129:$H$129</c:f>
              <c:numCache>
                <c:formatCode>0%</c:formatCode>
                <c:ptCount val="5"/>
                <c:pt idx="0">
                  <c:v>0.89763275751759442</c:v>
                </c:pt>
                <c:pt idx="1">
                  <c:v>0.9140413487570761</c:v>
                </c:pt>
                <c:pt idx="2">
                  <c:v>0.92110747246204228</c:v>
                </c:pt>
                <c:pt idx="3">
                  <c:v>0.92496392496392499</c:v>
                </c:pt>
                <c:pt idx="4">
                  <c:v>0.9188891943909816</c:v>
                </c:pt>
              </c:numCache>
            </c:numRef>
          </c:val>
          <c:extLst>
            <c:ext xmlns:c16="http://schemas.microsoft.com/office/drawing/2014/chart" uri="{C3380CC4-5D6E-409C-BE32-E72D297353CC}">
              <c16:uniqueId val="{00000001-CBC0-4F1E-B53A-E98EFDD718F6}"/>
            </c:ext>
          </c:extLst>
        </c:ser>
        <c:dLbls>
          <c:showLegendKey val="0"/>
          <c:showVal val="0"/>
          <c:showCatName val="0"/>
          <c:showSerName val="0"/>
          <c:showPercent val="0"/>
          <c:showBubbleSize val="0"/>
        </c:dLbls>
        <c:gapWidth val="100"/>
        <c:axId val="625566080"/>
        <c:axId val="625567616"/>
      </c:barChart>
      <c:catAx>
        <c:axId val="625566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25567616"/>
        <c:crosses val="autoZero"/>
        <c:auto val="1"/>
        <c:lblAlgn val="ctr"/>
        <c:lblOffset val="100"/>
        <c:noMultiLvlLbl val="0"/>
      </c:catAx>
      <c:valAx>
        <c:axId val="625567616"/>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25566080"/>
        <c:crosses val="autoZero"/>
        <c:crossBetween val="between"/>
      </c:valAx>
      <c:spPr>
        <a:noFill/>
        <a:ln w="3175">
          <a:solidFill>
            <a:srgbClr val="000000"/>
          </a:solidFill>
          <a:prstDash val="solid"/>
        </a:ln>
      </c:spPr>
    </c:plotArea>
    <c:legend>
      <c:legendPos val="r"/>
      <c:layout>
        <c:manualLayout>
          <c:xMode val="edge"/>
          <c:yMode val="edge"/>
          <c:x val="0.72523764974922689"/>
          <c:y val="0.23537853120922669"/>
          <c:w val="0.27476235025077311"/>
          <c:h val="0.6351284602166396"/>
        </c:manualLayout>
      </c:layout>
      <c:overlay val="0"/>
      <c:spPr>
        <a:solidFill>
          <a:srgbClr val="FFFFFF"/>
        </a:solidFill>
        <a:ln w="25400">
          <a:noFill/>
        </a:ln>
      </c:spPr>
    </c:legend>
    <c:plotVisOnly val="0"/>
    <c:dispBlanksAs val="span"/>
    <c:showDLblsOverMax val="0"/>
  </c:chart>
  <c:spPr>
    <a:solidFill>
      <a:sysClr val="window" lastClr="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Care leavers aged 19-21 who were 'In Touch'</a:t>
            </a:r>
          </a:p>
        </c:rich>
      </c:tx>
      <c:layout>
        <c:manualLayout>
          <c:xMode val="edge"/>
          <c:yMode val="edge"/>
          <c:x val="0.12975809273840766"/>
          <c:y val="1.6570895094974031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Care_Leavers!$AK$38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F757-41D5-A1BA-5042AF4DC6A0}"/>
              </c:ext>
            </c:extLst>
          </c:dPt>
          <c:cat>
            <c:strRef>
              <c:f>Care_Leavers!$Y$2:$AC$3</c:f>
              <c:strCache>
                <c:ptCount val="5"/>
                <c:pt idx="0">
                  <c:v>2019/20</c:v>
                </c:pt>
                <c:pt idx="1">
                  <c:v>2020/21</c:v>
                </c:pt>
                <c:pt idx="2">
                  <c:v>2021/22</c:v>
                </c:pt>
                <c:pt idx="3">
                  <c:v>2022/23</c:v>
                </c:pt>
                <c:pt idx="4">
                  <c:v>2023/24</c:v>
                </c:pt>
              </c:strCache>
            </c:strRef>
          </c:cat>
          <c:val>
            <c:numRef>
              <c:f>Care_Leavers!$AR$38:$AV$38</c:f>
              <c:numCache>
                <c:formatCode>0.0%</c:formatCode>
                <c:ptCount val="5"/>
                <c:pt idx="0">
                  <c:v>0.91228070175438591</c:v>
                </c:pt>
                <c:pt idx="1">
                  <c:v>0.9</c:v>
                </c:pt>
                <c:pt idx="2">
                  <c:v>0.92982456140350878</c:v>
                </c:pt>
                <c:pt idx="3">
                  <c:v>0.86111111111111116</c:v>
                </c:pt>
                <c:pt idx="4">
                  <c:v>0.93243243243243246</c:v>
                </c:pt>
              </c:numCache>
            </c:numRef>
          </c:val>
          <c:smooth val="0"/>
          <c:extLst>
            <c:ext xmlns:c16="http://schemas.microsoft.com/office/drawing/2014/chart" uri="{C3380CC4-5D6E-409C-BE32-E72D297353CC}">
              <c16:uniqueId val="{00000001-F757-41D5-A1BA-5042AF4DC6A0}"/>
            </c:ext>
          </c:extLst>
        </c:ser>
        <c:ser>
          <c:idx val="1"/>
          <c:order val="1"/>
          <c:tx>
            <c:strRef>
              <c:f>Care_Leavers!$AK$39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Care_Leavers!$AR$39:$AV$39</c:f>
              <c:numCache>
                <c:formatCode>0.0%</c:formatCode>
                <c:ptCount val="5"/>
                <c:pt idx="0">
                  <c:v>0.95633187772925765</c:v>
                </c:pt>
                <c:pt idx="1">
                  <c:v>0.93665158371040724</c:v>
                </c:pt>
                <c:pt idx="2">
                  <c:v>0.95454545454545459</c:v>
                </c:pt>
                <c:pt idx="3">
                  <c:v>0.96650717703349287</c:v>
                </c:pt>
                <c:pt idx="4">
                  <c:v>0.95927601809954754</c:v>
                </c:pt>
              </c:numCache>
            </c:numRef>
          </c:val>
          <c:smooth val="0"/>
          <c:extLst>
            <c:ext xmlns:c16="http://schemas.microsoft.com/office/drawing/2014/chart" uri="{C3380CC4-5D6E-409C-BE32-E72D297353CC}">
              <c16:uniqueId val="{00000002-F757-41D5-A1BA-5042AF4DC6A0}"/>
            </c:ext>
          </c:extLst>
        </c:ser>
        <c:ser>
          <c:idx val="2"/>
          <c:order val="2"/>
          <c:tx>
            <c:strRef>
              <c:f>Care_Leavers!$AK$40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Care_Leavers!$AR$40:$AV$40</c:f>
              <c:numCache>
                <c:formatCode>0.0%</c:formatCode>
                <c:ptCount val="5"/>
                <c:pt idx="0">
                  <c:v>0.89175257731958768</c:v>
                </c:pt>
                <c:pt idx="1">
                  <c:v>0.98067632850241548</c:v>
                </c:pt>
                <c:pt idx="2">
                  <c:v>0.96551724137931039</c:v>
                </c:pt>
                <c:pt idx="3">
                  <c:v>0.90688259109311742</c:v>
                </c:pt>
                <c:pt idx="4">
                  <c:v>0.92181069958847739</c:v>
                </c:pt>
              </c:numCache>
            </c:numRef>
          </c:val>
          <c:smooth val="0"/>
          <c:extLst>
            <c:ext xmlns:c16="http://schemas.microsoft.com/office/drawing/2014/chart" uri="{C3380CC4-5D6E-409C-BE32-E72D297353CC}">
              <c16:uniqueId val="{00000003-F757-41D5-A1BA-5042AF4DC6A0}"/>
            </c:ext>
          </c:extLst>
        </c:ser>
        <c:ser>
          <c:idx val="5"/>
          <c:order val="3"/>
          <c:tx>
            <c:strRef>
              <c:f>Care_Leavers!$AK$41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Care_Leavers!$AR$41:$AV$41</c:f>
              <c:numCache>
                <c:formatCode>0.0%</c:formatCode>
                <c:ptCount val="5"/>
                <c:pt idx="0">
                  <c:v>0.83417085427135673</c:v>
                </c:pt>
                <c:pt idx="1">
                  <c:v>0.86111111111111116</c:v>
                </c:pt>
                <c:pt idx="2">
                  <c:v>0.8928571428571429</c:v>
                </c:pt>
                <c:pt idx="3">
                  <c:v>0.91093117408906887</c:v>
                </c:pt>
                <c:pt idx="4">
                  <c:v>0.92509363295880154</c:v>
                </c:pt>
              </c:numCache>
            </c:numRef>
          </c:val>
          <c:smooth val="0"/>
          <c:extLst>
            <c:ext xmlns:c16="http://schemas.microsoft.com/office/drawing/2014/chart" uri="{C3380CC4-5D6E-409C-BE32-E72D297353CC}">
              <c16:uniqueId val="{00000004-F757-41D5-A1BA-5042AF4DC6A0}"/>
            </c:ext>
          </c:extLst>
        </c:ser>
        <c:ser>
          <c:idx val="9"/>
          <c:order val="4"/>
          <c:tx>
            <c:strRef>
              <c:f>Care_Leavers!$AK$42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Care_Leavers!$AR$42:$AV$42</c:f>
              <c:numCache>
                <c:formatCode>0.0%</c:formatCode>
                <c:ptCount val="5"/>
                <c:pt idx="0">
                  <c:v>0.78221415607985478</c:v>
                </c:pt>
                <c:pt idx="1">
                  <c:v>0.7945425361155698</c:v>
                </c:pt>
                <c:pt idx="2">
                  <c:v>0.78147612156295221</c:v>
                </c:pt>
                <c:pt idx="3">
                  <c:v>0.74507042253521127</c:v>
                </c:pt>
                <c:pt idx="4">
                  <c:v>0.35864978902953587</c:v>
                </c:pt>
              </c:numCache>
            </c:numRef>
          </c:val>
          <c:smooth val="0"/>
          <c:extLst>
            <c:ext xmlns:c16="http://schemas.microsoft.com/office/drawing/2014/chart" uri="{C3380CC4-5D6E-409C-BE32-E72D297353CC}">
              <c16:uniqueId val="{00000005-F757-41D5-A1BA-5042AF4DC6A0}"/>
            </c:ext>
          </c:extLst>
        </c:ser>
        <c:ser>
          <c:idx val="10"/>
          <c:order val="5"/>
          <c:tx>
            <c:strRef>
              <c:f>Care_Leavers!$AK$43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Care_Leavers!$Y$2:$AC$3</c:f>
              <c:strCache>
                <c:ptCount val="5"/>
                <c:pt idx="0">
                  <c:v>2019/20</c:v>
                </c:pt>
                <c:pt idx="1">
                  <c:v>2020/21</c:v>
                </c:pt>
                <c:pt idx="2">
                  <c:v>2021/22</c:v>
                </c:pt>
                <c:pt idx="3">
                  <c:v>2022/23</c:v>
                </c:pt>
                <c:pt idx="4">
                  <c:v>2023/24</c:v>
                </c:pt>
              </c:strCache>
            </c:strRef>
          </c:cat>
          <c:val>
            <c:numRef>
              <c:f>Care_Leavers!$AR$43:$AV$43</c:f>
              <c:numCache>
                <c:formatCode>0.0%</c:formatCode>
                <c:ptCount val="5"/>
                <c:pt idx="0">
                  <c:v>0.97701149425287359</c:v>
                </c:pt>
                <c:pt idx="1">
                  <c:v>0.95180722891566261</c:v>
                </c:pt>
                <c:pt idx="2">
                  <c:v>0.9726027397260274</c:v>
                </c:pt>
                <c:pt idx="3">
                  <c:v>0.92105263157894735</c:v>
                </c:pt>
                <c:pt idx="4">
                  <c:v>0.92307692307692313</c:v>
                </c:pt>
              </c:numCache>
            </c:numRef>
          </c:val>
          <c:smooth val="0"/>
          <c:extLst>
            <c:ext xmlns:c16="http://schemas.microsoft.com/office/drawing/2014/chart" uri="{C3380CC4-5D6E-409C-BE32-E72D297353CC}">
              <c16:uniqueId val="{00000006-F757-41D5-A1BA-5042AF4DC6A0}"/>
            </c:ext>
          </c:extLst>
        </c:ser>
        <c:ser>
          <c:idx val="11"/>
          <c:order val="6"/>
          <c:tx>
            <c:strRef>
              <c:f>Care_Leavers!$AK$44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Care_Leavers!$Y$2:$AC$3</c:f>
              <c:strCache>
                <c:ptCount val="5"/>
                <c:pt idx="0">
                  <c:v>2019/20</c:v>
                </c:pt>
                <c:pt idx="1">
                  <c:v>2020/21</c:v>
                </c:pt>
                <c:pt idx="2">
                  <c:v>2021/22</c:v>
                </c:pt>
                <c:pt idx="3">
                  <c:v>2022/23</c:v>
                </c:pt>
                <c:pt idx="4">
                  <c:v>2023/24</c:v>
                </c:pt>
              </c:strCache>
            </c:strRef>
          </c:cat>
          <c:val>
            <c:numRef>
              <c:f>Care_Leavers!$AR$44:$AV$44</c:f>
              <c:numCache>
                <c:formatCode>0.0%</c:formatCode>
                <c:ptCount val="5"/>
                <c:pt idx="0">
                  <c:v>0.85104844540853219</c:v>
                </c:pt>
                <c:pt idx="1">
                  <c:v>0.88936170212765953</c:v>
                </c:pt>
                <c:pt idx="2">
                  <c:v>0.92235494880546076</c:v>
                </c:pt>
                <c:pt idx="3">
                  <c:v>0.93657331136738053</c:v>
                </c:pt>
                <c:pt idx="4">
                  <c:v>0.92186201163757275</c:v>
                </c:pt>
              </c:numCache>
            </c:numRef>
          </c:val>
          <c:smooth val="0"/>
          <c:extLst>
            <c:ext xmlns:c16="http://schemas.microsoft.com/office/drawing/2014/chart" uri="{C3380CC4-5D6E-409C-BE32-E72D297353CC}">
              <c16:uniqueId val="{00000007-F757-41D5-A1BA-5042AF4DC6A0}"/>
            </c:ext>
          </c:extLst>
        </c:ser>
        <c:ser>
          <c:idx val="12"/>
          <c:order val="7"/>
          <c:tx>
            <c:strRef>
              <c:f>Care_Leavers!$AK$45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Care_Leavers!$AR$45:$AV$45</c:f>
              <c:numCache>
                <c:formatCode>0.0%</c:formatCode>
                <c:ptCount val="5"/>
                <c:pt idx="0">
                  <c:v>0.97520661157024791</c:v>
                </c:pt>
                <c:pt idx="1">
                  <c:v>0.96240601503759393</c:v>
                </c:pt>
                <c:pt idx="2">
                  <c:v>0.98571428571428577</c:v>
                </c:pt>
                <c:pt idx="3">
                  <c:v>0.99319727891156462</c:v>
                </c:pt>
                <c:pt idx="4">
                  <c:v>0.9668874172185431</c:v>
                </c:pt>
              </c:numCache>
            </c:numRef>
          </c:val>
          <c:smooth val="0"/>
          <c:extLst>
            <c:ext xmlns:c16="http://schemas.microsoft.com/office/drawing/2014/chart" uri="{C3380CC4-5D6E-409C-BE32-E72D297353CC}">
              <c16:uniqueId val="{00000008-F757-41D5-A1BA-5042AF4DC6A0}"/>
            </c:ext>
          </c:extLst>
        </c:ser>
        <c:ser>
          <c:idx val="13"/>
          <c:order val="8"/>
          <c:tx>
            <c:strRef>
              <c:f>Care_Leavers!$AK$46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Care_Leavers!$Y$2:$AC$3</c:f>
              <c:strCache>
                <c:ptCount val="5"/>
                <c:pt idx="0">
                  <c:v>2019/20</c:v>
                </c:pt>
                <c:pt idx="1">
                  <c:v>2020/21</c:v>
                </c:pt>
                <c:pt idx="2">
                  <c:v>2021/22</c:v>
                </c:pt>
                <c:pt idx="3">
                  <c:v>2022/23</c:v>
                </c:pt>
                <c:pt idx="4">
                  <c:v>2023/24</c:v>
                </c:pt>
              </c:strCache>
            </c:strRef>
          </c:cat>
          <c:val>
            <c:numRef>
              <c:f>Care_Leavers!$AR$46:$AV$46</c:f>
              <c:numCache>
                <c:formatCode>0.0%</c:formatCode>
                <c:ptCount val="5"/>
                <c:pt idx="0">
                  <c:v>0.89090909090909087</c:v>
                </c:pt>
                <c:pt idx="1">
                  <c:v>0.88888888888888884</c:v>
                </c:pt>
                <c:pt idx="2">
                  <c:v>0.93506493506493504</c:v>
                </c:pt>
                <c:pt idx="3">
                  <c:v>0.90532544378698221</c:v>
                </c:pt>
                <c:pt idx="4">
                  <c:v>0.92708333333333337</c:v>
                </c:pt>
              </c:numCache>
            </c:numRef>
          </c:val>
          <c:smooth val="0"/>
          <c:extLst>
            <c:ext xmlns:c16="http://schemas.microsoft.com/office/drawing/2014/chart" uri="{C3380CC4-5D6E-409C-BE32-E72D297353CC}">
              <c16:uniqueId val="{00000009-F757-41D5-A1BA-5042AF4DC6A0}"/>
            </c:ext>
          </c:extLst>
        </c:ser>
        <c:ser>
          <c:idx val="15"/>
          <c:order val="9"/>
          <c:tx>
            <c:strRef>
              <c:f>Care_Leavers!$AK$47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Care_Leavers!$Y$2:$AC$3</c:f>
              <c:strCache>
                <c:ptCount val="5"/>
                <c:pt idx="0">
                  <c:v>2019/20</c:v>
                </c:pt>
                <c:pt idx="1">
                  <c:v>2020/21</c:v>
                </c:pt>
                <c:pt idx="2">
                  <c:v>2021/22</c:v>
                </c:pt>
                <c:pt idx="3">
                  <c:v>2022/23</c:v>
                </c:pt>
                <c:pt idx="4">
                  <c:v>2023/24</c:v>
                </c:pt>
              </c:strCache>
            </c:strRef>
          </c:cat>
          <c:val>
            <c:numRef>
              <c:f>Care_Leavers!$AR$47:$AV$47</c:f>
              <c:numCache>
                <c:formatCode>0.0%</c:formatCode>
                <c:ptCount val="5"/>
                <c:pt idx="0">
                  <c:v>0.83848797250859108</c:v>
                </c:pt>
                <c:pt idx="1">
                  <c:v>0.88372093023255816</c:v>
                </c:pt>
                <c:pt idx="2">
                  <c:v>0.90963855421686746</c:v>
                </c:pt>
                <c:pt idx="3">
                  <c:v>0.92937853107344637</c:v>
                </c:pt>
                <c:pt idx="4">
                  <c:v>0.90180878552971577</c:v>
                </c:pt>
              </c:numCache>
            </c:numRef>
          </c:val>
          <c:smooth val="0"/>
          <c:extLst>
            <c:ext xmlns:c16="http://schemas.microsoft.com/office/drawing/2014/chart" uri="{C3380CC4-5D6E-409C-BE32-E72D297353CC}">
              <c16:uniqueId val="{0000000A-F757-41D5-A1BA-5042AF4DC6A0}"/>
            </c:ext>
          </c:extLst>
        </c:ser>
        <c:ser>
          <c:idx val="16"/>
          <c:order val="10"/>
          <c:tx>
            <c:strRef>
              <c:f>Care_Leavers!$AK$48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Care_Leavers!$AR$48:$AV$48</c:f>
              <c:numCache>
                <c:formatCode>0.0%</c:formatCode>
                <c:ptCount val="5"/>
                <c:pt idx="0">
                  <c:v>0.76470588235294112</c:v>
                </c:pt>
                <c:pt idx="1">
                  <c:v>0.77725118483412325</c:v>
                </c:pt>
                <c:pt idx="2">
                  <c:v>0.86486486486486491</c:v>
                </c:pt>
                <c:pt idx="3">
                  <c:v>0.88030888030888033</c:v>
                </c:pt>
                <c:pt idx="4">
                  <c:v>0.93013100436681218</c:v>
                </c:pt>
              </c:numCache>
            </c:numRef>
          </c:val>
          <c:smooth val="0"/>
          <c:extLst>
            <c:ext xmlns:c16="http://schemas.microsoft.com/office/drawing/2014/chart" uri="{C3380CC4-5D6E-409C-BE32-E72D297353CC}">
              <c16:uniqueId val="{0000000B-F757-41D5-A1BA-5042AF4DC6A0}"/>
            </c:ext>
          </c:extLst>
        </c:ser>
        <c:ser>
          <c:idx val="17"/>
          <c:order val="11"/>
          <c:tx>
            <c:strRef>
              <c:f>Care_Leavers!$AK$49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Care_Leavers!$Y$2:$AC$3</c:f>
              <c:strCache>
                <c:ptCount val="5"/>
                <c:pt idx="0">
                  <c:v>2019/20</c:v>
                </c:pt>
                <c:pt idx="1">
                  <c:v>2020/21</c:v>
                </c:pt>
                <c:pt idx="2">
                  <c:v>2021/22</c:v>
                </c:pt>
                <c:pt idx="3">
                  <c:v>2022/23</c:v>
                </c:pt>
                <c:pt idx="4">
                  <c:v>2023/24</c:v>
                </c:pt>
              </c:strCache>
            </c:strRef>
          </c:cat>
          <c:val>
            <c:numRef>
              <c:f>Care_Leavers!$AR$49:$AV$49</c:f>
              <c:numCache>
                <c:formatCode>0.0%</c:formatCode>
                <c:ptCount val="5"/>
                <c:pt idx="0">
                  <c:v>0.90099009900990101</c:v>
                </c:pt>
                <c:pt idx="1">
                  <c:v>0.98</c:v>
                </c:pt>
                <c:pt idx="2">
                  <c:v>0.90625</c:v>
                </c:pt>
                <c:pt idx="3">
                  <c:v>0.85217391304347823</c:v>
                </c:pt>
                <c:pt idx="4">
                  <c:v>0.8529411764705882</c:v>
                </c:pt>
              </c:numCache>
            </c:numRef>
          </c:val>
          <c:smooth val="0"/>
          <c:extLst>
            <c:ext xmlns:c16="http://schemas.microsoft.com/office/drawing/2014/chart" uri="{C3380CC4-5D6E-409C-BE32-E72D297353CC}">
              <c16:uniqueId val="{0000000C-F757-41D5-A1BA-5042AF4DC6A0}"/>
            </c:ext>
          </c:extLst>
        </c:ser>
        <c:ser>
          <c:idx val="19"/>
          <c:order val="12"/>
          <c:tx>
            <c:strRef>
              <c:f>Care_Leavers!$AK$50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Care_Leavers!$AR$50:$AV$50</c:f>
              <c:numCache>
                <c:formatCode>0.0%</c:formatCode>
                <c:ptCount val="5"/>
                <c:pt idx="0">
                  <c:v>0.90322580645161288</c:v>
                </c:pt>
                <c:pt idx="1">
                  <c:v>0.79</c:v>
                </c:pt>
                <c:pt idx="2">
                  <c:v>0.77894736842105261</c:v>
                </c:pt>
                <c:pt idx="3">
                  <c:v>0.78947368421052633</c:v>
                </c:pt>
                <c:pt idx="4">
                  <c:v>0.75</c:v>
                </c:pt>
              </c:numCache>
            </c:numRef>
          </c:val>
          <c:smooth val="0"/>
          <c:extLst>
            <c:ext xmlns:c16="http://schemas.microsoft.com/office/drawing/2014/chart" uri="{C3380CC4-5D6E-409C-BE32-E72D297353CC}">
              <c16:uniqueId val="{0000000D-F757-41D5-A1BA-5042AF4DC6A0}"/>
            </c:ext>
          </c:extLst>
        </c:ser>
        <c:ser>
          <c:idx val="20"/>
          <c:order val="13"/>
          <c:tx>
            <c:strRef>
              <c:f>Care_Leavers!$AK$51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Care_Leavers!$AR$51:$AV$51</c:f>
              <c:numCache>
                <c:formatCode>0.0%</c:formatCode>
                <c:ptCount val="5"/>
                <c:pt idx="0">
                  <c:v>0.90839694656488545</c:v>
                </c:pt>
                <c:pt idx="1">
                  <c:v>0.89436619718309862</c:v>
                </c:pt>
                <c:pt idx="2">
                  <c:v>0.88356164383561642</c:v>
                </c:pt>
                <c:pt idx="3">
                  <c:v>0.86956521739130432</c:v>
                </c:pt>
                <c:pt idx="4">
                  <c:v>0.86458333333333337</c:v>
                </c:pt>
              </c:numCache>
            </c:numRef>
          </c:val>
          <c:smooth val="0"/>
          <c:extLst>
            <c:ext xmlns:c16="http://schemas.microsoft.com/office/drawing/2014/chart" uri="{C3380CC4-5D6E-409C-BE32-E72D297353CC}">
              <c16:uniqueId val="{0000000F-F757-41D5-A1BA-5042AF4DC6A0}"/>
            </c:ext>
          </c:extLst>
        </c:ser>
        <c:ser>
          <c:idx val="22"/>
          <c:order val="14"/>
          <c:tx>
            <c:strRef>
              <c:f>Care_Leavers!$AK$52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Care_Leavers!$AR$52:$AV$52</c:f>
              <c:numCache>
                <c:formatCode>0.0%</c:formatCode>
                <c:ptCount val="5"/>
                <c:pt idx="0">
                  <c:v>0.8132295719844358</c:v>
                </c:pt>
                <c:pt idx="1">
                  <c:v>0.85902255639097747</c:v>
                </c:pt>
                <c:pt idx="2">
                  <c:v>0.91697416974169743</c:v>
                </c:pt>
                <c:pt idx="3">
                  <c:v>0.946524064171123</c:v>
                </c:pt>
                <c:pt idx="4">
                  <c:v>0.93376413570274641</c:v>
                </c:pt>
              </c:numCache>
            </c:numRef>
          </c:val>
          <c:smooth val="0"/>
          <c:extLst>
            <c:ext xmlns:c16="http://schemas.microsoft.com/office/drawing/2014/chart" uri="{C3380CC4-5D6E-409C-BE32-E72D297353CC}">
              <c16:uniqueId val="{00000010-F757-41D5-A1BA-5042AF4DC6A0}"/>
            </c:ext>
          </c:extLst>
        </c:ser>
        <c:ser>
          <c:idx val="23"/>
          <c:order val="15"/>
          <c:tx>
            <c:strRef>
              <c:f>Care_Leavers!$AK$53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Care_Leavers!$Y$2:$AC$3</c:f>
              <c:strCache>
                <c:ptCount val="5"/>
                <c:pt idx="0">
                  <c:v>2019/20</c:v>
                </c:pt>
                <c:pt idx="1">
                  <c:v>2020/21</c:v>
                </c:pt>
                <c:pt idx="2">
                  <c:v>2021/22</c:v>
                </c:pt>
                <c:pt idx="3">
                  <c:v>2022/23</c:v>
                </c:pt>
                <c:pt idx="4">
                  <c:v>2023/24</c:v>
                </c:pt>
              </c:strCache>
            </c:strRef>
          </c:cat>
          <c:val>
            <c:numRef>
              <c:f>Care_Leavers!$AR$53:$AV$53</c:f>
              <c:numCache>
                <c:formatCode>0.0%</c:formatCode>
                <c:ptCount val="5"/>
                <c:pt idx="0">
                  <c:v>0.875</c:v>
                </c:pt>
                <c:pt idx="1">
                  <c:v>0.90361445783132532</c:v>
                </c:pt>
                <c:pt idx="2">
                  <c:v>0.91578947368421049</c:v>
                </c:pt>
                <c:pt idx="3">
                  <c:v>0.92307692307692313</c:v>
                </c:pt>
                <c:pt idx="4">
                  <c:v>0.87387387387387383</c:v>
                </c:pt>
              </c:numCache>
            </c:numRef>
          </c:val>
          <c:smooth val="0"/>
          <c:extLst>
            <c:ext xmlns:c16="http://schemas.microsoft.com/office/drawing/2014/chart" uri="{C3380CC4-5D6E-409C-BE32-E72D297353CC}">
              <c16:uniqueId val="{00000013-F757-41D5-A1BA-5042AF4DC6A0}"/>
            </c:ext>
          </c:extLst>
        </c:ser>
        <c:ser>
          <c:idx val="24"/>
          <c:order val="16"/>
          <c:tx>
            <c:strRef>
              <c:f>Care_Leavers!$AK$54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Care_Leavers!$Y$2:$AC$3</c:f>
              <c:strCache>
                <c:ptCount val="5"/>
                <c:pt idx="0">
                  <c:v>2019/20</c:v>
                </c:pt>
                <c:pt idx="1">
                  <c:v>2020/21</c:v>
                </c:pt>
                <c:pt idx="2">
                  <c:v>2021/22</c:v>
                </c:pt>
                <c:pt idx="3">
                  <c:v>2022/23</c:v>
                </c:pt>
                <c:pt idx="4">
                  <c:v>2023/24</c:v>
                </c:pt>
              </c:strCache>
            </c:strRef>
          </c:cat>
          <c:val>
            <c:numRef>
              <c:f>Care_Leavers!$AR$54:$AV$54</c:f>
              <c:numCache>
                <c:formatCode>0.0%</c:formatCode>
                <c:ptCount val="5"/>
                <c:pt idx="0">
                  <c:v>0.90243902439024393</c:v>
                </c:pt>
                <c:pt idx="1">
                  <c:v>0.87239583333333337</c:v>
                </c:pt>
                <c:pt idx="2">
                  <c:v>0.9375</c:v>
                </c:pt>
                <c:pt idx="3">
                  <c:v>0.94331065759637189</c:v>
                </c:pt>
                <c:pt idx="4">
                  <c:v>0.95643153526970959</c:v>
                </c:pt>
              </c:numCache>
            </c:numRef>
          </c:val>
          <c:smooth val="0"/>
          <c:extLst>
            <c:ext xmlns:c16="http://schemas.microsoft.com/office/drawing/2014/chart" uri="{C3380CC4-5D6E-409C-BE32-E72D297353CC}">
              <c16:uniqueId val="{00000014-F757-41D5-A1BA-5042AF4DC6A0}"/>
            </c:ext>
          </c:extLst>
        </c:ser>
        <c:ser>
          <c:idx val="25"/>
          <c:order val="17"/>
          <c:tx>
            <c:strRef>
              <c:f>Care_Leavers!$AK$55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Care_Leavers!$Y$2:$AC$3</c:f>
              <c:strCache>
                <c:ptCount val="5"/>
                <c:pt idx="0">
                  <c:v>2019/20</c:v>
                </c:pt>
                <c:pt idx="1">
                  <c:v>2020/21</c:v>
                </c:pt>
                <c:pt idx="2">
                  <c:v>2021/22</c:v>
                </c:pt>
                <c:pt idx="3">
                  <c:v>2022/23</c:v>
                </c:pt>
                <c:pt idx="4">
                  <c:v>2023/24</c:v>
                </c:pt>
              </c:strCache>
            </c:strRef>
          </c:cat>
          <c:val>
            <c:numRef>
              <c:f>Care_Leavers!$AR$55:$AV$55</c:f>
              <c:numCache>
                <c:formatCode>0.0%</c:formatCode>
                <c:ptCount val="5"/>
                <c:pt idx="0">
                  <c:v>0.8928571428571429</c:v>
                </c:pt>
                <c:pt idx="1">
                  <c:v>1</c:v>
                </c:pt>
                <c:pt idx="2">
                  <c:v>0.95522388059701491</c:v>
                </c:pt>
                <c:pt idx="3">
                  <c:v>0.93442622950819676</c:v>
                </c:pt>
                <c:pt idx="4">
                  <c:v>0.97014925373134331</c:v>
                </c:pt>
              </c:numCache>
            </c:numRef>
          </c:val>
          <c:smooth val="0"/>
          <c:extLst>
            <c:ext xmlns:c16="http://schemas.microsoft.com/office/drawing/2014/chart" uri="{C3380CC4-5D6E-409C-BE32-E72D297353CC}">
              <c16:uniqueId val="{00000015-F757-41D5-A1BA-5042AF4DC6A0}"/>
            </c:ext>
          </c:extLst>
        </c:ser>
        <c:ser>
          <c:idx val="26"/>
          <c:order val="18"/>
          <c:tx>
            <c:strRef>
              <c:f>Care_Leavers!$AK$56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Care_Leavers!$AR$56:$AV$56</c:f>
              <c:numCache>
                <c:formatCode>0.0%</c:formatCode>
                <c:ptCount val="5"/>
                <c:pt idx="0">
                  <c:v>0.98039215686274506</c:v>
                </c:pt>
                <c:pt idx="1">
                  <c:v>0.86440677966101698</c:v>
                </c:pt>
                <c:pt idx="2">
                  <c:v>0.83606557377049184</c:v>
                </c:pt>
                <c:pt idx="3">
                  <c:v>0.91666666666666663</c:v>
                </c:pt>
                <c:pt idx="4">
                  <c:v>0.96103896103896103</c:v>
                </c:pt>
              </c:numCache>
            </c:numRef>
          </c:val>
          <c:smooth val="0"/>
          <c:extLst>
            <c:ext xmlns:c16="http://schemas.microsoft.com/office/drawing/2014/chart" uri="{C3380CC4-5D6E-409C-BE32-E72D297353CC}">
              <c16:uniqueId val="{00000016-F757-41D5-A1BA-5042AF4DC6A0}"/>
            </c:ext>
          </c:extLst>
        </c:ser>
        <c:ser>
          <c:idx val="4"/>
          <c:order val="19"/>
          <c:tx>
            <c:strRef>
              <c:f>Care_Leavers!$AK$57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Care_Leavers!$AR$57:$AV$57</c:f>
              <c:numCache>
                <c:formatCode>0.0%</c:formatCode>
                <c:ptCount val="5"/>
                <c:pt idx="0">
                  <c:v>0.85886010362694298</c:v>
                </c:pt>
                <c:pt idx="1">
                  <c:v>0.87652281643609331</c:v>
                </c:pt>
                <c:pt idx="2">
                  <c:v>0.9</c:v>
                </c:pt>
                <c:pt idx="3">
                  <c:v>0.89966050546963405</c:v>
                </c:pt>
                <c:pt idx="4">
                  <c:v>0.84995507637017076</c:v>
                </c:pt>
              </c:numCache>
            </c:numRef>
          </c:val>
          <c:smooth val="0"/>
          <c:extLst>
            <c:ext xmlns:c16="http://schemas.microsoft.com/office/drawing/2014/chart" uri="{C3380CC4-5D6E-409C-BE32-E72D297353CC}">
              <c16:uniqueId val="{00000017-F757-41D5-A1BA-5042AF4DC6A0}"/>
            </c:ext>
          </c:extLst>
        </c:ser>
        <c:ser>
          <c:idx val="8"/>
          <c:order val="20"/>
          <c:tx>
            <c:strRef>
              <c:f>Care_Leavers!$B$129</c:f>
              <c:strCache>
                <c:ptCount val="1"/>
                <c:pt idx="0">
                  <c:v>England</c:v>
                </c:pt>
              </c:strCache>
            </c:strRef>
          </c:tx>
          <c:spPr>
            <a:ln w="19050">
              <a:solidFill>
                <a:schemeClr val="tx1">
                  <a:lumMod val="75000"/>
                  <a:lumOff val="25000"/>
                </a:schemeClr>
              </a:solidFill>
            </a:ln>
          </c:spPr>
          <c:marker>
            <c:symbol val="plus"/>
            <c:size val="7"/>
            <c:spPr>
              <a:ln>
                <a:solidFill>
                  <a:schemeClr val="tx1">
                    <a:lumMod val="75000"/>
                    <a:lumOff val="25000"/>
                  </a:schemeClr>
                </a:solidFill>
              </a:ln>
            </c:spPr>
          </c:marker>
          <c:cat>
            <c:strRef>
              <c:f>Care_Leavers!$Y$2:$AC$3</c:f>
              <c:strCache>
                <c:ptCount val="5"/>
                <c:pt idx="0">
                  <c:v>2019/20</c:v>
                </c:pt>
                <c:pt idx="1">
                  <c:v>2020/21</c:v>
                </c:pt>
                <c:pt idx="2">
                  <c:v>2021/22</c:v>
                </c:pt>
                <c:pt idx="3">
                  <c:v>2022/23</c:v>
                </c:pt>
                <c:pt idx="4">
                  <c:v>2023/24</c:v>
                </c:pt>
              </c:strCache>
            </c:strRef>
          </c:cat>
          <c:val>
            <c:numRef>
              <c:f>Care_Leavers!$D$129:$H$129</c:f>
              <c:numCache>
                <c:formatCode>0%</c:formatCode>
                <c:ptCount val="5"/>
                <c:pt idx="0">
                  <c:v>0.89763275751759442</c:v>
                </c:pt>
                <c:pt idx="1">
                  <c:v>0.9140413487570761</c:v>
                </c:pt>
                <c:pt idx="2">
                  <c:v>0.92110747246204228</c:v>
                </c:pt>
                <c:pt idx="3">
                  <c:v>0.92496392496392499</c:v>
                </c:pt>
                <c:pt idx="4">
                  <c:v>0.9188891943909816</c:v>
                </c:pt>
              </c:numCache>
            </c:numRef>
          </c:val>
          <c:smooth val="0"/>
          <c:extLst>
            <c:ext xmlns:c16="http://schemas.microsoft.com/office/drawing/2014/chart" uri="{C3380CC4-5D6E-409C-BE32-E72D297353CC}">
              <c16:uniqueId val="{00000002-D744-4426-BF8C-F6FA1F996CA1}"/>
            </c:ext>
          </c:extLst>
        </c:ser>
        <c:ser>
          <c:idx val="6"/>
          <c:order val="21"/>
          <c:tx>
            <c:strRef>
              <c:f>Care_Leavers!$AK$59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Care_Leavers!$Y$2:$AC$3</c:f>
              <c:strCache>
                <c:ptCount val="5"/>
                <c:pt idx="0">
                  <c:v>2019/20</c:v>
                </c:pt>
                <c:pt idx="1">
                  <c:v>2020/21</c:v>
                </c:pt>
                <c:pt idx="2">
                  <c:v>2021/22</c:v>
                </c:pt>
                <c:pt idx="3">
                  <c:v>2022/23</c:v>
                </c:pt>
                <c:pt idx="4">
                  <c:v>2023/24</c:v>
                </c:pt>
              </c:strCache>
            </c:strRef>
          </c:cat>
          <c:val>
            <c:numRef>
              <c:f>Care_Leavers!$AR$59:$AV$59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F757-41D5-A1BA-5042AF4DC6A0}"/>
            </c:ext>
          </c:extLst>
        </c:ser>
        <c:dLbls>
          <c:showLegendKey val="0"/>
          <c:showVal val="0"/>
          <c:showCatName val="0"/>
          <c:showSerName val="0"/>
          <c:showPercent val="0"/>
          <c:showBubbleSize val="0"/>
        </c:dLbls>
        <c:marker val="1"/>
        <c:smooth val="0"/>
        <c:axId val="625238400"/>
        <c:axId val="625240320"/>
      </c:lineChart>
      <c:catAx>
        <c:axId val="625238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25240320"/>
        <c:crosses val="autoZero"/>
        <c:auto val="1"/>
        <c:lblAlgn val="ctr"/>
        <c:lblOffset val="100"/>
        <c:tickLblSkip val="1"/>
        <c:tickMarkSkip val="1"/>
        <c:noMultiLvlLbl val="0"/>
      </c:catAx>
      <c:valAx>
        <c:axId val="625240320"/>
        <c:scaling>
          <c:orientation val="minMax"/>
          <c:max val="1.05"/>
          <c:min val="0"/>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25238400"/>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7109092691214423"/>
          <c:y val="7.5190870500600387E-2"/>
          <c:w val="0.30668096366003028"/>
          <c:h val="0.9075096743511625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Care leavers aged 19-21 who were EET</a:t>
            </a:r>
          </a:p>
          <a:p>
            <a:pPr>
              <a:defRPr sz="1100" b="1" i="0" u="none" strike="noStrike" baseline="0">
                <a:solidFill>
                  <a:srgbClr val="000000"/>
                </a:solidFill>
                <a:latin typeface="Arial"/>
                <a:ea typeface="Arial"/>
                <a:cs typeface="Arial"/>
              </a:defRPr>
            </a:pPr>
            <a:r>
              <a:rPr lang="en-GB" sz="1100"/>
              <a:t>(Selected LA</a:t>
            </a:r>
            <a:r>
              <a:rPr lang="en-GB" sz="1100" baseline="0"/>
              <a:t> vs. SE)</a:t>
            </a:r>
            <a:r>
              <a:rPr lang="en-GB" sz="1100"/>
              <a:t> </a:t>
            </a:r>
          </a:p>
        </c:rich>
      </c:tx>
      <c:layout>
        <c:manualLayout>
          <c:xMode val="edge"/>
          <c:yMode val="edge"/>
          <c:x val="0.15417745509084091"/>
          <c:y val="3.8614685359452021E-3"/>
        </c:manualLayout>
      </c:layout>
      <c:overlay val="0"/>
      <c:spPr>
        <a:noFill/>
        <a:ln w="25400">
          <a:noFill/>
        </a:ln>
      </c:spPr>
    </c:title>
    <c:autoTitleDeleted val="0"/>
    <c:plotArea>
      <c:layout>
        <c:manualLayout>
          <c:layoutTarget val="inner"/>
          <c:xMode val="edge"/>
          <c:yMode val="edge"/>
          <c:x val="9.8666564984461691E-2"/>
          <c:y val="0.23414806876951033"/>
          <c:w val="0.62957251630674882"/>
          <c:h val="0.55198931494509929"/>
        </c:manualLayout>
      </c:layout>
      <c:barChart>
        <c:barDir val="col"/>
        <c:grouping val="clustered"/>
        <c:varyColors val="0"/>
        <c:ser>
          <c:idx val="6"/>
          <c:order val="0"/>
          <c:tx>
            <c:strRef>
              <c:f>Care_Leavers!$Z$4</c:f>
              <c:strCache>
                <c:ptCount val="1"/>
                <c:pt idx="0">
                  <c:v>Selected LA- (none)</c:v>
                </c:pt>
              </c:strCache>
            </c:strRef>
          </c:tx>
          <c:spPr>
            <a:solidFill>
              <a:srgbClr val="66FF99"/>
            </a:solidFill>
            <a:ln>
              <a:solidFill>
                <a:schemeClr val="tx1">
                  <a:lumMod val="75000"/>
                  <a:lumOff val="25000"/>
                </a:schemeClr>
              </a:solidFill>
            </a:ln>
          </c:spPr>
          <c:invertIfNegative val="0"/>
          <c:cat>
            <c:strRef>
              <c:f>Care_Leavers!$D$173:$H$173</c:f>
              <c:strCache>
                <c:ptCount val="5"/>
                <c:pt idx="0">
                  <c:v>2019/20</c:v>
                </c:pt>
                <c:pt idx="1">
                  <c:v>2020/21</c:v>
                </c:pt>
                <c:pt idx="2">
                  <c:v>2021/22</c:v>
                </c:pt>
                <c:pt idx="3">
                  <c:v>2022/23</c:v>
                </c:pt>
                <c:pt idx="4">
                  <c:v>2023/24</c:v>
                </c:pt>
              </c:strCache>
            </c:strRef>
          </c:cat>
          <c:val>
            <c:numRef>
              <c:f>Care_Leavers!$BB$59:$BF$59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5122-4ACC-825B-566E1F812505}"/>
            </c:ext>
          </c:extLst>
        </c:ser>
        <c:ser>
          <c:idx val="4"/>
          <c:order val="1"/>
          <c:tx>
            <c:strRef>
              <c:f>Care_Leavers!$B$161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Care_Leavers!$D$173:$H$173</c:f>
              <c:strCache>
                <c:ptCount val="5"/>
                <c:pt idx="0">
                  <c:v>2019/20</c:v>
                </c:pt>
                <c:pt idx="1">
                  <c:v>2020/21</c:v>
                </c:pt>
                <c:pt idx="2">
                  <c:v>2021/22</c:v>
                </c:pt>
                <c:pt idx="3">
                  <c:v>2022/23</c:v>
                </c:pt>
                <c:pt idx="4">
                  <c:v>2023/24</c:v>
                </c:pt>
              </c:strCache>
            </c:strRef>
          </c:cat>
          <c:val>
            <c:numRef>
              <c:f>Care_Leavers!$D$194:$H$194</c:f>
              <c:numCache>
                <c:formatCode>0%</c:formatCode>
                <c:ptCount val="5"/>
                <c:pt idx="0">
                  <c:v>0.53264248704663208</c:v>
                </c:pt>
                <c:pt idx="1">
                  <c:v>0.51063390460458391</c:v>
                </c:pt>
                <c:pt idx="2">
                  <c:v>0.56686507936507935</c:v>
                </c:pt>
                <c:pt idx="3">
                  <c:v>0.56603773584905659</c:v>
                </c:pt>
                <c:pt idx="4">
                  <c:v>0.51166965888689409</c:v>
                </c:pt>
              </c:numCache>
            </c:numRef>
          </c:val>
          <c:extLst>
            <c:ext xmlns:c16="http://schemas.microsoft.com/office/drawing/2014/chart" uri="{C3380CC4-5D6E-409C-BE32-E72D297353CC}">
              <c16:uniqueId val="{00000001-5122-4ACC-825B-566E1F812505}"/>
            </c:ext>
          </c:extLst>
        </c:ser>
        <c:ser>
          <c:idx val="0"/>
          <c:order val="2"/>
          <c:tx>
            <c:strRef>
              <c:f>Care_Leavers!$B$195</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Care_Leavers!$D$173:$H$173</c:f>
              <c:strCache>
                <c:ptCount val="5"/>
                <c:pt idx="0">
                  <c:v>2019/20</c:v>
                </c:pt>
                <c:pt idx="1">
                  <c:v>2020/21</c:v>
                </c:pt>
                <c:pt idx="2">
                  <c:v>2021/22</c:v>
                </c:pt>
                <c:pt idx="3">
                  <c:v>2022/23</c:v>
                </c:pt>
                <c:pt idx="4">
                  <c:v>2023/24</c:v>
                </c:pt>
              </c:strCache>
            </c:strRef>
          </c:cat>
          <c:val>
            <c:numRef>
              <c:f>Care_Leavers!$D$195:$H$195</c:f>
              <c:numCache>
                <c:formatCode>0%</c:formatCode>
                <c:ptCount val="5"/>
                <c:pt idx="0">
                  <c:v>0.52591170825335898</c:v>
                </c:pt>
                <c:pt idx="1">
                  <c:v>0.51993600787595373</c:v>
                </c:pt>
                <c:pt idx="2">
                  <c:v>0.55403393867222384</c:v>
                </c:pt>
                <c:pt idx="3">
                  <c:v>0.55930735930735931</c:v>
                </c:pt>
                <c:pt idx="4">
                  <c:v>0.53753093208688485</c:v>
                </c:pt>
              </c:numCache>
            </c:numRef>
          </c:val>
          <c:extLst>
            <c:ext xmlns:c16="http://schemas.microsoft.com/office/drawing/2014/chart" uri="{C3380CC4-5D6E-409C-BE32-E72D297353CC}">
              <c16:uniqueId val="{00000001-40E2-4239-89B0-3EBE9C0FAB1E}"/>
            </c:ext>
          </c:extLst>
        </c:ser>
        <c:dLbls>
          <c:showLegendKey val="0"/>
          <c:showVal val="0"/>
          <c:showCatName val="0"/>
          <c:showSerName val="0"/>
          <c:showPercent val="0"/>
          <c:showBubbleSize val="0"/>
        </c:dLbls>
        <c:gapWidth val="100"/>
        <c:axId val="625265664"/>
        <c:axId val="625357568"/>
      </c:barChart>
      <c:catAx>
        <c:axId val="625265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25357568"/>
        <c:crosses val="autoZero"/>
        <c:auto val="1"/>
        <c:lblAlgn val="ctr"/>
        <c:lblOffset val="100"/>
        <c:noMultiLvlLbl val="0"/>
      </c:catAx>
      <c:valAx>
        <c:axId val="625357568"/>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25265664"/>
        <c:crosses val="autoZero"/>
        <c:crossBetween val="between"/>
      </c:valAx>
      <c:spPr>
        <a:noFill/>
        <a:ln w="3175">
          <a:solidFill>
            <a:srgbClr val="000000"/>
          </a:solidFill>
          <a:prstDash val="solid"/>
        </a:ln>
      </c:spPr>
    </c:plotArea>
    <c:legend>
      <c:legendPos val="r"/>
      <c:layout>
        <c:manualLayout>
          <c:xMode val="edge"/>
          <c:yMode val="edge"/>
          <c:x val="0.7358493802136119"/>
          <c:y val="0.21128213811983179"/>
          <c:w val="0.2641506197863881"/>
          <c:h val="0.57783368542346836"/>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Care leavers aged 19-21 who were in Employment,</a:t>
            </a:r>
            <a:r>
              <a:rPr lang="en-GB" sz="1100" baseline="0"/>
              <a:t> Education or Training (EET)</a:t>
            </a:r>
            <a:endParaRPr lang="en-GB" sz="1100"/>
          </a:p>
        </c:rich>
      </c:tx>
      <c:layout>
        <c:manualLayout>
          <c:xMode val="edge"/>
          <c:yMode val="edge"/>
          <c:x val="0.1365653980752406"/>
          <c:y val="8.2114021543378702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37915654714237"/>
        </c:manualLayout>
      </c:layout>
      <c:lineChart>
        <c:grouping val="standard"/>
        <c:varyColors val="0"/>
        <c:ser>
          <c:idx val="0"/>
          <c:order val="0"/>
          <c:tx>
            <c:strRef>
              <c:f>Care_Leavers!$AK$38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D9F0-4D3B-B980-60AB198140B0}"/>
              </c:ext>
            </c:extLst>
          </c:dPt>
          <c:cat>
            <c:strRef>
              <c:f>Care_Leavers!$Y$2:$AC$3</c:f>
              <c:strCache>
                <c:ptCount val="5"/>
                <c:pt idx="0">
                  <c:v>2019/20</c:v>
                </c:pt>
                <c:pt idx="1">
                  <c:v>2020/21</c:v>
                </c:pt>
                <c:pt idx="2">
                  <c:v>2021/22</c:v>
                </c:pt>
                <c:pt idx="3">
                  <c:v>2022/23</c:v>
                </c:pt>
                <c:pt idx="4">
                  <c:v>2023/24</c:v>
                </c:pt>
              </c:strCache>
            </c:strRef>
          </c:cat>
          <c:val>
            <c:numRef>
              <c:f>Care_Leavers!$BB$38:$BF$38</c:f>
              <c:numCache>
                <c:formatCode>0.0%</c:formatCode>
                <c:ptCount val="5"/>
                <c:pt idx="0">
                  <c:v>0.50877192982456143</c:v>
                </c:pt>
                <c:pt idx="1">
                  <c:v>0.41666666666666669</c:v>
                </c:pt>
                <c:pt idx="2">
                  <c:v>0.54385964912280704</c:v>
                </c:pt>
                <c:pt idx="3">
                  <c:v>0.56944444444444442</c:v>
                </c:pt>
                <c:pt idx="4">
                  <c:v>0.54054054054054057</c:v>
                </c:pt>
              </c:numCache>
            </c:numRef>
          </c:val>
          <c:smooth val="0"/>
          <c:extLst>
            <c:ext xmlns:c16="http://schemas.microsoft.com/office/drawing/2014/chart" uri="{C3380CC4-5D6E-409C-BE32-E72D297353CC}">
              <c16:uniqueId val="{00000001-D9F0-4D3B-B980-60AB198140B0}"/>
            </c:ext>
          </c:extLst>
        </c:ser>
        <c:ser>
          <c:idx val="1"/>
          <c:order val="1"/>
          <c:tx>
            <c:strRef>
              <c:f>Care_Leavers!$AK$39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Care_Leavers!$BB$39:$BF$39</c:f>
              <c:numCache>
                <c:formatCode>0.0%</c:formatCode>
                <c:ptCount val="5"/>
                <c:pt idx="0">
                  <c:v>0.68558951965065507</c:v>
                </c:pt>
                <c:pt idx="1">
                  <c:v>0.64253393665158376</c:v>
                </c:pt>
                <c:pt idx="2">
                  <c:v>0.71363636363636362</c:v>
                </c:pt>
                <c:pt idx="3">
                  <c:v>0.65550239234449759</c:v>
                </c:pt>
                <c:pt idx="4">
                  <c:v>0.64253393665158376</c:v>
                </c:pt>
              </c:numCache>
            </c:numRef>
          </c:val>
          <c:smooth val="0"/>
          <c:extLst>
            <c:ext xmlns:c16="http://schemas.microsoft.com/office/drawing/2014/chart" uri="{C3380CC4-5D6E-409C-BE32-E72D297353CC}">
              <c16:uniqueId val="{00000002-D9F0-4D3B-B980-60AB198140B0}"/>
            </c:ext>
          </c:extLst>
        </c:ser>
        <c:ser>
          <c:idx val="2"/>
          <c:order val="2"/>
          <c:tx>
            <c:strRef>
              <c:f>Care_Leavers!$AK$40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Care_Leavers!$BB$40:$BF$40</c:f>
              <c:numCache>
                <c:formatCode>0.0%</c:formatCode>
                <c:ptCount val="5"/>
                <c:pt idx="0">
                  <c:v>0.4845360824742268</c:v>
                </c:pt>
                <c:pt idx="1">
                  <c:v>0.53623188405797106</c:v>
                </c:pt>
                <c:pt idx="2">
                  <c:v>0.61637931034482762</c:v>
                </c:pt>
                <c:pt idx="3">
                  <c:v>0.64372469635627527</c:v>
                </c:pt>
                <c:pt idx="4">
                  <c:v>0.51440329218106995</c:v>
                </c:pt>
              </c:numCache>
            </c:numRef>
          </c:val>
          <c:smooth val="0"/>
          <c:extLst>
            <c:ext xmlns:c16="http://schemas.microsoft.com/office/drawing/2014/chart" uri="{C3380CC4-5D6E-409C-BE32-E72D297353CC}">
              <c16:uniqueId val="{00000003-D9F0-4D3B-B980-60AB198140B0}"/>
            </c:ext>
          </c:extLst>
        </c:ser>
        <c:ser>
          <c:idx val="5"/>
          <c:order val="3"/>
          <c:tx>
            <c:strRef>
              <c:f>Care_Leavers!$AK$41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Care_Leavers!$BB$41:$BF$41</c:f>
              <c:numCache>
                <c:formatCode>0.0%</c:formatCode>
                <c:ptCount val="5"/>
                <c:pt idx="0">
                  <c:v>0.52763819095477382</c:v>
                </c:pt>
                <c:pt idx="1">
                  <c:v>0.46296296296296297</c:v>
                </c:pt>
                <c:pt idx="2">
                  <c:v>0.5491071428571429</c:v>
                </c:pt>
                <c:pt idx="3">
                  <c:v>0.5587044534412956</c:v>
                </c:pt>
                <c:pt idx="4">
                  <c:v>0.58052434456928836</c:v>
                </c:pt>
              </c:numCache>
            </c:numRef>
          </c:val>
          <c:smooth val="0"/>
          <c:extLst>
            <c:ext xmlns:c16="http://schemas.microsoft.com/office/drawing/2014/chart" uri="{C3380CC4-5D6E-409C-BE32-E72D297353CC}">
              <c16:uniqueId val="{00000004-D9F0-4D3B-B980-60AB198140B0}"/>
            </c:ext>
          </c:extLst>
        </c:ser>
        <c:ser>
          <c:idx val="9"/>
          <c:order val="4"/>
          <c:tx>
            <c:strRef>
              <c:f>Care_Leavers!$AK$42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Care_Leavers!$BB$42:$BF$42</c:f>
              <c:numCache>
                <c:formatCode>0.0%</c:formatCode>
                <c:ptCount val="5"/>
                <c:pt idx="0">
                  <c:v>0.51361161524500909</c:v>
                </c:pt>
                <c:pt idx="1">
                  <c:v>0.52969502407704649</c:v>
                </c:pt>
                <c:pt idx="2">
                  <c:v>0.55716353111432704</c:v>
                </c:pt>
                <c:pt idx="3">
                  <c:v>0.5056338028169014</c:v>
                </c:pt>
                <c:pt idx="4">
                  <c:v>0.21518987341772153</c:v>
                </c:pt>
              </c:numCache>
            </c:numRef>
          </c:val>
          <c:smooth val="0"/>
          <c:extLst>
            <c:ext xmlns:c16="http://schemas.microsoft.com/office/drawing/2014/chart" uri="{C3380CC4-5D6E-409C-BE32-E72D297353CC}">
              <c16:uniqueId val="{00000005-D9F0-4D3B-B980-60AB198140B0}"/>
            </c:ext>
          </c:extLst>
        </c:ser>
        <c:ser>
          <c:idx val="10"/>
          <c:order val="5"/>
          <c:tx>
            <c:strRef>
              <c:f>Care_Leavers!$AK$43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Care_Leavers!$Y$2:$AC$3</c:f>
              <c:strCache>
                <c:ptCount val="5"/>
                <c:pt idx="0">
                  <c:v>2019/20</c:v>
                </c:pt>
                <c:pt idx="1">
                  <c:v>2020/21</c:v>
                </c:pt>
                <c:pt idx="2">
                  <c:v>2021/22</c:v>
                </c:pt>
                <c:pt idx="3">
                  <c:v>2022/23</c:v>
                </c:pt>
                <c:pt idx="4">
                  <c:v>2023/24</c:v>
                </c:pt>
              </c:strCache>
            </c:strRef>
          </c:cat>
          <c:val>
            <c:numRef>
              <c:f>Care_Leavers!$BB$43:$BF$43</c:f>
              <c:numCache>
                <c:formatCode>0.0%</c:formatCode>
                <c:ptCount val="5"/>
                <c:pt idx="0">
                  <c:v>0.63218390804597702</c:v>
                </c:pt>
                <c:pt idx="1">
                  <c:v>0.66265060240963858</c:v>
                </c:pt>
                <c:pt idx="2">
                  <c:v>0.67123287671232879</c:v>
                </c:pt>
                <c:pt idx="3">
                  <c:v>0.71052631578947367</c:v>
                </c:pt>
                <c:pt idx="4">
                  <c:v>0.68131868131868134</c:v>
                </c:pt>
              </c:numCache>
            </c:numRef>
          </c:val>
          <c:smooth val="0"/>
          <c:extLst>
            <c:ext xmlns:c16="http://schemas.microsoft.com/office/drawing/2014/chart" uri="{C3380CC4-5D6E-409C-BE32-E72D297353CC}">
              <c16:uniqueId val="{00000006-D9F0-4D3B-B980-60AB198140B0}"/>
            </c:ext>
          </c:extLst>
        </c:ser>
        <c:ser>
          <c:idx val="11"/>
          <c:order val="6"/>
          <c:tx>
            <c:strRef>
              <c:f>Care_Leavers!$AK$44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Care_Leavers!$Y$2:$AC$3</c:f>
              <c:strCache>
                <c:ptCount val="5"/>
                <c:pt idx="0">
                  <c:v>2019/20</c:v>
                </c:pt>
                <c:pt idx="1">
                  <c:v>2020/21</c:v>
                </c:pt>
                <c:pt idx="2">
                  <c:v>2021/22</c:v>
                </c:pt>
                <c:pt idx="3">
                  <c:v>2022/23</c:v>
                </c:pt>
                <c:pt idx="4">
                  <c:v>2023/24</c:v>
                </c:pt>
              </c:strCache>
            </c:strRef>
          </c:cat>
          <c:val>
            <c:numRef>
              <c:f>Care_Leavers!$BB$44:$BF$44</c:f>
              <c:numCache>
                <c:formatCode>0.0%</c:formatCode>
                <c:ptCount val="5"/>
                <c:pt idx="0">
                  <c:v>0.54013015184381774</c:v>
                </c:pt>
                <c:pt idx="1">
                  <c:v>0.50042553191489358</c:v>
                </c:pt>
                <c:pt idx="2">
                  <c:v>0.53668941979522189</c:v>
                </c:pt>
                <c:pt idx="3">
                  <c:v>0.56425041186161451</c:v>
                </c:pt>
                <c:pt idx="4">
                  <c:v>0.55195344970906068</c:v>
                </c:pt>
              </c:numCache>
            </c:numRef>
          </c:val>
          <c:smooth val="0"/>
          <c:extLst>
            <c:ext xmlns:c16="http://schemas.microsoft.com/office/drawing/2014/chart" uri="{C3380CC4-5D6E-409C-BE32-E72D297353CC}">
              <c16:uniqueId val="{00000007-D9F0-4D3B-B980-60AB198140B0}"/>
            </c:ext>
          </c:extLst>
        </c:ser>
        <c:ser>
          <c:idx val="12"/>
          <c:order val="7"/>
          <c:tx>
            <c:strRef>
              <c:f>Care_Leavers!$AK$45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Care_Leavers!$BB$45:$BF$45</c:f>
              <c:numCache>
                <c:formatCode>0.0%</c:formatCode>
                <c:ptCount val="5"/>
                <c:pt idx="0">
                  <c:v>0.47933884297520662</c:v>
                </c:pt>
                <c:pt idx="1">
                  <c:v>0.45112781954887216</c:v>
                </c:pt>
                <c:pt idx="2">
                  <c:v>0.55714285714285716</c:v>
                </c:pt>
                <c:pt idx="3">
                  <c:v>0.5714285714285714</c:v>
                </c:pt>
                <c:pt idx="4">
                  <c:v>0.49668874172185429</c:v>
                </c:pt>
              </c:numCache>
            </c:numRef>
          </c:val>
          <c:smooth val="0"/>
          <c:extLst>
            <c:ext xmlns:c16="http://schemas.microsoft.com/office/drawing/2014/chart" uri="{C3380CC4-5D6E-409C-BE32-E72D297353CC}">
              <c16:uniqueId val="{00000008-D9F0-4D3B-B980-60AB198140B0}"/>
            </c:ext>
          </c:extLst>
        </c:ser>
        <c:ser>
          <c:idx val="13"/>
          <c:order val="8"/>
          <c:tx>
            <c:strRef>
              <c:f>Care_Leavers!$AK$46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Care_Leavers!$Y$2:$AC$3</c:f>
              <c:strCache>
                <c:ptCount val="5"/>
                <c:pt idx="0">
                  <c:v>2019/20</c:v>
                </c:pt>
                <c:pt idx="1">
                  <c:v>2020/21</c:v>
                </c:pt>
                <c:pt idx="2">
                  <c:v>2021/22</c:v>
                </c:pt>
                <c:pt idx="3">
                  <c:v>2022/23</c:v>
                </c:pt>
                <c:pt idx="4">
                  <c:v>2023/24</c:v>
                </c:pt>
              </c:strCache>
            </c:strRef>
          </c:cat>
          <c:val>
            <c:numRef>
              <c:f>Care_Leavers!$BB$46:$BF$46</c:f>
              <c:numCache>
                <c:formatCode>0.0%</c:formatCode>
                <c:ptCount val="5"/>
                <c:pt idx="0">
                  <c:v>0.40606060606060607</c:v>
                </c:pt>
                <c:pt idx="1">
                  <c:v>0.45751633986928103</c:v>
                </c:pt>
                <c:pt idx="2">
                  <c:v>0.51298701298701299</c:v>
                </c:pt>
                <c:pt idx="3">
                  <c:v>0.52071005917159763</c:v>
                </c:pt>
                <c:pt idx="4">
                  <c:v>0.58854166666666663</c:v>
                </c:pt>
              </c:numCache>
            </c:numRef>
          </c:val>
          <c:smooth val="0"/>
          <c:extLst>
            <c:ext xmlns:c16="http://schemas.microsoft.com/office/drawing/2014/chart" uri="{C3380CC4-5D6E-409C-BE32-E72D297353CC}">
              <c16:uniqueId val="{00000009-D9F0-4D3B-B980-60AB198140B0}"/>
            </c:ext>
          </c:extLst>
        </c:ser>
        <c:ser>
          <c:idx val="15"/>
          <c:order val="9"/>
          <c:tx>
            <c:strRef>
              <c:f>Care_Leavers!$AK$47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Care_Leavers!$Y$2:$AC$3</c:f>
              <c:strCache>
                <c:ptCount val="5"/>
                <c:pt idx="0">
                  <c:v>2019/20</c:v>
                </c:pt>
                <c:pt idx="1">
                  <c:v>2020/21</c:v>
                </c:pt>
                <c:pt idx="2">
                  <c:v>2021/22</c:v>
                </c:pt>
                <c:pt idx="3">
                  <c:v>2022/23</c:v>
                </c:pt>
                <c:pt idx="4">
                  <c:v>2023/24</c:v>
                </c:pt>
              </c:strCache>
            </c:strRef>
          </c:cat>
          <c:val>
            <c:numRef>
              <c:f>Care_Leavers!$BB$47:$BF$47</c:f>
              <c:numCache>
                <c:formatCode>0.0%</c:formatCode>
                <c:ptCount val="5"/>
                <c:pt idx="0">
                  <c:v>0.45704467353951889</c:v>
                </c:pt>
                <c:pt idx="1">
                  <c:v>0.46843853820598008</c:v>
                </c:pt>
                <c:pt idx="2">
                  <c:v>0.55421686746987953</c:v>
                </c:pt>
                <c:pt idx="3">
                  <c:v>0.57627118644067798</c:v>
                </c:pt>
                <c:pt idx="4">
                  <c:v>0.60723514211886309</c:v>
                </c:pt>
              </c:numCache>
            </c:numRef>
          </c:val>
          <c:smooth val="0"/>
          <c:extLst>
            <c:ext xmlns:c16="http://schemas.microsoft.com/office/drawing/2014/chart" uri="{C3380CC4-5D6E-409C-BE32-E72D297353CC}">
              <c16:uniqueId val="{0000000A-D9F0-4D3B-B980-60AB198140B0}"/>
            </c:ext>
          </c:extLst>
        </c:ser>
        <c:ser>
          <c:idx val="16"/>
          <c:order val="10"/>
          <c:tx>
            <c:strRef>
              <c:f>Care_Leavers!$AK$48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Care_Leavers!$BB$48:$BF$48</c:f>
              <c:numCache>
                <c:formatCode>0.0%</c:formatCode>
                <c:ptCount val="5"/>
                <c:pt idx="0">
                  <c:v>0.50326797385620914</c:v>
                </c:pt>
                <c:pt idx="1">
                  <c:v>0.46445497630331756</c:v>
                </c:pt>
                <c:pt idx="2">
                  <c:v>0.55212355212355213</c:v>
                </c:pt>
                <c:pt idx="3">
                  <c:v>0.54054054054054057</c:v>
                </c:pt>
                <c:pt idx="4">
                  <c:v>0.51528384279475981</c:v>
                </c:pt>
              </c:numCache>
            </c:numRef>
          </c:val>
          <c:smooth val="0"/>
          <c:extLst>
            <c:ext xmlns:c16="http://schemas.microsoft.com/office/drawing/2014/chart" uri="{C3380CC4-5D6E-409C-BE32-E72D297353CC}">
              <c16:uniqueId val="{0000000B-D9F0-4D3B-B980-60AB198140B0}"/>
            </c:ext>
          </c:extLst>
        </c:ser>
        <c:ser>
          <c:idx val="17"/>
          <c:order val="11"/>
          <c:tx>
            <c:strRef>
              <c:f>Care_Leavers!$AK$49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Care_Leavers!$Y$2:$AC$3</c:f>
              <c:strCache>
                <c:ptCount val="5"/>
                <c:pt idx="0">
                  <c:v>2019/20</c:v>
                </c:pt>
                <c:pt idx="1">
                  <c:v>2020/21</c:v>
                </c:pt>
                <c:pt idx="2">
                  <c:v>2021/22</c:v>
                </c:pt>
                <c:pt idx="3">
                  <c:v>2022/23</c:v>
                </c:pt>
                <c:pt idx="4">
                  <c:v>2023/24</c:v>
                </c:pt>
              </c:strCache>
            </c:strRef>
          </c:cat>
          <c:val>
            <c:numRef>
              <c:f>Care_Leavers!$BB$49:$BF$49</c:f>
              <c:numCache>
                <c:formatCode>0.0%</c:formatCode>
                <c:ptCount val="5"/>
                <c:pt idx="0">
                  <c:v>0.46534653465346537</c:v>
                </c:pt>
                <c:pt idx="1">
                  <c:v>0.4</c:v>
                </c:pt>
                <c:pt idx="2">
                  <c:v>0.51041666666666663</c:v>
                </c:pt>
                <c:pt idx="3">
                  <c:v>0.5043478260869565</c:v>
                </c:pt>
                <c:pt idx="4">
                  <c:v>0.43382352941176472</c:v>
                </c:pt>
              </c:numCache>
            </c:numRef>
          </c:val>
          <c:smooth val="0"/>
          <c:extLst>
            <c:ext xmlns:c16="http://schemas.microsoft.com/office/drawing/2014/chart" uri="{C3380CC4-5D6E-409C-BE32-E72D297353CC}">
              <c16:uniqueId val="{0000000C-D9F0-4D3B-B980-60AB198140B0}"/>
            </c:ext>
          </c:extLst>
        </c:ser>
        <c:ser>
          <c:idx val="19"/>
          <c:order val="12"/>
          <c:tx>
            <c:strRef>
              <c:f>Care_Leavers!$AK$50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Care_Leavers!$BB$50:$BF$50</c:f>
              <c:numCache>
                <c:formatCode>0.0%</c:formatCode>
                <c:ptCount val="5"/>
                <c:pt idx="0">
                  <c:v>0.63440860215053763</c:v>
                </c:pt>
                <c:pt idx="1">
                  <c:v>0.49</c:v>
                </c:pt>
                <c:pt idx="2">
                  <c:v>0.51578947368421058</c:v>
                </c:pt>
                <c:pt idx="3">
                  <c:v>0.49473684210526314</c:v>
                </c:pt>
                <c:pt idx="4">
                  <c:v>0.4375</c:v>
                </c:pt>
              </c:numCache>
            </c:numRef>
          </c:val>
          <c:smooth val="0"/>
          <c:extLst>
            <c:ext xmlns:c16="http://schemas.microsoft.com/office/drawing/2014/chart" uri="{C3380CC4-5D6E-409C-BE32-E72D297353CC}">
              <c16:uniqueId val="{0000000D-D9F0-4D3B-B980-60AB198140B0}"/>
            </c:ext>
          </c:extLst>
        </c:ser>
        <c:ser>
          <c:idx val="20"/>
          <c:order val="13"/>
          <c:tx>
            <c:strRef>
              <c:f>Care_Leavers!$AK$51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Care_Leavers!$BB$51:$BF$51</c:f>
              <c:numCache>
                <c:formatCode>0.0%</c:formatCode>
                <c:ptCount val="5"/>
                <c:pt idx="0">
                  <c:v>0.42748091603053434</c:v>
                </c:pt>
                <c:pt idx="1">
                  <c:v>0.35915492957746481</c:v>
                </c:pt>
                <c:pt idx="2">
                  <c:v>0.43835616438356162</c:v>
                </c:pt>
                <c:pt idx="3">
                  <c:v>0.453416149068323</c:v>
                </c:pt>
                <c:pt idx="4">
                  <c:v>0.44270833333333331</c:v>
                </c:pt>
              </c:numCache>
            </c:numRef>
          </c:val>
          <c:smooth val="0"/>
          <c:extLst>
            <c:ext xmlns:c16="http://schemas.microsoft.com/office/drawing/2014/chart" uri="{C3380CC4-5D6E-409C-BE32-E72D297353CC}">
              <c16:uniqueId val="{0000000F-D9F0-4D3B-B980-60AB198140B0}"/>
            </c:ext>
          </c:extLst>
        </c:ser>
        <c:ser>
          <c:idx val="22"/>
          <c:order val="14"/>
          <c:tx>
            <c:strRef>
              <c:f>Care_Leavers!$AK$52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Care_Leavers!$BB$52:$BF$52</c:f>
              <c:numCache>
                <c:formatCode>0.0%</c:formatCode>
                <c:ptCount val="5"/>
                <c:pt idx="0">
                  <c:v>0.53307392996108949</c:v>
                </c:pt>
                <c:pt idx="1">
                  <c:v>0.52255639097744366</c:v>
                </c:pt>
                <c:pt idx="2">
                  <c:v>0.60147601476014756</c:v>
                </c:pt>
                <c:pt idx="3">
                  <c:v>0.5757575757575758</c:v>
                </c:pt>
                <c:pt idx="4">
                  <c:v>0.55411954765751215</c:v>
                </c:pt>
              </c:numCache>
            </c:numRef>
          </c:val>
          <c:smooth val="0"/>
          <c:extLst>
            <c:ext xmlns:c16="http://schemas.microsoft.com/office/drawing/2014/chart" uri="{C3380CC4-5D6E-409C-BE32-E72D297353CC}">
              <c16:uniqueId val="{00000010-D9F0-4D3B-B980-60AB198140B0}"/>
            </c:ext>
          </c:extLst>
        </c:ser>
        <c:ser>
          <c:idx val="23"/>
          <c:order val="15"/>
          <c:tx>
            <c:strRef>
              <c:f>Care_Leavers!$AK$53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Care_Leavers!$Y$2:$AC$3</c:f>
              <c:strCache>
                <c:ptCount val="5"/>
                <c:pt idx="0">
                  <c:v>2019/20</c:v>
                </c:pt>
                <c:pt idx="1">
                  <c:v>2020/21</c:v>
                </c:pt>
                <c:pt idx="2">
                  <c:v>2021/22</c:v>
                </c:pt>
                <c:pt idx="3">
                  <c:v>2022/23</c:v>
                </c:pt>
                <c:pt idx="4">
                  <c:v>2023/24</c:v>
                </c:pt>
              </c:strCache>
            </c:strRef>
          </c:cat>
          <c:val>
            <c:numRef>
              <c:f>Care_Leavers!$BB$53:$BF$53</c:f>
              <c:numCache>
                <c:formatCode>0.0%</c:formatCode>
                <c:ptCount val="5"/>
                <c:pt idx="0">
                  <c:v>0.7</c:v>
                </c:pt>
                <c:pt idx="1">
                  <c:v>0.71084337349397586</c:v>
                </c:pt>
                <c:pt idx="2">
                  <c:v>0.73684210526315785</c:v>
                </c:pt>
                <c:pt idx="3">
                  <c:v>0.64423076923076927</c:v>
                </c:pt>
                <c:pt idx="4">
                  <c:v>0.65765765765765771</c:v>
                </c:pt>
              </c:numCache>
            </c:numRef>
          </c:val>
          <c:smooth val="0"/>
          <c:extLst>
            <c:ext xmlns:c16="http://schemas.microsoft.com/office/drawing/2014/chart" uri="{C3380CC4-5D6E-409C-BE32-E72D297353CC}">
              <c16:uniqueId val="{00000013-D9F0-4D3B-B980-60AB198140B0}"/>
            </c:ext>
          </c:extLst>
        </c:ser>
        <c:ser>
          <c:idx val="24"/>
          <c:order val="16"/>
          <c:tx>
            <c:strRef>
              <c:f>Care_Leavers!$AK$54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Care_Leavers!$Y$2:$AC$3</c:f>
              <c:strCache>
                <c:ptCount val="5"/>
                <c:pt idx="0">
                  <c:v>2019/20</c:v>
                </c:pt>
                <c:pt idx="1">
                  <c:v>2020/21</c:v>
                </c:pt>
                <c:pt idx="2">
                  <c:v>2021/22</c:v>
                </c:pt>
                <c:pt idx="3">
                  <c:v>2022/23</c:v>
                </c:pt>
                <c:pt idx="4">
                  <c:v>2023/24</c:v>
                </c:pt>
              </c:strCache>
            </c:strRef>
          </c:cat>
          <c:val>
            <c:numRef>
              <c:f>Care_Leavers!$BB$54:$BF$54</c:f>
              <c:numCache>
                <c:formatCode>0.0%</c:formatCode>
                <c:ptCount val="5"/>
                <c:pt idx="0">
                  <c:v>0.5934959349593496</c:v>
                </c:pt>
                <c:pt idx="1">
                  <c:v>0.5390625</c:v>
                </c:pt>
                <c:pt idx="2">
                  <c:v>0.56770833333333337</c:v>
                </c:pt>
                <c:pt idx="3">
                  <c:v>0.60317460317460314</c:v>
                </c:pt>
                <c:pt idx="4">
                  <c:v>0.56639004149377592</c:v>
                </c:pt>
              </c:numCache>
            </c:numRef>
          </c:val>
          <c:smooth val="0"/>
          <c:extLst>
            <c:ext xmlns:c16="http://schemas.microsoft.com/office/drawing/2014/chart" uri="{C3380CC4-5D6E-409C-BE32-E72D297353CC}">
              <c16:uniqueId val="{00000014-D9F0-4D3B-B980-60AB198140B0}"/>
            </c:ext>
          </c:extLst>
        </c:ser>
        <c:ser>
          <c:idx val="25"/>
          <c:order val="17"/>
          <c:tx>
            <c:strRef>
              <c:f>Care_Leavers!$AK$55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Care_Leavers!$Y$2:$AC$3</c:f>
              <c:strCache>
                <c:ptCount val="5"/>
                <c:pt idx="0">
                  <c:v>2019/20</c:v>
                </c:pt>
                <c:pt idx="1">
                  <c:v>2020/21</c:v>
                </c:pt>
                <c:pt idx="2">
                  <c:v>2021/22</c:v>
                </c:pt>
                <c:pt idx="3">
                  <c:v>2022/23</c:v>
                </c:pt>
                <c:pt idx="4">
                  <c:v>2023/24</c:v>
                </c:pt>
              </c:strCache>
            </c:strRef>
          </c:cat>
          <c:val>
            <c:numRef>
              <c:f>Care_Leavers!$BB$55:$BF$55</c:f>
              <c:numCache>
                <c:formatCode>0.0%</c:formatCode>
                <c:ptCount val="5"/>
                <c:pt idx="0">
                  <c:v>0.44642857142857145</c:v>
                </c:pt>
                <c:pt idx="1">
                  <c:v>0.58333333333333337</c:v>
                </c:pt>
                <c:pt idx="2">
                  <c:v>0.68656716417910446</c:v>
                </c:pt>
                <c:pt idx="3">
                  <c:v>0.67213114754098358</c:v>
                </c:pt>
                <c:pt idx="4">
                  <c:v>0.59701492537313428</c:v>
                </c:pt>
              </c:numCache>
            </c:numRef>
          </c:val>
          <c:smooth val="0"/>
          <c:extLst>
            <c:ext xmlns:c16="http://schemas.microsoft.com/office/drawing/2014/chart" uri="{C3380CC4-5D6E-409C-BE32-E72D297353CC}">
              <c16:uniqueId val="{00000015-D9F0-4D3B-B980-60AB198140B0}"/>
            </c:ext>
          </c:extLst>
        </c:ser>
        <c:ser>
          <c:idx val="26"/>
          <c:order val="18"/>
          <c:tx>
            <c:strRef>
              <c:f>Care_Leavers!$AK$56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Care_Leavers!$BB$56:$BF$56</c:f>
              <c:numCache>
                <c:formatCode>0.0%</c:formatCode>
                <c:ptCount val="5"/>
                <c:pt idx="0">
                  <c:v>0.56862745098039214</c:v>
                </c:pt>
                <c:pt idx="1">
                  <c:v>0.57627118644067798</c:v>
                </c:pt>
                <c:pt idx="2">
                  <c:v>0.55737704918032782</c:v>
                </c:pt>
                <c:pt idx="3">
                  <c:v>0.56666666666666665</c:v>
                </c:pt>
                <c:pt idx="4">
                  <c:v>0.53246753246753242</c:v>
                </c:pt>
              </c:numCache>
            </c:numRef>
          </c:val>
          <c:smooth val="0"/>
          <c:extLst>
            <c:ext xmlns:c16="http://schemas.microsoft.com/office/drawing/2014/chart" uri="{C3380CC4-5D6E-409C-BE32-E72D297353CC}">
              <c16:uniqueId val="{00000016-D9F0-4D3B-B980-60AB198140B0}"/>
            </c:ext>
          </c:extLst>
        </c:ser>
        <c:ser>
          <c:idx val="4"/>
          <c:order val="19"/>
          <c:tx>
            <c:strRef>
              <c:f>Care_Leavers!$AK$57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Care_Leavers!$BB$57:$BF$57</c:f>
              <c:numCache>
                <c:formatCode>0.0%</c:formatCode>
                <c:ptCount val="5"/>
                <c:pt idx="0">
                  <c:v>0.53264248704663208</c:v>
                </c:pt>
                <c:pt idx="1">
                  <c:v>0.51063390460458391</c:v>
                </c:pt>
                <c:pt idx="2">
                  <c:v>0.56686507936507935</c:v>
                </c:pt>
                <c:pt idx="3">
                  <c:v>0.56603773584905659</c:v>
                </c:pt>
                <c:pt idx="4">
                  <c:v>0.51166965888689409</c:v>
                </c:pt>
              </c:numCache>
            </c:numRef>
          </c:val>
          <c:smooth val="0"/>
          <c:extLst>
            <c:ext xmlns:c16="http://schemas.microsoft.com/office/drawing/2014/chart" uri="{C3380CC4-5D6E-409C-BE32-E72D297353CC}">
              <c16:uniqueId val="{00000017-D9F0-4D3B-B980-60AB198140B0}"/>
            </c:ext>
          </c:extLst>
        </c:ser>
        <c:ser>
          <c:idx val="8"/>
          <c:order val="20"/>
          <c:tx>
            <c:strRef>
              <c:f>Care_Leavers!$B$195</c:f>
              <c:strCache>
                <c:ptCount val="1"/>
                <c:pt idx="0">
                  <c:v>England</c:v>
                </c:pt>
              </c:strCache>
            </c:strRef>
          </c:tx>
          <c:spPr>
            <a:ln w="19050">
              <a:solidFill>
                <a:schemeClr val="tx1">
                  <a:lumMod val="75000"/>
                  <a:lumOff val="25000"/>
                </a:schemeClr>
              </a:solidFill>
            </a:ln>
          </c:spPr>
          <c:marker>
            <c:spPr>
              <a:ln>
                <a:solidFill>
                  <a:schemeClr val="tx1">
                    <a:lumMod val="75000"/>
                    <a:lumOff val="25000"/>
                  </a:schemeClr>
                </a:solidFill>
              </a:ln>
            </c:spPr>
          </c:marker>
          <c:cat>
            <c:strRef>
              <c:f>Care_Leavers!$Y$2:$AC$3</c:f>
              <c:strCache>
                <c:ptCount val="5"/>
                <c:pt idx="0">
                  <c:v>2019/20</c:v>
                </c:pt>
                <c:pt idx="1">
                  <c:v>2020/21</c:v>
                </c:pt>
                <c:pt idx="2">
                  <c:v>2021/22</c:v>
                </c:pt>
                <c:pt idx="3">
                  <c:v>2022/23</c:v>
                </c:pt>
                <c:pt idx="4">
                  <c:v>2023/24</c:v>
                </c:pt>
              </c:strCache>
            </c:strRef>
          </c:cat>
          <c:val>
            <c:numRef>
              <c:f>Care_Leavers!$D$195:$H$195</c:f>
              <c:numCache>
                <c:formatCode>0%</c:formatCode>
                <c:ptCount val="5"/>
                <c:pt idx="0">
                  <c:v>0.52591170825335898</c:v>
                </c:pt>
                <c:pt idx="1">
                  <c:v>0.51993600787595373</c:v>
                </c:pt>
                <c:pt idx="2">
                  <c:v>0.55403393867222384</c:v>
                </c:pt>
                <c:pt idx="3">
                  <c:v>0.55930735930735931</c:v>
                </c:pt>
                <c:pt idx="4">
                  <c:v>0.53753093208688485</c:v>
                </c:pt>
              </c:numCache>
            </c:numRef>
          </c:val>
          <c:smooth val="0"/>
          <c:extLst>
            <c:ext xmlns:c16="http://schemas.microsoft.com/office/drawing/2014/chart" uri="{C3380CC4-5D6E-409C-BE32-E72D297353CC}">
              <c16:uniqueId val="{00000002-31CB-4283-975C-6CE93707973C}"/>
            </c:ext>
          </c:extLst>
        </c:ser>
        <c:ser>
          <c:idx val="6"/>
          <c:order val="21"/>
          <c:tx>
            <c:strRef>
              <c:f>Care_Leavers!$AK$59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Care_Leavers!$Y$2:$AC$3</c:f>
              <c:strCache>
                <c:ptCount val="5"/>
                <c:pt idx="0">
                  <c:v>2019/20</c:v>
                </c:pt>
                <c:pt idx="1">
                  <c:v>2020/21</c:v>
                </c:pt>
                <c:pt idx="2">
                  <c:v>2021/22</c:v>
                </c:pt>
                <c:pt idx="3">
                  <c:v>2022/23</c:v>
                </c:pt>
                <c:pt idx="4">
                  <c:v>2023/24</c:v>
                </c:pt>
              </c:strCache>
            </c:strRef>
          </c:cat>
          <c:val>
            <c:numRef>
              <c:f>Care_Leavers!$BB$59:$BF$59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D9F0-4D3B-B980-60AB198140B0}"/>
            </c:ext>
          </c:extLst>
        </c:ser>
        <c:dLbls>
          <c:showLegendKey val="0"/>
          <c:showVal val="0"/>
          <c:showCatName val="0"/>
          <c:showSerName val="0"/>
          <c:showPercent val="0"/>
          <c:showBubbleSize val="0"/>
        </c:dLbls>
        <c:marker val="1"/>
        <c:smooth val="0"/>
        <c:axId val="625683072"/>
        <c:axId val="625705728"/>
      </c:lineChart>
      <c:catAx>
        <c:axId val="625683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25705728"/>
        <c:crosses val="autoZero"/>
        <c:auto val="1"/>
        <c:lblAlgn val="ctr"/>
        <c:lblOffset val="100"/>
        <c:tickLblSkip val="1"/>
        <c:tickMarkSkip val="1"/>
        <c:noMultiLvlLbl val="0"/>
      </c:catAx>
      <c:valAx>
        <c:axId val="62570572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2568307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0668096366003028"/>
          <c:h val="0.8761881990452776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Care Leavers (Aged 19-21) vs. IDACI</a:t>
            </a:r>
          </a:p>
        </c:rich>
      </c:tx>
      <c:layout>
        <c:manualLayout>
          <c:xMode val="edge"/>
          <c:yMode val="edge"/>
          <c:x val="0.20188592864248134"/>
          <c:y val="3.0119883663190745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2"/>
          <c:order val="3"/>
          <c:tx>
            <c:strRef>
              <c:f>Care_Leavers!$X$38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D69A-4BB8-891E-AE287DDD9B8B}"/>
                </c:ext>
              </c:extLst>
            </c:dLbl>
            <c:dLbl>
              <c:idx val="1"/>
              <c:layout>
                <c:manualLayout>
                  <c:x val="-7.4640169978752655E-2"/>
                  <c:y val="2.1116138763197588E-2"/>
                </c:manualLayout>
              </c:layout>
              <c:tx>
                <c:strRef>
                  <c:f>Care_Leavers!$AC$39</c:f>
                  <c:strCache>
                    <c:ptCount val="1"/>
                    <c:pt idx="0">
                      <c:v>r² = 0.016</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{8CD019DE-3437-45CE-9EB8-75DBA0186468}</c15:txfldGUID>
                      <c15:f>Care_Leavers!$AC$39</c15:f>
                      <c15:dlblFieldTableCache>
                        <c:ptCount val="1"/>
                        <c:pt idx="0">
                          <c:v>r² = 0.016</c:v>
                        </c:pt>
                      </c15:dlblFieldTableCache>
                    </c15:dlblFTEntry>
                  </c15:dlblFieldTable>
                  <c15:showDataLabelsRange val="0"/>
                </c:ext>
                <c:ext xmlns:c16="http://schemas.microsoft.com/office/drawing/2014/chart" uri="{C3380CC4-5D6E-409C-BE32-E72D297353CC}">
                  <c16:uniqueId val="{00000001-D69A-4BB8-891E-AE287DDD9B8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Care_Leavers!$AA$38:$AA$39</c:f>
              <c:numCache>
                <c:formatCode>General</c:formatCode>
                <c:ptCount val="2"/>
                <c:pt idx="0" formatCode="#,##0.0">
                  <c:v>3</c:v>
                </c:pt>
                <c:pt idx="1">
                  <c:v>22</c:v>
                </c:pt>
              </c:numCache>
            </c:numRef>
          </c:xVal>
          <c:yVal>
            <c:numRef>
              <c:f>Care_Leavers!$AB$38:$AB$39</c:f>
              <c:numCache>
                <c:formatCode>0.0</c:formatCode>
                <c:ptCount val="2"/>
                <c:pt idx="0">
                  <c:v>218.2895492650824</c:v>
                </c:pt>
                <c:pt idx="1">
                  <c:v>185.68640007805132</c:v>
                </c:pt>
              </c:numCache>
            </c:numRef>
          </c:yVal>
          <c:smooth val="1"/>
          <c:extLst>
            <c:ext xmlns:c16="http://schemas.microsoft.com/office/drawing/2014/chart" uri="{C3380CC4-5D6E-409C-BE32-E72D297353CC}">
              <c16:uniqueId val="{00000002-D69A-4BB8-891E-AE287DDD9B8B}"/>
            </c:ext>
          </c:extLst>
        </c:ser>
        <c:dLbls>
          <c:showLegendKey val="0"/>
          <c:showVal val="0"/>
          <c:showCatName val="0"/>
          <c:showSerName val="0"/>
          <c:showPercent val="0"/>
          <c:showBubbleSize val="0"/>
        </c:dLbls>
        <c:axId val="626018176"/>
        <c:axId val="626045312"/>
      </c:scatterChart>
      <c:scatterChart>
        <c:scatterStyle val="lineMarker"/>
        <c:varyColors val="0"/>
        <c:ser>
          <c:idx val="0"/>
          <c:order val="0"/>
          <c:tx>
            <c:strRef>
              <c:f>Care_Leavers!$AQ$35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D69A-4BB8-891E-AE287DDD9B8B}"/>
              </c:ext>
            </c:extLst>
          </c:dPt>
          <c:dLbls>
            <c:dLbl>
              <c:idx val="0"/>
              <c:tx>
                <c:strRef>
                  <c:f>ReportData!$K$4</c:f>
                  <c:strCache>
                    <c:ptCount val="1"/>
                    <c:pt idx="0">
                      <c:v>Bracknell Forest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{3B8E2C41-1228-40C7-A186-A197CF65F2A9}</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D69A-4BB8-891E-AE287DDD9B8B}"/>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{12278DDA-FA40-4A27-9FA0-8EC86F06B358}</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D69A-4BB8-891E-AE287DDD9B8B}"/>
                </c:ext>
              </c:extLst>
            </c:dLbl>
            <c:dLbl>
              <c:idx val="2"/>
              <c:tx>
                <c:strRef>
                  <c:f>ReportData!$K$6</c:f>
                  <c:strCache>
                    <c:ptCount val="1"/>
                    <c:pt idx="0">
                      <c:v>Buckinghamshire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{02216117-686A-417E-862F-1DF7C29ECB62}</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D69A-4BB8-891E-AE287DDD9B8B}"/>
                </c:ext>
              </c:extLst>
            </c:dLbl>
            <c:dLbl>
              <c:idx val="3"/>
              <c:tx>
                <c:strRef>
                  <c:f>ReportData!$K$7</c:f>
                  <c:strCache>
                    <c:ptCount val="1"/>
                    <c:pt idx="0">
                      <c:v>East Sussex</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{5CFCA977-4226-4FB0-9EDB-FB60C3A51556}</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D69A-4BB8-891E-AE287DDD9B8B}"/>
                </c:ext>
              </c:extLst>
            </c:dLbl>
            <c:dLbl>
              <c:idx val="4"/>
              <c:tx>
                <c:strRef>
                  <c:f>ReportData!$K$8</c:f>
                  <c:strCache>
                    <c:ptCount val="1"/>
                    <c:pt idx="0">
                      <c:v>Hampshire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{8DD80E80-5AE0-41C0-9DDC-857629DC2BB6}</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8-D69A-4BB8-891E-AE287DDD9B8B}"/>
                </c:ext>
              </c:extLst>
            </c:dLbl>
            <c:dLbl>
              <c:idx val="5"/>
              <c:tx>
                <c:strRef>
                  <c:f>ReportData!$K$9</c:f>
                  <c:strCache>
                    <c:ptCount val="1"/>
                    <c:pt idx="0">
                      <c:v>Isle of Wight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{D9943E2F-96C0-4013-98E2-1D1BCB6500C6}</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D69A-4BB8-891E-AE287DDD9B8B}"/>
                </c:ext>
              </c:extLst>
            </c:dLbl>
            <c:dLbl>
              <c:idx val="6"/>
              <c:tx>
                <c:strRef>
                  <c:f>ReportData!$K$10</c:f>
                  <c:strCache>
                    <c:ptCount val="1"/>
                    <c:pt idx="0">
                      <c:v>Kent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{C19CCA8A-595D-4133-BD4A-4EF54DA86374}</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A-D69A-4BB8-891E-AE287DDD9B8B}"/>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{72099BF9-A85B-4D3C-AEBF-8AB28A705B3E}</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B-D69A-4BB8-891E-AE287DDD9B8B}"/>
                </c:ext>
              </c:extLst>
            </c:dLbl>
            <c:dLbl>
              <c:idx val="8"/>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{F044DD44-0000-45CA-BDEF-D993F64F521C}</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D69A-4BB8-891E-AE287DDD9B8B}"/>
                </c:ext>
              </c:extLst>
            </c:dLbl>
            <c:dLbl>
              <c:idx val="9"/>
              <c:tx>
                <c:strRef>
                  <c:f>ReportData!$K$13</c:f>
                  <c:strCache>
                    <c:ptCount val="1"/>
                    <c:pt idx="0">
                      <c:v>Oxfordshire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{652A067F-B420-4C61-AB4F-BF3E33345A2D}</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D69A-4BB8-891E-AE287DDD9B8B}"/>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{F9F68359-21E5-4628-AF41-0733121896F9}</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D69A-4BB8-891E-AE287DDD9B8B}"/>
                </c:ext>
              </c:extLst>
            </c:dLbl>
            <c:dLbl>
              <c:idx val="11"/>
              <c:tx>
                <c:strRef>
                  <c:f>ReportData!$K$15</c:f>
                  <c:strCache>
                    <c:ptCount val="1"/>
                    <c:pt idx="0">
                      <c:v>Reading</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{E58607A5-DDFF-438D-8431-EE82C28050ED}</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F-D69A-4BB8-891E-AE287DDD9B8B}"/>
                </c:ext>
              </c:extLst>
            </c:dLbl>
            <c:dLbl>
              <c:idx val="12"/>
              <c:tx>
                <c:strRef>
                  <c:f>ReportData!$K$16</c:f>
                  <c:strCache>
                    <c:ptCount val="1"/>
                    <c:pt idx="0">
                      <c:v>Slough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{8F2A882A-99CF-4BF2-867F-EBD096882479}</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10-D69A-4BB8-891E-AE287DDD9B8B}"/>
                </c:ext>
              </c:extLst>
            </c:dLbl>
            <c:dLbl>
              <c:idx val="13"/>
              <c:tx>
                <c:strRef>
                  <c:f>ReportData!$K$17</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{8D40A9A5-FE79-4AD5-91E1-57CB95F9267B}</c15:txfldGUID>
                      <c15:f>ReportData!$K$17</c15:f>
                      <c15:dlblFieldTableCache>
                        <c:ptCount val="1"/>
                        <c:pt idx="0">
                          <c:v>Southampton</c:v>
                        </c:pt>
                      </c15:dlblFieldTableCache>
                    </c15:dlblFTEntry>
                  </c15:dlblFieldTable>
                  <c15:showDataLabelsRange val="0"/>
                </c:ext>
                <c:ext xmlns:c16="http://schemas.microsoft.com/office/drawing/2014/chart" uri="{C3380CC4-5D6E-409C-BE32-E72D297353CC}">
                  <c16:uniqueId val="{00000011-D69A-4BB8-891E-AE287DDD9B8B}"/>
                </c:ext>
              </c:extLst>
            </c:dLbl>
            <c:dLbl>
              <c:idx val="14"/>
              <c:tx>
                <c:strRef>
                  <c:f>ReportData!$K$18</c:f>
                  <c:strCache>
                    <c:ptCount val="1"/>
                    <c:pt idx="0">
                      <c:v>Surrey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{DA062C9C-93B4-44D9-A03D-AA39028E2B30}</c15:txfldGUID>
                      <c15:f>ReportData!$K$18</c15:f>
                      <c15:dlblFieldTableCache>
                        <c:ptCount val="1"/>
                        <c:pt idx="0">
                          <c:v>Surrey</c:v>
                        </c:pt>
                      </c15:dlblFieldTableCache>
                    </c15:dlblFTEntry>
                  </c15:dlblFieldTable>
                  <c15:showDataLabelsRange val="0"/>
                </c:ext>
                <c:ext xmlns:c16="http://schemas.microsoft.com/office/drawing/2014/chart" uri="{C3380CC4-5D6E-409C-BE32-E72D297353CC}">
                  <c16:uniqueId val="{00000012-D69A-4BB8-891E-AE287DDD9B8B}"/>
                </c:ext>
              </c:extLst>
            </c:dLbl>
            <c:dLbl>
              <c:idx val="15"/>
              <c:tx>
                <c:strRef>
                  <c:f>ReportData!$K$19</c:f>
                  <c:strCache>
                    <c:ptCount val="1"/>
                    <c:pt idx="0">
                      <c:v>West Berkshire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{B9E9D052-0095-4C2C-B73D-F23252E04133}</c15:txfldGUID>
                      <c15:f>ReportData!$K$19</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D69A-4BB8-891E-AE287DDD9B8B}"/>
                </c:ext>
              </c:extLst>
            </c:dLbl>
            <c:dLbl>
              <c:idx val="16"/>
              <c:tx>
                <c:strRef>
                  <c:f>ReportData!$K$20</c:f>
                  <c:strCache>
                    <c:ptCount val="1"/>
                    <c:pt idx="0">
                      <c:v>West Sussex</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{2EE7302B-2122-407F-92B8-FC1E3E8729EF}</c15:txfldGUID>
                      <c15:f>ReportData!$K$20</c15:f>
                      <c15:dlblFieldTableCache>
                        <c:ptCount val="1"/>
                        <c:pt idx="0">
                          <c:v>West Sussex</c:v>
                        </c:pt>
                      </c15:dlblFieldTableCache>
                    </c15:dlblFTEntry>
                  </c15:dlblFieldTable>
                  <c15:showDataLabelsRange val="0"/>
                </c:ext>
                <c:ext xmlns:c16="http://schemas.microsoft.com/office/drawing/2014/chart" uri="{C3380CC4-5D6E-409C-BE32-E72D297353CC}">
                  <c16:uniqueId val="{00000014-D69A-4BB8-891E-AE287DDD9B8B}"/>
                </c:ext>
              </c:extLst>
            </c:dLbl>
            <c:dLbl>
              <c:idx val="17"/>
              <c:tx>
                <c:strRef>
                  <c:f>ReportData!$K$21</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{A6607425-FBCD-4D86-AF64-40EF9DB5E987}</c15:txfldGUID>
                      <c15:f>ReportData!$K$21</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D69A-4BB8-891E-AE287DDD9B8B}"/>
                </c:ext>
              </c:extLst>
            </c:dLbl>
            <c:dLbl>
              <c:idx val="18"/>
              <c:tx>
                <c:strRef>
                  <c:f>ReportData!$K$22</c:f>
                  <c:strCache>
                    <c:ptCount val="1"/>
                    <c:pt idx="0">
                      <c:v>Wokingham</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{1821782F-013F-49AE-9F5E-29865E107FD3}</c15:txfldGUID>
                      <c15:f>ReportData!$K$22</c15:f>
                      <c15:dlblFieldTableCache>
                        <c:ptCount val="1"/>
                        <c:pt idx="0">
                          <c:v>Wokingham</c:v>
                        </c:pt>
                      </c15:dlblFieldTableCache>
                    </c15:dlblFTEntry>
                  </c15:dlblFieldTable>
                  <c15:showDataLabelsRange val="0"/>
                </c:ext>
                <c:ext xmlns:c16="http://schemas.microsoft.com/office/drawing/2014/chart" uri="{C3380CC4-5D6E-409C-BE32-E72D297353CC}">
                  <c16:uniqueId val="{00000016-D69A-4BB8-891E-AE287DDD9B8B}"/>
                </c:ext>
              </c:extLst>
            </c:dLbl>
            <c:spPr>
              <a:noFill/>
              <a:ln>
                <a:noFill/>
              </a:ln>
              <a:effectLst/>
            </c:spPr>
            <c:txPr>
              <a:bodyPr/>
              <a:lstStyle/>
              <a:p>
                <a:pPr>
                  <a:defRPr sz="700">
                    <a:solidFill>
                      <a:schemeClr val="bg1">
                        <a:lumMod val="65000"/>
                      </a:schemeClr>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(Care_Leavers!#REF!,Care_Leavers!#REF!,Care_Leavers!#REF!)</c:f>
            </c:numRef>
          </c:xVal>
          <c:yVal>
            <c:numRef>
              <c:f>(Care_Leavers!$AP$38:$AP$50,Care_Leavers!$AP$51:$AP$52,Care_Leavers!$AP$53:$AP$56)</c:f>
              <c:numCache>
                <c:formatCode>0.0</c:formatCode>
                <c:ptCount val="19"/>
                <c:pt idx="0">
                  <c:v>262.22537207654142</c:v>
                </c:pt>
                <c:pt idx="1">
                  <c:v>109.25990013348495</c:v>
                </c:pt>
                <c:pt idx="2">
                  <c:v>196.45888915837983</c:v>
                </c:pt>
                <c:pt idx="3">
                  <c:v>205.35302261190586</c:v>
                </c:pt>
                <c:pt idx="4">
                  <c:v>196.41426558744718</c:v>
                </c:pt>
                <c:pt idx="5">
                  <c:v>316.1917998610146</c:v>
                </c:pt>
                <c:pt idx="6">
                  <c:v>268.3590613009726</c:v>
                </c:pt>
                <c:pt idx="7">
                  <c:v>173.36394948335246</c:v>
                </c:pt>
                <c:pt idx="8">
                  <c:v>268.49391693469443</c:v>
                </c:pt>
                <c:pt idx="9">
                  <c:v>121.27479552505406</c:v>
                </c:pt>
                <c:pt idx="10">
                  <c:v>164.01661653058301</c:v>
                </c:pt>
                <c:pt idx="11">
                  <c:v>134.06940063091483</c:v>
                </c:pt>
                <c:pt idx="12">
                  <c:v>234.01587964897618</c:v>
                </c:pt>
                <c:pt idx="13">
                  <c:v>102.29633970909478</c:v>
                </c:pt>
                <c:pt idx="14">
                  <c:v>168.91338754570759</c:v>
                </c:pt>
                <c:pt idx="15">
                  <c:v>309.02004454342983</c:v>
                </c:pt>
                <c:pt idx="16">
                  <c:v>221.90506882740206</c:v>
                </c:pt>
                <c:pt idx="17">
                  <c:v>212.63091082196129</c:v>
                </c:pt>
                <c:pt idx="18">
                  <c:v>154.80498592681946</c:v>
                </c:pt>
              </c:numCache>
            </c:numRef>
          </c:yVal>
          <c:smooth val="0"/>
          <c:extLst>
            <c:ext xmlns:c16="http://schemas.microsoft.com/office/drawing/2014/chart" uri="{C3380CC4-5D6E-409C-BE32-E72D297353CC}">
              <c16:uniqueId val="{00000017-D69A-4BB8-891E-AE287DDD9B8B}"/>
            </c:ext>
          </c:extLst>
        </c:ser>
        <c:ser>
          <c:idx val="1"/>
          <c:order val="1"/>
          <c:tx>
            <c:strRef>
              <c:f>Care_Leavers!$Z$4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Care_Leavers!$AQ$59</c:f>
              <c:numCache>
                <c:formatCode>0.0</c:formatCode>
                <c:ptCount val="1"/>
                <c:pt idx="0">
                  <c:v>#N/A</c:v>
                </c:pt>
              </c:numCache>
            </c:numRef>
          </c:xVal>
          <c:yVal>
            <c:numRef>
              <c:f>Care_Leavers!$AP$59</c:f>
              <c:numCache>
                <c:formatCode>0.0</c:formatCode>
                <c:ptCount val="1"/>
                <c:pt idx="0">
                  <c:v>#N/A</c:v>
                </c:pt>
              </c:numCache>
            </c:numRef>
          </c:yVal>
          <c:smooth val="0"/>
          <c:extLst>
            <c:ext xmlns:c16="http://schemas.microsoft.com/office/drawing/2014/chart" uri="{C3380CC4-5D6E-409C-BE32-E72D297353CC}">
              <c16:uniqueId val="{0000001C-D69A-4BB8-891E-AE287DDD9B8B}"/>
            </c:ext>
          </c:extLst>
        </c:ser>
        <c:ser>
          <c:idx val="4"/>
          <c:order val="2"/>
          <c:tx>
            <c:strRef>
              <c:f>Care_Leavers!$B$30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Care_Leavers!$AQ$57</c:f>
              <c:numCache>
                <c:formatCode>0.0</c:formatCode>
                <c:ptCount val="1"/>
                <c:pt idx="0">
                  <c:v>12.371268250968637</c:v>
                </c:pt>
              </c:numCache>
            </c:numRef>
          </c:xVal>
          <c:yVal>
            <c:numRef>
              <c:f>Care_Leavers!$O$30</c:f>
              <c:numCache>
                <c:formatCode>0.0</c:formatCode>
                <c:ptCount val="1"/>
                <c:pt idx="0">
                  <c:v>187.01190564124605</c:v>
                </c:pt>
              </c:numCache>
            </c:numRef>
          </c:yVal>
          <c:smooth val="0"/>
          <c:extLst>
            <c:ext xmlns:c16="http://schemas.microsoft.com/office/drawing/2014/chart" uri="{C3380CC4-5D6E-409C-BE32-E72D297353CC}">
              <c16:uniqueId val="{0000001D-D69A-4BB8-891E-AE287DDD9B8B}"/>
            </c:ext>
          </c:extLst>
        </c:ser>
        <c:ser>
          <c:idx val="5"/>
          <c:order val="4"/>
          <c:tx>
            <c:strRef>
              <c:f>Care_Leavers!$X$40</c:f>
              <c:strCache>
                <c:ptCount val="1"/>
                <c:pt idx="0">
                  <c:v>National Trend 2024</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ECEC-4C1E-87BF-306EAFE52EE3}"/>
                </c:ext>
              </c:extLst>
            </c:dLbl>
            <c:dLbl>
              <c:idx val="1"/>
              <c:layout>
                <c:manualLayout>
                  <c:x val="-6.8364704411948501E-2"/>
                  <c:y val="-2.1116138763197644E-2"/>
                </c:manualLayout>
              </c:layout>
              <c:tx>
                <c:strRef>
                  <c:f>Care_Leavers!$AC$40</c:f>
                  <c:strCache>
                    <c:ptCount val="1"/>
                    <c:pt idx="0">
                      <c:v>r² = 0.02</c:v>
                    </c:pt>
                  </c:strCache>
                </c:strRef>
              </c:tx>
              <c:spPr>
                <a:noFill/>
                <a:ln>
                  <a:noFill/>
                </a:ln>
                <a:effectLst/>
              </c:spPr>
              <c:txPr>
                <a:bodyPr wrap="square" lIns="38100" tIns="19050" rIns="38100" bIns="19050" anchor="ctr">
                  <a:spAutoFit/>
                </a:bodyPr>
                <a:lstStyle/>
                <a:p>
                  <a:pPr>
                    <a:defRPr sz="900"/>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{C60F4E69-8704-4C4C-8EF0-661D34432450}</c15:txfldGUID>
                      <c15:f>Care_Leavers!$AC$40</c15:f>
                      <c15:dlblFieldTableCache>
                        <c:ptCount val="1"/>
                        <c:pt idx="0">
                          <c:v>r² = 0.02</c:v>
                        </c:pt>
                      </c15:dlblFieldTableCache>
                    </c15:dlblFTEntry>
                  </c15:dlblFieldTable>
                  <c15:showDataLabelsRange val="0"/>
                </c:ext>
                <c:ext xmlns:c16="http://schemas.microsoft.com/office/drawing/2014/chart" uri="{C3380CC4-5D6E-409C-BE32-E72D297353CC}">
                  <c16:uniqueId val="{00000005-ECEC-4C1E-87BF-306EAFE52EE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Care_Leavers!$AA$40:$AA$41</c:f>
              <c:numCache>
                <c:formatCode>General</c:formatCode>
                <c:ptCount val="2"/>
                <c:pt idx="0" formatCode="#,##0.0">
                  <c:v>3</c:v>
                </c:pt>
                <c:pt idx="1">
                  <c:v>22</c:v>
                </c:pt>
              </c:numCache>
            </c:numRef>
          </c:xVal>
          <c:yVal>
            <c:numRef>
              <c:f>Care_Leavers!$AB$40:$AB$41</c:f>
              <c:numCache>
                <c:formatCode>0.0</c:formatCode>
                <c:ptCount val="2"/>
                <c:pt idx="0">
                  <c:v>187.87092870139958</c:v>
                </c:pt>
                <c:pt idx="1">
                  <c:v>228.79907799246504</c:v>
                </c:pt>
              </c:numCache>
            </c:numRef>
          </c:yVal>
          <c:smooth val="0"/>
          <c:extLst>
            <c:ext xmlns:c16="http://schemas.microsoft.com/office/drawing/2014/chart" uri="{C3380CC4-5D6E-409C-BE32-E72D297353CC}">
              <c16:uniqueId val="{00000003-ECEC-4C1E-87BF-306EAFE52EE3}"/>
            </c:ext>
          </c:extLst>
        </c:ser>
        <c:dLbls>
          <c:showLegendKey val="0"/>
          <c:showVal val="0"/>
          <c:showCatName val="0"/>
          <c:showSerName val="0"/>
          <c:showPercent val="0"/>
          <c:showBubbleSize val="0"/>
        </c:dLbls>
        <c:axId val="626018176"/>
        <c:axId val="626045312"/>
      </c:scatterChart>
      <c:valAx>
        <c:axId val="626018176"/>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4087952964064139"/>
              <c:y val="0.91929229487900843"/>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26045312"/>
        <c:crosses val="autoZero"/>
        <c:crossBetween val="midCat"/>
        <c:majorUnit val="5"/>
      </c:valAx>
      <c:valAx>
        <c:axId val="626045312"/>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b="1" i="0" u="none" strike="noStrike" baseline="0">
                    <a:effectLst/>
                  </a:rPr>
                  <a:t>Rate of Care Leavers (Aged 19-21) </a:t>
                </a:r>
                <a:r>
                  <a:rPr lang="en-GB" sz="900"/>
                  <a:t>per</a:t>
                </a:r>
              </a:p>
              <a:p>
                <a:pPr>
                  <a:defRPr sz="900" b="1" i="0" u="none" strike="noStrike" baseline="0">
                    <a:solidFill>
                      <a:srgbClr val="000000"/>
                    </a:solidFill>
                    <a:latin typeface="Arial"/>
                    <a:ea typeface="Arial"/>
                    <a:cs typeface="Arial"/>
                  </a:defRPr>
                </a:pPr>
                <a:r>
                  <a:rPr lang="en-GB" sz="900"/>
                  <a:t>10,000 19-21 year olds</a:t>
                </a:r>
              </a:p>
            </c:rich>
          </c:tx>
          <c:layout>
            <c:manualLayout>
              <c:xMode val="edge"/>
              <c:yMode val="edge"/>
              <c:x val="2.7638634211819415E-2"/>
              <c:y val="0.218250455179589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26018176"/>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a:pPr>
            <a:r>
              <a:rPr lang="en-GB" sz="1200" b="1"/>
              <a:t>% Care leavers aged 19-20 Staying Put</a:t>
            </a:r>
          </a:p>
          <a:p>
            <a:pPr>
              <a:defRPr sz="1200" b="1"/>
            </a:pPr>
            <a:r>
              <a:rPr lang="en-GB" sz="1200" b="1"/>
              <a:t>(Selected LA vs. SE) </a:t>
            </a:r>
          </a:p>
        </c:rich>
      </c:tx>
      <c:layout>
        <c:manualLayout>
          <c:xMode val="edge"/>
          <c:yMode val="edge"/>
          <c:x val="0.15417745509084091"/>
          <c:y val="3.8614685359452021E-3"/>
        </c:manualLayout>
      </c:layout>
      <c:overlay val="0"/>
      <c:spPr>
        <a:noFill/>
        <a:ln w="25400">
          <a:noFill/>
        </a:ln>
      </c:spPr>
    </c:title>
    <c:autoTitleDeleted val="0"/>
    <c:plotArea>
      <c:layout>
        <c:manualLayout>
          <c:layoutTarget val="inner"/>
          <c:xMode val="edge"/>
          <c:yMode val="edge"/>
          <c:x val="9.8666614692965365E-2"/>
          <c:y val="0.25112988925164842"/>
          <c:w val="0.62627218627374548"/>
          <c:h val="0.57565812560722718"/>
        </c:manualLayout>
      </c:layout>
      <c:barChart>
        <c:barDir val="col"/>
        <c:grouping val="clustered"/>
        <c:varyColors val="0"/>
        <c:ser>
          <c:idx val="6"/>
          <c:order val="0"/>
          <c:tx>
            <c:strRef>
              <c:f>Care_Leavers!$Z$4</c:f>
              <c:strCache>
                <c:ptCount val="1"/>
                <c:pt idx="0">
                  <c:v>Selected LA- (none)</c:v>
                </c:pt>
              </c:strCache>
            </c:strRef>
          </c:tx>
          <c:spPr>
            <a:solidFill>
              <a:srgbClr val="66FF99"/>
            </a:solidFill>
            <a:ln>
              <a:solidFill>
                <a:schemeClr val="tx1">
                  <a:lumMod val="75000"/>
                  <a:lumOff val="25000"/>
                </a:schemeClr>
              </a:solidFill>
            </a:ln>
          </c:spPr>
          <c:invertIfNegative val="0"/>
          <c:cat>
            <c:strRef>
              <c:f>Care_Leavers!$Y$2:$AC$3</c:f>
              <c:strCache>
                <c:ptCount val="5"/>
                <c:pt idx="0">
                  <c:v>2019/20</c:v>
                </c:pt>
                <c:pt idx="1">
                  <c:v>2020/21</c:v>
                </c:pt>
                <c:pt idx="2">
                  <c:v>2021/22</c:v>
                </c:pt>
                <c:pt idx="3">
                  <c:v>2022/23</c:v>
                </c:pt>
                <c:pt idx="4">
                  <c:v>2023/24</c:v>
                </c:pt>
              </c:strCache>
            </c:strRef>
          </c:cat>
          <c:val>
            <c:numRef>
              <c:f>Care_Leavers!$BG$59:$BK$59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C6AA-4067-8279-1329FCED3A3A}"/>
            </c:ext>
          </c:extLst>
        </c:ser>
        <c:ser>
          <c:idx val="4"/>
          <c:order val="1"/>
          <c:tx>
            <c:strRef>
              <c:f>Care_Leavers!$B$161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Care_Leavers!$Y$2:$AC$3</c:f>
              <c:strCache>
                <c:ptCount val="5"/>
                <c:pt idx="0">
                  <c:v>2019/20</c:v>
                </c:pt>
                <c:pt idx="1">
                  <c:v>2020/21</c:v>
                </c:pt>
                <c:pt idx="2">
                  <c:v>2021/22</c:v>
                </c:pt>
                <c:pt idx="3">
                  <c:v>2022/23</c:v>
                </c:pt>
                <c:pt idx="4">
                  <c:v>2023/24</c:v>
                </c:pt>
              </c:strCache>
            </c:strRef>
          </c:cat>
          <c:val>
            <c:numRef>
              <c:f>Care_Leavers!$D$227:$H$227</c:f>
              <c:numCache>
                <c:formatCode>0%</c:formatCode>
                <c:ptCount val="5"/>
                <c:pt idx="0">
                  <c:v>0.23148148148148148</c:v>
                </c:pt>
                <c:pt idx="1">
                  <c:v>0.24029574861367836</c:v>
                </c:pt>
                <c:pt idx="2">
                  <c:v>0.27645376549094375</c:v>
                </c:pt>
                <c:pt idx="3">
                  <c:v>0.28999999999999998</c:v>
                </c:pt>
                <c:pt idx="4">
                  <c:v>0.25714285714285712</c:v>
                </c:pt>
              </c:numCache>
            </c:numRef>
          </c:val>
          <c:extLst>
            <c:ext xmlns:c16="http://schemas.microsoft.com/office/drawing/2014/chart" uri="{C3380CC4-5D6E-409C-BE32-E72D297353CC}">
              <c16:uniqueId val="{00000001-C6AA-4067-8279-1329FCED3A3A}"/>
            </c:ext>
          </c:extLst>
        </c:ser>
        <c:ser>
          <c:idx val="0"/>
          <c:order val="2"/>
          <c:tx>
            <c:strRef>
              <c:f>Care_Leavers!$B$228</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val>
            <c:numRef>
              <c:f>Care_Leavers!$D$228:$H$228</c:f>
              <c:numCache>
                <c:formatCode>0%</c:formatCode>
                <c:ptCount val="5"/>
                <c:pt idx="0">
                  <c:v>0.28000000000000003</c:v>
                </c:pt>
                <c:pt idx="1">
                  <c:v>0.29796511627906974</c:v>
                </c:pt>
                <c:pt idx="2">
                  <c:v>0.3137535816618911</c:v>
                </c:pt>
                <c:pt idx="3">
                  <c:v>0.31983240223463688</c:v>
                </c:pt>
                <c:pt idx="4">
                  <c:v>0.32369146005509641</c:v>
                </c:pt>
              </c:numCache>
            </c:numRef>
          </c:val>
          <c:extLst>
            <c:ext xmlns:c16="http://schemas.microsoft.com/office/drawing/2014/chart" uri="{C3380CC4-5D6E-409C-BE32-E72D297353CC}">
              <c16:uniqueId val="{00000001-1144-4EAC-8DDD-02D104BD083A}"/>
            </c:ext>
          </c:extLst>
        </c:ser>
        <c:dLbls>
          <c:showLegendKey val="0"/>
          <c:showVal val="0"/>
          <c:showCatName val="0"/>
          <c:showSerName val="0"/>
          <c:showPercent val="0"/>
          <c:showBubbleSize val="0"/>
        </c:dLbls>
        <c:gapWidth val="100"/>
        <c:axId val="625265664"/>
        <c:axId val="625357568"/>
      </c:barChart>
      <c:catAx>
        <c:axId val="625265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25357568"/>
        <c:crosses val="autoZero"/>
        <c:auto val="1"/>
        <c:lblAlgn val="ctr"/>
        <c:lblOffset val="100"/>
        <c:noMultiLvlLbl val="0"/>
      </c:catAx>
      <c:valAx>
        <c:axId val="625357568"/>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25265664"/>
        <c:crosses val="autoZero"/>
        <c:crossBetween val="between"/>
      </c:valAx>
      <c:spPr>
        <a:noFill/>
        <a:ln w="3175">
          <a:solidFill>
            <a:srgbClr val="000000"/>
          </a:solidFill>
          <a:prstDash val="solid"/>
        </a:ln>
      </c:spPr>
    </c:plotArea>
    <c:legend>
      <c:legendPos val="r"/>
      <c:layout>
        <c:manualLayout>
          <c:xMode val="edge"/>
          <c:yMode val="edge"/>
          <c:x val="0.7358493802136119"/>
          <c:y val="0.26006273606043145"/>
          <c:w val="0.2641506197863881"/>
          <c:h val="0.59409384802509446"/>
        </c:manualLayout>
      </c:layout>
      <c:overlay val="0"/>
      <c:spPr>
        <a:noFill/>
        <a:ln w="25400">
          <a:noFill/>
        </a:ln>
      </c:spPr>
    </c:legend>
    <c:plotVisOnly val="0"/>
    <c:dispBlanksAs val="span"/>
    <c:showDLblsOverMax val="0"/>
  </c:chart>
  <c:spPr>
    <a:solidFill>
      <a:sysClr val="window" lastClr="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Care Leavers aged 19-20 who left care on their 18th birthday and remain with their former Foster Carer</a:t>
            </a:r>
          </a:p>
        </c:rich>
      </c:tx>
      <c:layout>
        <c:manualLayout>
          <c:xMode val="edge"/>
          <c:yMode val="edge"/>
          <c:x val="0.10878762029746281"/>
          <c:y val="8.2113659252907156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37915654714237"/>
        </c:manualLayout>
      </c:layout>
      <c:lineChart>
        <c:grouping val="standard"/>
        <c:varyColors val="0"/>
        <c:ser>
          <c:idx val="0"/>
          <c:order val="0"/>
          <c:tx>
            <c:strRef>
              <c:f>Care_Leavers!$B$208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E2E7-4B8E-B450-72910A03D003}"/>
              </c:ext>
            </c:extLst>
          </c:dPt>
          <c:cat>
            <c:strRef>
              <c:f>Care_Leavers!$Y$2:$AC$3</c:f>
              <c:strCache>
                <c:ptCount val="5"/>
                <c:pt idx="0">
                  <c:v>2019/20</c:v>
                </c:pt>
                <c:pt idx="1">
                  <c:v>2020/21</c:v>
                </c:pt>
                <c:pt idx="2">
                  <c:v>2021/22</c:v>
                </c:pt>
                <c:pt idx="3">
                  <c:v>2022/23</c:v>
                </c:pt>
                <c:pt idx="4">
                  <c:v>2023/24</c:v>
                </c:pt>
              </c:strCache>
            </c:strRef>
          </c:cat>
          <c:val>
            <c:numRef>
              <c:f>Care_Leavers!$D$208:$H$208</c:f>
              <c:numCache>
                <c:formatCode>0%</c:formatCode>
                <c:ptCount val="5"/>
                <c:pt idx="0">
                  <c:v>#N/A</c:v>
                </c:pt>
                <c:pt idx="1">
                  <c:v>#N/A</c:v>
                </c:pt>
                <c:pt idx="2">
                  <c:v>#N/A</c:v>
                </c:pt>
                <c:pt idx="3">
                  <c:v>0.58333333333333337</c:v>
                </c:pt>
                <c:pt idx="4">
                  <c:v>0.53846153846153844</c:v>
                </c:pt>
              </c:numCache>
            </c:numRef>
          </c:val>
          <c:smooth val="0"/>
          <c:extLst>
            <c:ext xmlns:c16="http://schemas.microsoft.com/office/drawing/2014/chart" uri="{C3380CC4-5D6E-409C-BE32-E72D297353CC}">
              <c16:uniqueId val="{00000001-E2E7-4B8E-B450-72910A03D003}"/>
            </c:ext>
          </c:extLst>
        </c:ser>
        <c:ser>
          <c:idx val="1"/>
          <c:order val="1"/>
          <c:tx>
            <c:strRef>
              <c:f>Care_Leavers!$B$209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Care_Leavers!$D$209:$H$209</c:f>
              <c:numCache>
                <c:formatCode>0%</c:formatCode>
                <c:ptCount val="5"/>
                <c:pt idx="0">
                  <c:v>0.30158730158730157</c:v>
                </c:pt>
                <c:pt idx="1">
                  <c:v>0.35</c:v>
                </c:pt>
                <c:pt idx="2">
                  <c:v>0.29310344827586204</c:v>
                </c:pt>
                <c:pt idx="3">
                  <c:v>0.23636363636363636</c:v>
                </c:pt>
                <c:pt idx="4">
                  <c:v>0.27868852459016391</c:v>
                </c:pt>
              </c:numCache>
            </c:numRef>
          </c:val>
          <c:smooth val="0"/>
          <c:extLst>
            <c:ext xmlns:c16="http://schemas.microsoft.com/office/drawing/2014/chart" uri="{C3380CC4-5D6E-409C-BE32-E72D297353CC}">
              <c16:uniqueId val="{00000002-E2E7-4B8E-B450-72910A03D003}"/>
            </c:ext>
          </c:extLst>
        </c:ser>
        <c:ser>
          <c:idx val="2"/>
          <c:order val="2"/>
          <c:tx>
            <c:strRef>
              <c:f>Care_Leavers!$B$210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Care_Leavers!$D$210:$H$210</c:f>
              <c:numCache>
                <c:formatCode>0%</c:formatCode>
                <c:ptCount val="5"/>
                <c:pt idx="0">
                  <c:v>0.3125</c:v>
                </c:pt>
                <c:pt idx="1">
                  <c:v>0.41025641025641024</c:v>
                </c:pt>
                <c:pt idx="2">
                  <c:v>0.34</c:v>
                </c:pt>
                <c:pt idx="3">
                  <c:v>0.23529411764705882</c:v>
                </c:pt>
                <c:pt idx="4">
                  <c:v>0.22916666666666666</c:v>
                </c:pt>
              </c:numCache>
            </c:numRef>
          </c:val>
          <c:smooth val="0"/>
          <c:extLst>
            <c:ext xmlns:c16="http://schemas.microsoft.com/office/drawing/2014/chart" uri="{C3380CC4-5D6E-409C-BE32-E72D297353CC}">
              <c16:uniqueId val="{00000003-E2E7-4B8E-B450-72910A03D003}"/>
            </c:ext>
          </c:extLst>
        </c:ser>
        <c:ser>
          <c:idx val="5"/>
          <c:order val="3"/>
          <c:tx>
            <c:strRef>
              <c:f>Care_Leavers!$B$211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Care_Leavers!$D$211:$H$211</c:f>
              <c:numCache>
                <c:formatCode>0%</c:formatCode>
                <c:ptCount val="5"/>
                <c:pt idx="0">
                  <c:v>0.30508474576271188</c:v>
                </c:pt>
                <c:pt idx="1">
                  <c:v>0.15151515151515152</c:v>
                </c:pt>
                <c:pt idx="2">
                  <c:v>0.15094339622641509</c:v>
                </c:pt>
                <c:pt idx="3">
                  <c:v>0.38775510204081631</c:v>
                </c:pt>
                <c:pt idx="4">
                  <c:v>0.35714285714285715</c:v>
                </c:pt>
              </c:numCache>
            </c:numRef>
          </c:val>
          <c:smooth val="0"/>
          <c:extLst>
            <c:ext xmlns:c16="http://schemas.microsoft.com/office/drawing/2014/chart" uri="{C3380CC4-5D6E-409C-BE32-E72D297353CC}">
              <c16:uniqueId val="{00000004-E2E7-4B8E-B450-72910A03D003}"/>
            </c:ext>
          </c:extLst>
        </c:ser>
        <c:ser>
          <c:idx val="9"/>
          <c:order val="4"/>
          <c:tx>
            <c:strRef>
              <c:f>Care_Leavers!$B$212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Care_Leavers!$D$212:$H$212</c:f>
              <c:numCache>
                <c:formatCode>0%</c:formatCode>
                <c:ptCount val="5"/>
                <c:pt idx="0">
                  <c:v>0</c:v>
                </c:pt>
                <c:pt idx="1">
                  <c:v>0</c:v>
                </c:pt>
                <c:pt idx="2">
                  <c:v>0.28260869565217389</c:v>
                </c:pt>
                <c:pt idx="3">
                  <c:v>0.24539877300613497</c:v>
                </c:pt>
                <c:pt idx="4">
                  <c:v>0.13815789473684212</c:v>
                </c:pt>
              </c:numCache>
            </c:numRef>
          </c:val>
          <c:smooth val="0"/>
          <c:extLst>
            <c:ext xmlns:c16="http://schemas.microsoft.com/office/drawing/2014/chart" uri="{C3380CC4-5D6E-409C-BE32-E72D297353CC}">
              <c16:uniqueId val="{00000005-E2E7-4B8E-B450-72910A03D003}"/>
            </c:ext>
          </c:extLst>
        </c:ser>
        <c:ser>
          <c:idx val="10"/>
          <c:order val="5"/>
          <c:tx>
            <c:strRef>
              <c:f>Care_Leavers!$B$213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Care_Leavers!$Y$2:$AC$3</c:f>
              <c:strCache>
                <c:ptCount val="5"/>
                <c:pt idx="0">
                  <c:v>2019/20</c:v>
                </c:pt>
                <c:pt idx="1">
                  <c:v>2020/21</c:v>
                </c:pt>
                <c:pt idx="2">
                  <c:v>2021/22</c:v>
                </c:pt>
                <c:pt idx="3">
                  <c:v>2022/23</c:v>
                </c:pt>
                <c:pt idx="4">
                  <c:v>2023/24</c:v>
                </c:pt>
              </c:strCache>
            </c:strRef>
          </c:cat>
          <c:val>
            <c:numRef>
              <c:f>Care_Leavers!$D$213:$H$213</c:f>
              <c:numCache>
                <c:formatCode>0%</c:formatCode>
                <c:ptCount val="5"/>
                <c:pt idx="0">
                  <c:v>0</c:v>
                </c:pt>
                <c:pt idx="1">
                  <c:v>0</c:v>
                </c:pt>
                <c:pt idx="2">
                  <c:v>#N/A</c:v>
                </c:pt>
                <c:pt idx="3">
                  <c:v>#N/A</c:v>
                </c:pt>
                <c:pt idx="4">
                  <c:v>#N/A</c:v>
                </c:pt>
              </c:numCache>
            </c:numRef>
          </c:val>
          <c:smooth val="0"/>
          <c:extLst>
            <c:ext xmlns:c16="http://schemas.microsoft.com/office/drawing/2014/chart" uri="{C3380CC4-5D6E-409C-BE32-E72D297353CC}">
              <c16:uniqueId val="{00000006-E2E7-4B8E-B450-72910A03D003}"/>
            </c:ext>
          </c:extLst>
        </c:ser>
        <c:ser>
          <c:idx val="11"/>
          <c:order val="6"/>
          <c:tx>
            <c:strRef>
              <c:f>Care_Leavers!$B$214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Care_Leavers!$Y$2:$AC$3</c:f>
              <c:strCache>
                <c:ptCount val="5"/>
                <c:pt idx="0">
                  <c:v>2019/20</c:v>
                </c:pt>
                <c:pt idx="1">
                  <c:v>2020/21</c:v>
                </c:pt>
                <c:pt idx="2">
                  <c:v>2021/22</c:v>
                </c:pt>
                <c:pt idx="3">
                  <c:v>2022/23</c:v>
                </c:pt>
                <c:pt idx="4">
                  <c:v>2023/24</c:v>
                </c:pt>
              </c:strCache>
            </c:strRef>
          </c:cat>
          <c:val>
            <c:numRef>
              <c:f>Care_Leavers!$D$214:$H$214</c:f>
              <c:numCache>
                <c:formatCode>0%</c:formatCode>
                <c:ptCount val="5"/>
                <c:pt idx="0">
                  <c:v>0.27102803738317754</c:v>
                </c:pt>
                <c:pt idx="1">
                  <c:v>0.26923076923076922</c:v>
                </c:pt>
                <c:pt idx="2">
                  <c:v>0.25</c:v>
                </c:pt>
                <c:pt idx="3">
                  <c:v>0.20529801324503311</c:v>
                </c:pt>
                <c:pt idx="4">
                  <c:v>8.8050314465408799E-2</c:v>
                </c:pt>
              </c:numCache>
            </c:numRef>
          </c:val>
          <c:smooth val="0"/>
          <c:extLst>
            <c:ext xmlns:c16="http://schemas.microsoft.com/office/drawing/2014/chart" uri="{C3380CC4-5D6E-409C-BE32-E72D297353CC}">
              <c16:uniqueId val="{00000007-E2E7-4B8E-B450-72910A03D003}"/>
            </c:ext>
          </c:extLst>
        </c:ser>
        <c:ser>
          <c:idx val="12"/>
          <c:order val="7"/>
          <c:tx>
            <c:strRef>
              <c:f>Care_Leavers!$B$215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Care_Leavers!$D$215:$H$215</c:f>
              <c:numCache>
                <c:formatCode>0%</c:formatCode>
                <c:ptCount val="5"/>
                <c:pt idx="0">
                  <c:v>0.41666666666666669</c:v>
                </c:pt>
                <c:pt idx="1">
                  <c:v>0.3125</c:v>
                </c:pt>
                <c:pt idx="2">
                  <c:v>0.27027027027027029</c:v>
                </c:pt>
                <c:pt idx="3">
                  <c:v>0.24390243902439024</c:v>
                </c:pt>
                <c:pt idx="4">
                  <c:v>0.20512820512820512</c:v>
                </c:pt>
              </c:numCache>
            </c:numRef>
          </c:val>
          <c:smooth val="0"/>
          <c:extLst>
            <c:ext xmlns:c16="http://schemas.microsoft.com/office/drawing/2014/chart" uri="{C3380CC4-5D6E-409C-BE32-E72D297353CC}">
              <c16:uniqueId val="{00000008-E2E7-4B8E-B450-72910A03D003}"/>
            </c:ext>
          </c:extLst>
        </c:ser>
        <c:ser>
          <c:idx val="13"/>
          <c:order val="8"/>
          <c:tx>
            <c:strRef>
              <c:f>Care_Leavers!$B$216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Care_Leavers!$Y$2:$AC$3</c:f>
              <c:strCache>
                <c:ptCount val="5"/>
                <c:pt idx="0">
                  <c:v>2019/20</c:v>
                </c:pt>
                <c:pt idx="1">
                  <c:v>2020/21</c:v>
                </c:pt>
                <c:pt idx="2">
                  <c:v>2021/22</c:v>
                </c:pt>
                <c:pt idx="3">
                  <c:v>2022/23</c:v>
                </c:pt>
                <c:pt idx="4">
                  <c:v>2023/24</c:v>
                </c:pt>
              </c:strCache>
            </c:strRef>
          </c:cat>
          <c:val>
            <c:numRef>
              <c:f>Care_Leavers!$D$216:$H$216</c:f>
              <c:numCache>
                <c:formatCode>0%</c:formatCode>
                <c:ptCount val="5"/>
                <c:pt idx="0">
                  <c:v>#N/A</c:v>
                </c:pt>
                <c:pt idx="1">
                  <c:v>#N/A</c:v>
                </c:pt>
                <c:pt idx="2">
                  <c:v>#N/A</c:v>
                </c:pt>
                <c:pt idx="3">
                  <c:v>0.33333333333333331</c:v>
                </c:pt>
                <c:pt idx="4">
                  <c:v>0.34210526315789475</c:v>
                </c:pt>
              </c:numCache>
            </c:numRef>
          </c:val>
          <c:smooth val="0"/>
          <c:extLst>
            <c:ext xmlns:c16="http://schemas.microsoft.com/office/drawing/2014/chart" uri="{C3380CC4-5D6E-409C-BE32-E72D297353CC}">
              <c16:uniqueId val="{00000009-E2E7-4B8E-B450-72910A03D003}"/>
            </c:ext>
          </c:extLst>
        </c:ser>
        <c:ser>
          <c:idx val="15"/>
          <c:order val="9"/>
          <c:tx>
            <c:strRef>
              <c:f>Care_Leavers!$B$217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Care_Leavers!$Y$2:$AC$3</c:f>
              <c:strCache>
                <c:ptCount val="5"/>
                <c:pt idx="0">
                  <c:v>2019/20</c:v>
                </c:pt>
                <c:pt idx="1">
                  <c:v>2020/21</c:v>
                </c:pt>
                <c:pt idx="2">
                  <c:v>2021/22</c:v>
                </c:pt>
                <c:pt idx="3">
                  <c:v>2022/23</c:v>
                </c:pt>
                <c:pt idx="4">
                  <c:v>2023/24</c:v>
                </c:pt>
              </c:strCache>
            </c:strRef>
          </c:cat>
          <c:val>
            <c:numRef>
              <c:f>Care_Leavers!$D$217:$H$217</c:f>
              <c:numCache>
                <c:formatCode>0%</c:formatCode>
                <c:ptCount val="5"/>
                <c:pt idx="0">
                  <c:v>0.22807017543859648</c:v>
                </c:pt>
                <c:pt idx="1">
                  <c:v>0.28358208955223879</c:v>
                </c:pt>
                <c:pt idx="2">
                  <c:v>0.24561403508771928</c:v>
                </c:pt>
                <c:pt idx="3">
                  <c:v>0.21739130434782608</c:v>
                </c:pt>
                <c:pt idx="4">
                  <c:v>0.27659574468085107</c:v>
                </c:pt>
              </c:numCache>
            </c:numRef>
          </c:val>
          <c:smooth val="0"/>
          <c:extLst>
            <c:ext xmlns:c16="http://schemas.microsoft.com/office/drawing/2014/chart" uri="{C3380CC4-5D6E-409C-BE32-E72D297353CC}">
              <c16:uniqueId val="{0000000A-E2E7-4B8E-B450-72910A03D003}"/>
            </c:ext>
          </c:extLst>
        </c:ser>
        <c:ser>
          <c:idx val="16"/>
          <c:order val="10"/>
          <c:tx>
            <c:strRef>
              <c:f>Care_Leavers!$B$218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Care_Leavers!$D$218:$H$218</c:f>
              <c:numCache>
                <c:formatCode>0%</c:formatCode>
                <c:ptCount val="5"/>
                <c:pt idx="0">
                  <c:v>0.1111111111111111</c:v>
                </c:pt>
                <c:pt idx="1">
                  <c:v>0.10606060606060606</c:v>
                </c:pt>
                <c:pt idx="2">
                  <c:v>0.15625</c:v>
                </c:pt>
                <c:pt idx="3">
                  <c:v>0.3125</c:v>
                </c:pt>
                <c:pt idx="4">
                  <c:v>0.18461538461538463</c:v>
                </c:pt>
              </c:numCache>
            </c:numRef>
          </c:val>
          <c:smooth val="0"/>
          <c:extLst>
            <c:ext xmlns:c16="http://schemas.microsoft.com/office/drawing/2014/chart" uri="{C3380CC4-5D6E-409C-BE32-E72D297353CC}">
              <c16:uniqueId val="{0000000B-E2E7-4B8E-B450-72910A03D003}"/>
            </c:ext>
          </c:extLst>
        </c:ser>
        <c:ser>
          <c:idx val="17"/>
          <c:order val="11"/>
          <c:tx>
            <c:strRef>
              <c:f>Care_Leavers!$B$219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Care_Leavers!$Y$2:$AC$3</c:f>
              <c:strCache>
                <c:ptCount val="5"/>
                <c:pt idx="0">
                  <c:v>2019/20</c:v>
                </c:pt>
                <c:pt idx="1">
                  <c:v>2020/21</c:v>
                </c:pt>
                <c:pt idx="2">
                  <c:v>2021/22</c:v>
                </c:pt>
                <c:pt idx="3">
                  <c:v>2022/23</c:v>
                </c:pt>
                <c:pt idx="4">
                  <c:v>2023/24</c:v>
                </c:pt>
              </c:strCache>
            </c:strRef>
          </c:cat>
          <c:val>
            <c:numRef>
              <c:f>Care_Leavers!$D$219:$H$219</c:f>
              <c:numCache>
                <c:formatCode>0%</c:formatCode>
                <c:ptCount val="5"/>
                <c:pt idx="0">
                  <c:v>0.2857142857142857</c:v>
                </c:pt>
                <c:pt idx="1">
                  <c:v>#N/A</c:v>
                </c:pt>
                <c:pt idx="2">
                  <c:v>0.5</c:v>
                </c:pt>
                <c:pt idx="3">
                  <c:v>0.30434782608695654</c:v>
                </c:pt>
                <c:pt idx="4">
                  <c:v>0.36</c:v>
                </c:pt>
              </c:numCache>
            </c:numRef>
          </c:val>
          <c:smooth val="0"/>
          <c:extLst>
            <c:ext xmlns:c16="http://schemas.microsoft.com/office/drawing/2014/chart" uri="{C3380CC4-5D6E-409C-BE32-E72D297353CC}">
              <c16:uniqueId val="{0000000C-E2E7-4B8E-B450-72910A03D003}"/>
            </c:ext>
          </c:extLst>
        </c:ser>
        <c:ser>
          <c:idx val="19"/>
          <c:order val="12"/>
          <c:tx>
            <c:strRef>
              <c:f>Care_Leavers!$B$220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Care_Leavers!$D$220:$H$220</c:f>
              <c:numCache>
                <c:formatCode>0%</c:formatCode>
                <c:ptCount val="5"/>
                <c:pt idx="0">
                  <c:v>0.4</c:v>
                </c:pt>
                <c:pt idx="1">
                  <c:v>0.47368421052631576</c:v>
                </c:pt>
                <c:pt idx="2">
                  <c:v>#N/A</c:v>
                </c:pt>
                <c:pt idx="3">
                  <c:v>0.4</c:v>
                </c:pt>
                <c:pt idx="4">
                  <c:v>0.25</c:v>
                </c:pt>
              </c:numCache>
            </c:numRef>
          </c:val>
          <c:smooth val="0"/>
          <c:extLst>
            <c:ext xmlns:c16="http://schemas.microsoft.com/office/drawing/2014/chart" uri="{C3380CC4-5D6E-409C-BE32-E72D297353CC}">
              <c16:uniqueId val="{0000000D-E2E7-4B8E-B450-72910A03D003}"/>
            </c:ext>
          </c:extLst>
        </c:ser>
        <c:ser>
          <c:idx val="20"/>
          <c:order val="13"/>
          <c:tx>
            <c:strRef>
              <c:f>Care_Leavers!$B$221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Care_Leavers!$D$221:$H$221</c:f>
              <c:numCache>
                <c:formatCode>0%</c:formatCode>
                <c:ptCount val="5"/>
                <c:pt idx="0">
                  <c:v>0.23529411764705882</c:v>
                </c:pt>
                <c:pt idx="1">
                  <c:v>0.27027027027027029</c:v>
                </c:pt>
                <c:pt idx="2">
                  <c:v>0.37209302325581395</c:v>
                </c:pt>
                <c:pt idx="3">
                  <c:v>0.47272727272727272</c:v>
                </c:pt>
                <c:pt idx="4">
                  <c:v>0.40909090909090912</c:v>
                </c:pt>
              </c:numCache>
            </c:numRef>
          </c:val>
          <c:smooth val="0"/>
          <c:extLst>
            <c:ext xmlns:c16="http://schemas.microsoft.com/office/drawing/2014/chart" uri="{C3380CC4-5D6E-409C-BE32-E72D297353CC}">
              <c16:uniqueId val="{0000000F-E2E7-4B8E-B450-72910A03D003}"/>
            </c:ext>
          </c:extLst>
        </c:ser>
        <c:ser>
          <c:idx val="22"/>
          <c:order val="14"/>
          <c:tx>
            <c:strRef>
              <c:f>Care_Leavers!$B$222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Care_Leavers!$Y$2:$AC$3</c:f>
              <c:strCache>
                <c:ptCount val="5"/>
                <c:pt idx="0">
                  <c:v>2019/20</c:v>
                </c:pt>
                <c:pt idx="1">
                  <c:v>2020/21</c:v>
                </c:pt>
                <c:pt idx="2">
                  <c:v>2021/22</c:v>
                </c:pt>
                <c:pt idx="3">
                  <c:v>2022/23</c:v>
                </c:pt>
                <c:pt idx="4">
                  <c:v>2023/24</c:v>
                </c:pt>
              </c:strCache>
            </c:strRef>
          </c:cat>
          <c:val>
            <c:numRef>
              <c:f>Care_Leavers!$D$222:$H$222</c:f>
              <c:numCache>
                <c:formatCode>0%</c:formatCode>
                <c:ptCount val="5"/>
                <c:pt idx="0">
                  <c:v>0.17857142857142858</c:v>
                </c:pt>
                <c:pt idx="1">
                  <c:v>0.17796610169491525</c:v>
                </c:pt>
                <c:pt idx="2">
                  <c:v>0.17592592592592593</c:v>
                </c:pt>
                <c:pt idx="3">
                  <c:v>0.25</c:v>
                </c:pt>
                <c:pt idx="4">
                  <c:v>0.31578947368421051</c:v>
                </c:pt>
              </c:numCache>
            </c:numRef>
          </c:val>
          <c:smooth val="0"/>
          <c:extLst>
            <c:ext xmlns:c16="http://schemas.microsoft.com/office/drawing/2014/chart" uri="{C3380CC4-5D6E-409C-BE32-E72D297353CC}">
              <c16:uniqueId val="{00000010-E2E7-4B8E-B450-72910A03D003}"/>
            </c:ext>
          </c:extLst>
        </c:ser>
        <c:ser>
          <c:idx val="23"/>
          <c:order val="15"/>
          <c:tx>
            <c:strRef>
              <c:f>Care_Leavers!$B$223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Care_Leavers!$Y$2:$AC$3</c:f>
              <c:strCache>
                <c:ptCount val="5"/>
                <c:pt idx="0">
                  <c:v>2019/20</c:v>
                </c:pt>
                <c:pt idx="1">
                  <c:v>2020/21</c:v>
                </c:pt>
                <c:pt idx="2">
                  <c:v>2021/22</c:v>
                </c:pt>
                <c:pt idx="3">
                  <c:v>2022/23</c:v>
                </c:pt>
                <c:pt idx="4">
                  <c:v>2023/24</c:v>
                </c:pt>
              </c:strCache>
            </c:strRef>
          </c:cat>
          <c:val>
            <c:numRef>
              <c:f>Care_Leavers!$D$223:$H$223</c:f>
              <c:numCache>
                <c:formatCode>0%</c:formatCode>
                <c:ptCount val="5"/>
                <c:pt idx="0">
                  <c:v>#N/A</c:v>
                </c:pt>
                <c:pt idx="1">
                  <c:v>0.52941176470588236</c:v>
                </c:pt>
                <c:pt idx="2">
                  <c:v>0.58333333333333337</c:v>
                </c:pt>
                <c:pt idx="3">
                  <c:v>0.41666666666666669</c:v>
                </c:pt>
                <c:pt idx="4">
                  <c:v>0.47826086956521741</c:v>
                </c:pt>
              </c:numCache>
            </c:numRef>
          </c:val>
          <c:smooth val="0"/>
          <c:extLst>
            <c:ext xmlns:c16="http://schemas.microsoft.com/office/drawing/2014/chart" uri="{C3380CC4-5D6E-409C-BE32-E72D297353CC}">
              <c16:uniqueId val="{00000012-E2E7-4B8E-B450-72910A03D003}"/>
            </c:ext>
          </c:extLst>
        </c:ser>
        <c:ser>
          <c:idx val="24"/>
          <c:order val="16"/>
          <c:tx>
            <c:strRef>
              <c:f>Care_Leavers!$B$224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Care_Leavers!$Y$2:$AC$3</c:f>
              <c:strCache>
                <c:ptCount val="5"/>
                <c:pt idx="0">
                  <c:v>2019/20</c:v>
                </c:pt>
                <c:pt idx="1">
                  <c:v>2020/21</c:v>
                </c:pt>
                <c:pt idx="2">
                  <c:v>2021/22</c:v>
                </c:pt>
                <c:pt idx="3">
                  <c:v>2022/23</c:v>
                </c:pt>
                <c:pt idx="4">
                  <c:v>2023/24</c:v>
                </c:pt>
              </c:strCache>
            </c:strRef>
          </c:cat>
          <c:val>
            <c:numRef>
              <c:f>Care_Leavers!$D$224:$H$224</c:f>
              <c:numCache>
                <c:formatCode>0%</c:formatCode>
                <c:ptCount val="5"/>
                <c:pt idx="0">
                  <c:v>0.49382716049382713</c:v>
                </c:pt>
                <c:pt idx="1">
                  <c:v>0.52380952380952384</c:v>
                </c:pt>
                <c:pt idx="2">
                  <c:v>0.39473684210526316</c:v>
                </c:pt>
                <c:pt idx="3">
                  <c:v>0.38461538461538464</c:v>
                </c:pt>
                <c:pt idx="4">
                  <c:v>0.39325842696629215</c:v>
                </c:pt>
              </c:numCache>
            </c:numRef>
          </c:val>
          <c:smooth val="0"/>
          <c:extLst>
            <c:ext xmlns:c16="http://schemas.microsoft.com/office/drawing/2014/chart" uri="{C3380CC4-5D6E-409C-BE32-E72D297353CC}">
              <c16:uniqueId val="{00000013-E2E7-4B8E-B450-72910A03D003}"/>
            </c:ext>
          </c:extLst>
        </c:ser>
        <c:ser>
          <c:idx val="25"/>
          <c:order val="17"/>
          <c:tx>
            <c:strRef>
              <c:f>Care_Leavers!$B$225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Care_Leavers!$Y$2:$AC$3</c:f>
              <c:strCache>
                <c:ptCount val="5"/>
                <c:pt idx="0">
                  <c:v>2019/20</c:v>
                </c:pt>
                <c:pt idx="1">
                  <c:v>2020/21</c:v>
                </c:pt>
                <c:pt idx="2">
                  <c:v>2021/22</c:v>
                </c:pt>
                <c:pt idx="3">
                  <c:v>2022/23</c:v>
                </c:pt>
                <c:pt idx="4">
                  <c:v>2023/24</c:v>
                </c:pt>
              </c:strCache>
            </c:strRef>
          </c:cat>
          <c:val>
            <c:numRef>
              <c:f>Care_Leavers!$D$225:$H$225</c:f>
              <c:numCache>
                <c:formatCode>0%</c:formatCode>
                <c:ptCount val="5"/>
                <c:pt idx="0">
                  <c:v>#N/A</c:v>
                </c:pt>
                <c:pt idx="1">
                  <c:v>#N/A</c:v>
                </c:pt>
                <c:pt idx="2">
                  <c:v>0.33333333333333331</c:v>
                </c:pt>
                <c:pt idx="3">
                  <c:v>0.31578947368421051</c:v>
                </c:pt>
                <c:pt idx="4">
                  <c:v>#N/A</c:v>
                </c:pt>
              </c:numCache>
            </c:numRef>
          </c:val>
          <c:smooth val="0"/>
          <c:extLst>
            <c:ext xmlns:c16="http://schemas.microsoft.com/office/drawing/2014/chart" uri="{C3380CC4-5D6E-409C-BE32-E72D297353CC}">
              <c16:uniqueId val="{00000014-E2E7-4B8E-B450-72910A03D003}"/>
            </c:ext>
          </c:extLst>
        </c:ser>
        <c:ser>
          <c:idx val="26"/>
          <c:order val="18"/>
          <c:tx>
            <c:strRef>
              <c:f>Care_Leavers!$B$226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Care_Leavers!$D$226:$H$226</c:f>
              <c:numCache>
                <c:formatCode>0%</c:formatCode>
                <c:ptCount val="5"/>
                <c:pt idx="0">
                  <c:v>0.4</c:v>
                </c:pt>
                <c:pt idx="1">
                  <c:v>0.58823529411764708</c:v>
                </c:pt>
                <c:pt idx="2">
                  <c:v>0.47058823529411764</c:v>
                </c:pt>
                <c:pt idx="3">
                  <c:v>#N/A</c:v>
                </c:pt>
                <c:pt idx="4">
                  <c:v>#N/A</c:v>
                </c:pt>
              </c:numCache>
            </c:numRef>
          </c:val>
          <c:smooth val="0"/>
          <c:extLst>
            <c:ext xmlns:c16="http://schemas.microsoft.com/office/drawing/2014/chart" uri="{C3380CC4-5D6E-409C-BE32-E72D297353CC}">
              <c16:uniqueId val="{00000015-E2E7-4B8E-B450-72910A03D003}"/>
            </c:ext>
          </c:extLst>
        </c:ser>
        <c:ser>
          <c:idx val="4"/>
          <c:order val="19"/>
          <c:tx>
            <c:strRef>
              <c:f>Care_Leavers!$B$227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Care_Leavers!$Y$2:$AC$3</c:f>
              <c:strCache>
                <c:ptCount val="5"/>
                <c:pt idx="0">
                  <c:v>2019/20</c:v>
                </c:pt>
                <c:pt idx="1">
                  <c:v>2020/21</c:v>
                </c:pt>
                <c:pt idx="2">
                  <c:v>2021/22</c:v>
                </c:pt>
                <c:pt idx="3">
                  <c:v>2022/23</c:v>
                </c:pt>
                <c:pt idx="4">
                  <c:v>2023/24</c:v>
                </c:pt>
              </c:strCache>
            </c:strRef>
          </c:cat>
          <c:val>
            <c:numRef>
              <c:f>Care_Leavers!$D$227:$H$227</c:f>
              <c:numCache>
                <c:formatCode>0%</c:formatCode>
                <c:ptCount val="5"/>
                <c:pt idx="0">
                  <c:v>0.23148148148148148</c:v>
                </c:pt>
                <c:pt idx="1">
                  <c:v>0.24029574861367836</c:v>
                </c:pt>
                <c:pt idx="2">
                  <c:v>0.27645376549094375</c:v>
                </c:pt>
                <c:pt idx="3">
                  <c:v>0.28999999999999998</c:v>
                </c:pt>
                <c:pt idx="4">
                  <c:v>0.25714285714285712</c:v>
                </c:pt>
              </c:numCache>
            </c:numRef>
          </c:val>
          <c:smooth val="0"/>
          <c:extLst>
            <c:ext xmlns:c16="http://schemas.microsoft.com/office/drawing/2014/chart" uri="{C3380CC4-5D6E-409C-BE32-E72D297353CC}">
              <c16:uniqueId val="{00000016-E2E7-4B8E-B450-72910A03D003}"/>
            </c:ext>
          </c:extLst>
        </c:ser>
        <c:ser>
          <c:idx val="6"/>
          <c:order val="20"/>
          <c:tx>
            <c:strRef>
              <c:f>Care_Leavers!$B$228</c:f>
              <c:strCache>
                <c:ptCount val="1"/>
                <c:pt idx="0">
                  <c:v>England</c:v>
                </c:pt>
              </c:strCache>
            </c:strRef>
          </c:tx>
          <c:spPr>
            <a:ln w="15875">
              <a:solidFill>
                <a:schemeClr val="tx1">
                  <a:lumMod val="75000"/>
                  <a:lumOff val="25000"/>
                </a:schemeClr>
              </a:solidFill>
            </a:ln>
          </c:spPr>
          <c:marker>
            <c:spPr>
              <a:ln>
                <a:solidFill>
                  <a:schemeClr val="tx1">
                    <a:lumMod val="75000"/>
                    <a:lumOff val="25000"/>
                  </a:schemeClr>
                </a:solidFill>
              </a:ln>
            </c:spPr>
          </c:marker>
          <c:cat>
            <c:strRef>
              <c:f>Care_Leavers!$Y$2:$AC$3</c:f>
              <c:strCache>
                <c:ptCount val="5"/>
                <c:pt idx="0">
                  <c:v>2019/20</c:v>
                </c:pt>
                <c:pt idx="1">
                  <c:v>2020/21</c:v>
                </c:pt>
                <c:pt idx="2">
                  <c:v>2021/22</c:v>
                </c:pt>
                <c:pt idx="3">
                  <c:v>2022/23</c:v>
                </c:pt>
                <c:pt idx="4">
                  <c:v>2023/24</c:v>
                </c:pt>
              </c:strCache>
            </c:strRef>
          </c:cat>
          <c:val>
            <c:numRef>
              <c:f>Care_Leavers!$D$228:$H$228</c:f>
              <c:numCache>
                <c:formatCode>0%</c:formatCode>
                <c:ptCount val="5"/>
                <c:pt idx="0">
                  <c:v>0.28000000000000003</c:v>
                </c:pt>
                <c:pt idx="1">
                  <c:v>0.29796511627906974</c:v>
                </c:pt>
                <c:pt idx="2">
                  <c:v>0.3137535816618911</c:v>
                </c:pt>
                <c:pt idx="3">
                  <c:v>0.31983240223463688</c:v>
                </c:pt>
                <c:pt idx="4">
                  <c:v>0.32369146005509641</c:v>
                </c:pt>
              </c:numCache>
            </c:numRef>
          </c:val>
          <c:smooth val="0"/>
          <c:extLst>
            <c:ext xmlns:c16="http://schemas.microsoft.com/office/drawing/2014/chart" uri="{C3380CC4-5D6E-409C-BE32-E72D297353CC}">
              <c16:uniqueId val="{00000002-AD3C-41CE-8E68-A85FBF1AE5F0}"/>
            </c:ext>
          </c:extLst>
        </c:ser>
        <c:ser>
          <c:idx val="8"/>
          <c:order val="21"/>
          <c:tx>
            <c:strRef>
              <c:f>Care_Leavers!$Z$4</c:f>
              <c:strCache>
                <c:ptCount val="1"/>
                <c:pt idx="0">
                  <c:v>Selected LA- (none)</c:v>
                </c:pt>
              </c:strCache>
            </c:strRef>
          </c:tx>
          <c:spPr>
            <a:ln>
              <a:solidFill>
                <a:schemeClr val="tx1"/>
              </a:solidFill>
            </a:ln>
          </c:spPr>
          <c:marker>
            <c:symbol val="circle"/>
            <c:size val="7"/>
            <c:spPr>
              <a:solidFill>
                <a:srgbClr val="66FF99"/>
              </a:solidFill>
              <a:ln>
                <a:solidFill>
                  <a:schemeClr val="tx1"/>
                </a:solidFill>
              </a:ln>
            </c:spPr>
          </c:marker>
          <c:cat>
            <c:strRef>
              <c:f>Care_Leavers!$Y$2:$AC$3</c:f>
              <c:strCache>
                <c:ptCount val="5"/>
                <c:pt idx="0">
                  <c:v>2019/20</c:v>
                </c:pt>
                <c:pt idx="1">
                  <c:v>2020/21</c:v>
                </c:pt>
                <c:pt idx="2">
                  <c:v>2021/22</c:v>
                </c:pt>
                <c:pt idx="3">
                  <c:v>2022/23</c:v>
                </c:pt>
                <c:pt idx="4">
                  <c:v>2023/24</c:v>
                </c:pt>
              </c:strCache>
            </c:strRef>
          </c:cat>
          <c:val>
            <c:numRef>
              <c:f>Care_Leavers!$BG$59:$BK$59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AD3C-41CE-8E68-A85FBF1AE5F0}"/>
            </c:ext>
          </c:extLst>
        </c:ser>
        <c:dLbls>
          <c:showLegendKey val="0"/>
          <c:showVal val="0"/>
          <c:showCatName val="0"/>
          <c:showSerName val="0"/>
          <c:showPercent val="0"/>
          <c:showBubbleSize val="0"/>
        </c:dLbls>
        <c:marker val="1"/>
        <c:smooth val="0"/>
        <c:axId val="625683072"/>
        <c:axId val="625705728"/>
      </c:lineChart>
      <c:catAx>
        <c:axId val="625683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25705728"/>
        <c:crosses val="autoZero"/>
        <c:auto val="1"/>
        <c:lblAlgn val="ctr"/>
        <c:lblOffset val="100"/>
        <c:tickLblSkip val="1"/>
        <c:tickMarkSkip val="1"/>
        <c:noMultiLvlLbl val="0"/>
      </c:catAx>
      <c:valAx>
        <c:axId val="62570572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2568307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0668096366003028"/>
          <c:h val="0.87478760930763944"/>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b="1" i="0" u="none" strike="noStrike" baseline="0">
                <a:solidFill>
                  <a:srgbClr val="000000"/>
                </a:solidFill>
                <a:latin typeface="Arial"/>
                <a:ea typeface="Arial"/>
                <a:cs typeface="Arial"/>
              </a:defRPr>
            </a:pPr>
            <a:r>
              <a:rPr lang="en-GB" sz="1100"/>
              <a:t>Distance from Expected Rate of </a:t>
            </a:r>
            <a:r>
              <a:rPr lang="en-GB" sz="1100" b="1" i="0" u="none" strike="noStrike" baseline="0">
                <a:effectLst/>
              </a:rPr>
              <a:t>Care Leavers</a:t>
            </a:r>
            <a:endParaRPr lang="en-GB" sz="1100"/>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26753493047411625"/>
          <c:y val="0.13754659323684476"/>
          <c:w val="0.6965077344055397"/>
          <c:h val="0.80483344421018621"/>
        </c:manualLayout>
      </c:layout>
      <c:barChart>
        <c:barDir val="bar"/>
        <c:grouping val="clustered"/>
        <c:varyColors val="0"/>
        <c:ser>
          <c:idx val="2"/>
          <c:order val="0"/>
          <c:tx>
            <c:strRef>
              <c:f>Care_Leavers!$S$7</c:f>
              <c:strCache>
                <c:ptCount val="1"/>
                <c:pt idx="0">
                  <c:v>Distance from 2024 Expected Rate based on IDACI</c:v>
                </c:pt>
              </c:strCache>
            </c:strRef>
          </c:tx>
          <c:spPr>
            <a:solidFill>
              <a:srgbClr val="FB994F"/>
            </a:solidFill>
            <a:ln w="25400">
              <a:noFill/>
            </a:ln>
          </c:spPr>
          <c:invertIfNegative val="0"/>
          <c:cat>
            <c:strRef>
              <c:f>Care_Leavers!$X$72:$X$92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Care_Leavers!$T$11:$T$31</c:f>
              <c:numCache>
                <c:formatCode>0.0</c:formatCode>
                <c:ptCount val="21"/>
                <c:pt idx="0">
                  <c:v>61.645175963705725</c:v>
                </c:pt>
                <c:pt idx="1">
                  <c:v>-105.10661995107806</c:v>
                </c:pt>
                <c:pt idx="2">
                  <c:v>-3.2596617062229143</c:v>
                </c:pt>
                <c:pt idx="3">
                  <c:v>-10.736787969123071</c:v>
                </c:pt>
                <c:pt idx="4">
                  <c:v>-6.7508662700873856</c:v>
                </c:pt>
                <c:pt idx="5">
                  <c:v>96.009174350879107</c:v>
                </c:pt>
                <c:pt idx="6">
                  <c:v>52.915484656118394</c:v>
                </c:pt>
                <c:pt idx="7">
                  <c:v>-48.757377835307182</c:v>
                </c:pt>
                <c:pt idx="8">
                  <c:v>54.773630786306114</c:v>
                </c:pt>
                <c:pt idx="9">
                  <c:v>-81.890336332480501</c:v>
                </c:pt>
                <c:pt idx="10">
                  <c:v>-60.905057844833749</c:v>
                </c:pt>
                <c:pt idx="11">
                  <c:v>-81.804998638055878</c:v>
                </c:pt>
                <c:pt idx="12">
                  <c:v>20.941827436762594</c:v>
                </c:pt>
                <c:pt idx="13">
                  <c:v>-123.27156860249667</c:v>
                </c:pt>
                <c:pt idx="14">
                  <c:v>-30.374340694778681</c:v>
                </c:pt>
                <c:pt idx="15">
                  <c:v>108.87067105471061</c:v>
                </c:pt>
                <c:pt idx="16">
                  <c:v>16.801235161343328</c:v>
                </c:pt>
                <c:pt idx="17">
                  <c:v>16.789763574406862</c:v>
                </c:pt>
                <c:pt idx="18">
                  <c:v>-38.666636888094331</c:v>
                </c:pt>
                <c:pt idx="19">
                  <c:v>-21.045794956062281</c:v>
                </c:pt>
                <c:pt idx="20">
                  <c:v>-28.492931629576162</c:v>
                </c:pt>
              </c:numCache>
            </c:numRef>
          </c:val>
          <c:extLst>
            <c:ext xmlns:c16="http://schemas.microsoft.com/office/drawing/2014/chart" uri="{C3380CC4-5D6E-409C-BE32-E72D297353CC}">
              <c16:uniqueId val="{00000000-D2E8-4D58-B9CD-C0109099B0E0}"/>
            </c:ext>
          </c:extLst>
        </c:ser>
        <c:ser>
          <c:idx val="0"/>
          <c:order val="1"/>
          <c:tx>
            <c:strRef>
              <c:f>Care_Leavers!$Z$4</c:f>
              <c:strCache>
                <c:ptCount val="1"/>
                <c:pt idx="0">
                  <c:v>Selected LA- (none)</c:v>
                </c:pt>
              </c:strCache>
            </c:strRef>
          </c:tx>
          <c:spPr>
            <a:solidFill>
              <a:srgbClr val="66FF99"/>
            </a:solidFill>
            <a:ln w="12700">
              <a:solidFill>
                <a:srgbClr val="000000"/>
              </a:solidFill>
              <a:prstDash val="solid"/>
            </a:ln>
          </c:spPr>
          <c:invertIfNegative val="0"/>
          <c:cat>
            <c:strRef>
              <c:f>Care_Leavers!$X$72:$X$92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Care_Leavers!$Z$72:$Z$92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D2E8-4D58-B9CD-C0109099B0E0}"/>
            </c:ext>
          </c:extLst>
        </c:ser>
        <c:dLbls>
          <c:showLegendKey val="0"/>
          <c:showVal val="0"/>
          <c:showCatName val="0"/>
          <c:showSerName val="0"/>
          <c:showPercent val="0"/>
          <c:showBubbleSize val="0"/>
        </c:dLbls>
        <c:gapWidth val="40"/>
        <c:overlap val="100"/>
        <c:axId val="600957312"/>
        <c:axId val="600958848"/>
      </c:barChart>
      <c:catAx>
        <c:axId val="60095731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0958848"/>
        <c:crossesAt val="0"/>
        <c:auto val="1"/>
        <c:lblAlgn val="ctr"/>
        <c:lblOffset val="100"/>
        <c:noMultiLvlLbl val="0"/>
      </c:catAx>
      <c:valAx>
        <c:axId val="600958848"/>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0957312"/>
        <c:crosses val="max"/>
        <c:crossBetween val="between"/>
      </c:valAx>
      <c:spPr>
        <a:noFill/>
        <a:ln w="12700">
          <a:solidFill>
            <a:srgbClr val="000000"/>
          </a:solidFill>
          <a:prstDash val="solid"/>
        </a:ln>
      </c:spPr>
    </c:plotArea>
    <c:legend>
      <c:legendPos val="t"/>
      <c:layout>
        <c:manualLayout>
          <c:xMode val="edge"/>
          <c:yMode val="edge"/>
          <c:x val="0.10119040040740976"/>
          <c:y val="5.8065207073227119E-2"/>
          <c:w val="0.82341078362722009"/>
          <c:h val="5.5317861156072644E-2"/>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Care_Leavers!$AK$5</c:f>
          <c:strCache>
            <c:ptCount val="1"/>
            <c:pt idx="0">
              <c:v>Average Annual Change in Number of Care Leavers</c:v>
            </c:pt>
          </c:strCache>
        </c:strRef>
      </c:tx>
      <c:layout>
        <c:manualLayout>
          <c:xMode val="edge"/>
          <c:yMode val="edge"/>
          <c:x val="3.1836650339967347E-2"/>
          <c:y val="1.2345612903487528E-2"/>
        </c:manualLayout>
      </c:layout>
      <c:overlay val="1"/>
      <c:txPr>
        <a:bodyPr/>
        <a:lstStyle/>
        <a:p>
          <a:pPr algn="l">
            <a:defRPr sz="1100" b="1"/>
          </a:pPr>
          <a:endParaRPr lang="en-US"/>
        </a:p>
      </c:txPr>
    </c:title>
    <c:autoTitleDeleted val="0"/>
    <c:plotArea>
      <c:layout>
        <c:manualLayout>
          <c:layoutTarget val="inner"/>
          <c:xMode val="edge"/>
          <c:yMode val="edge"/>
          <c:x val="0.26583809159161659"/>
          <c:y val="0.13343135348822138"/>
          <c:w val="0.68840427716091512"/>
          <c:h val="0.80894867308253138"/>
        </c:manualLayout>
      </c:layout>
      <c:barChart>
        <c:barDir val="bar"/>
        <c:grouping val="clustered"/>
        <c:varyColors val="0"/>
        <c:ser>
          <c:idx val="0"/>
          <c:order val="0"/>
          <c:tx>
            <c:strRef>
              <c:f>Care_Leavers!$I$7</c:f>
              <c:strCache>
                <c:ptCount val="1"/>
                <c:pt idx="0">
                  <c:v>Average Annual Change </c:v>
                </c:pt>
              </c:strCache>
            </c:strRef>
          </c:tx>
          <c:spPr>
            <a:solidFill>
              <a:srgbClr val="FB994F"/>
            </a:solidFill>
            <a:ln w="25400">
              <a:noFill/>
            </a:ln>
          </c:spPr>
          <c:invertIfNegative val="0"/>
          <c:cat>
            <c:strRef>
              <c:f>Care_Leavers!$B$11:$B$31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Care_Leavers!$I$11:$I$31</c:f>
              <c:numCache>
                <c:formatCode>0.0%</c:formatCode>
                <c:ptCount val="21"/>
                <c:pt idx="0">
                  <c:v>7.3391812865497078E-2</c:v>
                </c:pt>
                <c:pt idx="1">
                  <c:v>-8.0107791879595516E-3</c:v>
                </c:pt>
                <c:pt idx="2">
                  <c:v>5.9061024142060339E-2</c:v>
                </c:pt>
                <c:pt idx="3">
                  <c:v>7.6528601015757189E-2</c:v>
                </c:pt>
                <c:pt idx="4">
                  <c:v>6.7181404199977188E-2</c:v>
                </c:pt>
                <c:pt idx="5">
                  <c:v>1.8001343064623559E-2</c:v>
                </c:pt>
                <c:pt idx="6">
                  <c:v>-3.1543913930836963E-2</c:v>
                </c:pt>
                <c:pt idx="7">
                  <c:v>5.7254004255029543E-2</c:v>
                </c:pt>
                <c:pt idx="8">
                  <c:v>4.1826486735989002E-2</c:v>
                </c:pt>
                <c:pt idx="9">
                  <c:v>7.4209923403747741E-2</c:v>
                </c:pt>
                <c:pt idx="10">
                  <c:v>0.12268575078722835</c:v>
                </c:pt>
                <c:pt idx="11">
                  <c:v>8.2656093054957663E-2</c:v>
                </c:pt>
                <c:pt idx="12">
                  <c:v>5.1054046406338427E-2</c:v>
                </c:pt>
                <c:pt idx="13">
                  <c:v>0.10185619740292273</c:v>
                </c:pt>
                <c:pt idx="14">
                  <c:v>4.8064651889197257E-2</c:v>
                </c:pt>
                <c:pt idx="15">
                  <c:v>8.6030711916491878E-2</c:v>
                </c:pt>
                <c:pt idx="16">
                  <c:v>7.0514607011503791E-2</c:v>
                </c:pt>
                <c:pt idx="17">
                  <c:v>4.922591375674322E-2</c:v>
                </c:pt>
                <c:pt idx="18">
                  <c:v>0.11442523522329187</c:v>
                </c:pt>
                <c:pt idx="19">
                  <c:v>4.7931207612329781E-2</c:v>
                </c:pt>
                <c:pt idx="20">
                  <c:v>3.7003530938304094E-2</c:v>
                </c:pt>
              </c:numCache>
            </c:numRef>
          </c:val>
          <c:extLst>
            <c:ext xmlns:c16="http://schemas.microsoft.com/office/drawing/2014/chart" uri="{C3380CC4-5D6E-409C-BE32-E72D297353CC}">
              <c16:uniqueId val="{00000000-2987-437C-8FDC-E48207966978}"/>
            </c:ext>
          </c:extLst>
        </c:ser>
        <c:ser>
          <c:idx val="1"/>
          <c:order val="1"/>
          <c:tx>
            <c:strRef>
              <c:f>Care_Leavers!$Z$4</c:f>
              <c:strCache>
                <c:ptCount val="1"/>
                <c:pt idx="0">
                  <c:v>Selected LA- (none)</c:v>
                </c:pt>
              </c:strCache>
            </c:strRef>
          </c:tx>
          <c:spPr>
            <a:solidFill>
              <a:srgbClr val="66FF99"/>
            </a:solidFill>
            <a:ln w="12700">
              <a:solidFill>
                <a:srgbClr val="000000"/>
              </a:solidFill>
              <a:prstDash val="solid"/>
            </a:ln>
          </c:spPr>
          <c:invertIfNegative val="0"/>
          <c:cat>
            <c:strRef>
              <c:f>Care_Leavers!$B$11:$B$31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Care_Leavers!$Y$72:$Y$92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2987-437C-8FDC-E48207966978}"/>
            </c:ext>
          </c:extLst>
        </c:ser>
        <c:dLbls>
          <c:showLegendKey val="0"/>
          <c:showVal val="0"/>
          <c:showCatName val="0"/>
          <c:showSerName val="0"/>
          <c:showPercent val="0"/>
          <c:showBubbleSize val="0"/>
        </c:dLbls>
        <c:gapWidth val="40"/>
        <c:overlap val="100"/>
        <c:axId val="601315968"/>
        <c:axId val="601321856"/>
      </c:barChart>
      <c:catAx>
        <c:axId val="60131596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601321856"/>
        <c:crosses val="autoZero"/>
        <c:auto val="1"/>
        <c:lblAlgn val="ctr"/>
        <c:lblOffset val="100"/>
        <c:noMultiLvlLbl val="0"/>
      </c:catAx>
      <c:valAx>
        <c:axId val="601321856"/>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01315968"/>
        <c:crosses val="max"/>
        <c:crossBetween val="between"/>
      </c:valAx>
      <c:spPr>
        <a:noFill/>
        <a:ln w="3175">
          <a:solidFill>
            <a:srgbClr val="000000"/>
          </a:solidFill>
          <a:prstDash val="solid"/>
        </a:ln>
      </c:spPr>
    </c:plotArea>
    <c:legend>
      <c:legendPos val="t"/>
      <c:layout>
        <c:manualLayout>
          <c:xMode val="edge"/>
          <c:yMode val="edge"/>
          <c:x val="2.836206896551724E-2"/>
          <c:y val="7.8066985350641618E-2"/>
          <c:w val="0.92134016653090767"/>
          <c:h val="4.089223042176466E-2"/>
        </c:manualLayout>
      </c:layout>
      <c:overlay val="0"/>
      <c:spPr>
        <a:noFill/>
        <a:ln w="12700">
          <a:noFill/>
          <a:prstDash val="solid"/>
        </a:ln>
      </c:spPr>
    </c:legend>
    <c:plotVisOnly val="0"/>
    <c:dispBlanksAs val="gap"/>
    <c:showDLblsOverMax val="0"/>
  </c:chart>
  <c:spPr>
    <a:solidFill>
      <a:srgbClr val="FFFFFF"/>
    </a:solidFill>
    <a:ln w="12700">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Missing Education, </a:t>
            </a:r>
          </a:p>
          <a:p>
            <a:pPr>
              <a:defRPr sz="1000" b="1" i="0" u="none" strike="noStrike" baseline="0">
                <a:solidFill>
                  <a:srgbClr val="000000"/>
                </a:solidFill>
                <a:latin typeface="Arial"/>
                <a:ea typeface="Arial"/>
                <a:cs typeface="Arial"/>
              </a:defRPr>
            </a:pPr>
            <a:r>
              <a:rPr lang="en-GB"/>
              <a:t>per 10,000 5-15 year olds</a:t>
            </a:r>
          </a:p>
        </c:rich>
      </c:tx>
      <c:layout>
        <c:manualLayout>
          <c:xMode val="edge"/>
          <c:yMode val="edge"/>
          <c:x val="0.24569055692855912"/>
          <c:y val="1.0531740794488318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EHE_CME!$AK$40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91F8-4B95-BF9C-0FF8B0FCE301}"/>
              </c:ext>
            </c:extLst>
          </c:dPt>
          <c:cat>
            <c:strRef>
              <c:f>EHE_CME!$Y$2:$AC$3</c:f>
              <c:strCache>
                <c:ptCount val="5"/>
                <c:pt idx="0">
                  <c:v>2019/20</c:v>
                </c:pt>
                <c:pt idx="1">
                  <c:v>2020/21</c:v>
                </c:pt>
                <c:pt idx="2">
                  <c:v>2021/22</c:v>
                </c:pt>
                <c:pt idx="3">
                  <c:v>2022/23</c:v>
                </c:pt>
                <c:pt idx="4">
                  <c:v>2023/24</c:v>
                </c:pt>
              </c:strCache>
            </c:strRef>
          </c:cat>
          <c:val>
            <c:numRef>
              <c:f>EHE_CME!$AL$40:$AP$40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91F8-4B95-BF9C-0FF8B0FCE301}"/>
            </c:ext>
          </c:extLst>
        </c:ser>
        <c:ser>
          <c:idx val="1"/>
          <c:order val="1"/>
          <c:tx>
            <c:strRef>
              <c:f>EHE_CME!$AK$41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EHE_CME!$Y$2:$AC$3</c:f>
              <c:strCache>
                <c:ptCount val="5"/>
                <c:pt idx="0">
                  <c:v>2019/20</c:v>
                </c:pt>
                <c:pt idx="1">
                  <c:v>2020/21</c:v>
                </c:pt>
                <c:pt idx="2">
                  <c:v>2021/22</c:v>
                </c:pt>
                <c:pt idx="3">
                  <c:v>2022/23</c:v>
                </c:pt>
                <c:pt idx="4">
                  <c:v>2023/24</c:v>
                </c:pt>
              </c:strCache>
            </c:strRef>
          </c:cat>
          <c:val>
            <c:numRef>
              <c:f>EHE_CME!$AL$41:$AP$41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91F8-4B95-BF9C-0FF8B0FCE301}"/>
            </c:ext>
          </c:extLst>
        </c:ser>
        <c:ser>
          <c:idx val="2"/>
          <c:order val="2"/>
          <c:tx>
            <c:strRef>
              <c:f>EHE_CME!$AK$42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EHE_CME!$Y$2:$AC$3</c:f>
              <c:strCache>
                <c:ptCount val="5"/>
                <c:pt idx="0">
                  <c:v>2019/20</c:v>
                </c:pt>
                <c:pt idx="1">
                  <c:v>2020/21</c:v>
                </c:pt>
                <c:pt idx="2">
                  <c:v>2021/22</c:v>
                </c:pt>
                <c:pt idx="3">
                  <c:v>2022/23</c:v>
                </c:pt>
                <c:pt idx="4">
                  <c:v>2023/24</c:v>
                </c:pt>
              </c:strCache>
            </c:strRef>
          </c:cat>
          <c:val>
            <c:numRef>
              <c:f>EHE_CME!$AL$42:$AP$42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91F8-4B95-BF9C-0FF8B0FCE301}"/>
            </c:ext>
          </c:extLst>
        </c:ser>
        <c:ser>
          <c:idx val="5"/>
          <c:order val="3"/>
          <c:tx>
            <c:strRef>
              <c:f>EHE_CME!$AK$43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EHE_CME!$Y$2:$AC$3</c:f>
              <c:strCache>
                <c:ptCount val="5"/>
                <c:pt idx="0">
                  <c:v>2019/20</c:v>
                </c:pt>
                <c:pt idx="1">
                  <c:v>2020/21</c:v>
                </c:pt>
                <c:pt idx="2">
                  <c:v>2021/22</c:v>
                </c:pt>
                <c:pt idx="3">
                  <c:v>2022/23</c:v>
                </c:pt>
                <c:pt idx="4">
                  <c:v>2023/24</c:v>
                </c:pt>
              </c:strCache>
            </c:strRef>
          </c:cat>
          <c:val>
            <c:numRef>
              <c:f>EHE_CME!$AL$43:$AP$43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91F8-4B95-BF9C-0FF8B0FCE301}"/>
            </c:ext>
          </c:extLst>
        </c:ser>
        <c:ser>
          <c:idx val="9"/>
          <c:order val="4"/>
          <c:tx>
            <c:strRef>
              <c:f>EHE_CME!$AK$44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EHE_CME!$Y$2:$AC$3</c:f>
              <c:strCache>
                <c:ptCount val="5"/>
                <c:pt idx="0">
                  <c:v>2019/20</c:v>
                </c:pt>
                <c:pt idx="1">
                  <c:v>2020/21</c:v>
                </c:pt>
                <c:pt idx="2">
                  <c:v>2021/22</c:v>
                </c:pt>
                <c:pt idx="3">
                  <c:v>2022/23</c:v>
                </c:pt>
                <c:pt idx="4">
                  <c:v>2023/24</c:v>
                </c:pt>
              </c:strCache>
            </c:strRef>
          </c:cat>
          <c:val>
            <c:numRef>
              <c:f>EHE_CME!$AL$44:$AP$44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91F8-4B95-BF9C-0FF8B0FCE301}"/>
            </c:ext>
          </c:extLst>
        </c:ser>
        <c:ser>
          <c:idx val="10"/>
          <c:order val="5"/>
          <c:tx>
            <c:strRef>
              <c:f>EHE_CME!$AK$45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EHE_CME!$Y$2:$AC$3</c:f>
              <c:strCache>
                <c:ptCount val="5"/>
                <c:pt idx="0">
                  <c:v>2019/20</c:v>
                </c:pt>
                <c:pt idx="1">
                  <c:v>2020/21</c:v>
                </c:pt>
                <c:pt idx="2">
                  <c:v>2021/22</c:v>
                </c:pt>
                <c:pt idx="3">
                  <c:v>2022/23</c:v>
                </c:pt>
                <c:pt idx="4">
                  <c:v>2023/24</c:v>
                </c:pt>
              </c:strCache>
            </c:strRef>
          </c:cat>
          <c:val>
            <c:numRef>
              <c:f>EHE_CME!$AL$45:$AP$45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91F8-4B95-BF9C-0FF8B0FCE301}"/>
            </c:ext>
          </c:extLst>
        </c:ser>
        <c:ser>
          <c:idx val="11"/>
          <c:order val="6"/>
          <c:tx>
            <c:strRef>
              <c:f>EHE_CME!$AK$46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EHE_CME!$Y$2:$AC$3</c:f>
              <c:strCache>
                <c:ptCount val="5"/>
                <c:pt idx="0">
                  <c:v>2019/20</c:v>
                </c:pt>
                <c:pt idx="1">
                  <c:v>2020/21</c:v>
                </c:pt>
                <c:pt idx="2">
                  <c:v>2021/22</c:v>
                </c:pt>
                <c:pt idx="3">
                  <c:v>2022/23</c:v>
                </c:pt>
                <c:pt idx="4">
                  <c:v>2023/24</c:v>
                </c:pt>
              </c:strCache>
            </c:strRef>
          </c:cat>
          <c:val>
            <c:numRef>
              <c:f>EHE_CME!$AL$46:$AP$46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91F8-4B95-BF9C-0FF8B0FCE301}"/>
            </c:ext>
          </c:extLst>
        </c:ser>
        <c:ser>
          <c:idx val="12"/>
          <c:order val="7"/>
          <c:tx>
            <c:strRef>
              <c:f>EHE_CME!$AK$47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EHE_CME!$Y$2:$AC$3</c:f>
              <c:strCache>
                <c:ptCount val="5"/>
                <c:pt idx="0">
                  <c:v>2019/20</c:v>
                </c:pt>
                <c:pt idx="1">
                  <c:v>2020/21</c:v>
                </c:pt>
                <c:pt idx="2">
                  <c:v>2021/22</c:v>
                </c:pt>
                <c:pt idx="3">
                  <c:v>2022/23</c:v>
                </c:pt>
                <c:pt idx="4">
                  <c:v>2023/24</c:v>
                </c:pt>
              </c:strCache>
            </c:strRef>
          </c:cat>
          <c:val>
            <c:numRef>
              <c:f>EHE_CME!$AL$47:$AP$47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91F8-4B95-BF9C-0FF8B0FCE301}"/>
            </c:ext>
          </c:extLst>
        </c:ser>
        <c:ser>
          <c:idx val="13"/>
          <c:order val="8"/>
          <c:tx>
            <c:strRef>
              <c:f>EHE_CME!$AK$48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EHE_CME!$Y$2:$AC$3</c:f>
              <c:strCache>
                <c:ptCount val="5"/>
                <c:pt idx="0">
                  <c:v>2019/20</c:v>
                </c:pt>
                <c:pt idx="1">
                  <c:v>2020/21</c:v>
                </c:pt>
                <c:pt idx="2">
                  <c:v>2021/22</c:v>
                </c:pt>
                <c:pt idx="3">
                  <c:v>2022/23</c:v>
                </c:pt>
                <c:pt idx="4">
                  <c:v>2023/24</c:v>
                </c:pt>
              </c:strCache>
            </c:strRef>
          </c:cat>
          <c:val>
            <c:numRef>
              <c:f>EHE_CME!$AL$48:$AP$48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91F8-4B95-BF9C-0FF8B0FCE301}"/>
            </c:ext>
          </c:extLst>
        </c:ser>
        <c:ser>
          <c:idx val="15"/>
          <c:order val="9"/>
          <c:tx>
            <c:strRef>
              <c:f>EHE_CME!$AK$49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EHE_CME!$Y$2:$AC$3</c:f>
              <c:strCache>
                <c:ptCount val="5"/>
                <c:pt idx="0">
                  <c:v>2019/20</c:v>
                </c:pt>
                <c:pt idx="1">
                  <c:v>2020/21</c:v>
                </c:pt>
                <c:pt idx="2">
                  <c:v>2021/22</c:v>
                </c:pt>
                <c:pt idx="3">
                  <c:v>2022/23</c:v>
                </c:pt>
                <c:pt idx="4">
                  <c:v>2023/24</c:v>
                </c:pt>
              </c:strCache>
            </c:strRef>
          </c:cat>
          <c:val>
            <c:numRef>
              <c:f>EHE_CME!$AL$49:$AP$49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91F8-4B95-BF9C-0FF8B0FCE301}"/>
            </c:ext>
          </c:extLst>
        </c:ser>
        <c:ser>
          <c:idx val="16"/>
          <c:order val="10"/>
          <c:tx>
            <c:strRef>
              <c:f>EHE_CME!$AK$50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EHE_CME!$Y$2:$AC$3</c:f>
              <c:strCache>
                <c:ptCount val="5"/>
                <c:pt idx="0">
                  <c:v>2019/20</c:v>
                </c:pt>
                <c:pt idx="1">
                  <c:v>2020/21</c:v>
                </c:pt>
                <c:pt idx="2">
                  <c:v>2021/22</c:v>
                </c:pt>
                <c:pt idx="3">
                  <c:v>2022/23</c:v>
                </c:pt>
                <c:pt idx="4">
                  <c:v>2023/24</c:v>
                </c:pt>
              </c:strCache>
            </c:strRef>
          </c:cat>
          <c:val>
            <c:numRef>
              <c:f>EHE_CME!$AL$50:$AP$50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91F8-4B95-BF9C-0FF8B0FCE301}"/>
            </c:ext>
          </c:extLst>
        </c:ser>
        <c:ser>
          <c:idx val="17"/>
          <c:order val="11"/>
          <c:tx>
            <c:strRef>
              <c:f>EHE_CME!$AK$51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EHE_CME!$Y$2:$AC$3</c:f>
              <c:strCache>
                <c:ptCount val="5"/>
                <c:pt idx="0">
                  <c:v>2019/20</c:v>
                </c:pt>
                <c:pt idx="1">
                  <c:v>2020/21</c:v>
                </c:pt>
                <c:pt idx="2">
                  <c:v>2021/22</c:v>
                </c:pt>
                <c:pt idx="3">
                  <c:v>2022/23</c:v>
                </c:pt>
                <c:pt idx="4">
                  <c:v>2023/24</c:v>
                </c:pt>
              </c:strCache>
            </c:strRef>
          </c:cat>
          <c:val>
            <c:numRef>
              <c:f>EHE_CME!$AL$51:$AP$51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91F8-4B95-BF9C-0FF8B0FCE301}"/>
            </c:ext>
          </c:extLst>
        </c:ser>
        <c:ser>
          <c:idx val="19"/>
          <c:order val="12"/>
          <c:tx>
            <c:strRef>
              <c:f>EHE_CME!$AK$52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EHE_CME!$Y$2:$AC$3</c:f>
              <c:strCache>
                <c:ptCount val="5"/>
                <c:pt idx="0">
                  <c:v>2019/20</c:v>
                </c:pt>
                <c:pt idx="1">
                  <c:v>2020/21</c:v>
                </c:pt>
                <c:pt idx="2">
                  <c:v>2021/22</c:v>
                </c:pt>
                <c:pt idx="3">
                  <c:v>2022/23</c:v>
                </c:pt>
                <c:pt idx="4">
                  <c:v>2023/24</c:v>
                </c:pt>
              </c:strCache>
            </c:strRef>
          </c:cat>
          <c:val>
            <c:numRef>
              <c:f>EHE_CME!$AL$52:$AP$52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91F8-4B95-BF9C-0FF8B0FCE301}"/>
            </c:ext>
          </c:extLst>
        </c:ser>
        <c:ser>
          <c:idx val="3"/>
          <c:order val="13"/>
          <c:tx>
            <c:strRef>
              <c:f>EHE_CME!$AK$53</c:f>
              <c:strCache>
                <c:ptCount val="1"/>
                <c:pt idx="0">
                  <c:v>#REF!</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EHE_CME!$Y$2:$AC$3</c:f>
              <c:strCache>
                <c:ptCount val="5"/>
                <c:pt idx="0">
                  <c:v>2019/20</c:v>
                </c:pt>
                <c:pt idx="1">
                  <c:v>2020/21</c:v>
                </c:pt>
                <c:pt idx="2">
                  <c:v>2021/22</c:v>
                </c:pt>
                <c:pt idx="3">
                  <c:v>2022/23</c:v>
                </c:pt>
                <c:pt idx="4">
                  <c:v>2023/24</c:v>
                </c:pt>
              </c:strCache>
            </c:strRef>
          </c:cat>
          <c:val>
            <c:numRef>
              <c:f>EHE_CME!$AL$53:$AP$53</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E-91F8-4B95-BF9C-0FF8B0FCE301}"/>
            </c:ext>
          </c:extLst>
        </c:ser>
        <c:ser>
          <c:idx val="20"/>
          <c:order val="14"/>
          <c:tx>
            <c:strRef>
              <c:f>EHE_CME!$AK$54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EHE_CME!$Y$2:$AC$3</c:f>
              <c:strCache>
                <c:ptCount val="5"/>
                <c:pt idx="0">
                  <c:v>2019/20</c:v>
                </c:pt>
                <c:pt idx="1">
                  <c:v>2020/21</c:v>
                </c:pt>
                <c:pt idx="2">
                  <c:v>2021/22</c:v>
                </c:pt>
                <c:pt idx="3">
                  <c:v>2022/23</c:v>
                </c:pt>
                <c:pt idx="4">
                  <c:v>2023/24</c:v>
                </c:pt>
              </c:strCache>
            </c:strRef>
          </c:cat>
          <c:val>
            <c:numRef>
              <c:f>EHE_CME!$AL$54:$AP$54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91F8-4B95-BF9C-0FF8B0FCE301}"/>
            </c:ext>
          </c:extLst>
        </c:ser>
        <c:ser>
          <c:idx val="22"/>
          <c:order val="15"/>
          <c:tx>
            <c:strRef>
              <c:f>EHE_CME!$AK$55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EHE_CME!$Y$2:$AC$3</c:f>
              <c:strCache>
                <c:ptCount val="5"/>
                <c:pt idx="0">
                  <c:v>2019/20</c:v>
                </c:pt>
                <c:pt idx="1">
                  <c:v>2020/21</c:v>
                </c:pt>
                <c:pt idx="2">
                  <c:v>2021/22</c:v>
                </c:pt>
                <c:pt idx="3">
                  <c:v>2022/23</c:v>
                </c:pt>
                <c:pt idx="4">
                  <c:v>2023/24</c:v>
                </c:pt>
              </c:strCache>
            </c:strRef>
          </c:cat>
          <c:val>
            <c:numRef>
              <c:f>EHE_CME!$AL$55:$AP$55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91F8-4B95-BF9C-0FF8B0FCE301}"/>
            </c:ext>
          </c:extLst>
        </c:ser>
        <c:ser>
          <c:idx val="7"/>
          <c:order val="16"/>
          <c:tx>
            <c:strRef>
              <c:f>EHE_CME!$AK$56</c:f>
              <c:strCache>
                <c:ptCount val="1"/>
                <c:pt idx="0">
                  <c:v>#REF!</c:v>
                </c:pt>
              </c:strCache>
            </c:strRef>
          </c:tx>
          <c:spPr>
            <a:ln w="12700">
              <a:solidFill>
                <a:srgbClr val="A8423F"/>
              </a:solidFill>
            </a:ln>
          </c:spPr>
          <c:marker>
            <c:symbol val="triangle"/>
            <c:size val="5"/>
            <c:spPr>
              <a:solidFill>
                <a:schemeClr val="accent2">
                  <a:lumMod val="20000"/>
                  <a:lumOff val="80000"/>
                </a:schemeClr>
              </a:solidFill>
            </c:spPr>
          </c:marker>
          <c:cat>
            <c:strRef>
              <c:f>EHE_CME!$Y$2:$AC$3</c:f>
              <c:strCache>
                <c:ptCount val="5"/>
                <c:pt idx="0">
                  <c:v>2019/20</c:v>
                </c:pt>
                <c:pt idx="1">
                  <c:v>2020/21</c:v>
                </c:pt>
                <c:pt idx="2">
                  <c:v>2021/22</c:v>
                </c:pt>
                <c:pt idx="3">
                  <c:v>2022/23</c:v>
                </c:pt>
                <c:pt idx="4">
                  <c:v>2023/24</c:v>
                </c:pt>
              </c:strCache>
            </c:strRef>
          </c:cat>
          <c:val>
            <c:numRef>
              <c:f>EHE_CME!$AL$56:$AP$56</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11-91F8-4B95-BF9C-0FF8B0FCE301}"/>
            </c:ext>
          </c:extLst>
        </c:ser>
        <c:ser>
          <c:idx val="23"/>
          <c:order val="17"/>
          <c:tx>
            <c:strRef>
              <c:f>EHE_CME!$AK$57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EHE_CME!$Y$2:$AC$3</c:f>
              <c:strCache>
                <c:ptCount val="5"/>
                <c:pt idx="0">
                  <c:v>2019/20</c:v>
                </c:pt>
                <c:pt idx="1">
                  <c:v>2020/21</c:v>
                </c:pt>
                <c:pt idx="2">
                  <c:v>2021/22</c:v>
                </c:pt>
                <c:pt idx="3">
                  <c:v>2022/23</c:v>
                </c:pt>
                <c:pt idx="4">
                  <c:v>2023/24</c:v>
                </c:pt>
              </c:strCache>
            </c:strRef>
          </c:cat>
          <c:val>
            <c:numRef>
              <c:f>EHE_CME!$AL$57:$AP$57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91F8-4B95-BF9C-0FF8B0FCE301}"/>
            </c:ext>
          </c:extLst>
        </c:ser>
        <c:ser>
          <c:idx val="24"/>
          <c:order val="18"/>
          <c:tx>
            <c:strRef>
              <c:f>EHE_CME!$AK$58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EHE_CME!$Y$2:$AC$3</c:f>
              <c:strCache>
                <c:ptCount val="5"/>
                <c:pt idx="0">
                  <c:v>2019/20</c:v>
                </c:pt>
                <c:pt idx="1">
                  <c:v>2020/21</c:v>
                </c:pt>
                <c:pt idx="2">
                  <c:v>2021/22</c:v>
                </c:pt>
                <c:pt idx="3">
                  <c:v>2022/23</c:v>
                </c:pt>
                <c:pt idx="4">
                  <c:v>2023/24</c:v>
                </c:pt>
              </c:strCache>
            </c:strRef>
          </c:cat>
          <c:val>
            <c:numRef>
              <c:f>EHE_CME!$AL$58:$AP$58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91F8-4B95-BF9C-0FF8B0FCE301}"/>
            </c:ext>
          </c:extLst>
        </c:ser>
        <c:ser>
          <c:idx val="25"/>
          <c:order val="19"/>
          <c:tx>
            <c:strRef>
              <c:f>EHE_CME!$AK$59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EHE_CME!$Y$2:$AC$3</c:f>
              <c:strCache>
                <c:ptCount val="5"/>
                <c:pt idx="0">
                  <c:v>2019/20</c:v>
                </c:pt>
                <c:pt idx="1">
                  <c:v>2020/21</c:v>
                </c:pt>
                <c:pt idx="2">
                  <c:v>2021/22</c:v>
                </c:pt>
                <c:pt idx="3">
                  <c:v>2022/23</c:v>
                </c:pt>
                <c:pt idx="4">
                  <c:v>2023/24</c:v>
                </c:pt>
              </c:strCache>
            </c:strRef>
          </c:cat>
          <c:val>
            <c:numRef>
              <c:f>EHE_CME!$AL$59:$AP$59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91F8-4B95-BF9C-0FF8B0FCE301}"/>
            </c:ext>
          </c:extLst>
        </c:ser>
        <c:ser>
          <c:idx val="26"/>
          <c:order val="20"/>
          <c:tx>
            <c:strRef>
              <c:f>EHE_CME!$AK$60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EHE_CME!$Y$2:$AC$3</c:f>
              <c:strCache>
                <c:ptCount val="5"/>
                <c:pt idx="0">
                  <c:v>2019/20</c:v>
                </c:pt>
                <c:pt idx="1">
                  <c:v>2020/21</c:v>
                </c:pt>
                <c:pt idx="2">
                  <c:v>2021/22</c:v>
                </c:pt>
                <c:pt idx="3">
                  <c:v>2022/23</c:v>
                </c:pt>
                <c:pt idx="4">
                  <c:v>2023/24</c:v>
                </c:pt>
              </c:strCache>
            </c:strRef>
          </c:cat>
          <c:val>
            <c:numRef>
              <c:f>EHE_CME!$AL$60:$AP$60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91F8-4B95-BF9C-0FF8B0FCE301}"/>
            </c:ext>
          </c:extLst>
        </c:ser>
        <c:ser>
          <c:idx val="4"/>
          <c:order val="21"/>
          <c:tx>
            <c:strRef>
              <c:f>EHE_CME!$AK$61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EHE_CME!$Y$2:$AC$3</c:f>
              <c:strCache>
                <c:ptCount val="5"/>
                <c:pt idx="0">
                  <c:v>2019/20</c:v>
                </c:pt>
                <c:pt idx="1">
                  <c:v>2020/21</c:v>
                </c:pt>
                <c:pt idx="2">
                  <c:v>2021/22</c:v>
                </c:pt>
                <c:pt idx="3">
                  <c:v>2022/23</c:v>
                </c:pt>
                <c:pt idx="4">
                  <c:v>2023/24</c:v>
                </c:pt>
              </c:strCache>
            </c:strRef>
          </c:cat>
          <c:val>
            <c:numRef>
              <c:f>EHE_CME!$AL$61:$AP$61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91F8-4B95-BF9C-0FF8B0FCE301}"/>
            </c:ext>
          </c:extLst>
        </c:ser>
        <c:ser>
          <c:idx val="14"/>
          <c:order val="22"/>
          <c:tx>
            <c:strRef>
              <c:f>EHE_CME!$AK$62</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EHE_CME!$Y$2:$AC$3</c:f>
              <c:strCache>
                <c:ptCount val="5"/>
                <c:pt idx="0">
                  <c:v>2019/20</c:v>
                </c:pt>
                <c:pt idx="1">
                  <c:v>2020/21</c:v>
                </c:pt>
                <c:pt idx="2">
                  <c:v>2021/22</c:v>
                </c:pt>
                <c:pt idx="3">
                  <c:v>2022/23</c:v>
                </c:pt>
                <c:pt idx="4">
                  <c:v>2023/24</c:v>
                </c:pt>
              </c:strCache>
            </c:strRef>
          </c:cat>
          <c:val>
            <c:numRef>
              <c:f>EHE_CME!$AL$62:$AP$62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91F8-4B95-BF9C-0FF8B0FCE301}"/>
            </c:ext>
          </c:extLst>
        </c:ser>
        <c:ser>
          <c:idx val="6"/>
          <c:order val="23"/>
          <c:tx>
            <c:strRef>
              <c:f>EHE_CME!$AK$63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EHE_CME!$Y$2:$AC$3</c:f>
              <c:strCache>
                <c:ptCount val="5"/>
                <c:pt idx="0">
                  <c:v>2019/20</c:v>
                </c:pt>
                <c:pt idx="1">
                  <c:v>2020/21</c:v>
                </c:pt>
                <c:pt idx="2">
                  <c:v>2021/22</c:v>
                </c:pt>
                <c:pt idx="3">
                  <c:v>2022/23</c:v>
                </c:pt>
                <c:pt idx="4">
                  <c:v>2023/24</c:v>
                </c:pt>
              </c:strCache>
            </c:strRef>
          </c:cat>
          <c:val>
            <c:numRef>
              <c:f>EHE_CME!$AL$63:$AP$63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91F8-4B95-BF9C-0FF8B0FCE301}"/>
            </c:ext>
          </c:extLst>
        </c:ser>
        <c:dLbls>
          <c:showLegendKey val="0"/>
          <c:showVal val="0"/>
          <c:showCatName val="0"/>
          <c:showSerName val="0"/>
          <c:showPercent val="0"/>
          <c:showBubbleSize val="0"/>
        </c:dLbls>
        <c:marker val="1"/>
        <c:smooth val="0"/>
        <c:axId val="662998016"/>
        <c:axId val="663020672"/>
      </c:lineChart>
      <c:catAx>
        <c:axId val="662998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3020672"/>
        <c:crosses val="autoZero"/>
        <c:auto val="1"/>
        <c:lblAlgn val="ctr"/>
        <c:lblOffset val="100"/>
        <c:tickLblSkip val="1"/>
        <c:tickMarkSkip val="1"/>
        <c:noMultiLvlLbl val="0"/>
      </c:catAx>
      <c:valAx>
        <c:axId val="663020672"/>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2998016"/>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8F77AD"/>
            </a:solidFill>
            <a:ln>
              <a:noFill/>
            </a:ln>
          </c:spPr>
          <c:invertIfNegative val="0"/>
          <c:cat>
            <c:strRef>
              <c:f>Referral_Source!$B$40:$B$60</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Referral_Source!$L$40:$L$60</c:f>
              <c:numCache>
                <c:formatCode>0.0</c:formatCode>
                <c:ptCount val="21"/>
                <c:pt idx="0">
                  <c:v>20.780939774983452</c:v>
                </c:pt>
                <c:pt idx="1">
                  <c:v>18.974516426159042</c:v>
                </c:pt>
                <c:pt idx="2">
                  <c:v>13.051359516616316</c:v>
                </c:pt>
                <c:pt idx="3">
                  <c:v>21.340756205056831</c:v>
                </c:pt>
                <c:pt idx="4">
                  <c:v>#N/A</c:v>
                </c:pt>
                <c:pt idx="5">
                  <c:v>6.5326633165829149</c:v>
                </c:pt>
                <c:pt idx="6">
                  <c:v>10.464103521214383</c:v>
                </c:pt>
                <c:pt idx="7">
                  <c:v>13.382547794813554</c:v>
                </c:pt>
                <c:pt idx="8">
                  <c:v>14.123006833712983</c:v>
                </c:pt>
                <c:pt idx="9">
                  <c:v>19.575985734099465</c:v>
                </c:pt>
                <c:pt idx="10">
                  <c:v>17.791005291005291</c:v>
                </c:pt>
                <c:pt idx="11">
                  <c:v>15.451215451215452</c:v>
                </c:pt>
                <c:pt idx="12">
                  <c:v>9.9373321396598033</c:v>
                </c:pt>
                <c:pt idx="13">
                  <c:v>13.542340012928248</c:v>
                </c:pt>
                <c:pt idx="14">
                  <c:v>12.093204894558708</c:v>
                </c:pt>
                <c:pt idx="15">
                  <c:v>15.782907049282596</c:v>
                </c:pt>
                <c:pt idx="16">
                  <c:v>11.978312949186735</c:v>
                </c:pt>
                <c:pt idx="17">
                  <c:v>11.969111969111969</c:v>
                </c:pt>
                <c:pt idx="18">
                  <c:v>12.27390180878553</c:v>
                </c:pt>
                <c:pt idx="19">
                  <c:v>13.180714916151809</c:v>
                </c:pt>
                <c:pt idx="20">
                  <c:v>14.147878943813721</c:v>
                </c:pt>
              </c:numCache>
            </c:numRef>
          </c:val>
          <c:extLst>
            <c:ext xmlns:c16="http://schemas.microsoft.com/office/drawing/2014/chart" uri="{C3380CC4-5D6E-409C-BE32-E72D297353CC}">
              <c16:uniqueId val="{00000000-B17A-4924-923F-B75E4FA774F7}"/>
            </c:ext>
          </c:extLst>
        </c:ser>
        <c:dLbls>
          <c:showLegendKey val="0"/>
          <c:showVal val="0"/>
          <c:showCatName val="0"/>
          <c:showSerName val="0"/>
          <c:showPercent val="0"/>
          <c:showBubbleSize val="0"/>
        </c:dLbls>
        <c:gapWidth val="40"/>
        <c:axId val="540045312"/>
        <c:axId val="540046848"/>
      </c:barChart>
      <c:catAx>
        <c:axId val="540045312"/>
        <c:scaling>
          <c:orientation val="maxMin"/>
        </c:scaling>
        <c:delete val="1"/>
        <c:axPos val="l"/>
        <c:numFmt formatCode="General" sourceLinked="0"/>
        <c:majorTickMark val="out"/>
        <c:minorTickMark val="none"/>
        <c:tickLblPos val="nextTo"/>
        <c:crossAx val="540046848"/>
        <c:crosses val="autoZero"/>
        <c:auto val="1"/>
        <c:lblAlgn val="ctr"/>
        <c:lblOffset val="100"/>
        <c:noMultiLvlLbl val="0"/>
      </c:catAx>
      <c:valAx>
        <c:axId val="540046848"/>
        <c:scaling>
          <c:orientation val="minMax"/>
        </c:scaling>
        <c:delete val="1"/>
        <c:axPos val="b"/>
        <c:majorGridlines/>
        <c:numFmt formatCode="0.0" sourceLinked="1"/>
        <c:majorTickMark val="out"/>
        <c:minorTickMark val="none"/>
        <c:tickLblPos val="nextTo"/>
        <c:crossAx val="540045312"/>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Missing Education </a:t>
            </a:r>
            <a:endParaRPr lang="en-GB" sz="1000" b="1" i="0" u="none" strike="noStrike" baseline="0">
              <a:effectLst/>
            </a:endParaRPr>
          </a:p>
          <a:p>
            <a:pPr>
              <a:defRPr sz="1000" b="1" i="0" u="none" strike="noStrike" baseline="0">
                <a:solidFill>
                  <a:srgbClr val="000000"/>
                </a:solidFill>
                <a:latin typeface="Arial"/>
                <a:ea typeface="Arial"/>
                <a:cs typeface="Arial"/>
              </a:defRPr>
            </a:pPr>
            <a:r>
              <a:rPr lang="en-GB"/>
              <a:t>(Selected LA</a:t>
            </a:r>
            <a:r>
              <a:rPr lang="en-GB" baseline="0"/>
              <a:t> vs. SE)</a:t>
            </a:r>
            <a:r>
              <a:rPr lang="en-GB"/>
              <a:t> </a:t>
            </a:r>
          </a:p>
        </c:rich>
      </c:tx>
      <c:layout>
        <c:manualLayout>
          <c:xMode val="edge"/>
          <c:yMode val="edge"/>
          <c:x val="0.19147321024527109"/>
          <c:y val="3.8613923259592552E-3"/>
        </c:manualLayout>
      </c:layout>
      <c:overlay val="0"/>
      <c:spPr>
        <a:noFill/>
        <a:ln w="25400">
          <a:noFill/>
        </a:ln>
      </c:spPr>
    </c:title>
    <c:autoTitleDeleted val="0"/>
    <c:plotArea>
      <c:layout>
        <c:manualLayout>
          <c:layoutTarget val="inner"/>
          <c:xMode val="edge"/>
          <c:yMode val="edge"/>
          <c:x val="9.6909984154078643E-2"/>
          <c:y val="0.20946631671041119"/>
          <c:w val="0.65146216862752293"/>
          <c:h val="0.5601899762529684"/>
        </c:manualLayout>
      </c:layout>
      <c:barChart>
        <c:barDir val="col"/>
        <c:grouping val="clustered"/>
        <c:varyColors val="0"/>
        <c:ser>
          <c:idx val="6"/>
          <c:order val="0"/>
          <c:tx>
            <c:strRef>
              <c:f>EHE_CME!$Z$4</c:f>
              <c:strCache>
                <c:ptCount val="1"/>
                <c:pt idx="0">
                  <c:v>Selected LA- (none)</c:v>
                </c:pt>
              </c:strCache>
            </c:strRef>
          </c:tx>
          <c:spPr>
            <a:solidFill>
              <a:srgbClr val="66FF99"/>
            </a:solidFill>
            <a:ln>
              <a:solidFill>
                <a:schemeClr val="tx1">
                  <a:lumMod val="75000"/>
                  <a:lumOff val="25000"/>
                </a:schemeClr>
              </a:solidFill>
            </a:ln>
          </c:spPr>
          <c:invertIfNegative val="0"/>
          <c:cat>
            <c:strRef>
              <c:f>EHE_CME!$Y$2:$AC$3</c:f>
              <c:strCache>
                <c:ptCount val="5"/>
                <c:pt idx="0">
                  <c:v>2019/20</c:v>
                </c:pt>
                <c:pt idx="1">
                  <c:v>2020/21</c:v>
                </c:pt>
                <c:pt idx="2">
                  <c:v>2021/22</c:v>
                </c:pt>
                <c:pt idx="3">
                  <c:v>2022/23</c:v>
                </c:pt>
                <c:pt idx="4">
                  <c:v>2023/24</c:v>
                </c:pt>
              </c:strCache>
            </c:strRef>
          </c:cat>
          <c:val>
            <c:numRef>
              <c:f>EHE_CME!$AL$63:$AP$63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BFF9-4987-B7A7-080104A06CCA}"/>
            </c:ext>
          </c:extLst>
        </c:ser>
        <c:ser>
          <c:idx val="4"/>
          <c:order val="1"/>
          <c:tx>
            <c:strRef>
              <c:f>EHE_CME!$B$31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EHE_CME!$Y$2:$AC$3</c:f>
              <c:strCache>
                <c:ptCount val="5"/>
                <c:pt idx="0">
                  <c:v>2019/20</c:v>
                </c:pt>
                <c:pt idx="1">
                  <c:v>2020/21</c:v>
                </c:pt>
                <c:pt idx="2">
                  <c:v>2021/22</c:v>
                </c:pt>
                <c:pt idx="3">
                  <c:v>2022/23</c:v>
                </c:pt>
                <c:pt idx="4">
                  <c:v>2023/24</c:v>
                </c:pt>
              </c:strCache>
            </c:strRef>
          </c:cat>
          <c:val>
            <c:numRef>
              <c:f>EHE_CME!$L$31:$P$31</c:f>
              <c:numCache>
                <c:formatCode>0.0</c:formatCode>
                <c:ptCount val="5"/>
                <c:pt idx="0">
                  <c:v>0</c:v>
                </c:pt>
                <c:pt idx="1">
                  <c:v>#N/A</c:v>
                </c:pt>
                <c:pt idx="2">
                  <c:v>#N/A</c:v>
                </c:pt>
                <c:pt idx="3">
                  <c:v>#N/A</c:v>
                </c:pt>
                <c:pt idx="4">
                  <c:v>#N/A</c:v>
                </c:pt>
              </c:numCache>
            </c:numRef>
          </c:val>
          <c:extLst>
            <c:ext xmlns:c16="http://schemas.microsoft.com/office/drawing/2014/chart" uri="{C3380CC4-5D6E-409C-BE32-E72D297353CC}">
              <c16:uniqueId val="{00000001-BFF9-4987-B7A7-080104A06CCA}"/>
            </c:ext>
          </c:extLst>
        </c:ser>
        <c:dLbls>
          <c:showLegendKey val="0"/>
          <c:showVal val="0"/>
          <c:showCatName val="0"/>
          <c:showSerName val="0"/>
          <c:showPercent val="0"/>
          <c:showBubbleSize val="0"/>
        </c:dLbls>
        <c:gapWidth val="100"/>
        <c:axId val="419333632"/>
        <c:axId val="419335168"/>
      </c:barChart>
      <c:catAx>
        <c:axId val="419333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9335168"/>
        <c:crosses val="autoZero"/>
        <c:auto val="1"/>
        <c:lblAlgn val="ctr"/>
        <c:lblOffset val="100"/>
        <c:noMultiLvlLbl val="0"/>
      </c:catAx>
      <c:valAx>
        <c:axId val="41933516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9333632"/>
        <c:crosses val="autoZero"/>
        <c:crossBetween val="between"/>
      </c:valAx>
      <c:spPr>
        <a:noFill/>
        <a:ln w="3175">
          <a:solidFill>
            <a:srgbClr val="000000"/>
          </a:solidFill>
          <a:prstDash val="solid"/>
        </a:ln>
      </c:spPr>
    </c:plotArea>
    <c:legend>
      <c:legendPos val="r"/>
      <c:layout>
        <c:manualLayout>
          <c:xMode val="edge"/>
          <c:yMode val="edge"/>
          <c:x val="0.75128224273689925"/>
          <c:y val="0.17953653819588342"/>
          <c:w val="0.24871775726310072"/>
          <c:h val="0.82046369203849523"/>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Electively Home</a:t>
            </a:r>
            <a:r>
              <a:rPr lang="en-GB" baseline="0"/>
              <a:t> Educated Children</a:t>
            </a:r>
            <a:r>
              <a:rPr lang="en-GB"/>
              <a:t>, per 10,000 </a:t>
            </a:r>
          </a:p>
          <a:p>
            <a:pPr>
              <a:defRPr sz="1000" b="1" i="0" u="none" strike="noStrike" baseline="0">
                <a:solidFill>
                  <a:srgbClr val="000000"/>
                </a:solidFill>
                <a:latin typeface="Arial"/>
                <a:ea typeface="Arial"/>
                <a:cs typeface="Arial"/>
              </a:defRPr>
            </a:pPr>
            <a:r>
              <a:rPr lang="en-GB"/>
              <a:t>5-15 year olds</a:t>
            </a:r>
          </a:p>
        </c:rich>
      </c:tx>
      <c:layout>
        <c:manualLayout>
          <c:xMode val="edge"/>
          <c:yMode val="edge"/>
          <c:x val="0.15042497812773403"/>
          <c:y val="1.0531740794488318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EHE_CME!$AK$110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C556-44D7-BF44-D8660CD55C4F}"/>
              </c:ext>
            </c:extLst>
          </c:dPt>
          <c:cat>
            <c:strRef>
              <c:f>EHE_CME!$Y$2:$AC$3</c:f>
              <c:strCache>
                <c:ptCount val="5"/>
                <c:pt idx="0">
                  <c:v>2019/20</c:v>
                </c:pt>
                <c:pt idx="1">
                  <c:v>2020/21</c:v>
                </c:pt>
                <c:pt idx="2">
                  <c:v>2021/22</c:v>
                </c:pt>
                <c:pt idx="3">
                  <c:v>2022/23</c:v>
                </c:pt>
                <c:pt idx="4">
                  <c:v>2023/24</c:v>
                </c:pt>
              </c:strCache>
            </c:strRef>
          </c:cat>
          <c:val>
            <c:numRef>
              <c:f>EHE_CME!$AL$110:$AP$110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C556-44D7-BF44-D8660CD55C4F}"/>
            </c:ext>
          </c:extLst>
        </c:ser>
        <c:ser>
          <c:idx val="1"/>
          <c:order val="1"/>
          <c:tx>
            <c:strRef>
              <c:f>EHE_CME!$AK$111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EHE_CME!$Y$2:$AC$3</c:f>
              <c:strCache>
                <c:ptCount val="5"/>
                <c:pt idx="0">
                  <c:v>2019/20</c:v>
                </c:pt>
                <c:pt idx="1">
                  <c:v>2020/21</c:v>
                </c:pt>
                <c:pt idx="2">
                  <c:v>2021/22</c:v>
                </c:pt>
                <c:pt idx="3">
                  <c:v>2022/23</c:v>
                </c:pt>
                <c:pt idx="4">
                  <c:v>2023/24</c:v>
                </c:pt>
              </c:strCache>
            </c:strRef>
          </c:cat>
          <c:val>
            <c:numRef>
              <c:f>EHE_CME!$AL$111:$AP$111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C556-44D7-BF44-D8660CD55C4F}"/>
            </c:ext>
          </c:extLst>
        </c:ser>
        <c:ser>
          <c:idx val="2"/>
          <c:order val="2"/>
          <c:tx>
            <c:strRef>
              <c:f>EHE_CME!$AK$112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EHE_CME!$Y$2:$AC$3</c:f>
              <c:strCache>
                <c:ptCount val="5"/>
                <c:pt idx="0">
                  <c:v>2019/20</c:v>
                </c:pt>
                <c:pt idx="1">
                  <c:v>2020/21</c:v>
                </c:pt>
                <c:pt idx="2">
                  <c:v>2021/22</c:v>
                </c:pt>
                <c:pt idx="3">
                  <c:v>2022/23</c:v>
                </c:pt>
                <c:pt idx="4">
                  <c:v>2023/24</c:v>
                </c:pt>
              </c:strCache>
            </c:strRef>
          </c:cat>
          <c:val>
            <c:numRef>
              <c:f>EHE_CME!$AL$112:$AP$112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C556-44D7-BF44-D8660CD55C4F}"/>
            </c:ext>
          </c:extLst>
        </c:ser>
        <c:ser>
          <c:idx val="5"/>
          <c:order val="3"/>
          <c:tx>
            <c:strRef>
              <c:f>EHE_CME!$AK$113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EHE_CME!$Y$2:$AC$3</c:f>
              <c:strCache>
                <c:ptCount val="5"/>
                <c:pt idx="0">
                  <c:v>2019/20</c:v>
                </c:pt>
                <c:pt idx="1">
                  <c:v>2020/21</c:v>
                </c:pt>
                <c:pt idx="2">
                  <c:v>2021/22</c:v>
                </c:pt>
                <c:pt idx="3">
                  <c:v>2022/23</c:v>
                </c:pt>
                <c:pt idx="4">
                  <c:v>2023/24</c:v>
                </c:pt>
              </c:strCache>
            </c:strRef>
          </c:cat>
          <c:val>
            <c:numRef>
              <c:f>EHE_CME!$AL$113:$AP$113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C556-44D7-BF44-D8660CD55C4F}"/>
            </c:ext>
          </c:extLst>
        </c:ser>
        <c:ser>
          <c:idx val="9"/>
          <c:order val="4"/>
          <c:tx>
            <c:strRef>
              <c:f>EHE_CME!$AK$114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EHE_CME!$Y$2:$AC$3</c:f>
              <c:strCache>
                <c:ptCount val="5"/>
                <c:pt idx="0">
                  <c:v>2019/20</c:v>
                </c:pt>
                <c:pt idx="1">
                  <c:v>2020/21</c:v>
                </c:pt>
                <c:pt idx="2">
                  <c:v>2021/22</c:v>
                </c:pt>
                <c:pt idx="3">
                  <c:v>2022/23</c:v>
                </c:pt>
                <c:pt idx="4">
                  <c:v>2023/24</c:v>
                </c:pt>
              </c:strCache>
            </c:strRef>
          </c:cat>
          <c:val>
            <c:numRef>
              <c:f>EHE_CME!$AL$114:$AP$114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C556-44D7-BF44-D8660CD55C4F}"/>
            </c:ext>
          </c:extLst>
        </c:ser>
        <c:ser>
          <c:idx val="10"/>
          <c:order val="5"/>
          <c:tx>
            <c:strRef>
              <c:f>EHE_CME!$AK$115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EHE_CME!$Y$2:$AC$3</c:f>
              <c:strCache>
                <c:ptCount val="5"/>
                <c:pt idx="0">
                  <c:v>2019/20</c:v>
                </c:pt>
                <c:pt idx="1">
                  <c:v>2020/21</c:v>
                </c:pt>
                <c:pt idx="2">
                  <c:v>2021/22</c:v>
                </c:pt>
                <c:pt idx="3">
                  <c:v>2022/23</c:v>
                </c:pt>
                <c:pt idx="4">
                  <c:v>2023/24</c:v>
                </c:pt>
              </c:strCache>
            </c:strRef>
          </c:cat>
          <c:val>
            <c:numRef>
              <c:f>EHE_CME!$AL$115:$AP$115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C556-44D7-BF44-D8660CD55C4F}"/>
            </c:ext>
          </c:extLst>
        </c:ser>
        <c:ser>
          <c:idx val="11"/>
          <c:order val="6"/>
          <c:tx>
            <c:strRef>
              <c:f>EHE_CME!$AK$116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EHE_CME!$Y$2:$AC$3</c:f>
              <c:strCache>
                <c:ptCount val="5"/>
                <c:pt idx="0">
                  <c:v>2019/20</c:v>
                </c:pt>
                <c:pt idx="1">
                  <c:v>2020/21</c:v>
                </c:pt>
                <c:pt idx="2">
                  <c:v>2021/22</c:v>
                </c:pt>
                <c:pt idx="3">
                  <c:v>2022/23</c:v>
                </c:pt>
                <c:pt idx="4">
                  <c:v>2023/24</c:v>
                </c:pt>
              </c:strCache>
            </c:strRef>
          </c:cat>
          <c:val>
            <c:numRef>
              <c:f>EHE_CME!$AL$116:$AP$116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C556-44D7-BF44-D8660CD55C4F}"/>
            </c:ext>
          </c:extLst>
        </c:ser>
        <c:ser>
          <c:idx val="12"/>
          <c:order val="7"/>
          <c:tx>
            <c:strRef>
              <c:f>EHE_CME!$AK$117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EHE_CME!$Y$2:$AC$3</c:f>
              <c:strCache>
                <c:ptCount val="5"/>
                <c:pt idx="0">
                  <c:v>2019/20</c:v>
                </c:pt>
                <c:pt idx="1">
                  <c:v>2020/21</c:v>
                </c:pt>
                <c:pt idx="2">
                  <c:v>2021/22</c:v>
                </c:pt>
                <c:pt idx="3">
                  <c:v>2022/23</c:v>
                </c:pt>
                <c:pt idx="4">
                  <c:v>2023/24</c:v>
                </c:pt>
              </c:strCache>
            </c:strRef>
          </c:cat>
          <c:val>
            <c:numRef>
              <c:f>EHE_CME!$AL$117:$AP$117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C556-44D7-BF44-D8660CD55C4F}"/>
            </c:ext>
          </c:extLst>
        </c:ser>
        <c:ser>
          <c:idx val="13"/>
          <c:order val="8"/>
          <c:tx>
            <c:strRef>
              <c:f>EHE_CME!$AK$118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EHE_CME!$Y$2:$AC$3</c:f>
              <c:strCache>
                <c:ptCount val="5"/>
                <c:pt idx="0">
                  <c:v>2019/20</c:v>
                </c:pt>
                <c:pt idx="1">
                  <c:v>2020/21</c:v>
                </c:pt>
                <c:pt idx="2">
                  <c:v>2021/22</c:v>
                </c:pt>
                <c:pt idx="3">
                  <c:v>2022/23</c:v>
                </c:pt>
                <c:pt idx="4">
                  <c:v>2023/24</c:v>
                </c:pt>
              </c:strCache>
            </c:strRef>
          </c:cat>
          <c:val>
            <c:numRef>
              <c:f>EHE_CME!$AL$118:$AP$118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C556-44D7-BF44-D8660CD55C4F}"/>
            </c:ext>
          </c:extLst>
        </c:ser>
        <c:ser>
          <c:idx val="15"/>
          <c:order val="9"/>
          <c:tx>
            <c:strRef>
              <c:f>EHE_CME!$AK$119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EHE_CME!$Y$2:$AC$3</c:f>
              <c:strCache>
                <c:ptCount val="5"/>
                <c:pt idx="0">
                  <c:v>2019/20</c:v>
                </c:pt>
                <c:pt idx="1">
                  <c:v>2020/21</c:v>
                </c:pt>
                <c:pt idx="2">
                  <c:v>2021/22</c:v>
                </c:pt>
                <c:pt idx="3">
                  <c:v>2022/23</c:v>
                </c:pt>
                <c:pt idx="4">
                  <c:v>2023/24</c:v>
                </c:pt>
              </c:strCache>
            </c:strRef>
          </c:cat>
          <c:val>
            <c:numRef>
              <c:f>EHE_CME!$AL$119:$AP$119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C556-44D7-BF44-D8660CD55C4F}"/>
            </c:ext>
          </c:extLst>
        </c:ser>
        <c:ser>
          <c:idx val="16"/>
          <c:order val="10"/>
          <c:tx>
            <c:strRef>
              <c:f>EHE_CME!$AK$120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EHE_CME!$Y$2:$AC$3</c:f>
              <c:strCache>
                <c:ptCount val="5"/>
                <c:pt idx="0">
                  <c:v>2019/20</c:v>
                </c:pt>
                <c:pt idx="1">
                  <c:v>2020/21</c:v>
                </c:pt>
                <c:pt idx="2">
                  <c:v>2021/22</c:v>
                </c:pt>
                <c:pt idx="3">
                  <c:v>2022/23</c:v>
                </c:pt>
                <c:pt idx="4">
                  <c:v>2023/24</c:v>
                </c:pt>
              </c:strCache>
            </c:strRef>
          </c:cat>
          <c:val>
            <c:numRef>
              <c:f>EHE_CME!$AL$120:$AP$120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C556-44D7-BF44-D8660CD55C4F}"/>
            </c:ext>
          </c:extLst>
        </c:ser>
        <c:ser>
          <c:idx val="17"/>
          <c:order val="11"/>
          <c:tx>
            <c:strRef>
              <c:f>EHE_CME!$AK$121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EHE_CME!$Y$2:$AC$3</c:f>
              <c:strCache>
                <c:ptCount val="5"/>
                <c:pt idx="0">
                  <c:v>2019/20</c:v>
                </c:pt>
                <c:pt idx="1">
                  <c:v>2020/21</c:v>
                </c:pt>
                <c:pt idx="2">
                  <c:v>2021/22</c:v>
                </c:pt>
                <c:pt idx="3">
                  <c:v>2022/23</c:v>
                </c:pt>
                <c:pt idx="4">
                  <c:v>2023/24</c:v>
                </c:pt>
              </c:strCache>
            </c:strRef>
          </c:cat>
          <c:val>
            <c:numRef>
              <c:f>EHE_CME!$AL$121:$AP$121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C556-44D7-BF44-D8660CD55C4F}"/>
            </c:ext>
          </c:extLst>
        </c:ser>
        <c:ser>
          <c:idx val="19"/>
          <c:order val="12"/>
          <c:tx>
            <c:strRef>
              <c:f>EHE_CME!$AK$122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EHE_CME!$Y$2:$AC$3</c:f>
              <c:strCache>
                <c:ptCount val="5"/>
                <c:pt idx="0">
                  <c:v>2019/20</c:v>
                </c:pt>
                <c:pt idx="1">
                  <c:v>2020/21</c:v>
                </c:pt>
                <c:pt idx="2">
                  <c:v>2021/22</c:v>
                </c:pt>
                <c:pt idx="3">
                  <c:v>2022/23</c:v>
                </c:pt>
                <c:pt idx="4">
                  <c:v>2023/24</c:v>
                </c:pt>
              </c:strCache>
            </c:strRef>
          </c:cat>
          <c:val>
            <c:numRef>
              <c:f>EHE_CME!$AL$122:$AP$122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C556-44D7-BF44-D8660CD55C4F}"/>
            </c:ext>
          </c:extLst>
        </c:ser>
        <c:ser>
          <c:idx val="3"/>
          <c:order val="13"/>
          <c:tx>
            <c:strRef>
              <c:f>EHE_CME!$AK$123</c:f>
              <c:strCache>
                <c:ptCount val="1"/>
                <c:pt idx="0">
                  <c:v>#REF!</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EHE_CME!$Y$2:$AC$3</c:f>
              <c:strCache>
                <c:ptCount val="5"/>
                <c:pt idx="0">
                  <c:v>2019/20</c:v>
                </c:pt>
                <c:pt idx="1">
                  <c:v>2020/21</c:v>
                </c:pt>
                <c:pt idx="2">
                  <c:v>2021/22</c:v>
                </c:pt>
                <c:pt idx="3">
                  <c:v>2022/23</c:v>
                </c:pt>
                <c:pt idx="4">
                  <c:v>2023/24</c:v>
                </c:pt>
              </c:strCache>
            </c:strRef>
          </c:cat>
          <c:val>
            <c:numRef>
              <c:f>EHE_CME!$AL$123:$AP$123</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E-C556-44D7-BF44-D8660CD55C4F}"/>
            </c:ext>
          </c:extLst>
        </c:ser>
        <c:ser>
          <c:idx val="20"/>
          <c:order val="14"/>
          <c:tx>
            <c:strRef>
              <c:f>EHE_CME!$AK$124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EHE_CME!$Y$2:$AC$3</c:f>
              <c:strCache>
                <c:ptCount val="5"/>
                <c:pt idx="0">
                  <c:v>2019/20</c:v>
                </c:pt>
                <c:pt idx="1">
                  <c:v>2020/21</c:v>
                </c:pt>
                <c:pt idx="2">
                  <c:v>2021/22</c:v>
                </c:pt>
                <c:pt idx="3">
                  <c:v>2022/23</c:v>
                </c:pt>
                <c:pt idx="4">
                  <c:v>2023/24</c:v>
                </c:pt>
              </c:strCache>
            </c:strRef>
          </c:cat>
          <c:val>
            <c:numRef>
              <c:f>EHE_CME!$AL$124:$AP$124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C556-44D7-BF44-D8660CD55C4F}"/>
            </c:ext>
          </c:extLst>
        </c:ser>
        <c:ser>
          <c:idx val="22"/>
          <c:order val="15"/>
          <c:tx>
            <c:strRef>
              <c:f>EHE_CME!$AK$125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EHE_CME!$Y$2:$AC$3</c:f>
              <c:strCache>
                <c:ptCount val="5"/>
                <c:pt idx="0">
                  <c:v>2019/20</c:v>
                </c:pt>
                <c:pt idx="1">
                  <c:v>2020/21</c:v>
                </c:pt>
                <c:pt idx="2">
                  <c:v>2021/22</c:v>
                </c:pt>
                <c:pt idx="3">
                  <c:v>2022/23</c:v>
                </c:pt>
                <c:pt idx="4">
                  <c:v>2023/24</c:v>
                </c:pt>
              </c:strCache>
            </c:strRef>
          </c:cat>
          <c:val>
            <c:numRef>
              <c:f>EHE_CME!$AL$125:$AP$125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C556-44D7-BF44-D8660CD55C4F}"/>
            </c:ext>
          </c:extLst>
        </c:ser>
        <c:ser>
          <c:idx val="7"/>
          <c:order val="16"/>
          <c:tx>
            <c:strRef>
              <c:f>EHE_CME!$AK$126</c:f>
              <c:strCache>
                <c:ptCount val="1"/>
                <c:pt idx="0">
                  <c:v>#REF!</c:v>
                </c:pt>
              </c:strCache>
            </c:strRef>
          </c:tx>
          <c:spPr>
            <a:ln w="12700">
              <a:solidFill>
                <a:srgbClr val="A8423F"/>
              </a:solidFill>
            </a:ln>
          </c:spPr>
          <c:marker>
            <c:symbol val="triangle"/>
            <c:size val="5"/>
            <c:spPr>
              <a:solidFill>
                <a:schemeClr val="accent2">
                  <a:lumMod val="20000"/>
                  <a:lumOff val="80000"/>
                </a:schemeClr>
              </a:solidFill>
            </c:spPr>
          </c:marker>
          <c:cat>
            <c:strRef>
              <c:f>EHE_CME!$Y$2:$AC$3</c:f>
              <c:strCache>
                <c:ptCount val="5"/>
                <c:pt idx="0">
                  <c:v>2019/20</c:v>
                </c:pt>
                <c:pt idx="1">
                  <c:v>2020/21</c:v>
                </c:pt>
                <c:pt idx="2">
                  <c:v>2021/22</c:v>
                </c:pt>
                <c:pt idx="3">
                  <c:v>2022/23</c:v>
                </c:pt>
                <c:pt idx="4">
                  <c:v>2023/24</c:v>
                </c:pt>
              </c:strCache>
            </c:strRef>
          </c:cat>
          <c:val>
            <c:numRef>
              <c:f>EHE_CME!$AL$126:$AP$126</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11-C556-44D7-BF44-D8660CD55C4F}"/>
            </c:ext>
          </c:extLst>
        </c:ser>
        <c:ser>
          <c:idx val="23"/>
          <c:order val="17"/>
          <c:tx>
            <c:strRef>
              <c:f>EHE_CME!$AK$127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EHE_CME!$Y$2:$AC$3</c:f>
              <c:strCache>
                <c:ptCount val="5"/>
                <c:pt idx="0">
                  <c:v>2019/20</c:v>
                </c:pt>
                <c:pt idx="1">
                  <c:v>2020/21</c:v>
                </c:pt>
                <c:pt idx="2">
                  <c:v>2021/22</c:v>
                </c:pt>
                <c:pt idx="3">
                  <c:v>2022/23</c:v>
                </c:pt>
                <c:pt idx="4">
                  <c:v>2023/24</c:v>
                </c:pt>
              </c:strCache>
            </c:strRef>
          </c:cat>
          <c:val>
            <c:numRef>
              <c:f>EHE_CME!$AL$127:$AP$127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C556-44D7-BF44-D8660CD55C4F}"/>
            </c:ext>
          </c:extLst>
        </c:ser>
        <c:ser>
          <c:idx val="24"/>
          <c:order val="18"/>
          <c:tx>
            <c:strRef>
              <c:f>EHE_CME!$AK$128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EHE_CME!$Y$2:$AC$3</c:f>
              <c:strCache>
                <c:ptCount val="5"/>
                <c:pt idx="0">
                  <c:v>2019/20</c:v>
                </c:pt>
                <c:pt idx="1">
                  <c:v>2020/21</c:v>
                </c:pt>
                <c:pt idx="2">
                  <c:v>2021/22</c:v>
                </c:pt>
                <c:pt idx="3">
                  <c:v>2022/23</c:v>
                </c:pt>
                <c:pt idx="4">
                  <c:v>2023/24</c:v>
                </c:pt>
              </c:strCache>
            </c:strRef>
          </c:cat>
          <c:val>
            <c:numRef>
              <c:f>EHE_CME!$AL$128:$AP$128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C556-44D7-BF44-D8660CD55C4F}"/>
            </c:ext>
          </c:extLst>
        </c:ser>
        <c:ser>
          <c:idx val="25"/>
          <c:order val="19"/>
          <c:tx>
            <c:strRef>
              <c:f>EHE_CME!$AK$129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EHE_CME!$Y$2:$AC$3</c:f>
              <c:strCache>
                <c:ptCount val="5"/>
                <c:pt idx="0">
                  <c:v>2019/20</c:v>
                </c:pt>
                <c:pt idx="1">
                  <c:v>2020/21</c:v>
                </c:pt>
                <c:pt idx="2">
                  <c:v>2021/22</c:v>
                </c:pt>
                <c:pt idx="3">
                  <c:v>2022/23</c:v>
                </c:pt>
                <c:pt idx="4">
                  <c:v>2023/24</c:v>
                </c:pt>
              </c:strCache>
            </c:strRef>
          </c:cat>
          <c:val>
            <c:numRef>
              <c:f>EHE_CME!$AL$129:$AP$129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C556-44D7-BF44-D8660CD55C4F}"/>
            </c:ext>
          </c:extLst>
        </c:ser>
        <c:ser>
          <c:idx val="26"/>
          <c:order val="20"/>
          <c:tx>
            <c:strRef>
              <c:f>EHE_CME!$AK$130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EHE_CME!$Y$2:$AC$3</c:f>
              <c:strCache>
                <c:ptCount val="5"/>
                <c:pt idx="0">
                  <c:v>2019/20</c:v>
                </c:pt>
                <c:pt idx="1">
                  <c:v>2020/21</c:v>
                </c:pt>
                <c:pt idx="2">
                  <c:v>2021/22</c:v>
                </c:pt>
                <c:pt idx="3">
                  <c:v>2022/23</c:v>
                </c:pt>
                <c:pt idx="4">
                  <c:v>2023/24</c:v>
                </c:pt>
              </c:strCache>
            </c:strRef>
          </c:cat>
          <c:val>
            <c:numRef>
              <c:f>EHE_CME!$AL$130:$AP$130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C556-44D7-BF44-D8660CD55C4F}"/>
            </c:ext>
          </c:extLst>
        </c:ser>
        <c:ser>
          <c:idx val="4"/>
          <c:order val="21"/>
          <c:tx>
            <c:strRef>
              <c:f>EHE_CME!$AK$131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EHE_CME!$Y$2:$AC$3</c:f>
              <c:strCache>
                <c:ptCount val="5"/>
                <c:pt idx="0">
                  <c:v>2019/20</c:v>
                </c:pt>
                <c:pt idx="1">
                  <c:v>2020/21</c:v>
                </c:pt>
                <c:pt idx="2">
                  <c:v>2021/22</c:v>
                </c:pt>
                <c:pt idx="3">
                  <c:v>2022/23</c:v>
                </c:pt>
                <c:pt idx="4">
                  <c:v>2023/24</c:v>
                </c:pt>
              </c:strCache>
            </c:strRef>
          </c:cat>
          <c:val>
            <c:numRef>
              <c:f>EHE_CME!$AL$131:$AP$131</c:f>
              <c:numCache>
                <c:formatCode>0.0</c:formatCode>
                <c:ptCount val="5"/>
                <c:pt idx="0">
                  <c:v>#N/A</c:v>
                </c:pt>
                <c:pt idx="1">
                  <c:v>0</c:v>
                </c:pt>
                <c:pt idx="2">
                  <c:v>0</c:v>
                </c:pt>
                <c:pt idx="3">
                  <c:v>0</c:v>
                </c:pt>
                <c:pt idx="4">
                  <c:v>0</c:v>
                </c:pt>
              </c:numCache>
            </c:numRef>
          </c:val>
          <c:smooth val="0"/>
          <c:extLst>
            <c:ext xmlns:c16="http://schemas.microsoft.com/office/drawing/2014/chart" uri="{C3380CC4-5D6E-409C-BE32-E72D297353CC}">
              <c16:uniqueId val="{00000017-C556-44D7-BF44-D8660CD55C4F}"/>
            </c:ext>
          </c:extLst>
        </c:ser>
        <c:ser>
          <c:idx val="14"/>
          <c:order val="22"/>
          <c:tx>
            <c:strRef>
              <c:f>EHE_CME!$AK$132</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EHE_CME!$Y$2:$AC$3</c:f>
              <c:strCache>
                <c:ptCount val="5"/>
                <c:pt idx="0">
                  <c:v>2019/20</c:v>
                </c:pt>
                <c:pt idx="1">
                  <c:v>2020/21</c:v>
                </c:pt>
                <c:pt idx="2">
                  <c:v>2021/22</c:v>
                </c:pt>
                <c:pt idx="3">
                  <c:v>2022/23</c:v>
                </c:pt>
                <c:pt idx="4">
                  <c:v>2023/24</c:v>
                </c:pt>
              </c:strCache>
            </c:strRef>
          </c:cat>
          <c:val>
            <c:numRef>
              <c:f>EHE_CME!$AL$132:$AP$132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C556-44D7-BF44-D8660CD55C4F}"/>
            </c:ext>
          </c:extLst>
        </c:ser>
        <c:ser>
          <c:idx val="6"/>
          <c:order val="23"/>
          <c:tx>
            <c:strRef>
              <c:f>EHE_CME!$AK$133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EHE_CME!$Y$2:$AC$3</c:f>
              <c:strCache>
                <c:ptCount val="5"/>
                <c:pt idx="0">
                  <c:v>2019/20</c:v>
                </c:pt>
                <c:pt idx="1">
                  <c:v>2020/21</c:v>
                </c:pt>
                <c:pt idx="2">
                  <c:v>2021/22</c:v>
                </c:pt>
                <c:pt idx="3">
                  <c:v>2022/23</c:v>
                </c:pt>
                <c:pt idx="4">
                  <c:v>2023/24</c:v>
                </c:pt>
              </c:strCache>
            </c:strRef>
          </c:cat>
          <c:val>
            <c:numRef>
              <c:f>EHE_CME!$AL$133:$AP$133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C556-44D7-BF44-D8660CD55C4F}"/>
            </c:ext>
          </c:extLst>
        </c:ser>
        <c:dLbls>
          <c:showLegendKey val="0"/>
          <c:showVal val="0"/>
          <c:showCatName val="0"/>
          <c:showSerName val="0"/>
          <c:showPercent val="0"/>
          <c:showBubbleSize val="0"/>
        </c:dLbls>
        <c:marker val="1"/>
        <c:smooth val="0"/>
        <c:axId val="662710144"/>
        <c:axId val="662728704"/>
      </c:lineChart>
      <c:catAx>
        <c:axId val="662710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2728704"/>
        <c:crosses val="autoZero"/>
        <c:auto val="1"/>
        <c:lblAlgn val="ctr"/>
        <c:lblOffset val="100"/>
        <c:tickLblSkip val="1"/>
        <c:tickMarkSkip val="1"/>
        <c:noMultiLvlLbl val="0"/>
      </c:catAx>
      <c:valAx>
        <c:axId val="662728704"/>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2710144"/>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Electively Home</a:t>
            </a:r>
            <a:r>
              <a:rPr lang="en-GB" baseline="0"/>
              <a:t> Educated </a:t>
            </a:r>
            <a:r>
              <a:rPr lang="en-GB" sz="1000" b="1" i="0" u="none" strike="noStrike" baseline="0">
                <a:effectLst/>
              </a:rPr>
              <a:t>Children </a:t>
            </a:r>
          </a:p>
          <a:p>
            <a:pPr>
              <a:defRPr sz="1000" b="1" i="0" u="none" strike="noStrike" baseline="0">
                <a:solidFill>
                  <a:srgbClr val="000000"/>
                </a:solidFill>
                <a:latin typeface="Arial"/>
                <a:ea typeface="Arial"/>
                <a:cs typeface="Arial"/>
              </a:defRPr>
            </a:pPr>
            <a:r>
              <a:rPr lang="en-GB"/>
              <a:t>(Selected LA</a:t>
            </a:r>
            <a:r>
              <a:rPr lang="en-GB" baseline="0"/>
              <a:t> vs. SE)</a:t>
            </a:r>
            <a:r>
              <a:rPr lang="en-GB"/>
              <a:t> </a:t>
            </a:r>
          </a:p>
        </c:rich>
      </c:tx>
      <c:layout>
        <c:manualLayout>
          <c:xMode val="edge"/>
          <c:yMode val="edge"/>
          <c:x val="0.1808314729889533"/>
          <c:y val="3.8613923259592556E-3"/>
        </c:manualLayout>
      </c:layout>
      <c:overlay val="0"/>
      <c:spPr>
        <a:noFill/>
        <a:ln w="25400">
          <a:noFill/>
        </a:ln>
      </c:spPr>
    </c:title>
    <c:autoTitleDeleted val="0"/>
    <c:plotArea>
      <c:layout>
        <c:manualLayout>
          <c:layoutTarget val="inner"/>
          <c:xMode val="edge"/>
          <c:yMode val="edge"/>
          <c:x val="9.6909984154078643E-2"/>
          <c:y val="0.21898575178102736"/>
          <c:w val="0.65146216862752293"/>
          <c:h val="0.55067054118235226"/>
        </c:manualLayout>
      </c:layout>
      <c:barChart>
        <c:barDir val="col"/>
        <c:grouping val="clustered"/>
        <c:varyColors val="0"/>
        <c:ser>
          <c:idx val="6"/>
          <c:order val="0"/>
          <c:tx>
            <c:strRef>
              <c:f>EHE_CME!$Z$4</c:f>
              <c:strCache>
                <c:ptCount val="1"/>
                <c:pt idx="0">
                  <c:v>Selected LA- (none)</c:v>
                </c:pt>
              </c:strCache>
            </c:strRef>
          </c:tx>
          <c:spPr>
            <a:solidFill>
              <a:srgbClr val="66FF99"/>
            </a:solidFill>
            <a:ln>
              <a:solidFill>
                <a:schemeClr val="tx1">
                  <a:lumMod val="75000"/>
                  <a:lumOff val="25000"/>
                </a:schemeClr>
              </a:solidFill>
            </a:ln>
          </c:spPr>
          <c:invertIfNegative val="0"/>
          <c:cat>
            <c:strRef>
              <c:f>EHE_CME!$Y$2:$AC$3</c:f>
              <c:strCache>
                <c:ptCount val="5"/>
                <c:pt idx="0">
                  <c:v>2019/20</c:v>
                </c:pt>
                <c:pt idx="1">
                  <c:v>2020/21</c:v>
                </c:pt>
                <c:pt idx="2">
                  <c:v>2021/22</c:v>
                </c:pt>
                <c:pt idx="3">
                  <c:v>2022/23</c:v>
                </c:pt>
                <c:pt idx="4">
                  <c:v>2023/24</c:v>
                </c:pt>
              </c:strCache>
            </c:strRef>
          </c:cat>
          <c:val>
            <c:numRef>
              <c:f>EHE_CME!$AL$133:$AP$133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8A56-4885-BC3D-ADF5357898BC}"/>
            </c:ext>
          </c:extLst>
        </c:ser>
        <c:ser>
          <c:idx val="4"/>
          <c:order val="1"/>
          <c:tx>
            <c:strRef>
              <c:f>EHE_CME!$B$31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EHE_CME!$Y$2:$AC$3</c:f>
              <c:strCache>
                <c:ptCount val="5"/>
                <c:pt idx="0">
                  <c:v>2019/20</c:v>
                </c:pt>
                <c:pt idx="1">
                  <c:v>2020/21</c:v>
                </c:pt>
                <c:pt idx="2">
                  <c:v>2021/22</c:v>
                </c:pt>
                <c:pt idx="3">
                  <c:v>2022/23</c:v>
                </c:pt>
                <c:pt idx="4">
                  <c:v>2023/24</c:v>
                </c:pt>
              </c:strCache>
            </c:strRef>
          </c:cat>
          <c:val>
            <c:numRef>
              <c:f>EHE_CME!$L$101:$P$101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8A56-4885-BC3D-ADF5357898BC}"/>
            </c:ext>
          </c:extLst>
        </c:ser>
        <c:dLbls>
          <c:showLegendKey val="0"/>
          <c:showVal val="0"/>
          <c:showCatName val="0"/>
          <c:showSerName val="0"/>
          <c:showPercent val="0"/>
          <c:showBubbleSize val="0"/>
        </c:dLbls>
        <c:gapWidth val="100"/>
        <c:axId val="662758144"/>
        <c:axId val="662759680"/>
      </c:barChart>
      <c:catAx>
        <c:axId val="662758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2759680"/>
        <c:crosses val="autoZero"/>
        <c:auto val="1"/>
        <c:lblAlgn val="ctr"/>
        <c:lblOffset val="100"/>
        <c:noMultiLvlLbl val="0"/>
      </c:catAx>
      <c:valAx>
        <c:axId val="66275968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2758144"/>
        <c:crosses val="autoZero"/>
        <c:crossBetween val="between"/>
      </c:valAx>
      <c:spPr>
        <a:noFill/>
        <a:ln w="3175">
          <a:solidFill>
            <a:srgbClr val="000000"/>
          </a:solidFill>
          <a:prstDash val="solid"/>
        </a:ln>
      </c:spPr>
    </c:plotArea>
    <c:legend>
      <c:legendPos val="r"/>
      <c:layout>
        <c:manualLayout>
          <c:xMode val="edge"/>
          <c:yMode val="edge"/>
          <c:x val="0.75990284431229316"/>
          <c:y val="0.17953653819588342"/>
          <c:w val="0.24009715568770687"/>
          <c:h val="0.82046369203849523"/>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Missing Education vs. IDACI</a:t>
            </a:r>
          </a:p>
        </c:rich>
      </c:tx>
      <c:layout>
        <c:manualLayout>
          <c:xMode val="edge"/>
          <c:yMode val="edge"/>
          <c:x val="0.18216924939177123"/>
          <c:y val="3.0119883663190745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2"/>
          <c:order val="4"/>
          <c:tx>
            <c:strRef>
              <c:f>EHE_CME!$X$40</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EA99-42DE-B105-D2E2B17531A3}"/>
                </c:ext>
              </c:extLst>
            </c:dLbl>
            <c:dLbl>
              <c:idx val="1"/>
              <c:layout>
                <c:manualLayout>
                  <c:x val="-6.511627906976733E-2"/>
                  <c:y val="-2.4132730015082957E-2"/>
                </c:manualLayout>
              </c:layout>
              <c:tx>
                <c:strRef>
                  <c:f>EHE_CME!$AC$41</c:f>
                  <c:strCache>
                    <c:ptCount val="1"/>
                    <c:pt idx="0">
                      <c:v>#REF!</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{964E5B43-DE39-44CA-81E1-9D6FB7F267F7}</c15:txfldGUID>
                      <c15:f>EHE_CME!$AC$41</c15:f>
                      <c15:dlblFieldTableCache>
                        <c:ptCount val="1"/>
                        <c:pt idx="0">
                          <c:v>#REF!</c:v>
                        </c:pt>
                      </c15:dlblFieldTableCache>
                    </c15:dlblFTEntry>
                  </c15:dlblFieldTable>
                  <c15:showDataLabelsRange val="0"/>
                </c:ext>
                <c:ext xmlns:c16="http://schemas.microsoft.com/office/drawing/2014/chart" uri="{C3380CC4-5D6E-409C-BE32-E72D297353CC}">
                  <c16:uniqueId val="{00000001-EA99-42DE-B105-D2E2B17531A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EHE_CME!$AA$40:$AA$41</c:f>
              <c:numCache>
                <c:formatCode>General</c:formatCode>
                <c:ptCount val="2"/>
                <c:pt idx="0" formatCode="#,##0.0">
                  <c:v>3</c:v>
                </c:pt>
                <c:pt idx="1">
                  <c:v>22</c:v>
                </c:pt>
              </c:numCache>
            </c:numRef>
          </c:xVal>
          <c:yVal>
            <c:numRef>
              <c:f>EHE_CME!$AB$40:$AB$41</c:f>
              <c:numCache>
                <c:formatCode>0.0</c:formatCode>
                <c:ptCount val="2"/>
                <c:pt idx="0">
                  <c:v>0</c:v>
                </c:pt>
                <c:pt idx="1">
                  <c:v>0</c:v>
                </c:pt>
              </c:numCache>
            </c:numRef>
          </c:yVal>
          <c:smooth val="1"/>
          <c:extLst>
            <c:ext xmlns:c16="http://schemas.microsoft.com/office/drawing/2014/chart" uri="{C3380CC4-5D6E-409C-BE32-E72D297353CC}">
              <c16:uniqueId val="{00000002-EA99-42DE-B105-D2E2B17531A3}"/>
            </c:ext>
          </c:extLst>
        </c:ser>
        <c:dLbls>
          <c:showLegendKey val="0"/>
          <c:showVal val="0"/>
          <c:showCatName val="0"/>
          <c:showSerName val="0"/>
          <c:showPercent val="0"/>
          <c:showBubbleSize val="0"/>
        </c:dLbls>
        <c:axId val="663600128"/>
        <c:axId val="663655936"/>
      </c:scatterChart>
      <c:scatterChart>
        <c:scatterStyle val="lineMarker"/>
        <c:varyColors val="0"/>
        <c:ser>
          <c:idx val="0"/>
          <c:order val="0"/>
          <c:tx>
            <c:strRef>
              <c:f>EHE_CME!$AQ$37</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EA99-42DE-B105-D2E2B17531A3}"/>
              </c:ext>
            </c:extLst>
          </c:dPt>
          <c:dLbls>
            <c:dLbl>
              <c:idx val="0"/>
              <c:layout>
                <c:manualLayout>
                  <c:x val="-0.17469767441860465"/>
                  <c:y val="-9.0497737556561094E-3"/>
                </c:manualLayout>
              </c:layout>
              <c:tx>
                <c:strRef>
                  <c:f>ReportData!$K$4</c:f>
                  <c:strCache>
                    <c:ptCount val="1"/>
                    <c:pt idx="0">
                      <c:v>Bracknell Forest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{8AFE1EC8-0054-4616-B28C-64B668F75099}</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EA99-42DE-B105-D2E2B17531A3}"/>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{BE558636-7766-45AF-AE57-25141506B227}</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EA99-42DE-B105-D2E2B17531A3}"/>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{3AC95E99-499F-4351-BA54-8DE0CA6CBC0E}</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EA99-42DE-B105-D2E2B17531A3}"/>
                </c:ext>
              </c:extLst>
            </c:dLbl>
            <c:dLbl>
              <c:idx val="3"/>
              <c:tx>
                <c:strRef>
                  <c:f>ReportData!$K$7</c:f>
                  <c:strCache>
                    <c:ptCount val="1"/>
                    <c:pt idx="0">
                      <c:v>East Sussex</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{05BFC258-AF38-4760-8963-84D6DC03A762}</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EA99-42DE-B105-D2E2B17531A3}"/>
                </c:ext>
              </c:extLst>
            </c:dLbl>
            <c:dLbl>
              <c:idx val="4"/>
              <c:tx>
                <c:strRef>
                  <c:f>ReportData!$K$8</c:f>
                  <c:strCache>
                    <c:ptCount val="1"/>
                    <c:pt idx="0">
                      <c:v>Hampshire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{8A0DE0D2-F30F-4C6E-A4EF-8248E9D35476}</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8-EA99-42DE-B105-D2E2B17531A3}"/>
                </c:ext>
              </c:extLst>
            </c:dLbl>
            <c:dLbl>
              <c:idx val="5"/>
              <c:layout>
                <c:manualLayout>
                  <c:x val="-9.3023255813953487E-3"/>
                  <c:y val="-9.0497737556561094E-3"/>
                </c:manualLayout>
              </c:layout>
              <c:tx>
                <c:strRef>
                  <c:f>ReportData!$K$9</c:f>
                  <c:strCache>
                    <c:ptCount val="1"/>
                    <c:pt idx="0">
                      <c:v>Isle of Wight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{28D869B4-147D-42A5-82B4-F0E1FB0B256F}</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EA99-42DE-B105-D2E2B17531A3}"/>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{9D3DFE02-A5D1-4D01-A4C7-CDF972572D8D}</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A-EA99-42DE-B105-D2E2B17531A3}"/>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{CB06B9F1-6E6B-4D0D-9AC5-B77D0B902353}</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B-EA99-42DE-B105-D2E2B17531A3}"/>
                </c:ext>
              </c:extLst>
            </c:dLbl>
            <c:dLbl>
              <c:idx val="8"/>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{68949C89-1B42-4E1D-9618-B814580D80BF}</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EA99-42DE-B105-D2E2B17531A3}"/>
                </c:ext>
              </c:extLst>
            </c:dLbl>
            <c:dLbl>
              <c:idx val="9"/>
              <c:layout>
                <c:manualLayout>
                  <c:x val="-1.2403100775193856E-2"/>
                  <c:y val="0"/>
                </c:manualLayout>
              </c:layout>
              <c:tx>
                <c:strRef>
                  <c:f>ReportData!$K$13</c:f>
                  <c:strCache>
                    <c:ptCount val="1"/>
                    <c:pt idx="0">
                      <c:v>Oxfordshire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{DF68A9B6-F3C3-41B9-A6C2-5853EBDE43BB}</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EA99-42DE-B105-D2E2B17531A3}"/>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{5683FA71-ACC7-4C1C-AE21-316057D500A5}</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EA99-42DE-B105-D2E2B17531A3}"/>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{267D4260-AB01-4BCF-929E-DEF900FD31C2}</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F-EA99-42DE-B105-D2E2B17531A3}"/>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{1F032149-9232-454F-9C82-BB7488D1007B}</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10-EA99-42DE-B105-D2E2B17531A3}"/>
                </c:ext>
              </c:extLst>
            </c:dLbl>
            <c:dLbl>
              <c:idx val="13"/>
              <c:tx>
                <c:strRef>
                  <c:f>ReportData!$K$17</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{14580DFA-66C7-43DC-85DD-545BF0336AAE}</c15:txfldGUID>
                      <c15:f>ReportData!$K$17</c15:f>
                      <c15:dlblFieldTableCache>
                        <c:ptCount val="1"/>
                        <c:pt idx="0">
                          <c:v>Southampton</c:v>
                        </c:pt>
                      </c15:dlblFieldTableCache>
                    </c15:dlblFTEntry>
                  </c15:dlblFieldTable>
                  <c15:showDataLabelsRange val="0"/>
                </c:ext>
                <c:ext xmlns:c16="http://schemas.microsoft.com/office/drawing/2014/chart" uri="{C3380CC4-5D6E-409C-BE32-E72D297353CC}">
                  <c16:uniqueId val="{00000011-EA99-42DE-B105-D2E2B17531A3}"/>
                </c:ext>
              </c:extLst>
            </c:dLbl>
            <c:dLbl>
              <c:idx val="14"/>
              <c:tx>
                <c:strRef>
                  <c:f>ReportData!$K$18</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{4128385D-F9D6-4B51-87B2-347362E8946C}</c15:txfldGUID>
                      <c15:f>ReportData!$K$18</c15:f>
                      <c15:dlblFieldTableCache>
                        <c:ptCount val="1"/>
                        <c:pt idx="0">
                          <c:v>Surrey</c:v>
                        </c:pt>
                      </c15:dlblFieldTableCache>
                    </c15:dlblFTEntry>
                  </c15:dlblFieldTable>
                  <c15:showDataLabelsRange val="0"/>
                </c:ext>
                <c:ext xmlns:c16="http://schemas.microsoft.com/office/drawing/2014/chart" uri="{C3380CC4-5D6E-409C-BE32-E72D297353CC}">
                  <c16:uniqueId val="{00000012-EA99-42DE-B105-D2E2B17531A3}"/>
                </c:ext>
              </c:extLst>
            </c:dLbl>
            <c:dLbl>
              <c:idx val="15"/>
              <c:tx>
                <c:strRef>
                  <c:f>ReportData!$K$19</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{92D1A60D-07BE-4B36-8BED-509DC846A44C}</c15:txfldGUID>
                      <c15:f>ReportData!$K$19</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EA99-42DE-B105-D2E2B17531A3}"/>
                </c:ext>
              </c:extLst>
            </c:dLbl>
            <c:dLbl>
              <c:idx val="16"/>
              <c:tx>
                <c:strRef>
                  <c:f>ReportData!$K$20</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{8DC3A15D-3267-4F19-83A8-B699563D47A9}</c15:txfldGUID>
                      <c15:f>ReportData!$K$20</c15:f>
                      <c15:dlblFieldTableCache>
                        <c:ptCount val="1"/>
                        <c:pt idx="0">
                          <c:v>West Sussex</c:v>
                        </c:pt>
                      </c15:dlblFieldTableCache>
                    </c15:dlblFTEntry>
                  </c15:dlblFieldTable>
                  <c15:showDataLabelsRange val="0"/>
                </c:ext>
                <c:ext xmlns:c16="http://schemas.microsoft.com/office/drawing/2014/chart" uri="{C3380CC4-5D6E-409C-BE32-E72D297353CC}">
                  <c16:uniqueId val="{00000014-EA99-42DE-B105-D2E2B17531A3}"/>
                </c:ext>
              </c:extLst>
            </c:dLbl>
            <c:dLbl>
              <c:idx val="17"/>
              <c:tx>
                <c:strRef>
                  <c:f>ReportData!$K$21</c:f>
                  <c:strCache>
                    <c:ptCount val="1"/>
                    <c:pt idx="0">
                      <c:v>Windsor &amp; Maidenhead</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{85927675-B558-46A8-8957-3F2CB83245EC}</c15:txfldGUID>
                      <c15:f>ReportData!$K$21</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EA99-42DE-B105-D2E2B17531A3}"/>
                </c:ext>
              </c:extLst>
            </c:dLbl>
            <c:dLbl>
              <c:idx val="18"/>
              <c:tx>
                <c:strRef>
                  <c:f>ReportData!$K$22</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{9DD4E60C-8EAF-43E0-BAD1-13749F14D7DA}</c15:txfldGUID>
                      <c15:f>ReportData!$K$22</c15:f>
                      <c15:dlblFieldTableCache>
                        <c:ptCount val="1"/>
                        <c:pt idx="0">
                          <c:v>Wokingham</c:v>
                        </c:pt>
                      </c15:dlblFieldTableCache>
                    </c15:dlblFTEntry>
                  </c15:dlblFieldTable>
                  <c15:showDataLabelsRange val="0"/>
                </c:ext>
                <c:ext xmlns:c16="http://schemas.microsoft.com/office/drawing/2014/chart" uri="{C3380CC4-5D6E-409C-BE32-E72D297353CC}">
                  <c16:uniqueId val="{00000016-EA99-42DE-B105-D2E2B17531A3}"/>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(EHE_CME!$AQ$40:$AQ$52,EHE_CME!$AQ$54:$AQ$55,EHE_CME!$AQ$57:$AQ$60)</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(EHE_CME!$AP$40:$AP$52,EHE_CME!$AP$54:$AP$55,EHE_CME!$AP$57:$AP$60)</c:f>
              <c:numCache>
                <c:formatCode>0.0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yVal>
          <c:smooth val="0"/>
          <c:extLst>
            <c:ext xmlns:c16="http://schemas.microsoft.com/office/drawing/2014/chart" uri="{C3380CC4-5D6E-409C-BE32-E72D297353CC}">
              <c16:uniqueId val="{00000017-EA99-42DE-B105-D2E2B17531A3}"/>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8-EA99-42DE-B105-D2E2B17531A3}"/>
              </c:ext>
            </c:extLst>
          </c:dPt>
          <c:dLbls>
            <c:dLbl>
              <c:idx val="0"/>
              <c:tx>
                <c:strRef>
                  <c:f>ReportData!#REF!</c:f>
                  <c:strCache>
                    <c:ptCount val="1"/>
                    <c:pt idx="0">
                      <c:v>#REF!</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{42B6590A-6732-416D-8E5F-8AF75AF6F918}</c15:txfldGUID>
                      <c15:f>ReportData!#REF!</c15:f>
                      <c15:dlblFieldTableCache>
                        <c:ptCount val="1"/>
                        <c:pt idx="0">
                          <c:v>#REF!</c:v>
                        </c:pt>
                      </c15:dlblFieldTableCache>
                    </c15:dlblFTEntry>
                  </c15:dlblFieldTable>
                  <c15:showDataLabelsRange val="0"/>
                </c:ext>
                <c:ext xmlns:c16="http://schemas.microsoft.com/office/drawing/2014/chart" uri="{C3380CC4-5D6E-409C-BE32-E72D297353CC}">
                  <c16:uniqueId val="{00000018-EA99-42DE-B105-D2E2B17531A3}"/>
                </c:ext>
              </c:extLst>
            </c:dLbl>
            <c:dLbl>
              <c:idx val="1"/>
              <c:tx>
                <c:strRef>
                  <c:f>ReportData!#REF!</c:f>
                  <c:strCache>
                    <c:ptCount val="1"/>
                    <c:pt idx="0">
                      <c:v>#REF!</c:v>
                    </c:pt>
                  </c:strCache>
                </c:strRef>
              </c:tx>
              <c:dLblPos val="r"/>
              <c:showLegendKey val="0"/>
              <c:showVal val="0"/>
              <c:showCatName val="0"/>
              <c:showSerName val="1"/>
              <c:showPercent val="0"/>
              <c:showBubbleSize val="0"/>
              <c:extLst>
                <c:ext xmlns:c15="http://schemas.microsoft.com/office/drawing/2012/chart" uri="{CE6537A1-D6FC-4f65-9D91-7224C49458BB}">
                  <c15:dlblFieldTable>
                    <c15:dlblFTEntry>
                      <c15:txfldGUID>{82DBA0F8-6B56-4D57-AF59-0FEB37DDE8D3}</c15:txfldGUID>
                      <c15:f>ReportData!#REF!</c15:f>
                      <c15:dlblFieldTableCache>
                        <c:ptCount val="1"/>
                        <c:pt idx="0">
                          <c:v>#REF!</c:v>
                        </c:pt>
                      </c15:dlblFieldTableCache>
                    </c15:dlblFTEntry>
                  </c15:dlblFieldTable>
                  <c15:showDataLabelsRange val="0"/>
                </c:ext>
                <c:ext xmlns:c16="http://schemas.microsoft.com/office/drawing/2014/chart" uri="{C3380CC4-5D6E-409C-BE32-E72D297353CC}">
                  <c16:uniqueId val="{00000019-EA99-42DE-B105-D2E2B17531A3}"/>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{9FB57B07-6E17-4801-9835-3953CB31C390}</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A-EA99-42DE-B105-D2E2B17531A3}"/>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(EHE_CME!$AQ$53,EHE_CME!$AQ$56)</c:f>
              <c:numCache>
                <c:formatCode>0.0</c:formatCode>
                <c:ptCount val="2"/>
                <c:pt idx="0">
                  <c:v>0</c:v>
                </c:pt>
                <c:pt idx="1">
                  <c:v>0</c:v>
                </c:pt>
              </c:numCache>
            </c:numRef>
          </c:xVal>
          <c:yVal>
            <c:numRef>
              <c:f>(EHE_CME!$AP$53,EHE_CME!$AP$56)</c:f>
              <c:numCache>
                <c:formatCode>0.0</c:formatCode>
                <c:ptCount val="2"/>
                <c:pt idx="0">
                  <c:v>0</c:v>
                </c:pt>
                <c:pt idx="1">
                  <c:v>0</c:v>
                </c:pt>
              </c:numCache>
            </c:numRef>
          </c:yVal>
          <c:smooth val="0"/>
          <c:extLst>
            <c:ext xmlns:c16="http://schemas.microsoft.com/office/drawing/2014/chart" uri="{C3380CC4-5D6E-409C-BE32-E72D297353CC}">
              <c16:uniqueId val="{0000001B-EA99-42DE-B105-D2E2B17531A3}"/>
            </c:ext>
          </c:extLst>
        </c:ser>
        <c:ser>
          <c:idx val="1"/>
          <c:order val="2"/>
          <c:tx>
            <c:strRef>
              <c:f>EHE_CME!$Z$4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EHE_CME!$AQ$63</c:f>
              <c:numCache>
                <c:formatCode>0.0</c:formatCode>
                <c:ptCount val="1"/>
                <c:pt idx="0">
                  <c:v>#N/A</c:v>
                </c:pt>
              </c:numCache>
            </c:numRef>
          </c:xVal>
          <c:yVal>
            <c:numRef>
              <c:f>EHE_CME!$AP$63</c:f>
              <c:numCache>
                <c:formatCode>0.0</c:formatCode>
                <c:ptCount val="1"/>
                <c:pt idx="0">
                  <c:v>#N/A</c:v>
                </c:pt>
              </c:numCache>
            </c:numRef>
          </c:yVal>
          <c:smooth val="0"/>
          <c:extLst>
            <c:ext xmlns:c16="http://schemas.microsoft.com/office/drawing/2014/chart" uri="{C3380CC4-5D6E-409C-BE32-E72D297353CC}">
              <c16:uniqueId val="{0000001C-EA99-42DE-B105-D2E2B17531A3}"/>
            </c:ext>
          </c:extLst>
        </c:ser>
        <c:ser>
          <c:idx val="4"/>
          <c:order val="3"/>
          <c:tx>
            <c:strRef>
              <c:f>EHE_CME!$B$31</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EHE_CME!$T$31</c:f>
              <c:numCache>
                <c:formatCode>0.0</c:formatCode>
                <c:ptCount val="1"/>
                <c:pt idx="0">
                  <c:v>0</c:v>
                </c:pt>
              </c:numCache>
            </c:numRef>
          </c:xVal>
          <c:yVal>
            <c:numRef>
              <c:f>EHE_CME!$P$31</c:f>
              <c:numCache>
                <c:formatCode>0.0</c:formatCode>
                <c:ptCount val="1"/>
                <c:pt idx="0">
                  <c:v>#N/A</c:v>
                </c:pt>
              </c:numCache>
            </c:numRef>
          </c:yVal>
          <c:smooth val="0"/>
          <c:extLst>
            <c:ext xmlns:c16="http://schemas.microsoft.com/office/drawing/2014/chart" uri="{C3380CC4-5D6E-409C-BE32-E72D297353CC}">
              <c16:uniqueId val="{0000001D-EA99-42DE-B105-D2E2B17531A3}"/>
            </c:ext>
          </c:extLst>
        </c:ser>
        <c:dLbls>
          <c:showLegendKey val="0"/>
          <c:showVal val="0"/>
          <c:showCatName val="0"/>
          <c:showSerName val="0"/>
          <c:showPercent val="0"/>
          <c:showBubbleSize val="0"/>
        </c:dLbls>
        <c:axId val="663600128"/>
        <c:axId val="663655936"/>
      </c:scatterChart>
      <c:valAx>
        <c:axId val="663600128"/>
        <c:scaling>
          <c:orientation val="minMax"/>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cross"/>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3655936"/>
        <c:crosses val="autoZero"/>
        <c:crossBetween val="midCat"/>
        <c:majorUnit val="5"/>
      </c:valAx>
      <c:valAx>
        <c:axId val="663655936"/>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a:t>Rate of Children Missing Education per</a:t>
                </a:r>
              </a:p>
              <a:p>
                <a:pPr>
                  <a:defRPr sz="800" b="1" i="0" u="none" strike="noStrike" baseline="0">
                    <a:solidFill>
                      <a:srgbClr val="000000"/>
                    </a:solidFill>
                    <a:latin typeface="Arial"/>
                    <a:ea typeface="Arial"/>
                    <a:cs typeface="Arial"/>
                  </a:defRPr>
                </a:pPr>
                <a:r>
                  <a:rPr lang="en-GB"/>
                  <a:t>10,000 5-15 year olds</a:t>
                </a:r>
              </a:p>
            </c:rich>
          </c:tx>
          <c:layout>
            <c:manualLayout>
              <c:xMode val="edge"/>
              <c:yMode val="edge"/>
              <c:x val="4.8947614424909212E-2"/>
              <c:y val="0.251283488212622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3600128"/>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Electively Home</a:t>
            </a:r>
            <a:r>
              <a:rPr lang="en-GB" baseline="0"/>
              <a:t> Educated Children </a:t>
            </a:r>
            <a:r>
              <a:rPr lang="en-GB"/>
              <a:t>vs. IDACI</a:t>
            </a:r>
          </a:p>
        </c:rich>
      </c:tx>
      <c:layout>
        <c:manualLayout>
          <c:xMode val="edge"/>
          <c:yMode val="edge"/>
          <c:x val="0.11519816872206042"/>
          <c:y val="3.6125889669196755E-2"/>
        </c:manualLayout>
      </c:layout>
      <c:overlay val="0"/>
      <c:spPr>
        <a:noFill/>
        <a:ln w="25400">
          <a:noFill/>
        </a:ln>
      </c:spPr>
    </c:title>
    <c:autoTitleDeleted val="0"/>
    <c:plotArea>
      <c:layout>
        <c:manualLayout>
          <c:layoutTarget val="inner"/>
          <c:xMode val="edge"/>
          <c:yMode val="edge"/>
          <c:x val="0.17846642457364062"/>
          <c:y val="0.11580525407297061"/>
          <c:w val="0.71042412839987923"/>
          <c:h val="0.7425640385641078"/>
        </c:manualLayout>
      </c:layout>
      <c:scatterChart>
        <c:scatterStyle val="smoothMarker"/>
        <c:varyColors val="0"/>
        <c:ser>
          <c:idx val="2"/>
          <c:order val="4"/>
          <c:tx>
            <c:strRef>
              <c:f>EHE_CME!$X$110</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6370-4591-9D88-696FE2F5F1BE}"/>
                </c:ext>
              </c:extLst>
            </c:dLbl>
            <c:dLbl>
              <c:idx val="1"/>
              <c:layout>
                <c:manualLayout>
                  <c:x val="-6.8217054263565891E-2"/>
                  <c:y val="-2.7149321266968382E-2"/>
                </c:manualLayout>
              </c:layout>
              <c:tx>
                <c:strRef>
                  <c:f>EHE_CME!$AC$111</c:f>
                  <c:strCache>
                    <c:ptCount val="1"/>
                    <c:pt idx="0">
                      <c:v>#REF!</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{E115AF04-54D0-4519-991B-CCBF91D2EF4F}</c15:txfldGUID>
                      <c15:f>EHE_CME!$AC$111</c15:f>
                      <c15:dlblFieldTableCache>
                        <c:ptCount val="1"/>
                        <c:pt idx="0">
                          <c:v>#REF!</c:v>
                        </c:pt>
                      </c15:dlblFieldTableCache>
                    </c15:dlblFTEntry>
                  </c15:dlblFieldTable>
                  <c15:showDataLabelsRange val="0"/>
                </c:ext>
                <c:ext xmlns:c16="http://schemas.microsoft.com/office/drawing/2014/chart" uri="{C3380CC4-5D6E-409C-BE32-E72D297353CC}">
                  <c16:uniqueId val="{00000001-6370-4591-9D88-696FE2F5F1B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EHE_CME!$AA$110:$AA$111</c:f>
              <c:numCache>
                <c:formatCode>General</c:formatCode>
                <c:ptCount val="2"/>
                <c:pt idx="0" formatCode="#,##0.0">
                  <c:v>3</c:v>
                </c:pt>
                <c:pt idx="1">
                  <c:v>22</c:v>
                </c:pt>
              </c:numCache>
            </c:numRef>
          </c:xVal>
          <c:yVal>
            <c:numRef>
              <c:f>EHE_CME!$AB$110:$AB$111</c:f>
              <c:numCache>
                <c:formatCode>0.0</c:formatCode>
                <c:ptCount val="2"/>
                <c:pt idx="0">
                  <c:v>0</c:v>
                </c:pt>
                <c:pt idx="1">
                  <c:v>0</c:v>
                </c:pt>
              </c:numCache>
            </c:numRef>
          </c:yVal>
          <c:smooth val="1"/>
          <c:extLst>
            <c:ext xmlns:c16="http://schemas.microsoft.com/office/drawing/2014/chart" uri="{C3380CC4-5D6E-409C-BE32-E72D297353CC}">
              <c16:uniqueId val="{00000002-6370-4591-9D88-696FE2F5F1BE}"/>
            </c:ext>
          </c:extLst>
        </c:ser>
        <c:dLbls>
          <c:showLegendKey val="0"/>
          <c:showVal val="0"/>
          <c:showCatName val="0"/>
          <c:showSerName val="0"/>
          <c:showPercent val="0"/>
          <c:showBubbleSize val="0"/>
        </c:dLbls>
        <c:axId val="663702144"/>
        <c:axId val="663291008"/>
      </c:scatterChart>
      <c:scatterChart>
        <c:scatterStyle val="lineMarker"/>
        <c:varyColors val="0"/>
        <c:ser>
          <c:idx val="0"/>
          <c:order val="0"/>
          <c:tx>
            <c:strRef>
              <c:f>EHE_CME!$AQ$37</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6370-4591-9D88-696FE2F5F1BE}"/>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{490EF7C8-F86C-4E47-835B-C3FE3118318B}</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6370-4591-9D88-696FE2F5F1BE}"/>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{EC2B2FBB-E482-4BA0-9C0E-B61DC88FB59D}</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6370-4591-9D88-696FE2F5F1BE}"/>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{5C038663-C020-47F9-B816-FF66ED3480C6}</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6370-4591-9D88-696FE2F5F1BE}"/>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{DDDE099E-776D-45DE-8676-3DB317E27454}</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6370-4591-9D88-696FE2F5F1BE}"/>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{15E6C2E9-1E5C-4F4A-B769-420A488D857B}</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8-6370-4591-9D88-696FE2F5F1BE}"/>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{CF21A4B7-AD1F-4893-A6AC-0163FA9A5788}</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6370-4591-9D88-696FE2F5F1BE}"/>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{B8F278DD-9968-4422-B00B-DFD1ABA18B73}</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A-6370-4591-9D88-696FE2F5F1BE}"/>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{E6C00CFD-D71A-424E-8D41-C53A55642057}</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B-6370-4591-9D88-696FE2F5F1BE}"/>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{3CD6DCDF-1F41-49C0-8F75-943958D7182E}</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6370-4591-9D88-696FE2F5F1BE}"/>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{E79397B5-3DD4-4A2A-82A8-F2ABC3BE93D6}</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6370-4591-9D88-696FE2F5F1BE}"/>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{97C7669C-7244-44AC-BE90-E590DBF1D039}</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6370-4591-9D88-696FE2F5F1BE}"/>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{EC97A215-0E4E-4357-BE64-2A33B4FBD11E}</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F-6370-4591-9D88-696FE2F5F1BE}"/>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{EF355B59-8E06-4C34-A607-BA5574AEA0E3}</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10-6370-4591-9D88-696FE2F5F1BE}"/>
                </c:ext>
              </c:extLst>
            </c:dLbl>
            <c:dLbl>
              <c:idx val="13"/>
              <c:tx>
                <c:strRef>
                  <c:f>ReportData!$K$17</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{02FE769F-A210-4604-A60E-50E073CC2E74}</c15:txfldGUID>
                      <c15:f>ReportData!$K$17</c15:f>
                      <c15:dlblFieldTableCache>
                        <c:ptCount val="1"/>
                        <c:pt idx="0">
                          <c:v>Southampton</c:v>
                        </c:pt>
                      </c15:dlblFieldTableCache>
                    </c15:dlblFTEntry>
                  </c15:dlblFieldTable>
                  <c15:showDataLabelsRange val="0"/>
                </c:ext>
                <c:ext xmlns:c16="http://schemas.microsoft.com/office/drawing/2014/chart" uri="{C3380CC4-5D6E-409C-BE32-E72D297353CC}">
                  <c16:uniqueId val="{00000011-6370-4591-9D88-696FE2F5F1BE}"/>
                </c:ext>
              </c:extLst>
            </c:dLbl>
            <c:dLbl>
              <c:idx val="14"/>
              <c:tx>
                <c:strRef>
                  <c:f>ReportData!$K$18</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{9D83DB3A-C903-435D-9F0E-3B4D35FD4B0B}</c15:txfldGUID>
                      <c15:f>ReportData!$K$18</c15:f>
                      <c15:dlblFieldTableCache>
                        <c:ptCount val="1"/>
                        <c:pt idx="0">
                          <c:v>Surrey</c:v>
                        </c:pt>
                      </c15:dlblFieldTableCache>
                    </c15:dlblFTEntry>
                  </c15:dlblFieldTable>
                  <c15:showDataLabelsRange val="0"/>
                </c:ext>
                <c:ext xmlns:c16="http://schemas.microsoft.com/office/drawing/2014/chart" uri="{C3380CC4-5D6E-409C-BE32-E72D297353CC}">
                  <c16:uniqueId val="{00000012-6370-4591-9D88-696FE2F5F1BE}"/>
                </c:ext>
              </c:extLst>
            </c:dLbl>
            <c:dLbl>
              <c:idx val="15"/>
              <c:tx>
                <c:strRef>
                  <c:f>ReportData!$K$19</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{21001009-26E5-45F2-B0AE-2C77C6F303CF}</c15:txfldGUID>
                      <c15:f>ReportData!$K$19</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6370-4591-9D88-696FE2F5F1BE}"/>
                </c:ext>
              </c:extLst>
            </c:dLbl>
            <c:dLbl>
              <c:idx val="16"/>
              <c:tx>
                <c:strRef>
                  <c:f>ReportData!$K$20</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{E9EAF2D1-EB16-4E2F-9F0A-C1173DAFAD90}</c15:txfldGUID>
                      <c15:f>ReportData!$K$20</c15:f>
                      <c15:dlblFieldTableCache>
                        <c:ptCount val="1"/>
                        <c:pt idx="0">
                          <c:v>West Sussex</c:v>
                        </c:pt>
                      </c15:dlblFieldTableCache>
                    </c15:dlblFTEntry>
                  </c15:dlblFieldTable>
                  <c15:showDataLabelsRange val="0"/>
                </c:ext>
                <c:ext xmlns:c16="http://schemas.microsoft.com/office/drawing/2014/chart" uri="{C3380CC4-5D6E-409C-BE32-E72D297353CC}">
                  <c16:uniqueId val="{00000014-6370-4591-9D88-696FE2F5F1BE}"/>
                </c:ext>
              </c:extLst>
            </c:dLbl>
            <c:dLbl>
              <c:idx val="17"/>
              <c:layout>
                <c:manualLayout>
                  <c:x val="-2.1259252882280515E-2"/>
                  <c:y val="1.782607922639495E-2"/>
                </c:manualLayout>
              </c:layout>
              <c:tx>
                <c:strRef>
                  <c:f>ReportData!$K$21</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{4F5056E2-9595-4B3C-B0B4-FD9154FFC905}</c15:txfldGUID>
                      <c15:f>ReportData!$K$21</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6370-4591-9D88-696FE2F5F1BE}"/>
                </c:ext>
              </c:extLst>
            </c:dLbl>
            <c:dLbl>
              <c:idx val="18"/>
              <c:tx>
                <c:strRef>
                  <c:f>ReportData!$K$22</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{D260F39D-8909-48BC-BC06-2963C5384332}</c15:txfldGUID>
                      <c15:f>ReportData!$K$22</c15:f>
                      <c15:dlblFieldTableCache>
                        <c:ptCount val="1"/>
                        <c:pt idx="0">
                          <c:v>Wokingham</c:v>
                        </c:pt>
                      </c15:dlblFieldTableCache>
                    </c15:dlblFTEntry>
                  </c15:dlblFieldTable>
                  <c15:showDataLabelsRange val="0"/>
                </c:ext>
                <c:ext xmlns:c16="http://schemas.microsoft.com/office/drawing/2014/chart" uri="{C3380CC4-5D6E-409C-BE32-E72D297353CC}">
                  <c16:uniqueId val="{00000016-6370-4591-9D88-696FE2F5F1BE}"/>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(EHE_CME!$AQ$110:$AQ$122,EHE_CME!$AQ$124:$AQ$125,EHE_CME!$AQ$127:$AQ$130)</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(EHE_CME!$AP$110:$AP$122,EHE_CME!$AP$124:$AP$125,EHE_CME!$AP$127:$AP$130)</c:f>
              <c:numCache>
                <c:formatCode>0.0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yVal>
          <c:smooth val="0"/>
          <c:extLst>
            <c:ext xmlns:c16="http://schemas.microsoft.com/office/drawing/2014/chart" uri="{C3380CC4-5D6E-409C-BE32-E72D297353CC}">
              <c16:uniqueId val="{00000017-6370-4591-9D88-696FE2F5F1BE}"/>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8-6370-4591-9D88-696FE2F5F1BE}"/>
              </c:ext>
            </c:extLst>
          </c:dPt>
          <c:dLbls>
            <c:dLbl>
              <c:idx val="0"/>
              <c:tx>
                <c:strRef>
                  <c:f>ReportData!#REF!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{3DBB72F7-79C1-41A3-A3F7-C5362A714806}</c15:txfldGUID>
                      <c15:f>ReportData!#REF!</c15:f>
                      <c15:dlblFieldTableCache>
                        <c:ptCount val="1"/>
                        <c:pt idx="0">
                          <c:v>#REF!</c:v>
                        </c:pt>
                      </c15:dlblFieldTableCache>
                    </c15:dlblFTEntry>
                  </c15:dlblFieldTable>
                  <c15:showDataLabelsRange val="0"/>
                </c:ext>
                <c:ext xmlns:c16="http://schemas.microsoft.com/office/drawing/2014/chart" uri="{C3380CC4-5D6E-409C-BE32-E72D297353CC}">
                  <c16:uniqueId val="{00000018-6370-4591-9D88-696FE2F5F1BE}"/>
                </c:ext>
              </c:extLst>
            </c:dLbl>
            <c:dLbl>
              <c:idx val="1"/>
              <c:tx>
                <c:strRef>
                  <c:f>ReportData!#REF!</c:f>
                  <c:strCache>
                    <c:ptCount val="1"/>
                    <c:pt idx="0">
                      <c:v>#REF!</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{CAFD4955-4753-4441-AF4D-E722198BEB76}</c15:txfldGUID>
                      <c15:f>ReportData!#REF!</c15:f>
                      <c15:dlblFieldTableCache>
                        <c:ptCount val="1"/>
                        <c:pt idx="0">
                          <c:v>#REF!</c:v>
                        </c:pt>
                      </c15:dlblFieldTableCache>
                    </c15:dlblFTEntry>
                  </c15:dlblFieldTable>
                  <c15:showDataLabelsRange val="0"/>
                </c:ext>
                <c:ext xmlns:c16="http://schemas.microsoft.com/office/drawing/2014/chart" uri="{C3380CC4-5D6E-409C-BE32-E72D297353CC}">
                  <c16:uniqueId val="{00000019-6370-4591-9D88-696FE2F5F1BE}"/>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{B71D823C-9AD2-442E-8F0F-22362CC22FB7}</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A-6370-4591-9D88-696FE2F5F1BE}"/>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(EHE_CME!$AQ$123,EHE_CME!$AQ$126)</c:f>
              <c:numCache>
                <c:formatCode>0.0</c:formatCode>
                <c:ptCount val="2"/>
                <c:pt idx="0">
                  <c:v>0</c:v>
                </c:pt>
                <c:pt idx="1">
                  <c:v>0</c:v>
                </c:pt>
              </c:numCache>
            </c:numRef>
          </c:xVal>
          <c:yVal>
            <c:numRef>
              <c:f>(EHE_CME!$AP$123,EHE_CME!$AP$126)</c:f>
              <c:numCache>
                <c:formatCode>0.0</c:formatCode>
                <c:ptCount val="2"/>
                <c:pt idx="0">
                  <c:v>0</c:v>
                </c:pt>
                <c:pt idx="1">
                  <c:v>0</c:v>
                </c:pt>
              </c:numCache>
            </c:numRef>
          </c:yVal>
          <c:smooth val="0"/>
          <c:extLst>
            <c:ext xmlns:c16="http://schemas.microsoft.com/office/drawing/2014/chart" uri="{C3380CC4-5D6E-409C-BE32-E72D297353CC}">
              <c16:uniqueId val="{0000001B-6370-4591-9D88-696FE2F5F1BE}"/>
            </c:ext>
          </c:extLst>
        </c:ser>
        <c:ser>
          <c:idx val="1"/>
          <c:order val="2"/>
          <c:tx>
            <c:strRef>
              <c:f>EHE_CME!$Z$4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EHE_CME!$AQ$133</c:f>
              <c:numCache>
                <c:formatCode>0.0</c:formatCode>
                <c:ptCount val="1"/>
                <c:pt idx="0">
                  <c:v>#N/A</c:v>
                </c:pt>
              </c:numCache>
            </c:numRef>
          </c:xVal>
          <c:yVal>
            <c:numRef>
              <c:f>EHE_CME!$AP$133</c:f>
              <c:numCache>
                <c:formatCode>0.0</c:formatCode>
                <c:ptCount val="1"/>
                <c:pt idx="0">
                  <c:v>#N/A</c:v>
                </c:pt>
              </c:numCache>
            </c:numRef>
          </c:yVal>
          <c:smooth val="0"/>
          <c:extLst>
            <c:ext xmlns:c16="http://schemas.microsoft.com/office/drawing/2014/chart" uri="{C3380CC4-5D6E-409C-BE32-E72D297353CC}">
              <c16:uniqueId val="{0000001C-6370-4591-9D88-696FE2F5F1BE}"/>
            </c:ext>
          </c:extLst>
        </c:ser>
        <c:ser>
          <c:idx val="4"/>
          <c:order val="3"/>
          <c:tx>
            <c:strRef>
              <c:f>EHE_CME!$B$101</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EHE_CME!$T$101</c:f>
              <c:numCache>
                <c:formatCode>0.0</c:formatCode>
                <c:ptCount val="1"/>
                <c:pt idx="0">
                  <c:v>0</c:v>
                </c:pt>
              </c:numCache>
            </c:numRef>
          </c:xVal>
          <c:yVal>
            <c:numRef>
              <c:f>EHE_CME!$P$101</c:f>
              <c:numCache>
                <c:formatCode>0.0</c:formatCode>
                <c:ptCount val="1"/>
                <c:pt idx="0">
                  <c:v>0</c:v>
                </c:pt>
              </c:numCache>
            </c:numRef>
          </c:yVal>
          <c:smooth val="0"/>
          <c:extLst>
            <c:ext xmlns:c16="http://schemas.microsoft.com/office/drawing/2014/chart" uri="{C3380CC4-5D6E-409C-BE32-E72D297353CC}">
              <c16:uniqueId val="{0000001D-6370-4591-9D88-696FE2F5F1BE}"/>
            </c:ext>
          </c:extLst>
        </c:ser>
        <c:dLbls>
          <c:showLegendKey val="0"/>
          <c:showVal val="0"/>
          <c:showCatName val="0"/>
          <c:showSerName val="0"/>
          <c:showPercent val="0"/>
          <c:showBubbleSize val="0"/>
        </c:dLbls>
        <c:axId val="663702144"/>
        <c:axId val="663291008"/>
      </c:scatterChart>
      <c:valAx>
        <c:axId val="663702144"/>
        <c:scaling>
          <c:orientation val="minMax"/>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3291008"/>
        <c:crosses val="autoZero"/>
        <c:crossBetween val="midCat"/>
        <c:majorUnit val="5"/>
      </c:valAx>
      <c:valAx>
        <c:axId val="663291008"/>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a:t>Rate ofElectively</a:t>
                </a:r>
                <a:r>
                  <a:rPr lang="en-GB" baseline="0"/>
                  <a:t> Home Educated </a:t>
                </a:r>
                <a:r>
                  <a:rPr lang="en-GB"/>
                  <a:t>per</a:t>
                </a:r>
              </a:p>
              <a:p>
                <a:pPr>
                  <a:defRPr sz="800" b="1" i="0" u="none" strike="noStrike" baseline="0">
                    <a:solidFill>
                      <a:srgbClr val="000000"/>
                    </a:solidFill>
                    <a:latin typeface="Arial"/>
                    <a:ea typeface="Arial"/>
                    <a:cs typeface="Arial"/>
                  </a:defRPr>
                </a:pPr>
                <a:r>
                  <a:rPr lang="en-GB"/>
                  <a:t>10,000 5-15 year olds</a:t>
                </a:r>
              </a:p>
            </c:rich>
          </c:tx>
          <c:layout>
            <c:manualLayout>
              <c:xMode val="edge"/>
              <c:yMode val="edge"/>
              <c:x val="4.8947614424909212E-2"/>
              <c:y val="0.242274479203613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3702144"/>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Proportion of Young People aged 16-17 who are Participating in Education, Employment or Training (EET)</a:t>
            </a:r>
          </a:p>
        </c:rich>
      </c:tx>
      <c:layout>
        <c:manualLayout>
          <c:xMode val="edge"/>
          <c:yMode val="edge"/>
          <c:x val="0.112285968095247"/>
          <c:y val="2.3171529495655259E-3"/>
        </c:manualLayout>
      </c:layout>
      <c:overlay val="0"/>
      <c:spPr>
        <a:noFill/>
        <a:ln w="25400">
          <a:noFill/>
        </a:ln>
      </c:spPr>
    </c:title>
    <c:autoTitleDeleted val="0"/>
    <c:plotArea>
      <c:layout>
        <c:manualLayout>
          <c:layoutTarget val="inner"/>
          <c:xMode val="edge"/>
          <c:yMode val="edge"/>
          <c:x val="8.9669774541780586E-2"/>
          <c:y val="8.7943104544945708E-2"/>
          <c:w val="0.56496550931430656"/>
          <c:h val="0.85233811797485626"/>
        </c:manualLayout>
      </c:layout>
      <c:lineChart>
        <c:grouping val="standard"/>
        <c:varyColors val="0"/>
        <c:ser>
          <c:idx val="0"/>
          <c:order val="0"/>
          <c:tx>
            <c:strRef>
              <c:f>Participation!$AK$38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8F80-40EE-ABE9-A4E01CE95B98}"/>
              </c:ext>
            </c:extLst>
          </c:dPt>
          <c:cat>
            <c:strRef>
              <c:f>Participation!$Y$2:$AC$3</c:f>
              <c:strCache>
                <c:ptCount val="5"/>
                <c:pt idx="0">
                  <c:v>2019/20</c:v>
                </c:pt>
                <c:pt idx="1">
                  <c:v>2020/21</c:v>
                </c:pt>
                <c:pt idx="2">
                  <c:v>2021/22</c:v>
                </c:pt>
                <c:pt idx="3">
                  <c:v>2022/23</c:v>
                </c:pt>
                <c:pt idx="4">
                  <c:v>2023/24</c:v>
                </c:pt>
              </c:strCache>
            </c:strRef>
          </c:cat>
          <c:val>
            <c:numRef>
              <c:f>Participation!$AL$38:$AP$38</c:f>
              <c:numCache>
                <c:formatCode>0.0</c:formatCode>
                <c:ptCount val="5"/>
                <c:pt idx="0">
                  <c:v>0.88426349496797807</c:v>
                </c:pt>
                <c:pt idx="1">
                  <c:v>0.91274864376130194</c:v>
                </c:pt>
                <c:pt idx="2">
                  <c:v>0.92723094599770206</c:v>
                </c:pt>
                <c:pt idx="3">
                  <c:v>0.94819985304922871</c:v>
                </c:pt>
                <c:pt idx="4">
                  <c:v>0.94721402214022155</c:v>
                </c:pt>
              </c:numCache>
            </c:numRef>
          </c:val>
          <c:smooth val="0"/>
          <c:extLst>
            <c:ext xmlns:c16="http://schemas.microsoft.com/office/drawing/2014/chart" uri="{C3380CC4-5D6E-409C-BE32-E72D297353CC}">
              <c16:uniqueId val="{00000001-8F80-40EE-ABE9-A4E01CE95B98}"/>
            </c:ext>
          </c:extLst>
        </c:ser>
        <c:ser>
          <c:idx val="1"/>
          <c:order val="1"/>
          <c:tx>
            <c:strRef>
              <c:f>Participation!$AK$39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Participation!$AL$39:$AP$39</c:f>
              <c:numCache>
                <c:formatCode>0.0</c:formatCode>
                <c:ptCount val="5"/>
                <c:pt idx="0">
                  <c:v>0.91676866585067318</c:v>
                </c:pt>
                <c:pt idx="1">
                  <c:v>0.91736577181208045</c:v>
                </c:pt>
                <c:pt idx="2">
                  <c:v>0.9376121187960933</c:v>
                </c:pt>
                <c:pt idx="3">
                  <c:v>0.91919590067008272</c:v>
                </c:pt>
                <c:pt idx="4">
                  <c:v>0.92788844163312245</c:v>
                </c:pt>
              </c:numCache>
            </c:numRef>
          </c:val>
          <c:smooth val="0"/>
          <c:extLst>
            <c:ext xmlns:c16="http://schemas.microsoft.com/office/drawing/2014/chart" uri="{C3380CC4-5D6E-409C-BE32-E72D297353CC}">
              <c16:uniqueId val="{00000002-8F80-40EE-ABE9-A4E01CE95B98}"/>
            </c:ext>
          </c:extLst>
        </c:ser>
        <c:ser>
          <c:idx val="2"/>
          <c:order val="2"/>
          <c:tx>
            <c:strRef>
              <c:f>Participation!$AK$40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Participation!$AL$40:$AP$40</c:f>
              <c:numCache>
                <c:formatCode>0.0</c:formatCode>
                <c:ptCount val="5"/>
                <c:pt idx="0">
                  <c:v>0.94283246977547497</c:v>
                </c:pt>
                <c:pt idx="1">
                  <c:v>0.91563908495620383</c:v>
                </c:pt>
                <c:pt idx="2">
                  <c:v>0.93131003309387361</c:v>
                </c:pt>
                <c:pt idx="3">
                  <c:v>0.92665388302972207</c:v>
                </c:pt>
                <c:pt idx="4">
                  <c:v>0.91745286195286202</c:v>
                </c:pt>
              </c:numCache>
            </c:numRef>
          </c:val>
          <c:smooth val="0"/>
          <c:extLst>
            <c:ext xmlns:c16="http://schemas.microsoft.com/office/drawing/2014/chart" uri="{C3380CC4-5D6E-409C-BE32-E72D297353CC}">
              <c16:uniqueId val="{00000003-8F80-40EE-ABE9-A4E01CE95B98}"/>
            </c:ext>
          </c:extLst>
        </c:ser>
        <c:ser>
          <c:idx val="5"/>
          <c:order val="3"/>
          <c:tx>
            <c:strRef>
              <c:f>Participation!$AK$41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Participation!$AL$41:$AP$41</c:f>
              <c:numCache>
                <c:formatCode>0.0</c:formatCode>
                <c:ptCount val="5"/>
                <c:pt idx="0">
                  <c:v>0.89980074010816957</c:v>
                </c:pt>
                <c:pt idx="1">
                  <c:v>0.89878425318409871</c:v>
                </c:pt>
                <c:pt idx="2">
                  <c:v>0.91932599077473409</c:v>
                </c:pt>
                <c:pt idx="3">
                  <c:v>0.88811844077961033</c:v>
                </c:pt>
                <c:pt idx="4">
                  <c:v>0.88260731121586766</c:v>
                </c:pt>
              </c:numCache>
            </c:numRef>
          </c:val>
          <c:smooth val="0"/>
          <c:extLst>
            <c:ext xmlns:c16="http://schemas.microsoft.com/office/drawing/2014/chart" uri="{C3380CC4-5D6E-409C-BE32-E72D297353CC}">
              <c16:uniqueId val="{00000004-8F80-40EE-ABE9-A4E01CE95B98}"/>
            </c:ext>
          </c:extLst>
        </c:ser>
        <c:ser>
          <c:idx val="9"/>
          <c:order val="4"/>
          <c:tx>
            <c:strRef>
              <c:f>Participation!$AK$42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Participation!$AL$42:$AP$42</c:f>
              <c:numCache>
                <c:formatCode>0.0</c:formatCode>
                <c:ptCount val="5"/>
                <c:pt idx="0">
                  <c:v>0.92507707737454037</c:v>
                </c:pt>
                <c:pt idx="1">
                  <c:v>0.92699754370755671</c:v>
                </c:pt>
                <c:pt idx="2">
                  <c:v>0.91655027932960897</c:v>
                </c:pt>
                <c:pt idx="3">
                  <c:v>0.92355350915800538</c:v>
                </c:pt>
                <c:pt idx="4">
                  <c:v>0.91127250972180673</c:v>
                </c:pt>
              </c:numCache>
            </c:numRef>
          </c:val>
          <c:smooth val="0"/>
          <c:extLst>
            <c:ext xmlns:c16="http://schemas.microsoft.com/office/drawing/2014/chart" uri="{C3380CC4-5D6E-409C-BE32-E72D297353CC}">
              <c16:uniqueId val="{00000005-8F80-40EE-ABE9-A4E01CE95B98}"/>
            </c:ext>
          </c:extLst>
        </c:ser>
        <c:ser>
          <c:idx val="10"/>
          <c:order val="5"/>
          <c:tx>
            <c:strRef>
              <c:f>Participation!$AK$43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Participation!$AL$43:$AP$43</c:f>
              <c:numCache>
                <c:formatCode>0.0</c:formatCode>
                <c:ptCount val="5"/>
                <c:pt idx="0">
                  <c:v>0.93103448275862066</c:v>
                </c:pt>
                <c:pt idx="1">
                  <c:v>0.95287958115183236</c:v>
                </c:pt>
                <c:pt idx="2">
                  <c:v>0.93801965230536655</c:v>
                </c:pt>
                <c:pt idx="3">
                  <c:v>0.92462495426271518</c:v>
                </c:pt>
                <c:pt idx="4">
                  <c:v>0.90335795454545464</c:v>
                </c:pt>
              </c:numCache>
            </c:numRef>
          </c:val>
          <c:smooth val="0"/>
          <c:extLst>
            <c:ext xmlns:c16="http://schemas.microsoft.com/office/drawing/2014/chart" uri="{C3380CC4-5D6E-409C-BE32-E72D297353CC}">
              <c16:uniqueId val="{00000006-8F80-40EE-ABE9-A4E01CE95B98}"/>
            </c:ext>
          </c:extLst>
        </c:ser>
        <c:ser>
          <c:idx val="11"/>
          <c:order val="6"/>
          <c:tx>
            <c:strRef>
              <c:f>Participation!$AK$44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Participation!$AL$44:$AP$44</c:f>
              <c:numCache>
                <c:formatCode>0.0</c:formatCode>
                <c:ptCount val="5"/>
                <c:pt idx="0">
                  <c:v>0.89858809085328417</c:v>
                </c:pt>
                <c:pt idx="1">
                  <c:v>0.89350761987362159</c:v>
                </c:pt>
                <c:pt idx="2">
                  <c:v>0.90727570302038385</c:v>
                </c:pt>
                <c:pt idx="3">
                  <c:v>0.91404731285701468</c:v>
                </c:pt>
                <c:pt idx="4">
                  <c:v>0.90326417412673332</c:v>
                </c:pt>
              </c:numCache>
            </c:numRef>
          </c:val>
          <c:smooth val="0"/>
          <c:extLst>
            <c:ext xmlns:c16="http://schemas.microsoft.com/office/drawing/2014/chart" uri="{C3380CC4-5D6E-409C-BE32-E72D297353CC}">
              <c16:uniqueId val="{00000007-8F80-40EE-ABE9-A4E01CE95B98}"/>
            </c:ext>
          </c:extLst>
        </c:ser>
        <c:ser>
          <c:idx val="12"/>
          <c:order val="7"/>
          <c:tx>
            <c:strRef>
              <c:f>Participation!$AK$45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Participation!$AL$45:$AP$45</c:f>
              <c:numCache>
                <c:formatCode>0.0</c:formatCode>
                <c:ptCount val="5"/>
                <c:pt idx="0">
                  <c:v>0.91277063068716657</c:v>
                </c:pt>
                <c:pt idx="1">
                  <c:v>0.87360890302066774</c:v>
                </c:pt>
                <c:pt idx="2">
                  <c:v>0.91586612953207314</c:v>
                </c:pt>
                <c:pt idx="3">
                  <c:v>0.87380988363306633</c:v>
                </c:pt>
                <c:pt idx="4">
                  <c:v>0.90451658218682118</c:v>
                </c:pt>
              </c:numCache>
            </c:numRef>
          </c:val>
          <c:smooth val="0"/>
          <c:extLst>
            <c:ext xmlns:c16="http://schemas.microsoft.com/office/drawing/2014/chart" uri="{C3380CC4-5D6E-409C-BE32-E72D297353CC}">
              <c16:uniqueId val="{00000008-8F80-40EE-ABE9-A4E01CE95B98}"/>
            </c:ext>
          </c:extLst>
        </c:ser>
        <c:ser>
          <c:idx val="13"/>
          <c:order val="8"/>
          <c:tx>
            <c:strRef>
              <c:f>Participation!$AK$46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Participation!$AL$46:$AP$46</c:f>
              <c:numCache>
                <c:formatCode>0.0</c:formatCode>
                <c:ptCount val="5"/>
                <c:pt idx="0">
                  <c:v>0.92088346794132203</c:v>
                </c:pt>
                <c:pt idx="1">
                  <c:v>0.91051704818312795</c:v>
                </c:pt>
                <c:pt idx="2">
                  <c:v>0.93306906540631185</c:v>
                </c:pt>
                <c:pt idx="3">
                  <c:v>0.93987200476261346</c:v>
                </c:pt>
                <c:pt idx="4">
                  <c:v>0.93990363609157568</c:v>
                </c:pt>
              </c:numCache>
            </c:numRef>
          </c:val>
          <c:smooth val="0"/>
          <c:extLst>
            <c:ext xmlns:c16="http://schemas.microsoft.com/office/drawing/2014/chart" uri="{C3380CC4-5D6E-409C-BE32-E72D297353CC}">
              <c16:uniqueId val="{00000009-8F80-40EE-ABE9-A4E01CE95B98}"/>
            </c:ext>
          </c:extLst>
        </c:ser>
        <c:ser>
          <c:idx val="15"/>
          <c:order val="9"/>
          <c:tx>
            <c:strRef>
              <c:f>Participation!$AK$47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Participation!$AL$47:$AP$47</c:f>
              <c:numCache>
                <c:formatCode>0.0</c:formatCode>
                <c:ptCount val="5"/>
                <c:pt idx="0">
                  <c:v>0.94304763434814043</c:v>
                </c:pt>
                <c:pt idx="1">
                  <c:v>0.94564030572453595</c:v>
                </c:pt>
                <c:pt idx="2">
                  <c:v>0.9411499436302142</c:v>
                </c:pt>
                <c:pt idx="3">
                  <c:v>0.94392033542976927</c:v>
                </c:pt>
                <c:pt idx="4">
                  <c:v>0.93606701990548469</c:v>
                </c:pt>
              </c:numCache>
            </c:numRef>
          </c:val>
          <c:smooth val="0"/>
          <c:extLst>
            <c:ext xmlns:c16="http://schemas.microsoft.com/office/drawing/2014/chart" uri="{C3380CC4-5D6E-409C-BE32-E72D297353CC}">
              <c16:uniqueId val="{0000000A-8F80-40EE-ABE9-A4E01CE95B98}"/>
            </c:ext>
          </c:extLst>
        </c:ser>
        <c:ser>
          <c:idx val="16"/>
          <c:order val="10"/>
          <c:tx>
            <c:strRef>
              <c:f>Participation!$AK$48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Participation!$AL$48:$AP$48</c:f>
              <c:numCache>
                <c:formatCode>0.0</c:formatCode>
                <c:ptCount val="5"/>
                <c:pt idx="0">
                  <c:v>0.91984938138784289</c:v>
                </c:pt>
                <c:pt idx="1">
                  <c:v>0.9106693507800705</c:v>
                </c:pt>
                <c:pt idx="2">
                  <c:v>0.91566854069909553</c:v>
                </c:pt>
                <c:pt idx="3">
                  <c:v>0.90741626794258368</c:v>
                </c:pt>
                <c:pt idx="4">
                  <c:v>0.89658726469904726</c:v>
                </c:pt>
              </c:numCache>
            </c:numRef>
          </c:val>
          <c:smooth val="0"/>
          <c:extLst>
            <c:ext xmlns:c16="http://schemas.microsoft.com/office/drawing/2014/chart" uri="{C3380CC4-5D6E-409C-BE32-E72D297353CC}">
              <c16:uniqueId val="{0000000B-8F80-40EE-ABE9-A4E01CE95B98}"/>
            </c:ext>
          </c:extLst>
        </c:ser>
        <c:ser>
          <c:idx val="17"/>
          <c:order val="11"/>
          <c:tx>
            <c:strRef>
              <c:f>Participation!$AK$49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Participation!$AL$49:$AP$49</c:f>
              <c:numCache>
                <c:formatCode>0.0</c:formatCode>
                <c:ptCount val="5"/>
                <c:pt idx="0">
                  <c:v>0.89986282578875176</c:v>
                </c:pt>
                <c:pt idx="1">
                  <c:v>0.896391923204237</c:v>
                </c:pt>
                <c:pt idx="2">
                  <c:v>0.91821327461465863</c:v>
                </c:pt>
                <c:pt idx="3">
                  <c:v>0.93625852356952277</c:v>
                </c:pt>
                <c:pt idx="4">
                  <c:v>0.90638095238095229</c:v>
                </c:pt>
              </c:numCache>
            </c:numRef>
          </c:val>
          <c:smooth val="0"/>
          <c:extLst>
            <c:ext xmlns:c16="http://schemas.microsoft.com/office/drawing/2014/chart" uri="{C3380CC4-5D6E-409C-BE32-E72D297353CC}">
              <c16:uniqueId val="{0000000C-8F80-40EE-ABE9-A4E01CE95B98}"/>
            </c:ext>
          </c:extLst>
        </c:ser>
        <c:ser>
          <c:idx val="19"/>
          <c:order val="12"/>
          <c:tx>
            <c:strRef>
              <c:f>Participation!$AK$50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Participation!$AL$50:$AP$50</c:f>
              <c:numCache>
                <c:formatCode>0.0</c:formatCode>
                <c:ptCount val="5"/>
                <c:pt idx="0">
                  <c:v>0.93632455668995163</c:v>
                </c:pt>
                <c:pt idx="1">
                  <c:v>0.92494255808016335</c:v>
                </c:pt>
                <c:pt idx="2">
                  <c:v>0.9436224489795918</c:v>
                </c:pt>
                <c:pt idx="3">
                  <c:v>0.94348244348244348</c:v>
                </c:pt>
                <c:pt idx="4">
                  <c:v>0.93884676145339652</c:v>
                </c:pt>
              </c:numCache>
            </c:numRef>
          </c:val>
          <c:smooth val="0"/>
          <c:extLst>
            <c:ext xmlns:c16="http://schemas.microsoft.com/office/drawing/2014/chart" uri="{C3380CC4-5D6E-409C-BE32-E72D297353CC}">
              <c16:uniqueId val="{0000000D-8F80-40EE-ABE9-A4E01CE95B98}"/>
            </c:ext>
          </c:extLst>
        </c:ser>
        <c:ser>
          <c:idx val="20"/>
          <c:order val="13"/>
          <c:tx>
            <c:strRef>
              <c:f>Participation!$AK$51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Participation!$AL$51:$AP$51</c:f>
              <c:numCache>
                <c:formatCode>0.0</c:formatCode>
                <c:ptCount val="5"/>
                <c:pt idx="0">
                  <c:v>0.9019469856908281</c:v>
                </c:pt>
                <c:pt idx="1">
                  <c:v>0.89927073837739291</c:v>
                </c:pt>
                <c:pt idx="2">
                  <c:v>0.89339986391471993</c:v>
                </c:pt>
                <c:pt idx="3">
                  <c:v>0.89413020277481325</c:v>
                </c:pt>
                <c:pt idx="4">
                  <c:v>0.88582137096774172</c:v>
                </c:pt>
              </c:numCache>
            </c:numRef>
          </c:val>
          <c:smooth val="0"/>
          <c:extLst>
            <c:ext xmlns:c16="http://schemas.microsoft.com/office/drawing/2014/chart" uri="{C3380CC4-5D6E-409C-BE32-E72D297353CC}">
              <c16:uniqueId val="{0000000F-8F80-40EE-ABE9-A4E01CE95B98}"/>
            </c:ext>
          </c:extLst>
        </c:ser>
        <c:ser>
          <c:idx val="22"/>
          <c:order val="14"/>
          <c:tx>
            <c:strRef>
              <c:f>Participation!$AK$52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Participation!$AL$52:$AP$52</c:f>
              <c:numCache>
                <c:formatCode>0.0</c:formatCode>
                <c:ptCount val="5"/>
                <c:pt idx="0">
                  <c:v>0.92891617075113619</c:v>
                </c:pt>
                <c:pt idx="1">
                  <c:v>0.93049204316809953</c:v>
                </c:pt>
                <c:pt idx="2">
                  <c:v>0.92161362934192526</c:v>
                </c:pt>
                <c:pt idx="3">
                  <c:v>0.92620706819313092</c:v>
                </c:pt>
                <c:pt idx="4">
                  <c:v>0.89567395433420893</c:v>
                </c:pt>
              </c:numCache>
            </c:numRef>
          </c:val>
          <c:smooth val="0"/>
          <c:extLst>
            <c:ext xmlns:c16="http://schemas.microsoft.com/office/drawing/2014/chart" uri="{C3380CC4-5D6E-409C-BE32-E72D297353CC}">
              <c16:uniqueId val="{00000010-8F80-40EE-ABE9-A4E01CE95B98}"/>
            </c:ext>
          </c:extLst>
        </c:ser>
        <c:ser>
          <c:idx val="23"/>
          <c:order val="15"/>
          <c:tx>
            <c:strRef>
              <c:f>Participation!$AK$53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Participation!$AL$53:$AP$53</c:f>
              <c:numCache>
                <c:formatCode>0.0</c:formatCode>
                <c:ptCount val="5"/>
                <c:pt idx="0">
                  <c:v>0.93773119605425403</c:v>
                </c:pt>
                <c:pt idx="1">
                  <c:v>0.94166666666666665</c:v>
                </c:pt>
                <c:pt idx="2">
                  <c:v>0.94306358381502886</c:v>
                </c:pt>
                <c:pt idx="3">
                  <c:v>0.93481438175971954</c:v>
                </c:pt>
                <c:pt idx="4">
                  <c:v>0.91299999999999992</c:v>
                </c:pt>
              </c:numCache>
            </c:numRef>
          </c:val>
          <c:smooth val="0"/>
          <c:extLst>
            <c:ext xmlns:c16="http://schemas.microsoft.com/office/drawing/2014/chart" uri="{C3380CC4-5D6E-409C-BE32-E72D297353CC}">
              <c16:uniqueId val="{00000013-8F80-40EE-ABE9-A4E01CE95B98}"/>
            </c:ext>
          </c:extLst>
        </c:ser>
        <c:ser>
          <c:idx val="24"/>
          <c:order val="16"/>
          <c:tx>
            <c:strRef>
              <c:f>Participation!$AK$54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Participation!$AL$54:$AP$54</c:f>
              <c:numCache>
                <c:formatCode>0.0</c:formatCode>
                <c:ptCount val="5"/>
                <c:pt idx="0">
                  <c:v>0.88884799411115201</c:v>
                </c:pt>
                <c:pt idx="1">
                  <c:v>0.87657218511163271</c:v>
                </c:pt>
                <c:pt idx="2">
                  <c:v>0.91555762189806478</c:v>
                </c:pt>
                <c:pt idx="3">
                  <c:v>0.92365604046582761</c:v>
                </c:pt>
                <c:pt idx="4">
                  <c:v>0.88773774365032487</c:v>
                </c:pt>
              </c:numCache>
            </c:numRef>
          </c:val>
          <c:smooth val="0"/>
          <c:extLst>
            <c:ext xmlns:c16="http://schemas.microsoft.com/office/drawing/2014/chart" uri="{C3380CC4-5D6E-409C-BE32-E72D297353CC}">
              <c16:uniqueId val="{00000014-8F80-40EE-ABE9-A4E01CE95B98}"/>
            </c:ext>
          </c:extLst>
        </c:ser>
        <c:ser>
          <c:idx val="25"/>
          <c:order val="17"/>
          <c:tx>
            <c:strRef>
              <c:f>Participation!$AK$55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Participation!$AL$55:$AP$55</c:f>
              <c:numCache>
                <c:formatCode>0.0</c:formatCode>
                <c:ptCount val="5"/>
                <c:pt idx="0">
                  <c:v>0.93812306634582332</c:v>
                </c:pt>
                <c:pt idx="1">
                  <c:v>0.94936708860759489</c:v>
                </c:pt>
                <c:pt idx="2">
                  <c:v>0.94731738849385905</c:v>
                </c:pt>
                <c:pt idx="3">
                  <c:v>0.9051472968598252</c:v>
                </c:pt>
                <c:pt idx="4">
                  <c:v>0.94757766990291259</c:v>
                </c:pt>
              </c:numCache>
            </c:numRef>
          </c:val>
          <c:smooth val="0"/>
          <c:extLst>
            <c:ext xmlns:c16="http://schemas.microsoft.com/office/drawing/2014/chart" uri="{C3380CC4-5D6E-409C-BE32-E72D297353CC}">
              <c16:uniqueId val="{00000015-8F80-40EE-ABE9-A4E01CE95B98}"/>
            </c:ext>
          </c:extLst>
        </c:ser>
        <c:ser>
          <c:idx val="26"/>
          <c:order val="18"/>
          <c:tx>
            <c:strRef>
              <c:f>Participation!$AK$56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Participation!$AL$56:$AP$56</c:f>
              <c:numCache>
                <c:formatCode>0.0</c:formatCode>
                <c:ptCount val="5"/>
                <c:pt idx="0">
                  <c:v>0.95297897196261683</c:v>
                </c:pt>
                <c:pt idx="1">
                  <c:v>0.94444444444444442</c:v>
                </c:pt>
                <c:pt idx="2">
                  <c:v>0.95290047897817987</c:v>
                </c:pt>
                <c:pt idx="3">
                  <c:v>0.96286811779769521</c:v>
                </c:pt>
                <c:pt idx="4">
                  <c:v>0.94680272796160647</c:v>
                </c:pt>
              </c:numCache>
            </c:numRef>
          </c:val>
          <c:smooth val="0"/>
          <c:extLst>
            <c:ext xmlns:c16="http://schemas.microsoft.com/office/drawing/2014/chart" uri="{C3380CC4-5D6E-409C-BE32-E72D297353CC}">
              <c16:uniqueId val="{00000016-8F80-40EE-ABE9-A4E01CE95B98}"/>
            </c:ext>
          </c:extLst>
        </c:ser>
        <c:ser>
          <c:idx val="4"/>
          <c:order val="19"/>
          <c:tx>
            <c:strRef>
              <c:f>Participation!$AK$57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Participation!$AL$57:$AP$57</c:f>
              <c:numCache>
                <c:formatCode>0.0</c:formatCode>
                <c:ptCount val="5"/>
                <c:pt idx="0">
                  <c:v>0.91714131873796856</c:v>
                </c:pt>
                <c:pt idx="1">
                  <c:v>0.91256842442940389</c:v>
                </c:pt>
                <c:pt idx="2">
                  <c:v>0.92170795618066559</c:v>
                </c:pt>
                <c:pt idx="3">
                  <c:v>0.92127712959478103</c:v>
                </c:pt>
                <c:pt idx="4">
                  <c:v>0.90883986138016681</c:v>
                </c:pt>
              </c:numCache>
            </c:numRef>
          </c:val>
          <c:smooth val="0"/>
          <c:extLst>
            <c:ext xmlns:c16="http://schemas.microsoft.com/office/drawing/2014/chart" uri="{C3380CC4-5D6E-409C-BE32-E72D297353CC}">
              <c16:uniqueId val="{00000017-8F80-40EE-ABE9-A4E01CE95B98}"/>
            </c:ext>
          </c:extLst>
        </c:ser>
        <c:ser>
          <c:idx val="14"/>
          <c:order val="20"/>
          <c:tx>
            <c:strRef>
              <c:f>Participation!$AK$58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Participation!$Y$2:$AC$3</c:f>
              <c:strCache>
                <c:ptCount val="5"/>
                <c:pt idx="0">
                  <c:v>2019/20</c:v>
                </c:pt>
                <c:pt idx="1">
                  <c:v>2020/21</c:v>
                </c:pt>
                <c:pt idx="2">
                  <c:v>2021/22</c:v>
                </c:pt>
                <c:pt idx="3">
                  <c:v>2022/23</c:v>
                </c:pt>
                <c:pt idx="4">
                  <c:v>2023/24</c:v>
                </c:pt>
              </c:strCache>
            </c:strRef>
          </c:cat>
          <c:val>
            <c:numRef>
              <c:f>Participation!$AL$58:$AP$58</c:f>
              <c:numCache>
                <c:formatCode>0.0</c:formatCode>
                <c:ptCount val="5"/>
                <c:pt idx="0">
                  <c:v>0.9251876514825268</c:v>
                </c:pt>
                <c:pt idx="1">
                  <c:v>0.92587865783716872</c:v>
                </c:pt>
                <c:pt idx="2">
                  <c:v>0.93205740898704093</c:v>
                </c:pt>
                <c:pt idx="3">
                  <c:v>0.93017153705896105</c:v>
                </c:pt>
                <c:pt idx="4">
                  <c:v>0.92053331187614851</c:v>
                </c:pt>
              </c:numCache>
            </c:numRef>
          </c:val>
          <c:smooth val="0"/>
          <c:extLst>
            <c:ext xmlns:c16="http://schemas.microsoft.com/office/drawing/2014/chart" uri="{C3380CC4-5D6E-409C-BE32-E72D297353CC}">
              <c16:uniqueId val="{00000018-8F80-40EE-ABE9-A4E01CE95B98}"/>
            </c:ext>
          </c:extLst>
        </c:ser>
        <c:ser>
          <c:idx val="6"/>
          <c:order val="21"/>
          <c:tx>
            <c:strRef>
              <c:f>Participation!$AK$59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Participation!$Y$2:$AC$3</c:f>
              <c:strCache>
                <c:ptCount val="5"/>
                <c:pt idx="0">
                  <c:v>2019/20</c:v>
                </c:pt>
                <c:pt idx="1">
                  <c:v>2020/21</c:v>
                </c:pt>
                <c:pt idx="2">
                  <c:v>2021/22</c:v>
                </c:pt>
                <c:pt idx="3">
                  <c:v>2022/23</c:v>
                </c:pt>
                <c:pt idx="4">
                  <c:v>2023/24</c:v>
                </c:pt>
              </c:strCache>
            </c:strRef>
          </c:cat>
          <c:val>
            <c:numRef>
              <c:f>Participation!$AL$59:$AP$59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8F80-40EE-ABE9-A4E01CE95B98}"/>
            </c:ext>
          </c:extLst>
        </c:ser>
        <c:dLbls>
          <c:showLegendKey val="0"/>
          <c:showVal val="0"/>
          <c:showCatName val="0"/>
          <c:showSerName val="0"/>
          <c:showPercent val="0"/>
          <c:showBubbleSize val="0"/>
        </c:dLbls>
        <c:marker val="1"/>
        <c:smooth val="0"/>
        <c:axId val="673622272"/>
        <c:axId val="673636736"/>
      </c:lineChart>
      <c:catAx>
        <c:axId val="673622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73636736"/>
        <c:crosses val="autoZero"/>
        <c:auto val="1"/>
        <c:lblAlgn val="ctr"/>
        <c:lblOffset val="100"/>
        <c:tickLblSkip val="1"/>
        <c:tickMarkSkip val="1"/>
        <c:noMultiLvlLbl val="0"/>
      </c:catAx>
      <c:valAx>
        <c:axId val="673636736"/>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73622272"/>
        <c:crosses val="autoZero"/>
        <c:crossBetween val="between"/>
      </c:valAx>
      <c:spPr>
        <a:noFill/>
        <a:ln w="3175">
          <a:solidFill>
            <a:srgbClr val="000000"/>
          </a:solidFill>
          <a:prstDash val="solid"/>
        </a:ln>
      </c:spPr>
    </c:plotArea>
    <c:legend>
      <c:legendPos val="r"/>
      <c:layout>
        <c:manualLayout>
          <c:xMode val="edge"/>
          <c:yMode val="edge"/>
          <c:x val="0.67109092691214423"/>
          <c:y val="7.4827294071441522E-2"/>
          <c:w val="0.32280746527237453"/>
          <c:h val="0.9190088308407375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of Young People aged 16-17 who are EET </a:t>
            </a:r>
          </a:p>
          <a:p>
            <a:pPr>
              <a:defRPr sz="1100" b="1" i="0" u="none" strike="noStrike" baseline="0">
                <a:solidFill>
                  <a:srgbClr val="000000"/>
                </a:solidFill>
                <a:latin typeface="Arial"/>
                <a:ea typeface="Arial"/>
                <a:cs typeface="Arial"/>
              </a:defRPr>
            </a:pPr>
            <a:r>
              <a:rPr lang="en-GB" sz="1100" b="1" i="0" u="none" strike="noStrike" baseline="0">
                <a:effectLst/>
              </a:rPr>
              <a:t> </a:t>
            </a:r>
            <a:r>
              <a:rPr lang="en-GB" sz="1100"/>
              <a:t>(Selected LA</a:t>
            </a:r>
            <a:r>
              <a:rPr lang="en-GB" sz="1100" baseline="0"/>
              <a:t> vs. SE)</a:t>
            </a:r>
            <a:r>
              <a:rPr lang="en-GB" sz="1100"/>
              <a:t> </a:t>
            </a:r>
          </a:p>
        </c:rich>
      </c:tx>
      <c:layout>
        <c:manualLayout>
          <c:xMode val="edge"/>
          <c:yMode val="edge"/>
          <c:x val="0.17841102397850372"/>
          <c:y val="3.8615291431766297E-3"/>
        </c:manualLayout>
      </c:layout>
      <c:overlay val="0"/>
      <c:spPr>
        <a:noFill/>
        <a:ln w="25400">
          <a:noFill/>
        </a:ln>
      </c:spPr>
    </c:title>
    <c:autoTitleDeleted val="0"/>
    <c:plotArea>
      <c:layout>
        <c:manualLayout>
          <c:layoutTarget val="inner"/>
          <c:xMode val="edge"/>
          <c:yMode val="edge"/>
          <c:x val="9.6909984154078643E-2"/>
          <c:y val="0.22692110545005403"/>
          <c:w val="0.65146216862752293"/>
          <c:h val="0.5571357109773043"/>
        </c:manualLayout>
      </c:layout>
      <c:barChart>
        <c:barDir val="col"/>
        <c:grouping val="clustered"/>
        <c:varyColors val="0"/>
        <c:ser>
          <c:idx val="6"/>
          <c:order val="0"/>
          <c:tx>
            <c:strRef>
              <c:f>Participation!$Z$4</c:f>
              <c:strCache>
                <c:ptCount val="1"/>
                <c:pt idx="0">
                  <c:v>Selected LA- (none)</c:v>
                </c:pt>
              </c:strCache>
            </c:strRef>
          </c:tx>
          <c:spPr>
            <a:solidFill>
              <a:srgbClr val="66FF99"/>
            </a:solidFill>
            <a:ln>
              <a:solidFill>
                <a:schemeClr val="tx1">
                  <a:lumMod val="75000"/>
                  <a:lumOff val="25000"/>
                </a:schemeClr>
              </a:solidFill>
            </a:ln>
          </c:spPr>
          <c:invertIfNegative val="0"/>
          <c:cat>
            <c:strRef>
              <c:f>Participation!$Y$2:$AC$3</c:f>
              <c:strCache>
                <c:ptCount val="5"/>
                <c:pt idx="0">
                  <c:v>2019/20</c:v>
                </c:pt>
                <c:pt idx="1">
                  <c:v>2020/21</c:v>
                </c:pt>
                <c:pt idx="2">
                  <c:v>2021/22</c:v>
                </c:pt>
                <c:pt idx="3">
                  <c:v>2022/23</c:v>
                </c:pt>
                <c:pt idx="4">
                  <c:v>2023/24</c:v>
                </c:pt>
              </c:strCache>
            </c:strRef>
          </c:cat>
          <c:val>
            <c:numRef>
              <c:f>Participation!$AL$59:$AP$59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C05C-4C16-8C23-BB33F835B540}"/>
            </c:ext>
          </c:extLst>
        </c:ser>
        <c:ser>
          <c:idx val="4"/>
          <c:order val="1"/>
          <c:tx>
            <c:strRef>
              <c:f>Participation!$B$30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Participation!$Y$2:$AC$3</c:f>
              <c:strCache>
                <c:ptCount val="5"/>
                <c:pt idx="0">
                  <c:v>2019/20</c:v>
                </c:pt>
                <c:pt idx="1">
                  <c:v>2020/21</c:v>
                </c:pt>
                <c:pt idx="2">
                  <c:v>2021/22</c:v>
                </c:pt>
                <c:pt idx="3">
                  <c:v>2022/23</c:v>
                </c:pt>
                <c:pt idx="4">
                  <c:v>2023/24</c:v>
                </c:pt>
              </c:strCache>
            </c:strRef>
          </c:cat>
          <c:val>
            <c:numRef>
              <c:f>Participation!$K$30:$O$30</c:f>
              <c:numCache>
                <c:formatCode>0.0%</c:formatCode>
                <c:ptCount val="5"/>
                <c:pt idx="0">
                  <c:v>0.91714131873796856</c:v>
                </c:pt>
                <c:pt idx="1">
                  <c:v>0.91256842442940389</c:v>
                </c:pt>
                <c:pt idx="2">
                  <c:v>0.92170795618066559</c:v>
                </c:pt>
                <c:pt idx="3">
                  <c:v>0.92127712959478103</c:v>
                </c:pt>
                <c:pt idx="4">
                  <c:v>0.90883986138016681</c:v>
                </c:pt>
              </c:numCache>
            </c:numRef>
          </c:val>
          <c:extLst>
            <c:ext xmlns:c16="http://schemas.microsoft.com/office/drawing/2014/chart" uri="{C3380CC4-5D6E-409C-BE32-E72D297353CC}">
              <c16:uniqueId val="{00000001-C05C-4C16-8C23-BB33F835B540}"/>
            </c:ext>
          </c:extLst>
        </c:ser>
        <c:ser>
          <c:idx val="0"/>
          <c:order val="2"/>
          <c:tx>
            <c:strRef>
              <c:f>Participation!$B$31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Participation!$Y$2:$AC$3</c:f>
              <c:strCache>
                <c:ptCount val="5"/>
                <c:pt idx="0">
                  <c:v>2019/20</c:v>
                </c:pt>
                <c:pt idx="1">
                  <c:v>2020/21</c:v>
                </c:pt>
                <c:pt idx="2">
                  <c:v>2021/22</c:v>
                </c:pt>
                <c:pt idx="3">
                  <c:v>2022/23</c:v>
                </c:pt>
                <c:pt idx="4">
                  <c:v>2023/24</c:v>
                </c:pt>
              </c:strCache>
            </c:strRef>
          </c:cat>
          <c:val>
            <c:numRef>
              <c:f>Participation!$K$31:$O$31</c:f>
              <c:numCache>
                <c:formatCode>0.0%</c:formatCode>
                <c:ptCount val="5"/>
                <c:pt idx="0">
                  <c:v>0.9251876514825268</c:v>
                </c:pt>
                <c:pt idx="1">
                  <c:v>0.92587865783716872</c:v>
                </c:pt>
                <c:pt idx="2">
                  <c:v>0.93205740898704093</c:v>
                </c:pt>
                <c:pt idx="3">
                  <c:v>0.93017153705896105</c:v>
                </c:pt>
                <c:pt idx="4">
                  <c:v>0.92053331187614851</c:v>
                </c:pt>
              </c:numCache>
            </c:numRef>
          </c:val>
          <c:extLst>
            <c:ext xmlns:c16="http://schemas.microsoft.com/office/drawing/2014/chart" uri="{C3380CC4-5D6E-409C-BE32-E72D297353CC}">
              <c16:uniqueId val="{00000002-C05C-4C16-8C23-BB33F835B540}"/>
            </c:ext>
          </c:extLst>
        </c:ser>
        <c:dLbls>
          <c:showLegendKey val="0"/>
          <c:showVal val="0"/>
          <c:showCatName val="0"/>
          <c:showSerName val="0"/>
          <c:showPercent val="0"/>
          <c:showBubbleSize val="0"/>
        </c:dLbls>
        <c:gapWidth val="100"/>
        <c:axId val="663800064"/>
        <c:axId val="663810048"/>
      </c:barChart>
      <c:catAx>
        <c:axId val="66380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63810048"/>
        <c:crosses val="autoZero"/>
        <c:auto val="1"/>
        <c:lblAlgn val="ctr"/>
        <c:lblOffset val="100"/>
        <c:noMultiLvlLbl val="0"/>
      </c:catAx>
      <c:valAx>
        <c:axId val="6638100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63800064"/>
        <c:crosses val="autoZero"/>
        <c:crossBetween val="between"/>
      </c:valAx>
      <c:spPr>
        <a:noFill/>
        <a:ln w="3175">
          <a:solidFill>
            <a:srgbClr val="000000"/>
          </a:solidFill>
          <a:prstDash val="solid"/>
        </a:ln>
      </c:spPr>
    </c:plotArea>
    <c:legend>
      <c:legendPos val="r"/>
      <c:layout>
        <c:manualLayout>
          <c:xMode val="edge"/>
          <c:yMode val="edge"/>
          <c:x val="0.75990284431229316"/>
          <c:y val="0.2032048952460824"/>
          <c:w val="0.24009715568770687"/>
          <c:h val="0.623225085030051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YP aged 16-17 whose current activity is Unknown (Selected LA</a:t>
            </a:r>
            <a:r>
              <a:rPr lang="en-GB" sz="1100" baseline="0"/>
              <a:t> vs. SE &amp; National)</a:t>
            </a:r>
            <a:r>
              <a:rPr lang="en-GB" sz="1100"/>
              <a:t> </a:t>
            </a:r>
          </a:p>
        </c:rich>
      </c:tx>
      <c:layout>
        <c:manualLayout>
          <c:xMode val="edge"/>
          <c:yMode val="edge"/>
          <c:x val="0.15254252677874724"/>
          <c:y val="3.8613355148788219E-3"/>
        </c:manualLayout>
      </c:layout>
      <c:overlay val="0"/>
      <c:spPr>
        <a:noFill/>
        <a:ln w="25400">
          <a:noFill/>
        </a:ln>
      </c:spPr>
    </c:title>
    <c:autoTitleDeleted val="0"/>
    <c:plotArea>
      <c:layout>
        <c:manualLayout>
          <c:layoutTarget val="inner"/>
          <c:xMode val="edge"/>
          <c:yMode val="edge"/>
          <c:x val="0.10196694472596866"/>
          <c:y val="0.21836897606734068"/>
          <c:w val="0.62627218627374548"/>
          <c:h val="0.56951777477519461"/>
        </c:manualLayout>
      </c:layout>
      <c:barChart>
        <c:barDir val="col"/>
        <c:grouping val="clustered"/>
        <c:varyColors val="0"/>
        <c:ser>
          <c:idx val="6"/>
          <c:order val="0"/>
          <c:tx>
            <c:strRef>
              <c:f>Participation!$Z$4</c:f>
              <c:strCache>
                <c:ptCount val="1"/>
                <c:pt idx="0">
                  <c:v>Selected LA- (none)</c:v>
                </c:pt>
              </c:strCache>
            </c:strRef>
          </c:tx>
          <c:spPr>
            <a:solidFill>
              <a:srgbClr val="66FF99"/>
            </a:solidFill>
            <a:ln>
              <a:solidFill>
                <a:schemeClr val="tx1">
                  <a:lumMod val="75000"/>
                  <a:lumOff val="25000"/>
                </a:schemeClr>
              </a:solidFill>
            </a:ln>
          </c:spPr>
          <c:invertIfNegative val="0"/>
          <c:cat>
            <c:strRef>
              <c:f>Participation!$Y$2:$AC$3</c:f>
              <c:strCache>
                <c:ptCount val="5"/>
                <c:pt idx="0">
                  <c:v>2019/20</c:v>
                </c:pt>
                <c:pt idx="1">
                  <c:v>2020/21</c:v>
                </c:pt>
                <c:pt idx="2">
                  <c:v>2021/22</c:v>
                </c:pt>
                <c:pt idx="3">
                  <c:v>2022/23</c:v>
                </c:pt>
                <c:pt idx="4">
                  <c:v>2023/24</c:v>
                </c:pt>
              </c:strCache>
            </c:strRef>
          </c:cat>
          <c:val>
            <c:numRef>
              <c:f>Participation!$AW$59:$BA$59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BAA9-403E-ABD7-6D3657C6447B}"/>
            </c:ext>
          </c:extLst>
        </c:ser>
        <c:ser>
          <c:idx val="4"/>
          <c:order val="1"/>
          <c:tx>
            <c:strRef>
              <c:f>Participation!$B$126</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Participation!$Y$2:$AC$3</c:f>
              <c:strCache>
                <c:ptCount val="5"/>
                <c:pt idx="0">
                  <c:v>2019/20</c:v>
                </c:pt>
                <c:pt idx="1">
                  <c:v>2020/21</c:v>
                </c:pt>
                <c:pt idx="2">
                  <c:v>2021/22</c:v>
                </c:pt>
                <c:pt idx="3">
                  <c:v>2022/23</c:v>
                </c:pt>
                <c:pt idx="4">
                  <c:v>2023/24</c:v>
                </c:pt>
              </c:strCache>
            </c:strRef>
          </c:cat>
          <c:val>
            <c:numRef>
              <c:f>Participation!$D$126:$H$126</c:f>
              <c:numCache>
                <c:formatCode>0.0%</c:formatCode>
                <c:ptCount val="5"/>
                <c:pt idx="0">
                  <c:v>3.1815052496712508E-2</c:v>
                </c:pt>
                <c:pt idx="1">
                  <c:v>4.0312375116557879E-2</c:v>
                </c:pt>
                <c:pt idx="2">
                  <c:v>3.8695755731486647E-2</c:v>
                </c:pt>
                <c:pt idx="3">
                  <c:v>2.6483771090604888E-2</c:v>
                </c:pt>
                <c:pt idx="4">
                  <c:v>4.2910939393784424E-2</c:v>
                </c:pt>
              </c:numCache>
            </c:numRef>
          </c:val>
          <c:extLst>
            <c:ext xmlns:c16="http://schemas.microsoft.com/office/drawing/2014/chart" uri="{C3380CC4-5D6E-409C-BE32-E72D297353CC}">
              <c16:uniqueId val="{00000001-BAA9-403E-ABD7-6D3657C6447B}"/>
            </c:ext>
          </c:extLst>
        </c:ser>
        <c:ser>
          <c:idx val="0"/>
          <c:order val="2"/>
          <c:tx>
            <c:strRef>
              <c:f>Participation!$B$127</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Participation!$Y$2:$AC$3</c:f>
              <c:strCache>
                <c:ptCount val="5"/>
                <c:pt idx="0">
                  <c:v>2019/20</c:v>
                </c:pt>
                <c:pt idx="1">
                  <c:v>2020/21</c:v>
                </c:pt>
                <c:pt idx="2">
                  <c:v>2021/22</c:v>
                </c:pt>
                <c:pt idx="3">
                  <c:v>2022/23</c:v>
                </c:pt>
                <c:pt idx="4">
                  <c:v>2023/24</c:v>
                </c:pt>
              </c:strCache>
            </c:strRef>
          </c:cat>
          <c:val>
            <c:numRef>
              <c:f>Participation!$D$127:$H$127</c:f>
              <c:numCache>
                <c:formatCode>0.0%</c:formatCode>
                <c:ptCount val="5"/>
                <c:pt idx="0">
                  <c:v>2.8757598358683037E-2</c:v>
                </c:pt>
                <c:pt idx="1">
                  <c:v>2.7680057439436478E-2</c:v>
                </c:pt>
                <c:pt idx="2">
                  <c:v>2.6599203446313908E-2</c:v>
                </c:pt>
                <c:pt idx="3">
                  <c:v>1.8033638112024093E-2</c:v>
                </c:pt>
                <c:pt idx="4">
                  <c:v>2.3943122822362911E-2</c:v>
                </c:pt>
              </c:numCache>
            </c:numRef>
          </c:val>
          <c:extLst>
            <c:ext xmlns:c16="http://schemas.microsoft.com/office/drawing/2014/chart" uri="{C3380CC4-5D6E-409C-BE32-E72D297353CC}">
              <c16:uniqueId val="{00000002-BAA9-403E-ABD7-6D3657C6447B}"/>
            </c:ext>
          </c:extLst>
        </c:ser>
        <c:dLbls>
          <c:showLegendKey val="0"/>
          <c:showVal val="0"/>
          <c:showCatName val="0"/>
          <c:showSerName val="0"/>
          <c:showPercent val="0"/>
          <c:showBubbleSize val="0"/>
        </c:dLbls>
        <c:gapWidth val="100"/>
        <c:axId val="673392128"/>
        <c:axId val="673393664"/>
      </c:barChart>
      <c:catAx>
        <c:axId val="673392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73393664"/>
        <c:crosses val="autoZero"/>
        <c:auto val="1"/>
        <c:lblAlgn val="ctr"/>
        <c:lblOffset val="100"/>
        <c:noMultiLvlLbl val="0"/>
      </c:catAx>
      <c:valAx>
        <c:axId val="673393664"/>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73392128"/>
        <c:crosses val="autoZero"/>
        <c:crossBetween val="between"/>
      </c:valAx>
      <c:spPr>
        <a:noFill/>
        <a:ln w="3175">
          <a:solidFill>
            <a:srgbClr val="000000"/>
          </a:solidFill>
          <a:prstDash val="solid"/>
        </a:ln>
      </c:spPr>
    </c:plotArea>
    <c:legend>
      <c:legendPos val="r"/>
      <c:layout>
        <c:manualLayout>
          <c:xMode val="edge"/>
          <c:yMode val="edge"/>
          <c:x val="0.73376211636911715"/>
          <c:y val="0.21128233970753657"/>
          <c:w val="0.2662378836308828"/>
          <c:h val="0.7733108361454817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sz="1200"/>
              <a:t>% Young People aged 16-17 whose current activity is Not Known</a:t>
            </a:r>
          </a:p>
        </c:rich>
      </c:tx>
      <c:layout>
        <c:manualLayout>
          <c:xMode val="edge"/>
          <c:yMode val="edge"/>
          <c:x val="0.11598950617283953"/>
          <c:y val="8.2884716333535228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5910956479277301"/>
        </c:manualLayout>
      </c:layout>
      <c:lineChart>
        <c:grouping val="standard"/>
        <c:varyColors val="0"/>
        <c:ser>
          <c:idx val="0"/>
          <c:order val="0"/>
          <c:tx>
            <c:strRef>
              <c:f>Participation!$AK$38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0C8E-4510-BF08-1158411C38A9}"/>
              </c:ext>
            </c:extLst>
          </c:dPt>
          <c:cat>
            <c:strRef>
              <c:f>Participation!$Y$2:$AC$3</c:f>
              <c:strCache>
                <c:ptCount val="5"/>
                <c:pt idx="0">
                  <c:v>2019/20</c:v>
                </c:pt>
                <c:pt idx="1">
                  <c:v>2020/21</c:v>
                </c:pt>
                <c:pt idx="2">
                  <c:v>2021/22</c:v>
                </c:pt>
                <c:pt idx="3">
                  <c:v>2022/23</c:v>
                </c:pt>
                <c:pt idx="4">
                  <c:v>2023/24</c:v>
                </c:pt>
              </c:strCache>
            </c:strRef>
          </c:cat>
          <c:val>
            <c:numRef>
              <c:f>Participation!$AW$38:$BA$38</c:f>
              <c:numCache>
                <c:formatCode>0.0%</c:formatCode>
                <c:ptCount val="5"/>
                <c:pt idx="0">
                  <c:v>7.0476482304274557E-2</c:v>
                </c:pt>
                <c:pt idx="1">
                  <c:v>2.3066485753052916E-2</c:v>
                </c:pt>
                <c:pt idx="2">
                  <c:v>1.2777919754663943E-2</c:v>
                </c:pt>
                <c:pt idx="3">
                  <c:v>1.7844560036205711E-2</c:v>
                </c:pt>
                <c:pt idx="4">
                  <c:v>1.7000000000000001E-2</c:v>
                </c:pt>
              </c:numCache>
            </c:numRef>
          </c:val>
          <c:smooth val="0"/>
          <c:extLst>
            <c:ext xmlns:c16="http://schemas.microsoft.com/office/drawing/2014/chart" uri="{C3380CC4-5D6E-409C-BE32-E72D297353CC}">
              <c16:uniqueId val="{00000001-0C8E-4510-BF08-1158411C38A9}"/>
            </c:ext>
          </c:extLst>
        </c:ser>
        <c:ser>
          <c:idx val="1"/>
          <c:order val="1"/>
          <c:tx>
            <c:strRef>
              <c:f>Participation!$AK$39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Participation!$AW$39:$BA$39</c:f>
              <c:numCache>
                <c:formatCode>0.0%</c:formatCode>
                <c:ptCount val="5"/>
                <c:pt idx="0">
                  <c:v>1.5194681861348529E-2</c:v>
                </c:pt>
                <c:pt idx="1">
                  <c:v>1.0486577181208054E-2</c:v>
                </c:pt>
                <c:pt idx="2">
                  <c:v>1.6404330211861592E-2</c:v>
                </c:pt>
                <c:pt idx="3">
                  <c:v>8.4273839689615378E-3</c:v>
                </c:pt>
                <c:pt idx="4">
                  <c:v>6.0000000000000001E-3</c:v>
                </c:pt>
              </c:numCache>
            </c:numRef>
          </c:val>
          <c:smooth val="0"/>
          <c:extLst>
            <c:ext xmlns:c16="http://schemas.microsoft.com/office/drawing/2014/chart" uri="{C3380CC4-5D6E-409C-BE32-E72D297353CC}">
              <c16:uniqueId val="{00000002-0C8E-4510-BF08-1158411C38A9}"/>
            </c:ext>
          </c:extLst>
        </c:ser>
        <c:ser>
          <c:idx val="2"/>
          <c:order val="2"/>
          <c:tx>
            <c:strRef>
              <c:f>Participation!$AK$40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Participation!$AW$40:$BA$40</c:f>
              <c:numCache>
                <c:formatCode>0.0%</c:formatCode>
                <c:ptCount val="5"/>
                <c:pt idx="0">
                  <c:v>5.5552370578455544E-2</c:v>
                </c:pt>
                <c:pt idx="1">
                  <c:v>9.3939565735018993E-2</c:v>
                </c:pt>
                <c:pt idx="2">
                  <c:v>5.5452567099218183E-2</c:v>
                </c:pt>
                <c:pt idx="3">
                  <c:v>4.8600426511294315E-2</c:v>
                </c:pt>
                <c:pt idx="4">
                  <c:v>6.9910177239554103E-2</c:v>
                </c:pt>
              </c:numCache>
            </c:numRef>
          </c:val>
          <c:smooth val="0"/>
          <c:extLst>
            <c:ext xmlns:c16="http://schemas.microsoft.com/office/drawing/2014/chart" uri="{C3380CC4-5D6E-409C-BE32-E72D297353CC}">
              <c16:uniqueId val="{00000003-0C8E-4510-BF08-1158411C38A9}"/>
            </c:ext>
          </c:extLst>
        </c:ser>
        <c:ser>
          <c:idx val="5"/>
          <c:order val="3"/>
          <c:tx>
            <c:strRef>
              <c:f>Participation!$AK$41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Participation!$AW$41:$BA$41</c:f>
              <c:numCache>
                <c:formatCode>0.0%</c:formatCode>
                <c:ptCount val="5"/>
                <c:pt idx="0">
                  <c:v>1.2189730310111791E-2</c:v>
                </c:pt>
                <c:pt idx="1">
                  <c:v>1.275239107332625E-2</c:v>
                </c:pt>
                <c:pt idx="2">
                  <c:v>1.4990571967316154E-2</c:v>
                </c:pt>
                <c:pt idx="3">
                  <c:v>1.1711767473133031E-2</c:v>
                </c:pt>
                <c:pt idx="4">
                  <c:v>8.9832134292565959E-3</c:v>
                </c:pt>
              </c:numCache>
            </c:numRef>
          </c:val>
          <c:smooth val="0"/>
          <c:extLst>
            <c:ext xmlns:c16="http://schemas.microsoft.com/office/drawing/2014/chart" uri="{C3380CC4-5D6E-409C-BE32-E72D297353CC}">
              <c16:uniqueId val="{00000004-0C8E-4510-BF08-1158411C38A9}"/>
            </c:ext>
          </c:extLst>
        </c:ser>
        <c:ser>
          <c:idx val="9"/>
          <c:order val="4"/>
          <c:tx>
            <c:strRef>
              <c:f>Participation!$AK$42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Participation!$AW$42:$BA$42</c:f>
              <c:numCache>
                <c:formatCode>0.0%</c:formatCode>
                <c:ptCount val="5"/>
                <c:pt idx="0">
                  <c:v>2.0940398499126968E-2</c:v>
                </c:pt>
                <c:pt idx="1">
                  <c:v>2.0115807340885285E-2</c:v>
                </c:pt>
                <c:pt idx="2">
                  <c:v>2.901011980923578E-2</c:v>
                </c:pt>
                <c:pt idx="3">
                  <c:v>1.2786246460994801E-2</c:v>
                </c:pt>
                <c:pt idx="4">
                  <c:v>1.800478596118054E-2</c:v>
                </c:pt>
              </c:numCache>
            </c:numRef>
          </c:val>
          <c:smooth val="0"/>
          <c:extLst>
            <c:ext xmlns:c16="http://schemas.microsoft.com/office/drawing/2014/chart" uri="{C3380CC4-5D6E-409C-BE32-E72D297353CC}">
              <c16:uniqueId val="{00000005-0C8E-4510-BF08-1158411C38A9}"/>
            </c:ext>
          </c:extLst>
        </c:ser>
        <c:ser>
          <c:idx val="10"/>
          <c:order val="5"/>
          <c:tx>
            <c:strRef>
              <c:f>Participation!$AK$43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Participation!$AW$43:$BA$43</c:f>
              <c:numCache>
                <c:formatCode>0.0%</c:formatCode>
                <c:ptCount val="5"/>
                <c:pt idx="0">
                  <c:v>8.8378841841445718E-3</c:v>
                </c:pt>
                <c:pt idx="1">
                  <c:v>6.5824825362708218E-3</c:v>
                </c:pt>
                <c:pt idx="2">
                  <c:v>3.7366548042704624E-2</c:v>
                </c:pt>
                <c:pt idx="3">
                  <c:v>8.1709252640494532E-3</c:v>
                </c:pt>
                <c:pt idx="4">
                  <c:v>5.1163636363636368E-3</c:v>
                </c:pt>
              </c:numCache>
            </c:numRef>
          </c:val>
          <c:smooth val="0"/>
          <c:extLst>
            <c:ext xmlns:c16="http://schemas.microsoft.com/office/drawing/2014/chart" uri="{C3380CC4-5D6E-409C-BE32-E72D297353CC}">
              <c16:uniqueId val="{00000006-0C8E-4510-BF08-1158411C38A9}"/>
            </c:ext>
          </c:extLst>
        </c:ser>
        <c:ser>
          <c:idx val="11"/>
          <c:order val="6"/>
          <c:tx>
            <c:strRef>
              <c:f>Participation!$AK$44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Participation!$AW$44:$BA$44</c:f>
              <c:numCache>
                <c:formatCode>0.0%</c:formatCode>
                <c:ptCount val="5"/>
                <c:pt idx="0">
                  <c:v>3.5732977577094774E-2</c:v>
                </c:pt>
                <c:pt idx="1">
                  <c:v>4.405595850639555E-2</c:v>
                </c:pt>
                <c:pt idx="2">
                  <c:v>4.5513615396061705E-2</c:v>
                </c:pt>
                <c:pt idx="3">
                  <c:v>1.8880650520957082E-2</c:v>
                </c:pt>
                <c:pt idx="4">
                  <c:v>2.5013899862464519E-2</c:v>
                </c:pt>
              </c:numCache>
            </c:numRef>
          </c:val>
          <c:smooth val="0"/>
          <c:extLst>
            <c:ext xmlns:c16="http://schemas.microsoft.com/office/drawing/2014/chart" uri="{C3380CC4-5D6E-409C-BE32-E72D297353CC}">
              <c16:uniqueId val="{00000007-0C8E-4510-BF08-1158411C38A9}"/>
            </c:ext>
          </c:extLst>
        </c:ser>
        <c:ser>
          <c:idx val="12"/>
          <c:order val="7"/>
          <c:tx>
            <c:strRef>
              <c:f>Participation!$AK$45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Participation!$AW$45:$BA$45</c:f>
              <c:numCache>
                <c:formatCode>0.0%</c:formatCode>
                <c:ptCount val="5"/>
                <c:pt idx="0">
                  <c:v>4.1404941373534336E-2</c:v>
                </c:pt>
                <c:pt idx="1">
                  <c:v>9.0442149854381787E-2</c:v>
                </c:pt>
                <c:pt idx="2">
                  <c:v>4.5021999386063646E-2</c:v>
                </c:pt>
                <c:pt idx="3">
                  <c:v>8.5698756648213179E-2</c:v>
                </c:pt>
                <c:pt idx="4">
                  <c:v>3.1582669178379943E-2</c:v>
                </c:pt>
              </c:numCache>
            </c:numRef>
          </c:val>
          <c:smooth val="0"/>
          <c:extLst>
            <c:ext xmlns:c16="http://schemas.microsoft.com/office/drawing/2014/chart" uri="{C3380CC4-5D6E-409C-BE32-E72D297353CC}">
              <c16:uniqueId val="{00000008-0C8E-4510-BF08-1158411C38A9}"/>
            </c:ext>
          </c:extLst>
        </c:ser>
        <c:ser>
          <c:idx val="13"/>
          <c:order val="8"/>
          <c:tx>
            <c:strRef>
              <c:f>Participation!$AK$46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Participation!$AW$46:$BA$46</c:f>
              <c:numCache>
                <c:formatCode>0.0%</c:formatCode>
                <c:ptCount val="5"/>
                <c:pt idx="0">
                  <c:v>1.4180875131048942E-2</c:v>
                </c:pt>
                <c:pt idx="1">
                  <c:v>2.4189232580541582E-2</c:v>
                </c:pt>
                <c:pt idx="2">
                  <c:v>1.5560060821084644E-2</c:v>
                </c:pt>
                <c:pt idx="3">
                  <c:v>1.3567902449457553E-2</c:v>
                </c:pt>
                <c:pt idx="4">
                  <c:v>1.2943588208888225E-2</c:v>
                </c:pt>
              </c:numCache>
            </c:numRef>
          </c:val>
          <c:smooth val="0"/>
          <c:extLst>
            <c:ext xmlns:c16="http://schemas.microsoft.com/office/drawing/2014/chart" uri="{C3380CC4-5D6E-409C-BE32-E72D297353CC}">
              <c16:uniqueId val="{00000009-0C8E-4510-BF08-1158411C38A9}"/>
            </c:ext>
          </c:extLst>
        </c:ser>
        <c:ser>
          <c:idx val="15"/>
          <c:order val="9"/>
          <c:tx>
            <c:strRef>
              <c:f>Participation!$AK$47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Participation!$AW$47:$BA$47</c:f>
              <c:numCache>
                <c:formatCode>0.0%</c:formatCode>
                <c:ptCount val="5"/>
                <c:pt idx="0">
                  <c:v>2.7802401482794746E-2</c:v>
                </c:pt>
                <c:pt idx="1">
                  <c:v>2.1043815107574727E-2</c:v>
                </c:pt>
                <c:pt idx="2">
                  <c:v>1.6150163769211388E-2</c:v>
                </c:pt>
                <c:pt idx="3">
                  <c:v>1.8933414346949968E-2</c:v>
                </c:pt>
                <c:pt idx="4">
                  <c:v>2.6001861664041247E-2</c:v>
                </c:pt>
              </c:numCache>
            </c:numRef>
          </c:val>
          <c:smooth val="0"/>
          <c:extLst>
            <c:ext xmlns:c16="http://schemas.microsoft.com/office/drawing/2014/chart" uri="{C3380CC4-5D6E-409C-BE32-E72D297353CC}">
              <c16:uniqueId val="{0000000A-0C8E-4510-BF08-1158411C38A9}"/>
            </c:ext>
          </c:extLst>
        </c:ser>
        <c:ser>
          <c:idx val="16"/>
          <c:order val="10"/>
          <c:tx>
            <c:strRef>
              <c:f>Participation!$AK$48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Participation!$AW$48:$BA$48</c:f>
              <c:numCache>
                <c:formatCode>0.0%</c:formatCode>
                <c:ptCount val="5"/>
                <c:pt idx="0">
                  <c:v>1.0531220876048462E-2</c:v>
                </c:pt>
                <c:pt idx="1">
                  <c:v>8.4441100242454645E-3</c:v>
                </c:pt>
                <c:pt idx="2">
                  <c:v>1.1400918635170603E-2</c:v>
                </c:pt>
                <c:pt idx="3">
                  <c:v>8.3855914192915437E-3</c:v>
                </c:pt>
                <c:pt idx="4">
                  <c:v>1.5788888888888887E-2</c:v>
                </c:pt>
              </c:numCache>
            </c:numRef>
          </c:val>
          <c:smooth val="0"/>
          <c:extLst>
            <c:ext xmlns:c16="http://schemas.microsoft.com/office/drawing/2014/chart" uri="{C3380CC4-5D6E-409C-BE32-E72D297353CC}">
              <c16:uniqueId val="{0000000B-0C8E-4510-BF08-1158411C38A9}"/>
            </c:ext>
          </c:extLst>
        </c:ser>
        <c:ser>
          <c:idx val="17"/>
          <c:order val="11"/>
          <c:tx>
            <c:strRef>
              <c:f>Participation!$AK$49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Participation!$AW$49:$BA$49</c:f>
              <c:numCache>
                <c:formatCode>0.0%</c:formatCode>
                <c:ptCount val="5"/>
                <c:pt idx="0">
                  <c:v>3.3213240261202433E-2</c:v>
                </c:pt>
                <c:pt idx="1">
                  <c:v>0.13287565053703909</c:v>
                </c:pt>
                <c:pt idx="2">
                  <c:v>1.8059638807223857E-2</c:v>
                </c:pt>
                <c:pt idx="3">
                  <c:v>3.5592177625227935E-3</c:v>
                </c:pt>
                <c:pt idx="4">
                  <c:v>3.9308357348703171E-3</c:v>
                </c:pt>
              </c:numCache>
            </c:numRef>
          </c:val>
          <c:smooth val="0"/>
          <c:extLst>
            <c:ext xmlns:c16="http://schemas.microsoft.com/office/drawing/2014/chart" uri="{C3380CC4-5D6E-409C-BE32-E72D297353CC}">
              <c16:uniqueId val="{0000000C-0C8E-4510-BF08-1158411C38A9}"/>
            </c:ext>
          </c:extLst>
        </c:ser>
        <c:ser>
          <c:idx val="19"/>
          <c:order val="12"/>
          <c:tx>
            <c:strRef>
              <c:f>Participation!$AK$50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Participation!$AW$50:$BA$50</c:f>
              <c:numCache>
                <c:formatCode>0.0%</c:formatCode>
                <c:ptCount val="5"/>
                <c:pt idx="0">
                  <c:v>8.4131388167904778E-3</c:v>
                </c:pt>
                <c:pt idx="1">
                  <c:v>1.008633216514232E-2</c:v>
                </c:pt>
                <c:pt idx="2">
                  <c:v>6.9846678023850082E-3</c:v>
                </c:pt>
                <c:pt idx="3">
                  <c:v>6.946641527746697E-3</c:v>
                </c:pt>
                <c:pt idx="4">
                  <c:v>2.2000000000000002E-2</c:v>
                </c:pt>
              </c:numCache>
            </c:numRef>
          </c:val>
          <c:smooth val="0"/>
          <c:extLst>
            <c:ext xmlns:c16="http://schemas.microsoft.com/office/drawing/2014/chart" uri="{C3380CC4-5D6E-409C-BE32-E72D297353CC}">
              <c16:uniqueId val="{0000000D-0C8E-4510-BF08-1158411C38A9}"/>
            </c:ext>
          </c:extLst>
        </c:ser>
        <c:ser>
          <c:idx val="20"/>
          <c:order val="13"/>
          <c:tx>
            <c:strRef>
              <c:f>Participation!$AK$51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Participation!$AW$51:$BA$51</c:f>
              <c:numCache>
                <c:formatCode>0.0%</c:formatCode>
                <c:ptCount val="5"/>
                <c:pt idx="0">
                  <c:v>2.7142968567194448E-2</c:v>
                </c:pt>
                <c:pt idx="1">
                  <c:v>2.1187727825030377E-2</c:v>
                </c:pt>
                <c:pt idx="2">
                  <c:v>3.1342043652292123E-2</c:v>
                </c:pt>
                <c:pt idx="3">
                  <c:v>2.2207715429213432E-2</c:v>
                </c:pt>
                <c:pt idx="4">
                  <c:v>3.2012911034900143E-2</c:v>
                </c:pt>
              </c:numCache>
            </c:numRef>
          </c:val>
          <c:smooth val="0"/>
          <c:extLst>
            <c:ext xmlns:c16="http://schemas.microsoft.com/office/drawing/2014/chart" uri="{C3380CC4-5D6E-409C-BE32-E72D297353CC}">
              <c16:uniqueId val="{0000000F-0C8E-4510-BF08-1158411C38A9}"/>
            </c:ext>
          </c:extLst>
        </c:ser>
        <c:ser>
          <c:idx val="22"/>
          <c:order val="14"/>
          <c:tx>
            <c:strRef>
              <c:f>Participation!$AK$52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Participation!$AW$52:$BA$52</c:f>
              <c:numCache>
                <c:formatCode>0.0%</c:formatCode>
                <c:ptCount val="5"/>
                <c:pt idx="0">
                  <c:v>2.6032133414683752E-2</c:v>
                </c:pt>
                <c:pt idx="1">
                  <c:v>2.2683065047250005E-2</c:v>
                </c:pt>
                <c:pt idx="2">
                  <c:v>8.0854826823876194E-2</c:v>
                </c:pt>
                <c:pt idx="3">
                  <c:v>5.0154388265254694E-2</c:v>
                </c:pt>
                <c:pt idx="4">
                  <c:v>0.14162065331928347</c:v>
                </c:pt>
              </c:numCache>
            </c:numRef>
          </c:val>
          <c:smooth val="0"/>
          <c:extLst>
            <c:ext xmlns:c16="http://schemas.microsoft.com/office/drawing/2014/chart" uri="{C3380CC4-5D6E-409C-BE32-E72D297353CC}">
              <c16:uniqueId val="{00000010-0C8E-4510-BF08-1158411C38A9}"/>
            </c:ext>
          </c:extLst>
        </c:ser>
        <c:ser>
          <c:idx val="23"/>
          <c:order val="15"/>
          <c:tx>
            <c:strRef>
              <c:f>Participation!$AK$53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Participation!$AW$53:$BA$53</c:f>
              <c:numCache>
                <c:formatCode>0.0%</c:formatCode>
                <c:ptCount val="5"/>
                <c:pt idx="0">
                  <c:v>5.6532017679103699E-3</c:v>
                </c:pt>
                <c:pt idx="1">
                  <c:v>9.2033646709549725E-3</c:v>
                </c:pt>
                <c:pt idx="2">
                  <c:v>5.1928070006731419E-3</c:v>
                </c:pt>
                <c:pt idx="3">
                  <c:v>3.2242972110442646E-3</c:v>
                </c:pt>
                <c:pt idx="4">
                  <c:v>6.0121037463976949E-3</c:v>
                </c:pt>
              </c:numCache>
            </c:numRef>
          </c:val>
          <c:smooth val="0"/>
          <c:extLst>
            <c:ext xmlns:c16="http://schemas.microsoft.com/office/drawing/2014/chart" uri="{C3380CC4-5D6E-409C-BE32-E72D297353CC}">
              <c16:uniqueId val="{00000013-0C8E-4510-BF08-1158411C38A9}"/>
            </c:ext>
          </c:extLst>
        </c:ser>
        <c:ser>
          <c:idx val="24"/>
          <c:order val="16"/>
          <c:tx>
            <c:strRef>
              <c:f>Participation!$AK$54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Participation!$AW$54:$BA$54</c:f>
              <c:numCache>
                <c:formatCode>0.0%</c:formatCode>
                <c:ptCount val="5"/>
                <c:pt idx="0">
                  <c:v>6.7463321806388241E-2</c:v>
                </c:pt>
                <c:pt idx="1">
                  <c:v>9.6948079273791149E-2</c:v>
                </c:pt>
                <c:pt idx="2">
                  <c:v>5.4492270737282557E-2</c:v>
                </c:pt>
                <c:pt idx="3">
                  <c:v>3.5467122626799734E-2</c:v>
                </c:pt>
                <c:pt idx="4">
                  <c:v>7.4995568947181845E-2</c:v>
                </c:pt>
              </c:numCache>
            </c:numRef>
          </c:val>
          <c:smooth val="0"/>
          <c:extLst>
            <c:ext xmlns:c16="http://schemas.microsoft.com/office/drawing/2014/chart" uri="{C3380CC4-5D6E-409C-BE32-E72D297353CC}">
              <c16:uniqueId val="{00000014-0C8E-4510-BF08-1158411C38A9}"/>
            </c:ext>
          </c:extLst>
        </c:ser>
        <c:ser>
          <c:idx val="25"/>
          <c:order val="17"/>
          <c:tx>
            <c:strRef>
              <c:f>Participation!$AK$55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Participation!$AW$55:$BA$55</c:f>
              <c:numCache>
                <c:formatCode>0.0%</c:formatCode>
                <c:ptCount val="5"/>
                <c:pt idx="0">
                  <c:v>4.8270313757039419E-2</c:v>
                </c:pt>
                <c:pt idx="1">
                  <c:v>4.8096649190790965E-2</c:v>
                </c:pt>
                <c:pt idx="2">
                  <c:v>3.2428355957767725E-2</c:v>
                </c:pt>
                <c:pt idx="3">
                  <c:v>8.6515647707835708E-2</c:v>
                </c:pt>
                <c:pt idx="4">
                  <c:v>4.3124999999999997E-2</c:v>
                </c:pt>
              </c:numCache>
            </c:numRef>
          </c:val>
          <c:smooth val="0"/>
          <c:extLst>
            <c:ext xmlns:c16="http://schemas.microsoft.com/office/drawing/2014/chart" uri="{C3380CC4-5D6E-409C-BE32-E72D297353CC}">
              <c16:uniqueId val="{00000015-0C8E-4510-BF08-1158411C38A9}"/>
            </c:ext>
          </c:extLst>
        </c:ser>
        <c:ser>
          <c:idx val="26"/>
          <c:order val="18"/>
          <c:tx>
            <c:strRef>
              <c:f>Participation!$AK$56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Participation!$AW$56:$BA$56</c:f>
              <c:numCache>
                <c:formatCode>0.0%</c:formatCode>
                <c:ptCount val="5"/>
                <c:pt idx="0">
                  <c:v>3.3630748112560054E-2</c:v>
                </c:pt>
                <c:pt idx="1">
                  <c:v>2.8940164254986307E-2</c:v>
                </c:pt>
                <c:pt idx="2">
                  <c:v>1.9266791544019266E-2</c:v>
                </c:pt>
                <c:pt idx="3">
                  <c:v>7.4409087534699709E-3</c:v>
                </c:pt>
                <c:pt idx="4">
                  <c:v>2.1983320697498109E-2</c:v>
                </c:pt>
              </c:numCache>
            </c:numRef>
          </c:val>
          <c:smooth val="0"/>
          <c:extLst>
            <c:ext xmlns:c16="http://schemas.microsoft.com/office/drawing/2014/chart" uri="{C3380CC4-5D6E-409C-BE32-E72D297353CC}">
              <c16:uniqueId val="{00000016-0C8E-4510-BF08-1158411C38A9}"/>
            </c:ext>
          </c:extLst>
        </c:ser>
        <c:ser>
          <c:idx val="4"/>
          <c:order val="19"/>
          <c:tx>
            <c:strRef>
              <c:f>Participation!$AK$57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Participation!$AW$57:$BA$57</c:f>
              <c:numCache>
                <c:formatCode>0.0%</c:formatCode>
                <c:ptCount val="5"/>
                <c:pt idx="0">
                  <c:v>3.1815052496712508E-2</c:v>
                </c:pt>
                <c:pt idx="1">
                  <c:v>4.0312375116557879E-2</c:v>
                </c:pt>
                <c:pt idx="2">
                  <c:v>3.8695755731486647E-2</c:v>
                </c:pt>
                <c:pt idx="3">
                  <c:v>2.6483771090604888E-2</c:v>
                </c:pt>
                <c:pt idx="4">
                  <c:v>4.2910939393784424E-2</c:v>
                </c:pt>
              </c:numCache>
            </c:numRef>
          </c:val>
          <c:smooth val="0"/>
          <c:extLst>
            <c:ext xmlns:c16="http://schemas.microsoft.com/office/drawing/2014/chart" uri="{C3380CC4-5D6E-409C-BE32-E72D297353CC}">
              <c16:uniqueId val="{00000017-0C8E-4510-BF08-1158411C38A9}"/>
            </c:ext>
          </c:extLst>
        </c:ser>
        <c:ser>
          <c:idx val="14"/>
          <c:order val="20"/>
          <c:tx>
            <c:strRef>
              <c:f>Participation!$AK$58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Participation!$Y$2:$AC$3</c:f>
              <c:strCache>
                <c:ptCount val="5"/>
                <c:pt idx="0">
                  <c:v>2019/20</c:v>
                </c:pt>
                <c:pt idx="1">
                  <c:v>2020/21</c:v>
                </c:pt>
                <c:pt idx="2">
                  <c:v>2021/22</c:v>
                </c:pt>
                <c:pt idx="3">
                  <c:v>2022/23</c:v>
                </c:pt>
                <c:pt idx="4">
                  <c:v>2023/24</c:v>
                </c:pt>
              </c:strCache>
            </c:strRef>
          </c:cat>
          <c:val>
            <c:numRef>
              <c:f>Participation!$AW$58:$BA$58</c:f>
              <c:numCache>
                <c:formatCode>0.0%</c:formatCode>
                <c:ptCount val="5"/>
                <c:pt idx="0">
                  <c:v>2.8757598358683037E-2</c:v>
                </c:pt>
                <c:pt idx="1">
                  <c:v>2.7680057439436478E-2</c:v>
                </c:pt>
                <c:pt idx="2">
                  <c:v>2.6599203446313908E-2</c:v>
                </c:pt>
                <c:pt idx="3">
                  <c:v>1.8033638112024093E-2</c:v>
                </c:pt>
                <c:pt idx="4">
                  <c:v>2.3943122822362911E-2</c:v>
                </c:pt>
              </c:numCache>
            </c:numRef>
          </c:val>
          <c:smooth val="0"/>
          <c:extLst>
            <c:ext xmlns:c16="http://schemas.microsoft.com/office/drawing/2014/chart" uri="{C3380CC4-5D6E-409C-BE32-E72D297353CC}">
              <c16:uniqueId val="{00000018-0C8E-4510-BF08-1158411C38A9}"/>
            </c:ext>
          </c:extLst>
        </c:ser>
        <c:ser>
          <c:idx val="6"/>
          <c:order val="21"/>
          <c:tx>
            <c:strRef>
              <c:f>Participation!$AK$59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Participation!$Y$2:$AC$3</c:f>
              <c:strCache>
                <c:ptCount val="5"/>
                <c:pt idx="0">
                  <c:v>2019/20</c:v>
                </c:pt>
                <c:pt idx="1">
                  <c:v>2020/21</c:v>
                </c:pt>
                <c:pt idx="2">
                  <c:v>2021/22</c:v>
                </c:pt>
                <c:pt idx="3">
                  <c:v>2022/23</c:v>
                </c:pt>
                <c:pt idx="4">
                  <c:v>2023/24</c:v>
                </c:pt>
              </c:strCache>
            </c:strRef>
          </c:cat>
          <c:val>
            <c:numRef>
              <c:f>Participation!$AW$59:$BA$59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0C8E-4510-BF08-1158411C38A9}"/>
            </c:ext>
          </c:extLst>
        </c:ser>
        <c:dLbls>
          <c:showLegendKey val="0"/>
          <c:showVal val="0"/>
          <c:showCatName val="0"/>
          <c:showSerName val="0"/>
          <c:showPercent val="0"/>
          <c:showBubbleSize val="0"/>
        </c:dLbls>
        <c:marker val="1"/>
        <c:smooth val="0"/>
        <c:axId val="673945472"/>
        <c:axId val="673947648"/>
      </c:lineChart>
      <c:catAx>
        <c:axId val="673945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73947648"/>
        <c:crosses val="autoZero"/>
        <c:auto val="1"/>
        <c:lblAlgn val="ctr"/>
        <c:lblOffset val="100"/>
        <c:tickLblSkip val="1"/>
        <c:tickMarkSkip val="1"/>
        <c:noMultiLvlLbl val="0"/>
      </c:catAx>
      <c:valAx>
        <c:axId val="6739476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7394547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86024179535697576"/>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pPr>
            <a:r>
              <a:rPr lang="en-GB" sz="1100" b="1"/>
              <a:t>% Young People aged 16-17 who are NEET</a:t>
            </a:r>
          </a:p>
          <a:p>
            <a:pPr>
              <a:defRPr sz="1100" b="1"/>
            </a:pPr>
            <a:r>
              <a:rPr lang="en-GB" sz="1100" b="1"/>
              <a:t>(Selected LA vs. SE &amp; National) </a:t>
            </a:r>
          </a:p>
        </c:rich>
      </c:tx>
      <c:layout>
        <c:manualLayout>
          <c:xMode val="edge"/>
          <c:yMode val="edge"/>
          <c:x val="0.14416826275093991"/>
          <c:y val="3.8616300816810812E-3"/>
        </c:manualLayout>
      </c:layout>
      <c:overlay val="0"/>
      <c:spPr>
        <a:noFill/>
        <a:ln w="25400">
          <a:noFill/>
        </a:ln>
      </c:spPr>
    </c:title>
    <c:autoTitleDeleted val="0"/>
    <c:plotArea>
      <c:layout>
        <c:manualLayout>
          <c:layoutTarget val="inner"/>
          <c:xMode val="edge"/>
          <c:yMode val="edge"/>
          <c:x val="0.10526727475897195"/>
          <c:y val="0.22625838186126085"/>
          <c:w val="0.61637119617473557"/>
          <c:h val="0.56583462088837044"/>
        </c:manualLayout>
      </c:layout>
      <c:barChart>
        <c:barDir val="col"/>
        <c:grouping val="clustered"/>
        <c:varyColors val="0"/>
        <c:ser>
          <c:idx val="6"/>
          <c:order val="0"/>
          <c:tx>
            <c:strRef>
              <c:f>Participation!$Z$4</c:f>
              <c:strCache>
                <c:ptCount val="1"/>
                <c:pt idx="0">
                  <c:v>Selected LA- (none)</c:v>
                </c:pt>
              </c:strCache>
            </c:strRef>
          </c:tx>
          <c:spPr>
            <a:solidFill>
              <a:srgbClr val="66FF99"/>
            </a:solidFill>
            <a:ln>
              <a:solidFill>
                <a:schemeClr val="tx1">
                  <a:lumMod val="75000"/>
                  <a:lumOff val="25000"/>
                </a:schemeClr>
              </a:solidFill>
            </a:ln>
          </c:spPr>
          <c:invertIfNegative val="0"/>
          <c:cat>
            <c:strRef>
              <c:f>Participation!$Y$2:$AC$3</c:f>
              <c:strCache>
                <c:ptCount val="5"/>
                <c:pt idx="0">
                  <c:v>2019/20</c:v>
                </c:pt>
                <c:pt idx="1">
                  <c:v>2020/21</c:v>
                </c:pt>
                <c:pt idx="2">
                  <c:v>2021/22</c:v>
                </c:pt>
                <c:pt idx="3">
                  <c:v>2022/23</c:v>
                </c:pt>
                <c:pt idx="4">
                  <c:v>2023/24</c:v>
                </c:pt>
              </c:strCache>
            </c:strRef>
          </c:cat>
          <c:val>
            <c:numRef>
              <c:f>Participation!$AR$59:$AV$59</c:f>
              <c:numCache>
                <c:formatCode>0.0%</c:formatCode>
                <c:ptCount val="5"/>
                <c:pt idx="0">
                  <c:v>#N/A</c:v>
                </c:pt>
                <c:pt idx="1">
                  <c:v>#N/A</c:v>
                </c:pt>
                <c:pt idx="2">
                  <c:v>#N/A</c:v>
                </c:pt>
                <c:pt idx="3">
                  <c:v>#N/A</c:v>
                </c:pt>
                <c:pt idx="4" formatCode="0%">
                  <c:v>#N/A</c:v>
                </c:pt>
              </c:numCache>
            </c:numRef>
          </c:val>
          <c:extLst>
            <c:ext xmlns:c16="http://schemas.microsoft.com/office/drawing/2014/chart" uri="{C3380CC4-5D6E-409C-BE32-E72D297353CC}">
              <c16:uniqueId val="{00000000-7EBD-4301-BB66-B5191CEFD500}"/>
            </c:ext>
          </c:extLst>
        </c:ser>
        <c:ser>
          <c:idx val="4"/>
          <c:order val="1"/>
          <c:tx>
            <c:strRef>
              <c:f>Participation!$B$126</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Participation!$Y$2:$AC$3</c:f>
              <c:strCache>
                <c:ptCount val="5"/>
                <c:pt idx="0">
                  <c:v>2019/20</c:v>
                </c:pt>
                <c:pt idx="1">
                  <c:v>2020/21</c:v>
                </c:pt>
                <c:pt idx="2">
                  <c:v>2021/22</c:v>
                </c:pt>
                <c:pt idx="3">
                  <c:v>2022/23</c:v>
                </c:pt>
                <c:pt idx="4">
                  <c:v>2023/24</c:v>
                </c:pt>
              </c:strCache>
            </c:strRef>
          </c:cat>
          <c:val>
            <c:numRef>
              <c:f>Participation!$D$93:$H$93</c:f>
              <c:numCache>
                <c:formatCode>0.0%</c:formatCode>
                <c:ptCount val="5"/>
                <c:pt idx="0">
                  <c:v>2.3514250179616232E-2</c:v>
                </c:pt>
                <c:pt idx="1">
                  <c:v>2.4099729141689979E-2</c:v>
                </c:pt>
                <c:pt idx="2">
                  <c:v>2.5414419634763256E-2</c:v>
                </c:pt>
                <c:pt idx="3">
                  <c:v>2.3277829125961727E-2</c:v>
                </c:pt>
                <c:pt idx="4">
                  <c:v>2.4948220577781646E-2</c:v>
                </c:pt>
              </c:numCache>
            </c:numRef>
          </c:val>
          <c:extLst>
            <c:ext xmlns:c16="http://schemas.microsoft.com/office/drawing/2014/chart" uri="{C3380CC4-5D6E-409C-BE32-E72D297353CC}">
              <c16:uniqueId val="{00000001-7EBD-4301-BB66-B5191CEFD500}"/>
            </c:ext>
          </c:extLst>
        </c:ser>
        <c:ser>
          <c:idx val="0"/>
          <c:order val="2"/>
          <c:tx>
            <c:strRef>
              <c:f>Participation!$B$127</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Participation!$Y$2:$AC$3</c:f>
              <c:strCache>
                <c:ptCount val="5"/>
                <c:pt idx="0">
                  <c:v>2019/20</c:v>
                </c:pt>
                <c:pt idx="1">
                  <c:v>2020/21</c:v>
                </c:pt>
                <c:pt idx="2">
                  <c:v>2021/22</c:v>
                </c:pt>
                <c:pt idx="3">
                  <c:v>2022/23</c:v>
                </c:pt>
                <c:pt idx="4">
                  <c:v>2023/24</c:v>
                </c:pt>
              </c:strCache>
            </c:strRef>
          </c:cat>
          <c:val>
            <c:numRef>
              <c:f>Participation!$D$94:$H$94</c:f>
              <c:numCache>
                <c:formatCode>0.0%</c:formatCode>
                <c:ptCount val="5"/>
                <c:pt idx="0">
                  <c:v>2.6494770804192887E-2</c:v>
                </c:pt>
                <c:pt idx="1">
                  <c:v>2.6866409857325874E-2</c:v>
                </c:pt>
                <c:pt idx="2">
                  <c:v>2.8199705130636608E-2</c:v>
                </c:pt>
                <c:pt idx="3">
                  <c:v>2.632176183182457E-2</c:v>
                </c:pt>
                <c:pt idx="4">
                  <c:v>2.7933643292756723E-2</c:v>
                </c:pt>
              </c:numCache>
            </c:numRef>
          </c:val>
          <c:extLst>
            <c:ext xmlns:c16="http://schemas.microsoft.com/office/drawing/2014/chart" uri="{C3380CC4-5D6E-409C-BE32-E72D297353CC}">
              <c16:uniqueId val="{00000002-7EBD-4301-BB66-B5191CEFD500}"/>
            </c:ext>
          </c:extLst>
        </c:ser>
        <c:dLbls>
          <c:showLegendKey val="0"/>
          <c:showVal val="0"/>
          <c:showCatName val="0"/>
          <c:showSerName val="0"/>
          <c:showPercent val="0"/>
          <c:showBubbleSize val="0"/>
        </c:dLbls>
        <c:gapWidth val="100"/>
        <c:axId val="674321536"/>
        <c:axId val="674323072"/>
      </c:barChart>
      <c:catAx>
        <c:axId val="674321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74323072"/>
        <c:crosses val="autoZero"/>
        <c:auto val="1"/>
        <c:lblAlgn val="ctr"/>
        <c:lblOffset val="100"/>
        <c:noMultiLvlLbl val="0"/>
      </c:catAx>
      <c:valAx>
        <c:axId val="674323072"/>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74321536"/>
        <c:crosses val="autoZero"/>
        <c:crossBetween val="between"/>
      </c:valAx>
      <c:spPr>
        <a:noFill/>
        <a:ln w="3175">
          <a:solidFill>
            <a:srgbClr val="000000"/>
          </a:solidFill>
          <a:prstDash val="solid"/>
        </a:ln>
      </c:spPr>
    </c:plotArea>
    <c:legend>
      <c:legendPos val="r"/>
      <c:layout>
        <c:manualLayout>
          <c:xMode val="edge"/>
          <c:yMode val="edge"/>
          <c:x val="0.73345884982199006"/>
          <c:y val="0.21128233970753657"/>
          <c:w val="0.26654115017800994"/>
          <c:h val="0.71771158569843563"/>
        </c:manualLayout>
      </c:layout>
      <c:overlay val="0"/>
      <c:spPr>
        <a:solidFill>
          <a:srgbClr val="FFFFFF"/>
        </a:solidFill>
        <a:ln w="25400">
          <a:noFill/>
        </a:ln>
      </c:spPr>
    </c:legend>
    <c:plotVisOnly val="0"/>
    <c:dispBlanksAs val="span"/>
    <c:showDLblsOverMax val="0"/>
  </c:chart>
  <c:spPr>
    <a:solidFill>
      <a:sysClr val="window" lastClr="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009BD2"/>
            </a:solidFill>
            <a:ln>
              <a:noFill/>
            </a:ln>
          </c:spPr>
          <c:invertIfNegative val="0"/>
          <c:cat>
            <c:strRef>
              <c:f>Referral_Source!$B$40:$B$60</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Referral_Source!$N$40:$N$60</c:f>
              <c:numCache>
                <c:formatCode>0.0</c:formatCode>
                <c:ptCount val="21"/>
                <c:pt idx="0">
                  <c:v>22.8987425545996</c:v>
                </c:pt>
                <c:pt idx="1">
                  <c:v>31.593490942585202</c:v>
                </c:pt>
                <c:pt idx="2">
                  <c:v>35.861027190332329</c:v>
                </c:pt>
                <c:pt idx="3">
                  <c:v>29.900255161215494</c:v>
                </c:pt>
                <c:pt idx="4">
                  <c:v>#N/A</c:v>
                </c:pt>
                <c:pt idx="5">
                  <c:v>22.316126084970307</c:v>
                </c:pt>
                <c:pt idx="6">
                  <c:v>21.31392310563643</c:v>
                </c:pt>
                <c:pt idx="7">
                  <c:v>23.736513344690515</c:v>
                </c:pt>
                <c:pt idx="8">
                  <c:v>32.085909534656686</c:v>
                </c:pt>
                <c:pt idx="9">
                  <c:v>28.769566078858727</c:v>
                </c:pt>
                <c:pt idx="10">
                  <c:v>29.100529100529098</c:v>
                </c:pt>
                <c:pt idx="11">
                  <c:v>34.532134532134535</c:v>
                </c:pt>
                <c:pt idx="12">
                  <c:v>38.94359892569382</c:v>
                </c:pt>
                <c:pt idx="13">
                  <c:v>27.537168713639304</c:v>
                </c:pt>
                <c:pt idx="14">
                  <c:v>29.614683676126006</c:v>
                </c:pt>
                <c:pt idx="15">
                  <c:v>32.252027448534001</c:v>
                </c:pt>
                <c:pt idx="16">
                  <c:v>28.36968856386332</c:v>
                </c:pt>
                <c:pt idx="17">
                  <c:v>33.039161610590185</c:v>
                </c:pt>
                <c:pt idx="18">
                  <c:v>31.136950904392762</c:v>
                </c:pt>
                <c:pt idx="19">
                  <c:v>27.629082082965578</c:v>
                </c:pt>
                <c:pt idx="20">
                  <c:v>28.496767761232434</c:v>
                </c:pt>
              </c:numCache>
            </c:numRef>
          </c:val>
          <c:extLst>
            <c:ext xmlns:c16="http://schemas.microsoft.com/office/drawing/2014/chart" uri="{C3380CC4-5D6E-409C-BE32-E72D297353CC}">
              <c16:uniqueId val="{00000000-1DE2-4CAD-BEE9-04530F0C36F6}"/>
            </c:ext>
          </c:extLst>
        </c:ser>
        <c:dLbls>
          <c:showLegendKey val="0"/>
          <c:showVal val="0"/>
          <c:showCatName val="0"/>
          <c:showSerName val="0"/>
          <c:showPercent val="0"/>
          <c:showBubbleSize val="0"/>
        </c:dLbls>
        <c:gapWidth val="40"/>
        <c:axId val="540058368"/>
        <c:axId val="540059904"/>
      </c:barChart>
      <c:catAx>
        <c:axId val="540058368"/>
        <c:scaling>
          <c:orientation val="maxMin"/>
        </c:scaling>
        <c:delete val="1"/>
        <c:axPos val="l"/>
        <c:numFmt formatCode="General" sourceLinked="0"/>
        <c:majorTickMark val="out"/>
        <c:minorTickMark val="none"/>
        <c:tickLblPos val="nextTo"/>
        <c:crossAx val="540059904"/>
        <c:crosses val="autoZero"/>
        <c:auto val="1"/>
        <c:lblAlgn val="ctr"/>
        <c:lblOffset val="100"/>
        <c:noMultiLvlLbl val="0"/>
      </c:catAx>
      <c:valAx>
        <c:axId val="540059904"/>
        <c:scaling>
          <c:orientation val="minMax"/>
        </c:scaling>
        <c:delete val="1"/>
        <c:axPos val="b"/>
        <c:majorGridlines/>
        <c:numFmt formatCode="0.0" sourceLinked="1"/>
        <c:majorTickMark val="out"/>
        <c:minorTickMark val="none"/>
        <c:tickLblPos val="nextTo"/>
        <c:crossAx val="540058368"/>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Young People aged 16-17 who are NEET</a:t>
            </a:r>
          </a:p>
        </c:rich>
      </c:tx>
      <c:layout>
        <c:manualLayout>
          <c:xMode val="edge"/>
          <c:yMode val="edge"/>
          <c:x val="0.19463904079199876"/>
          <c:y val="1.6570815387787523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Participation!$AK$38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5A0A-4278-998D-09E5854F2EAD}"/>
              </c:ext>
            </c:extLst>
          </c:dPt>
          <c:cat>
            <c:strRef>
              <c:f>Participation!$Y$2:$AC$3</c:f>
              <c:strCache>
                <c:ptCount val="5"/>
                <c:pt idx="0">
                  <c:v>2019/20</c:v>
                </c:pt>
                <c:pt idx="1">
                  <c:v>2020/21</c:v>
                </c:pt>
                <c:pt idx="2">
                  <c:v>2021/22</c:v>
                </c:pt>
                <c:pt idx="3">
                  <c:v>2022/23</c:v>
                </c:pt>
                <c:pt idx="4">
                  <c:v>2023/24</c:v>
                </c:pt>
              </c:strCache>
            </c:strRef>
          </c:cat>
          <c:val>
            <c:numRef>
              <c:f>Participation!$AR$38:$AV$38</c:f>
              <c:numCache>
                <c:formatCode>0.0%</c:formatCode>
                <c:ptCount val="5"/>
                <c:pt idx="0">
                  <c:v>2.4513559062356367E-2</c:v>
                </c:pt>
                <c:pt idx="1">
                  <c:v>2.2915724408261721E-2</c:v>
                </c:pt>
                <c:pt idx="2">
                  <c:v>2.3511372348581652E-2</c:v>
                </c:pt>
                <c:pt idx="3">
                  <c:v>1.53994639729948E-2</c:v>
                </c:pt>
                <c:pt idx="4">
                  <c:v>1.8000000000000002E-2</c:v>
                </c:pt>
              </c:numCache>
            </c:numRef>
          </c:val>
          <c:smooth val="0"/>
          <c:extLst>
            <c:ext xmlns:c16="http://schemas.microsoft.com/office/drawing/2014/chart" uri="{C3380CC4-5D6E-409C-BE32-E72D297353CC}">
              <c16:uniqueId val="{00000001-5A0A-4278-998D-09E5854F2EAD}"/>
            </c:ext>
          </c:extLst>
        </c:ser>
        <c:ser>
          <c:idx val="1"/>
          <c:order val="1"/>
          <c:tx>
            <c:strRef>
              <c:f>Participation!$AK$39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Participation!$AR$39:$AV$39</c:f>
              <c:numCache>
                <c:formatCode>0.0%</c:formatCode>
                <c:ptCount val="5"/>
                <c:pt idx="0">
                  <c:v>3.0457197123863786E-2</c:v>
                </c:pt>
                <c:pt idx="1">
                  <c:v>3.9079977628635347E-2</c:v>
                </c:pt>
                <c:pt idx="2">
                  <c:v>2.7628345619977415E-2</c:v>
                </c:pt>
                <c:pt idx="3">
                  <c:v>3.2718893125193028E-2</c:v>
                </c:pt>
                <c:pt idx="4">
                  <c:v>3.3000000000000002E-2</c:v>
                </c:pt>
              </c:numCache>
            </c:numRef>
          </c:val>
          <c:smooth val="0"/>
          <c:extLst>
            <c:ext xmlns:c16="http://schemas.microsoft.com/office/drawing/2014/chart" uri="{C3380CC4-5D6E-409C-BE32-E72D297353CC}">
              <c16:uniqueId val="{00000002-5A0A-4278-998D-09E5854F2EAD}"/>
            </c:ext>
          </c:extLst>
        </c:ser>
        <c:ser>
          <c:idx val="2"/>
          <c:order val="2"/>
          <c:tx>
            <c:strRef>
              <c:f>Participation!$AK$40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Participation!$AR$40:$AV$40</c:f>
              <c:numCache>
                <c:formatCode>0.0%</c:formatCode>
                <c:ptCount val="5"/>
                <c:pt idx="0">
                  <c:v>1.6052284584073841E-2</c:v>
                </c:pt>
                <c:pt idx="1">
                  <c:v>8.390498327569591E-3</c:v>
                </c:pt>
                <c:pt idx="2">
                  <c:v>1.4830337712581609E-2</c:v>
                </c:pt>
                <c:pt idx="3">
                  <c:v>1.1684378865553117E-2</c:v>
                </c:pt>
                <c:pt idx="4">
                  <c:v>1.4980752265618734E-2</c:v>
                </c:pt>
              </c:numCache>
            </c:numRef>
          </c:val>
          <c:smooth val="0"/>
          <c:extLst>
            <c:ext xmlns:c16="http://schemas.microsoft.com/office/drawing/2014/chart" uri="{C3380CC4-5D6E-409C-BE32-E72D297353CC}">
              <c16:uniqueId val="{00000003-5A0A-4278-998D-09E5854F2EAD}"/>
            </c:ext>
          </c:extLst>
        </c:ser>
        <c:ser>
          <c:idx val="5"/>
          <c:order val="3"/>
          <c:tx>
            <c:strRef>
              <c:f>Participation!$AK$41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Participation!$AR$41:$AV$41</c:f>
              <c:numCache>
                <c:formatCode>0.0%</c:formatCode>
                <c:ptCount val="5"/>
                <c:pt idx="0">
                  <c:v>3.7895534642834586E-2</c:v>
                </c:pt>
                <c:pt idx="1">
                  <c:v>4.3635075516053203E-2</c:v>
                </c:pt>
                <c:pt idx="2">
                  <c:v>3.9094908862350723E-2</c:v>
                </c:pt>
                <c:pt idx="3">
                  <c:v>4.1599500156201188E-2</c:v>
                </c:pt>
                <c:pt idx="4">
                  <c:v>4.1921662669864114E-2</c:v>
                </c:pt>
              </c:numCache>
            </c:numRef>
          </c:val>
          <c:smooth val="0"/>
          <c:extLst>
            <c:ext xmlns:c16="http://schemas.microsoft.com/office/drawing/2014/chart" uri="{C3380CC4-5D6E-409C-BE32-E72D297353CC}">
              <c16:uniqueId val="{00000004-5A0A-4278-998D-09E5854F2EAD}"/>
            </c:ext>
          </c:extLst>
        </c:ser>
        <c:ser>
          <c:idx val="9"/>
          <c:order val="4"/>
          <c:tx>
            <c:strRef>
              <c:f>Participation!$AK$42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Participation!$AR$42:$AV$42</c:f>
              <c:numCache>
                <c:formatCode>0.0%</c:formatCode>
                <c:ptCount val="5"/>
                <c:pt idx="0">
                  <c:v>1.7708320433915768E-2</c:v>
                </c:pt>
                <c:pt idx="1">
                  <c:v>1.7371101132793221E-2</c:v>
                </c:pt>
                <c:pt idx="2">
                  <c:v>2.2740490868907757E-2</c:v>
                </c:pt>
                <c:pt idx="3">
                  <c:v>2.3430019583396276E-2</c:v>
                </c:pt>
                <c:pt idx="4">
                  <c:v>3.0007976601967561E-2</c:v>
                </c:pt>
              </c:numCache>
            </c:numRef>
          </c:val>
          <c:smooth val="0"/>
          <c:extLst>
            <c:ext xmlns:c16="http://schemas.microsoft.com/office/drawing/2014/chart" uri="{C3380CC4-5D6E-409C-BE32-E72D297353CC}">
              <c16:uniqueId val="{00000005-5A0A-4278-998D-09E5854F2EAD}"/>
            </c:ext>
          </c:extLst>
        </c:ser>
        <c:ser>
          <c:idx val="10"/>
          <c:order val="5"/>
          <c:tx>
            <c:strRef>
              <c:f>Participation!$AK$43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Participation!$AR$43:$AV$43</c:f>
              <c:numCache>
                <c:formatCode>0.0%</c:formatCode>
                <c:ptCount val="5"/>
                <c:pt idx="0">
                  <c:v>2.4798839203271337E-2</c:v>
                </c:pt>
                <c:pt idx="1">
                  <c:v>1.7195056421278884E-2</c:v>
                </c:pt>
                <c:pt idx="2">
                  <c:v>1.652262328418912E-2</c:v>
                </c:pt>
                <c:pt idx="3">
                  <c:v>1.8048795894872901E-2</c:v>
                </c:pt>
                <c:pt idx="4">
                  <c:v>3.6837818181818187E-2</c:v>
                </c:pt>
              </c:numCache>
            </c:numRef>
          </c:val>
          <c:smooth val="0"/>
          <c:extLst>
            <c:ext xmlns:c16="http://schemas.microsoft.com/office/drawing/2014/chart" uri="{C3380CC4-5D6E-409C-BE32-E72D297353CC}">
              <c16:uniqueId val="{00000006-5A0A-4278-998D-09E5854F2EAD}"/>
            </c:ext>
          </c:extLst>
        </c:ser>
        <c:ser>
          <c:idx val="11"/>
          <c:order val="6"/>
          <c:tx>
            <c:strRef>
              <c:f>Participation!$AK$44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Participation!$AR$44:$AV$44</c:f>
              <c:numCache>
                <c:formatCode>0.0%</c:formatCode>
                <c:ptCount val="5"/>
                <c:pt idx="0">
                  <c:v>2.7902919595669352E-2</c:v>
                </c:pt>
                <c:pt idx="1">
                  <c:v>3.2897319860310373E-2</c:v>
                </c:pt>
                <c:pt idx="2">
                  <c:v>2.9879470264371807E-2</c:v>
                </c:pt>
                <c:pt idx="3">
                  <c:v>2.9403164547290011E-2</c:v>
                </c:pt>
                <c:pt idx="4">
                  <c:v>3.3018347818453163E-2</c:v>
                </c:pt>
              </c:numCache>
            </c:numRef>
          </c:val>
          <c:smooth val="0"/>
          <c:extLst>
            <c:ext xmlns:c16="http://schemas.microsoft.com/office/drawing/2014/chart" uri="{C3380CC4-5D6E-409C-BE32-E72D297353CC}">
              <c16:uniqueId val="{00000007-5A0A-4278-998D-09E5854F2EAD}"/>
            </c:ext>
          </c:extLst>
        </c:ser>
        <c:ser>
          <c:idx val="12"/>
          <c:order val="7"/>
          <c:tx>
            <c:strRef>
              <c:f>Participation!$AK$45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Participation!$AR$45:$AV$45</c:f>
              <c:numCache>
                <c:formatCode>0.0%</c:formatCode>
                <c:ptCount val="5"/>
                <c:pt idx="0">
                  <c:v>2.8056951423785597E-2</c:v>
                </c:pt>
                <c:pt idx="1">
                  <c:v>2.9494307651575326E-2</c:v>
                </c:pt>
                <c:pt idx="2">
                  <c:v>3.397114499130257E-2</c:v>
                </c:pt>
                <c:pt idx="3">
                  <c:v>3.0584334587683993E-2</c:v>
                </c:pt>
                <c:pt idx="4">
                  <c:v>2.9608752354731194E-2</c:v>
                </c:pt>
              </c:numCache>
            </c:numRef>
          </c:val>
          <c:smooth val="0"/>
          <c:extLst>
            <c:ext xmlns:c16="http://schemas.microsoft.com/office/drawing/2014/chart" uri="{C3380CC4-5D6E-409C-BE32-E72D297353CC}">
              <c16:uniqueId val="{00000008-5A0A-4278-998D-09E5854F2EAD}"/>
            </c:ext>
          </c:extLst>
        </c:ser>
        <c:ser>
          <c:idx val="13"/>
          <c:order val="8"/>
          <c:tx>
            <c:strRef>
              <c:f>Participation!$AK$46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Participation!$AR$46:$AV$46</c:f>
              <c:numCache>
                <c:formatCode>0.0%</c:formatCode>
                <c:ptCount val="5"/>
                <c:pt idx="0">
                  <c:v>3.3107101473266017E-2</c:v>
                </c:pt>
                <c:pt idx="1">
                  <c:v>3.2698276784758645E-2</c:v>
                </c:pt>
                <c:pt idx="2">
                  <c:v>3.1424227065382664E-2</c:v>
                </c:pt>
                <c:pt idx="3">
                  <c:v>2.4505731775299581E-2</c:v>
                </c:pt>
                <c:pt idx="4">
                  <c:v>1.9913212629058808E-2</c:v>
                </c:pt>
              </c:numCache>
            </c:numRef>
          </c:val>
          <c:smooth val="0"/>
          <c:extLst>
            <c:ext xmlns:c16="http://schemas.microsoft.com/office/drawing/2014/chart" uri="{C3380CC4-5D6E-409C-BE32-E72D297353CC}">
              <c16:uniqueId val="{00000009-5A0A-4278-998D-09E5854F2EAD}"/>
            </c:ext>
          </c:extLst>
        </c:ser>
        <c:ser>
          <c:idx val="15"/>
          <c:order val="9"/>
          <c:tx>
            <c:strRef>
              <c:f>Participation!$AK$47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Participation!$AR$47:$AV$47</c:f>
              <c:numCache>
                <c:formatCode>0.0%</c:formatCode>
                <c:ptCount val="5"/>
                <c:pt idx="0">
                  <c:v>1.6412818653128106E-2</c:v>
                </c:pt>
                <c:pt idx="1">
                  <c:v>1.5651991833743391E-2</c:v>
                </c:pt>
                <c:pt idx="2">
                  <c:v>2.4867724867724868E-2</c:v>
                </c:pt>
                <c:pt idx="3">
                  <c:v>1.7502617971587614E-2</c:v>
                </c:pt>
                <c:pt idx="4">
                  <c:v>1.8001288844336247E-2</c:v>
                </c:pt>
              </c:numCache>
            </c:numRef>
          </c:val>
          <c:smooth val="0"/>
          <c:extLst>
            <c:ext xmlns:c16="http://schemas.microsoft.com/office/drawing/2014/chart" uri="{C3380CC4-5D6E-409C-BE32-E72D297353CC}">
              <c16:uniqueId val="{0000000A-5A0A-4278-998D-09E5854F2EAD}"/>
            </c:ext>
          </c:extLst>
        </c:ser>
        <c:ser>
          <c:idx val="16"/>
          <c:order val="10"/>
          <c:tx>
            <c:strRef>
              <c:f>Participation!$AK$48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Participation!$AR$48:$AV$48</c:f>
              <c:numCache>
                <c:formatCode>0.0%</c:formatCode>
                <c:ptCount val="5"/>
                <c:pt idx="0">
                  <c:v>3.774464119291706E-2</c:v>
                </c:pt>
                <c:pt idx="1">
                  <c:v>4.1718919822757293E-2</c:v>
                </c:pt>
                <c:pt idx="2">
                  <c:v>4.4291338582677163E-2</c:v>
                </c:pt>
                <c:pt idx="3">
                  <c:v>3.8169535323927362E-2</c:v>
                </c:pt>
                <c:pt idx="4">
                  <c:v>3.8485416666666668E-2</c:v>
                </c:pt>
              </c:numCache>
            </c:numRef>
          </c:val>
          <c:smooth val="0"/>
          <c:extLst>
            <c:ext xmlns:c16="http://schemas.microsoft.com/office/drawing/2014/chart" uri="{C3380CC4-5D6E-409C-BE32-E72D297353CC}">
              <c16:uniqueId val="{0000000B-5A0A-4278-998D-09E5854F2EAD}"/>
            </c:ext>
          </c:extLst>
        </c:ser>
        <c:ser>
          <c:idx val="17"/>
          <c:order val="11"/>
          <c:tx>
            <c:strRef>
              <c:f>Participation!$AK$49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Participation!$AR$49:$AV$49</c:f>
              <c:numCache>
                <c:formatCode>0.0%</c:formatCode>
                <c:ptCount val="5"/>
                <c:pt idx="0">
                  <c:v>4.1769871650529158E-2</c:v>
                </c:pt>
                <c:pt idx="1">
                  <c:v>1.6166537482006423E-2</c:v>
                </c:pt>
                <c:pt idx="2">
                  <c:v>3.0869382612347753E-2</c:v>
                </c:pt>
                <c:pt idx="3">
                  <c:v>2.1353869998859635E-2</c:v>
                </c:pt>
                <c:pt idx="4">
                  <c:v>2.7515850144092215E-2</c:v>
                </c:pt>
              </c:numCache>
            </c:numRef>
          </c:val>
          <c:smooth val="0"/>
          <c:extLst>
            <c:ext xmlns:c16="http://schemas.microsoft.com/office/drawing/2014/chart" uri="{C3380CC4-5D6E-409C-BE32-E72D297353CC}">
              <c16:uniqueId val="{0000000C-5A0A-4278-998D-09E5854F2EAD}"/>
            </c:ext>
          </c:extLst>
        </c:ser>
        <c:ser>
          <c:idx val="19"/>
          <c:order val="12"/>
          <c:tx>
            <c:strRef>
              <c:f>Participation!$AK$50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Participation!$AR$50:$AV$50</c:f>
              <c:numCache>
                <c:formatCode>0.0%</c:formatCode>
                <c:ptCount val="5"/>
                <c:pt idx="0">
                  <c:v>3.1236015394254007E-2</c:v>
                </c:pt>
                <c:pt idx="1">
                  <c:v>3.2054021711257374E-2</c:v>
                </c:pt>
                <c:pt idx="2">
                  <c:v>3.6967632027257238E-2</c:v>
                </c:pt>
                <c:pt idx="3">
                  <c:v>2.2601020818489626E-2</c:v>
                </c:pt>
                <c:pt idx="4">
                  <c:v>2.6000000000000002E-2</c:v>
                </c:pt>
              </c:numCache>
            </c:numRef>
          </c:val>
          <c:smooth val="0"/>
          <c:extLst>
            <c:ext xmlns:c16="http://schemas.microsoft.com/office/drawing/2014/chart" uri="{C3380CC4-5D6E-409C-BE32-E72D297353CC}">
              <c16:uniqueId val="{0000000D-5A0A-4278-998D-09E5854F2EAD}"/>
            </c:ext>
          </c:extLst>
        </c:ser>
        <c:ser>
          <c:idx val="20"/>
          <c:order val="13"/>
          <c:tx>
            <c:strRef>
              <c:f>Participation!$AK$51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Participation!$AR$51:$AV$51</c:f>
              <c:numCache>
                <c:formatCode>0.0%</c:formatCode>
                <c:ptCount val="5"/>
                <c:pt idx="0">
                  <c:v>4.3210358006395756E-2</c:v>
                </c:pt>
                <c:pt idx="1">
                  <c:v>4.184386391251519E-2</c:v>
                </c:pt>
                <c:pt idx="2">
                  <c:v>4.4407522090476548E-2</c:v>
                </c:pt>
                <c:pt idx="3">
                  <c:v>3.9574741933973479E-2</c:v>
                </c:pt>
                <c:pt idx="4">
                  <c:v>4.1016542263465801E-2</c:v>
                </c:pt>
              </c:numCache>
            </c:numRef>
          </c:val>
          <c:smooth val="0"/>
          <c:extLst>
            <c:ext xmlns:c16="http://schemas.microsoft.com/office/drawing/2014/chart" uri="{C3380CC4-5D6E-409C-BE32-E72D297353CC}">
              <c16:uniqueId val="{0000000F-5A0A-4278-998D-09E5854F2EAD}"/>
            </c:ext>
          </c:extLst>
        </c:ser>
        <c:ser>
          <c:idx val="22"/>
          <c:order val="14"/>
          <c:tx>
            <c:strRef>
              <c:f>Participation!$AK$52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Participation!$AR$52:$AV$52</c:f>
              <c:numCache>
                <c:formatCode>0.0%</c:formatCode>
                <c:ptCount val="5"/>
                <c:pt idx="0">
                  <c:v>1.4314544515886795E-2</c:v>
                </c:pt>
                <c:pt idx="1">
                  <c:v>1.5025041736227046E-2</c:v>
                </c:pt>
                <c:pt idx="2">
                  <c:v>1.4001473839351511E-2</c:v>
                </c:pt>
                <c:pt idx="3">
                  <c:v>1.2252995235482676E-2</c:v>
                </c:pt>
                <c:pt idx="4">
                  <c:v>8.9131879711437153E-3</c:v>
                </c:pt>
              </c:numCache>
            </c:numRef>
          </c:val>
          <c:smooth val="0"/>
          <c:extLst>
            <c:ext xmlns:c16="http://schemas.microsoft.com/office/drawing/2014/chart" uri="{C3380CC4-5D6E-409C-BE32-E72D297353CC}">
              <c16:uniqueId val="{00000010-5A0A-4278-998D-09E5854F2EAD}"/>
            </c:ext>
          </c:extLst>
        </c:ser>
        <c:ser>
          <c:idx val="23"/>
          <c:order val="15"/>
          <c:tx>
            <c:strRef>
              <c:f>Participation!$AK$53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Participation!$AR$53:$AV$53</c:f>
              <c:numCache>
                <c:formatCode>0.0%</c:formatCode>
                <c:ptCount val="5"/>
                <c:pt idx="0">
                  <c:v>1.1203618049131463E-2</c:v>
                </c:pt>
                <c:pt idx="1">
                  <c:v>1.5932706580900544E-2</c:v>
                </c:pt>
                <c:pt idx="2">
                  <c:v>2.0675064910087509E-2</c:v>
                </c:pt>
                <c:pt idx="3">
                  <c:v>1.748583920463137E-2</c:v>
                </c:pt>
                <c:pt idx="4">
                  <c:v>1.9038328530259368E-2</c:v>
                </c:pt>
              </c:numCache>
            </c:numRef>
          </c:val>
          <c:smooth val="0"/>
          <c:extLst>
            <c:ext xmlns:c16="http://schemas.microsoft.com/office/drawing/2014/chart" uri="{C3380CC4-5D6E-409C-BE32-E72D297353CC}">
              <c16:uniqueId val="{00000013-5A0A-4278-998D-09E5854F2EAD}"/>
            </c:ext>
          </c:extLst>
        </c:ser>
        <c:ser>
          <c:idx val="24"/>
          <c:order val="16"/>
          <c:tx>
            <c:strRef>
              <c:f>Participation!$AK$54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Participation!$AR$54:$AV$54</c:f>
              <c:numCache>
                <c:formatCode>0.0%</c:formatCode>
                <c:ptCount val="5"/>
                <c:pt idx="0">
                  <c:v>2.3858730126250741E-2</c:v>
                </c:pt>
                <c:pt idx="1">
                  <c:v>2.2844317976875139E-2</c:v>
                </c:pt>
                <c:pt idx="2">
                  <c:v>2.2083607764131572E-2</c:v>
                </c:pt>
                <c:pt idx="3">
                  <c:v>2.207628396320176E-2</c:v>
                </c:pt>
                <c:pt idx="4">
                  <c:v>1.9998818385915159E-2</c:v>
                </c:pt>
              </c:numCache>
            </c:numRef>
          </c:val>
          <c:smooth val="0"/>
          <c:extLst>
            <c:ext xmlns:c16="http://schemas.microsoft.com/office/drawing/2014/chart" uri="{C3380CC4-5D6E-409C-BE32-E72D297353CC}">
              <c16:uniqueId val="{00000014-5A0A-4278-998D-09E5854F2EAD}"/>
            </c:ext>
          </c:extLst>
        </c:ser>
        <c:ser>
          <c:idx val="25"/>
          <c:order val="17"/>
          <c:tx>
            <c:strRef>
              <c:f>Participation!$AK$55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Participation!$AR$55:$AV$55</c:f>
              <c:numCache>
                <c:formatCode>0.0%</c:formatCode>
                <c:ptCount val="5"/>
                <c:pt idx="0">
                  <c:v>1.1263073209975865E-2</c:v>
                </c:pt>
                <c:pt idx="1">
                  <c:v>1.4588557100524277E-2</c:v>
                </c:pt>
                <c:pt idx="2">
                  <c:v>1.4975220857573799E-2</c:v>
                </c:pt>
                <c:pt idx="3">
                  <c:v>6.6882421142158985E-3</c:v>
                </c:pt>
                <c:pt idx="4">
                  <c:v>1.1031976744186047E-2</c:v>
                </c:pt>
              </c:numCache>
            </c:numRef>
          </c:val>
          <c:smooth val="0"/>
          <c:extLst>
            <c:ext xmlns:c16="http://schemas.microsoft.com/office/drawing/2014/chart" uri="{C3380CC4-5D6E-409C-BE32-E72D297353CC}">
              <c16:uniqueId val="{00000015-5A0A-4278-998D-09E5854F2EAD}"/>
            </c:ext>
          </c:extLst>
        </c:ser>
        <c:ser>
          <c:idx val="26"/>
          <c:order val="18"/>
          <c:tx>
            <c:strRef>
              <c:f>Participation!$AK$56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Participation!$AR$56:$AV$56</c:f>
              <c:numCache>
                <c:formatCode>0.0%</c:formatCode>
                <c:ptCount val="5"/>
                <c:pt idx="0">
                  <c:v>1.1275615256397685E-2</c:v>
                </c:pt>
                <c:pt idx="1">
                  <c:v>1.583887368009386E-2</c:v>
                </c:pt>
                <c:pt idx="2">
                  <c:v>2.0872357506020872E-2</c:v>
                </c:pt>
                <c:pt idx="3">
                  <c:v>1.7180188093856689E-2</c:v>
                </c:pt>
                <c:pt idx="4">
                  <c:v>1.998483699772555E-2</c:v>
                </c:pt>
              </c:numCache>
            </c:numRef>
          </c:val>
          <c:smooth val="0"/>
          <c:extLst>
            <c:ext xmlns:c16="http://schemas.microsoft.com/office/drawing/2014/chart" uri="{C3380CC4-5D6E-409C-BE32-E72D297353CC}">
              <c16:uniqueId val="{00000016-5A0A-4278-998D-09E5854F2EAD}"/>
            </c:ext>
          </c:extLst>
        </c:ser>
        <c:ser>
          <c:idx val="4"/>
          <c:order val="19"/>
          <c:tx>
            <c:strRef>
              <c:f>Participation!$AK$57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Participation!$Y$2:$AC$3</c:f>
              <c:strCache>
                <c:ptCount val="5"/>
                <c:pt idx="0">
                  <c:v>2019/20</c:v>
                </c:pt>
                <c:pt idx="1">
                  <c:v>2020/21</c:v>
                </c:pt>
                <c:pt idx="2">
                  <c:v>2021/22</c:v>
                </c:pt>
                <c:pt idx="3">
                  <c:v>2022/23</c:v>
                </c:pt>
                <c:pt idx="4">
                  <c:v>2023/24</c:v>
                </c:pt>
              </c:strCache>
            </c:strRef>
          </c:cat>
          <c:val>
            <c:numRef>
              <c:f>Participation!$AR$57:$AV$57</c:f>
              <c:numCache>
                <c:formatCode>0.0%</c:formatCode>
                <c:ptCount val="5"/>
                <c:pt idx="0">
                  <c:v>2.3514250179616232E-2</c:v>
                </c:pt>
                <c:pt idx="1">
                  <c:v>2.4099729141689979E-2</c:v>
                </c:pt>
                <c:pt idx="2">
                  <c:v>2.5414419634763256E-2</c:v>
                </c:pt>
                <c:pt idx="3">
                  <c:v>2.3277829125961727E-2</c:v>
                </c:pt>
                <c:pt idx="4">
                  <c:v>2.4948220577781646E-2</c:v>
                </c:pt>
              </c:numCache>
            </c:numRef>
          </c:val>
          <c:smooth val="0"/>
          <c:extLst>
            <c:ext xmlns:c16="http://schemas.microsoft.com/office/drawing/2014/chart" uri="{C3380CC4-5D6E-409C-BE32-E72D297353CC}">
              <c16:uniqueId val="{00000017-5A0A-4278-998D-09E5854F2EAD}"/>
            </c:ext>
          </c:extLst>
        </c:ser>
        <c:ser>
          <c:idx val="14"/>
          <c:order val="20"/>
          <c:tx>
            <c:strRef>
              <c:f>Participation!$AK$58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Participation!$Y$2:$AC$3</c:f>
              <c:strCache>
                <c:ptCount val="5"/>
                <c:pt idx="0">
                  <c:v>2019/20</c:v>
                </c:pt>
                <c:pt idx="1">
                  <c:v>2020/21</c:v>
                </c:pt>
                <c:pt idx="2">
                  <c:v>2021/22</c:v>
                </c:pt>
                <c:pt idx="3">
                  <c:v>2022/23</c:v>
                </c:pt>
                <c:pt idx="4">
                  <c:v>2023/24</c:v>
                </c:pt>
              </c:strCache>
            </c:strRef>
          </c:cat>
          <c:val>
            <c:numRef>
              <c:f>Participation!$AR$58:$AV$58</c:f>
              <c:numCache>
                <c:formatCode>0.0%</c:formatCode>
                <c:ptCount val="5"/>
                <c:pt idx="0">
                  <c:v>2.6494770804192887E-2</c:v>
                </c:pt>
                <c:pt idx="1">
                  <c:v>2.6866409857325874E-2</c:v>
                </c:pt>
                <c:pt idx="2">
                  <c:v>2.8199705130636608E-2</c:v>
                </c:pt>
                <c:pt idx="3">
                  <c:v>2.632176183182457E-2</c:v>
                </c:pt>
                <c:pt idx="4">
                  <c:v>2.7933643292756723E-2</c:v>
                </c:pt>
              </c:numCache>
            </c:numRef>
          </c:val>
          <c:smooth val="0"/>
          <c:extLst>
            <c:ext xmlns:c16="http://schemas.microsoft.com/office/drawing/2014/chart" uri="{C3380CC4-5D6E-409C-BE32-E72D297353CC}">
              <c16:uniqueId val="{00000018-5A0A-4278-998D-09E5854F2EAD}"/>
            </c:ext>
          </c:extLst>
        </c:ser>
        <c:ser>
          <c:idx val="6"/>
          <c:order val="21"/>
          <c:tx>
            <c:strRef>
              <c:f>Participation!$AK$59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Participation!$Y$2:$AC$3</c:f>
              <c:strCache>
                <c:ptCount val="5"/>
                <c:pt idx="0">
                  <c:v>2019/20</c:v>
                </c:pt>
                <c:pt idx="1">
                  <c:v>2020/21</c:v>
                </c:pt>
                <c:pt idx="2">
                  <c:v>2021/22</c:v>
                </c:pt>
                <c:pt idx="3">
                  <c:v>2022/23</c:v>
                </c:pt>
                <c:pt idx="4">
                  <c:v>2023/24</c:v>
                </c:pt>
              </c:strCache>
            </c:strRef>
          </c:cat>
          <c:val>
            <c:numRef>
              <c:f>Participation!$AR$59:$AV$59</c:f>
              <c:numCache>
                <c:formatCode>0.0%</c:formatCode>
                <c:ptCount val="5"/>
                <c:pt idx="0">
                  <c:v>#N/A</c:v>
                </c:pt>
                <c:pt idx="1">
                  <c:v>#N/A</c:v>
                </c:pt>
                <c:pt idx="2">
                  <c:v>#N/A</c:v>
                </c:pt>
                <c:pt idx="3">
                  <c:v>#N/A</c:v>
                </c:pt>
                <c:pt idx="4" formatCode="0%">
                  <c:v>#N/A</c:v>
                </c:pt>
              </c:numCache>
            </c:numRef>
          </c:val>
          <c:smooth val="0"/>
          <c:extLst>
            <c:ext xmlns:c16="http://schemas.microsoft.com/office/drawing/2014/chart" uri="{C3380CC4-5D6E-409C-BE32-E72D297353CC}">
              <c16:uniqueId val="{00000019-5A0A-4278-998D-09E5854F2EAD}"/>
            </c:ext>
          </c:extLst>
        </c:ser>
        <c:dLbls>
          <c:showLegendKey val="0"/>
          <c:showVal val="0"/>
          <c:showCatName val="0"/>
          <c:showSerName val="0"/>
          <c:showPercent val="0"/>
          <c:showBubbleSize val="0"/>
        </c:dLbls>
        <c:marker val="1"/>
        <c:smooth val="0"/>
        <c:axId val="674006912"/>
        <c:axId val="674008448"/>
      </c:lineChart>
      <c:catAx>
        <c:axId val="674006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74008448"/>
        <c:crosses val="autoZero"/>
        <c:auto val="1"/>
        <c:lblAlgn val="ctr"/>
        <c:lblOffset val="100"/>
        <c:tickLblSkip val="1"/>
        <c:tickMarkSkip val="1"/>
        <c:noMultiLvlLbl val="0"/>
      </c:catAx>
      <c:valAx>
        <c:axId val="674008448"/>
        <c:scaling>
          <c:orientation val="minMax"/>
        </c:scaling>
        <c:delete val="0"/>
        <c:axPos val="l"/>
        <c:majorGridlines>
          <c:spPr>
            <a:ln w="12700">
              <a:solidFill>
                <a:schemeClr val="bg1">
                  <a:lumMod val="75000"/>
                </a:schemeClr>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74006912"/>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7109092691214423"/>
          <c:y val="7.5190870500600387E-2"/>
          <c:w val="0.31566325129860862"/>
          <c:h val="0.91248848723265574"/>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Proportion of Young People aged 16-17 who are EET vs. IDACI</a:t>
            </a:r>
          </a:p>
        </c:rich>
      </c:tx>
      <c:layout>
        <c:manualLayout>
          <c:xMode val="edge"/>
          <c:yMode val="edge"/>
          <c:x val="0.11969403945847396"/>
          <c:y val="1.1833379651073027E-2"/>
        </c:manualLayout>
      </c:layout>
      <c:overlay val="0"/>
      <c:spPr>
        <a:noFill/>
        <a:ln w="25400">
          <a:noFill/>
        </a:ln>
      </c:spPr>
    </c:title>
    <c:autoTitleDeleted val="0"/>
    <c:plotArea>
      <c:layout>
        <c:manualLayout>
          <c:layoutTarget val="inner"/>
          <c:xMode val="edge"/>
          <c:yMode val="edge"/>
          <c:x val="0.19433920759905013"/>
          <c:y val="0.10979916766605345"/>
          <c:w val="0.69455118110236225"/>
          <c:h val="0.7425640385641078"/>
        </c:manualLayout>
      </c:layout>
      <c:scatterChart>
        <c:scatterStyle val="smoothMarker"/>
        <c:varyColors val="0"/>
        <c:ser>
          <c:idx val="5"/>
          <c:order val="4"/>
          <c:tx>
            <c:strRef>
              <c:f>Participation!$X$38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9107-4EFD-A48E-DA2424BF7B7B}"/>
                </c:ext>
              </c:extLst>
            </c:dLbl>
            <c:dLbl>
              <c:idx val="1"/>
              <c:layout>
                <c:manualLayout>
                  <c:x val="-5.8479532163742798E-2"/>
                  <c:y val="-1.8099547511312271E-2"/>
                </c:manualLayout>
              </c:layout>
              <c:tx>
                <c:strRef>
                  <c:f>Participation!$AC$39</c:f>
                  <c:strCache>
                    <c:ptCount val="1"/>
                    <c:pt idx="0">
                      <c:v>r² = 0.281</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{E54AACCD-EABE-4C46-A440-18563EB36D2B}</c15:txfldGUID>
                      <c15:f>Participation!$AC$39</c15:f>
                      <c15:dlblFieldTableCache>
                        <c:ptCount val="1"/>
                        <c:pt idx="0">
                          <c:v>r² = 0.281</c:v>
                        </c:pt>
                      </c15:dlblFieldTableCache>
                    </c15:dlblFTEntry>
                  </c15:dlblFieldTable>
                  <c15:showDataLabelsRange val="0"/>
                </c:ext>
                <c:ext xmlns:c16="http://schemas.microsoft.com/office/drawing/2014/chart" uri="{C3380CC4-5D6E-409C-BE32-E72D297353CC}">
                  <c16:uniqueId val="{00000001-9107-4EFD-A48E-DA2424BF7B7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Participation!$AA$38:$AA$39</c:f>
              <c:numCache>
                <c:formatCode>General</c:formatCode>
                <c:ptCount val="2"/>
                <c:pt idx="0" formatCode="#,##0.0">
                  <c:v>5</c:v>
                </c:pt>
                <c:pt idx="1">
                  <c:v>35</c:v>
                </c:pt>
              </c:numCache>
            </c:numRef>
          </c:xVal>
          <c:yVal>
            <c:numRef>
              <c:f>Participation!$AB$38:$AB$39</c:f>
              <c:numCache>
                <c:formatCode>0.0</c:formatCode>
                <c:ptCount val="2"/>
                <c:pt idx="0">
                  <c:v>0.9354058972641669</c:v>
                </c:pt>
                <c:pt idx="1">
                  <c:v>0.86094584071611702</c:v>
                </c:pt>
              </c:numCache>
            </c:numRef>
          </c:yVal>
          <c:smooth val="1"/>
          <c:extLst>
            <c:ext xmlns:c16="http://schemas.microsoft.com/office/drawing/2014/chart" uri="{C3380CC4-5D6E-409C-BE32-E72D297353CC}">
              <c16:uniqueId val="{00000002-9107-4EFD-A48E-DA2424BF7B7B}"/>
            </c:ext>
          </c:extLst>
        </c:ser>
        <c:dLbls>
          <c:showLegendKey val="0"/>
          <c:showVal val="0"/>
          <c:showCatName val="0"/>
          <c:showSerName val="0"/>
          <c:showPercent val="0"/>
          <c:showBubbleSize val="0"/>
        </c:dLbls>
        <c:axId val="674138368"/>
        <c:axId val="674189696"/>
      </c:scatterChart>
      <c:scatterChart>
        <c:scatterStyle val="lineMarker"/>
        <c:varyColors val="0"/>
        <c:ser>
          <c:idx val="0"/>
          <c:order val="0"/>
          <c:tx>
            <c:strRef>
              <c:f>Participation!$AQ$35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9107-4EFD-A48E-DA2424BF7B7B}"/>
              </c:ext>
            </c:extLst>
          </c:dPt>
          <c:dLbls>
            <c:dLbl>
              <c:idx val="0"/>
              <c:tx>
                <c:strRef>
                  <c:f>ReportData!$K$4</c:f>
                  <c:strCache>
                    <c:ptCount val="1"/>
                    <c:pt idx="0">
                      <c:v>Bracknell Forest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{1ACFF62C-D4AF-4A90-B3B8-8E31D614A9D7}</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9107-4EFD-A48E-DA2424BF7B7B}"/>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{50328F5D-074B-4AB9-8168-B2E4ADAC4DCA}</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9107-4EFD-A48E-DA2424BF7B7B}"/>
                </c:ext>
              </c:extLst>
            </c:dLbl>
            <c:dLbl>
              <c:idx val="2"/>
              <c:tx>
                <c:strRef>
                  <c:f>ReportData!$K$6</c:f>
                  <c:strCache>
                    <c:ptCount val="1"/>
                    <c:pt idx="0">
                      <c:v>Buckinghamshire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{3A0E4C0A-346E-41E1-9DD7-7E0717EC7A58}</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9107-4EFD-A48E-DA2424BF7B7B}"/>
                </c:ext>
              </c:extLst>
            </c:dLbl>
            <c:dLbl>
              <c:idx val="3"/>
              <c:tx>
                <c:strRef>
                  <c:f>ReportData!$K$7</c:f>
                  <c:strCache>
                    <c:ptCount val="1"/>
                    <c:pt idx="0">
                      <c:v>East Sussex</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{CD9382B5-A656-4B85-943F-57D81371E2D5}</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9107-4EFD-A48E-DA2424BF7B7B}"/>
                </c:ext>
              </c:extLst>
            </c:dLbl>
            <c:dLbl>
              <c:idx val="4"/>
              <c:tx>
                <c:strRef>
                  <c:f>ReportData!$K$8</c:f>
                  <c:strCache>
                    <c:ptCount val="1"/>
                    <c:pt idx="0">
                      <c:v>Hampshire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{7F81D2D4-CE4C-404C-8CEF-967B86F16EFC}</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8-9107-4EFD-A48E-DA2424BF7B7B}"/>
                </c:ext>
              </c:extLst>
            </c:dLbl>
            <c:dLbl>
              <c:idx val="5"/>
              <c:tx>
                <c:strRef>
                  <c:f>ReportData!$K$9</c:f>
                  <c:strCache>
                    <c:ptCount val="1"/>
                    <c:pt idx="0">
                      <c:v>Isle of Wight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{B9048DCF-7C80-426A-BBAD-2DFF7BA207ED}</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9107-4EFD-A48E-DA2424BF7B7B}"/>
                </c:ext>
              </c:extLst>
            </c:dLbl>
            <c:dLbl>
              <c:idx val="6"/>
              <c:tx>
                <c:strRef>
                  <c:f>ReportData!$K$10</c:f>
                  <c:strCache>
                    <c:ptCount val="1"/>
                    <c:pt idx="0">
                      <c:v>Kent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{3B5077F3-D76D-4C60-B6C5-F65E6926D709}</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A-9107-4EFD-A48E-DA2424BF7B7B}"/>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{8BAFE9E5-7BC9-4E15-B989-4FEDA4AA831D}</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B-9107-4EFD-A48E-DA2424BF7B7B}"/>
                </c:ext>
              </c:extLst>
            </c:dLbl>
            <c:dLbl>
              <c:idx val="8"/>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{1A460FAE-0FC6-48EF-96D3-812A80DB0D42}</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9107-4EFD-A48E-DA2424BF7B7B}"/>
                </c:ext>
              </c:extLst>
            </c:dLbl>
            <c:dLbl>
              <c:idx val="9"/>
              <c:tx>
                <c:strRef>
                  <c:f>ReportData!$K$13</c:f>
                  <c:strCache>
                    <c:ptCount val="1"/>
                    <c:pt idx="0">
                      <c:v>Oxfordshire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{63F93D33-7179-4D25-A14E-5AEC007B86ED}</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9107-4EFD-A48E-DA2424BF7B7B}"/>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{AC87F14B-1C10-4FA7-BE23-C160E94C621C}</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9107-4EFD-A48E-DA2424BF7B7B}"/>
                </c:ext>
              </c:extLst>
            </c:dLbl>
            <c:dLbl>
              <c:idx val="11"/>
              <c:tx>
                <c:strRef>
                  <c:f>ReportData!$K$15</c:f>
                  <c:strCache>
                    <c:ptCount val="1"/>
                    <c:pt idx="0">
                      <c:v>Reading</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{1E1B9813-63BC-4ECD-AEA2-60D3946397C4}</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F-9107-4EFD-A48E-DA2424BF7B7B}"/>
                </c:ext>
              </c:extLst>
            </c:dLbl>
            <c:dLbl>
              <c:idx val="12"/>
              <c:tx>
                <c:strRef>
                  <c:f>ReportData!$K$16</c:f>
                  <c:strCache>
                    <c:ptCount val="1"/>
                    <c:pt idx="0">
                      <c:v>Slough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{1E168492-AD39-4ECE-9F6D-E2B721D98778}</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10-9107-4EFD-A48E-DA2424BF7B7B}"/>
                </c:ext>
              </c:extLst>
            </c:dLbl>
            <c:dLbl>
              <c:idx val="13"/>
              <c:tx>
                <c:strRef>
                  <c:f>ReportData!$K$17</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{D33FB471-8498-4945-BFEF-7C8D2B085F68}</c15:txfldGUID>
                      <c15:f>ReportData!$K$17</c15:f>
                      <c15:dlblFieldTableCache>
                        <c:ptCount val="1"/>
                        <c:pt idx="0">
                          <c:v>Southampton</c:v>
                        </c:pt>
                      </c15:dlblFieldTableCache>
                    </c15:dlblFTEntry>
                  </c15:dlblFieldTable>
                  <c15:showDataLabelsRange val="0"/>
                </c:ext>
                <c:ext xmlns:c16="http://schemas.microsoft.com/office/drawing/2014/chart" uri="{C3380CC4-5D6E-409C-BE32-E72D297353CC}">
                  <c16:uniqueId val="{00000011-9107-4EFD-A48E-DA2424BF7B7B}"/>
                </c:ext>
              </c:extLst>
            </c:dLbl>
            <c:dLbl>
              <c:idx val="14"/>
              <c:tx>
                <c:strRef>
                  <c:f>ReportData!$K$18</c:f>
                  <c:strCache>
                    <c:ptCount val="1"/>
                    <c:pt idx="0">
                      <c:v>Surrey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{7FFD6037-B109-4802-A460-B8505E5767F7}</c15:txfldGUID>
                      <c15:f>ReportData!$K$18</c15:f>
                      <c15:dlblFieldTableCache>
                        <c:ptCount val="1"/>
                        <c:pt idx="0">
                          <c:v>Surrey</c:v>
                        </c:pt>
                      </c15:dlblFieldTableCache>
                    </c15:dlblFTEntry>
                  </c15:dlblFieldTable>
                  <c15:showDataLabelsRange val="0"/>
                </c:ext>
                <c:ext xmlns:c16="http://schemas.microsoft.com/office/drawing/2014/chart" uri="{C3380CC4-5D6E-409C-BE32-E72D297353CC}">
                  <c16:uniqueId val="{00000012-9107-4EFD-A48E-DA2424BF7B7B}"/>
                </c:ext>
              </c:extLst>
            </c:dLbl>
            <c:dLbl>
              <c:idx val="15"/>
              <c:tx>
                <c:strRef>
                  <c:f>ReportData!$K$19</c:f>
                  <c:strCache>
                    <c:ptCount val="1"/>
                    <c:pt idx="0">
                      <c:v>West Berkshire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{879ED5AE-5B9E-472D-AF84-8520E2810063}</c15:txfldGUID>
                      <c15:f>ReportData!$K$19</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9107-4EFD-A48E-DA2424BF7B7B}"/>
                </c:ext>
              </c:extLst>
            </c:dLbl>
            <c:dLbl>
              <c:idx val="16"/>
              <c:tx>
                <c:strRef>
                  <c:f>ReportData!$K$20</c:f>
                  <c:strCache>
                    <c:ptCount val="1"/>
                    <c:pt idx="0">
                      <c:v>West Sussex</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{9C54C84F-D20B-4A15-A595-0B5BB572D3B4}</c15:txfldGUID>
                      <c15:f>ReportData!$K$20</c15:f>
                      <c15:dlblFieldTableCache>
                        <c:ptCount val="1"/>
                        <c:pt idx="0">
                          <c:v>West Sussex</c:v>
                        </c:pt>
                      </c15:dlblFieldTableCache>
                    </c15:dlblFTEntry>
                  </c15:dlblFieldTable>
                  <c15:showDataLabelsRange val="0"/>
                </c:ext>
                <c:ext xmlns:c16="http://schemas.microsoft.com/office/drawing/2014/chart" uri="{C3380CC4-5D6E-409C-BE32-E72D297353CC}">
                  <c16:uniqueId val="{00000014-9107-4EFD-A48E-DA2424BF7B7B}"/>
                </c:ext>
              </c:extLst>
            </c:dLbl>
            <c:dLbl>
              <c:idx val="17"/>
              <c:tx>
                <c:strRef>
                  <c:f>ReportData!$K$21</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{D0830FC0-2E67-4363-9EEC-1BF458214266}</c15:txfldGUID>
                      <c15:f>ReportData!$K$21</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9107-4EFD-A48E-DA2424BF7B7B}"/>
                </c:ext>
              </c:extLst>
            </c:dLbl>
            <c:dLbl>
              <c:idx val="18"/>
              <c:tx>
                <c:strRef>
                  <c:f>ReportData!$K$22</c:f>
                  <c:strCache>
                    <c:ptCount val="1"/>
                    <c:pt idx="0">
                      <c:v>Wokingham</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{6E21E9B8-B4E5-47AF-978C-7ADB40CC763D}</c15:txfldGUID>
                      <c15:f>ReportData!$K$22</c15:f>
                      <c15:dlblFieldTableCache>
                        <c:ptCount val="1"/>
                        <c:pt idx="0">
                          <c:v>Wokingham</c:v>
                        </c:pt>
                      </c15:dlblFieldTableCache>
                    </c15:dlblFTEntry>
                  </c15:dlblFieldTable>
                  <c15:showDataLabelsRange val="0"/>
                </c:ext>
                <c:ext xmlns:c16="http://schemas.microsoft.com/office/drawing/2014/chart" uri="{C3380CC4-5D6E-409C-BE32-E72D297353CC}">
                  <c16:uniqueId val="{00000016-9107-4EFD-A48E-DA2424BF7B7B}"/>
                </c:ext>
              </c:extLst>
            </c:dLbl>
            <c:spPr>
              <a:noFill/>
              <a:ln>
                <a:noFill/>
              </a:ln>
              <a:effectLst/>
            </c:spPr>
            <c:txPr>
              <a:bodyPr/>
              <a:lstStyle/>
              <a:p>
                <a:pPr>
                  <a:defRPr sz="700">
                    <a:solidFill>
                      <a:schemeClr val="bg1">
                        <a:lumMod val="65000"/>
                      </a:schemeClr>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(Participation!$AQ$38:$AQ$50,Participation!$AQ$51:$AQ$52,Participation!$AQ$53:$AQ$56)</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(Participation!$AP$38:$AP$50,Participation!$AP$51:$AP$52,Participation!$AP$53:$AP$56)</c:f>
              <c:numCache>
                <c:formatCode>0.0</c:formatCode>
                <c:ptCount val="19"/>
                <c:pt idx="0">
                  <c:v>0.94721402214022155</c:v>
                </c:pt>
                <c:pt idx="1">
                  <c:v>0.92788844163312245</c:v>
                </c:pt>
                <c:pt idx="2">
                  <c:v>0.91745286195286202</c:v>
                </c:pt>
                <c:pt idx="3">
                  <c:v>0.88260731121586766</c:v>
                </c:pt>
                <c:pt idx="4">
                  <c:v>0.91127250972180673</c:v>
                </c:pt>
                <c:pt idx="5">
                  <c:v>0.90335795454545464</c:v>
                </c:pt>
                <c:pt idx="6">
                  <c:v>0.90326417412673332</c:v>
                </c:pt>
                <c:pt idx="7">
                  <c:v>0.90451658218682118</c:v>
                </c:pt>
                <c:pt idx="8">
                  <c:v>0.93990363609157568</c:v>
                </c:pt>
                <c:pt idx="9">
                  <c:v>0.93606701990548469</c:v>
                </c:pt>
                <c:pt idx="10">
                  <c:v>0.89658726469904726</c:v>
                </c:pt>
                <c:pt idx="11">
                  <c:v>0.90638095238095229</c:v>
                </c:pt>
                <c:pt idx="12">
                  <c:v>0.93884676145339652</c:v>
                </c:pt>
                <c:pt idx="13">
                  <c:v>0.88582137096774172</c:v>
                </c:pt>
                <c:pt idx="14">
                  <c:v>0.89567395433420893</c:v>
                </c:pt>
                <c:pt idx="15">
                  <c:v>0.91299999999999992</c:v>
                </c:pt>
                <c:pt idx="16">
                  <c:v>0.88773774365032487</c:v>
                </c:pt>
                <c:pt idx="17">
                  <c:v>0.94757766990291259</c:v>
                </c:pt>
                <c:pt idx="18">
                  <c:v>0.94680272796160647</c:v>
                </c:pt>
              </c:numCache>
            </c:numRef>
          </c:yVal>
          <c:smooth val="0"/>
          <c:extLst>
            <c:ext xmlns:c16="http://schemas.microsoft.com/office/drawing/2014/chart" uri="{C3380CC4-5D6E-409C-BE32-E72D297353CC}">
              <c16:uniqueId val="{00000017-9107-4EFD-A48E-DA2424BF7B7B}"/>
            </c:ext>
          </c:extLst>
        </c:ser>
        <c:ser>
          <c:idx val="1"/>
          <c:order val="1"/>
          <c:tx>
            <c:strRef>
              <c:f>Participation!$Y$4</c:f>
              <c:strCache>
                <c:ptCount val="1"/>
                <c:pt idx="0">
                  <c:v>(none)</c:v>
                </c:pt>
              </c:strCache>
            </c:strRef>
          </c:tx>
          <c:spPr>
            <a:ln w="28575">
              <a:noFill/>
            </a:ln>
          </c:spPr>
          <c:marker>
            <c:symbol val="circle"/>
            <c:size val="7"/>
            <c:spPr>
              <a:solidFill>
                <a:srgbClr val="66FF99"/>
              </a:solidFill>
              <a:ln>
                <a:solidFill>
                  <a:prstClr val="black"/>
                </a:solidFill>
              </a:ln>
            </c:spPr>
          </c:marker>
          <c:xVal>
            <c:numRef>
              <c:f>Participation!$AQ$59</c:f>
              <c:numCache>
                <c:formatCode>0.0</c:formatCode>
                <c:ptCount val="1"/>
                <c:pt idx="0">
                  <c:v>#N/A</c:v>
                </c:pt>
              </c:numCache>
            </c:numRef>
          </c:xVal>
          <c:yVal>
            <c:numRef>
              <c:f>Participation!$AP$59</c:f>
              <c:numCache>
                <c:formatCode>0.0</c:formatCode>
                <c:ptCount val="1"/>
                <c:pt idx="0">
                  <c:v>#N/A</c:v>
                </c:pt>
              </c:numCache>
            </c:numRef>
          </c:yVal>
          <c:smooth val="0"/>
          <c:extLst>
            <c:ext xmlns:c16="http://schemas.microsoft.com/office/drawing/2014/chart" uri="{C3380CC4-5D6E-409C-BE32-E72D297353CC}">
              <c16:uniqueId val="{0000001C-9107-4EFD-A48E-DA2424BF7B7B}"/>
            </c:ext>
          </c:extLst>
        </c:ser>
        <c:ser>
          <c:idx val="4"/>
          <c:order val="2"/>
          <c:tx>
            <c:strRef>
              <c:f>Participation!$B$30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Participation!$AQ$57</c:f>
              <c:numCache>
                <c:formatCode>0.0</c:formatCode>
                <c:ptCount val="1"/>
                <c:pt idx="0">
                  <c:v>12.371268250968637</c:v>
                </c:pt>
              </c:numCache>
            </c:numRef>
          </c:xVal>
          <c:yVal>
            <c:numRef>
              <c:f>Participation!$O$30</c:f>
              <c:numCache>
                <c:formatCode>0.0%</c:formatCode>
                <c:ptCount val="1"/>
                <c:pt idx="0">
                  <c:v>0.90883986138016681</c:v>
                </c:pt>
              </c:numCache>
            </c:numRef>
          </c:yVal>
          <c:smooth val="0"/>
          <c:extLst>
            <c:ext xmlns:c16="http://schemas.microsoft.com/office/drawing/2014/chart" uri="{C3380CC4-5D6E-409C-BE32-E72D297353CC}">
              <c16:uniqueId val="{0000001D-9107-4EFD-A48E-DA2424BF7B7B}"/>
            </c:ext>
          </c:extLst>
        </c:ser>
        <c:ser>
          <c:idx val="2"/>
          <c:order val="3"/>
          <c:tx>
            <c:strRef>
              <c:f>Participation!$X$40</c:f>
              <c:strCache>
                <c:ptCount val="1"/>
                <c:pt idx="0">
                  <c:v>National Trend 2024</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9107-4EFD-A48E-DA2424BF7B7B}"/>
                </c:ext>
              </c:extLst>
            </c:dLbl>
            <c:dLbl>
              <c:idx val="1"/>
              <c:layout>
                <c:manualLayout>
                  <c:x val="-4.6182714002855119E-2"/>
                  <c:y val="-3.3182503770739065E-2"/>
                </c:manualLayout>
              </c:layout>
              <c:tx>
                <c:strRef>
                  <c:f>Participation!$AC$40</c:f>
                  <c:strCache>
                    <c:ptCount val="1"/>
                    <c:pt idx="0">
                      <c:v>r² = 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{70AB7BD7-9FDD-4E00-9840-32E43F636D84}</c15:txfldGUID>
                      <c15:f>Participation!$AC$40</c15:f>
                      <c15:dlblFieldTableCache>
                        <c:ptCount val="1"/>
                        <c:pt idx="0">
                          <c:v>r² = 0.12</c:v>
                        </c:pt>
                      </c15:dlblFieldTableCache>
                    </c15:dlblFTEntry>
                  </c15:dlblFieldTable>
                  <c15:showDataLabelsRange val="0"/>
                </c:ext>
                <c:ext xmlns:c16="http://schemas.microsoft.com/office/drawing/2014/chart" uri="{C3380CC4-5D6E-409C-BE32-E72D297353CC}">
                  <c16:uniqueId val="{0000001F-9107-4EFD-A48E-DA2424BF7B7B}"/>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Participation!$AA$40:$AA$41</c:f>
              <c:numCache>
                <c:formatCode>General</c:formatCode>
                <c:ptCount val="2"/>
                <c:pt idx="0" formatCode="#,##0.0">
                  <c:v>5</c:v>
                </c:pt>
                <c:pt idx="1">
                  <c:v>35</c:v>
                </c:pt>
              </c:numCache>
            </c:numRef>
          </c:xVal>
          <c:yVal>
            <c:numRef>
              <c:f>Participation!$AB$40:$AB$41</c:f>
              <c:numCache>
                <c:formatCode>0.0%</c:formatCode>
                <c:ptCount val="2"/>
                <c:pt idx="0">
                  <c:v>0.94914986872918761</c:v>
                </c:pt>
                <c:pt idx="1">
                  <c:v>0.89551778410961036</c:v>
                </c:pt>
              </c:numCache>
            </c:numRef>
          </c:yVal>
          <c:smooth val="0"/>
          <c:extLst>
            <c:ext xmlns:c16="http://schemas.microsoft.com/office/drawing/2014/chart" uri="{C3380CC4-5D6E-409C-BE32-E72D297353CC}">
              <c16:uniqueId val="{00000020-9107-4EFD-A48E-DA2424BF7B7B}"/>
            </c:ext>
          </c:extLst>
        </c:ser>
        <c:dLbls>
          <c:showLegendKey val="0"/>
          <c:showVal val="0"/>
          <c:showCatName val="0"/>
          <c:showSerName val="0"/>
          <c:showPercent val="0"/>
          <c:showBubbleSize val="0"/>
        </c:dLbls>
        <c:axId val="674138368"/>
        <c:axId val="674189696"/>
      </c:scatterChart>
      <c:valAx>
        <c:axId val="674138368"/>
        <c:scaling>
          <c:orientation val="minMax"/>
          <c:max val="40"/>
          <c:min val="0"/>
        </c:scaling>
        <c:delete val="0"/>
        <c:axPos val="b"/>
        <c:title>
          <c:tx>
            <c:strRef>
              <c:f>ReportData!$C$5</c:f>
              <c:strCache>
                <c:ptCount val="1"/>
                <c:pt idx="0">
                  <c:v>Local Authority IDACI Score 2019</c:v>
                </c:pt>
              </c:strCache>
            </c:strRef>
          </c:tx>
          <c:layout>
            <c:manualLayout>
              <c:xMode val="edge"/>
              <c:yMode val="edge"/>
              <c:x val="0.31238941884591126"/>
              <c:y val="0.91929226493747107"/>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74189696"/>
        <c:crosses val="autoZero"/>
        <c:crossBetween val="midCat"/>
        <c:majorUnit val="5"/>
      </c:valAx>
      <c:valAx>
        <c:axId val="674189696"/>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b="1" i="0" u="none" strike="noStrike" baseline="0">
                    <a:effectLst/>
                  </a:rPr>
                  <a:t>Proportion of Young People aged 16-17 who are EET </a:t>
                </a:r>
              </a:p>
              <a:p>
                <a:pPr>
                  <a:defRPr sz="900" b="1" i="0" u="none" strike="noStrike" baseline="0">
                    <a:solidFill>
                      <a:srgbClr val="000000"/>
                    </a:solidFill>
                    <a:latin typeface="Arial"/>
                    <a:ea typeface="Arial"/>
                    <a:cs typeface="Arial"/>
                  </a:defRPr>
                </a:pPr>
                <a:r>
                  <a:rPr lang="en-GB" sz="900" b="1" i="0" u="none" strike="noStrike" baseline="0">
                    <a:effectLst/>
                  </a:rPr>
                  <a:t>per 10,000 0-17 year olds</a:t>
                </a:r>
              </a:p>
            </c:rich>
          </c:tx>
          <c:layout>
            <c:manualLayout>
              <c:xMode val="edge"/>
              <c:yMode val="edge"/>
              <c:x val="2.0898137732783401E-2"/>
              <c:y val="0.1190019120913053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74138368"/>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GB" sz="1050"/>
              <a:t>Rate of First Time</a:t>
            </a:r>
            <a:r>
              <a:rPr lang="en-GB" sz="1050" baseline="0"/>
              <a:t> Entrants to the Youth Justice System</a:t>
            </a:r>
            <a:r>
              <a:rPr lang="en-GB" sz="1050"/>
              <a:t>, per 100,000 10-17 year olds</a:t>
            </a:r>
          </a:p>
        </c:rich>
      </c:tx>
      <c:layout>
        <c:manualLayout>
          <c:xMode val="edge"/>
          <c:yMode val="edge"/>
          <c:x val="0.15363015762167881"/>
          <c:y val="1.2589368273316635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YouthJustice!$AB$74</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F1A5-4C42-B983-8C2440DAA90A}"/>
              </c:ext>
            </c:extLst>
          </c:dPt>
          <c:cat>
            <c:strRef>
              <c:f>YouthJustice!$AD$2:$AH$3</c:f>
              <c:strCache>
                <c:ptCount val="5"/>
                <c:pt idx="0">
                  <c:v>2019/20</c:v>
                </c:pt>
                <c:pt idx="1">
                  <c:v>2020/21</c:v>
                </c:pt>
                <c:pt idx="2">
                  <c:v>2021/22</c:v>
                </c:pt>
                <c:pt idx="3">
                  <c:v>2022/23</c:v>
                </c:pt>
                <c:pt idx="4">
                  <c:v>2023/24</c:v>
                </c:pt>
              </c:strCache>
            </c:strRef>
          </c:cat>
          <c:val>
            <c:numRef>
              <c:f>YouthJustice!$AC$74:$AG$74</c:f>
              <c:numCache>
                <c:formatCode>0.0</c:formatCode>
                <c:ptCount val="5"/>
                <c:pt idx="0">
                  <c:v>172.98442977093015</c:v>
                </c:pt>
                <c:pt idx="1">
                  <c:v>119.51083935519735</c:v>
                </c:pt>
                <c:pt idx="2">
                  <c:v>#N/A</c:v>
                </c:pt>
                <c:pt idx="3">
                  <c:v>114.16141614161417</c:v>
                </c:pt>
                <c:pt idx="4">
                  <c:v>133.74816983894581</c:v>
                </c:pt>
              </c:numCache>
            </c:numRef>
          </c:val>
          <c:smooth val="0"/>
          <c:extLst>
            <c:ext xmlns:c16="http://schemas.microsoft.com/office/drawing/2014/chart" uri="{C3380CC4-5D6E-409C-BE32-E72D297353CC}">
              <c16:uniqueId val="{00000001-F1A5-4C42-B983-8C2440DAA90A}"/>
            </c:ext>
          </c:extLst>
        </c:ser>
        <c:ser>
          <c:idx val="1"/>
          <c:order val="1"/>
          <c:tx>
            <c:strRef>
              <c:f>YouthJustice!$AB$75</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YouthJustice!$AD$2:$AH$3</c:f>
              <c:strCache>
                <c:ptCount val="5"/>
                <c:pt idx="0">
                  <c:v>2019/20</c:v>
                </c:pt>
                <c:pt idx="1">
                  <c:v>2020/21</c:v>
                </c:pt>
                <c:pt idx="2">
                  <c:v>2021/22</c:v>
                </c:pt>
                <c:pt idx="3">
                  <c:v>2022/23</c:v>
                </c:pt>
                <c:pt idx="4">
                  <c:v>2023/24</c:v>
                </c:pt>
              </c:strCache>
            </c:strRef>
          </c:cat>
          <c:val>
            <c:numRef>
              <c:f>YouthJustice!$AC$75:$AG$75</c:f>
              <c:numCache>
                <c:formatCode>0.0</c:formatCode>
                <c:ptCount val="5"/>
                <c:pt idx="0">
                  <c:v>98.486559747007007</c:v>
                </c:pt>
                <c:pt idx="1">
                  <c:v>173.91691923694066</c:v>
                </c:pt>
                <c:pt idx="2">
                  <c:v>157.70960416759428</c:v>
                </c:pt>
                <c:pt idx="3">
                  <c:v>159.03224395152469</c:v>
                </c:pt>
                <c:pt idx="4">
                  <c:v>195.94830597275586</c:v>
                </c:pt>
              </c:numCache>
            </c:numRef>
          </c:val>
          <c:smooth val="0"/>
          <c:extLst>
            <c:ext xmlns:c16="http://schemas.microsoft.com/office/drawing/2014/chart" uri="{C3380CC4-5D6E-409C-BE32-E72D297353CC}">
              <c16:uniqueId val="{00000002-F1A5-4C42-B983-8C2440DAA90A}"/>
            </c:ext>
          </c:extLst>
        </c:ser>
        <c:ser>
          <c:idx val="2"/>
          <c:order val="2"/>
          <c:tx>
            <c:strRef>
              <c:f>YouthJustice!$AB$76</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YouthJustice!$AD$2:$AH$3</c:f>
              <c:strCache>
                <c:ptCount val="5"/>
                <c:pt idx="0">
                  <c:v>2019/20</c:v>
                </c:pt>
                <c:pt idx="1">
                  <c:v>2020/21</c:v>
                </c:pt>
                <c:pt idx="2">
                  <c:v>2021/22</c:v>
                </c:pt>
                <c:pt idx="3">
                  <c:v>2022/23</c:v>
                </c:pt>
                <c:pt idx="4">
                  <c:v>2023/24</c:v>
                </c:pt>
              </c:strCache>
            </c:strRef>
          </c:cat>
          <c:val>
            <c:numRef>
              <c:f>YouthJustice!$AC$76:$AG$76</c:f>
              <c:numCache>
                <c:formatCode>0.0</c:formatCode>
                <c:ptCount val="5"/>
                <c:pt idx="0">
                  <c:v>164.49678569499216</c:v>
                </c:pt>
                <c:pt idx="1">
                  <c:v>145.0605819403909</c:v>
                </c:pt>
                <c:pt idx="2">
                  <c:v>109.69140083217754</c:v>
                </c:pt>
                <c:pt idx="3">
                  <c:v>125.81301154602443</c:v>
                </c:pt>
                <c:pt idx="4">
                  <c:v>159.30326450571002</c:v>
                </c:pt>
              </c:numCache>
            </c:numRef>
          </c:val>
          <c:smooth val="0"/>
          <c:extLst>
            <c:ext xmlns:c16="http://schemas.microsoft.com/office/drawing/2014/chart" uri="{C3380CC4-5D6E-409C-BE32-E72D297353CC}">
              <c16:uniqueId val="{00000003-F1A5-4C42-B983-8C2440DAA90A}"/>
            </c:ext>
          </c:extLst>
        </c:ser>
        <c:ser>
          <c:idx val="5"/>
          <c:order val="3"/>
          <c:tx>
            <c:strRef>
              <c:f>YouthJustice!$AB$77</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YouthJustice!$AD$2:$AH$3</c:f>
              <c:strCache>
                <c:ptCount val="5"/>
                <c:pt idx="0">
                  <c:v>2019/20</c:v>
                </c:pt>
                <c:pt idx="1">
                  <c:v>2020/21</c:v>
                </c:pt>
                <c:pt idx="2">
                  <c:v>2021/22</c:v>
                </c:pt>
                <c:pt idx="3">
                  <c:v>2022/23</c:v>
                </c:pt>
                <c:pt idx="4">
                  <c:v>2023/24</c:v>
                </c:pt>
              </c:strCache>
            </c:strRef>
          </c:cat>
          <c:val>
            <c:numRef>
              <c:f>YouthJustice!$AC$77:$AG$77</c:f>
              <c:numCache>
                <c:formatCode>0.0</c:formatCode>
                <c:ptCount val="5"/>
                <c:pt idx="0">
                  <c:v>209.55874646263496</c:v>
                </c:pt>
                <c:pt idx="1">
                  <c:v>176.41685696491592</c:v>
                </c:pt>
                <c:pt idx="2">
                  <c:v>178.22190172040794</c:v>
                </c:pt>
                <c:pt idx="3">
                  <c:v>109.45183393792826</c:v>
                </c:pt>
                <c:pt idx="4">
                  <c:v>124.54595704358812</c:v>
                </c:pt>
              </c:numCache>
            </c:numRef>
          </c:val>
          <c:smooth val="0"/>
          <c:extLst>
            <c:ext xmlns:c16="http://schemas.microsoft.com/office/drawing/2014/chart" uri="{C3380CC4-5D6E-409C-BE32-E72D297353CC}">
              <c16:uniqueId val="{00000004-F1A5-4C42-B983-8C2440DAA90A}"/>
            </c:ext>
          </c:extLst>
        </c:ser>
        <c:ser>
          <c:idx val="9"/>
          <c:order val="4"/>
          <c:tx>
            <c:strRef>
              <c:f>YouthJustice!$AB$78</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YouthJustice!$AD$2:$AH$3</c:f>
              <c:strCache>
                <c:ptCount val="5"/>
                <c:pt idx="0">
                  <c:v>2019/20</c:v>
                </c:pt>
                <c:pt idx="1">
                  <c:v>2020/21</c:v>
                </c:pt>
                <c:pt idx="2">
                  <c:v>2021/22</c:v>
                </c:pt>
                <c:pt idx="3">
                  <c:v>2022/23</c:v>
                </c:pt>
                <c:pt idx="4">
                  <c:v>2023/24</c:v>
                </c:pt>
              </c:strCache>
            </c:strRef>
          </c:cat>
          <c:val>
            <c:numRef>
              <c:f>YouthJustice!$AC$78:$AG$78</c:f>
              <c:numCache>
                <c:formatCode>0.0</c:formatCode>
                <c:ptCount val="5"/>
                <c:pt idx="0">
                  <c:v>182.17199550192603</c:v>
                </c:pt>
                <c:pt idx="1">
                  <c:v>155.63935820119983</c:v>
                </c:pt>
                <c:pt idx="2">
                  <c:v>129.42760317534004</c:v>
                </c:pt>
                <c:pt idx="3">
                  <c:v>97.968475827433892</c:v>
                </c:pt>
                <c:pt idx="4">
                  <c:v>87.405526601036428</c:v>
                </c:pt>
              </c:numCache>
            </c:numRef>
          </c:val>
          <c:smooth val="0"/>
          <c:extLst>
            <c:ext xmlns:c16="http://schemas.microsoft.com/office/drawing/2014/chart" uri="{C3380CC4-5D6E-409C-BE32-E72D297353CC}">
              <c16:uniqueId val="{00000005-F1A5-4C42-B983-8C2440DAA90A}"/>
            </c:ext>
          </c:extLst>
        </c:ser>
        <c:ser>
          <c:idx val="10"/>
          <c:order val="5"/>
          <c:tx>
            <c:strRef>
              <c:f>YouthJustice!$AB$79</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YouthJustice!$AD$2:$AH$3</c:f>
              <c:strCache>
                <c:ptCount val="5"/>
                <c:pt idx="0">
                  <c:v>2019/20</c:v>
                </c:pt>
                <c:pt idx="1">
                  <c:v>2020/21</c:v>
                </c:pt>
                <c:pt idx="2">
                  <c:v>2021/22</c:v>
                </c:pt>
                <c:pt idx="3">
                  <c:v>2022/23</c:v>
                </c:pt>
                <c:pt idx="4">
                  <c:v>2023/24</c:v>
                </c:pt>
              </c:strCache>
            </c:strRef>
          </c:cat>
          <c:val>
            <c:numRef>
              <c:f>YouthJustice!$AC$79:$AG$79</c:f>
              <c:numCache>
                <c:formatCode>0.0</c:formatCode>
                <c:ptCount val="5"/>
                <c:pt idx="0">
                  <c:v>466.58349670290505</c:v>
                </c:pt>
                <c:pt idx="1">
                  <c:v>252.22024866785077</c:v>
                </c:pt>
                <c:pt idx="2">
                  <c:v>207.16884038683349</c:v>
                </c:pt>
                <c:pt idx="3">
                  <c:v>262.23469566742676</c:v>
                </c:pt>
                <c:pt idx="4">
                  <c:v>338.8364779874214</c:v>
                </c:pt>
              </c:numCache>
            </c:numRef>
          </c:val>
          <c:smooth val="0"/>
          <c:extLst>
            <c:ext xmlns:c16="http://schemas.microsoft.com/office/drawing/2014/chart" uri="{C3380CC4-5D6E-409C-BE32-E72D297353CC}">
              <c16:uniqueId val="{00000006-F1A5-4C42-B983-8C2440DAA90A}"/>
            </c:ext>
          </c:extLst>
        </c:ser>
        <c:ser>
          <c:idx val="11"/>
          <c:order val="6"/>
          <c:tx>
            <c:strRef>
              <c:f>YouthJustice!$AB$80</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YouthJustice!$AD$2:$AH$3</c:f>
              <c:strCache>
                <c:ptCount val="5"/>
                <c:pt idx="0">
                  <c:v>2019/20</c:v>
                </c:pt>
                <c:pt idx="1">
                  <c:v>2020/21</c:v>
                </c:pt>
                <c:pt idx="2">
                  <c:v>2021/22</c:v>
                </c:pt>
                <c:pt idx="3">
                  <c:v>2022/23</c:v>
                </c:pt>
                <c:pt idx="4">
                  <c:v>2023/24</c:v>
                </c:pt>
              </c:strCache>
            </c:strRef>
          </c:cat>
          <c:val>
            <c:numRef>
              <c:f>YouthJustice!$AC$80:$AG$80</c:f>
              <c:numCache>
                <c:formatCode>0.0</c:formatCode>
                <c:ptCount val="5"/>
                <c:pt idx="0">
                  <c:v>142.7852450325793</c:v>
                </c:pt>
                <c:pt idx="1">
                  <c:v>162.69783650355743</c:v>
                </c:pt>
                <c:pt idx="2">
                  <c:v>134.93535293278518</c:v>
                </c:pt>
                <c:pt idx="3">
                  <c:v>155.14154884016006</c:v>
                </c:pt>
                <c:pt idx="4">
                  <c:v>161.80879311821644</c:v>
                </c:pt>
              </c:numCache>
            </c:numRef>
          </c:val>
          <c:smooth val="0"/>
          <c:extLst>
            <c:ext xmlns:c16="http://schemas.microsoft.com/office/drawing/2014/chart" uri="{C3380CC4-5D6E-409C-BE32-E72D297353CC}">
              <c16:uniqueId val="{00000007-F1A5-4C42-B983-8C2440DAA90A}"/>
            </c:ext>
          </c:extLst>
        </c:ser>
        <c:ser>
          <c:idx val="12"/>
          <c:order val="7"/>
          <c:tx>
            <c:strRef>
              <c:f>YouthJustice!$AB$81</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YouthJustice!$AD$2:$AH$3</c:f>
              <c:strCache>
                <c:ptCount val="5"/>
                <c:pt idx="0">
                  <c:v>2019/20</c:v>
                </c:pt>
                <c:pt idx="1">
                  <c:v>2020/21</c:v>
                </c:pt>
                <c:pt idx="2">
                  <c:v>2021/22</c:v>
                </c:pt>
                <c:pt idx="3">
                  <c:v>2022/23</c:v>
                </c:pt>
                <c:pt idx="4">
                  <c:v>2023/24</c:v>
                </c:pt>
              </c:strCache>
            </c:strRef>
          </c:cat>
          <c:val>
            <c:numRef>
              <c:f>YouthJustice!$AC$81:$AG$81</c:f>
              <c:numCache>
                <c:formatCode>0.0</c:formatCode>
                <c:ptCount val="5"/>
                <c:pt idx="0">
                  <c:v>164.25472970509972</c:v>
                </c:pt>
                <c:pt idx="1">
                  <c:v>99.128618752700575</c:v>
                </c:pt>
                <c:pt idx="2">
                  <c:v>137.99815955262972</c:v>
                </c:pt>
                <c:pt idx="3">
                  <c:v>199.86983626772624</c:v>
                </c:pt>
                <c:pt idx="4">
                  <c:v>177.55149424524859</c:v>
                </c:pt>
              </c:numCache>
            </c:numRef>
          </c:val>
          <c:smooth val="0"/>
          <c:extLst>
            <c:ext xmlns:c16="http://schemas.microsoft.com/office/drawing/2014/chart" uri="{C3380CC4-5D6E-409C-BE32-E72D297353CC}">
              <c16:uniqueId val="{00000008-F1A5-4C42-B983-8C2440DAA90A}"/>
            </c:ext>
          </c:extLst>
        </c:ser>
        <c:ser>
          <c:idx val="13"/>
          <c:order val="8"/>
          <c:tx>
            <c:strRef>
              <c:f>YouthJustice!$AB$82</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YouthJustice!$AD$2:$AH$3</c:f>
              <c:strCache>
                <c:ptCount val="5"/>
                <c:pt idx="0">
                  <c:v>2019/20</c:v>
                </c:pt>
                <c:pt idx="1">
                  <c:v>2020/21</c:v>
                </c:pt>
                <c:pt idx="2">
                  <c:v>2021/22</c:v>
                </c:pt>
                <c:pt idx="3">
                  <c:v>2022/23</c:v>
                </c:pt>
                <c:pt idx="4">
                  <c:v>2023/24</c:v>
                </c:pt>
              </c:strCache>
            </c:strRef>
          </c:cat>
          <c:val>
            <c:numRef>
              <c:f>YouthJustice!$AC$82:$AG$82</c:f>
              <c:numCache>
                <c:formatCode>0.0</c:formatCode>
                <c:ptCount val="5"/>
                <c:pt idx="0">
                  <c:v>140.64542072986828</c:v>
                </c:pt>
                <c:pt idx="1">
                  <c:v>135.66569484936832</c:v>
                </c:pt>
                <c:pt idx="2">
                  <c:v>109.74381569836973</c:v>
                </c:pt>
                <c:pt idx="3">
                  <c:v>166.71231626038528</c:v>
                </c:pt>
                <c:pt idx="4">
                  <c:v>128.56514729591089</c:v>
                </c:pt>
              </c:numCache>
            </c:numRef>
          </c:val>
          <c:smooth val="0"/>
          <c:extLst>
            <c:ext xmlns:c16="http://schemas.microsoft.com/office/drawing/2014/chart" uri="{C3380CC4-5D6E-409C-BE32-E72D297353CC}">
              <c16:uniqueId val="{00000009-F1A5-4C42-B983-8C2440DAA90A}"/>
            </c:ext>
          </c:extLst>
        </c:ser>
        <c:ser>
          <c:idx val="15"/>
          <c:order val="9"/>
          <c:tx>
            <c:strRef>
              <c:f>YouthJustice!$AB$83</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YouthJustice!$AD$2:$AH$3</c:f>
              <c:strCache>
                <c:ptCount val="5"/>
                <c:pt idx="0">
                  <c:v>2019/20</c:v>
                </c:pt>
                <c:pt idx="1">
                  <c:v>2020/21</c:v>
                </c:pt>
                <c:pt idx="2">
                  <c:v>2021/22</c:v>
                </c:pt>
                <c:pt idx="3">
                  <c:v>2022/23</c:v>
                </c:pt>
                <c:pt idx="4">
                  <c:v>2023/24</c:v>
                </c:pt>
              </c:strCache>
            </c:strRef>
          </c:cat>
          <c:val>
            <c:numRef>
              <c:f>YouthJustice!$AC$83:$AG$83</c:f>
              <c:numCache>
                <c:formatCode>0.0</c:formatCode>
                <c:ptCount val="5"/>
                <c:pt idx="0">
                  <c:v>220.51890426154748</c:v>
                </c:pt>
                <c:pt idx="1">
                  <c:v>223.87631543188442</c:v>
                </c:pt>
                <c:pt idx="2">
                  <c:v>142.58953330579976</c:v>
                </c:pt>
                <c:pt idx="3">
                  <c:v>154.9287708497387</c:v>
                </c:pt>
                <c:pt idx="4">
                  <c:v>182.19470359369117</c:v>
                </c:pt>
              </c:numCache>
            </c:numRef>
          </c:val>
          <c:smooth val="0"/>
          <c:extLst>
            <c:ext xmlns:c16="http://schemas.microsoft.com/office/drawing/2014/chart" uri="{C3380CC4-5D6E-409C-BE32-E72D297353CC}">
              <c16:uniqueId val="{0000000A-F1A5-4C42-B983-8C2440DAA90A}"/>
            </c:ext>
          </c:extLst>
        </c:ser>
        <c:ser>
          <c:idx val="16"/>
          <c:order val="10"/>
          <c:tx>
            <c:strRef>
              <c:f>YouthJustice!$AB$84</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YouthJustice!$AD$2:$AH$3</c:f>
              <c:strCache>
                <c:ptCount val="5"/>
                <c:pt idx="0">
                  <c:v>2019/20</c:v>
                </c:pt>
                <c:pt idx="1">
                  <c:v>2020/21</c:v>
                </c:pt>
                <c:pt idx="2">
                  <c:v>2021/22</c:v>
                </c:pt>
                <c:pt idx="3">
                  <c:v>2022/23</c:v>
                </c:pt>
                <c:pt idx="4">
                  <c:v>2023/24</c:v>
                </c:pt>
              </c:strCache>
            </c:strRef>
          </c:cat>
          <c:val>
            <c:numRef>
              <c:f>YouthJustice!$AC$84:$AG$84</c:f>
              <c:numCache>
                <c:formatCode>0.0</c:formatCode>
                <c:ptCount val="5"/>
                <c:pt idx="0">
                  <c:v>475.05508785807109</c:v>
                </c:pt>
                <c:pt idx="1">
                  <c:v>296.39318713124794</c:v>
                </c:pt>
                <c:pt idx="2">
                  <c:v>309.95250193306083</c:v>
                </c:pt>
                <c:pt idx="3">
                  <c:v>221.8283381673649</c:v>
                </c:pt>
                <c:pt idx="4">
                  <c:v>223.42493825863065</c:v>
                </c:pt>
              </c:numCache>
            </c:numRef>
          </c:val>
          <c:smooth val="0"/>
          <c:extLst>
            <c:ext xmlns:c16="http://schemas.microsoft.com/office/drawing/2014/chart" uri="{C3380CC4-5D6E-409C-BE32-E72D297353CC}">
              <c16:uniqueId val="{0000000B-F1A5-4C42-B983-8C2440DAA90A}"/>
            </c:ext>
          </c:extLst>
        </c:ser>
        <c:ser>
          <c:idx val="17"/>
          <c:order val="11"/>
          <c:tx>
            <c:strRef>
              <c:f>YouthJustice!$AB$85</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YouthJustice!$AD$2:$AH$3</c:f>
              <c:strCache>
                <c:ptCount val="5"/>
                <c:pt idx="0">
                  <c:v>2019/20</c:v>
                </c:pt>
                <c:pt idx="1">
                  <c:v>2020/21</c:v>
                </c:pt>
                <c:pt idx="2">
                  <c:v>2021/22</c:v>
                </c:pt>
                <c:pt idx="3">
                  <c:v>2022/23</c:v>
                </c:pt>
                <c:pt idx="4">
                  <c:v>2023/24</c:v>
                </c:pt>
              </c:strCache>
            </c:strRef>
          </c:cat>
          <c:val>
            <c:numRef>
              <c:f>YouthJustice!$AC$85:$AG$85</c:f>
              <c:numCache>
                <c:formatCode>0.0</c:formatCode>
                <c:ptCount val="5"/>
                <c:pt idx="0">
                  <c:v>334.58473292498189</c:v>
                </c:pt>
                <c:pt idx="1">
                  <c:v>217.04581864786925</c:v>
                </c:pt>
                <c:pt idx="2">
                  <c:v>240.07886034088017</c:v>
                </c:pt>
                <c:pt idx="3">
                  <c:v>190.00061648480366</c:v>
                </c:pt>
                <c:pt idx="4">
                  <c:v>254.63763793617656</c:v>
                </c:pt>
              </c:numCache>
            </c:numRef>
          </c:val>
          <c:smooth val="0"/>
          <c:extLst>
            <c:ext xmlns:c16="http://schemas.microsoft.com/office/drawing/2014/chart" uri="{C3380CC4-5D6E-409C-BE32-E72D297353CC}">
              <c16:uniqueId val="{0000000C-F1A5-4C42-B983-8C2440DAA90A}"/>
            </c:ext>
          </c:extLst>
        </c:ser>
        <c:ser>
          <c:idx val="19"/>
          <c:order val="12"/>
          <c:tx>
            <c:strRef>
              <c:f>YouthJustice!$AB$86</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YouthJustice!$AD$2:$AH$3</c:f>
              <c:strCache>
                <c:ptCount val="5"/>
                <c:pt idx="0">
                  <c:v>2019/20</c:v>
                </c:pt>
                <c:pt idx="1">
                  <c:v>2020/21</c:v>
                </c:pt>
                <c:pt idx="2">
                  <c:v>2021/22</c:v>
                </c:pt>
                <c:pt idx="3">
                  <c:v>2022/23</c:v>
                </c:pt>
                <c:pt idx="4">
                  <c:v>2023/24</c:v>
                </c:pt>
              </c:strCache>
            </c:strRef>
          </c:cat>
          <c:val>
            <c:numRef>
              <c:f>YouthJustice!$AC$86:$AG$86</c:f>
              <c:numCache>
                <c:formatCode>0.0</c:formatCode>
                <c:ptCount val="5"/>
                <c:pt idx="0">
                  <c:v>274.82910020563554</c:v>
                </c:pt>
                <c:pt idx="1">
                  <c:v>180.46912398276689</c:v>
                </c:pt>
                <c:pt idx="2">
                  <c:v>125.82169268693509</c:v>
                </c:pt>
                <c:pt idx="3">
                  <c:v>172.64820553833852</c:v>
                </c:pt>
                <c:pt idx="4">
                  <c:v>157.69626328419611</c:v>
                </c:pt>
              </c:numCache>
            </c:numRef>
          </c:val>
          <c:smooth val="0"/>
          <c:extLst>
            <c:ext xmlns:c16="http://schemas.microsoft.com/office/drawing/2014/chart" uri="{C3380CC4-5D6E-409C-BE32-E72D297353CC}">
              <c16:uniqueId val="{0000000D-F1A5-4C42-B983-8C2440DAA90A}"/>
            </c:ext>
          </c:extLst>
        </c:ser>
        <c:ser>
          <c:idx val="20"/>
          <c:order val="13"/>
          <c:tx>
            <c:strRef>
              <c:f>YouthJustice!$AB$87</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YouthJustice!$AD$2:$AH$3</c:f>
              <c:strCache>
                <c:ptCount val="5"/>
                <c:pt idx="0">
                  <c:v>2019/20</c:v>
                </c:pt>
                <c:pt idx="1">
                  <c:v>2020/21</c:v>
                </c:pt>
                <c:pt idx="2">
                  <c:v>2021/22</c:v>
                </c:pt>
                <c:pt idx="3">
                  <c:v>2022/23</c:v>
                </c:pt>
                <c:pt idx="4">
                  <c:v>2023/24</c:v>
                </c:pt>
              </c:strCache>
            </c:strRef>
          </c:cat>
          <c:val>
            <c:numRef>
              <c:f>YouthJustice!$AC$87:$AG$87</c:f>
              <c:numCache>
                <c:formatCode>0.0</c:formatCode>
                <c:ptCount val="5"/>
                <c:pt idx="0">
                  <c:v>377.63670898730379</c:v>
                </c:pt>
                <c:pt idx="1">
                  <c:v>306.38380128545884</c:v>
                </c:pt>
                <c:pt idx="2">
                  <c:v>186.57868875473815</c:v>
                </c:pt>
                <c:pt idx="3">
                  <c:v>186.80466897683749</c:v>
                </c:pt>
                <c:pt idx="4">
                  <c:v>140.37974120681224</c:v>
                </c:pt>
              </c:numCache>
            </c:numRef>
          </c:val>
          <c:smooth val="0"/>
          <c:extLst>
            <c:ext xmlns:c16="http://schemas.microsoft.com/office/drawing/2014/chart" uri="{C3380CC4-5D6E-409C-BE32-E72D297353CC}">
              <c16:uniqueId val="{0000000F-F1A5-4C42-B983-8C2440DAA90A}"/>
            </c:ext>
          </c:extLst>
        </c:ser>
        <c:ser>
          <c:idx val="22"/>
          <c:order val="14"/>
          <c:tx>
            <c:strRef>
              <c:f>YouthJustice!$AB$88</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YouthJustice!$AD$2:$AH$3</c:f>
              <c:strCache>
                <c:ptCount val="5"/>
                <c:pt idx="0">
                  <c:v>2019/20</c:v>
                </c:pt>
                <c:pt idx="1">
                  <c:v>2020/21</c:v>
                </c:pt>
                <c:pt idx="2">
                  <c:v>2021/22</c:v>
                </c:pt>
                <c:pt idx="3">
                  <c:v>2022/23</c:v>
                </c:pt>
                <c:pt idx="4">
                  <c:v>2023/24</c:v>
                </c:pt>
              </c:strCache>
            </c:strRef>
          </c:cat>
          <c:val>
            <c:numRef>
              <c:f>YouthJustice!$AC$88:$AG$88</c:f>
              <c:numCache>
                <c:formatCode>0.0</c:formatCode>
                <c:ptCount val="5"/>
                <c:pt idx="0">
                  <c:v>115.17297974344579</c:v>
                </c:pt>
                <c:pt idx="1">
                  <c:v>98.694053505768991</c:v>
                </c:pt>
                <c:pt idx="2">
                  <c:v>69.486379773715115</c:v>
                </c:pt>
                <c:pt idx="3">
                  <c:v>85.79227029733353</c:v>
                </c:pt>
                <c:pt idx="4">
                  <c:v>62.186631181237082</c:v>
                </c:pt>
              </c:numCache>
            </c:numRef>
          </c:val>
          <c:smooth val="0"/>
          <c:extLst>
            <c:ext xmlns:c16="http://schemas.microsoft.com/office/drawing/2014/chart" uri="{C3380CC4-5D6E-409C-BE32-E72D297353CC}">
              <c16:uniqueId val="{00000010-F1A5-4C42-B983-8C2440DAA90A}"/>
            </c:ext>
          </c:extLst>
        </c:ser>
        <c:ser>
          <c:idx val="23"/>
          <c:order val="15"/>
          <c:tx>
            <c:strRef>
              <c:f>YouthJustice!$AB$89</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YouthJustice!$AD$2:$AH$3</c:f>
              <c:strCache>
                <c:ptCount val="5"/>
                <c:pt idx="0">
                  <c:v>2019/20</c:v>
                </c:pt>
                <c:pt idx="1">
                  <c:v>2020/21</c:v>
                </c:pt>
                <c:pt idx="2">
                  <c:v>2021/22</c:v>
                </c:pt>
                <c:pt idx="3">
                  <c:v>2022/23</c:v>
                </c:pt>
                <c:pt idx="4">
                  <c:v>2023/24</c:v>
                </c:pt>
              </c:strCache>
            </c:strRef>
          </c:cat>
          <c:val>
            <c:numRef>
              <c:f>YouthJustice!$AC$89:$AG$89</c:f>
              <c:numCache>
                <c:formatCode>0.0</c:formatCode>
                <c:ptCount val="5"/>
                <c:pt idx="0">
                  <c:v>197.49025341130604</c:v>
                </c:pt>
                <c:pt idx="1">
                  <c:v>168.79841470005405</c:v>
                </c:pt>
                <c:pt idx="2">
                  <c:v>178.09853274484075</c:v>
                </c:pt>
                <c:pt idx="3">
                  <c:v>174.37660219063156</c:v>
                </c:pt>
                <c:pt idx="4">
                  <c:v>131.46892655367233</c:v>
                </c:pt>
              </c:numCache>
            </c:numRef>
          </c:val>
          <c:smooth val="0"/>
          <c:extLst>
            <c:ext xmlns:c16="http://schemas.microsoft.com/office/drawing/2014/chart" uri="{C3380CC4-5D6E-409C-BE32-E72D297353CC}">
              <c16:uniqueId val="{00000013-F1A5-4C42-B983-8C2440DAA90A}"/>
            </c:ext>
          </c:extLst>
        </c:ser>
        <c:ser>
          <c:idx val="24"/>
          <c:order val="16"/>
          <c:tx>
            <c:strRef>
              <c:f>YouthJustice!$AB$90</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YouthJustice!$AD$2:$AH$3</c:f>
              <c:strCache>
                <c:ptCount val="5"/>
                <c:pt idx="0">
                  <c:v>2019/20</c:v>
                </c:pt>
                <c:pt idx="1">
                  <c:v>2020/21</c:v>
                </c:pt>
                <c:pt idx="2">
                  <c:v>2021/22</c:v>
                </c:pt>
                <c:pt idx="3">
                  <c:v>2022/23</c:v>
                </c:pt>
                <c:pt idx="4">
                  <c:v>2023/24</c:v>
                </c:pt>
              </c:strCache>
            </c:strRef>
          </c:cat>
          <c:val>
            <c:numRef>
              <c:f>YouthJustice!$AC$90:$AG$90</c:f>
              <c:numCache>
                <c:formatCode>0.0</c:formatCode>
                <c:ptCount val="5"/>
                <c:pt idx="0">
                  <c:v>99.951048590714691</c:v>
                </c:pt>
                <c:pt idx="1">
                  <c:v>73.552425665101723</c:v>
                </c:pt>
                <c:pt idx="2">
                  <c:v>108.07264264227089</c:v>
                </c:pt>
                <c:pt idx="3">
                  <c:v>94.952241176046016</c:v>
                </c:pt>
                <c:pt idx="4">
                  <c:v>81.725660582304187</c:v>
                </c:pt>
              </c:numCache>
            </c:numRef>
          </c:val>
          <c:smooth val="0"/>
          <c:extLst>
            <c:ext xmlns:c16="http://schemas.microsoft.com/office/drawing/2014/chart" uri="{C3380CC4-5D6E-409C-BE32-E72D297353CC}">
              <c16:uniqueId val="{00000014-F1A5-4C42-B983-8C2440DAA90A}"/>
            </c:ext>
          </c:extLst>
        </c:ser>
        <c:ser>
          <c:idx val="25"/>
          <c:order val="17"/>
          <c:tx>
            <c:strRef>
              <c:f>YouthJustice!$AB$91</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YouthJustice!$AD$2:$AH$3</c:f>
              <c:strCache>
                <c:ptCount val="5"/>
                <c:pt idx="0">
                  <c:v>2019/20</c:v>
                </c:pt>
                <c:pt idx="1">
                  <c:v>2020/21</c:v>
                </c:pt>
                <c:pt idx="2">
                  <c:v>2021/22</c:v>
                </c:pt>
                <c:pt idx="3">
                  <c:v>2022/23</c:v>
                </c:pt>
                <c:pt idx="4">
                  <c:v>2023/24</c:v>
                </c:pt>
              </c:strCache>
            </c:strRef>
          </c:cat>
          <c:val>
            <c:numRef>
              <c:f>YouthJustice!$AC$91:$AG$91</c:f>
              <c:numCache>
                <c:formatCode>0.0</c:formatCode>
                <c:ptCount val="5"/>
                <c:pt idx="0">
                  <c:v>94.595427374129528</c:v>
                </c:pt>
                <c:pt idx="1">
                  <c:v>133.84159254553157</c:v>
                </c:pt>
                <c:pt idx="2">
                  <c:v>131.34631465774697</c:v>
                </c:pt>
                <c:pt idx="3">
                  <c:v>127.23762723762724</c:v>
                </c:pt>
                <c:pt idx="4">
                  <c:v>94.421344421344429</c:v>
                </c:pt>
              </c:numCache>
            </c:numRef>
          </c:val>
          <c:smooth val="0"/>
          <c:extLst>
            <c:ext xmlns:c16="http://schemas.microsoft.com/office/drawing/2014/chart" uri="{C3380CC4-5D6E-409C-BE32-E72D297353CC}">
              <c16:uniqueId val="{00000015-F1A5-4C42-B983-8C2440DAA90A}"/>
            </c:ext>
          </c:extLst>
        </c:ser>
        <c:ser>
          <c:idx val="26"/>
          <c:order val="18"/>
          <c:tx>
            <c:strRef>
              <c:f>YouthJustice!$AB$92</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YouthJustice!$AD$2:$AH$3</c:f>
              <c:strCache>
                <c:ptCount val="5"/>
                <c:pt idx="0">
                  <c:v>2019/20</c:v>
                </c:pt>
                <c:pt idx="1">
                  <c:v>2020/21</c:v>
                </c:pt>
                <c:pt idx="2">
                  <c:v>2021/22</c:v>
                </c:pt>
                <c:pt idx="3">
                  <c:v>2022/23</c:v>
                </c:pt>
                <c:pt idx="4">
                  <c:v>2023/24</c:v>
                </c:pt>
              </c:strCache>
            </c:strRef>
          </c:cat>
          <c:val>
            <c:numRef>
              <c:f>YouthJustice!$AC$92:$AG$92</c:f>
              <c:numCache>
                <c:formatCode>0.0</c:formatCode>
                <c:ptCount val="5"/>
                <c:pt idx="0">
                  <c:v>80.413523330539263</c:v>
                </c:pt>
                <c:pt idx="1">
                  <c:v>124.97307775145381</c:v>
                </c:pt>
                <c:pt idx="2">
                  <c:v>73.79823967501693</c:v>
                </c:pt>
                <c:pt idx="3">
                  <c:v>129.44062806673207</c:v>
                </c:pt>
                <c:pt idx="4">
                  <c:v>76.688125558009489</c:v>
                </c:pt>
              </c:numCache>
            </c:numRef>
          </c:val>
          <c:smooth val="0"/>
          <c:extLst>
            <c:ext xmlns:c16="http://schemas.microsoft.com/office/drawing/2014/chart" uri="{C3380CC4-5D6E-409C-BE32-E72D297353CC}">
              <c16:uniqueId val="{00000016-F1A5-4C42-B983-8C2440DAA90A}"/>
            </c:ext>
          </c:extLst>
        </c:ser>
        <c:ser>
          <c:idx val="4"/>
          <c:order val="19"/>
          <c:tx>
            <c:strRef>
              <c:f>YouthJustice!$AB$93</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YouthJustice!$AD$2:$AH$3</c:f>
              <c:strCache>
                <c:ptCount val="5"/>
                <c:pt idx="0">
                  <c:v>2019/20</c:v>
                </c:pt>
                <c:pt idx="1">
                  <c:v>2020/21</c:v>
                </c:pt>
                <c:pt idx="2">
                  <c:v>2021/22</c:v>
                </c:pt>
                <c:pt idx="3">
                  <c:v>2022/23</c:v>
                </c:pt>
                <c:pt idx="4">
                  <c:v>2023/24</c:v>
                </c:pt>
              </c:strCache>
            </c:strRef>
          </c:cat>
          <c:val>
            <c:numRef>
              <c:f>YouthJustice!$AC$93:$AG$93</c:f>
              <c:numCache>
                <c:formatCode>0.0</c:formatCode>
                <c:ptCount val="5"/>
                <c:pt idx="0">
                  <c:v>173.32045353624827</c:v>
                </c:pt>
                <c:pt idx="1">
                  <c:v>153.32263484036091</c:v>
                </c:pt>
                <c:pt idx="2">
                  <c:v>131.70036547448044</c:v>
                </c:pt>
                <c:pt idx="3">
                  <c:v>132.76945657902189</c:v>
                </c:pt>
                <c:pt idx="4">
                  <c:v>130.35600992961554</c:v>
                </c:pt>
              </c:numCache>
            </c:numRef>
          </c:val>
          <c:smooth val="0"/>
          <c:extLst>
            <c:ext xmlns:c16="http://schemas.microsoft.com/office/drawing/2014/chart" uri="{C3380CC4-5D6E-409C-BE32-E72D297353CC}">
              <c16:uniqueId val="{00000017-F1A5-4C42-B983-8C2440DAA90A}"/>
            </c:ext>
          </c:extLst>
        </c:ser>
        <c:ser>
          <c:idx val="14"/>
          <c:order val="20"/>
          <c:tx>
            <c:strRef>
              <c:f>YouthJustice!$AB$94</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YouthJustice!$AD$2:$AH$3</c:f>
              <c:strCache>
                <c:ptCount val="5"/>
                <c:pt idx="0">
                  <c:v>2019/20</c:v>
                </c:pt>
                <c:pt idx="1">
                  <c:v>2020/21</c:v>
                </c:pt>
                <c:pt idx="2">
                  <c:v>2021/22</c:v>
                </c:pt>
                <c:pt idx="3">
                  <c:v>2022/23</c:v>
                </c:pt>
                <c:pt idx="4">
                  <c:v>2023/24</c:v>
                </c:pt>
              </c:strCache>
            </c:strRef>
          </c:cat>
          <c:val>
            <c:numRef>
              <c:f>YouthJustice!$AC$94:$AG$94</c:f>
              <c:numCache>
                <c:formatCode>0.0</c:formatCode>
                <c:ptCount val="5"/>
                <c:pt idx="0">
                  <c:v>205.61986410944709</c:v>
                </c:pt>
                <c:pt idx="1">
                  <c:v>161.97675007747003</c:v>
                </c:pt>
                <c:pt idx="2">
                  <c:v>142.8579949375771</c:v>
                </c:pt>
                <c:pt idx="3">
                  <c:v>148.23399608821128</c:v>
                </c:pt>
                <c:pt idx="4">
                  <c:v>140.66212350333254</c:v>
                </c:pt>
              </c:numCache>
            </c:numRef>
          </c:val>
          <c:smooth val="0"/>
          <c:extLst>
            <c:ext xmlns:c16="http://schemas.microsoft.com/office/drawing/2014/chart" uri="{C3380CC4-5D6E-409C-BE32-E72D297353CC}">
              <c16:uniqueId val="{00000018-F1A5-4C42-B983-8C2440DAA90A}"/>
            </c:ext>
          </c:extLst>
        </c:ser>
        <c:ser>
          <c:idx val="6"/>
          <c:order val="21"/>
          <c:tx>
            <c:strRef>
              <c:f>YouthJustice!$AB$95</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YouthJustice!$AD$2:$AH$3</c:f>
              <c:strCache>
                <c:ptCount val="5"/>
                <c:pt idx="0">
                  <c:v>2019/20</c:v>
                </c:pt>
                <c:pt idx="1">
                  <c:v>2020/21</c:v>
                </c:pt>
                <c:pt idx="2">
                  <c:v>2021/22</c:v>
                </c:pt>
                <c:pt idx="3">
                  <c:v>2022/23</c:v>
                </c:pt>
                <c:pt idx="4">
                  <c:v>2023/24</c:v>
                </c:pt>
              </c:strCache>
            </c:strRef>
          </c:cat>
          <c:val>
            <c:numRef>
              <c:f>YouthJustice!$AC$95:$AG$95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F1A5-4C42-B983-8C2440DAA90A}"/>
            </c:ext>
          </c:extLst>
        </c:ser>
        <c:dLbls>
          <c:showLegendKey val="0"/>
          <c:showVal val="0"/>
          <c:showCatName val="0"/>
          <c:showSerName val="0"/>
          <c:showPercent val="0"/>
          <c:showBubbleSize val="0"/>
        </c:dLbls>
        <c:marker val="1"/>
        <c:smooth val="0"/>
        <c:axId val="684438272"/>
        <c:axId val="684440192"/>
      </c:lineChart>
      <c:catAx>
        <c:axId val="684438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84440192"/>
        <c:crosses val="autoZero"/>
        <c:auto val="1"/>
        <c:lblAlgn val="ctr"/>
        <c:lblOffset val="100"/>
        <c:tickLblSkip val="1"/>
        <c:tickMarkSkip val="1"/>
        <c:noMultiLvlLbl val="0"/>
      </c:catAx>
      <c:valAx>
        <c:axId val="684440192"/>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8443827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First Time Entrants (Selected LA vs. SE) </a:t>
            </a:r>
          </a:p>
        </c:rich>
      </c:tx>
      <c:layout>
        <c:manualLayout>
          <c:xMode val="edge"/>
          <c:yMode val="edge"/>
          <c:x val="0.13687547797784019"/>
          <c:y val="2.7670916135483066E-2"/>
        </c:manualLayout>
      </c:layout>
      <c:overlay val="0"/>
      <c:spPr>
        <a:noFill/>
        <a:ln w="25400">
          <a:noFill/>
        </a:ln>
      </c:spPr>
    </c:title>
    <c:autoTitleDeleted val="0"/>
    <c:plotArea>
      <c:layout>
        <c:manualLayout>
          <c:layoutTarget val="inner"/>
          <c:xMode val="edge"/>
          <c:yMode val="edge"/>
          <c:x val="8.1923483450476176E-2"/>
          <c:y val="0.1713664245008048"/>
          <c:w val="0.67208654823202585"/>
          <c:h val="0.62311388591218997"/>
        </c:manualLayout>
      </c:layout>
      <c:barChart>
        <c:barDir val="col"/>
        <c:grouping val="clustered"/>
        <c:varyColors val="0"/>
        <c:ser>
          <c:idx val="6"/>
          <c:order val="0"/>
          <c:tx>
            <c:strRef>
              <c:f>YouthJustice!$AE$4</c:f>
              <c:strCache>
                <c:ptCount val="1"/>
                <c:pt idx="0">
                  <c:v>Selected LA- (none)</c:v>
                </c:pt>
              </c:strCache>
            </c:strRef>
          </c:tx>
          <c:spPr>
            <a:solidFill>
              <a:srgbClr val="66FF99"/>
            </a:solidFill>
            <a:ln>
              <a:solidFill>
                <a:schemeClr val="tx1">
                  <a:lumMod val="75000"/>
                  <a:lumOff val="25000"/>
                </a:schemeClr>
              </a:solidFill>
            </a:ln>
          </c:spPr>
          <c:invertIfNegative val="0"/>
          <c:cat>
            <c:strRef>
              <c:f>YouthJustice!$AD$2:$AH$3</c:f>
              <c:strCache>
                <c:ptCount val="5"/>
                <c:pt idx="0">
                  <c:v>2019/20</c:v>
                </c:pt>
                <c:pt idx="1">
                  <c:v>2020/21</c:v>
                </c:pt>
                <c:pt idx="2">
                  <c:v>2021/22</c:v>
                </c:pt>
                <c:pt idx="3">
                  <c:v>2022/23</c:v>
                </c:pt>
                <c:pt idx="4">
                  <c:v>2023/24</c:v>
                </c:pt>
              </c:strCache>
            </c:strRef>
          </c:cat>
          <c:val>
            <c:numRef>
              <c:f>YouthJustice!$AC$95:$AG$95</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C90A-4CFF-8151-7A533DEBB167}"/>
            </c:ext>
          </c:extLst>
        </c:ser>
        <c:ser>
          <c:idx val="4"/>
          <c:order val="1"/>
          <c:tx>
            <c:strRef>
              <c:f>YouthJustice!$B$30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YouthJustice!$AD$2:$AH$3</c:f>
              <c:strCache>
                <c:ptCount val="5"/>
                <c:pt idx="0">
                  <c:v>2019/20</c:v>
                </c:pt>
                <c:pt idx="1">
                  <c:v>2020/21</c:v>
                </c:pt>
                <c:pt idx="2">
                  <c:v>2021/22</c:v>
                </c:pt>
                <c:pt idx="3">
                  <c:v>2022/23</c:v>
                </c:pt>
                <c:pt idx="4">
                  <c:v>2023/24</c:v>
                </c:pt>
              </c:strCache>
            </c:strRef>
          </c:cat>
          <c:val>
            <c:numRef>
              <c:f>YouthJustice!$K$30:$O$30</c:f>
              <c:numCache>
                <c:formatCode>0.0</c:formatCode>
                <c:ptCount val="5"/>
                <c:pt idx="0">
                  <c:v>173.32045353624827</c:v>
                </c:pt>
                <c:pt idx="1">
                  <c:v>153.32263484036091</c:v>
                </c:pt>
                <c:pt idx="2">
                  <c:v>131.70036547448044</c:v>
                </c:pt>
                <c:pt idx="3">
                  <c:v>132.76945657902189</c:v>
                </c:pt>
                <c:pt idx="4">
                  <c:v>130.35600992961554</c:v>
                </c:pt>
              </c:numCache>
            </c:numRef>
          </c:val>
          <c:extLst>
            <c:ext xmlns:c16="http://schemas.microsoft.com/office/drawing/2014/chart" uri="{C3380CC4-5D6E-409C-BE32-E72D297353CC}">
              <c16:uniqueId val="{00000001-C90A-4CFF-8151-7A533DEBB167}"/>
            </c:ext>
          </c:extLst>
        </c:ser>
        <c:ser>
          <c:idx val="0"/>
          <c:order val="2"/>
          <c:tx>
            <c:strRef>
              <c:f>YouthJustice!$B$31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YouthJustice!$AD$2:$AH$3</c:f>
              <c:strCache>
                <c:ptCount val="5"/>
                <c:pt idx="0">
                  <c:v>2019/20</c:v>
                </c:pt>
                <c:pt idx="1">
                  <c:v>2020/21</c:v>
                </c:pt>
                <c:pt idx="2">
                  <c:v>2021/22</c:v>
                </c:pt>
                <c:pt idx="3">
                  <c:v>2022/23</c:v>
                </c:pt>
                <c:pt idx="4">
                  <c:v>2023/24</c:v>
                </c:pt>
              </c:strCache>
            </c:strRef>
          </c:cat>
          <c:val>
            <c:numRef>
              <c:f>YouthJustice!$K$31:$O$31</c:f>
              <c:numCache>
                <c:formatCode>0.0</c:formatCode>
                <c:ptCount val="5"/>
                <c:pt idx="0">
                  <c:v>205.61986410944709</c:v>
                </c:pt>
                <c:pt idx="1">
                  <c:v>161.97675007747003</c:v>
                </c:pt>
                <c:pt idx="2">
                  <c:v>142.8579949375771</c:v>
                </c:pt>
                <c:pt idx="3">
                  <c:v>148.23399608821128</c:v>
                </c:pt>
                <c:pt idx="4">
                  <c:v>140.66212350333254</c:v>
                </c:pt>
              </c:numCache>
            </c:numRef>
          </c:val>
          <c:extLst>
            <c:ext xmlns:c16="http://schemas.microsoft.com/office/drawing/2014/chart" uri="{C3380CC4-5D6E-409C-BE32-E72D297353CC}">
              <c16:uniqueId val="{00000002-C90A-4CFF-8151-7A533DEBB167}"/>
            </c:ext>
          </c:extLst>
        </c:ser>
        <c:dLbls>
          <c:showLegendKey val="0"/>
          <c:showVal val="0"/>
          <c:showCatName val="0"/>
          <c:showSerName val="0"/>
          <c:showPercent val="0"/>
          <c:showBubbleSize val="0"/>
        </c:dLbls>
        <c:gapWidth val="100"/>
        <c:axId val="663790336"/>
        <c:axId val="663791872"/>
      </c:barChart>
      <c:catAx>
        <c:axId val="663790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63791872"/>
        <c:crosses val="autoZero"/>
        <c:auto val="1"/>
        <c:lblAlgn val="ctr"/>
        <c:lblOffset val="100"/>
        <c:noMultiLvlLbl val="0"/>
      </c:catAx>
      <c:valAx>
        <c:axId val="663791872"/>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63790336"/>
        <c:crosses val="autoZero"/>
        <c:crossBetween val="between"/>
      </c:valAx>
      <c:spPr>
        <a:noFill/>
        <a:ln w="3175">
          <a:solidFill>
            <a:srgbClr val="000000"/>
          </a:solidFill>
          <a:prstDash val="solid"/>
        </a:ln>
      </c:spPr>
    </c:plotArea>
    <c:legend>
      <c:legendPos val="r"/>
      <c:layout>
        <c:manualLayout>
          <c:xMode val="edge"/>
          <c:yMode val="edge"/>
          <c:x val="0.75990284431229316"/>
          <c:y val="0.16375716349065833"/>
          <c:w val="0.24009715568770687"/>
          <c:h val="0.66267281678547574"/>
        </c:manualLayout>
      </c:layout>
      <c:overlay val="0"/>
      <c:spPr>
        <a:solidFill>
          <a:srgbClr val="FFFFFF"/>
        </a:solidFill>
        <a:ln w="25400">
          <a:noFill/>
        </a:ln>
      </c:spPr>
    </c:legend>
    <c:plotVisOnly val="0"/>
    <c:dispBlanksAs val="span"/>
    <c:showDLblsOverMax val="0"/>
  </c:chart>
  <c:spPr>
    <a:solidFill>
      <a:schemeClr val="bg1"/>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a:pPr>
            <a:r>
              <a:rPr lang="en-GB" sz="1200" b="1"/>
              <a:t>% Juvenile Offenders who are Re-offenders (Selected LA vs. SE &amp; National) </a:t>
            </a:r>
          </a:p>
        </c:rich>
      </c:tx>
      <c:layout>
        <c:manualLayout>
          <c:xMode val="edge"/>
          <c:yMode val="edge"/>
          <c:x val="0.10638392973155583"/>
          <c:y val="0"/>
        </c:manualLayout>
      </c:layout>
      <c:overlay val="0"/>
      <c:spPr>
        <a:noFill/>
        <a:ln w="25400">
          <a:noFill/>
        </a:ln>
      </c:spPr>
    </c:title>
    <c:autoTitleDeleted val="0"/>
    <c:plotArea>
      <c:layout>
        <c:manualLayout>
          <c:layoutTarget val="inner"/>
          <c:xMode val="edge"/>
          <c:yMode val="edge"/>
          <c:x val="9.8666564984461691E-2"/>
          <c:y val="0.25503897141359588"/>
          <c:w val="0.62805618216641856"/>
          <c:h val="0.54183684262874299"/>
        </c:manualLayout>
      </c:layout>
      <c:barChart>
        <c:barDir val="col"/>
        <c:grouping val="clustered"/>
        <c:varyColors val="0"/>
        <c:ser>
          <c:idx val="6"/>
          <c:order val="0"/>
          <c:tx>
            <c:strRef>
              <c:f>YouthJustice!$AE$4</c:f>
              <c:strCache>
                <c:ptCount val="1"/>
                <c:pt idx="0">
                  <c:v>Selected LA- (none)</c:v>
                </c:pt>
              </c:strCache>
            </c:strRef>
          </c:tx>
          <c:spPr>
            <a:solidFill>
              <a:srgbClr val="66FF99"/>
            </a:solidFill>
            <a:ln>
              <a:solidFill>
                <a:schemeClr val="tx1">
                  <a:lumMod val="75000"/>
                  <a:lumOff val="25000"/>
                </a:schemeClr>
              </a:solidFill>
            </a:ln>
          </c:spPr>
          <c:invertIfNegative val="0"/>
          <c:cat>
            <c:strRef>
              <c:f>YouthJustice!$AD$2:$AH$3</c:f>
              <c:strCache>
                <c:ptCount val="5"/>
                <c:pt idx="0">
                  <c:v>2019/20</c:v>
                </c:pt>
                <c:pt idx="1">
                  <c:v>2020/21</c:v>
                </c:pt>
                <c:pt idx="2">
                  <c:v>2021/22</c:v>
                </c:pt>
                <c:pt idx="3">
                  <c:v>2022/23</c:v>
                </c:pt>
                <c:pt idx="4">
                  <c:v>2023/24</c:v>
                </c:pt>
              </c:strCache>
            </c:strRef>
          </c:cat>
          <c:val>
            <c:numRef>
              <c:f>YouthJustice!$AI$95:$AM$95</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D73D-4E72-B64C-A719218BAC07}"/>
            </c:ext>
          </c:extLst>
        </c:ser>
        <c:ser>
          <c:idx val="4"/>
          <c:order val="1"/>
          <c:tx>
            <c:strRef>
              <c:f>YouthJustice!$B$93</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YouthJustice!$AD$2:$AH$3</c:f>
              <c:strCache>
                <c:ptCount val="5"/>
                <c:pt idx="0">
                  <c:v>2019/20</c:v>
                </c:pt>
                <c:pt idx="1">
                  <c:v>2020/21</c:v>
                </c:pt>
                <c:pt idx="2">
                  <c:v>2021/22</c:v>
                </c:pt>
                <c:pt idx="3">
                  <c:v>2022/23</c:v>
                </c:pt>
                <c:pt idx="4">
                  <c:v>2023/24</c:v>
                </c:pt>
              </c:strCache>
            </c:strRef>
          </c:cat>
          <c:val>
            <c:numRef>
              <c:f>YouthJustice!$D$93:$H$93</c:f>
              <c:numCache>
                <c:formatCode>0%</c:formatCode>
                <c:ptCount val="5"/>
                <c:pt idx="0">
                  <c:v>0.36968228325255786</c:v>
                </c:pt>
                <c:pt idx="1">
                  <c:v>0.36812499999999998</c:v>
                </c:pt>
                <c:pt idx="2">
                  <c:v>0.38328861632809508</c:v>
                </c:pt>
                <c:pt idx="3">
                  <c:v>0.32632785632403516</c:v>
                </c:pt>
                <c:pt idx="4">
                  <c:v>0.28545861297539149</c:v>
                </c:pt>
              </c:numCache>
            </c:numRef>
          </c:val>
          <c:extLst>
            <c:ext xmlns:c16="http://schemas.microsoft.com/office/drawing/2014/chart" uri="{C3380CC4-5D6E-409C-BE32-E72D297353CC}">
              <c16:uniqueId val="{00000001-D73D-4E72-B64C-A719218BAC07}"/>
            </c:ext>
          </c:extLst>
        </c:ser>
        <c:ser>
          <c:idx val="0"/>
          <c:order val="2"/>
          <c:tx>
            <c:strRef>
              <c:f>YouthJustice!$B$94</c:f>
              <c:strCache>
                <c:ptCount val="1"/>
                <c:pt idx="0">
                  <c:v>England and Wales</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YouthJustice!$AD$2:$AH$3</c:f>
              <c:strCache>
                <c:ptCount val="5"/>
                <c:pt idx="0">
                  <c:v>2019/20</c:v>
                </c:pt>
                <c:pt idx="1">
                  <c:v>2020/21</c:v>
                </c:pt>
                <c:pt idx="2">
                  <c:v>2021/22</c:v>
                </c:pt>
                <c:pt idx="3">
                  <c:v>2022/23</c:v>
                </c:pt>
                <c:pt idx="4">
                  <c:v>2023/24</c:v>
                </c:pt>
              </c:strCache>
            </c:strRef>
          </c:cat>
          <c:val>
            <c:numRef>
              <c:f>YouthJustice!$D$94:$H$94</c:f>
              <c:numCache>
                <c:formatCode>0%</c:formatCode>
                <c:ptCount val="5"/>
                <c:pt idx="0">
                  <c:v>0.40944175192963561</c:v>
                </c:pt>
                <c:pt idx="1">
                  <c:v>0.38410875920121157</c:v>
                </c:pt>
                <c:pt idx="2">
                  <c:v>0.37775700140240531</c:v>
                </c:pt>
                <c:pt idx="3">
                  <c:v>0.34206330031408555</c:v>
                </c:pt>
                <c:pt idx="4">
                  <c:v>0.31213184609600203</c:v>
                </c:pt>
              </c:numCache>
            </c:numRef>
          </c:val>
          <c:extLst>
            <c:ext xmlns:c16="http://schemas.microsoft.com/office/drawing/2014/chart" uri="{C3380CC4-5D6E-409C-BE32-E72D297353CC}">
              <c16:uniqueId val="{00000002-D73D-4E72-B64C-A719218BAC07}"/>
            </c:ext>
          </c:extLst>
        </c:ser>
        <c:dLbls>
          <c:showLegendKey val="0"/>
          <c:showVal val="0"/>
          <c:showCatName val="0"/>
          <c:showSerName val="0"/>
          <c:showPercent val="0"/>
          <c:showBubbleSize val="0"/>
        </c:dLbls>
        <c:gapWidth val="100"/>
        <c:axId val="674496512"/>
        <c:axId val="674498048"/>
      </c:barChart>
      <c:catAx>
        <c:axId val="674496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74498048"/>
        <c:crosses val="autoZero"/>
        <c:auto val="1"/>
        <c:lblAlgn val="ctr"/>
        <c:lblOffset val="100"/>
        <c:noMultiLvlLbl val="0"/>
      </c:catAx>
      <c:valAx>
        <c:axId val="674498048"/>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74496512"/>
        <c:crosses val="autoZero"/>
        <c:crossBetween val="between"/>
      </c:valAx>
      <c:spPr>
        <a:noFill/>
        <a:ln w="3175">
          <a:solidFill>
            <a:srgbClr val="000000"/>
          </a:solidFill>
          <a:prstDash val="solid"/>
        </a:ln>
      </c:spPr>
    </c:plotArea>
    <c:legend>
      <c:legendPos val="r"/>
      <c:layout>
        <c:manualLayout>
          <c:xMode val="edge"/>
          <c:yMode val="edge"/>
          <c:x val="0.73402965169894308"/>
          <c:y val="0.25294865292083141"/>
          <c:w val="0.26597034830105698"/>
          <c:h val="0.63038410079783413"/>
        </c:manualLayout>
      </c:layout>
      <c:overlay val="0"/>
      <c:spPr>
        <a:solidFill>
          <a:srgbClr val="FFFFFF"/>
        </a:solidFill>
        <a:ln w="25400">
          <a:noFill/>
        </a:ln>
      </c:spPr>
    </c:legend>
    <c:plotVisOnly val="0"/>
    <c:dispBlanksAs val="span"/>
    <c:showDLblsOverMax val="0"/>
  </c:chart>
  <c:spPr>
    <a:solidFill>
      <a:sysClr val="window" lastClr="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 Juvenile Offenders who Re-offend</a:t>
            </a:r>
          </a:p>
        </c:rich>
      </c:tx>
      <c:layout>
        <c:manualLayout>
          <c:xMode val="edge"/>
          <c:yMode val="edge"/>
          <c:x val="0.24380555555555555"/>
          <c:y val="1.8660560120498156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7052856854431659"/>
        </c:manualLayout>
      </c:layout>
      <c:lineChart>
        <c:grouping val="standard"/>
        <c:varyColors val="0"/>
        <c:ser>
          <c:idx val="0"/>
          <c:order val="0"/>
          <c:tx>
            <c:strRef>
              <c:f>YouthJustice!$AB$74</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F9BD-4389-8B19-BAA22E51B036}"/>
              </c:ext>
            </c:extLst>
          </c:dPt>
          <c:cat>
            <c:numRef>
              <c:f>YouthJustice!$D$73:$H$73</c:f>
              <c:numCache>
                <c:formatCode>mmm\-yy</c:formatCode>
                <c:ptCount val="5"/>
                <c:pt idx="0">
                  <c:v>43160</c:v>
                </c:pt>
                <c:pt idx="1">
                  <c:v>43525</c:v>
                </c:pt>
                <c:pt idx="2">
                  <c:v>43891</c:v>
                </c:pt>
                <c:pt idx="3">
                  <c:v>44256</c:v>
                </c:pt>
                <c:pt idx="4">
                  <c:v>44621</c:v>
                </c:pt>
              </c:numCache>
            </c:numRef>
          </c:cat>
          <c:val>
            <c:numRef>
              <c:f>YouthJustice!$AI$74:$AM$74</c:f>
              <c:numCache>
                <c:formatCode>0.0%</c:formatCode>
                <c:ptCount val="5"/>
                <c:pt idx="0">
                  <c:v>0.21276595744680851</c:v>
                </c:pt>
                <c:pt idx="1">
                  <c:v>0.2</c:v>
                </c:pt>
                <c:pt idx="2">
                  <c:v>0.375</c:v>
                </c:pt>
                <c:pt idx="3">
                  <c:v>0.27272727272727271</c:v>
                </c:pt>
                <c:pt idx="4">
                  <c:v>0.2608695652173913</c:v>
                </c:pt>
              </c:numCache>
            </c:numRef>
          </c:val>
          <c:smooth val="0"/>
          <c:extLst>
            <c:ext xmlns:c16="http://schemas.microsoft.com/office/drawing/2014/chart" uri="{C3380CC4-5D6E-409C-BE32-E72D297353CC}">
              <c16:uniqueId val="{00000001-F9BD-4389-8B19-BAA22E51B036}"/>
            </c:ext>
          </c:extLst>
        </c:ser>
        <c:ser>
          <c:idx val="1"/>
          <c:order val="1"/>
          <c:tx>
            <c:strRef>
              <c:f>YouthJustice!$AB$75</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YouthJustice!$D$73:$H$73</c:f>
              <c:numCache>
                <c:formatCode>mmm\-yy</c:formatCode>
                <c:ptCount val="5"/>
                <c:pt idx="0">
                  <c:v>43160</c:v>
                </c:pt>
                <c:pt idx="1">
                  <c:v>43525</c:v>
                </c:pt>
                <c:pt idx="2">
                  <c:v>43891</c:v>
                </c:pt>
                <c:pt idx="3">
                  <c:v>44256</c:v>
                </c:pt>
                <c:pt idx="4">
                  <c:v>44621</c:v>
                </c:pt>
              </c:numCache>
            </c:numRef>
          </c:cat>
          <c:val>
            <c:numRef>
              <c:f>YouthJustice!$AI$75:$AM$75</c:f>
              <c:numCache>
                <c:formatCode>0.0%</c:formatCode>
                <c:ptCount val="5"/>
                <c:pt idx="0">
                  <c:v>0.5847457627118644</c:v>
                </c:pt>
                <c:pt idx="1">
                  <c:v>0.44262295081967212</c:v>
                </c:pt>
                <c:pt idx="2">
                  <c:v>0.5</c:v>
                </c:pt>
                <c:pt idx="3">
                  <c:v>0.50847457627118642</c:v>
                </c:pt>
                <c:pt idx="4">
                  <c:v>0.35483870967741937</c:v>
                </c:pt>
              </c:numCache>
            </c:numRef>
          </c:val>
          <c:smooth val="0"/>
          <c:extLst>
            <c:ext xmlns:c16="http://schemas.microsoft.com/office/drawing/2014/chart" uri="{C3380CC4-5D6E-409C-BE32-E72D297353CC}">
              <c16:uniqueId val="{00000002-F9BD-4389-8B19-BAA22E51B036}"/>
            </c:ext>
          </c:extLst>
        </c:ser>
        <c:ser>
          <c:idx val="2"/>
          <c:order val="2"/>
          <c:tx>
            <c:strRef>
              <c:f>YouthJustice!$AB$76</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numRef>
              <c:f>YouthJustice!$D$73:$H$73</c:f>
              <c:numCache>
                <c:formatCode>mmm\-yy</c:formatCode>
                <c:ptCount val="5"/>
                <c:pt idx="0">
                  <c:v>43160</c:v>
                </c:pt>
                <c:pt idx="1">
                  <c:v>43525</c:v>
                </c:pt>
                <c:pt idx="2">
                  <c:v>43891</c:v>
                </c:pt>
                <c:pt idx="3">
                  <c:v>44256</c:v>
                </c:pt>
                <c:pt idx="4">
                  <c:v>44621</c:v>
                </c:pt>
              </c:numCache>
            </c:numRef>
          </c:cat>
          <c:val>
            <c:numRef>
              <c:f>YouthJustice!$AI$76:$AM$76</c:f>
              <c:numCache>
                <c:formatCode>0.0%</c:formatCode>
                <c:ptCount val="5"/>
                <c:pt idx="0">
                  <c:v>0.35537190082644626</c:v>
                </c:pt>
                <c:pt idx="1">
                  <c:v>0.28767123287671231</c:v>
                </c:pt>
                <c:pt idx="2">
                  <c:v>0.37209302325581395</c:v>
                </c:pt>
                <c:pt idx="3">
                  <c:v>0.23776223776223776</c:v>
                </c:pt>
                <c:pt idx="4">
                  <c:v>0.23529411764705882</c:v>
                </c:pt>
              </c:numCache>
            </c:numRef>
          </c:val>
          <c:smooth val="0"/>
          <c:extLst>
            <c:ext xmlns:c16="http://schemas.microsoft.com/office/drawing/2014/chart" uri="{C3380CC4-5D6E-409C-BE32-E72D297353CC}">
              <c16:uniqueId val="{00000003-F9BD-4389-8B19-BAA22E51B036}"/>
            </c:ext>
          </c:extLst>
        </c:ser>
        <c:ser>
          <c:idx val="5"/>
          <c:order val="3"/>
          <c:tx>
            <c:strRef>
              <c:f>YouthJustice!$AB$77</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numRef>
              <c:f>YouthJustice!$D$73:$H$73</c:f>
              <c:numCache>
                <c:formatCode>mmm\-yy</c:formatCode>
                <c:ptCount val="5"/>
                <c:pt idx="0">
                  <c:v>43160</c:v>
                </c:pt>
                <c:pt idx="1">
                  <c:v>43525</c:v>
                </c:pt>
                <c:pt idx="2">
                  <c:v>43891</c:v>
                </c:pt>
                <c:pt idx="3">
                  <c:v>44256</c:v>
                </c:pt>
                <c:pt idx="4">
                  <c:v>44621</c:v>
                </c:pt>
              </c:numCache>
            </c:numRef>
          </c:cat>
          <c:val>
            <c:numRef>
              <c:f>YouthJustice!$AI$77:$AM$77</c:f>
              <c:numCache>
                <c:formatCode>0.0%</c:formatCode>
                <c:ptCount val="5"/>
                <c:pt idx="0">
                  <c:v>0.38775510204081631</c:v>
                </c:pt>
                <c:pt idx="1">
                  <c:v>0.28169014084507044</c:v>
                </c:pt>
                <c:pt idx="2">
                  <c:v>0.44444444444444442</c:v>
                </c:pt>
                <c:pt idx="3">
                  <c:v>0.33757961783439489</c:v>
                </c:pt>
                <c:pt idx="4">
                  <c:v>0.24647887323943662</c:v>
                </c:pt>
              </c:numCache>
            </c:numRef>
          </c:val>
          <c:smooth val="0"/>
          <c:extLst>
            <c:ext xmlns:c16="http://schemas.microsoft.com/office/drawing/2014/chart" uri="{C3380CC4-5D6E-409C-BE32-E72D297353CC}">
              <c16:uniqueId val="{00000004-F9BD-4389-8B19-BAA22E51B036}"/>
            </c:ext>
          </c:extLst>
        </c:ser>
        <c:ser>
          <c:idx val="9"/>
          <c:order val="4"/>
          <c:tx>
            <c:strRef>
              <c:f>YouthJustice!$AB$78</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numRef>
              <c:f>YouthJustice!$D$73:$H$73</c:f>
              <c:numCache>
                <c:formatCode>mmm\-yy</c:formatCode>
                <c:ptCount val="5"/>
                <c:pt idx="0">
                  <c:v>43160</c:v>
                </c:pt>
                <c:pt idx="1">
                  <c:v>43525</c:v>
                </c:pt>
                <c:pt idx="2">
                  <c:v>43891</c:v>
                </c:pt>
                <c:pt idx="3">
                  <c:v>44256</c:v>
                </c:pt>
                <c:pt idx="4">
                  <c:v>44621</c:v>
                </c:pt>
              </c:numCache>
            </c:numRef>
          </c:cat>
          <c:val>
            <c:numRef>
              <c:f>YouthJustice!$AI$78:$AM$78</c:f>
              <c:numCache>
                <c:formatCode>0.0%</c:formatCode>
                <c:ptCount val="5"/>
                <c:pt idx="0">
                  <c:v>0.45824847250509165</c:v>
                </c:pt>
                <c:pt idx="1">
                  <c:v>0.34468085106382979</c:v>
                </c:pt>
                <c:pt idx="2">
                  <c:v>0.37628865979381443</c:v>
                </c:pt>
                <c:pt idx="3">
                  <c:v>0.32564102564102565</c:v>
                </c:pt>
                <c:pt idx="4">
                  <c:v>0.3086053412462908</c:v>
                </c:pt>
              </c:numCache>
            </c:numRef>
          </c:val>
          <c:smooth val="0"/>
          <c:extLst>
            <c:ext xmlns:c16="http://schemas.microsoft.com/office/drawing/2014/chart" uri="{C3380CC4-5D6E-409C-BE32-E72D297353CC}">
              <c16:uniqueId val="{00000005-F9BD-4389-8B19-BAA22E51B036}"/>
            </c:ext>
          </c:extLst>
        </c:ser>
        <c:ser>
          <c:idx val="10"/>
          <c:order val="5"/>
          <c:tx>
            <c:strRef>
              <c:f>YouthJustice!$AB$79</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numRef>
              <c:f>YouthJustice!$D$73:$H$73</c:f>
              <c:numCache>
                <c:formatCode>mmm\-yy</c:formatCode>
                <c:ptCount val="5"/>
                <c:pt idx="0">
                  <c:v>43160</c:v>
                </c:pt>
                <c:pt idx="1">
                  <c:v>43525</c:v>
                </c:pt>
                <c:pt idx="2">
                  <c:v>43891</c:v>
                </c:pt>
                <c:pt idx="3">
                  <c:v>44256</c:v>
                </c:pt>
                <c:pt idx="4">
                  <c:v>44621</c:v>
                </c:pt>
              </c:numCache>
            </c:numRef>
          </c:cat>
          <c:val>
            <c:numRef>
              <c:f>YouthJustice!$AI$79:$AM$79</c:f>
              <c:numCache>
                <c:formatCode>0.0%</c:formatCode>
                <c:ptCount val="5"/>
                <c:pt idx="0">
                  <c:v>0.5</c:v>
                </c:pt>
                <c:pt idx="1">
                  <c:v>0.45544554455445546</c:v>
                </c:pt>
                <c:pt idx="2">
                  <c:v>0.43055555555555558</c:v>
                </c:pt>
                <c:pt idx="3">
                  <c:v>0.33720930232558138</c:v>
                </c:pt>
                <c:pt idx="4">
                  <c:v>0.34615384615384615</c:v>
                </c:pt>
              </c:numCache>
            </c:numRef>
          </c:val>
          <c:smooth val="0"/>
          <c:extLst>
            <c:ext xmlns:c16="http://schemas.microsoft.com/office/drawing/2014/chart" uri="{C3380CC4-5D6E-409C-BE32-E72D297353CC}">
              <c16:uniqueId val="{00000006-F9BD-4389-8B19-BAA22E51B036}"/>
            </c:ext>
          </c:extLst>
        </c:ser>
        <c:ser>
          <c:idx val="11"/>
          <c:order val="6"/>
          <c:tx>
            <c:strRef>
              <c:f>YouthJustice!$AB$80</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numRef>
              <c:f>YouthJustice!$D$73:$H$73</c:f>
              <c:numCache>
                <c:formatCode>mmm\-yy</c:formatCode>
                <c:ptCount val="5"/>
                <c:pt idx="0">
                  <c:v>43160</c:v>
                </c:pt>
                <c:pt idx="1">
                  <c:v>43525</c:v>
                </c:pt>
                <c:pt idx="2">
                  <c:v>43891</c:v>
                </c:pt>
                <c:pt idx="3">
                  <c:v>44256</c:v>
                </c:pt>
                <c:pt idx="4">
                  <c:v>44621</c:v>
                </c:pt>
              </c:numCache>
            </c:numRef>
          </c:cat>
          <c:val>
            <c:numRef>
              <c:f>YouthJustice!$AI$80:$AM$80</c:f>
              <c:numCache>
                <c:formatCode>0.0%</c:formatCode>
                <c:ptCount val="5"/>
                <c:pt idx="0">
                  <c:v>0.35500878734622143</c:v>
                </c:pt>
                <c:pt idx="1">
                  <c:v>0.34817813765182187</c:v>
                </c:pt>
                <c:pt idx="2">
                  <c:v>0.34180790960451979</c:v>
                </c:pt>
                <c:pt idx="3">
                  <c:v>0.40895522388059702</c:v>
                </c:pt>
                <c:pt idx="4">
                  <c:v>0.2857142857142857</c:v>
                </c:pt>
              </c:numCache>
            </c:numRef>
          </c:val>
          <c:smooth val="0"/>
          <c:extLst>
            <c:ext xmlns:c16="http://schemas.microsoft.com/office/drawing/2014/chart" uri="{C3380CC4-5D6E-409C-BE32-E72D297353CC}">
              <c16:uniqueId val="{00000007-F9BD-4389-8B19-BAA22E51B036}"/>
            </c:ext>
          </c:extLst>
        </c:ser>
        <c:ser>
          <c:idx val="12"/>
          <c:order val="7"/>
          <c:tx>
            <c:strRef>
              <c:f>YouthJustice!$AB$81</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numRef>
              <c:f>YouthJustice!$D$73:$H$73</c:f>
              <c:numCache>
                <c:formatCode>mmm\-yy</c:formatCode>
                <c:ptCount val="5"/>
                <c:pt idx="0">
                  <c:v>43160</c:v>
                </c:pt>
                <c:pt idx="1">
                  <c:v>43525</c:v>
                </c:pt>
                <c:pt idx="2">
                  <c:v>43891</c:v>
                </c:pt>
                <c:pt idx="3">
                  <c:v>44256</c:v>
                </c:pt>
                <c:pt idx="4">
                  <c:v>44621</c:v>
                </c:pt>
              </c:numCache>
            </c:numRef>
          </c:cat>
          <c:val>
            <c:numRef>
              <c:f>YouthJustice!$AI$81:$AM$81</c:f>
              <c:numCache>
                <c:formatCode>0.0%</c:formatCode>
                <c:ptCount val="5"/>
                <c:pt idx="0">
                  <c:v>0.46794871794871795</c:v>
                </c:pt>
                <c:pt idx="1">
                  <c:v>0.35862068965517241</c:v>
                </c:pt>
                <c:pt idx="2">
                  <c:v>0.40517241379310343</c:v>
                </c:pt>
                <c:pt idx="3">
                  <c:v>0.34444444444444444</c:v>
                </c:pt>
                <c:pt idx="4">
                  <c:v>0.38028169014084506</c:v>
                </c:pt>
              </c:numCache>
            </c:numRef>
          </c:val>
          <c:smooth val="0"/>
          <c:extLst>
            <c:ext xmlns:c16="http://schemas.microsoft.com/office/drawing/2014/chart" uri="{C3380CC4-5D6E-409C-BE32-E72D297353CC}">
              <c16:uniqueId val="{00000008-F9BD-4389-8B19-BAA22E51B036}"/>
            </c:ext>
          </c:extLst>
        </c:ser>
        <c:ser>
          <c:idx val="13"/>
          <c:order val="8"/>
          <c:tx>
            <c:strRef>
              <c:f>YouthJustice!$AB$82</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numRef>
              <c:f>YouthJustice!$D$73:$H$73</c:f>
              <c:numCache>
                <c:formatCode>mmm\-yy</c:formatCode>
                <c:ptCount val="5"/>
                <c:pt idx="0">
                  <c:v>43160</c:v>
                </c:pt>
                <c:pt idx="1">
                  <c:v>43525</c:v>
                </c:pt>
                <c:pt idx="2">
                  <c:v>43891</c:v>
                </c:pt>
                <c:pt idx="3">
                  <c:v>44256</c:v>
                </c:pt>
                <c:pt idx="4">
                  <c:v>44621</c:v>
                </c:pt>
              </c:numCache>
            </c:numRef>
          </c:cat>
          <c:val>
            <c:numRef>
              <c:f>YouthJustice!$AI$82:$AM$82</c:f>
              <c:numCache>
                <c:formatCode>0.0%</c:formatCode>
                <c:ptCount val="5"/>
                <c:pt idx="0">
                  <c:v>0.35911602209944754</c:v>
                </c:pt>
                <c:pt idx="1">
                  <c:v>0.40939597315436244</c:v>
                </c:pt>
                <c:pt idx="2">
                  <c:v>0.3135593220338983</c:v>
                </c:pt>
                <c:pt idx="3">
                  <c:v>0.27884615384615385</c:v>
                </c:pt>
                <c:pt idx="4">
                  <c:v>0.2558139534883721</c:v>
                </c:pt>
              </c:numCache>
            </c:numRef>
          </c:val>
          <c:smooth val="0"/>
          <c:extLst>
            <c:ext xmlns:c16="http://schemas.microsoft.com/office/drawing/2014/chart" uri="{C3380CC4-5D6E-409C-BE32-E72D297353CC}">
              <c16:uniqueId val="{00000009-F9BD-4389-8B19-BAA22E51B036}"/>
            </c:ext>
          </c:extLst>
        </c:ser>
        <c:ser>
          <c:idx val="15"/>
          <c:order val="9"/>
          <c:tx>
            <c:strRef>
              <c:f>YouthJustice!$AB$83</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numRef>
              <c:f>YouthJustice!$D$73:$H$73</c:f>
              <c:numCache>
                <c:formatCode>mmm\-yy</c:formatCode>
                <c:ptCount val="5"/>
                <c:pt idx="0">
                  <c:v>43160</c:v>
                </c:pt>
                <c:pt idx="1">
                  <c:v>43525</c:v>
                </c:pt>
                <c:pt idx="2">
                  <c:v>43891</c:v>
                </c:pt>
                <c:pt idx="3">
                  <c:v>44256</c:v>
                </c:pt>
                <c:pt idx="4">
                  <c:v>44621</c:v>
                </c:pt>
              </c:numCache>
            </c:numRef>
          </c:cat>
          <c:val>
            <c:numRef>
              <c:f>YouthJustice!$AI$83:$AM$83</c:f>
              <c:numCache>
                <c:formatCode>0.0%</c:formatCode>
                <c:ptCount val="5"/>
                <c:pt idx="0">
                  <c:v>0.36879432624113473</c:v>
                </c:pt>
                <c:pt idx="1">
                  <c:v>0.29914529914529914</c:v>
                </c:pt>
                <c:pt idx="2">
                  <c:v>0.22222222222222221</c:v>
                </c:pt>
                <c:pt idx="3">
                  <c:v>0.23300970873786409</c:v>
                </c:pt>
                <c:pt idx="4">
                  <c:v>0.23148148148148148</c:v>
                </c:pt>
              </c:numCache>
            </c:numRef>
          </c:val>
          <c:smooth val="0"/>
          <c:extLst>
            <c:ext xmlns:c16="http://schemas.microsoft.com/office/drawing/2014/chart" uri="{C3380CC4-5D6E-409C-BE32-E72D297353CC}">
              <c16:uniqueId val="{0000000A-F9BD-4389-8B19-BAA22E51B036}"/>
            </c:ext>
          </c:extLst>
        </c:ser>
        <c:ser>
          <c:idx val="16"/>
          <c:order val="10"/>
          <c:tx>
            <c:strRef>
              <c:f>YouthJustice!$AB$84</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numRef>
              <c:f>YouthJustice!$D$73:$H$73</c:f>
              <c:numCache>
                <c:formatCode>mmm\-yy</c:formatCode>
                <c:ptCount val="5"/>
                <c:pt idx="0">
                  <c:v>43160</c:v>
                </c:pt>
                <c:pt idx="1">
                  <c:v>43525</c:v>
                </c:pt>
                <c:pt idx="2">
                  <c:v>43891</c:v>
                </c:pt>
                <c:pt idx="3">
                  <c:v>44256</c:v>
                </c:pt>
                <c:pt idx="4">
                  <c:v>44621</c:v>
                </c:pt>
              </c:numCache>
            </c:numRef>
          </c:cat>
          <c:val>
            <c:numRef>
              <c:f>YouthJustice!$AI$84:$AM$84</c:f>
              <c:numCache>
                <c:formatCode>0.0%</c:formatCode>
                <c:ptCount val="5"/>
                <c:pt idx="0">
                  <c:v>0.56830601092896171</c:v>
                </c:pt>
                <c:pt idx="1">
                  <c:v>0.59624413145539901</c:v>
                </c:pt>
                <c:pt idx="2">
                  <c:v>0.48076923076923078</c:v>
                </c:pt>
                <c:pt idx="3">
                  <c:v>0.39086294416243655</c:v>
                </c:pt>
                <c:pt idx="4">
                  <c:v>0.41025641025641024</c:v>
                </c:pt>
              </c:numCache>
            </c:numRef>
          </c:val>
          <c:smooth val="0"/>
          <c:extLst>
            <c:ext xmlns:c16="http://schemas.microsoft.com/office/drawing/2014/chart" uri="{C3380CC4-5D6E-409C-BE32-E72D297353CC}">
              <c16:uniqueId val="{0000000B-F9BD-4389-8B19-BAA22E51B036}"/>
            </c:ext>
          </c:extLst>
        </c:ser>
        <c:ser>
          <c:idx val="17"/>
          <c:order val="11"/>
          <c:tx>
            <c:strRef>
              <c:f>YouthJustice!$AB$85</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numRef>
              <c:f>YouthJustice!$D$73:$H$73</c:f>
              <c:numCache>
                <c:formatCode>mmm\-yy</c:formatCode>
                <c:ptCount val="5"/>
                <c:pt idx="0">
                  <c:v>43160</c:v>
                </c:pt>
                <c:pt idx="1">
                  <c:v>43525</c:v>
                </c:pt>
                <c:pt idx="2">
                  <c:v>43891</c:v>
                </c:pt>
                <c:pt idx="3">
                  <c:v>44256</c:v>
                </c:pt>
                <c:pt idx="4">
                  <c:v>44621</c:v>
                </c:pt>
              </c:numCache>
            </c:numRef>
          </c:cat>
          <c:val>
            <c:numRef>
              <c:f>YouthJustice!$AI$85:$AM$85</c:f>
              <c:numCache>
                <c:formatCode>0.0%</c:formatCode>
                <c:ptCount val="5"/>
                <c:pt idx="0">
                  <c:v>0.32173913043478258</c:v>
                </c:pt>
                <c:pt idx="1">
                  <c:v>0.30864197530864196</c:v>
                </c:pt>
                <c:pt idx="2">
                  <c:v>0.33333333333333331</c:v>
                </c:pt>
                <c:pt idx="3">
                  <c:v>0.23809523809523808</c:v>
                </c:pt>
                <c:pt idx="4">
                  <c:v>0.28125</c:v>
                </c:pt>
              </c:numCache>
            </c:numRef>
          </c:val>
          <c:smooth val="0"/>
          <c:extLst>
            <c:ext xmlns:c16="http://schemas.microsoft.com/office/drawing/2014/chart" uri="{C3380CC4-5D6E-409C-BE32-E72D297353CC}">
              <c16:uniqueId val="{0000000C-F9BD-4389-8B19-BAA22E51B036}"/>
            </c:ext>
          </c:extLst>
        </c:ser>
        <c:ser>
          <c:idx val="19"/>
          <c:order val="12"/>
          <c:tx>
            <c:strRef>
              <c:f>YouthJustice!$AB$86</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numRef>
              <c:f>YouthJustice!$D$73:$H$73</c:f>
              <c:numCache>
                <c:formatCode>mmm\-yy</c:formatCode>
                <c:ptCount val="5"/>
                <c:pt idx="0">
                  <c:v>43160</c:v>
                </c:pt>
                <c:pt idx="1">
                  <c:v>43525</c:v>
                </c:pt>
                <c:pt idx="2">
                  <c:v>43891</c:v>
                </c:pt>
                <c:pt idx="3">
                  <c:v>44256</c:v>
                </c:pt>
                <c:pt idx="4">
                  <c:v>44621</c:v>
                </c:pt>
              </c:numCache>
            </c:numRef>
          </c:cat>
          <c:val>
            <c:numRef>
              <c:f>YouthJustice!$AI$86:$AM$86</c:f>
              <c:numCache>
                <c:formatCode>0.0%</c:formatCode>
                <c:ptCount val="5"/>
                <c:pt idx="0">
                  <c:v>0.41346153846153844</c:v>
                </c:pt>
                <c:pt idx="1">
                  <c:v>0.51020408163265307</c:v>
                </c:pt>
                <c:pt idx="2">
                  <c:v>0.40350877192982454</c:v>
                </c:pt>
                <c:pt idx="3">
                  <c:v>0.27777777777777779</c:v>
                </c:pt>
                <c:pt idx="4">
                  <c:v>0.18</c:v>
                </c:pt>
              </c:numCache>
            </c:numRef>
          </c:val>
          <c:smooth val="0"/>
          <c:extLst>
            <c:ext xmlns:c16="http://schemas.microsoft.com/office/drawing/2014/chart" uri="{C3380CC4-5D6E-409C-BE32-E72D297353CC}">
              <c16:uniqueId val="{0000000D-F9BD-4389-8B19-BAA22E51B036}"/>
            </c:ext>
          </c:extLst>
        </c:ser>
        <c:ser>
          <c:idx val="20"/>
          <c:order val="13"/>
          <c:tx>
            <c:strRef>
              <c:f>YouthJustice!$AB$87</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numRef>
              <c:f>YouthJustice!$D$73:$H$73</c:f>
              <c:numCache>
                <c:formatCode>mmm\-yy</c:formatCode>
                <c:ptCount val="5"/>
                <c:pt idx="0">
                  <c:v>43160</c:v>
                </c:pt>
                <c:pt idx="1">
                  <c:v>43525</c:v>
                </c:pt>
                <c:pt idx="2">
                  <c:v>43891</c:v>
                </c:pt>
                <c:pt idx="3">
                  <c:v>44256</c:v>
                </c:pt>
                <c:pt idx="4">
                  <c:v>44621</c:v>
                </c:pt>
              </c:numCache>
            </c:numRef>
          </c:cat>
          <c:val>
            <c:numRef>
              <c:f>YouthJustice!$AI$87:$AM$87</c:f>
              <c:numCache>
                <c:formatCode>0.0%</c:formatCode>
                <c:ptCount val="5"/>
                <c:pt idx="0">
                  <c:v>0.4157303370786517</c:v>
                </c:pt>
                <c:pt idx="1">
                  <c:v>0.38372093023255816</c:v>
                </c:pt>
                <c:pt idx="2">
                  <c:v>0.50285714285714289</c:v>
                </c:pt>
                <c:pt idx="3">
                  <c:v>0.3559322033898305</c:v>
                </c:pt>
                <c:pt idx="4">
                  <c:v>0.41605839416058393</c:v>
                </c:pt>
              </c:numCache>
            </c:numRef>
          </c:val>
          <c:smooth val="0"/>
          <c:extLst>
            <c:ext xmlns:c16="http://schemas.microsoft.com/office/drawing/2014/chart" uri="{C3380CC4-5D6E-409C-BE32-E72D297353CC}">
              <c16:uniqueId val="{0000000F-F9BD-4389-8B19-BAA22E51B036}"/>
            </c:ext>
          </c:extLst>
        </c:ser>
        <c:ser>
          <c:idx val="22"/>
          <c:order val="14"/>
          <c:tx>
            <c:strRef>
              <c:f>YouthJustice!$AB$88</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numRef>
              <c:f>YouthJustice!$D$73:$H$73</c:f>
              <c:numCache>
                <c:formatCode>mmm\-yy</c:formatCode>
                <c:ptCount val="5"/>
                <c:pt idx="0">
                  <c:v>43160</c:v>
                </c:pt>
                <c:pt idx="1">
                  <c:v>43525</c:v>
                </c:pt>
                <c:pt idx="2">
                  <c:v>43891</c:v>
                </c:pt>
                <c:pt idx="3">
                  <c:v>44256</c:v>
                </c:pt>
                <c:pt idx="4">
                  <c:v>44621</c:v>
                </c:pt>
              </c:numCache>
            </c:numRef>
          </c:cat>
          <c:val>
            <c:numRef>
              <c:f>YouthJustice!$AI$88:$AM$88</c:f>
              <c:numCache>
                <c:formatCode>0.0%</c:formatCode>
                <c:ptCount val="5"/>
                <c:pt idx="0">
                  <c:v>0.40211640211640209</c:v>
                </c:pt>
                <c:pt idx="1">
                  <c:v>0.37128712871287128</c:v>
                </c:pt>
                <c:pt idx="2">
                  <c:v>0.39644970414201186</c:v>
                </c:pt>
                <c:pt idx="3">
                  <c:v>0.32178217821782179</c:v>
                </c:pt>
                <c:pt idx="4">
                  <c:v>0.27717391304347827</c:v>
                </c:pt>
              </c:numCache>
            </c:numRef>
          </c:val>
          <c:smooth val="0"/>
          <c:extLst>
            <c:ext xmlns:c16="http://schemas.microsoft.com/office/drawing/2014/chart" uri="{C3380CC4-5D6E-409C-BE32-E72D297353CC}">
              <c16:uniqueId val="{00000010-F9BD-4389-8B19-BAA22E51B036}"/>
            </c:ext>
          </c:extLst>
        </c:ser>
        <c:ser>
          <c:idx val="23"/>
          <c:order val="15"/>
          <c:tx>
            <c:strRef>
              <c:f>YouthJustice!$AB$89</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numRef>
              <c:f>YouthJustice!$D$73:$H$73</c:f>
              <c:numCache>
                <c:formatCode>mmm\-yy</c:formatCode>
                <c:ptCount val="5"/>
                <c:pt idx="0">
                  <c:v>43160</c:v>
                </c:pt>
                <c:pt idx="1">
                  <c:v>43525</c:v>
                </c:pt>
                <c:pt idx="2">
                  <c:v>43891</c:v>
                </c:pt>
                <c:pt idx="3">
                  <c:v>44256</c:v>
                </c:pt>
                <c:pt idx="4">
                  <c:v>44621</c:v>
                </c:pt>
              </c:numCache>
            </c:numRef>
          </c:cat>
          <c:val>
            <c:numRef>
              <c:f>YouthJustice!$AI$89:$AM$89</c:f>
              <c:numCache>
                <c:formatCode>0.0%</c:formatCode>
                <c:ptCount val="5"/>
                <c:pt idx="0">
                  <c:v>0.44047619047619047</c:v>
                </c:pt>
                <c:pt idx="1">
                  <c:v>0.32894736842105265</c:v>
                </c:pt>
                <c:pt idx="2">
                  <c:v>0.35135135135135137</c:v>
                </c:pt>
                <c:pt idx="3">
                  <c:v>0.29411764705882354</c:v>
                </c:pt>
                <c:pt idx="4">
                  <c:v>0.2</c:v>
                </c:pt>
              </c:numCache>
            </c:numRef>
          </c:val>
          <c:smooth val="0"/>
          <c:extLst>
            <c:ext xmlns:c16="http://schemas.microsoft.com/office/drawing/2014/chart" uri="{C3380CC4-5D6E-409C-BE32-E72D297353CC}">
              <c16:uniqueId val="{00000013-F9BD-4389-8B19-BAA22E51B036}"/>
            </c:ext>
          </c:extLst>
        </c:ser>
        <c:ser>
          <c:idx val="24"/>
          <c:order val="16"/>
          <c:tx>
            <c:strRef>
              <c:f>YouthJustice!$AB$90</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numRef>
              <c:f>YouthJustice!$D$73:$H$73</c:f>
              <c:numCache>
                <c:formatCode>mmm\-yy</c:formatCode>
                <c:ptCount val="5"/>
                <c:pt idx="0">
                  <c:v>43160</c:v>
                </c:pt>
                <c:pt idx="1">
                  <c:v>43525</c:v>
                </c:pt>
                <c:pt idx="2">
                  <c:v>43891</c:v>
                </c:pt>
                <c:pt idx="3">
                  <c:v>44256</c:v>
                </c:pt>
                <c:pt idx="4">
                  <c:v>44621</c:v>
                </c:pt>
              </c:numCache>
            </c:numRef>
          </c:cat>
          <c:val>
            <c:numRef>
              <c:f>YouthJustice!$AI$90:$AM$90</c:f>
              <c:numCache>
                <c:formatCode>0.0%</c:formatCode>
                <c:ptCount val="5"/>
                <c:pt idx="0">
                  <c:v>0.37223974763406942</c:v>
                </c:pt>
                <c:pt idx="1">
                  <c:v>0.38388625592417064</c:v>
                </c:pt>
                <c:pt idx="2">
                  <c:v>0.38732394366197181</c:v>
                </c:pt>
                <c:pt idx="3">
                  <c:v>0.31690140845070425</c:v>
                </c:pt>
                <c:pt idx="4">
                  <c:v>0.16842105263157894</c:v>
                </c:pt>
              </c:numCache>
            </c:numRef>
          </c:val>
          <c:smooth val="0"/>
          <c:extLst>
            <c:ext xmlns:c16="http://schemas.microsoft.com/office/drawing/2014/chart" uri="{C3380CC4-5D6E-409C-BE32-E72D297353CC}">
              <c16:uniqueId val="{00000014-F9BD-4389-8B19-BAA22E51B036}"/>
            </c:ext>
          </c:extLst>
        </c:ser>
        <c:ser>
          <c:idx val="25"/>
          <c:order val="17"/>
          <c:tx>
            <c:strRef>
              <c:f>YouthJustice!$AB$91</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numRef>
              <c:f>YouthJustice!$D$73:$H$73</c:f>
              <c:numCache>
                <c:formatCode>mmm\-yy</c:formatCode>
                <c:ptCount val="5"/>
                <c:pt idx="0">
                  <c:v>43160</c:v>
                </c:pt>
                <c:pt idx="1">
                  <c:v>43525</c:v>
                </c:pt>
                <c:pt idx="2">
                  <c:v>43891</c:v>
                </c:pt>
                <c:pt idx="3">
                  <c:v>44256</c:v>
                </c:pt>
                <c:pt idx="4">
                  <c:v>44621</c:v>
                </c:pt>
              </c:numCache>
            </c:numRef>
          </c:cat>
          <c:val>
            <c:numRef>
              <c:f>YouthJustice!$AI$91:$AM$91</c:f>
              <c:numCache>
                <c:formatCode>0.0%</c:formatCode>
                <c:ptCount val="5"/>
                <c:pt idx="0">
                  <c:v>0.27500000000000002</c:v>
                </c:pt>
                <c:pt idx="1">
                  <c:v>0.29545454545454547</c:v>
                </c:pt>
                <c:pt idx="2">
                  <c:v>0.28125</c:v>
                </c:pt>
                <c:pt idx="3">
                  <c:v>0.11538461538461539</c:v>
                </c:pt>
                <c:pt idx="4">
                  <c:v>3.2258064516129031E-2</c:v>
                </c:pt>
              </c:numCache>
            </c:numRef>
          </c:val>
          <c:smooth val="0"/>
          <c:extLst>
            <c:ext xmlns:c16="http://schemas.microsoft.com/office/drawing/2014/chart" uri="{C3380CC4-5D6E-409C-BE32-E72D297353CC}">
              <c16:uniqueId val="{00000015-F9BD-4389-8B19-BAA22E51B036}"/>
            </c:ext>
          </c:extLst>
        </c:ser>
        <c:ser>
          <c:idx val="26"/>
          <c:order val="18"/>
          <c:tx>
            <c:strRef>
              <c:f>YouthJustice!$AB$92</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numRef>
              <c:f>YouthJustice!$D$73:$H$73</c:f>
              <c:numCache>
                <c:formatCode>mmm\-yy</c:formatCode>
                <c:ptCount val="5"/>
                <c:pt idx="0">
                  <c:v>43160</c:v>
                </c:pt>
                <c:pt idx="1">
                  <c:v>43525</c:v>
                </c:pt>
                <c:pt idx="2">
                  <c:v>43891</c:v>
                </c:pt>
                <c:pt idx="3">
                  <c:v>44256</c:v>
                </c:pt>
                <c:pt idx="4">
                  <c:v>44621</c:v>
                </c:pt>
              </c:numCache>
            </c:numRef>
          </c:cat>
          <c:val>
            <c:numRef>
              <c:f>YouthJustice!$AI$92:$AM$92</c:f>
              <c:numCache>
                <c:formatCode>0.0%</c:formatCode>
                <c:ptCount val="5"/>
                <c:pt idx="0">
                  <c:v>0.33333333333333331</c:v>
                </c:pt>
                <c:pt idx="1">
                  <c:v>0.30188679245283018</c:v>
                </c:pt>
                <c:pt idx="2">
                  <c:v>0.34090909090909088</c:v>
                </c:pt>
                <c:pt idx="3">
                  <c:v>0.3235294117647059</c:v>
                </c:pt>
                <c:pt idx="4">
                  <c:v>0.32500000000000001</c:v>
                </c:pt>
              </c:numCache>
            </c:numRef>
          </c:val>
          <c:smooth val="0"/>
          <c:extLst>
            <c:ext xmlns:c16="http://schemas.microsoft.com/office/drawing/2014/chart" uri="{C3380CC4-5D6E-409C-BE32-E72D297353CC}">
              <c16:uniqueId val="{00000016-F9BD-4389-8B19-BAA22E51B036}"/>
            </c:ext>
          </c:extLst>
        </c:ser>
        <c:ser>
          <c:idx val="4"/>
          <c:order val="19"/>
          <c:tx>
            <c:strRef>
              <c:f>YouthJustice!$AB$93</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numRef>
              <c:f>YouthJustice!$D$73:$H$73</c:f>
              <c:numCache>
                <c:formatCode>mmm\-yy</c:formatCode>
                <c:ptCount val="5"/>
                <c:pt idx="0">
                  <c:v>43160</c:v>
                </c:pt>
                <c:pt idx="1">
                  <c:v>43525</c:v>
                </c:pt>
                <c:pt idx="2">
                  <c:v>43891</c:v>
                </c:pt>
                <c:pt idx="3">
                  <c:v>44256</c:v>
                </c:pt>
                <c:pt idx="4">
                  <c:v>44621</c:v>
                </c:pt>
              </c:numCache>
            </c:numRef>
          </c:cat>
          <c:val>
            <c:numRef>
              <c:f>YouthJustice!$AI$93:$AM$93</c:f>
              <c:numCache>
                <c:formatCode>0.0%</c:formatCode>
                <c:ptCount val="5"/>
                <c:pt idx="0">
                  <c:v>0.36968228325255786</c:v>
                </c:pt>
                <c:pt idx="1">
                  <c:v>0.36812499999999998</c:v>
                </c:pt>
                <c:pt idx="2">
                  <c:v>0.38328861632809508</c:v>
                </c:pt>
                <c:pt idx="3">
                  <c:v>0.32632785632403516</c:v>
                </c:pt>
                <c:pt idx="4">
                  <c:v>0.28545861297539149</c:v>
                </c:pt>
              </c:numCache>
            </c:numRef>
          </c:val>
          <c:smooth val="0"/>
          <c:extLst>
            <c:ext xmlns:c16="http://schemas.microsoft.com/office/drawing/2014/chart" uri="{C3380CC4-5D6E-409C-BE32-E72D297353CC}">
              <c16:uniqueId val="{00000017-F9BD-4389-8B19-BAA22E51B036}"/>
            </c:ext>
          </c:extLst>
        </c:ser>
        <c:ser>
          <c:idx val="14"/>
          <c:order val="20"/>
          <c:tx>
            <c:strRef>
              <c:f>YouthJustice!$AB$94</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numRef>
              <c:f>YouthJustice!$D$73:$H$73</c:f>
              <c:numCache>
                <c:formatCode>mmm\-yy</c:formatCode>
                <c:ptCount val="5"/>
                <c:pt idx="0">
                  <c:v>43160</c:v>
                </c:pt>
                <c:pt idx="1">
                  <c:v>43525</c:v>
                </c:pt>
                <c:pt idx="2">
                  <c:v>43891</c:v>
                </c:pt>
                <c:pt idx="3">
                  <c:v>44256</c:v>
                </c:pt>
                <c:pt idx="4">
                  <c:v>44621</c:v>
                </c:pt>
              </c:numCache>
            </c:numRef>
          </c:cat>
          <c:val>
            <c:numRef>
              <c:f>YouthJustice!$AI$94:$AM$94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F9BD-4389-8B19-BAA22E51B036}"/>
            </c:ext>
          </c:extLst>
        </c:ser>
        <c:ser>
          <c:idx val="6"/>
          <c:order val="21"/>
          <c:tx>
            <c:strRef>
              <c:f>YouthJustice!$AB$95</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numRef>
              <c:f>YouthJustice!$D$73:$H$73</c:f>
              <c:numCache>
                <c:formatCode>mmm\-yy</c:formatCode>
                <c:ptCount val="5"/>
                <c:pt idx="0">
                  <c:v>43160</c:v>
                </c:pt>
                <c:pt idx="1">
                  <c:v>43525</c:v>
                </c:pt>
                <c:pt idx="2">
                  <c:v>43891</c:v>
                </c:pt>
                <c:pt idx="3">
                  <c:v>44256</c:v>
                </c:pt>
                <c:pt idx="4">
                  <c:v>44621</c:v>
                </c:pt>
              </c:numCache>
            </c:numRef>
          </c:cat>
          <c:val>
            <c:numRef>
              <c:f>YouthJustice!$AI$95:$AM$95</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F9BD-4389-8B19-BAA22E51B036}"/>
            </c:ext>
          </c:extLst>
        </c:ser>
        <c:dLbls>
          <c:showLegendKey val="0"/>
          <c:showVal val="0"/>
          <c:showCatName val="0"/>
          <c:showSerName val="0"/>
          <c:showPercent val="0"/>
          <c:showBubbleSize val="0"/>
        </c:dLbls>
        <c:marker val="1"/>
        <c:smooth val="0"/>
        <c:axId val="684351872"/>
        <c:axId val="684353792"/>
      </c:lineChart>
      <c:catAx>
        <c:axId val="684351872"/>
        <c:scaling>
          <c:orientation val="minMax"/>
        </c:scaling>
        <c:delete val="0"/>
        <c:axPos val="b"/>
        <c:numFmt formatCode="mmm\-yy" sourceLinked="1"/>
        <c:majorTickMark val="out"/>
        <c:minorTickMark val="none"/>
        <c:tickLblPos val="nextTo"/>
        <c:spPr>
          <a:ln w="3175">
            <a:solidFill>
              <a:srgbClr val="000000"/>
            </a:solidFill>
            <a:prstDash val="solid"/>
          </a:ln>
        </c:spPr>
        <c:txPr>
          <a:bodyPr rot="0" vert="horz"/>
          <a:lstStyle/>
          <a:p>
            <a:pPr>
              <a:defRPr/>
            </a:pPr>
            <a:endParaRPr lang="en-US"/>
          </a:p>
        </c:txPr>
        <c:crossAx val="684353792"/>
        <c:crosses val="autoZero"/>
        <c:auto val="0"/>
        <c:lblAlgn val="ctr"/>
        <c:lblOffset val="100"/>
        <c:tickLblSkip val="1"/>
        <c:tickMarkSkip val="1"/>
        <c:noMultiLvlLbl val="0"/>
      </c:catAx>
      <c:valAx>
        <c:axId val="684353792"/>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84351872"/>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7109092691214423"/>
          <c:y val="6.7970487690665396E-2"/>
          <c:w val="0.31566325129860862"/>
          <c:h val="0.90536289117706437"/>
        </c:manualLayout>
      </c:layout>
      <c:overlay val="0"/>
      <c:spPr>
        <a:solidFill>
          <a:srgbClr val="FFFFFF"/>
        </a:solidFill>
        <a:ln w="25400">
          <a:noFill/>
        </a:ln>
      </c:spPr>
    </c:legend>
    <c:plotVisOnly val="0"/>
    <c:dispBlanksAs val="span"/>
    <c:showDLblsOverMax val="0"/>
  </c:chart>
  <c:spPr>
    <a:solidFill>
      <a:schemeClr val="bg1"/>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First Time Entrants to Youth Justice System vs. IDACI</a:t>
            </a:r>
          </a:p>
        </c:rich>
      </c:tx>
      <c:layout>
        <c:manualLayout>
          <c:xMode val="edge"/>
          <c:yMode val="edge"/>
          <c:x val="0.11969414782056352"/>
          <c:y val="1.8107871651178737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5"/>
          <c:order val="4"/>
          <c:tx>
            <c:strRef>
              <c:f>YouthJustice!$AC$38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8425-47F3-B678-7AEE5CDC4EFD}"/>
                </c:ext>
              </c:extLst>
            </c:dLbl>
            <c:dLbl>
              <c:idx val="1"/>
              <c:layout>
                <c:manualLayout>
                  <c:x val="-6.1403508771929717E-2"/>
                  <c:y val="-2.4132730015082957E-2"/>
                </c:manualLayout>
              </c:layout>
              <c:tx>
                <c:strRef>
                  <c:f>YouthJustice!$AH$39</c:f>
                  <c:strCache>
                    <c:ptCount val="1"/>
                    <c:pt idx="0">
                      <c:v>r² = 0.38</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{7C8DD49D-6D49-44F8-A888-26BC2A2E322D}</c15:txfldGUID>
                      <c15:f>YouthJustice!$AH$39</c15:f>
                      <c15:dlblFieldTableCache>
                        <c:ptCount val="1"/>
                        <c:pt idx="0">
                          <c:v>r² = 0.38</c:v>
                        </c:pt>
                      </c15:dlblFieldTableCache>
                    </c15:dlblFTEntry>
                  </c15:dlblFieldTable>
                  <c15:showDataLabelsRange val="0"/>
                </c:ext>
                <c:ext xmlns:c16="http://schemas.microsoft.com/office/drawing/2014/chart" uri="{C3380CC4-5D6E-409C-BE32-E72D297353CC}">
                  <c16:uniqueId val="{00000001-8425-47F3-B678-7AEE5CDC4EF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YouthJustice!$AF$38:$AF$39</c:f>
              <c:numCache>
                <c:formatCode>General</c:formatCode>
                <c:ptCount val="2"/>
                <c:pt idx="0" formatCode="#,##0.0">
                  <c:v>3</c:v>
                </c:pt>
                <c:pt idx="1">
                  <c:v>22</c:v>
                </c:pt>
              </c:numCache>
            </c:numRef>
          </c:xVal>
          <c:yVal>
            <c:numRef>
              <c:f>YouthJustice!$AG$38:$AG$39</c:f>
              <c:numCache>
                <c:formatCode>0.0</c:formatCode>
                <c:ptCount val="2"/>
                <c:pt idx="0">
                  <c:v>64.063504882329099</c:v>
                </c:pt>
                <c:pt idx="1">
                  <c:v>232.35650285512145</c:v>
                </c:pt>
              </c:numCache>
            </c:numRef>
          </c:yVal>
          <c:smooth val="1"/>
          <c:extLst>
            <c:ext xmlns:c16="http://schemas.microsoft.com/office/drawing/2014/chart" uri="{C3380CC4-5D6E-409C-BE32-E72D297353CC}">
              <c16:uniqueId val="{00000002-8425-47F3-B678-7AEE5CDC4EFD}"/>
            </c:ext>
          </c:extLst>
        </c:ser>
        <c:dLbls>
          <c:showLegendKey val="0"/>
          <c:showVal val="0"/>
          <c:showCatName val="0"/>
          <c:showSerName val="0"/>
          <c:showPercent val="0"/>
          <c:showBubbleSize val="0"/>
        </c:dLbls>
        <c:axId val="685056768"/>
        <c:axId val="685058304"/>
      </c:scatterChart>
      <c:scatterChart>
        <c:scatterStyle val="lineMarker"/>
        <c:varyColors val="0"/>
        <c:ser>
          <c:idx val="0"/>
          <c:order val="0"/>
          <c:tx>
            <c:strRef>
              <c:f>YouthJustice!$AH$71</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8425-47F3-B678-7AEE5CDC4EFD}"/>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{BAC85B24-5552-4F40-8221-B971A4C7C2F2}</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8425-47F3-B678-7AEE5CDC4EFD}"/>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{8AE5EEE9-8328-42E9-BA20-BEBDA0A4FEED}</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8425-47F3-B678-7AEE5CDC4EFD}"/>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{D54D1F52-E692-44D2-B3A0-76847FD16F34}</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8425-47F3-B678-7AEE5CDC4EFD}"/>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{F28CE9A7-3652-4EE8-AC84-576509DAC3C2}</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8425-47F3-B678-7AEE5CDC4EFD}"/>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{689B4362-1B0D-48AE-8B68-FE2E6EA9B268}</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8-8425-47F3-B678-7AEE5CDC4EFD}"/>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{318E0016-B07C-4A9F-A819-4724F6322A3C}</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8425-47F3-B678-7AEE5CDC4EFD}"/>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{C915D304-12A1-4B1A-80F5-4DB5BC1C7D37}</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A-8425-47F3-B678-7AEE5CDC4EFD}"/>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{E3536CF3-1FB0-4DE0-99B4-76F2E97046E6}</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B-8425-47F3-B678-7AEE5CDC4EFD}"/>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{63E6FBA9-4154-4BFB-BA45-85D0EEC39D8C}</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8425-47F3-B678-7AEE5CDC4EFD}"/>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{FEC10D01-5EB3-44A3-9409-94C36FC4CE4F}</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8425-47F3-B678-7AEE5CDC4EFD}"/>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{22865DAF-545D-4CDC-A915-9C78025274C7}</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8425-47F3-B678-7AEE5CDC4EFD}"/>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{E1D34413-D247-4F61-A194-F9EBA6A01999}</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F-8425-47F3-B678-7AEE5CDC4EFD}"/>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{FAE16EF3-0D6E-49F0-BB9F-FEF3FD418AC4}</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10-8425-47F3-B678-7AEE5CDC4EFD}"/>
                </c:ext>
              </c:extLst>
            </c:dLbl>
            <c:dLbl>
              <c:idx val="13"/>
              <c:tx>
                <c:strRef>
                  <c:f>ReportData!$K$17</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{DD0D3E4B-7C75-499E-A0BC-AB4A97A5E6E9}</c15:txfldGUID>
                      <c15:f>ReportData!$K$17</c15:f>
                      <c15:dlblFieldTableCache>
                        <c:ptCount val="1"/>
                        <c:pt idx="0">
                          <c:v>Southampton</c:v>
                        </c:pt>
                      </c15:dlblFieldTableCache>
                    </c15:dlblFTEntry>
                  </c15:dlblFieldTable>
                  <c15:showDataLabelsRange val="0"/>
                </c:ext>
                <c:ext xmlns:c16="http://schemas.microsoft.com/office/drawing/2014/chart" uri="{C3380CC4-5D6E-409C-BE32-E72D297353CC}">
                  <c16:uniqueId val="{00000011-8425-47F3-B678-7AEE5CDC4EFD}"/>
                </c:ext>
              </c:extLst>
            </c:dLbl>
            <c:dLbl>
              <c:idx val="14"/>
              <c:tx>
                <c:strRef>
                  <c:f>ReportData!$K$18</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{64BDA18D-62C1-4AB6-BFC0-EFCC25642E68}</c15:txfldGUID>
                      <c15:f>ReportData!$K$18</c15:f>
                      <c15:dlblFieldTableCache>
                        <c:ptCount val="1"/>
                        <c:pt idx="0">
                          <c:v>Surrey</c:v>
                        </c:pt>
                      </c15:dlblFieldTableCache>
                    </c15:dlblFTEntry>
                  </c15:dlblFieldTable>
                  <c15:showDataLabelsRange val="0"/>
                </c:ext>
                <c:ext xmlns:c16="http://schemas.microsoft.com/office/drawing/2014/chart" uri="{C3380CC4-5D6E-409C-BE32-E72D297353CC}">
                  <c16:uniqueId val="{00000012-8425-47F3-B678-7AEE5CDC4EFD}"/>
                </c:ext>
              </c:extLst>
            </c:dLbl>
            <c:dLbl>
              <c:idx val="15"/>
              <c:tx>
                <c:strRef>
                  <c:f>ReportData!$K$19</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{830F9576-43F9-481B-9E56-546942BB54A6}</c15:txfldGUID>
                      <c15:f>ReportData!$K$19</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8425-47F3-B678-7AEE5CDC4EFD}"/>
                </c:ext>
              </c:extLst>
            </c:dLbl>
            <c:dLbl>
              <c:idx val="16"/>
              <c:tx>
                <c:strRef>
                  <c:f>ReportData!$K$20</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{D79909CB-9CE6-4DE4-B955-27523A79D3FE}</c15:txfldGUID>
                      <c15:f>ReportData!$K$20</c15:f>
                      <c15:dlblFieldTableCache>
                        <c:ptCount val="1"/>
                        <c:pt idx="0">
                          <c:v>West Sussex</c:v>
                        </c:pt>
                      </c15:dlblFieldTableCache>
                    </c15:dlblFTEntry>
                  </c15:dlblFieldTable>
                  <c15:showDataLabelsRange val="0"/>
                </c:ext>
                <c:ext xmlns:c16="http://schemas.microsoft.com/office/drawing/2014/chart" uri="{C3380CC4-5D6E-409C-BE32-E72D297353CC}">
                  <c16:uniqueId val="{00000014-8425-47F3-B678-7AEE5CDC4EFD}"/>
                </c:ext>
              </c:extLst>
            </c:dLbl>
            <c:dLbl>
              <c:idx val="17"/>
              <c:layout>
                <c:manualLayout>
                  <c:x val="-2.1259252882280515E-2"/>
                  <c:y val="1.782607922639495E-2"/>
                </c:manualLayout>
              </c:layout>
              <c:tx>
                <c:strRef>
                  <c:f>ReportData!$K$21</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{ED0F3F77-D1DD-4CDF-85A0-0B6C377DA6F7}</c15:txfldGUID>
                      <c15:f>ReportData!$K$21</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8425-47F3-B678-7AEE5CDC4EFD}"/>
                </c:ext>
              </c:extLst>
            </c:dLbl>
            <c:dLbl>
              <c:idx val="18"/>
              <c:tx>
                <c:strRef>
                  <c:f>ReportData!$K$22</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{B3DAF35C-6760-42F6-80BD-9BAB26324A53}</c15:txfldGUID>
                      <c15:f>ReportData!$K$22</c15:f>
                      <c15:dlblFieldTableCache>
                        <c:ptCount val="1"/>
                        <c:pt idx="0">
                          <c:v>Wokingham</c:v>
                        </c:pt>
                      </c15:dlblFieldTableCache>
                    </c15:dlblFTEntry>
                  </c15:dlblFieldTable>
                  <c15:showDataLabelsRange val="0"/>
                </c:ext>
                <c:ext xmlns:c16="http://schemas.microsoft.com/office/drawing/2014/chart" uri="{C3380CC4-5D6E-409C-BE32-E72D297353CC}">
                  <c16:uniqueId val="{00000016-8425-47F3-B678-7AEE5CDC4EFD}"/>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YouthJustice!$AH$74:$AH$92</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YouthJustice!$AG$74:$AG$92</c:f>
              <c:numCache>
                <c:formatCode>0.0</c:formatCode>
                <c:ptCount val="19"/>
                <c:pt idx="0">
                  <c:v>133.74816983894581</c:v>
                </c:pt>
                <c:pt idx="1">
                  <c:v>195.94830597275586</c:v>
                </c:pt>
                <c:pt idx="2">
                  <c:v>159.30326450571002</c:v>
                </c:pt>
                <c:pt idx="3">
                  <c:v>124.54595704358812</c:v>
                </c:pt>
                <c:pt idx="4">
                  <c:v>87.405526601036428</c:v>
                </c:pt>
                <c:pt idx="5">
                  <c:v>338.8364779874214</c:v>
                </c:pt>
                <c:pt idx="6">
                  <c:v>161.80879311821644</c:v>
                </c:pt>
                <c:pt idx="7">
                  <c:v>177.55149424524859</c:v>
                </c:pt>
                <c:pt idx="8">
                  <c:v>128.56514729591089</c:v>
                </c:pt>
                <c:pt idx="9">
                  <c:v>182.19470359369117</c:v>
                </c:pt>
                <c:pt idx="10">
                  <c:v>223.42493825863065</c:v>
                </c:pt>
                <c:pt idx="11">
                  <c:v>254.63763793617656</c:v>
                </c:pt>
                <c:pt idx="12">
                  <c:v>157.69626328419611</c:v>
                </c:pt>
                <c:pt idx="13">
                  <c:v>140.37974120681224</c:v>
                </c:pt>
                <c:pt idx="14">
                  <c:v>62.186631181237082</c:v>
                </c:pt>
                <c:pt idx="15">
                  <c:v>131.46892655367233</c:v>
                </c:pt>
                <c:pt idx="16">
                  <c:v>81.725660582304187</c:v>
                </c:pt>
                <c:pt idx="17">
                  <c:v>94.421344421344429</c:v>
                </c:pt>
                <c:pt idx="18">
                  <c:v>76.688125558009489</c:v>
                </c:pt>
              </c:numCache>
            </c:numRef>
          </c:yVal>
          <c:smooth val="0"/>
          <c:extLst>
            <c:ext xmlns:c16="http://schemas.microsoft.com/office/drawing/2014/chart" uri="{C3380CC4-5D6E-409C-BE32-E72D297353CC}">
              <c16:uniqueId val="{00000017-8425-47F3-B678-7AEE5CDC4EFD}"/>
            </c:ext>
          </c:extLst>
        </c:ser>
        <c:ser>
          <c:idx val="1"/>
          <c:order val="1"/>
          <c:tx>
            <c:strRef>
              <c:f>YouthJustice!$AE$4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YouthJustice!$AH$95</c:f>
              <c:numCache>
                <c:formatCode>0.0</c:formatCode>
                <c:ptCount val="1"/>
                <c:pt idx="0">
                  <c:v>#N/A</c:v>
                </c:pt>
              </c:numCache>
            </c:numRef>
          </c:xVal>
          <c:yVal>
            <c:numRef>
              <c:f>YouthJustice!$AG$95</c:f>
              <c:numCache>
                <c:formatCode>0.0</c:formatCode>
                <c:ptCount val="1"/>
                <c:pt idx="0">
                  <c:v>#N/A</c:v>
                </c:pt>
              </c:numCache>
            </c:numRef>
          </c:yVal>
          <c:smooth val="0"/>
          <c:extLst>
            <c:ext xmlns:c16="http://schemas.microsoft.com/office/drawing/2014/chart" uri="{C3380CC4-5D6E-409C-BE32-E72D297353CC}">
              <c16:uniqueId val="{0000001C-8425-47F3-B678-7AEE5CDC4EFD}"/>
            </c:ext>
          </c:extLst>
        </c:ser>
        <c:ser>
          <c:idx val="4"/>
          <c:order val="2"/>
          <c:tx>
            <c:strRef>
              <c:f>YouthJustice!$B$30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YouthJustice!$AH$93</c:f>
              <c:numCache>
                <c:formatCode>0.0</c:formatCode>
                <c:ptCount val="1"/>
                <c:pt idx="0">
                  <c:v>12.371268250968637</c:v>
                </c:pt>
              </c:numCache>
            </c:numRef>
          </c:xVal>
          <c:yVal>
            <c:numRef>
              <c:f>YouthJustice!$O$30</c:f>
              <c:numCache>
                <c:formatCode>0.0</c:formatCode>
                <c:ptCount val="1"/>
                <c:pt idx="0">
                  <c:v>130.35600992961554</c:v>
                </c:pt>
              </c:numCache>
            </c:numRef>
          </c:yVal>
          <c:smooth val="0"/>
          <c:extLst>
            <c:ext xmlns:c16="http://schemas.microsoft.com/office/drawing/2014/chart" uri="{C3380CC4-5D6E-409C-BE32-E72D297353CC}">
              <c16:uniqueId val="{0000001D-8425-47F3-B678-7AEE5CDC4EFD}"/>
            </c:ext>
          </c:extLst>
        </c:ser>
        <c:ser>
          <c:idx val="2"/>
          <c:order val="3"/>
          <c:tx>
            <c:strRef>
              <c:f>YouthJustice!$AC$40</c:f>
              <c:strCache>
                <c:ptCount val="1"/>
                <c:pt idx="0">
                  <c:v>National Trend 2024</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8425-47F3-B678-7AEE5CDC4EFD}"/>
                </c:ext>
              </c:extLst>
            </c:dLbl>
            <c:dLbl>
              <c:idx val="1"/>
              <c:layout>
                <c:manualLayout>
                  <c:x val="-6.3726573651977717E-2"/>
                  <c:y val="-2.7149321266968326E-2"/>
                </c:manualLayout>
              </c:layout>
              <c:tx>
                <c:strRef>
                  <c:f>YouthJustice!$AH$40</c:f>
                  <c:strCache>
                    <c:ptCount val="1"/>
                    <c:pt idx="0">
                      <c:v>r² = 0.344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{6547AA60-1858-4B2B-9F38-46808BAB196D}</c15:txfldGUID>
                      <c15:f>YouthJustice!$AH$40</c15:f>
                      <c15:dlblFieldTableCache>
                        <c:ptCount val="1"/>
                        <c:pt idx="0">
                          <c:v>r² = 0.344</c:v>
                        </c:pt>
                      </c15:dlblFieldTableCache>
                    </c15:dlblFTEntry>
                  </c15:dlblFieldTable>
                  <c15:showDataLabelsRange val="0"/>
                </c:ext>
                <c:ext xmlns:c16="http://schemas.microsoft.com/office/drawing/2014/chart" uri="{C3380CC4-5D6E-409C-BE32-E72D297353CC}">
                  <c16:uniqueId val="{0000001F-8425-47F3-B678-7AEE5CDC4EFD}"/>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YouthJustice!$AF$40:$AF$41</c:f>
              <c:numCache>
                <c:formatCode>General</c:formatCode>
                <c:ptCount val="2"/>
                <c:pt idx="0" formatCode="#,##0.0">
                  <c:v>3</c:v>
                </c:pt>
                <c:pt idx="1">
                  <c:v>22</c:v>
                </c:pt>
              </c:numCache>
            </c:numRef>
          </c:xVal>
          <c:yVal>
            <c:numRef>
              <c:f>YouthJustice!$AG$40:$AG$41</c:f>
              <c:numCache>
                <c:formatCode>0.0</c:formatCode>
                <c:ptCount val="2"/>
                <c:pt idx="0">
                  <c:v>127.01814457742279</c:v>
                </c:pt>
                <c:pt idx="1">
                  <c:v>305.09216917423453</c:v>
                </c:pt>
              </c:numCache>
            </c:numRef>
          </c:yVal>
          <c:smooth val="0"/>
          <c:extLst>
            <c:ext xmlns:c16="http://schemas.microsoft.com/office/drawing/2014/chart" uri="{C3380CC4-5D6E-409C-BE32-E72D297353CC}">
              <c16:uniqueId val="{00000020-8425-47F3-B678-7AEE5CDC4EFD}"/>
            </c:ext>
          </c:extLst>
        </c:ser>
        <c:ser>
          <c:idx val="3"/>
          <c:order val="5"/>
          <c:tx>
            <c:strRef>
              <c:f>YouthJustice!$B$31</c:f>
              <c:strCache>
                <c:ptCount val="1"/>
                <c:pt idx="0">
                  <c:v>England</c:v>
                </c:pt>
              </c:strCache>
            </c:strRef>
          </c:tx>
          <c:spPr>
            <a:ln w="28575">
              <a:noFill/>
            </a:ln>
          </c:spPr>
          <c:xVal>
            <c:numRef>
              <c:f>YouthJustice!$AH$94</c:f>
              <c:numCache>
                <c:formatCode>0.0</c:formatCode>
                <c:ptCount val="1"/>
                <c:pt idx="0">
                  <c:v>17.084413405029373</c:v>
                </c:pt>
              </c:numCache>
            </c:numRef>
          </c:xVal>
          <c:yVal>
            <c:numRef>
              <c:f>YouthJustice!$S$31</c:f>
              <c:numCache>
                <c:formatCode>0.0</c:formatCode>
                <c:ptCount val="1"/>
                <c:pt idx="0">
                  <c:v>259.02173295209991</c:v>
                </c:pt>
              </c:numCache>
            </c:numRef>
          </c:yVal>
          <c:smooth val="0"/>
          <c:extLst>
            <c:ext xmlns:c16="http://schemas.microsoft.com/office/drawing/2014/chart" uri="{C3380CC4-5D6E-409C-BE32-E72D297353CC}">
              <c16:uniqueId val="{00000001-156D-4140-9BD1-ECFEF28283AD}"/>
            </c:ext>
          </c:extLst>
        </c:ser>
        <c:dLbls>
          <c:showLegendKey val="0"/>
          <c:showVal val="0"/>
          <c:showCatName val="0"/>
          <c:showSerName val="0"/>
          <c:showPercent val="0"/>
          <c:showBubbleSize val="0"/>
        </c:dLbls>
        <c:axId val="685056768"/>
        <c:axId val="685058304"/>
      </c:scatterChart>
      <c:valAx>
        <c:axId val="685056768"/>
        <c:scaling>
          <c:orientation val="minMax"/>
          <c:min val="0"/>
        </c:scaling>
        <c:delete val="0"/>
        <c:axPos val="b"/>
        <c:title>
          <c:tx>
            <c:strRef>
              <c:f>ReportData!$C$5</c:f>
              <c:strCache>
                <c:ptCount val="1"/>
                <c:pt idx="0">
                  <c:v>Local Authority IDACI Score 2019</c:v>
                </c:pt>
              </c:strCache>
            </c:strRef>
          </c:tx>
          <c:layout>
            <c:manualLayout>
              <c:xMode val="edge"/>
              <c:yMode val="edge"/>
              <c:x val="0.32396619555747913"/>
              <c:y val="0.9192924074535932"/>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5058304"/>
        <c:crosses val="autoZero"/>
        <c:crossBetween val="midCat"/>
        <c:majorUnit val="5"/>
      </c:valAx>
      <c:valAx>
        <c:axId val="685058304"/>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b="1" i="0" u="none" strike="noStrike" baseline="0">
                    <a:effectLst/>
                  </a:rPr>
                  <a:t>Rate of First Time Entrants per 100,000 10-17 year olds</a:t>
                </a:r>
              </a:p>
            </c:rich>
          </c:tx>
          <c:layout>
            <c:manualLayout>
              <c:xMode val="edge"/>
              <c:yMode val="edge"/>
              <c:x val="3.6771154134274432E-2"/>
              <c:y val="0.131068277098846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5056768"/>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4D7FBB"/>
            </a:solidFill>
            <a:ln>
              <a:noFill/>
            </a:ln>
          </c:spPr>
          <c:invertIfNegative val="0"/>
          <c:cat>
            <c:strRef>
              <c:f>Referral_Source!$B$40:$B$60</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Referral_Source!$P$40:$P$60</c:f>
              <c:numCache>
                <c:formatCode>0.0</c:formatCode>
                <c:ptCount val="21"/>
                <c:pt idx="0">
                  <c:v>2.5810721376571806</c:v>
                </c:pt>
                <c:pt idx="1">
                  <c:v>1.105311636475284</c:v>
                </c:pt>
                <c:pt idx="2">
                  <c:v>3.1722054380664653</c:v>
                </c:pt>
                <c:pt idx="3">
                  <c:v>4.4537230340988172</c:v>
                </c:pt>
                <c:pt idx="4">
                  <c:v>#N/A</c:v>
                </c:pt>
                <c:pt idx="5">
                  <c:v>3.4033805390589311</c:v>
                </c:pt>
                <c:pt idx="6">
                  <c:v>13.46273485131268</c:v>
                </c:pt>
                <c:pt idx="7">
                  <c:v>4.2589437819420786</c:v>
                </c:pt>
                <c:pt idx="8">
                  <c:v>3.6771884152294176</c:v>
                </c:pt>
                <c:pt idx="9">
                  <c:v>4.0221914008321775</c:v>
                </c:pt>
                <c:pt idx="10">
                  <c:v>4.1005291005291005</c:v>
                </c:pt>
                <c:pt idx="11">
                  <c:v>3.9960039960039961</c:v>
                </c:pt>
                <c:pt idx="12">
                  <c:v>2.5962399283795885</c:v>
                </c:pt>
                <c:pt idx="13">
                  <c:v>3.3613445378151261</c:v>
                </c:pt>
                <c:pt idx="14">
                  <c:v>3.397552720645665</c:v>
                </c:pt>
                <c:pt idx="15">
                  <c:v>4.8658764815970059</c:v>
                </c:pt>
                <c:pt idx="16">
                  <c:v>0.55478502080443826</c:v>
                </c:pt>
                <c:pt idx="17">
                  <c:v>1.2134583563154993</c:v>
                </c:pt>
                <c:pt idx="18">
                  <c:v>4.3927648578811365</c:v>
                </c:pt>
                <c:pt idx="19">
                  <c:v>5.8704766107678736</c:v>
                </c:pt>
                <c:pt idx="20">
                  <c:v>4.4366899302093721</c:v>
                </c:pt>
              </c:numCache>
            </c:numRef>
          </c:val>
          <c:extLst>
            <c:ext xmlns:c16="http://schemas.microsoft.com/office/drawing/2014/chart" uri="{C3380CC4-5D6E-409C-BE32-E72D297353CC}">
              <c16:uniqueId val="{00000000-18A9-48A2-86B5-8983692DC4B9}"/>
            </c:ext>
          </c:extLst>
        </c:ser>
        <c:dLbls>
          <c:showLegendKey val="0"/>
          <c:showVal val="0"/>
          <c:showCatName val="0"/>
          <c:showSerName val="0"/>
          <c:showPercent val="0"/>
          <c:showBubbleSize val="0"/>
        </c:dLbls>
        <c:gapWidth val="40"/>
        <c:axId val="540104192"/>
        <c:axId val="540105728"/>
      </c:barChart>
      <c:catAx>
        <c:axId val="540104192"/>
        <c:scaling>
          <c:orientation val="maxMin"/>
        </c:scaling>
        <c:delete val="1"/>
        <c:axPos val="l"/>
        <c:numFmt formatCode="General" sourceLinked="0"/>
        <c:majorTickMark val="out"/>
        <c:minorTickMark val="none"/>
        <c:tickLblPos val="nextTo"/>
        <c:crossAx val="540105728"/>
        <c:crosses val="autoZero"/>
        <c:auto val="1"/>
        <c:lblAlgn val="ctr"/>
        <c:lblOffset val="100"/>
        <c:noMultiLvlLbl val="0"/>
      </c:catAx>
      <c:valAx>
        <c:axId val="540105728"/>
        <c:scaling>
          <c:orientation val="minMax"/>
        </c:scaling>
        <c:delete val="1"/>
        <c:axPos val="b"/>
        <c:majorGridlines/>
        <c:numFmt formatCode="0.0" sourceLinked="1"/>
        <c:majorTickMark val="out"/>
        <c:minorTickMark val="none"/>
        <c:tickLblPos val="nextTo"/>
        <c:crossAx val="540104192"/>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214F87"/>
            </a:solidFill>
            <a:ln>
              <a:noFill/>
            </a:ln>
          </c:spPr>
          <c:invertIfNegative val="0"/>
          <c:cat>
            <c:strRef>
              <c:f>Referral_Source!$B$40:$B$60</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Referral_Source!$R$40:$R$60</c:f>
              <c:numCache>
                <c:formatCode>0.0</c:formatCode>
                <c:ptCount val="21"/>
                <c:pt idx="0">
                  <c:v>2.6472534745201854</c:v>
                </c:pt>
                <c:pt idx="1">
                  <c:v>0</c:v>
                </c:pt>
                <c:pt idx="2">
                  <c:v>3.8217522658610275</c:v>
                </c:pt>
                <c:pt idx="3">
                  <c:v>2.7835768963117609</c:v>
                </c:pt>
                <c:pt idx="4">
                  <c:v>#N/A</c:v>
                </c:pt>
                <c:pt idx="5">
                  <c:v>8.0630424851530371</c:v>
                </c:pt>
                <c:pt idx="6">
                  <c:v>2.6875699888017914</c:v>
                </c:pt>
                <c:pt idx="7">
                  <c:v>2.4796517130418323</c:v>
                </c:pt>
                <c:pt idx="8">
                  <c:v>3.6446469248291571</c:v>
                </c:pt>
                <c:pt idx="9">
                  <c:v>2.3380225876758467</c:v>
                </c:pt>
                <c:pt idx="10">
                  <c:v>3.6706349206349209</c:v>
                </c:pt>
                <c:pt idx="11">
                  <c:v>3.3633033633033631</c:v>
                </c:pt>
                <c:pt idx="12">
                  <c:v>5.1626380185019398</c:v>
                </c:pt>
                <c:pt idx="13">
                  <c:v>3.8138332255979317</c:v>
                </c:pt>
                <c:pt idx="14">
                  <c:v>8.1489195521999491</c:v>
                </c:pt>
                <c:pt idx="15">
                  <c:v>1.3100436681222707</c:v>
                </c:pt>
                <c:pt idx="16">
                  <c:v>12.533097969991175</c:v>
                </c:pt>
                <c:pt idx="17">
                  <c:v>4.7986762272476557</c:v>
                </c:pt>
                <c:pt idx="18">
                  <c:v>1.4857881136950903</c:v>
                </c:pt>
                <c:pt idx="19">
                  <c:v>4.4450573698146512</c:v>
                </c:pt>
                <c:pt idx="20">
                  <c:v>4.2003023188499018</c:v>
                </c:pt>
              </c:numCache>
            </c:numRef>
          </c:val>
          <c:extLst>
            <c:ext xmlns:c16="http://schemas.microsoft.com/office/drawing/2014/chart" uri="{C3380CC4-5D6E-409C-BE32-E72D297353CC}">
              <c16:uniqueId val="{00000000-E3A3-4845-A4AC-02202D7092CA}"/>
            </c:ext>
          </c:extLst>
        </c:ser>
        <c:dLbls>
          <c:showLegendKey val="0"/>
          <c:showVal val="0"/>
          <c:showCatName val="0"/>
          <c:showSerName val="0"/>
          <c:showPercent val="0"/>
          <c:showBubbleSize val="0"/>
        </c:dLbls>
        <c:gapWidth val="40"/>
        <c:axId val="540117248"/>
        <c:axId val="540139520"/>
      </c:barChart>
      <c:catAx>
        <c:axId val="540117248"/>
        <c:scaling>
          <c:orientation val="maxMin"/>
        </c:scaling>
        <c:delete val="1"/>
        <c:axPos val="l"/>
        <c:numFmt formatCode="General" sourceLinked="0"/>
        <c:majorTickMark val="out"/>
        <c:minorTickMark val="none"/>
        <c:tickLblPos val="nextTo"/>
        <c:crossAx val="540139520"/>
        <c:crosses val="autoZero"/>
        <c:auto val="1"/>
        <c:lblAlgn val="ctr"/>
        <c:lblOffset val="100"/>
        <c:noMultiLvlLbl val="0"/>
      </c:catAx>
      <c:valAx>
        <c:axId val="540139520"/>
        <c:scaling>
          <c:orientation val="minMax"/>
        </c:scaling>
        <c:delete val="1"/>
        <c:axPos val="b"/>
        <c:majorGridlines/>
        <c:numFmt formatCode="0.0" sourceLinked="1"/>
        <c:majorTickMark val="out"/>
        <c:minorTickMark val="none"/>
        <c:tickLblPos val="nextTo"/>
        <c:crossAx val="540117248"/>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3C8AA6"/>
            </a:solidFill>
            <a:ln>
              <a:noFill/>
            </a:ln>
          </c:spPr>
          <c:invertIfNegative val="0"/>
          <c:cat>
            <c:strRef>
              <c:f>Referral_Source!$B$40:$B$60</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Referral_Source!$T$40:$T$60</c:f>
              <c:numCache>
                <c:formatCode>0.0</c:formatCode>
                <c:ptCount val="21"/>
                <c:pt idx="0">
                  <c:v>0.9927200529450696</c:v>
                </c:pt>
                <c:pt idx="1">
                  <c:v>1.6579674547129262</c:v>
                </c:pt>
                <c:pt idx="2">
                  <c:v>0.6344410876132931</c:v>
                </c:pt>
                <c:pt idx="3">
                  <c:v>2.1572720946416144</c:v>
                </c:pt>
                <c:pt idx="4">
                  <c:v>#N/A</c:v>
                </c:pt>
                <c:pt idx="5">
                  <c:v>1.8501598903608953</c:v>
                </c:pt>
                <c:pt idx="6">
                  <c:v>0.69262991995354817</c:v>
                </c:pt>
                <c:pt idx="7">
                  <c:v>4.2400151429112247</c:v>
                </c:pt>
                <c:pt idx="8">
                  <c:v>2.0826553856166612</c:v>
                </c:pt>
                <c:pt idx="9">
                  <c:v>1.8823063205864872</c:v>
                </c:pt>
                <c:pt idx="10">
                  <c:v>3.1746031746031744</c:v>
                </c:pt>
                <c:pt idx="11">
                  <c:v>1.8648018648018647</c:v>
                </c:pt>
                <c:pt idx="12">
                  <c:v>0.20889286780065652</c:v>
                </c:pt>
                <c:pt idx="13">
                  <c:v>0.67873303167420818</c:v>
                </c:pt>
                <c:pt idx="14">
                  <c:v>1.1845873470450403</c:v>
                </c:pt>
                <c:pt idx="15">
                  <c:v>2.3705552089831565</c:v>
                </c:pt>
                <c:pt idx="16">
                  <c:v>0</c:v>
                </c:pt>
                <c:pt idx="17">
                  <c:v>0.77220077220077221</c:v>
                </c:pt>
                <c:pt idx="18">
                  <c:v>0.710594315245478</c:v>
                </c:pt>
                <c:pt idx="19">
                  <c:v>1.2897175639894085</c:v>
                </c:pt>
                <c:pt idx="20">
                  <c:v>1.6129032258064515</c:v>
                </c:pt>
              </c:numCache>
            </c:numRef>
          </c:val>
          <c:extLst>
            <c:ext xmlns:c16="http://schemas.microsoft.com/office/drawing/2014/chart" uri="{C3380CC4-5D6E-409C-BE32-E72D297353CC}">
              <c16:uniqueId val="{00000000-EE4C-448A-A219-CA0805209810}"/>
            </c:ext>
          </c:extLst>
        </c:ser>
        <c:dLbls>
          <c:showLegendKey val="0"/>
          <c:showVal val="0"/>
          <c:showCatName val="0"/>
          <c:showSerName val="0"/>
          <c:showPercent val="0"/>
          <c:showBubbleSize val="0"/>
        </c:dLbls>
        <c:gapWidth val="40"/>
        <c:axId val="540150784"/>
        <c:axId val="540156672"/>
      </c:barChart>
      <c:catAx>
        <c:axId val="540150784"/>
        <c:scaling>
          <c:orientation val="maxMin"/>
        </c:scaling>
        <c:delete val="1"/>
        <c:axPos val="l"/>
        <c:numFmt formatCode="General" sourceLinked="0"/>
        <c:majorTickMark val="out"/>
        <c:minorTickMark val="none"/>
        <c:tickLblPos val="nextTo"/>
        <c:crossAx val="540156672"/>
        <c:crosses val="autoZero"/>
        <c:auto val="1"/>
        <c:lblAlgn val="ctr"/>
        <c:lblOffset val="100"/>
        <c:noMultiLvlLbl val="0"/>
      </c:catAx>
      <c:valAx>
        <c:axId val="540156672"/>
        <c:scaling>
          <c:orientation val="minMax"/>
        </c:scaling>
        <c:delete val="1"/>
        <c:axPos val="b"/>
        <c:majorGridlines/>
        <c:numFmt formatCode="0.0" sourceLinked="1"/>
        <c:majorTickMark val="out"/>
        <c:minorTickMark val="none"/>
        <c:tickLblPos val="nextTo"/>
        <c:crossAx val="540150784"/>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Referrals, per 10,000 0-17 year olds</a:t>
            </a:r>
          </a:p>
        </c:rich>
      </c:tx>
      <c:layout>
        <c:manualLayout>
          <c:xMode val="edge"/>
          <c:yMode val="edge"/>
          <c:x val="0.19080269888119405"/>
          <c:y val="2.0819646288138146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25716613838097"/>
        </c:manualLayout>
      </c:layout>
      <c:lineChart>
        <c:grouping val="standard"/>
        <c:varyColors val="0"/>
        <c:ser>
          <c:idx val="0"/>
          <c:order val="0"/>
          <c:tx>
            <c:strRef>
              <c:f>Referrals!$AK$38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E996-4146-BFCA-DBEE1A840DF5}"/>
              </c:ext>
            </c:extLst>
          </c:dPt>
          <c:cat>
            <c:strRef>
              <c:f>Referrals!$Y$2:$AC$3</c:f>
              <c:strCache>
                <c:ptCount val="5"/>
                <c:pt idx="0">
                  <c:v>2019/20</c:v>
                </c:pt>
                <c:pt idx="1">
                  <c:v>2020/21</c:v>
                </c:pt>
                <c:pt idx="2">
                  <c:v>2021/22</c:v>
                </c:pt>
                <c:pt idx="3">
                  <c:v>2022/23</c:v>
                </c:pt>
                <c:pt idx="4">
                  <c:v>2023/24</c:v>
                </c:pt>
              </c:strCache>
            </c:strRef>
          </c:cat>
          <c:val>
            <c:numRef>
              <c:f>Referrals!$AL$38:$AP$38</c:f>
              <c:numCache>
                <c:formatCode>0.0</c:formatCode>
                <c:ptCount val="5"/>
                <c:pt idx="0">
                  <c:v>622.38991867536083</c:v>
                </c:pt>
                <c:pt idx="1">
                  <c:v>604.84163223889243</c:v>
                </c:pt>
                <c:pt idx="2">
                  <c:v>545.23236171512781</c:v>
                </c:pt>
                <c:pt idx="3">
                  <c:v>628.30921284857038</c:v>
                </c:pt>
                <c:pt idx="4">
                  <c:v>527.45488183753969</c:v>
                </c:pt>
              </c:numCache>
            </c:numRef>
          </c:val>
          <c:smooth val="0"/>
          <c:extLst>
            <c:ext xmlns:c16="http://schemas.microsoft.com/office/drawing/2014/chart" uri="{C3380CC4-5D6E-409C-BE32-E72D297353CC}">
              <c16:uniqueId val="{00000001-E996-4146-BFCA-DBEE1A840DF5}"/>
            </c:ext>
          </c:extLst>
        </c:ser>
        <c:ser>
          <c:idx val="1"/>
          <c:order val="1"/>
          <c:tx>
            <c:strRef>
              <c:f>Referrals!$AK$39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Referrals!$Y$2:$AC$3</c:f>
              <c:strCache>
                <c:ptCount val="5"/>
                <c:pt idx="0">
                  <c:v>2019/20</c:v>
                </c:pt>
                <c:pt idx="1">
                  <c:v>2020/21</c:v>
                </c:pt>
                <c:pt idx="2">
                  <c:v>2021/22</c:v>
                </c:pt>
                <c:pt idx="3">
                  <c:v>2022/23</c:v>
                </c:pt>
                <c:pt idx="4">
                  <c:v>2023/24</c:v>
                </c:pt>
              </c:strCache>
            </c:strRef>
          </c:cat>
          <c:val>
            <c:numRef>
              <c:f>Referrals!$AL$39:$AP$39</c:f>
              <c:numCache>
                <c:formatCode>0.0</c:formatCode>
                <c:ptCount val="5"/>
                <c:pt idx="0">
                  <c:v>737.7794306020412</c:v>
                </c:pt>
                <c:pt idx="1">
                  <c:v>612.75123008923356</c:v>
                </c:pt>
                <c:pt idx="2">
                  <c:v>680.31830238726786</c:v>
                </c:pt>
                <c:pt idx="3">
                  <c:v>689.22358930844291</c:v>
                </c:pt>
                <c:pt idx="4">
                  <c:v>697.93854197917119</c:v>
                </c:pt>
              </c:numCache>
            </c:numRef>
          </c:val>
          <c:smooth val="0"/>
          <c:extLst>
            <c:ext xmlns:c16="http://schemas.microsoft.com/office/drawing/2014/chart" uri="{C3380CC4-5D6E-409C-BE32-E72D297353CC}">
              <c16:uniqueId val="{00000002-E996-4146-BFCA-DBEE1A840DF5}"/>
            </c:ext>
          </c:extLst>
        </c:ser>
        <c:ser>
          <c:idx val="2"/>
          <c:order val="2"/>
          <c:tx>
            <c:strRef>
              <c:f>Referrals!$AK$40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Referrals!$Y$2:$AC$3</c:f>
              <c:strCache>
                <c:ptCount val="5"/>
                <c:pt idx="0">
                  <c:v>2019/20</c:v>
                </c:pt>
                <c:pt idx="1">
                  <c:v>2020/21</c:v>
                </c:pt>
                <c:pt idx="2">
                  <c:v>2021/22</c:v>
                </c:pt>
                <c:pt idx="3">
                  <c:v>2022/23</c:v>
                </c:pt>
                <c:pt idx="4">
                  <c:v>2023/24</c:v>
                </c:pt>
              </c:strCache>
            </c:strRef>
          </c:cat>
          <c:val>
            <c:numRef>
              <c:f>Referrals!$AL$40:$AP$40</c:f>
              <c:numCache>
                <c:formatCode>0.0</c:formatCode>
                <c:ptCount val="5"/>
                <c:pt idx="0">
                  <c:v>685.05039422943082</c:v>
                </c:pt>
                <c:pt idx="1">
                  <c:v>879.54610392260906</c:v>
                </c:pt>
                <c:pt idx="2">
                  <c:v>1059.5903165735567</c:v>
                </c:pt>
                <c:pt idx="3">
                  <c:v>965.49259421038005</c:v>
                </c:pt>
                <c:pt idx="4">
                  <c:v>518.74373119358074</c:v>
                </c:pt>
              </c:numCache>
            </c:numRef>
          </c:val>
          <c:smooth val="0"/>
          <c:extLst>
            <c:ext xmlns:c16="http://schemas.microsoft.com/office/drawing/2014/chart" uri="{C3380CC4-5D6E-409C-BE32-E72D297353CC}">
              <c16:uniqueId val="{00000003-E996-4146-BFCA-DBEE1A840DF5}"/>
            </c:ext>
          </c:extLst>
        </c:ser>
        <c:ser>
          <c:idx val="5"/>
          <c:order val="3"/>
          <c:tx>
            <c:strRef>
              <c:f>Referrals!$AK$41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Referrals!$Y$2:$AC$3</c:f>
              <c:strCache>
                <c:ptCount val="5"/>
                <c:pt idx="0">
                  <c:v>2019/20</c:v>
                </c:pt>
                <c:pt idx="1">
                  <c:v>2020/21</c:v>
                </c:pt>
                <c:pt idx="2">
                  <c:v>2021/22</c:v>
                </c:pt>
                <c:pt idx="3">
                  <c:v>2022/23</c:v>
                </c:pt>
                <c:pt idx="4">
                  <c:v>2023/24</c:v>
                </c:pt>
              </c:strCache>
            </c:strRef>
          </c:cat>
          <c:val>
            <c:numRef>
              <c:f>Referrals!$AL$41:$AP$41</c:f>
              <c:numCache>
                <c:formatCode>0.0</c:formatCode>
                <c:ptCount val="5"/>
                <c:pt idx="0">
                  <c:v>404.8736409479115</c:v>
                </c:pt>
                <c:pt idx="1">
                  <c:v>373.36822269305497</c:v>
                </c:pt>
                <c:pt idx="2">
                  <c:v>420.95352053276315</c:v>
                </c:pt>
                <c:pt idx="3">
                  <c:v>380.64672988086556</c:v>
                </c:pt>
                <c:pt idx="4">
                  <c:v>416.09559291932896</c:v>
                </c:pt>
              </c:numCache>
            </c:numRef>
          </c:val>
          <c:smooth val="0"/>
          <c:extLst>
            <c:ext xmlns:c16="http://schemas.microsoft.com/office/drawing/2014/chart" uri="{C3380CC4-5D6E-409C-BE32-E72D297353CC}">
              <c16:uniqueId val="{00000004-E996-4146-BFCA-DBEE1A840DF5}"/>
            </c:ext>
          </c:extLst>
        </c:ser>
        <c:ser>
          <c:idx val="9"/>
          <c:order val="4"/>
          <c:tx>
            <c:strRef>
              <c:f>Referrals!$AK$42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Referrals!$Y$2:$AC$3</c:f>
              <c:strCache>
                <c:ptCount val="5"/>
                <c:pt idx="0">
                  <c:v>2019/20</c:v>
                </c:pt>
                <c:pt idx="1">
                  <c:v>2020/21</c:v>
                </c:pt>
                <c:pt idx="2">
                  <c:v>2021/22</c:v>
                </c:pt>
                <c:pt idx="3">
                  <c:v>2022/23</c:v>
                </c:pt>
                <c:pt idx="4">
                  <c:v>2023/24</c:v>
                </c:pt>
              </c:strCache>
            </c:strRef>
          </c:cat>
          <c:val>
            <c:numRef>
              <c:f>Referrals!$AL$42:$AP$42</c:f>
              <c:numCache>
                <c:formatCode>0.0</c:formatCode>
                <c:ptCount val="5"/>
                <c:pt idx="0">
                  <c:v>723.84907281449125</c:v>
                </c:pt>
                <c:pt idx="1">
                  <c:v>763.2497960468877</c:v>
                </c:pt>
                <c:pt idx="2">
                  <c:v>974.40990428186478</c:v>
                </c:pt>
                <c:pt idx="3">
                  <c:v>1075.9576276866312</c:v>
                </c:pt>
                <c:pt idx="4">
                  <c:v>#N/A</c:v>
                </c:pt>
              </c:numCache>
            </c:numRef>
          </c:val>
          <c:smooth val="0"/>
          <c:extLst>
            <c:ext xmlns:c16="http://schemas.microsoft.com/office/drawing/2014/chart" uri="{C3380CC4-5D6E-409C-BE32-E72D297353CC}">
              <c16:uniqueId val="{00000005-E996-4146-BFCA-DBEE1A840DF5}"/>
            </c:ext>
          </c:extLst>
        </c:ser>
        <c:ser>
          <c:idx val="10"/>
          <c:order val="5"/>
          <c:tx>
            <c:strRef>
              <c:f>Referrals!$AK$43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Referrals!$Y$2:$AC$3</c:f>
              <c:strCache>
                <c:ptCount val="5"/>
                <c:pt idx="0">
                  <c:v>2019/20</c:v>
                </c:pt>
                <c:pt idx="1">
                  <c:v>2020/21</c:v>
                </c:pt>
                <c:pt idx="2">
                  <c:v>2021/22</c:v>
                </c:pt>
                <c:pt idx="3">
                  <c:v>2022/23</c:v>
                </c:pt>
                <c:pt idx="4">
                  <c:v>2023/24</c:v>
                </c:pt>
              </c:strCache>
            </c:strRef>
          </c:cat>
          <c:val>
            <c:numRef>
              <c:f>Referrals!$AL$43:$AP$43</c:f>
              <c:numCache>
                <c:formatCode>0.0</c:formatCode>
                <c:ptCount val="5"/>
                <c:pt idx="0">
                  <c:v>1098.7202172750092</c:v>
                </c:pt>
                <c:pt idx="1">
                  <c:v>1096.1828227021597</c:v>
                </c:pt>
                <c:pt idx="2">
                  <c:v>1423.6757488576748</c:v>
                </c:pt>
                <c:pt idx="3">
                  <c:v>1644.4293362794253</c:v>
                </c:pt>
                <c:pt idx="4">
                  <c:v>1867.906817987883</c:v>
                </c:pt>
              </c:numCache>
            </c:numRef>
          </c:val>
          <c:smooth val="0"/>
          <c:extLst>
            <c:ext xmlns:c16="http://schemas.microsoft.com/office/drawing/2014/chart" uri="{C3380CC4-5D6E-409C-BE32-E72D297353CC}">
              <c16:uniqueId val="{00000006-E996-4146-BFCA-DBEE1A840DF5}"/>
            </c:ext>
          </c:extLst>
        </c:ser>
        <c:ser>
          <c:idx val="11"/>
          <c:order val="6"/>
          <c:tx>
            <c:strRef>
              <c:f>Referrals!$AK$44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Referrals!$Y$2:$AC$3</c:f>
              <c:strCache>
                <c:ptCount val="5"/>
                <c:pt idx="0">
                  <c:v>2019/20</c:v>
                </c:pt>
                <c:pt idx="1">
                  <c:v>2020/21</c:v>
                </c:pt>
                <c:pt idx="2">
                  <c:v>2021/22</c:v>
                </c:pt>
                <c:pt idx="3">
                  <c:v>2022/23</c:v>
                </c:pt>
                <c:pt idx="4">
                  <c:v>2023/24</c:v>
                </c:pt>
              </c:strCache>
            </c:strRef>
          </c:cat>
          <c:val>
            <c:numRef>
              <c:f>Referrals!$AL$44:$AP$44</c:f>
              <c:numCache>
                <c:formatCode>0.0</c:formatCode>
                <c:ptCount val="5"/>
                <c:pt idx="0">
                  <c:v>670.45055693384893</c:v>
                </c:pt>
                <c:pt idx="1">
                  <c:v>566.40671722125205</c:v>
                </c:pt>
                <c:pt idx="2">
                  <c:v>580.11074381640685</c:v>
                </c:pt>
                <c:pt idx="3">
                  <c:v>658.84418622286773</c:v>
                </c:pt>
                <c:pt idx="4">
                  <c:v>692.18446769174238</c:v>
                </c:pt>
              </c:numCache>
            </c:numRef>
          </c:val>
          <c:smooth val="0"/>
          <c:extLst>
            <c:ext xmlns:c16="http://schemas.microsoft.com/office/drawing/2014/chart" uri="{C3380CC4-5D6E-409C-BE32-E72D297353CC}">
              <c16:uniqueId val="{00000007-E996-4146-BFCA-DBEE1A840DF5}"/>
            </c:ext>
          </c:extLst>
        </c:ser>
        <c:ser>
          <c:idx val="12"/>
          <c:order val="7"/>
          <c:tx>
            <c:strRef>
              <c:f>Referrals!$AK$45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Referrals!$Y$2:$AC$3</c:f>
              <c:strCache>
                <c:ptCount val="5"/>
                <c:pt idx="0">
                  <c:v>2019/20</c:v>
                </c:pt>
                <c:pt idx="1">
                  <c:v>2020/21</c:v>
                </c:pt>
                <c:pt idx="2">
                  <c:v>2021/22</c:v>
                </c:pt>
                <c:pt idx="3">
                  <c:v>2022/23</c:v>
                </c:pt>
                <c:pt idx="4">
                  <c:v>2023/24</c:v>
                </c:pt>
              </c:strCache>
            </c:strRef>
          </c:cat>
          <c:val>
            <c:numRef>
              <c:f>Referrals!$AL$45:$AP$45</c:f>
              <c:numCache>
                <c:formatCode>0.0</c:formatCode>
                <c:ptCount val="5"/>
                <c:pt idx="0">
                  <c:v>770.19726096243244</c:v>
                </c:pt>
                <c:pt idx="1">
                  <c:v>511.65711594316667</c:v>
                </c:pt>
                <c:pt idx="2">
                  <c:v>750.58370026795376</c:v>
                </c:pt>
                <c:pt idx="3">
                  <c:v>725.73319990762832</c:v>
                </c:pt>
                <c:pt idx="4">
                  <c:v>792.20837644518429</c:v>
                </c:pt>
              </c:numCache>
            </c:numRef>
          </c:val>
          <c:smooth val="0"/>
          <c:extLst>
            <c:ext xmlns:c16="http://schemas.microsoft.com/office/drawing/2014/chart" uri="{C3380CC4-5D6E-409C-BE32-E72D297353CC}">
              <c16:uniqueId val="{00000008-E996-4146-BFCA-DBEE1A840DF5}"/>
            </c:ext>
          </c:extLst>
        </c:ser>
        <c:ser>
          <c:idx val="13"/>
          <c:order val="8"/>
          <c:tx>
            <c:strRef>
              <c:f>Referrals!$AK$46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Referrals!$Y$2:$AC$3</c:f>
              <c:strCache>
                <c:ptCount val="5"/>
                <c:pt idx="0">
                  <c:v>2019/20</c:v>
                </c:pt>
                <c:pt idx="1">
                  <c:v>2020/21</c:v>
                </c:pt>
                <c:pt idx="2">
                  <c:v>2021/22</c:v>
                </c:pt>
                <c:pt idx="3">
                  <c:v>2022/23</c:v>
                </c:pt>
                <c:pt idx="4">
                  <c:v>2023/24</c:v>
                </c:pt>
              </c:strCache>
            </c:strRef>
          </c:cat>
          <c:val>
            <c:numRef>
              <c:f>Referrals!$AL$46:$AP$46</c:f>
              <c:numCache>
                <c:formatCode>0.0</c:formatCode>
                <c:ptCount val="5"/>
                <c:pt idx="0">
                  <c:v>447.58607703115717</c:v>
                </c:pt>
                <c:pt idx="1">
                  <c:v>412.09147969122</c:v>
                </c:pt>
                <c:pt idx="2">
                  <c:v>474.18683133481727</c:v>
                </c:pt>
                <c:pt idx="3">
                  <c:v>484.27788191850715</c:v>
                </c:pt>
                <c:pt idx="4">
                  <c:v>427.76488042089647</c:v>
                </c:pt>
              </c:numCache>
            </c:numRef>
          </c:val>
          <c:smooth val="0"/>
          <c:extLst>
            <c:ext xmlns:c16="http://schemas.microsoft.com/office/drawing/2014/chart" uri="{C3380CC4-5D6E-409C-BE32-E72D297353CC}">
              <c16:uniqueId val="{00000009-E996-4146-BFCA-DBEE1A840DF5}"/>
            </c:ext>
          </c:extLst>
        </c:ser>
        <c:ser>
          <c:idx val="15"/>
          <c:order val="9"/>
          <c:tx>
            <c:strRef>
              <c:f>Referrals!$AK$47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Referrals!$Y$2:$AC$3</c:f>
              <c:strCache>
                <c:ptCount val="5"/>
                <c:pt idx="0">
                  <c:v>2019/20</c:v>
                </c:pt>
                <c:pt idx="1">
                  <c:v>2020/21</c:v>
                </c:pt>
                <c:pt idx="2">
                  <c:v>2021/22</c:v>
                </c:pt>
                <c:pt idx="3">
                  <c:v>2022/23</c:v>
                </c:pt>
                <c:pt idx="4">
                  <c:v>2023/24</c:v>
                </c:pt>
              </c:strCache>
            </c:strRef>
          </c:cat>
          <c:val>
            <c:numRef>
              <c:f>Referrals!$AL$47:$AP$47</c:f>
              <c:numCache>
                <c:formatCode>0.0</c:formatCode>
                <c:ptCount val="5"/>
                <c:pt idx="0">
                  <c:v>519.42476926379049</c:v>
                </c:pt>
                <c:pt idx="1">
                  <c:v>447.80641651574518</c:v>
                </c:pt>
                <c:pt idx="2">
                  <c:v>458.1018565971724</c:v>
                </c:pt>
                <c:pt idx="3">
                  <c:v>347.9383166820474</c:v>
                </c:pt>
                <c:pt idx="4">
                  <c:v>330.93996918133831</c:v>
                </c:pt>
              </c:numCache>
            </c:numRef>
          </c:val>
          <c:smooth val="0"/>
          <c:extLst>
            <c:ext xmlns:c16="http://schemas.microsoft.com/office/drawing/2014/chart" uri="{C3380CC4-5D6E-409C-BE32-E72D297353CC}">
              <c16:uniqueId val="{0000000A-E996-4146-BFCA-DBEE1A840DF5}"/>
            </c:ext>
          </c:extLst>
        </c:ser>
        <c:ser>
          <c:idx val="16"/>
          <c:order val="10"/>
          <c:tx>
            <c:strRef>
              <c:f>Referrals!$AK$48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Referrals!$Y$2:$AC$3</c:f>
              <c:strCache>
                <c:ptCount val="5"/>
                <c:pt idx="0">
                  <c:v>2019/20</c:v>
                </c:pt>
                <c:pt idx="1">
                  <c:v>2020/21</c:v>
                </c:pt>
                <c:pt idx="2">
                  <c:v>2021/22</c:v>
                </c:pt>
                <c:pt idx="3">
                  <c:v>2022/23</c:v>
                </c:pt>
                <c:pt idx="4">
                  <c:v>2023/24</c:v>
                </c:pt>
              </c:strCache>
            </c:strRef>
          </c:cat>
          <c:val>
            <c:numRef>
              <c:f>Referrals!$AL$48:$AP$48</c:f>
              <c:numCache>
                <c:formatCode>0.0</c:formatCode>
                <c:ptCount val="5"/>
                <c:pt idx="0">
                  <c:v>633.78773820569552</c:v>
                </c:pt>
                <c:pt idx="1">
                  <c:v>676.46005016123252</c:v>
                </c:pt>
                <c:pt idx="2">
                  <c:v>893.67143580958816</c:v>
                </c:pt>
                <c:pt idx="3">
                  <c:v>691.88698621957917</c:v>
                </c:pt>
                <c:pt idx="4">
                  <c:v>723.52093034249651</c:v>
                </c:pt>
              </c:numCache>
            </c:numRef>
          </c:val>
          <c:smooth val="0"/>
          <c:extLst>
            <c:ext xmlns:c16="http://schemas.microsoft.com/office/drawing/2014/chart" uri="{C3380CC4-5D6E-409C-BE32-E72D297353CC}">
              <c16:uniqueId val="{0000000B-E996-4146-BFCA-DBEE1A840DF5}"/>
            </c:ext>
          </c:extLst>
        </c:ser>
        <c:ser>
          <c:idx val="17"/>
          <c:order val="11"/>
          <c:tx>
            <c:strRef>
              <c:f>Referrals!$AK$49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Referrals!$Y$2:$AC$3</c:f>
              <c:strCache>
                <c:ptCount val="5"/>
                <c:pt idx="0">
                  <c:v>2019/20</c:v>
                </c:pt>
                <c:pt idx="1">
                  <c:v>2020/21</c:v>
                </c:pt>
                <c:pt idx="2">
                  <c:v>2021/22</c:v>
                </c:pt>
                <c:pt idx="3">
                  <c:v>2022/23</c:v>
                </c:pt>
                <c:pt idx="4">
                  <c:v>2023/24</c:v>
                </c:pt>
              </c:strCache>
            </c:strRef>
          </c:cat>
          <c:val>
            <c:numRef>
              <c:f>Referrals!$AL$49:$AP$49</c:f>
              <c:numCache>
                <c:formatCode>0.0</c:formatCode>
                <c:ptCount val="5"/>
                <c:pt idx="0">
                  <c:v>692.41155819605729</c:v>
                </c:pt>
                <c:pt idx="1">
                  <c:v>612.91282356441536</c:v>
                </c:pt>
                <c:pt idx="2">
                  <c:v>674.02432982881055</c:v>
                </c:pt>
                <c:pt idx="3">
                  <c:v>763.01663982823402</c:v>
                </c:pt>
                <c:pt idx="4">
                  <c:v>791.74246618682275</c:v>
                </c:pt>
              </c:numCache>
            </c:numRef>
          </c:val>
          <c:smooth val="0"/>
          <c:extLst>
            <c:ext xmlns:c16="http://schemas.microsoft.com/office/drawing/2014/chart" uri="{C3380CC4-5D6E-409C-BE32-E72D297353CC}">
              <c16:uniqueId val="{0000000C-E996-4146-BFCA-DBEE1A840DF5}"/>
            </c:ext>
          </c:extLst>
        </c:ser>
        <c:ser>
          <c:idx val="19"/>
          <c:order val="12"/>
          <c:tx>
            <c:strRef>
              <c:f>Referrals!$AK$50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Referrals!$Y$2:$AC$3</c:f>
              <c:strCache>
                <c:ptCount val="5"/>
                <c:pt idx="0">
                  <c:v>2019/20</c:v>
                </c:pt>
                <c:pt idx="1">
                  <c:v>2020/21</c:v>
                </c:pt>
                <c:pt idx="2">
                  <c:v>2021/22</c:v>
                </c:pt>
                <c:pt idx="3">
                  <c:v>2022/23</c:v>
                </c:pt>
                <c:pt idx="4">
                  <c:v>2023/24</c:v>
                </c:pt>
              </c:strCache>
            </c:strRef>
          </c:cat>
          <c:val>
            <c:numRef>
              <c:f>Referrals!$AL$50:$AP$50</c:f>
              <c:numCache>
                <c:formatCode>0.0</c:formatCode>
                <c:ptCount val="5"/>
                <c:pt idx="0">
                  <c:v>584.190068768831</c:v>
                </c:pt>
                <c:pt idx="1">
                  <c:v>768.79271070615039</c:v>
                </c:pt>
                <c:pt idx="2">
                  <c:v>732.3318929053205</c:v>
                </c:pt>
                <c:pt idx="3">
                  <c:v>772.20338983050851</c:v>
                </c:pt>
                <c:pt idx="4">
                  <c:v>749.40355414836461</c:v>
                </c:pt>
              </c:numCache>
            </c:numRef>
          </c:val>
          <c:smooth val="0"/>
          <c:extLst>
            <c:ext xmlns:c16="http://schemas.microsoft.com/office/drawing/2014/chart" uri="{C3380CC4-5D6E-409C-BE32-E72D297353CC}">
              <c16:uniqueId val="{0000000D-E996-4146-BFCA-DBEE1A840DF5}"/>
            </c:ext>
          </c:extLst>
        </c:ser>
        <c:ser>
          <c:idx val="20"/>
          <c:order val="13"/>
          <c:tx>
            <c:strRef>
              <c:f>Referrals!$AK$51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Referrals!$Y$2:$AC$3</c:f>
              <c:strCache>
                <c:ptCount val="5"/>
                <c:pt idx="0">
                  <c:v>2019/20</c:v>
                </c:pt>
                <c:pt idx="1">
                  <c:v>2020/21</c:v>
                </c:pt>
                <c:pt idx="2">
                  <c:v>2021/22</c:v>
                </c:pt>
                <c:pt idx="3">
                  <c:v>2022/23</c:v>
                </c:pt>
                <c:pt idx="4">
                  <c:v>2023/24</c:v>
                </c:pt>
              </c:strCache>
            </c:strRef>
          </c:cat>
          <c:val>
            <c:numRef>
              <c:f>Referrals!$AL$51:$AP$51</c:f>
              <c:numCache>
                <c:formatCode>0.0</c:formatCode>
                <c:ptCount val="5"/>
                <c:pt idx="0">
                  <c:v>976.04259094942336</c:v>
                </c:pt>
                <c:pt idx="1">
                  <c:v>822.72754689667647</c:v>
                </c:pt>
                <c:pt idx="2">
                  <c:v>737.02113873815506</c:v>
                </c:pt>
                <c:pt idx="3">
                  <c:v>751.33845320927992</c:v>
                </c:pt>
                <c:pt idx="4">
                  <c:v>614.21793421078746</c:v>
                </c:pt>
              </c:numCache>
            </c:numRef>
          </c:val>
          <c:smooth val="0"/>
          <c:extLst>
            <c:ext xmlns:c16="http://schemas.microsoft.com/office/drawing/2014/chart" uri="{C3380CC4-5D6E-409C-BE32-E72D297353CC}">
              <c16:uniqueId val="{0000000F-E996-4146-BFCA-DBEE1A840DF5}"/>
            </c:ext>
          </c:extLst>
        </c:ser>
        <c:ser>
          <c:idx val="22"/>
          <c:order val="14"/>
          <c:tx>
            <c:strRef>
              <c:f>Referrals!$AK$52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Referrals!$Y$2:$AC$3</c:f>
              <c:strCache>
                <c:ptCount val="5"/>
                <c:pt idx="0">
                  <c:v>2019/20</c:v>
                </c:pt>
                <c:pt idx="1">
                  <c:v>2020/21</c:v>
                </c:pt>
                <c:pt idx="2">
                  <c:v>2021/22</c:v>
                </c:pt>
                <c:pt idx="3">
                  <c:v>2022/23</c:v>
                </c:pt>
                <c:pt idx="4">
                  <c:v>2023/24</c:v>
                </c:pt>
              </c:strCache>
            </c:strRef>
          </c:cat>
          <c:val>
            <c:numRef>
              <c:f>Referrals!$AL$52:$AP$52</c:f>
              <c:numCache>
                <c:formatCode>0.0</c:formatCode>
                <c:ptCount val="5"/>
                <c:pt idx="0">
                  <c:v>330.13621655137672</c:v>
                </c:pt>
                <c:pt idx="1">
                  <c:v>403.37460689543127</c:v>
                </c:pt>
                <c:pt idx="2">
                  <c:v>356.04729313108896</c:v>
                </c:pt>
                <c:pt idx="3">
                  <c:v>269.90824713319722</c:v>
                </c:pt>
                <c:pt idx="4">
                  <c:v>289.15354271432443</c:v>
                </c:pt>
              </c:numCache>
            </c:numRef>
          </c:val>
          <c:smooth val="0"/>
          <c:extLst>
            <c:ext xmlns:c16="http://schemas.microsoft.com/office/drawing/2014/chart" uri="{C3380CC4-5D6E-409C-BE32-E72D297353CC}">
              <c16:uniqueId val="{00000010-E996-4146-BFCA-DBEE1A840DF5}"/>
            </c:ext>
          </c:extLst>
        </c:ser>
        <c:ser>
          <c:idx val="23"/>
          <c:order val="15"/>
          <c:tx>
            <c:strRef>
              <c:f>Referrals!$AK$53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Referrals!$Y$2:$AC$3</c:f>
              <c:strCache>
                <c:ptCount val="5"/>
                <c:pt idx="0">
                  <c:v>2019/20</c:v>
                </c:pt>
                <c:pt idx="1">
                  <c:v>2020/21</c:v>
                </c:pt>
                <c:pt idx="2">
                  <c:v>2021/22</c:v>
                </c:pt>
                <c:pt idx="3">
                  <c:v>2022/23</c:v>
                </c:pt>
                <c:pt idx="4">
                  <c:v>2023/24</c:v>
                </c:pt>
              </c:strCache>
            </c:strRef>
          </c:cat>
          <c:val>
            <c:numRef>
              <c:f>Referrals!$AL$53:$AP$53</c:f>
              <c:numCache>
                <c:formatCode>0.0</c:formatCode>
                <c:ptCount val="5"/>
                <c:pt idx="0">
                  <c:v>471.74923704400896</c:v>
                </c:pt>
                <c:pt idx="1">
                  <c:v>416.66666666666663</c:v>
                </c:pt>
                <c:pt idx="2">
                  <c:v>575.22763405116348</c:v>
                </c:pt>
                <c:pt idx="3">
                  <c:v>613.82905591200733</c:v>
                </c:pt>
                <c:pt idx="4">
                  <c:v>453.78627034677987</c:v>
                </c:pt>
              </c:numCache>
            </c:numRef>
          </c:val>
          <c:smooth val="0"/>
          <c:extLst>
            <c:ext xmlns:c16="http://schemas.microsoft.com/office/drawing/2014/chart" uri="{C3380CC4-5D6E-409C-BE32-E72D297353CC}">
              <c16:uniqueId val="{00000013-E996-4146-BFCA-DBEE1A840DF5}"/>
            </c:ext>
          </c:extLst>
        </c:ser>
        <c:ser>
          <c:idx val="24"/>
          <c:order val="16"/>
          <c:tx>
            <c:strRef>
              <c:f>Referrals!$AK$54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Referrals!$Y$2:$AC$3</c:f>
              <c:strCache>
                <c:ptCount val="5"/>
                <c:pt idx="0">
                  <c:v>2019/20</c:v>
                </c:pt>
                <c:pt idx="1">
                  <c:v>2020/21</c:v>
                </c:pt>
                <c:pt idx="2">
                  <c:v>2021/22</c:v>
                </c:pt>
                <c:pt idx="3">
                  <c:v>2022/23</c:v>
                </c:pt>
                <c:pt idx="4">
                  <c:v>2023/24</c:v>
                </c:pt>
              </c:strCache>
            </c:strRef>
          </c:cat>
          <c:val>
            <c:numRef>
              <c:f>Referrals!$AL$54:$AP$54</c:f>
              <c:numCache>
                <c:formatCode>0.0</c:formatCode>
                <c:ptCount val="5"/>
                <c:pt idx="0">
                  <c:v>575.79616366370692</c:v>
                </c:pt>
                <c:pt idx="1">
                  <c:v>526.36119466507159</c:v>
                </c:pt>
                <c:pt idx="2">
                  <c:v>535.93694590297082</c:v>
                </c:pt>
                <c:pt idx="3">
                  <c:v>541.19278935883483</c:v>
                </c:pt>
                <c:pt idx="4">
                  <c:v>443.05282445477297</c:v>
                </c:pt>
              </c:numCache>
            </c:numRef>
          </c:val>
          <c:smooth val="0"/>
          <c:extLst>
            <c:ext xmlns:c16="http://schemas.microsoft.com/office/drawing/2014/chart" uri="{C3380CC4-5D6E-409C-BE32-E72D297353CC}">
              <c16:uniqueId val="{00000014-E996-4146-BFCA-DBEE1A840DF5}"/>
            </c:ext>
          </c:extLst>
        </c:ser>
        <c:ser>
          <c:idx val="25"/>
          <c:order val="17"/>
          <c:tx>
            <c:strRef>
              <c:f>Referrals!$AK$55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Referrals!$Y$2:$AC$3</c:f>
              <c:strCache>
                <c:ptCount val="5"/>
                <c:pt idx="0">
                  <c:v>2019/20</c:v>
                </c:pt>
                <c:pt idx="1">
                  <c:v>2020/21</c:v>
                </c:pt>
                <c:pt idx="2">
                  <c:v>2021/22</c:v>
                </c:pt>
                <c:pt idx="3">
                  <c:v>2022/23</c:v>
                </c:pt>
                <c:pt idx="4">
                  <c:v>2023/24</c:v>
                </c:pt>
              </c:strCache>
            </c:strRef>
          </c:cat>
          <c:val>
            <c:numRef>
              <c:f>Referrals!$AL$55:$AP$55</c:f>
              <c:numCache>
                <c:formatCode>0.0</c:formatCode>
                <c:ptCount val="5"/>
                <c:pt idx="0">
                  <c:v>395.63517535157848</c:v>
                </c:pt>
                <c:pt idx="1">
                  <c:v>434.52747704134026</c:v>
                </c:pt>
                <c:pt idx="2">
                  <c:v>515.99952768921946</c:v>
                </c:pt>
                <c:pt idx="3">
                  <c:v>577.19930818163164</c:v>
                </c:pt>
                <c:pt idx="4">
                  <c:v>528.86438551967558</c:v>
                </c:pt>
              </c:numCache>
            </c:numRef>
          </c:val>
          <c:smooth val="0"/>
          <c:extLst>
            <c:ext xmlns:c16="http://schemas.microsoft.com/office/drawing/2014/chart" uri="{C3380CC4-5D6E-409C-BE32-E72D297353CC}">
              <c16:uniqueId val="{00000015-E996-4146-BFCA-DBEE1A840DF5}"/>
            </c:ext>
          </c:extLst>
        </c:ser>
        <c:ser>
          <c:idx val="26"/>
          <c:order val="18"/>
          <c:tx>
            <c:strRef>
              <c:f>Referrals!$AK$56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Referrals!$Y$2:$AC$3</c:f>
              <c:strCache>
                <c:ptCount val="5"/>
                <c:pt idx="0">
                  <c:v>2019/20</c:v>
                </c:pt>
                <c:pt idx="1">
                  <c:v>2020/21</c:v>
                </c:pt>
                <c:pt idx="2">
                  <c:v>2021/22</c:v>
                </c:pt>
                <c:pt idx="3">
                  <c:v>2022/23</c:v>
                </c:pt>
                <c:pt idx="4">
                  <c:v>2023/24</c:v>
                </c:pt>
              </c:strCache>
            </c:strRef>
          </c:cat>
          <c:val>
            <c:numRef>
              <c:f>Referrals!$AL$56:$AP$56</c:f>
              <c:numCache>
                <c:formatCode>0.0</c:formatCode>
                <c:ptCount val="5"/>
                <c:pt idx="0">
                  <c:v>446.04244191893793</c:v>
                </c:pt>
                <c:pt idx="1">
                  <c:v>333.0368613499358</c:v>
                </c:pt>
                <c:pt idx="2">
                  <c:v>371.75715431933673</c:v>
                </c:pt>
                <c:pt idx="3">
                  <c:v>377.93979303857009</c:v>
                </c:pt>
                <c:pt idx="4">
                  <c:v>357.39022025211244</c:v>
                </c:pt>
              </c:numCache>
            </c:numRef>
          </c:val>
          <c:smooth val="0"/>
          <c:extLst>
            <c:ext xmlns:c16="http://schemas.microsoft.com/office/drawing/2014/chart" uri="{C3380CC4-5D6E-409C-BE32-E72D297353CC}">
              <c16:uniqueId val="{00000016-E996-4146-BFCA-DBEE1A840DF5}"/>
            </c:ext>
          </c:extLst>
        </c:ser>
        <c:ser>
          <c:idx val="4"/>
          <c:order val="19"/>
          <c:tx>
            <c:strRef>
              <c:f>Referrals!$AK$57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Referrals!$Y$2:$AC$3</c:f>
              <c:strCache>
                <c:ptCount val="5"/>
                <c:pt idx="0">
                  <c:v>2019/20</c:v>
                </c:pt>
                <c:pt idx="1">
                  <c:v>2020/21</c:v>
                </c:pt>
                <c:pt idx="2">
                  <c:v>2021/22</c:v>
                </c:pt>
                <c:pt idx="3">
                  <c:v>2022/23</c:v>
                </c:pt>
                <c:pt idx="4">
                  <c:v>2023/24</c:v>
                </c:pt>
              </c:strCache>
            </c:strRef>
          </c:cat>
          <c:val>
            <c:numRef>
              <c:f>Referrals!$AL$57:$AP$57</c:f>
              <c:numCache>
                <c:formatCode>0.0</c:formatCode>
                <c:ptCount val="5"/>
                <c:pt idx="0">
                  <c:v>593.67239832900441</c:v>
                </c:pt>
                <c:pt idx="1">
                  <c:v>575.64207546260968</c:v>
                </c:pt>
                <c:pt idx="2">
                  <c:v>640.64811829956773</c:v>
                </c:pt>
                <c:pt idx="3">
                  <c:v>644.96825534942013</c:v>
                </c:pt>
                <c:pt idx="4">
                  <c:v>711.71431389401596</c:v>
                </c:pt>
              </c:numCache>
            </c:numRef>
          </c:val>
          <c:smooth val="0"/>
          <c:extLst>
            <c:ext xmlns:c16="http://schemas.microsoft.com/office/drawing/2014/chart" uri="{C3380CC4-5D6E-409C-BE32-E72D297353CC}">
              <c16:uniqueId val="{00000017-E996-4146-BFCA-DBEE1A840DF5}"/>
            </c:ext>
          </c:extLst>
        </c:ser>
        <c:ser>
          <c:idx val="14"/>
          <c:order val="20"/>
          <c:tx>
            <c:strRef>
              <c:f>Referrals!$AK$58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Referrals!$Y$2:$AC$3</c:f>
              <c:strCache>
                <c:ptCount val="5"/>
                <c:pt idx="0">
                  <c:v>2019/20</c:v>
                </c:pt>
                <c:pt idx="1">
                  <c:v>2020/21</c:v>
                </c:pt>
                <c:pt idx="2">
                  <c:v>2021/22</c:v>
                </c:pt>
                <c:pt idx="3">
                  <c:v>2022/23</c:v>
                </c:pt>
                <c:pt idx="4">
                  <c:v>2023/24</c:v>
                </c:pt>
              </c:strCache>
            </c:strRef>
          </c:cat>
          <c:val>
            <c:numRef>
              <c:f>Referrals!$AL$58:$AP$58</c:f>
              <c:numCache>
                <c:formatCode>0.0</c:formatCode>
                <c:ptCount val="5"/>
                <c:pt idx="0">
                  <c:v>545.33771788318927</c:v>
                </c:pt>
                <c:pt idx="1">
                  <c:v>507.10081971232279</c:v>
                </c:pt>
                <c:pt idx="2">
                  <c:v>552.81539092728838</c:v>
                </c:pt>
                <c:pt idx="3">
                  <c:v>538.81993025452493</c:v>
                </c:pt>
                <c:pt idx="4">
                  <c:v>518.29181392633802</c:v>
                </c:pt>
              </c:numCache>
            </c:numRef>
          </c:val>
          <c:smooth val="0"/>
          <c:extLst>
            <c:ext xmlns:c16="http://schemas.microsoft.com/office/drawing/2014/chart" uri="{C3380CC4-5D6E-409C-BE32-E72D297353CC}">
              <c16:uniqueId val="{00000018-E996-4146-BFCA-DBEE1A840DF5}"/>
            </c:ext>
          </c:extLst>
        </c:ser>
        <c:ser>
          <c:idx val="6"/>
          <c:order val="21"/>
          <c:tx>
            <c:strRef>
              <c:f>Referrals!$AK$59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Referrals!$Y$2:$AC$3</c:f>
              <c:strCache>
                <c:ptCount val="5"/>
                <c:pt idx="0">
                  <c:v>2019/20</c:v>
                </c:pt>
                <c:pt idx="1">
                  <c:v>2020/21</c:v>
                </c:pt>
                <c:pt idx="2">
                  <c:v>2021/22</c:v>
                </c:pt>
                <c:pt idx="3">
                  <c:v>2022/23</c:v>
                </c:pt>
                <c:pt idx="4">
                  <c:v>2023/24</c:v>
                </c:pt>
              </c:strCache>
            </c:strRef>
          </c:cat>
          <c:val>
            <c:numRef>
              <c:f>Referrals!$AL$59:$AP$59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E996-4146-BFCA-DBEE1A840DF5}"/>
            </c:ext>
          </c:extLst>
        </c:ser>
        <c:dLbls>
          <c:showLegendKey val="0"/>
          <c:showVal val="0"/>
          <c:showCatName val="0"/>
          <c:showSerName val="0"/>
          <c:showPercent val="0"/>
          <c:showBubbleSize val="0"/>
        </c:dLbls>
        <c:marker val="1"/>
        <c:smooth val="0"/>
        <c:axId val="528362496"/>
        <c:axId val="528368768"/>
      </c:lineChart>
      <c:catAx>
        <c:axId val="528362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368768"/>
        <c:crosses val="autoZero"/>
        <c:auto val="1"/>
        <c:lblAlgn val="ctr"/>
        <c:lblOffset val="100"/>
        <c:tickLblSkip val="1"/>
        <c:tickMarkSkip val="1"/>
        <c:noMultiLvlLbl val="0"/>
      </c:catAx>
      <c:valAx>
        <c:axId val="52836876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362496"/>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90425470727693646"/>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chemeClr val="bg1">
                <a:lumMod val="65000"/>
              </a:schemeClr>
            </a:solidFill>
            <a:ln>
              <a:noFill/>
            </a:ln>
          </c:spPr>
          <c:invertIfNegative val="0"/>
          <c:cat>
            <c:strRef>
              <c:f>Referral_Source!$B$40:$B$60</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Referral_Source!$V$40:$V$60</c:f>
              <c:numCache>
                <c:formatCode>0.0</c:formatCode>
                <c:ptCount val="21"/>
                <c:pt idx="0">
                  <c:v>0</c:v>
                </c:pt>
                <c:pt idx="1">
                  <c:v>1.013202333435677</c:v>
                </c:pt>
                <c:pt idx="2">
                  <c:v>0.392749244712991</c:v>
                </c:pt>
                <c:pt idx="3">
                  <c:v>0.53351890512642075</c:v>
                </c:pt>
                <c:pt idx="4">
                  <c:v>#N/A</c:v>
                </c:pt>
                <c:pt idx="5">
                  <c:v>0.59387848332571946</c:v>
                </c:pt>
                <c:pt idx="6">
                  <c:v>2.1898718427273858</c:v>
                </c:pt>
                <c:pt idx="7">
                  <c:v>0.15142911224682945</c:v>
                </c:pt>
                <c:pt idx="8">
                  <c:v>0</c:v>
                </c:pt>
                <c:pt idx="9">
                  <c:v>0.43590251634634442</c:v>
                </c:pt>
                <c:pt idx="10">
                  <c:v>0</c:v>
                </c:pt>
                <c:pt idx="11">
                  <c:v>0</c:v>
                </c:pt>
                <c:pt idx="12">
                  <c:v>0</c:v>
                </c:pt>
                <c:pt idx="13">
                  <c:v>0</c:v>
                </c:pt>
                <c:pt idx="14">
                  <c:v>0</c:v>
                </c:pt>
                <c:pt idx="15">
                  <c:v>1.6843418590143482</c:v>
                </c:pt>
                <c:pt idx="16">
                  <c:v>6.7204640020173994</c:v>
                </c:pt>
                <c:pt idx="17">
                  <c:v>4.6883618312189741</c:v>
                </c:pt>
                <c:pt idx="18">
                  <c:v>0.516795865633075</c:v>
                </c:pt>
                <c:pt idx="19">
                  <c:v>1.4552074139452782</c:v>
                </c:pt>
                <c:pt idx="20">
                  <c:v>1.1562087929759111</c:v>
                </c:pt>
              </c:numCache>
            </c:numRef>
          </c:val>
          <c:extLst>
            <c:ext xmlns:c16="http://schemas.microsoft.com/office/drawing/2014/chart" uri="{C3380CC4-5D6E-409C-BE32-E72D297353CC}">
              <c16:uniqueId val="{00000000-8959-4AA8-BC80-2A1B2D431AB4}"/>
            </c:ext>
          </c:extLst>
        </c:ser>
        <c:dLbls>
          <c:showLegendKey val="0"/>
          <c:showVal val="0"/>
          <c:showCatName val="0"/>
          <c:showSerName val="0"/>
          <c:showPercent val="0"/>
          <c:showBubbleSize val="0"/>
        </c:dLbls>
        <c:gapWidth val="40"/>
        <c:axId val="540200960"/>
        <c:axId val="540202496"/>
      </c:barChart>
      <c:catAx>
        <c:axId val="540200960"/>
        <c:scaling>
          <c:orientation val="maxMin"/>
        </c:scaling>
        <c:delete val="1"/>
        <c:axPos val="l"/>
        <c:numFmt formatCode="General" sourceLinked="0"/>
        <c:majorTickMark val="out"/>
        <c:minorTickMark val="none"/>
        <c:tickLblPos val="nextTo"/>
        <c:crossAx val="540202496"/>
        <c:crosses val="autoZero"/>
        <c:auto val="1"/>
        <c:lblAlgn val="ctr"/>
        <c:lblOffset val="100"/>
        <c:noMultiLvlLbl val="0"/>
      </c:catAx>
      <c:valAx>
        <c:axId val="540202496"/>
        <c:scaling>
          <c:orientation val="minMax"/>
        </c:scaling>
        <c:delete val="1"/>
        <c:axPos val="b"/>
        <c:majorGridlines/>
        <c:numFmt formatCode="0.0" sourceLinked="1"/>
        <c:majorTickMark val="out"/>
        <c:minorTickMark val="none"/>
        <c:tickLblPos val="nextTo"/>
        <c:crossAx val="540200960"/>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Re-referrals, per 10,000 0-17 year olds</a:t>
            </a:r>
          </a:p>
        </c:rich>
      </c:tx>
      <c:layout>
        <c:manualLayout>
          <c:xMode val="edge"/>
          <c:yMode val="edge"/>
          <c:x val="0.20882273369674947"/>
          <c:y val="2.081969612541569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5638928815640747"/>
        </c:manualLayout>
      </c:layout>
      <c:lineChart>
        <c:grouping val="standard"/>
        <c:varyColors val="0"/>
        <c:ser>
          <c:idx val="0"/>
          <c:order val="0"/>
          <c:tx>
            <c:strRef>
              <c:f>'Re-referrals'!$AK$38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0F04-4E8D-BFC9-D8425A8AF1EA}"/>
              </c:ext>
            </c:extLst>
          </c:dPt>
          <c:cat>
            <c:strRef>
              <c:f>'Re-referrals'!$Y$2:$AC$3</c:f>
              <c:strCache>
                <c:ptCount val="5"/>
                <c:pt idx="0">
                  <c:v>2019/20</c:v>
                </c:pt>
                <c:pt idx="1">
                  <c:v>2020/21</c:v>
                </c:pt>
                <c:pt idx="2">
                  <c:v>2021/22</c:v>
                </c:pt>
                <c:pt idx="3">
                  <c:v>2022/23</c:v>
                </c:pt>
                <c:pt idx="4">
                  <c:v>2023/24</c:v>
                </c:pt>
              </c:strCache>
            </c:strRef>
          </c:cat>
          <c:val>
            <c:numRef>
              <c:f>'Re-referrals'!$AL$38:$AP$38</c:f>
              <c:numCache>
                <c:formatCode>0.0</c:formatCode>
                <c:ptCount val="5"/>
                <c:pt idx="0">
                  <c:v>158.98600630082791</c:v>
                </c:pt>
                <c:pt idx="1">
                  <c:v>120.67840834964122</c:v>
                </c:pt>
                <c:pt idx="2">
                  <c:v>101.71440894224203</c:v>
                </c:pt>
                <c:pt idx="3">
                  <c:v>141.89904694669963</c:v>
                </c:pt>
                <c:pt idx="4">
                  <c:v>131.25283624812371</c:v>
                </c:pt>
              </c:numCache>
            </c:numRef>
          </c:val>
          <c:smooth val="0"/>
          <c:extLst>
            <c:ext xmlns:c16="http://schemas.microsoft.com/office/drawing/2014/chart" uri="{C3380CC4-5D6E-409C-BE32-E72D297353CC}">
              <c16:uniqueId val="{00000001-0F04-4E8D-BFC9-D8425A8AF1EA}"/>
            </c:ext>
          </c:extLst>
        </c:ser>
        <c:ser>
          <c:idx val="1"/>
          <c:order val="1"/>
          <c:tx>
            <c:strRef>
              <c:f>'Re-referrals'!$AK$39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'Re-referrals'!$Y$2:$AC$3</c:f>
              <c:strCache>
                <c:ptCount val="5"/>
                <c:pt idx="0">
                  <c:v>2019/20</c:v>
                </c:pt>
                <c:pt idx="1">
                  <c:v>2020/21</c:v>
                </c:pt>
                <c:pt idx="2">
                  <c:v>2021/22</c:v>
                </c:pt>
                <c:pt idx="3">
                  <c:v>2022/23</c:v>
                </c:pt>
                <c:pt idx="4">
                  <c:v>2023/24</c:v>
                </c:pt>
              </c:strCache>
            </c:strRef>
          </c:cat>
          <c:val>
            <c:numRef>
              <c:f>'Re-referrals'!$AL$39:$AP$39</c:f>
              <c:numCache>
                <c:formatCode>0.0</c:formatCode>
                <c:ptCount val="5"/>
                <c:pt idx="0">
                  <c:v>226.02371802818064</c:v>
                </c:pt>
                <c:pt idx="1">
                  <c:v>167.20873988824954</c:v>
                </c:pt>
                <c:pt idx="2">
                  <c:v>147.48010610079575</c:v>
                </c:pt>
                <c:pt idx="3">
                  <c:v>172.04072974119643</c:v>
                </c:pt>
                <c:pt idx="4">
                  <c:v>171.0024428920413</c:v>
                </c:pt>
              </c:numCache>
            </c:numRef>
          </c:val>
          <c:smooth val="0"/>
          <c:extLst>
            <c:ext xmlns:c16="http://schemas.microsoft.com/office/drawing/2014/chart" uri="{C3380CC4-5D6E-409C-BE32-E72D297353CC}">
              <c16:uniqueId val="{00000002-0F04-4E8D-BFC9-D8425A8AF1EA}"/>
            </c:ext>
          </c:extLst>
        </c:ser>
        <c:ser>
          <c:idx val="2"/>
          <c:order val="2"/>
          <c:tx>
            <c:strRef>
              <c:f>'Re-referrals'!$AK$40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'Re-referrals'!$Y$2:$AC$3</c:f>
              <c:strCache>
                <c:ptCount val="5"/>
                <c:pt idx="0">
                  <c:v>2019/20</c:v>
                </c:pt>
                <c:pt idx="1">
                  <c:v>2020/21</c:v>
                </c:pt>
                <c:pt idx="2">
                  <c:v>2021/22</c:v>
                </c:pt>
                <c:pt idx="3">
                  <c:v>2022/23</c:v>
                </c:pt>
                <c:pt idx="4">
                  <c:v>2023/24</c:v>
                </c:pt>
              </c:strCache>
            </c:strRef>
          </c:cat>
          <c:val>
            <c:numRef>
              <c:f>'Re-referrals'!$AL$40:$AP$40</c:f>
              <c:numCache>
                <c:formatCode>0.0</c:formatCode>
                <c:ptCount val="5"/>
                <c:pt idx="0">
                  <c:v>178.48809124180227</c:v>
                </c:pt>
                <c:pt idx="1">
                  <c:v>290.46083513612803</c:v>
                </c:pt>
                <c:pt idx="2">
                  <c:v>346.2067848757186</c:v>
                </c:pt>
                <c:pt idx="3">
                  <c:v>377.39745066116029</c:v>
                </c:pt>
                <c:pt idx="4">
                  <c:v>120.75288365095285</c:v>
                </c:pt>
              </c:numCache>
            </c:numRef>
          </c:val>
          <c:smooth val="0"/>
          <c:extLst>
            <c:ext xmlns:c16="http://schemas.microsoft.com/office/drawing/2014/chart" uri="{C3380CC4-5D6E-409C-BE32-E72D297353CC}">
              <c16:uniqueId val="{00000003-0F04-4E8D-BFC9-D8425A8AF1EA}"/>
            </c:ext>
          </c:extLst>
        </c:ser>
        <c:ser>
          <c:idx val="5"/>
          <c:order val="3"/>
          <c:tx>
            <c:strRef>
              <c:f>'Re-referrals'!$AK$41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'Re-referrals'!$Y$2:$AC$3</c:f>
              <c:strCache>
                <c:ptCount val="5"/>
                <c:pt idx="0">
                  <c:v>2019/20</c:v>
                </c:pt>
                <c:pt idx="1">
                  <c:v>2020/21</c:v>
                </c:pt>
                <c:pt idx="2">
                  <c:v>2021/22</c:v>
                </c:pt>
                <c:pt idx="3">
                  <c:v>2022/23</c:v>
                </c:pt>
                <c:pt idx="4">
                  <c:v>2023/24</c:v>
                </c:pt>
              </c:strCache>
            </c:strRef>
          </c:cat>
          <c:val>
            <c:numRef>
              <c:f>'Re-referrals'!$AL$41:$AP$41</c:f>
              <c:numCache>
                <c:formatCode>0.0</c:formatCode>
                <c:ptCount val="5"/>
                <c:pt idx="0">
                  <c:v>73.940206566201255</c:v>
                </c:pt>
                <c:pt idx="1">
                  <c:v>76.938849236957978</c:v>
                </c:pt>
                <c:pt idx="2">
                  <c:v>67.772339862101433</c:v>
                </c:pt>
                <c:pt idx="3">
                  <c:v>62.533430585947002</c:v>
                </c:pt>
                <c:pt idx="4">
                  <c:v>63.02723780476034</c:v>
                </c:pt>
              </c:numCache>
            </c:numRef>
          </c:val>
          <c:smooth val="0"/>
          <c:extLst>
            <c:ext xmlns:c16="http://schemas.microsoft.com/office/drawing/2014/chart" uri="{C3380CC4-5D6E-409C-BE32-E72D297353CC}">
              <c16:uniqueId val="{00000004-0F04-4E8D-BFC9-D8425A8AF1EA}"/>
            </c:ext>
          </c:extLst>
        </c:ser>
        <c:ser>
          <c:idx val="9"/>
          <c:order val="4"/>
          <c:tx>
            <c:strRef>
              <c:f>'Re-referrals'!$AK$42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'Re-referrals'!$Y$2:$AC$3</c:f>
              <c:strCache>
                <c:ptCount val="5"/>
                <c:pt idx="0">
                  <c:v>2019/20</c:v>
                </c:pt>
                <c:pt idx="1">
                  <c:v>2020/21</c:v>
                </c:pt>
                <c:pt idx="2">
                  <c:v>2021/22</c:v>
                </c:pt>
                <c:pt idx="3">
                  <c:v>2022/23</c:v>
                </c:pt>
                <c:pt idx="4">
                  <c:v>2023/24</c:v>
                </c:pt>
              </c:strCache>
            </c:strRef>
          </c:cat>
          <c:val>
            <c:numRef>
              <c:f>'Re-referrals'!$AL$42:$AP$42</c:f>
              <c:numCache>
                <c:formatCode>0.0</c:formatCode>
                <c:ptCount val="5"/>
                <c:pt idx="0">
                  <c:v>233.980095940431</c:v>
                </c:pt>
                <c:pt idx="1">
                  <c:v>263.0995148062803</c:v>
                </c:pt>
                <c:pt idx="2">
                  <c:v>347.95268555400116</c:v>
                </c:pt>
                <c:pt idx="3">
                  <c:v>416.49176152698357</c:v>
                </c:pt>
                <c:pt idx="4">
                  <c:v>#N/A</c:v>
                </c:pt>
              </c:numCache>
            </c:numRef>
          </c:val>
          <c:smooth val="0"/>
          <c:extLst>
            <c:ext xmlns:c16="http://schemas.microsoft.com/office/drawing/2014/chart" uri="{C3380CC4-5D6E-409C-BE32-E72D297353CC}">
              <c16:uniqueId val="{00000005-0F04-4E8D-BFC9-D8425A8AF1EA}"/>
            </c:ext>
          </c:extLst>
        </c:ser>
        <c:ser>
          <c:idx val="10"/>
          <c:order val="5"/>
          <c:tx>
            <c:strRef>
              <c:f>'Re-referrals'!$AK$43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'Re-referrals'!$Y$2:$AC$3</c:f>
              <c:strCache>
                <c:ptCount val="5"/>
                <c:pt idx="0">
                  <c:v>2019/20</c:v>
                </c:pt>
                <c:pt idx="1">
                  <c:v>2020/21</c:v>
                </c:pt>
                <c:pt idx="2">
                  <c:v>2021/22</c:v>
                </c:pt>
                <c:pt idx="3">
                  <c:v>2022/23</c:v>
                </c:pt>
                <c:pt idx="4">
                  <c:v>2023/24</c:v>
                </c:pt>
              </c:strCache>
            </c:strRef>
          </c:cat>
          <c:val>
            <c:numRef>
              <c:f>'Re-referrals'!$AL$43:$AP$43</c:f>
              <c:numCache>
                <c:formatCode>0.0</c:formatCode>
                <c:ptCount val="5"/>
                <c:pt idx="0">
                  <c:v>389.28439158882355</c:v>
                </c:pt>
                <c:pt idx="1">
                  <c:v>390.08873263016909</c:v>
                </c:pt>
                <c:pt idx="2">
                  <c:v>555.08546285327463</c:v>
                </c:pt>
                <c:pt idx="3">
                  <c:v>683.26676298121868</c:v>
                </c:pt>
                <c:pt idx="4">
                  <c:v>848.19523850157873</c:v>
                </c:pt>
              </c:numCache>
            </c:numRef>
          </c:val>
          <c:smooth val="0"/>
          <c:extLst>
            <c:ext xmlns:c16="http://schemas.microsoft.com/office/drawing/2014/chart" uri="{C3380CC4-5D6E-409C-BE32-E72D297353CC}">
              <c16:uniqueId val="{00000006-0F04-4E8D-BFC9-D8425A8AF1EA}"/>
            </c:ext>
          </c:extLst>
        </c:ser>
        <c:ser>
          <c:idx val="11"/>
          <c:order val="6"/>
          <c:tx>
            <c:strRef>
              <c:f>'Re-referrals'!$AK$44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'Re-referrals'!$Y$2:$AC$3</c:f>
              <c:strCache>
                <c:ptCount val="5"/>
                <c:pt idx="0">
                  <c:v>2019/20</c:v>
                </c:pt>
                <c:pt idx="1">
                  <c:v>2020/21</c:v>
                </c:pt>
                <c:pt idx="2">
                  <c:v>2021/22</c:v>
                </c:pt>
                <c:pt idx="3">
                  <c:v>2022/23</c:v>
                </c:pt>
                <c:pt idx="4">
                  <c:v>2023/24</c:v>
                </c:pt>
              </c:strCache>
            </c:strRef>
          </c:cat>
          <c:val>
            <c:numRef>
              <c:f>'Re-referrals'!$AL$44:$AP$44</c:f>
              <c:numCache>
                <c:formatCode>0.0</c:formatCode>
                <c:ptCount val="5"/>
                <c:pt idx="0">
                  <c:v>190.85446522050859</c:v>
                </c:pt>
                <c:pt idx="1">
                  <c:v>159.07949190249505</c:v>
                </c:pt>
                <c:pt idx="2">
                  <c:v>124.8471396139736</c:v>
                </c:pt>
                <c:pt idx="3">
                  <c:v>143.35380828214596</c:v>
                </c:pt>
                <c:pt idx="4">
                  <c:v>161.19678927000675</c:v>
                </c:pt>
              </c:numCache>
            </c:numRef>
          </c:val>
          <c:smooth val="0"/>
          <c:extLst>
            <c:ext xmlns:c16="http://schemas.microsoft.com/office/drawing/2014/chart" uri="{C3380CC4-5D6E-409C-BE32-E72D297353CC}">
              <c16:uniqueId val="{00000007-0F04-4E8D-BFC9-D8425A8AF1EA}"/>
            </c:ext>
          </c:extLst>
        </c:ser>
        <c:ser>
          <c:idx val="12"/>
          <c:order val="7"/>
          <c:tx>
            <c:strRef>
              <c:f>'Re-referrals'!$AK$45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'Re-referrals'!$Y$2:$AC$3</c:f>
              <c:strCache>
                <c:ptCount val="5"/>
                <c:pt idx="0">
                  <c:v>2019/20</c:v>
                </c:pt>
                <c:pt idx="1">
                  <c:v>2020/21</c:v>
                </c:pt>
                <c:pt idx="2">
                  <c:v>2021/22</c:v>
                </c:pt>
                <c:pt idx="3">
                  <c:v>2022/23</c:v>
                </c:pt>
                <c:pt idx="4">
                  <c:v>2023/24</c:v>
                </c:pt>
              </c:strCache>
            </c:strRef>
          </c:cat>
          <c:val>
            <c:numRef>
              <c:f>'Re-referrals'!$AL$45:$AP$45</c:f>
              <c:numCache>
                <c:formatCode>0.0</c:formatCode>
                <c:ptCount val="5"/>
                <c:pt idx="0">
                  <c:v>191.60698580223647</c:v>
                </c:pt>
                <c:pt idx="1">
                  <c:v>128.26752492346338</c:v>
                </c:pt>
                <c:pt idx="2">
                  <c:v>154.81768180892237</c:v>
                </c:pt>
                <c:pt idx="3">
                  <c:v>153.4908783003618</c:v>
                </c:pt>
                <c:pt idx="4">
                  <c:v>189.39223536821271</c:v>
                </c:pt>
              </c:numCache>
            </c:numRef>
          </c:val>
          <c:smooth val="0"/>
          <c:extLst>
            <c:ext xmlns:c16="http://schemas.microsoft.com/office/drawing/2014/chart" uri="{C3380CC4-5D6E-409C-BE32-E72D297353CC}">
              <c16:uniqueId val="{00000008-0F04-4E8D-BFC9-D8425A8AF1EA}"/>
            </c:ext>
          </c:extLst>
        </c:ser>
        <c:ser>
          <c:idx val="13"/>
          <c:order val="8"/>
          <c:tx>
            <c:strRef>
              <c:f>'Re-referrals'!$AK$46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'Re-referrals'!$Y$2:$AC$3</c:f>
              <c:strCache>
                <c:ptCount val="5"/>
                <c:pt idx="0">
                  <c:v>2019/20</c:v>
                </c:pt>
                <c:pt idx="1">
                  <c:v>2020/21</c:v>
                </c:pt>
                <c:pt idx="2">
                  <c:v>2021/22</c:v>
                </c:pt>
                <c:pt idx="3">
                  <c:v>2022/23</c:v>
                </c:pt>
                <c:pt idx="4">
                  <c:v>2023/24</c:v>
                </c:pt>
              </c:strCache>
            </c:strRef>
          </c:cat>
          <c:val>
            <c:numRef>
              <c:f>'Re-referrals'!$AL$46:$AP$46</c:f>
              <c:numCache>
                <c:formatCode>0.0</c:formatCode>
                <c:ptCount val="5"/>
                <c:pt idx="0">
                  <c:v>75.466778683894134</c:v>
                </c:pt>
                <c:pt idx="1">
                  <c:v>83.255176394199552</c:v>
                </c:pt>
                <c:pt idx="2">
                  <c:v>91.620593092554032</c:v>
                </c:pt>
                <c:pt idx="3">
                  <c:v>96.263618553649692</c:v>
                </c:pt>
                <c:pt idx="4">
                  <c:v>82.146242290204256</c:v>
                </c:pt>
              </c:numCache>
            </c:numRef>
          </c:val>
          <c:smooth val="0"/>
          <c:extLst>
            <c:ext xmlns:c16="http://schemas.microsoft.com/office/drawing/2014/chart" uri="{C3380CC4-5D6E-409C-BE32-E72D297353CC}">
              <c16:uniqueId val="{00000009-0F04-4E8D-BFC9-D8425A8AF1EA}"/>
            </c:ext>
          </c:extLst>
        </c:ser>
        <c:ser>
          <c:idx val="15"/>
          <c:order val="9"/>
          <c:tx>
            <c:strRef>
              <c:f>'Re-referrals'!$AK$47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'Re-referrals'!$Y$2:$AC$3</c:f>
              <c:strCache>
                <c:ptCount val="5"/>
                <c:pt idx="0">
                  <c:v>2019/20</c:v>
                </c:pt>
                <c:pt idx="1">
                  <c:v>2020/21</c:v>
                </c:pt>
                <c:pt idx="2">
                  <c:v>2021/22</c:v>
                </c:pt>
                <c:pt idx="3">
                  <c:v>2022/23</c:v>
                </c:pt>
                <c:pt idx="4">
                  <c:v>2023/24</c:v>
                </c:pt>
              </c:strCache>
            </c:strRef>
          </c:cat>
          <c:val>
            <c:numRef>
              <c:f>'Re-referrals'!$AL$47:$AP$47</c:f>
              <c:numCache>
                <c:formatCode>0.0</c:formatCode>
                <c:ptCount val="5"/>
                <c:pt idx="0">
                  <c:v>91.740578415692141</c:v>
                </c:pt>
                <c:pt idx="1">
                  <c:v>123.74413816373891</c:v>
                </c:pt>
                <c:pt idx="2">
                  <c:v>83.297458710016869</c:v>
                </c:pt>
                <c:pt idx="3">
                  <c:v>73.426152549853555</c:v>
                </c:pt>
                <c:pt idx="4">
                  <c:v>61.637323366446999</c:v>
                </c:pt>
              </c:numCache>
            </c:numRef>
          </c:val>
          <c:smooth val="0"/>
          <c:extLst>
            <c:ext xmlns:c16="http://schemas.microsoft.com/office/drawing/2014/chart" uri="{C3380CC4-5D6E-409C-BE32-E72D297353CC}">
              <c16:uniqueId val="{0000000A-0F04-4E8D-BFC9-D8425A8AF1EA}"/>
            </c:ext>
          </c:extLst>
        </c:ser>
        <c:ser>
          <c:idx val="16"/>
          <c:order val="10"/>
          <c:tx>
            <c:strRef>
              <c:f>'Re-referrals'!$AK$48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'Re-referrals'!$Y$2:$AC$3</c:f>
              <c:strCache>
                <c:ptCount val="5"/>
                <c:pt idx="0">
                  <c:v>2019/20</c:v>
                </c:pt>
                <c:pt idx="1">
                  <c:v>2020/21</c:v>
                </c:pt>
                <c:pt idx="2">
                  <c:v>2021/22</c:v>
                </c:pt>
                <c:pt idx="3">
                  <c:v>2022/23</c:v>
                </c:pt>
                <c:pt idx="4">
                  <c:v>2023/24</c:v>
                </c:pt>
              </c:strCache>
            </c:strRef>
          </c:cat>
          <c:val>
            <c:numRef>
              <c:f>'Re-referrals'!$AL$48:$AP$48</c:f>
              <c:numCache>
                <c:formatCode>0.0</c:formatCode>
                <c:ptCount val="5"/>
                <c:pt idx="0">
                  <c:v>150.12014369661932</c:v>
                </c:pt>
                <c:pt idx="1">
                  <c:v>143.07894422548668</c:v>
                </c:pt>
                <c:pt idx="2">
                  <c:v>221.00513909329987</c:v>
                </c:pt>
                <c:pt idx="3">
                  <c:v>191.77951326693892</c:v>
                </c:pt>
                <c:pt idx="4">
                  <c:v>173.73011558370953</c:v>
                </c:pt>
              </c:numCache>
            </c:numRef>
          </c:val>
          <c:smooth val="0"/>
          <c:extLst>
            <c:ext xmlns:c16="http://schemas.microsoft.com/office/drawing/2014/chart" uri="{C3380CC4-5D6E-409C-BE32-E72D297353CC}">
              <c16:uniqueId val="{0000000B-0F04-4E8D-BFC9-D8425A8AF1EA}"/>
            </c:ext>
          </c:extLst>
        </c:ser>
        <c:ser>
          <c:idx val="17"/>
          <c:order val="11"/>
          <c:tx>
            <c:strRef>
              <c:f>'Re-referrals'!$AK$49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'Re-referrals'!$Y$2:$AC$3</c:f>
              <c:strCache>
                <c:ptCount val="5"/>
                <c:pt idx="0">
                  <c:v>2019/20</c:v>
                </c:pt>
                <c:pt idx="1">
                  <c:v>2020/21</c:v>
                </c:pt>
                <c:pt idx="2">
                  <c:v>2021/22</c:v>
                </c:pt>
                <c:pt idx="3">
                  <c:v>2022/23</c:v>
                </c:pt>
                <c:pt idx="4">
                  <c:v>2023/24</c:v>
                </c:pt>
              </c:strCache>
            </c:strRef>
          </c:cat>
          <c:val>
            <c:numRef>
              <c:f>'Re-referrals'!$AL$49:$AP$49</c:f>
              <c:numCache>
                <c:formatCode>0.0</c:formatCode>
                <c:ptCount val="5"/>
                <c:pt idx="0">
                  <c:v>182.55468539022414</c:v>
                </c:pt>
                <c:pt idx="1">
                  <c:v>112.52062427307891</c:v>
                </c:pt>
                <c:pt idx="2">
                  <c:v>138.43782682886552</c:v>
                </c:pt>
                <c:pt idx="3">
                  <c:v>191.35802469135803</c:v>
                </c:pt>
                <c:pt idx="4">
                  <c:v>210.92040391257348</c:v>
                </c:pt>
              </c:numCache>
            </c:numRef>
          </c:val>
          <c:smooth val="0"/>
          <c:extLst>
            <c:ext xmlns:c16="http://schemas.microsoft.com/office/drawing/2014/chart" uri="{C3380CC4-5D6E-409C-BE32-E72D297353CC}">
              <c16:uniqueId val="{0000000C-0F04-4E8D-BFC9-D8425A8AF1EA}"/>
            </c:ext>
          </c:extLst>
        </c:ser>
        <c:ser>
          <c:idx val="19"/>
          <c:order val="12"/>
          <c:tx>
            <c:strRef>
              <c:f>'Re-referrals'!$AK$50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'Re-referrals'!$Y$2:$AC$3</c:f>
              <c:strCache>
                <c:ptCount val="5"/>
                <c:pt idx="0">
                  <c:v>2019/20</c:v>
                </c:pt>
                <c:pt idx="1">
                  <c:v>2020/21</c:v>
                </c:pt>
                <c:pt idx="2">
                  <c:v>2021/22</c:v>
                </c:pt>
                <c:pt idx="3">
                  <c:v>2022/23</c:v>
                </c:pt>
                <c:pt idx="4">
                  <c:v>2023/24</c:v>
                </c:pt>
              </c:strCache>
            </c:strRef>
          </c:cat>
          <c:val>
            <c:numRef>
              <c:f>'Re-referrals'!$AL$50:$AP$50</c:f>
              <c:numCache>
                <c:formatCode>0.0</c:formatCode>
                <c:ptCount val="5"/>
                <c:pt idx="0">
                  <c:v>98.668322638515136</c:v>
                </c:pt>
                <c:pt idx="1">
                  <c:v>132.8018223234624</c:v>
                </c:pt>
                <c:pt idx="2">
                  <c:v>157.30388458284747</c:v>
                </c:pt>
                <c:pt idx="3">
                  <c:v>155.93220338983051</c:v>
                </c:pt>
                <c:pt idx="4">
                  <c:v>171.91018751811637</c:v>
                </c:pt>
              </c:numCache>
            </c:numRef>
          </c:val>
          <c:smooth val="0"/>
          <c:extLst>
            <c:ext xmlns:c16="http://schemas.microsoft.com/office/drawing/2014/chart" uri="{C3380CC4-5D6E-409C-BE32-E72D297353CC}">
              <c16:uniqueId val="{0000000D-0F04-4E8D-BFC9-D8425A8AF1EA}"/>
            </c:ext>
          </c:extLst>
        </c:ser>
        <c:ser>
          <c:idx val="20"/>
          <c:order val="13"/>
          <c:tx>
            <c:strRef>
              <c:f>'Re-referrals'!$AK$51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'Re-referrals'!$Y$2:$AC$3</c:f>
              <c:strCache>
                <c:ptCount val="5"/>
                <c:pt idx="0">
                  <c:v>2019/20</c:v>
                </c:pt>
                <c:pt idx="1">
                  <c:v>2020/21</c:v>
                </c:pt>
                <c:pt idx="2">
                  <c:v>2021/22</c:v>
                </c:pt>
                <c:pt idx="3">
                  <c:v>2022/23</c:v>
                </c:pt>
                <c:pt idx="4">
                  <c:v>2023/24</c:v>
                </c:pt>
              </c:strCache>
            </c:strRef>
          </c:cat>
          <c:val>
            <c:numRef>
              <c:f>'Re-referrals'!$AL$51:$AP$51</c:f>
              <c:numCache>
                <c:formatCode>0.0</c:formatCode>
                <c:ptCount val="5"/>
                <c:pt idx="0">
                  <c:v>223.64281681051867</c:v>
                </c:pt>
                <c:pt idx="1">
                  <c:v>230.00985182057624</c:v>
                </c:pt>
                <c:pt idx="2">
                  <c:v>133.2307443103588</c:v>
                </c:pt>
                <c:pt idx="3">
                  <c:v>171.04128651921957</c:v>
                </c:pt>
                <c:pt idx="4">
                  <c:v>152.46262878923233</c:v>
                </c:pt>
              </c:numCache>
            </c:numRef>
          </c:val>
          <c:smooth val="0"/>
          <c:extLst>
            <c:ext xmlns:c16="http://schemas.microsoft.com/office/drawing/2014/chart" uri="{C3380CC4-5D6E-409C-BE32-E72D297353CC}">
              <c16:uniqueId val="{0000000F-0F04-4E8D-BFC9-D8425A8AF1EA}"/>
            </c:ext>
          </c:extLst>
        </c:ser>
        <c:ser>
          <c:idx val="22"/>
          <c:order val="14"/>
          <c:tx>
            <c:strRef>
              <c:f>'Re-referrals'!$AK$52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'Re-referrals'!$Y$2:$AC$3</c:f>
              <c:strCache>
                <c:ptCount val="5"/>
                <c:pt idx="0">
                  <c:v>2019/20</c:v>
                </c:pt>
                <c:pt idx="1">
                  <c:v>2020/21</c:v>
                </c:pt>
                <c:pt idx="2">
                  <c:v>2021/22</c:v>
                </c:pt>
                <c:pt idx="3">
                  <c:v>2022/23</c:v>
                </c:pt>
                <c:pt idx="4">
                  <c:v>2023/24</c:v>
                </c:pt>
              </c:strCache>
            </c:strRef>
          </c:cat>
          <c:val>
            <c:numRef>
              <c:f>'Re-referrals'!$AL$52:$AP$52</c:f>
              <c:numCache>
                <c:formatCode>0.0</c:formatCode>
                <c:ptCount val="5"/>
                <c:pt idx="0">
                  <c:v>70.995369024782505</c:v>
                </c:pt>
                <c:pt idx="1">
                  <c:v>91.250546381503867</c:v>
                </c:pt>
                <c:pt idx="2">
                  <c:v>71.795227524972248</c:v>
                </c:pt>
                <c:pt idx="3">
                  <c:v>46.635348759552848</c:v>
                </c:pt>
                <c:pt idx="4">
                  <c:v>47.276340751001236</c:v>
                </c:pt>
              </c:numCache>
            </c:numRef>
          </c:val>
          <c:smooth val="0"/>
          <c:extLst>
            <c:ext xmlns:c16="http://schemas.microsoft.com/office/drawing/2014/chart" uri="{C3380CC4-5D6E-409C-BE32-E72D297353CC}">
              <c16:uniqueId val="{00000010-0F04-4E8D-BFC9-D8425A8AF1EA}"/>
            </c:ext>
          </c:extLst>
        </c:ser>
        <c:ser>
          <c:idx val="23"/>
          <c:order val="15"/>
          <c:tx>
            <c:strRef>
              <c:f>'Re-referrals'!$AK$53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'Re-referrals'!$Y$2:$AC$3</c:f>
              <c:strCache>
                <c:ptCount val="5"/>
                <c:pt idx="0">
                  <c:v>2019/20</c:v>
                </c:pt>
                <c:pt idx="1">
                  <c:v>2020/21</c:v>
                </c:pt>
                <c:pt idx="2">
                  <c:v>2021/22</c:v>
                </c:pt>
                <c:pt idx="3">
                  <c:v>2022/23</c:v>
                </c:pt>
                <c:pt idx="4">
                  <c:v>2023/24</c:v>
                </c:pt>
              </c:strCache>
            </c:strRef>
          </c:cat>
          <c:val>
            <c:numRef>
              <c:f>'Re-referrals'!$AL$53:$AP$53</c:f>
              <c:numCache>
                <c:formatCode>0.0</c:formatCode>
                <c:ptCount val="5"/>
                <c:pt idx="0">
                  <c:v>126.35121645132769</c:v>
                </c:pt>
                <c:pt idx="1">
                  <c:v>97.633815759246502</c:v>
                </c:pt>
                <c:pt idx="2">
                  <c:v>141.06084694319989</c:v>
                </c:pt>
                <c:pt idx="3">
                  <c:v>131.18698441796516</c:v>
                </c:pt>
                <c:pt idx="4">
                  <c:v>99.079971691436654</c:v>
                </c:pt>
              </c:numCache>
            </c:numRef>
          </c:val>
          <c:smooth val="0"/>
          <c:extLst>
            <c:ext xmlns:c16="http://schemas.microsoft.com/office/drawing/2014/chart" uri="{C3380CC4-5D6E-409C-BE32-E72D297353CC}">
              <c16:uniqueId val="{00000013-0F04-4E8D-BFC9-D8425A8AF1EA}"/>
            </c:ext>
          </c:extLst>
        </c:ser>
        <c:ser>
          <c:idx val="24"/>
          <c:order val="16"/>
          <c:tx>
            <c:strRef>
              <c:f>'Re-referrals'!$AK$54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'Re-referrals'!$Y$2:$AC$3</c:f>
              <c:strCache>
                <c:ptCount val="5"/>
                <c:pt idx="0">
                  <c:v>2019/20</c:v>
                </c:pt>
                <c:pt idx="1">
                  <c:v>2020/21</c:v>
                </c:pt>
                <c:pt idx="2">
                  <c:v>2021/22</c:v>
                </c:pt>
                <c:pt idx="3">
                  <c:v>2022/23</c:v>
                </c:pt>
                <c:pt idx="4">
                  <c:v>2023/24</c:v>
                </c:pt>
              </c:strCache>
            </c:strRef>
          </c:cat>
          <c:val>
            <c:numRef>
              <c:f>'Re-referrals'!$AL$54:$AP$54</c:f>
              <c:numCache>
                <c:formatCode>0.0</c:formatCode>
                <c:ptCount val="5"/>
                <c:pt idx="0">
                  <c:v>152.92334818007387</c:v>
                </c:pt>
                <c:pt idx="1">
                  <c:v>140.33231151472626</c:v>
                </c:pt>
                <c:pt idx="2">
                  <c:v>137.33026756809315</c:v>
                </c:pt>
                <c:pt idx="3">
                  <c:v>124.72582309457624</c:v>
                </c:pt>
                <c:pt idx="4">
                  <c:v>75.24803360743654</c:v>
                </c:pt>
              </c:numCache>
            </c:numRef>
          </c:val>
          <c:smooth val="0"/>
          <c:extLst>
            <c:ext xmlns:c16="http://schemas.microsoft.com/office/drawing/2014/chart" uri="{C3380CC4-5D6E-409C-BE32-E72D297353CC}">
              <c16:uniqueId val="{00000014-0F04-4E8D-BFC9-D8425A8AF1EA}"/>
            </c:ext>
          </c:extLst>
        </c:ser>
        <c:ser>
          <c:idx val="25"/>
          <c:order val="17"/>
          <c:tx>
            <c:strRef>
              <c:f>'Re-referrals'!$AK$55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'Re-referrals'!$Y$2:$AC$3</c:f>
              <c:strCache>
                <c:ptCount val="5"/>
                <c:pt idx="0">
                  <c:v>2019/20</c:v>
                </c:pt>
                <c:pt idx="1">
                  <c:v>2020/21</c:v>
                </c:pt>
                <c:pt idx="2">
                  <c:v>2021/22</c:v>
                </c:pt>
                <c:pt idx="3">
                  <c:v>2022/23</c:v>
                </c:pt>
                <c:pt idx="4">
                  <c:v>2023/24</c:v>
                </c:pt>
              </c:strCache>
            </c:strRef>
          </c:cat>
          <c:val>
            <c:numRef>
              <c:f>'Re-referrals'!$AL$55:$AP$55</c:f>
              <c:numCache>
                <c:formatCode>0.0</c:formatCode>
                <c:ptCount val="5"/>
                <c:pt idx="0">
                  <c:v>62.437999649880375</c:v>
                </c:pt>
                <c:pt idx="1">
                  <c:v>96.235660006454836</c:v>
                </c:pt>
                <c:pt idx="2">
                  <c:v>95.0525445743299</c:v>
                </c:pt>
                <c:pt idx="3">
                  <c:v>123.41336147509747</c:v>
                </c:pt>
                <c:pt idx="4">
                  <c:v>119.59977830284997</c:v>
                </c:pt>
              </c:numCache>
            </c:numRef>
          </c:val>
          <c:smooth val="0"/>
          <c:extLst>
            <c:ext xmlns:c16="http://schemas.microsoft.com/office/drawing/2014/chart" uri="{C3380CC4-5D6E-409C-BE32-E72D297353CC}">
              <c16:uniqueId val="{00000015-0F04-4E8D-BFC9-D8425A8AF1EA}"/>
            </c:ext>
          </c:extLst>
        </c:ser>
        <c:ser>
          <c:idx val="26"/>
          <c:order val="18"/>
          <c:tx>
            <c:strRef>
              <c:f>'Re-referrals'!$AK$56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'Re-referrals'!$Y$2:$AC$3</c:f>
              <c:strCache>
                <c:ptCount val="5"/>
                <c:pt idx="0">
                  <c:v>2019/20</c:v>
                </c:pt>
                <c:pt idx="1">
                  <c:v>2020/21</c:v>
                </c:pt>
                <c:pt idx="2">
                  <c:v>2021/22</c:v>
                </c:pt>
                <c:pt idx="3">
                  <c:v>2022/23</c:v>
                </c:pt>
                <c:pt idx="4">
                  <c:v>2023/24</c:v>
                </c:pt>
              </c:strCache>
            </c:strRef>
          </c:cat>
          <c:val>
            <c:numRef>
              <c:f>'Re-referrals'!$AL$56:$AP$56</c:f>
              <c:numCache>
                <c:formatCode>0.0</c:formatCode>
                <c:ptCount val="5"/>
                <c:pt idx="0">
                  <c:v>109.62486171175701</c:v>
                </c:pt>
                <c:pt idx="1">
                  <c:v>63.988536416641963</c:v>
                </c:pt>
                <c:pt idx="2">
                  <c:v>60.541223953901145</c:v>
                </c:pt>
                <c:pt idx="3">
                  <c:v>68.438381937911572</c:v>
                </c:pt>
                <c:pt idx="4">
                  <c:v>66.952948238444847</c:v>
                </c:pt>
              </c:numCache>
            </c:numRef>
          </c:val>
          <c:smooth val="0"/>
          <c:extLst>
            <c:ext xmlns:c16="http://schemas.microsoft.com/office/drawing/2014/chart" uri="{C3380CC4-5D6E-409C-BE32-E72D297353CC}">
              <c16:uniqueId val="{00000016-0F04-4E8D-BFC9-D8425A8AF1EA}"/>
            </c:ext>
          </c:extLst>
        </c:ser>
        <c:ser>
          <c:idx val="4"/>
          <c:order val="19"/>
          <c:tx>
            <c:strRef>
              <c:f>'Re-referrals'!$AK$57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'Re-referrals'!$Y$2:$AC$3</c:f>
              <c:strCache>
                <c:ptCount val="5"/>
                <c:pt idx="0">
                  <c:v>2019/20</c:v>
                </c:pt>
                <c:pt idx="1">
                  <c:v>2020/21</c:v>
                </c:pt>
                <c:pt idx="2">
                  <c:v>2021/22</c:v>
                </c:pt>
                <c:pt idx="3">
                  <c:v>2022/23</c:v>
                </c:pt>
                <c:pt idx="4">
                  <c:v>2023/24</c:v>
                </c:pt>
              </c:strCache>
            </c:strRef>
          </c:cat>
          <c:val>
            <c:numRef>
              <c:f>'Re-referrals'!$AL$57:$AP$57</c:f>
              <c:numCache>
                <c:formatCode>0.0</c:formatCode>
                <c:ptCount val="5"/>
                <c:pt idx="0">
                  <c:v>154.60288953801734</c:v>
                </c:pt>
                <c:pt idx="1">
                  <c:v>159.24020487576988</c:v>
                </c:pt>
                <c:pt idx="2">
                  <c:v>166.14695696018384</c:v>
                </c:pt>
                <c:pt idx="3">
                  <c:v>180.08226080328188</c:v>
                </c:pt>
                <c:pt idx="4">
                  <c:v>189.68480971637101</c:v>
                </c:pt>
              </c:numCache>
            </c:numRef>
          </c:val>
          <c:smooth val="0"/>
          <c:extLst>
            <c:ext xmlns:c16="http://schemas.microsoft.com/office/drawing/2014/chart" uri="{C3380CC4-5D6E-409C-BE32-E72D297353CC}">
              <c16:uniqueId val="{00000017-0F04-4E8D-BFC9-D8425A8AF1EA}"/>
            </c:ext>
          </c:extLst>
        </c:ser>
        <c:ser>
          <c:idx val="14"/>
          <c:order val="20"/>
          <c:tx>
            <c:strRef>
              <c:f>'Re-referrals'!$AK$58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'Re-referrals'!$Y$2:$AC$3</c:f>
              <c:strCache>
                <c:ptCount val="5"/>
                <c:pt idx="0">
                  <c:v>2019/20</c:v>
                </c:pt>
                <c:pt idx="1">
                  <c:v>2020/21</c:v>
                </c:pt>
                <c:pt idx="2">
                  <c:v>2021/22</c:v>
                </c:pt>
                <c:pt idx="3">
                  <c:v>2022/23</c:v>
                </c:pt>
                <c:pt idx="4">
                  <c:v>2023/24</c:v>
                </c:pt>
              </c:strCache>
            </c:strRef>
          </c:cat>
          <c:val>
            <c:numRef>
              <c:f>'Re-referrals'!$AL$58:$AP$58</c:f>
              <c:numCache>
                <c:formatCode>0.0</c:formatCode>
                <c:ptCount val="5"/>
                <c:pt idx="0">
                  <c:v>123.31122399302761</c:v>
                </c:pt>
                <c:pt idx="1">
                  <c:v>115.24633022938814</c:v>
                </c:pt>
                <c:pt idx="2">
                  <c:v>118.59342586057595</c:v>
                </c:pt>
                <c:pt idx="3">
                  <c:v>120.95957617958723</c:v>
                </c:pt>
                <c:pt idx="4">
                  <c:v>115.9130788590646</c:v>
                </c:pt>
              </c:numCache>
            </c:numRef>
          </c:val>
          <c:smooth val="0"/>
          <c:extLst>
            <c:ext xmlns:c16="http://schemas.microsoft.com/office/drawing/2014/chart" uri="{C3380CC4-5D6E-409C-BE32-E72D297353CC}">
              <c16:uniqueId val="{00000018-0F04-4E8D-BFC9-D8425A8AF1EA}"/>
            </c:ext>
          </c:extLst>
        </c:ser>
        <c:ser>
          <c:idx val="6"/>
          <c:order val="21"/>
          <c:tx>
            <c:strRef>
              <c:f>'Re-referrals'!$AK$59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'Re-referrals'!$Y$2:$AC$3</c:f>
              <c:strCache>
                <c:ptCount val="5"/>
                <c:pt idx="0">
                  <c:v>2019/20</c:v>
                </c:pt>
                <c:pt idx="1">
                  <c:v>2020/21</c:v>
                </c:pt>
                <c:pt idx="2">
                  <c:v>2021/22</c:v>
                </c:pt>
                <c:pt idx="3">
                  <c:v>2022/23</c:v>
                </c:pt>
                <c:pt idx="4">
                  <c:v>2023/24</c:v>
                </c:pt>
              </c:strCache>
            </c:strRef>
          </c:cat>
          <c:val>
            <c:numRef>
              <c:f>'Re-referrals'!$AL$59:$AP$59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0F04-4E8D-BFC9-D8425A8AF1EA}"/>
            </c:ext>
          </c:extLst>
        </c:ser>
        <c:dLbls>
          <c:showLegendKey val="0"/>
          <c:showVal val="0"/>
          <c:showCatName val="0"/>
          <c:showSerName val="0"/>
          <c:showPercent val="0"/>
          <c:showBubbleSize val="0"/>
        </c:dLbls>
        <c:marker val="1"/>
        <c:smooth val="0"/>
        <c:axId val="549825152"/>
        <c:axId val="549839616"/>
      </c:lineChart>
      <c:catAx>
        <c:axId val="549825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49839616"/>
        <c:crosses val="autoZero"/>
        <c:auto val="1"/>
        <c:lblAlgn val="ctr"/>
        <c:lblOffset val="100"/>
        <c:tickLblSkip val="1"/>
        <c:tickMarkSkip val="1"/>
        <c:noMultiLvlLbl val="0"/>
      </c:catAx>
      <c:valAx>
        <c:axId val="549839616"/>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4982515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90632832436049671"/>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Re-referrals (Selected LA</a:t>
            </a:r>
            <a:r>
              <a:rPr lang="en-GB" sz="1100" baseline="0"/>
              <a:t> vs. SE)</a:t>
            </a:r>
            <a:r>
              <a:rPr lang="en-GB" sz="1100"/>
              <a:t> </a:t>
            </a:r>
          </a:p>
        </c:rich>
      </c:tx>
      <c:layout>
        <c:manualLayout>
          <c:xMode val="edge"/>
          <c:yMode val="edge"/>
          <c:x val="0.2106724352466392"/>
          <c:y val="4.2007732904354708E-2"/>
        </c:manualLayout>
      </c:layout>
      <c:overlay val="0"/>
      <c:spPr>
        <a:noFill/>
        <a:ln w="25400">
          <a:noFill/>
        </a:ln>
      </c:spPr>
    </c:title>
    <c:autoTitleDeleted val="0"/>
    <c:plotArea>
      <c:layout>
        <c:manualLayout>
          <c:layoutTarget val="inner"/>
          <c:xMode val="edge"/>
          <c:yMode val="edge"/>
          <c:x val="9.6909968335254768E-2"/>
          <c:y val="0.19287161685434481"/>
          <c:w val="0.65146216862752293"/>
          <c:h val="0.58255479211595373"/>
        </c:manualLayout>
      </c:layout>
      <c:barChart>
        <c:barDir val="col"/>
        <c:grouping val="clustered"/>
        <c:varyColors val="0"/>
        <c:ser>
          <c:idx val="6"/>
          <c:order val="0"/>
          <c:tx>
            <c:strRef>
              <c:f>'Re-referrals'!$Z$4</c:f>
              <c:strCache>
                <c:ptCount val="1"/>
                <c:pt idx="0">
                  <c:v>Selected LA- (none)</c:v>
                </c:pt>
              </c:strCache>
            </c:strRef>
          </c:tx>
          <c:spPr>
            <a:solidFill>
              <a:srgbClr val="66FF99"/>
            </a:solidFill>
            <a:ln>
              <a:solidFill>
                <a:schemeClr val="tx1">
                  <a:lumMod val="75000"/>
                  <a:lumOff val="25000"/>
                </a:schemeClr>
              </a:solidFill>
            </a:ln>
          </c:spPr>
          <c:invertIfNegative val="0"/>
          <c:cat>
            <c:strRef>
              <c:f>'Re-referrals'!$Y$2:$AC$3</c:f>
              <c:strCache>
                <c:ptCount val="5"/>
                <c:pt idx="0">
                  <c:v>2019/20</c:v>
                </c:pt>
                <c:pt idx="1">
                  <c:v>2020/21</c:v>
                </c:pt>
                <c:pt idx="2">
                  <c:v>2021/22</c:v>
                </c:pt>
                <c:pt idx="3">
                  <c:v>2022/23</c:v>
                </c:pt>
                <c:pt idx="4">
                  <c:v>2023/24</c:v>
                </c:pt>
              </c:strCache>
            </c:strRef>
          </c:cat>
          <c:val>
            <c:numRef>
              <c:f>'Re-referrals'!$AL$59:$AP$59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BF93-4711-AC4C-990570CB4159}"/>
            </c:ext>
          </c:extLst>
        </c:ser>
        <c:ser>
          <c:idx val="4"/>
          <c:order val="1"/>
          <c:tx>
            <c:strRef>
              <c:f>'Re-referrals'!$B$30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'Re-referrals'!$Y$2:$AC$3</c:f>
              <c:strCache>
                <c:ptCount val="5"/>
                <c:pt idx="0">
                  <c:v>2019/20</c:v>
                </c:pt>
                <c:pt idx="1">
                  <c:v>2020/21</c:v>
                </c:pt>
                <c:pt idx="2">
                  <c:v>2021/22</c:v>
                </c:pt>
                <c:pt idx="3">
                  <c:v>2022/23</c:v>
                </c:pt>
                <c:pt idx="4">
                  <c:v>2023/24</c:v>
                </c:pt>
              </c:strCache>
            </c:strRef>
          </c:cat>
          <c:val>
            <c:numRef>
              <c:f>'Re-referrals'!$K$30:$O$30</c:f>
              <c:numCache>
                <c:formatCode>0.0</c:formatCode>
                <c:ptCount val="5"/>
                <c:pt idx="0">
                  <c:v>154.60288953801734</c:v>
                </c:pt>
                <c:pt idx="1">
                  <c:v>159.24020487576988</c:v>
                </c:pt>
                <c:pt idx="2">
                  <c:v>166.14695696018384</c:v>
                </c:pt>
                <c:pt idx="3">
                  <c:v>180.08226080328188</c:v>
                </c:pt>
                <c:pt idx="4">
                  <c:v>189.68480971637101</c:v>
                </c:pt>
              </c:numCache>
            </c:numRef>
          </c:val>
          <c:extLst>
            <c:ext xmlns:c16="http://schemas.microsoft.com/office/drawing/2014/chart" uri="{C3380CC4-5D6E-409C-BE32-E72D297353CC}">
              <c16:uniqueId val="{00000001-BF93-4711-AC4C-990570CB4159}"/>
            </c:ext>
          </c:extLst>
        </c:ser>
        <c:ser>
          <c:idx val="0"/>
          <c:order val="2"/>
          <c:tx>
            <c:strRef>
              <c:f>'Re-referrals'!$B$31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'Re-referrals'!$Y$2:$AC$3</c:f>
              <c:strCache>
                <c:ptCount val="5"/>
                <c:pt idx="0">
                  <c:v>2019/20</c:v>
                </c:pt>
                <c:pt idx="1">
                  <c:v>2020/21</c:v>
                </c:pt>
                <c:pt idx="2">
                  <c:v>2021/22</c:v>
                </c:pt>
                <c:pt idx="3">
                  <c:v>2022/23</c:v>
                </c:pt>
                <c:pt idx="4">
                  <c:v>2023/24</c:v>
                </c:pt>
              </c:strCache>
            </c:strRef>
          </c:cat>
          <c:val>
            <c:numRef>
              <c:f>'Re-referrals'!$K$31:$O$31</c:f>
              <c:numCache>
                <c:formatCode>0.0</c:formatCode>
                <c:ptCount val="5"/>
                <c:pt idx="0">
                  <c:v>123.31122399302761</c:v>
                </c:pt>
                <c:pt idx="1">
                  <c:v>115.24633022938814</c:v>
                </c:pt>
                <c:pt idx="2">
                  <c:v>118.59342586057595</c:v>
                </c:pt>
                <c:pt idx="3">
                  <c:v>120.95957617958723</c:v>
                </c:pt>
                <c:pt idx="4">
                  <c:v>115.9130788590646</c:v>
                </c:pt>
              </c:numCache>
            </c:numRef>
          </c:val>
          <c:extLst>
            <c:ext xmlns:c16="http://schemas.microsoft.com/office/drawing/2014/chart" uri="{C3380CC4-5D6E-409C-BE32-E72D297353CC}">
              <c16:uniqueId val="{00000002-BF93-4711-AC4C-990570CB4159}"/>
            </c:ext>
          </c:extLst>
        </c:ser>
        <c:dLbls>
          <c:showLegendKey val="0"/>
          <c:showVal val="0"/>
          <c:showCatName val="0"/>
          <c:showSerName val="0"/>
          <c:showPercent val="0"/>
          <c:showBubbleSize val="0"/>
        </c:dLbls>
        <c:gapWidth val="100"/>
        <c:axId val="540277376"/>
        <c:axId val="550064512"/>
      </c:barChart>
      <c:catAx>
        <c:axId val="540277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50064512"/>
        <c:crosses val="autoZero"/>
        <c:auto val="1"/>
        <c:lblAlgn val="ctr"/>
        <c:lblOffset val="100"/>
        <c:noMultiLvlLbl val="0"/>
      </c:catAx>
      <c:valAx>
        <c:axId val="550064512"/>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40277376"/>
        <c:crosses val="autoZero"/>
        <c:crossBetween val="between"/>
      </c:valAx>
      <c:spPr>
        <a:noFill/>
        <a:ln w="3175">
          <a:solidFill>
            <a:srgbClr val="000000"/>
          </a:solidFill>
          <a:prstDash val="solid"/>
        </a:ln>
      </c:spPr>
    </c:plotArea>
    <c:legend>
      <c:legendPos val="r"/>
      <c:layout>
        <c:manualLayout>
          <c:xMode val="edge"/>
          <c:yMode val="edge"/>
          <c:x val="0.74862729134362305"/>
          <c:y val="0.17953653819588342"/>
          <c:w val="0.25137270865637695"/>
          <c:h val="0.7157294047921430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Re-referrals</a:t>
            </a:r>
            <a:r>
              <a:rPr lang="en-GB" sz="1100" baseline="0"/>
              <a:t> </a:t>
            </a:r>
          </a:p>
          <a:p>
            <a:pPr>
              <a:defRPr sz="1100" b="1" i="0" u="none" strike="noStrike" baseline="0">
                <a:solidFill>
                  <a:srgbClr val="000000"/>
                </a:solidFill>
                <a:latin typeface="Arial"/>
                <a:ea typeface="Arial"/>
                <a:cs typeface="Arial"/>
              </a:defRPr>
            </a:pPr>
            <a:r>
              <a:rPr lang="en-GB" sz="1100"/>
              <a:t>(Selected LA</a:t>
            </a:r>
            <a:r>
              <a:rPr lang="en-GB" sz="1100" baseline="0"/>
              <a:t> vs. SE &amp; National)</a:t>
            </a:r>
            <a:r>
              <a:rPr lang="en-GB" sz="1100"/>
              <a:t> </a:t>
            </a:r>
          </a:p>
        </c:rich>
      </c:tx>
      <c:layout>
        <c:manualLayout>
          <c:xMode val="edge"/>
          <c:yMode val="edge"/>
          <c:x val="0.21606013357241233"/>
          <c:y val="6.8741407324084494E-5"/>
        </c:manualLayout>
      </c:layout>
      <c:overlay val="0"/>
      <c:spPr>
        <a:noFill/>
        <a:ln w="25400">
          <a:noFill/>
        </a:ln>
      </c:spPr>
    </c:title>
    <c:autoTitleDeleted val="0"/>
    <c:plotArea>
      <c:layout>
        <c:manualLayout>
          <c:layoutTarget val="inner"/>
          <c:xMode val="edge"/>
          <c:yMode val="edge"/>
          <c:x val="9.8666564984461691E-2"/>
          <c:y val="0.23373496917536471"/>
          <c:w val="0.63617317637275539"/>
          <c:h val="0.54654214734786055"/>
        </c:manualLayout>
      </c:layout>
      <c:barChart>
        <c:barDir val="col"/>
        <c:grouping val="clustered"/>
        <c:varyColors val="0"/>
        <c:ser>
          <c:idx val="6"/>
          <c:order val="0"/>
          <c:tx>
            <c:strRef>
              <c:f>'Re-referrals'!$Z$4</c:f>
              <c:strCache>
                <c:ptCount val="1"/>
                <c:pt idx="0">
                  <c:v>Selected LA- (none)</c:v>
                </c:pt>
              </c:strCache>
            </c:strRef>
          </c:tx>
          <c:spPr>
            <a:solidFill>
              <a:srgbClr val="66FF99"/>
            </a:solidFill>
            <a:ln>
              <a:solidFill>
                <a:schemeClr val="tx1">
                  <a:lumMod val="75000"/>
                  <a:lumOff val="25000"/>
                </a:schemeClr>
              </a:solidFill>
            </a:ln>
          </c:spPr>
          <c:invertIfNegative val="0"/>
          <c:cat>
            <c:strRef>
              <c:f>'Re-referrals'!$Y$2:$AC$3</c:f>
              <c:strCache>
                <c:ptCount val="5"/>
                <c:pt idx="0">
                  <c:v>2019/20</c:v>
                </c:pt>
                <c:pt idx="1">
                  <c:v>2020/21</c:v>
                </c:pt>
                <c:pt idx="2">
                  <c:v>2021/22</c:v>
                </c:pt>
                <c:pt idx="3">
                  <c:v>2022/23</c:v>
                </c:pt>
                <c:pt idx="4">
                  <c:v>2023/24</c:v>
                </c:pt>
              </c:strCache>
            </c:strRef>
          </c:cat>
          <c:val>
            <c:numRef>
              <c:f>'Re-referrals'!$AR$59:$AV$59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A310-4E0F-ADD3-9D74DDBE2BBE}"/>
            </c:ext>
          </c:extLst>
        </c:ser>
        <c:ser>
          <c:idx val="4"/>
          <c:order val="1"/>
          <c:tx>
            <c:strRef>
              <c:f>'Re-referrals'!$B$127</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'Re-referrals'!$Y$2:$AC$3</c:f>
              <c:strCache>
                <c:ptCount val="5"/>
                <c:pt idx="0">
                  <c:v>2019/20</c:v>
                </c:pt>
                <c:pt idx="1">
                  <c:v>2020/21</c:v>
                </c:pt>
                <c:pt idx="2">
                  <c:v>2021/22</c:v>
                </c:pt>
                <c:pt idx="3">
                  <c:v>2022/23</c:v>
                </c:pt>
                <c:pt idx="4">
                  <c:v>2023/24</c:v>
                </c:pt>
              </c:strCache>
            </c:strRef>
          </c:cat>
          <c:val>
            <c:numRef>
              <c:f>'Re-referrals'!$D$127:$H$127</c:f>
              <c:numCache>
                <c:formatCode>0%</c:formatCode>
                <c:ptCount val="5"/>
                <c:pt idx="0">
                  <c:v>0.26041784993402828</c:v>
                </c:pt>
                <c:pt idx="1">
                  <c:v>0.27663058637226584</c:v>
                </c:pt>
                <c:pt idx="2">
                  <c:v>0.25934198854931056</c:v>
                </c:pt>
                <c:pt idx="3">
                  <c:v>0.2792110453648915</c:v>
                </c:pt>
                <c:pt idx="4">
                  <c:v>0.26651818856718634</c:v>
                </c:pt>
              </c:numCache>
            </c:numRef>
          </c:val>
          <c:extLst>
            <c:ext xmlns:c16="http://schemas.microsoft.com/office/drawing/2014/chart" uri="{C3380CC4-5D6E-409C-BE32-E72D297353CC}">
              <c16:uniqueId val="{00000001-A310-4E0F-ADD3-9D74DDBE2BBE}"/>
            </c:ext>
          </c:extLst>
        </c:ser>
        <c:ser>
          <c:idx val="0"/>
          <c:order val="2"/>
          <c:tx>
            <c:strRef>
              <c:f>'Re-referrals'!$B$128</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'Re-referrals'!$Y$2:$AC$3</c:f>
              <c:strCache>
                <c:ptCount val="5"/>
                <c:pt idx="0">
                  <c:v>2019/20</c:v>
                </c:pt>
                <c:pt idx="1">
                  <c:v>2020/21</c:v>
                </c:pt>
                <c:pt idx="2">
                  <c:v>2021/22</c:v>
                </c:pt>
                <c:pt idx="3">
                  <c:v>2022/23</c:v>
                </c:pt>
                <c:pt idx="4">
                  <c:v>2023/24</c:v>
                </c:pt>
              </c:strCache>
            </c:strRef>
          </c:cat>
          <c:val>
            <c:numRef>
              <c:f>'Re-referrals'!$D$128:$H$128</c:f>
              <c:numCache>
                <c:formatCode>0%</c:formatCode>
                <c:ptCount val="5"/>
                <c:pt idx="0">
                  <c:v>0.22611900836728982</c:v>
                </c:pt>
                <c:pt idx="1">
                  <c:v>0.22726512312633834</c:v>
                </c:pt>
                <c:pt idx="2">
                  <c:v>0.21452627370169314</c:v>
                </c:pt>
                <c:pt idx="3">
                  <c:v>0.22448979591836735</c:v>
                </c:pt>
                <c:pt idx="4">
                  <c:v>0.22364443300958384</c:v>
                </c:pt>
              </c:numCache>
            </c:numRef>
          </c:val>
          <c:extLst>
            <c:ext xmlns:c16="http://schemas.microsoft.com/office/drawing/2014/chart" uri="{C3380CC4-5D6E-409C-BE32-E72D297353CC}">
              <c16:uniqueId val="{00000002-A310-4E0F-ADD3-9D74DDBE2BBE}"/>
            </c:ext>
          </c:extLst>
        </c:ser>
        <c:dLbls>
          <c:showLegendKey val="0"/>
          <c:showVal val="0"/>
          <c:showCatName val="0"/>
          <c:showSerName val="0"/>
          <c:showPercent val="0"/>
          <c:showBubbleSize val="0"/>
        </c:dLbls>
        <c:gapWidth val="100"/>
        <c:axId val="540460928"/>
        <c:axId val="540462464"/>
      </c:barChart>
      <c:catAx>
        <c:axId val="540460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40462464"/>
        <c:crosses val="autoZero"/>
        <c:auto val="1"/>
        <c:lblAlgn val="ctr"/>
        <c:lblOffset val="100"/>
        <c:noMultiLvlLbl val="0"/>
      </c:catAx>
      <c:valAx>
        <c:axId val="540462464"/>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40460928"/>
        <c:crosses val="autoZero"/>
        <c:crossBetween val="between"/>
      </c:valAx>
      <c:spPr>
        <a:noFill/>
        <a:ln w="3175">
          <a:solidFill>
            <a:srgbClr val="000000"/>
          </a:solidFill>
          <a:prstDash val="solid"/>
        </a:ln>
      </c:spPr>
    </c:plotArea>
    <c:legend>
      <c:legendPos val="r"/>
      <c:layout>
        <c:manualLayout>
          <c:xMode val="edge"/>
          <c:yMode val="edge"/>
          <c:x val="0.7358493802136119"/>
          <c:y val="0.21128233970753657"/>
          <c:w val="0.2641506197863881"/>
          <c:h val="0.76465282748747321"/>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Proportion of Referrals which were Re-referrals</a:t>
            </a:r>
          </a:p>
        </c:rich>
      </c:tx>
      <c:layout>
        <c:manualLayout>
          <c:xMode val="edge"/>
          <c:yMode val="edge"/>
          <c:x val="0.15562716049382716"/>
          <c:y val="1.4665697557036138E-2"/>
        </c:manualLayout>
      </c:layout>
      <c:overlay val="0"/>
      <c:spPr>
        <a:noFill/>
        <a:ln w="25400">
          <a:noFill/>
        </a:ln>
      </c:spPr>
    </c:title>
    <c:autoTitleDeleted val="0"/>
    <c:plotArea>
      <c:layout>
        <c:manualLayout>
          <c:layoutTarget val="inner"/>
          <c:xMode val="edge"/>
          <c:yMode val="edge"/>
          <c:x val="8.9669774541780586E-2"/>
          <c:y val="6.9446880678376746E-2"/>
          <c:w val="0.57508230927201043"/>
          <c:h val="0.86374447809408439"/>
        </c:manualLayout>
      </c:layout>
      <c:lineChart>
        <c:grouping val="standard"/>
        <c:varyColors val="0"/>
        <c:ser>
          <c:idx val="0"/>
          <c:order val="0"/>
          <c:tx>
            <c:strRef>
              <c:f>'Re-referrals'!$AK$38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24A0-45EC-9AE4-F4E70F8F1710}"/>
              </c:ext>
            </c:extLst>
          </c:dPt>
          <c:cat>
            <c:strRef>
              <c:f>'Re-referrals'!$Y$2:$AC$3</c:f>
              <c:strCache>
                <c:ptCount val="5"/>
                <c:pt idx="0">
                  <c:v>2019/20</c:v>
                </c:pt>
                <c:pt idx="1">
                  <c:v>2020/21</c:v>
                </c:pt>
                <c:pt idx="2">
                  <c:v>2021/22</c:v>
                </c:pt>
                <c:pt idx="3">
                  <c:v>2022/23</c:v>
                </c:pt>
                <c:pt idx="4">
                  <c:v>2023/24</c:v>
                </c:pt>
              </c:strCache>
            </c:strRef>
          </c:cat>
          <c:val>
            <c:numRef>
              <c:f>'Re-referrals'!$AR$38:$AV$38</c:f>
              <c:numCache>
                <c:formatCode>0.0%</c:formatCode>
                <c:ptCount val="5"/>
                <c:pt idx="0">
                  <c:v>0.25544437904649792</c:v>
                </c:pt>
                <c:pt idx="1">
                  <c:v>0.19952067106051527</c:v>
                </c:pt>
                <c:pt idx="2">
                  <c:v>0.18655240606460119</c:v>
                </c:pt>
                <c:pt idx="3">
                  <c:v>0.2258426966292135</c:v>
                </c:pt>
                <c:pt idx="4">
                  <c:v>0.24884182660489743</c:v>
                </c:pt>
              </c:numCache>
            </c:numRef>
          </c:val>
          <c:smooth val="0"/>
          <c:extLst>
            <c:ext xmlns:c16="http://schemas.microsoft.com/office/drawing/2014/chart" uri="{C3380CC4-5D6E-409C-BE32-E72D297353CC}">
              <c16:uniqueId val="{00000001-24A0-45EC-9AE4-F4E70F8F1710}"/>
            </c:ext>
          </c:extLst>
        </c:ser>
        <c:ser>
          <c:idx val="1"/>
          <c:order val="1"/>
          <c:tx>
            <c:strRef>
              <c:f>'Re-referrals'!$AK$39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'Re-referrals'!$Y$2:$AC$3</c:f>
              <c:strCache>
                <c:ptCount val="5"/>
                <c:pt idx="0">
                  <c:v>2019/20</c:v>
                </c:pt>
                <c:pt idx="1">
                  <c:v>2020/21</c:v>
                </c:pt>
                <c:pt idx="2">
                  <c:v>2021/22</c:v>
                </c:pt>
                <c:pt idx="3">
                  <c:v>2022/23</c:v>
                </c:pt>
                <c:pt idx="4">
                  <c:v>2023/24</c:v>
                </c:pt>
              </c:strCache>
            </c:strRef>
          </c:cat>
          <c:val>
            <c:numRef>
              <c:f>'Re-referrals'!$AR$39:$AV$39</c:f>
              <c:numCache>
                <c:formatCode>0.0%</c:formatCode>
                <c:ptCount val="5"/>
                <c:pt idx="0">
                  <c:v>0.3063567628115374</c:v>
                </c:pt>
                <c:pt idx="1">
                  <c:v>0.27288193263014632</c:v>
                </c:pt>
                <c:pt idx="2">
                  <c:v>0.21678103555832814</c:v>
                </c:pt>
                <c:pt idx="3">
                  <c:v>0.24961526623576485</c:v>
                </c:pt>
                <c:pt idx="4">
                  <c:v>0.24501074608535461</c:v>
                </c:pt>
              </c:numCache>
            </c:numRef>
          </c:val>
          <c:smooth val="0"/>
          <c:extLst>
            <c:ext xmlns:c16="http://schemas.microsoft.com/office/drawing/2014/chart" uri="{C3380CC4-5D6E-409C-BE32-E72D297353CC}">
              <c16:uniqueId val="{00000002-24A0-45EC-9AE4-F4E70F8F1710}"/>
            </c:ext>
          </c:extLst>
        </c:ser>
        <c:ser>
          <c:idx val="2"/>
          <c:order val="2"/>
          <c:tx>
            <c:strRef>
              <c:f>'Re-referrals'!$AK$40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'Re-referrals'!$Y$2:$AC$3</c:f>
              <c:strCache>
                <c:ptCount val="5"/>
                <c:pt idx="0">
                  <c:v>2019/20</c:v>
                </c:pt>
                <c:pt idx="1">
                  <c:v>2020/21</c:v>
                </c:pt>
                <c:pt idx="2">
                  <c:v>2021/22</c:v>
                </c:pt>
                <c:pt idx="3">
                  <c:v>2022/23</c:v>
                </c:pt>
                <c:pt idx="4">
                  <c:v>2023/24</c:v>
                </c:pt>
              </c:strCache>
            </c:strRef>
          </c:cat>
          <c:val>
            <c:numRef>
              <c:f>'Re-referrals'!$AR$40:$AV$40</c:f>
              <c:numCache>
                <c:formatCode>0.0%</c:formatCode>
                <c:ptCount val="5"/>
                <c:pt idx="0">
                  <c:v>0.26054738855025694</c:v>
                </c:pt>
                <c:pt idx="1">
                  <c:v>0.33023946537961762</c:v>
                </c:pt>
                <c:pt idx="2">
                  <c:v>0.32673645602506302</c:v>
                </c:pt>
                <c:pt idx="3">
                  <c:v>0.39088590935263634</c:v>
                </c:pt>
                <c:pt idx="4">
                  <c:v>0.23277945619335347</c:v>
                </c:pt>
              </c:numCache>
            </c:numRef>
          </c:val>
          <c:smooth val="0"/>
          <c:extLst>
            <c:ext xmlns:c16="http://schemas.microsoft.com/office/drawing/2014/chart" uri="{C3380CC4-5D6E-409C-BE32-E72D297353CC}">
              <c16:uniqueId val="{00000003-24A0-45EC-9AE4-F4E70F8F1710}"/>
            </c:ext>
          </c:extLst>
        </c:ser>
        <c:ser>
          <c:idx val="5"/>
          <c:order val="3"/>
          <c:tx>
            <c:strRef>
              <c:f>'Re-referrals'!$AK$41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'Re-referrals'!$Y$2:$AC$3</c:f>
              <c:strCache>
                <c:ptCount val="5"/>
                <c:pt idx="0">
                  <c:v>2019/20</c:v>
                </c:pt>
                <c:pt idx="1">
                  <c:v>2020/21</c:v>
                </c:pt>
                <c:pt idx="2">
                  <c:v>2021/22</c:v>
                </c:pt>
                <c:pt idx="3">
                  <c:v>2022/23</c:v>
                </c:pt>
                <c:pt idx="4">
                  <c:v>2023/24</c:v>
                </c:pt>
              </c:strCache>
            </c:strRef>
          </c:cat>
          <c:val>
            <c:numRef>
              <c:f>'Re-referrals'!$AR$41:$AV$41</c:f>
              <c:numCache>
                <c:formatCode>0.0%</c:formatCode>
                <c:ptCount val="5"/>
                <c:pt idx="0">
                  <c:v>0.18262538996880251</c:v>
                </c:pt>
                <c:pt idx="1">
                  <c:v>0.20606694560669456</c:v>
                </c:pt>
                <c:pt idx="2">
                  <c:v>0.16099720410065238</c:v>
                </c:pt>
                <c:pt idx="3">
                  <c:v>0.16428206438426163</c:v>
                </c:pt>
                <c:pt idx="4">
                  <c:v>0.15147297610763164</c:v>
                </c:pt>
              </c:numCache>
            </c:numRef>
          </c:val>
          <c:smooth val="0"/>
          <c:extLst>
            <c:ext xmlns:c16="http://schemas.microsoft.com/office/drawing/2014/chart" uri="{C3380CC4-5D6E-409C-BE32-E72D297353CC}">
              <c16:uniqueId val="{00000004-24A0-45EC-9AE4-F4E70F8F1710}"/>
            </c:ext>
          </c:extLst>
        </c:ser>
        <c:ser>
          <c:idx val="9"/>
          <c:order val="4"/>
          <c:tx>
            <c:strRef>
              <c:f>'Re-referrals'!$AK$42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'Re-referrals'!$Y$2:$AC$3</c:f>
              <c:strCache>
                <c:ptCount val="5"/>
                <c:pt idx="0">
                  <c:v>2019/20</c:v>
                </c:pt>
                <c:pt idx="1">
                  <c:v>2020/21</c:v>
                </c:pt>
                <c:pt idx="2">
                  <c:v>2021/22</c:v>
                </c:pt>
                <c:pt idx="3">
                  <c:v>2022/23</c:v>
                </c:pt>
                <c:pt idx="4">
                  <c:v>2023/24</c:v>
                </c:pt>
              </c:strCache>
            </c:strRef>
          </c:cat>
          <c:val>
            <c:numRef>
              <c:f>'Re-referrals'!$AR$42:$AV$42</c:f>
              <c:numCache>
                <c:formatCode>0.0%</c:formatCode>
                <c:ptCount val="5"/>
                <c:pt idx="0">
                  <c:v>0.32324431256181996</c:v>
                </c:pt>
                <c:pt idx="1">
                  <c:v>0.34470957761005111</c:v>
                </c:pt>
                <c:pt idx="2">
                  <c:v>0.357090669978812</c:v>
                </c:pt>
                <c:pt idx="3">
                  <c:v>0.38708937118877451</c:v>
                </c:pt>
                <c:pt idx="4">
                  <c:v>#N/A</c:v>
                </c:pt>
              </c:numCache>
            </c:numRef>
          </c:val>
          <c:smooth val="0"/>
          <c:extLst>
            <c:ext xmlns:c16="http://schemas.microsoft.com/office/drawing/2014/chart" uri="{C3380CC4-5D6E-409C-BE32-E72D297353CC}">
              <c16:uniqueId val="{00000005-24A0-45EC-9AE4-F4E70F8F1710}"/>
            </c:ext>
          </c:extLst>
        </c:ser>
        <c:ser>
          <c:idx val="10"/>
          <c:order val="5"/>
          <c:tx>
            <c:strRef>
              <c:f>'Re-referrals'!$AK$43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'Re-referrals'!$Y$2:$AC$3</c:f>
              <c:strCache>
                <c:ptCount val="5"/>
                <c:pt idx="0">
                  <c:v>2019/20</c:v>
                </c:pt>
                <c:pt idx="1">
                  <c:v>2020/21</c:v>
                </c:pt>
                <c:pt idx="2">
                  <c:v>2021/22</c:v>
                </c:pt>
                <c:pt idx="3">
                  <c:v>2022/23</c:v>
                </c:pt>
                <c:pt idx="4">
                  <c:v>2023/24</c:v>
                </c:pt>
              </c:strCache>
            </c:strRef>
          </c:cat>
          <c:val>
            <c:numRef>
              <c:f>'Re-referrals'!$AR$43:$AV$43</c:f>
              <c:numCache>
                <c:formatCode>0.0%</c:formatCode>
                <c:ptCount val="5"/>
                <c:pt idx="0">
                  <c:v>0.35430711610486892</c:v>
                </c:pt>
                <c:pt idx="1">
                  <c:v>0.35586101565483008</c:v>
                </c:pt>
                <c:pt idx="2">
                  <c:v>0.38989598811292719</c:v>
                </c:pt>
                <c:pt idx="3">
                  <c:v>0.41550387596899224</c:v>
                </c:pt>
                <c:pt idx="4">
                  <c:v>0.45408862494289631</c:v>
                </c:pt>
              </c:numCache>
            </c:numRef>
          </c:val>
          <c:smooth val="0"/>
          <c:extLst>
            <c:ext xmlns:c16="http://schemas.microsoft.com/office/drawing/2014/chart" uri="{C3380CC4-5D6E-409C-BE32-E72D297353CC}">
              <c16:uniqueId val="{00000006-24A0-45EC-9AE4-F4E70F8F1710}"/>
            </c:ext>
          </c:extLst>
        </c:ser>
        <c:ser>
          <c:idx val="11"/>
          <c:order val="6"/>
          <c:tx>
            <c:strRef>
              <c:f>'Re-referrals'!$AK$44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'Re-referrals'!$Y$2:$AC$3</c:f>
              <c:strCache>
                <c:ptCount val="5"/>
                <c:pt idx="0">
                  <c:v>2019/20</c:v>
                </c:pt>
                <c:pt idx="1">
                  <c:v>2020/21</c:v>
                </c:pt>
                <c:pt idx="2">
                  <c:v>2021/22</c:v>
                </c:pt>
                <c:pt idx="3">
                  <c:v>2022/23</c:v>
                </c:pt>
                <c:pt idx="4">
                  <c:v>2023/24</c:v>
                </c:pt>
              </c:strCache>
            </c:strRef>
          </c:cat>
          <c:val>
            <c:numRef>
              <c:f>'Re-referrals'!$AR$44:$AV$44</c:f>
              <c:numCache>
                <c:formatCode>0.0%</c:formatCode>
                <c:ptCount val="5"/>
                <c:pt idx="0">
                  <c:v>0.28466598058078663</c:v>
                </c:pt>
                <c:pt idx="1">
                  <c:v>0.28085735402808576</c:v>
                </c:pt>
                <c:pt idx="2">
                  <c:v>0.21521259680976559</c:v>
                </c:pt>
                <c:pt idx="3">
                  <c:v>0.21758377971579088</c:v>
                </c:pt>
                <c:pt idx="4">
                  <c:v>0.23288125751731575</c:v>
                </c:pt>
              </c:numCache>
            </c:numRef>
          </c:val>
          <c:smooth val="0"/>
          <c:extLst>
            <c:ext xmlns:c16="http://schemas.microsoft.com/office/drawing/2014/chart" uri="{C3380CC4-5D6E-409C-BE32-E72D297353CC}">
              <c16:uniqueId val="{00000007-24A0-45EC-9AE4-F4E70F8F1710}"/>
            </c:ext>
          </c:extLst>
        </c:ser>
        <c:ser>
          <c:idx val="12"/>
          <c:order val="7"/>
          <c:tx>
            <c:strRef>
              <c:f>'Re-referrals'!$AK$45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'Re-referrals'!$Y$2:$AC$3</c:f>
              <c:strCache>
                <c:ptCount val="5"/>
                <c:pt idx="0">
                  <c:v>2019/20</c:v>
                </c:pt>
                <c:pt idx="1">
                  <c:v>2020/21</c:v>
                </c:pt>
                <c:pt idx="2">
                  <c:v>2021/22</c:v>
                </c:pt>
                <c:pt idx="3">
                  <c:v>2022/23</c:v>
                </c:pt>
                <c:pt idx="4">
                  <c:v>2023/24</c:v>
                </c:pt>
              </c:strCache>
            </c:strRef>
          </c:cat>
          <c:val>
            <c:numRef>
              <c:f>'Re-referrals'!$AR$45:$AV$45</c:f>
              <c:numCache>
                <c:formatCode>0.0%</c:formatCode>
                <c:ptCount val="5"/>
                <c:pt idx="0">
                  <c:v>0.24877650897226752</c:v>
                </c:pt>
                <c:pt idx="1">
                  <c:v>0.2506903958269408</c:v>
                </c:pt>
                <c:pt idx="2">
                  <c:v>0.20626304801670145</c:v>
                </c:pt>
                <c:pt idx="3">
                  <c:v>0.21149766652524396</c:v>
                </c:pt>
                <c:pt idx="4">
                  <c:v>0.23906871095968199</c:v>
                </c:pt>
              </c:numCache>
            </c:numRef>
          </c:val>
          <c:smooth val="0"/>
          <c:extLst>
            <c:ext xmlns:c16="http://schemas.microsoft.com/office/drawing/2014/chart" uri="{C3380CC4-5D6E-409C-BE32-E72D297353CC}">
              <c16:uniqueId val="{00000008-24A0-45EC-9AE4-F4E70F8F1710}"/>
            </c:ext>
          </c:extLst>
        </c:ser>
        <c:ser>
          <c:idx val="13"/>
          <c:order val="8"/>
          <c:tx>
            <c:strRef>
              <c:f>'Re-referrals'!$AK$46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'Re-referrals'!$Y$2:$AC$3</c:f>
              <c:strCache>
                <c:ptCount val="5"/>
                <c:pt idx="0">
                  <c:v>2019/20</c:v>
                </c:pt>
                <c:pt idx="1">
                  <c:v>2020/21</c:v>
                </c:pt>
                <c:pt idx="2">
                  <c:v>2021/22</c:v>
                </c:pt>
                <c:pt idx="3">
                  <c:v>2022/23</c:v>
                </c:pt>
                <c:pt idx="4">
                  <c:v>2023/24</c:v>
                </c:pt>
              </c:strCache>
            </c:strRef>
          </c:cat>
          <c:val>
            <c:numRef>
              <c:f>'Re-referrals'!$AR$46:$AV$46</c:f>
              <c:numCache>
                <c:formatCode>0.0%</c:formatCode>
                <c:ptCount val="5"/>
                <c:pt idx="0">
                  <c:v>0.1686084142394822</c:v>
                </c:pt>
                <c:pt idx="1">
                  <c:v>0.20203081232492998</c:v>
                </c:pt>
                <c:pt idx="2">
                  <c:v>0.19321623258631132</c:v>
                </c:pt>
                <c:pt idx="3">
                  <c:v>0.19877764842840512</c:v>
                </c:pt>
                <c:pt idx="4">
                  <c:v>0.1920359666024406</c:v>
                </c:pt>
              </c:numCache>
            </c:numRef>
          </c:val>
          <c:smooth val="0"/>
          <c:extLst>
            <c:ext xmlns:c16="http://schemas.microsoft.com/office/drawing/2014/chart" uri="{C3380CC4-5D6E-409C-BE32-E72D297353CC}">
              <c16:uniqueId val="{00000009-24A0-45EC-9AE4-F4E70F8F1710}"/>
            </c:ext>
          </c:extLst>
        </c:ser>
        <c:ser>
          <c:idx val="15"/>
          <c:order val="9"/>
          <c:tx>
            <c:strRef>
              <c:f>'Re-referrals'!$AK$47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'Re-referrals'!$Y$2:$AC$3</c:f>
              <c:strCache>
                <c:ptCount val="5"/>
                <c:pt idx="0">
                  <c:v>2019/20</c:v>
                </c:pt>
                <c:pt idx="1">
                  <c:v>2020/21</c:v>
                </c:pt>
                <c:pt idx="2">
                  <c:v>2021/22</c:v>
                </c:pt>
                <c:pt idx="3">
                  <c:v>2022/23</c:v>
                </c:pt>
                <c:pt idx="4">
                  <c:v>2023/24</c:v>
                </c:pt>
              </c:strCache>
            </c:strRef>
          </c:cat>
          <c:val>
            <c:numRef>
              <c:f>'Re-referrals'!$AR$47:$AV$47</c:f>
              <c:numCache>
                <c:formatCode>0.0%</c:formatCode>
                <c:ptCount val="5"/>
                <c:pt idx="0">
                  <c:v>0.1766195681151693</c:v>
                </c:pt>
                <c:pt idx="1">
                  <c:v>0.27633399969244965</c:v>
                </c:pt>
                <c:pt idx="2">
                  <c:v>0.18183174224343676</c:v>
                </c:pt>
                <c:pt idx="3">
                  <c:v>0.21103209686719201</c:v>
                </c:pt>
                <c:pt idx="4">
                  <c:v>0.18624925698434713</c:v>
                </c:pt>
              </c:numCache>
            </c:numRef>
          </c:val>
          <c:smooth val="0"/>
          <c:extLst>
            <c:ext xmlns:c16="http://schemas.microsoft.com/office/drawing/2014/chart" uri="{C3380CC4-5D6E-409C-BE32-E72D297353CC}">
              <c16:uniqueId val="{0000000A-24A0-45EC-9AE4-F4E70F8F1710}"/>
            </c:ext>
          </c:extLst>
        </c:ser>
        <c:ser>
          <c:idx val="16"/>
          <c:order val="10"/>
          <c:tx>
            <c:strRef>
              <c:f>'Re-referrals'!$AK$48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'Re-referrals'!$Y$2:$AC$3</c:f>
              <c:strCache>
                <c:ptCount val="5"/>
                <c:pt idx="0">
                  <c:v>2019/20</c:v>
                </c:pt>
                <c:pt idx="1">
                  <c:v>2020/21</c:v>
                </c:pt>
                <c:pt idx="2">
                  <c:v>2021/22</c:v>
                </c:pt>
                <c:pt idx="3">
                  <c:v>2022/23</c:v>
                </c:pt>
                <c:pt idx="4">
                  <c:v>2023/24</c:v>
                </c:pt>
              </c:strCache>
            </c:strRef>
          </c:cat>
          <c:val>
            <c:numRef>
              <c:f>'Re-referrals'!$AR$48:$AV$48</c:f>
              <c:numCache>
                <c:formatCode>0.0%</c:formatCode>
                <c:ptCount val="5"/>
                <c:pt idx="0">
                  <c:v>0.23686186186186187</c:v>
                </c:pt>
                <c:pt idx="1">
                  <c:v>0.21151129943502825</c:v>
                </c:pt>
                <c:pt idx="2">
                  <c:v>0.24730021598272139</c:v>
                </c:pt>
                <c:pt idx="3">
                  <c:v>0.27718329306178807</c:v>
                </c:pt>
                <c:pt idx="4">
                  <c:v>0.24011760862463247</c:v>
                </c:pt>
              </c:numCache>
            </c:numRef>
          </c:val>
          <c:smooth val="0"/>
          <c:extLst>
            <c:ext xmlns:c16="http://schemas.microsoft.com/office/drawing/2014/chart" uri="{C3380CC4-5D6E-409C-BE32-E72D297353CC}">
              <c16:uniqueId val="{0000000B-24A0-45EC-9AE4-F4E70F8F1710}"/>
            </c:ext>
          </c:extLst>
        </c:ser>
        <c:ser>
          <c:idx val="17"/>
          <c:order val="11"/>
          <c:tx>
            <c:strRef>
              <c:f>'Re-referrals'!$AK$49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'Re-referrals'!$Y$2:$AC$3</c:f>
              <c:strCache>
                <c:ptCount val="5"/>
                <c:pt idx="0">
                  <c:v>2019/20</c:v>
                </c:pt>
                <c:pt idx="1">
                  <c:v>2020/21</c:v>
                </c:pt>
                <c:pt idx="2">
                  <c:v>2021/22</c:v>
                </c:pt>
                <c:pt idx="3">
                  <c:v>2022/23</c:v>
                </c:pt>
                <c:pt idx="4">
                  <c:v>2023/24</c:v>
                </c:pt>
              </c:strCache>
            </c:strRef>
          </c:cat>
          <c:val>
            <c:numRef>
              <c:f>'Re-referrals'!$AR$49:$AV$49</c:f>
              <c:numCache>
                <c:formatCode>0.0%</c:formatCode>
                <c:ptCount val="5"/>
                <c:pt idx="0">
                  <c:v>0.26365054602184085</c:v>
                </c:pt>
                <c:pt idx="1">
                  <c:v>0.18358340688437777</c:v>
                </c:pt>
                <c:pt idx="2">
                  <c:v>0.20538995508370764</c:v>
                </c:pt>
                <c:pt idx="3">
                  <c:v>0.25079141751670769</c:v>
                </c:pt>
                <c:pt idx="4">
                  <c:v>0.26640026640026643</c:v>
                </c:pt>
              </c:numCache>
            </c:numRef>
          </c:val>
          <c:smooth val="0"/>
          <c:extLst>
            <c:ext xmlns:c16="http://schemas.microsoft.com/office/drawing/2014/chart" uri="{C3380CC4-5D6E-409C-BE32-E72D297353CC}">
              <c16:uniqueId val="{0000000C-24A0-45EC-9AE4-F4E70F8F1710}"/>
            </c:ext>
          </c:extLst>
        </c:ser>
        <c:ser>
          <c:idx val="19"/>
          <c:order val="12"/>
          <c:tx>
            <c:strRef>
              <c:f>'Re-referrals'!$AK$50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'Re-referrals'!$Y$2:$AC$3</c:f>
              <c:strCache>
                <c:ptCount val="5"/>
                <c:pt idx="0">
                  <c:v>2019/20</c:v>
                </c:pt>
                <c:pt idx="1">
                  <c:v>2020/21</c:v>
                </c:pt>
                <c:pt idx="2">
                  <c:v>2021/22</c:v>
                </c:pt>
                <c:pt idx="3">
                  <c:v>2022/23</c:v>
                </c:pt>
                <c:pt idx="4">
                  <c:v>2023/24</c:v>
                </c:pt>
              </c:strCache>
            </c:strRef>
          </c:cat>
          <c:val>
            <c:numRef>
              <c:f>'Re-referrals'!$AR$50:$AV$50</c:f>
              <c:numCache>
                <c:formatCode>0.0%</c:formatCode>
                <c:ptCount val="5"/>
                <c:pt idx="0">
                  <c:v>0.16889763779527558</c:v>
                </c:pt>
                <c:pt idx="1">
                  <c:v>0.17274074074074075</c:v>
                </c:pt>
                <c:pt idx="2">
                  <c:v>0.21479862628785515</c:v>
                </c:pt>
                <c:pt idx="3">
                  <c:v>0.20193151887620719</c:v>
                </c:pt>
                <c:pt idx="4">
                  <c:v>0.22939601309134186</c:v>
                </c:pt>
              </c:numCache>
            </c:numRef>
          </c:val>
          <c:smooth val="0"/>
          <c:extLst>
            <c:ext xmlns:c16="http://schemas.microsoft.com/office/drawing/2014/chart" uri="{C3380CC4-5D6E-409C-BE32-E72D297353CC}">
              <c16:uniqueId val="{0000000D-24A0-45EC-9AE4-F4E70F8F1710}"/>
            </c:ext>
          </c:extLst>
        </c:ser>
        <c:ser>
          <c:idx val="20"/>
          <c:order val="13"/>
          <c:tx>
            <c:strRef>
              <c:f>'Re-referrals'!$AK$51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'Re-referrals'!$Y$2:$AC$3</c:f>
              <c:strCache>
                <c:ptCount val="5"/>
                <c:pt idx="0">
                  <c:v>2019/20</c:v>
                </c:pt>
                <c:pt idx="1">
                  <c:v>2020/21</c:v>
                </c:pt>
                <c:pt idx="2">
                  <c:v>2021/22</c:v>
                </c:pt>
                <c:pt idx="3">
                  <c:v>2022/23</c:v>
                </c:pt>
                <c:pt idx="4">
                  <c:v>2023/24</c:v>
                </c:pt>
              </c:strCache>
            </c:strRef>
          </c:cat>
          <c:val>
            <c:numRef>
              <c:f>'Re-referrals'!$AR$51:$AV$51</c:f>
              <c:numCache>
                <c:formatCode>0.0%</c:formatCode>
                <c:ptCount val="5"/>
                <c:pt idx="0">
                  <c:v>0.22913223140495867</c:v>
                </c:pt>
                <c:pt idx="1">
                  <c:v>0.27956989247311825</c:v>
                </c:pt>
                <c:pt idx="2">
                  <c:v>0.18076923076923077</c:v>
                </c:pt>
                <c:pt idx="3">
                  <c:v>0.22764878569522284</c:v>
                </c:pt>
                <c:pt idx="4">
                  <c:v>0.2482223658694247</c:v>
                </c:pt>
              </c:numCache>
            </c:numRef>
          </c:val>
          <c:smooth val="0"/>
          <c:extLst>
            <c:ext xmlns:c16="http://schemas.microsoft.com/office/drawing/2014/chart" uri="{C3380CC4-5D6E-409C-BE32-E72D297353CC}">
              <c16:uniqueId val="{0000000F-24A0-45EC-9AE4-F4E70F8F1710}"/>
            </c:ext>
          </c:extLst>
        </c:ser>
        <c:ser>
          <c:idx val="22"/>
          <c:order val="14"/>
          <c:tx>
            <c:strRef>
              <c:f>'Re-referrals'!$AK$52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'Re-referrals'!$Y$2:$AC$3</c:f>
              <c:strCache>
                <c:ptCount val="5"/>
                <c:pt idx="0">
                  <c:v>2019/20</c:v>
                </c:pt>
                <c:pt idx="1">
                  <c:v>2020/21</c:v>
                </c:pt>
                <c:pt idx="2">
                  <c:v>2021/22</c:v>
                </c:pt>
                <c:pt idx="3">
                  <c:v>2022/23</c:v>
                </c:pt>
                <c:pt idx="4">
                  <c:v>2023/24</c:v>
                </c:pt>
              </c:strCache>
            </c:strRef>
          </c:cat>
          <c:val>
            <c:numRef>
              <c:f>'Re-referrals'!$AR$52:$AV$52</c:f>
              <c:numCache>
                <c:formatCode>0.0%</c:formatCode>
                <c:ptCount val="5"/>
                <c:pt idx="0">
                  <c:v>0.21504871463786829</c:v>
                </c:pt>
                <c:pt idx="1">
                  <c:v>0.22621787495205217</c:v>
                </c:pt>
                <c:pt idx="2">
                  <c:v>0.20164519969693689</c:v>
                </c:pt>
                <c:pt idx="3">
                  <c:v>0.17278222972023055</c:v>
                </c:pt>
                <c:pt idx="4">
                  <c:v>0.16349908877896382</c:v>
                </c:pt>
              </c:numCache>
            </c:numRef>
          </c:val>
          <c:smooth val="0"/>
          <c:extLst>
            <c:ext xmlns:c16="http://schemas.microsoft.com/office/drawing/2014/chart" uri="{C3380CC4-5D6E-409C-BE32-E72D297353CC}">
              <c16:uniqueId val="{00000010-24A0-45EC-9AE4-F4E70F8F1710}"/>
            </c:ext>
          </c:extLst>
        </c:ser>
        <c:ser>
          <c:idx val="23"/>
          <c:order val="15"/>
          <c:tx>
            <c:strRef>
              <c:f>'Re-referrals'!$AK$53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'Re-referrals'!$Y$2:$AC$3</c:f>
              <c:strCache>
                <c:ptCount val="5"/>
                <c:pt idx="0">
                  <c:v>2019/20</c:v>
                </c:pt>
                <c:pt idx="1">
                  <c:v>2020/21</c:v>
                </c:pt>
                <c:pt idx="2">
                  <c:v>2021/22</c:v>
                </c:pt>
                <c:pt idx="3">
                  <c:v>2022/23</c:v>
                </c:pt>
                <c:pt idx="4">
                  <c:v>2023/24</c:v>
                </c:pt>
              </c:strCache>
            </c:strRef>
          </c:cat>
          <c:val>
            <c:numRef>
              <c:f>'Re-referrals'!$AR$53:$AV$53</c:f>
              <c:numCache>
                <c:formatCode>0.0%</c:formatCode>
                <c:ptCount val="5"/>
                <c:pt idx="0">
                  <c:v>0.2678355501813785</c:v>
                </c:pt>
                <c:pt idx="1">
                  <c:v>0.23432115782219159</c:v>
                </c:pt>
                <c:pt idx="2">
                  <c:v>0.24522613065326634</c:v>
                </c:pt>
                <c:pt idx="3">
                  <c:v>0.21371908539430703</c:v>
                </c:pt>
                <c:pt idx="4">
                  <c:v>0.2183406113537118</c:v>
                </c:pt>
              </c:numCache>
            </c:numRef>
          </c:val>
          <c:smooth val="0"/>
          <c:extLst>
            <c:ext xmlns:c16="http://schemas.microsoft.com/office/drawing/2014/chart" uri="{C3380CC4-5D6E-409C-BE32-E72D297353CC}">
              <c16:uniqueId val="{00000013-24A0-45EC-9AE4-F4E70F8F1710}"/>
            </c:ext>
          </c:extLst>
        </c:ser>
        <c:ser>
          <c:idx val="24"/>
          <c:order val="16"/>
          <c:tx>
            <c:strRef>
              <c:f>'Re-referrals'!$AK$54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'Re-referrals'!$Y$2:$AC$3</c:f>
              <c:strCache>
                <c:ptCount val="5"/>
                <c:pt idx="0">
                  <c:v>2019/20</c:v>
                </c:pt>
                <c:pt idx="1">
                  <c:v>2020/21</c:v>
                </c:pt>
                <c:pt idx="2">
                  <c:v>2021/22</c:v>
                </c:pt>
                <c:pt idx="3">
                  <c:v>2022/23</c:v>
                </c:pt>
                <c:pt idx="4">
                  <c:v>2023/24</c:v>
                </c:pt>
              </c:strCache>
            </c:strRef>
          </c:cat>
          <c:val>
            <c:numRef>
              <c:f>'Re-referrals'!$AR$54:$AV$54</c:f>
              <c:numCache>
                <c:formatCode>0.0%</c:formatCode>
                <c:ptCount val="5"/>
                <c:pt idx="0">
                  <c:v>0.26558591013709598</c:v>
                </c:pt>
                <c:pt idx="1">
                  <c:v>0.26660839160839161</c:v>
                </c:pt>
                <c:pt idx="2">
                  <c:v>0.25624332977588049</c:v>
                </c:pt>
                <c:pt idx="3">
                  <c:v>0.23046468014169619</c:v>
                </c:pt>
                <c:pt idx="4">
                  <c:v>0.16983986886899508</c:v>
                </c:pt>
              </c:numCache>
            </c:numRef>
          </c:val>
          <c:smooth val="0"/>
          <c:extLst>
            <c:ext xmlns:c16="http://schemas.microsoft.com/office/drawing/2014/chart" uri="{C3380CC4-5D6E-409C-BE32-E72D297353CC}">
              <c16:uniqueId val="{00000014-24A0-45EC-9AE4-F4E70F8F1710}"/>
            </c:ext>
          </c:extLst>
        </c:ser>
        <c:ser>
          <c:idx val="25"/>
          <c:order val="17"/>
          <c:tx>
            <c:strRef>
              <c:f>'Re-referrals'!$AK$55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'Re-referrals'!$Y$2:$AC$3</c:f>
              <c:strCache>
                <c:ptCount val="5"/>
                <c:pt idx="0">
                  <c:v>2019/20</c:v>
                </c:pt>
                <c:pt idx="1">
                  <c:v>2020/21</c:v>
                </c:pt>
                <c:pt idx="2">
                  <c:v>2021/22</c:v>
                </c:pt>
                <c:pt idx="3">
                  <c:v>2022/23</c:v>
                </c:pt>
                <c:pt idx="4">
                  <c:v>2023/24</c:v>
                </c:pt>
              </c:strCache>
            </c:strRef>
          </c:cat>
          <c:val>
            <c:numRef>
              <c:f>'Re-referrals'!$AR$55:$AV$55</c:f>
              <c:numCache>
                <c:formatCode>0.0%</c:formatCode>
                <c:ptCount val="5"/>
                <c:pt idx="0">
                  <c:v>0.15781710914454278</c:v>
                </c:pt>
                <c:pt idx="1">
                  <c:v>0.22147197839297772</c:v>
                </c:pt>
                <c:pt idx="2">
                  <c:v>0.18421052631578946</c:v>
                </c:pt>
                <c:pt idx="3">
                  <c:v>0.21381411884205181</c:v>
                </c:pt>
                <c:pt idx="4">
                  <c:v>0.22614451185879758</c:v>
                </c:pt>
              </c:numCache>
            </c:numRef>
          </c:val>
          <c:smooth val="0"/>
          <c:extLst>
            <c:ext xmlns:c16="http://schemas.microsoft.com/office/drawing/2014/chart" uri="{C3380CC4-5D6E-409C-BE32-E72D297353CC}">
              <c16:uniqueId val="{00000015-24A0-45EC-9AE4-F4E70F8F1710}"/>
            </c:ext>
          </c:extLst>
        </c:ser>
        <c:ser>
          <c:idx val="26"/>
          <c:order val="18"/>
          <c:tx>
            <c:strRef>
              <c:f>'Re-referrals'!$AK$56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'Re-referrals'!$Y$2:$AC$3</c:f>
              <c:strCache>
                <c:ptCount val="5"/>
                <c:pt idx="0">
                  <c:v>2019/20</c:v>
                </c:pt>
                <c:pt idx="1">
                  <c:v>2020/21</c:v>
                </c:pt>
                <c:pt idx="2">
                  <c:v>2021/22</c:v>
                </c:pt>
                <c:pt idx="3">
                  <c:v>2022/23</c:v>
                </c:pt>
                <c:pt idx="4">
                  <c:v>2023/24</c:v>
                </c:pt>
              </c:strCache>
            </c:strRef>
          </c:cat>
          <c:val>
            <c:numRef>
              <c:f>'Re-referrals'!$AR$56:$AV$56</c:f>
              <c:numCache>
                <c:formatCode>0.0%</c:formatCode>
                <c:ptCount val="5"/>
                <c:pt idx="0">
                  <c:v>0.24577226606538896</c:v>
                </c:pt>
                <c:pt idx="1">
                  <c:v>0.19213649851632048</c:v>
                </c:pt>
                <c:pt idx="2">
                  <c:v>0.16285153695225638</c:v>
                </c:pt>
                <c:pt idx="3">
                  <c:v>0.18108276291225886</c:v>
                </c:pt>
                <c:pt idx="4">
                  <c:v>0.18733850129198967</c:v>
                </c:pt>
              </c:numCache>
            </c:numRef>
          </c:val>
          <c:smooth val="0"/>
          <c:extLst>
            <c:ext xmlns:c16="http://schemas.microsoft.com/office/drawing/2014/chart" uri="{C3380CC4-5D6E-409C-BE32-E72D297353CC}">
              <c16:uniqueId val="{00000016-24A0-45EC-9AE4-F4E70F8F1710}"/>
            </c:ext>
          </c:extLst>
        </c:ser>
        <c:ser>
          <c:idx val="4"/>
          <c:order val="19"/>
          <c:tx>
            <c:strRef>
              <c:f>'Re-referrals'!$AK$57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'Re-referrals'!$Y$2:$AC$3</c:f>
              <c:strCache>
                <c:ptCount val="5"/>
                <c:pt idx="0">
                  <c:v>2019/20</c:v>
                </c:pt>
                <c:pt idx="1">
                  <c:v>2020/21</c:v>
                </c:pt>
                <c:pt idx="2">
                  <c:v>2021/22</c:v>
                </c:pt>
                <c:pt idx="3">
                  <c:v>2022/23</c:v>
                </c:pt>
                <c:pt idx="4">
                  <c:v>2023/24</c:v>
                </c:pt>
              </c:strCache>
            </c:strRef>
          </c:cat>
          <c:val>
            <c:numRef>
              <c:f>'Re-referrals'!$AR$57:$AV$57</c:f>
              <c:numCache>
                <c:formatCode>0.0%</c:formatCode>
                <c:ptCount val="5"/>
                <c:pt idx="0">
                  <c:v>0.26041784993402828</c:v>
                </c:pt>
                <c:pt idx="1">
                  <c:v>0.27663058637226584</c:v>
                </c:pt>
                <c:pt idx="2">
                  <c:v>0.25934198854931056</c:v>
                </c:pt>
                <c:pt idx="3">
                  <c:v>0.2792110453648915</c:v>
                </c:pt>
                <c:pt idx="4">
                  <c:v>0.26651818856718634</c:v>
                </c:pt>
              </c:numCache>
            </c:numRef>
          </c:val>
          <c:smooth val="0"/>
          <c:extLst>
            <c:ext xmlns:c16="http://schemas.microsoft.com/office/drawing/2014/chart" uri="{C3380CC4-5D6E-409C-BE32-E72D297353CC}">
              <c16:uniqueId val="{00000017-24A0-45EC-9AE4-F4E70F8F1710}"/>
            </c:ext>
          </c:extLst>
        </c:ser>
        <c:ser>
          <c:idx val="14"/>
          <c:order val="20"/>
          <c:tx>
            <c:strRef>
              <c:f>'Re-referrals'!$AK$58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'Re-referrals'!$Y$2:$AC$3</c:f>
              <c:strCache>
                <c:ptCount val="5"/>
                <c:pt idx="0">
                  <c:v>2019/20</c:v>
                </c:pt>
                <c:pt idx="1">
                  <c:v>2020/21</c:v>
                </c:pt>
                <c:pt idx="2">
                  <c:v>2021/22</c:v>
                </c:pt>
                <c:pt idx="3">
                  <c:v>2022/23</c:v>
                </c:pt>
                <c:pt idx="4">
                  <c:v>2023/24</c:v>
                </c:pt>
              </c:strCache>
            </c:strRef>
          </c:cat>
          <c:val>
            <c:numRef>
              <c:f>'Re-referrals'!$AR$58:$AV$58</c:f>
              <c:numCache>
                <c:formatCode>0.0%</c:formatCode>
                <c:ptCount val="5"/>
                <c:pt idx="0">
                  <c:v>0.22611900836728982</c:v>
                </c:pt>
                <c:pt idx="1">
                  <c:v>0.22726512312633834</c:v>
                </c:pt>
                <c:pt idx="2">
                  <c:v>0.21452627370169314</c:v>
                </c:pt>
                <c:pt idx="3">
                  <c:v>0.22448979591836735</c:v>
                </c:pt>
                <c:pt idx="4">
                  <c:v>0.22364443300958384</c:v>
                </c:pt>
              </c:numCache>
            </c:numRef>
          </c:val>
          <c:smooth val="0"/>
          <c:extLst>
            <c:ext xmlns:c16="http://schemas.microsoft.com/office/drawing/2014/chart" uri="{C3380CC4-5D6E-409C-BE32-E72D297353CC}">
              <c16:uniqueId val="{00000018-24A0-45EC-9AE4-F4E70F8F1710}"/>
            </c:ext>
          </c:extLst>
        </c:ser>
        <c:ser>
          <c:idx val="6"/>
          <c:order val="21"/>
          <c:tx>
            <c:strRef>
              <c:f>'Re-referrals'!$AK$59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'Re-referrals'!$Y$2:$AC$3</c:f>
              <c:strCache>
                <c:ptCount val="5"/>
                <c:pt idx="0">
                  <c:v>2019/20</c:v>
                </c:pt>
                <c:pt idx="1">
                  <c:v>2020/21</c:v>
                </c:pt>
                <c:pt idx="2">
                  <c:v>2021/22</c:v>
                </c:pt>
                <c:pt idx="3">
                  <c:v>2022/23</c:v>
                </c:pt>
                <c:pt idx="4">
                  <c:v>2023/24</c:v>
                </c:pt>
              </c:strCache>
            </c:strRef>
          </c:cat>
          <c:val>
            <c:numRef>
              <c:f>'Re-referrals'!$AR$59:$AV$59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24A0-45EC-9AE4-F4E70F8F1710}"/>
            </c:ext>
          </c:extLst>
        </c:ser>
        <c:dLbls>
          <c:showLegendKey val="0"/>
          <c:showVal val="0"/>
          <c:showCatName val="0"/>
          <c:showSerName val="0"/>
          <c:showPercent val="0"/>
          <c:showBubbleSize val="0"/>
        </c:dLbls>
        <c:marker val="1"/>
        <c:smooth val="0"/>
        <c:axId val="550374400"/>
        <c:axId val="550384384"/>
      </c:lineChart>
      <c:catAx>
        <c:axId val="550374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50384384"/>
        <c:crosses val="autoZero"/>
        <c:auto val="1"/>
        <c:lblAlgn val="ctr"/>
        <c:lblOffset val="100"/>
        <c:tickLblSkip val="1"/>
        <c:tickMarkSkip val="1"/>
        <c:noMultiLvlLbl val="0"/>
      </c:catAx>
      <c:valAx>
        <c:axId val="550384384"/>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50374400"/>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91116674803566888"/>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Distance from Expected Rate of Re-referrals</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30967717627716601"/>
          <c:y val="0.13754659323684476"/>
          <c:w val="0.65115126189538342"/>
          <c:h val="0.80483344421018621"/>
        </c:manualLayout>
      </c:layout>
      <c:barChart>
        <c:barDir val="bar"/>
        <c:grouping val="clustered"/>
        <c:varyColors val="0"/>
        <c:ser>
          <c:idx val="2"/>
          <c:order val="0"/>
          <c:tx>
            <c:strRef>
              <c:f>'Re-referrals'!$S$7</c:f>
              <c:strCache>
                <c:ptCount val="1"/>
                <c:pt idx="0">
                  <c:v>Distance from 2024 Expected Rate based on IDACI</c:v>
                </c:pt>
              </c:strCache>
            </c:strRef>
          </c:tx>
          <c:spPr>
            <a:solidFill>
              <a:srgbClr val="FB994F"/>
            </a:solidFill>
            <a:ln w="25400">
              <a:noFill/>
            </a:ln>
          </c:spPr>
          <c:invertIfNegative val="0"/>
          <c:cat>
            <c:strRef>
              <c:f>'Re-referrals'!$X$73:$X$93</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'Re-referrals'!$T$11:$T$31</c:f>
              <c:numCache>
                <c:formatCode>0.0</c:formatCode>
                <c:ptCount val="21"/>
                <c:pt idx="0">
                  <c:v>53.857404264021056</c:v>
                </c:pt>
                <c:pt idx="1">
                  <c:v>65.573677733415352</c:v>
                </c:pt>
                <c:pt idx="2">
                  <c:v>45.109534990257899</c:v>
                </c:pt>
                <c:pt idx="3">
                  <c:v>-45.905694000681031</c:v>
                </c:pt>
                <c:pt idx="4">
                  <c:v>#N/A</c:v>
                </c:pt>
                <c:pt idx="5">
                  <c:v>730.93991090995075</c:v>
                </c:pt>
                <c:pt idx="6">
                  <c:v>53.577919957121154</c:v>
                </c:pt>
                <c:pt idx="7">
                  <c:v>68.194720298917403</c:v>
                </c:pt>
                <c:pt idx="8">
                  <c:v>-21.968460375865931</c:v>
                </c:pt>
                <c:pt idx="9">
                  <c:v>-21.014358587878796</c:v>
                </c:pt>
                <c:pt idx="10">
                  <c:v>46.838329713339164</c:v>
                </c:pt>
                <c:pt idx="11">
                  <c:v>102.42549293798403</c:v>
                </c:pt>
                <c:pt idx="12">
                  <c:v>69.109547344601978</c:v>
                </c:pt>
                <c:pt idx="13">
                  <c:v>24.256780426306193</c:v>
                </c:pt>
                <c:pt idx="14">
                  <c:v>-27.490966247989867</c:v>
                </c:pt>
                <c:pt idx="15">
                  <c:v>22.560581369037848</c:v>
                </c:pt>
                <c:pt idx="16">
                  <c:v>-11.345835824556573</c:v>
                </c:pt>
                <c:pt idx="17">
                  <c:v>51.840804597489679</c:v>
                </c:pt>
                <c:pt idx="18">
                  <c:v>4.0122036724557546</c:v>
                </c:pt>
                <c:pt idx="19">
                  <c:v>150.52489878266093</c:v>
                </c:pt>
                <c:pt idx="20">
                  <c:v>2.6682112778958214</c:v>
                </c:pt>
              </c:numCache>
            </c:numRef>
          </c:val>
          <c:extLst>
            <c:ext xmlns:c16="http://schemas.microsoft.com/office/drawing/2014/chart" uri="{C3380CC4-5D6E-409C-BE32-E72D297353CC}">
              <c16:uniqueId val="{00000000-EF58-473D-87C1-6A2F70302A46}"/>
            </c:ext>
          </c:extLst>
        </c:ser>
        <c:ser>
          <c:idx val="0"/>
          <c:order val="1"/>
          <c:tx>
            <c:strRef>
              <c:f>'Re-referrals'!$Z$4</c:f>
              <c:strCache>
                <c:ptCount val="1"/>
                <c:pt idx="0">
                  <c:v>Selected LA- (none)</c:v>
                </c:pt>
              </c:strCache>
            </c:strRef>
          </c:tx>
          <c:spPr>
            <a:solidFill>
              <a:srgbClr val="66FF99"/>
            </a:solidFill>
            <a:ln w="12700">
              <a:solidFill>
                <a:srgbClr val="000000"/>
              </a:solidFill>
              <a:prstDash val="solid"/>
            </a:ln>
          </c:spPr>
          <c:invertIfNegative val="0"/>
          <c:cat>
            <c:strRef>
              <c:f>'Re-referrals'!$X$73:$X$93</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'Re-referrals'!$Z$73:$Z$93</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EF58-473D-87C1-6A2F70302A46}"/>
            </c:ext>
          </c:extLst>
        </c:ser>
        <c:dLbls>
          <c:showLegendKey val="0"/>
          <c:showVal val="0"/>
          <c:showCatName val="0"/>
          <c:showSerName val="0"/>
          <c:showPercent val="0"/>
          <c:showBubbleSize val="0"/>
        </c:dLbls>
        <c:gapWidth val="40"/>
        <c:overlap val="100"/>
        <c:axId val="550413824"/>
        <c:axId val="550415360"/>
      </c:barChart>
      <c:catAx>
        <c:axId val="55041382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50415360"/>
        <c:crossesAt val="0"/>
        <c:auto val="1"/>
        <c:lblAlgn val="ctr"/>
        <c:lblOffset val="100"/>
        <c:noMultiLvlLbl val="0"/>
      </c:catAx>
      <c:valAx>
        <c:axId val="550415360"/>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50413824"/>
        <c:crosses val="max"/>
        <c:crossBetween val="between"/>
      </c:valAx>
      <c:spPr>
        <a:noFill/>
        <a:ln w="12700">
          <a:solidFill>
            <a:srgbClr val="000000"/>
          </a:solidFill>
          <a:prstDash val="solid"/>
        </a:ln>
      </c:spPr>
    </c:plotArea>
    <c:legend>
      <c:legendPos val="t"/>
      <c:layout>
        <c:manualLayout>
          <c:xMode val="edge"/>
          <c:yMode val="edge"/>
          <c:x val="5.6072092468356892E-2"/>
          <c:y val="7.2490772111310081E-2"/>
          <c:w val="0.86852912941907634"/>
          <c:h val="4.089223042176466E-2"/>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'Re-referrals'!$AK$5</c:f>
          <c:strCache>
            <c:ptCount val="1"/>
            <c:pt idx="0">
              <c:v>Average Annual Change in Number of Re-referrals</c:v>
            </c:pt>
          </c:strCache>
        </c:strRef>
      </c:tx>
      <c:layout>
        <c:manualLayout>
          <c:xMode val="edge"/>
          <c:yMode val="edge"/>
          <c:x val="9.5785619809663491E-3"/>
          <c:y val="1.1152426478663088E-2"/>
        </c:manualLayout>
      </c:layout>
      <c:overlay val="0"/>
      <c:spPr>
        <a:noFill/>
        <a:ln w="25400">
          <a:noFill/>
        </a:ln>
      </c:spPr>
      <c:txPr>
        <a:bodyPr/>
        <a:lstStyle/>
        <a:p>
          <a:pPr>
            <a:defRPr sz="1100" b="1"/>
          </a:pPr>
          <a:endParaRPr lang="en-US"/>
        </a:p>
      </c:txPr>
    </c:title>
    <c:autoTitleDeleted val="0"/>
    <c:plotArea>
      <c:layout>
        <c:manualLayout>
          <c:layoutTarget val="inner"/>
          <c:xMode val="edge"/>
          <c:yMode val="edge"/>
          <c:x val="0.30356192655405256"/>
          <c:y val="0.13754659323684476"/>
          <c:w val="0.65368889786212625"/>
          <c:h val="0.80483344421018621"/>
        </c:manualLayout>
      </c:layout>
      <c:barChart>
        <c:barDir val="bar"/>
        <c:grouping val="clustered"/>
        <c:varyColors val="0"/>
        <c:ser>
          <c:idx val="0"/>
          <c:order val="0"/>
          <c:tx>
            <c:strRef>
              <c:f>'Re-referrals'!$I$7</c:f>
              <c:strCache>
                <c:ptCount val="1"/>
                <c:pt idx="0">
                  <c:v>Average Annual Change </c:v>
                </c:pt>
              </c:strCache>
            </c:strRef>
          </c:tx>
          <c:spPr>
            <a:solidFill>
              <a:srgbClr val="FB994F"/>
            </a:solidFill>
            <a:ln w="25400">
              <a:noFill/>
            </a:ln>
          </c:spPr>
          <c:invertIfNegative val="0"/>
          <c:cat>
            <c:strRef>
              <c:f>'Re-referrals'!$B$11:$B$31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'Re-referrals'!$I$11:$I$31</c:f>
              <c:numCache>
                <c:formatCode>0.0%</c:formatCode>
                <c:ptCount val="21"/>
                <c:pt idx="0">
                  <c:v>-6.7627403570366292E-3</c:v>
                </c:pt>
                <c:pt idx="1">
                  <c:v>-6.2362499400747097E-2</c:v>
                </c:pt>
                <c:pt idx="2">
                  <c:v>6.737808914695928E-2</c:v>
                </c:pt>
                <c:pt idx="3">
                  <c:v>-3.5382314810731202E-2</c:v>
                </c:pt>
                <c:pt idx="4">
                  <c:v>0.22075553424558111</c:v>
                </c:pt>
                <c:pt idx="5">
                  <c:v>0.21371358290303349</c:v>
                </c:pt>
                <c:pt idx="6">
                  <c:v>-1.5322084722587045E-2</c:v>
                </c:pt>
                <c:pt idx="7">
                  <c:v>3.8721042418359462E-2</c:v>
                </c:pt>
                <c:pt idx="8">
                  <c:v>3.9821701429571983E-2</c:v>
                </c:pt>
                <c:pt idx="9">
                  <c:v>-5.2145115233286882E-2</c:v>
                </c:pt>
                <c:pt idx="10">
                  <c:v>6.7614329736408449E-2</c:v>
                </c:pt>
                <c:pt idx="11">
                  <c:v>9.1008473983480706E-2</c:v>
                </c:pt>
                <c:pt idx="12">
                  <c:v>0.16484388900458591</c:v>
                </c:pt>
                <c:pt idx="13">
                  <c:v>-4.9140231856078048E-2</c:v>
                </c:pt>
                <c:pt idx="14">
                  <c:v>-6.023426848814651E-2</c:v>
                </c:pt>
                <c:pt idx="15">
                  <c:v>-2.3623698947968313E-2</c:v>
                </c:pt>
                <c:pt idx="16">
                  <c:v>-0.14159565977472544</c:v>
                </c:pt>
                <c:pt idx="17">
                  <c:v>0.19893568689070415</c:v>
                </c:pt>
                <c:pt idx="18">
                  <c:v>-6.9833767170997485E-2</c:v>
                </c:pt>
                <c:pt idx="19">
                  <c:v>5.2641166306822855E-2</c:v>
                </c:pt>
                <c:pt idx="20">
                  <c:v>-1.0190244427683598E-2</c:v>
                </c:pt>
              </c:numCache>
            </c:numRef>
          </c:val>
          <c:extLst>
            <c:ext xmlns:c16="http://schemas.microsoft.com/office/drawing/2014/chart" uri="{C3380CC4-5D6E-409C-BE32-E72D297353CC}">
              <c16:uniqueId val="{00000000-5F2C-420C-A064-A376EA6D6BA1}"/>
            </c:ext>
          </c:extLst>
        </c:ser>
        <c:ser>
          <c:idx val="1"/>
          <c:order val="1"/>
          <c:tx>
            <c:strRef>
              <c:f>'Re-referrals'!$Z$4</c:f>
              <c:strCache>
                <c:ptCount val="1"/>
                <c:pt idx="0">
                  <c:v>Selected LA- (none)</c:v>
                </c:pt>
              </c:strCache>
            </c:strRef>
          </c:tx>
          <c:spPr>
            <a:solidFill>
              <a:srgbClr val="66FF99"/>
            </a:solidFill>
            <a:ln w="12700">
              <a:solidFill>
                <a:srgbClr val="000000"/>
              </a:solidFill>
              <a:prstDash val="solid"/>
            </a:ln>
          </c:spPr>
          <c:invertIfNegative val="0"/>
          <c:cat>
            <c:strRef>
              <c:f>'Re-referrals'!$B$11:$B$31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'Re-referrals'!$Y$73:$Y$93</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5F2C-420C-A064-A376EA6D6BA1}"/>
            </c:ext>
          </c:extLst>
        </c:ser>
        <c:dLbls>
          <c:showLegendKey val="0"/>
          <c:showVal val="0"/>
          <c:showCatName val="0"/>
          <c:showSerName val="0"/>
          <c:showPercent val="0"/>
          <c:showBubbleSize val="0"/>
        </c:dLbls>
        <c:gapWidth val="40"/>
        <c:overlap val="100"/>
        <c:axId val="550584320"/>
        <c:axId val="550585856"/>
      </c:barChart>
      <c:catAx>
        <c:axId val="550584320"/>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550585856"/>
        <c:crosses val="autoZero"/>
        <c:auto val="1"/>
        <c:lblAlgn val="ctr"/>
        <c:lblOffset val="100"/>
        <c:noMultiLvlLbl val="0"/>
      </c:catAx>
      <c:valAx>
        <c:axId val="550585856"/>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50584320"/>
        <c:crosses val="max"/>
        <c:crossBetween val="between"/>
      </c:valAx>
      <c:spPr>
        <a:noFill/>
        <a:ln w="3175">
          <a:solidFill>
            <a:srgbClr val="000000"/>
          </a:solidFill>
          <a:prstDash val="solid"/>
        </a:ln>
      </c:spPr>
    </c:plotArea>
    <c:legend>
      <c:legendPos val="t"/>
      <c:layout>
        <c:manualLayout>
          <c:xMode val="edge"/>
          <c:yMode val="edge"/>
          <c:x val="0.18479283038338157"/>
          <c:y val="6.7778911895272353E-2"/>
          <c:w val="0.76490925813760458"/>
          <c:h val="5.1180292278280033E-2"/>
        </c:manualLayout>
      </c:layout>
      <c:overlay val="0"/>
      <c:spPr>
        <a:noFill/>
        <a:ln w="12700">
          <a:noFill/>
          <a:prstDash val="solid"/>
        </a:ln>
      </c:spPr>
    </c:legend>
    <c:plotVisOnly val="0"/>
    <c:dispBlanksAs val="gap"/>
    <c:showDLblsOverMax val="0"/>
  </c:chart>
  <c:spPr>
    <a:solidFill>
      <a:srgbClr val="FFFFFF"/>
    </a:solidFill>
    <a:ln w="12700">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Re-referrals vs. IDACI</a:t>
            </a:r>
          </a:p>
        </c:rich>
      </c:tx>
      <c:layout>
        <c:manualLayout>
          <c:xMode val="edge"/>
          <c:yMode val="edge"/>
          <c:x val="0.28336868850297825"/>
          <c:y val="3.6125788309479677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5"/>
          <c:order val="3"/>
          <c:tx>
            <c:strRef>
              <c:f>'Re-referrals'!$X$38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4ABA-44ED-8FED-6882F716E087}"/>
                </c:ext>
              </c:extLst>
            </c:dLbl>
            <c:dLbl>
              <c:idx val="1"/>
              <c:layout>
                <c:manualLayout>
                  <c:x val="-6.9301008426578256E-2"/>
                  <c:y val="-1.9813049122703628E-2"/>
                </c:manualLayout>
              </c:layout>
              <c:tx>
                <c:strRef>
                  <c:f>'Re-referrals'!$AC$39</c:f>
                  <c:strCache>
                    <c:ptCount val="1"/>
                    <c:pt idx="0">
                      <c:v>r² = 0.164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{D96ECA7E-0DCA-471B-9288-6C0FE11FE5EB}</c15:txfldGUID>
                      <c15:f>'Re-referrals'!$AC$39</c15:f>
                      <c15:dlblFieldTableCache>
                        <c:ptCount val="1"/>
                        <c:pt idx="0">
                          <c:v>r² = 0.164</c:v>
                        </c:pt>
                      </c15:dlblFieldTableCache>
                    </c15:dlblFTEntry>
                  </c15:dlblFieldTable>
                  <c15:showDataLabelsRange val="0"/>
                </c:ext>
                <c:ext xmlns:c16="http://schemas.microsoft.com/office/drawing/2014/chart" uri="{C3380CC4-5D6E-409C-BE32-E72D297353CC}">
                  <c16:uniqueId val="{00000001-4ABA-44ED-8FED-6882F716E087}"/>
                </c:ext>
              </c:extLst>
            </c:dLbl>
            <c:spPr>
              <a:noFill/>
              <a:ln>
                <a:noFill/>
              </a:ln>
              <a:effectLst/>
            </c:spPr>
            <c:txPr>
              <a:bodyPr/>
              <a:lstStyle/>
              <a:p>
                <a:pPr>
                  <a:defRPr sz="9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'Re-referrals'!$AA$38:$AA$39</c:f>
              <c:numCache>
                <c:formatCode>General</c:formatCode>
                <c:ptCount val="2"/>
                <c:pt idx="0" formatCode="#,##0.0">
                  <c:v>3</c:v>
                </c:pt>
                <c:pt idx="1">
                  <c:v>22</c:v>
                </c:pt>
              </c:numCache>
            </c:numRef>
          </c:xVal>
          <c:yVal>
            <c:numRef>
              <c:f>'Re-referrals'!$AB$38:$AB$39</c:f>
              <c:numCache>
                <c:formatCode>0.0</c:formatCode>
                <c:ptCount val="2"/>
                <c:pt idx="0">
                  <c:v>9.5367852350827889</c:v>
                </c:pt>
                <c:pt idx="1">
                  <c:v>295.52869281813832</c:v>
                </c:pt>
              </c:numCache>
            </c:numRef>
          </c:yVal>
          <c:smooth val="1"/>
          <c:extLst>
            <c:ext xmlns:c16="http://schemas.microsoft.com/office/drawing/2014/chart" uri="{C3380CC4-5D6E-409C-BE32-E72D297353CC}">
              <c16:uniqueId val="{00000002-4ABA-44ED-8FED-6882F716E087}"/>
            </c:ext>
          </c:extLst>
        </c:ser>
        <c:dLbls>
          <c:showLegendKey val="0"/>
          <c:showVal val="0"/>
          <c:showCatName val="0"/>
          <c:showSerName val="0"/>
          <c:showPercent val="0"/>
          <c:showBubbleSize val="0"/>
        </c:dLbls>
        <c:axId val="550521856"/>
        <c:axId val="550704256"/>
      </c:scatterChart>
      <c:scatterChart>
        <c:scatterStyle val="lineMarker"/>
        <c:varyColors val="0"/>
        <c:ser>
          <c:idx val="0"/>
          <c:order val="0"/>
          <c:tx>
            <c:strRef>
              <c:f>'Re-referrals'!$AQ$35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4ABA-44ED-8FED-6882F716E087}"/>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{FE23A6EF-2E03-4E55-9A10-709B707046DE}</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4ABA-44ED-8FED-6882F716E087}"/>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{CE9E4061-5376-4E57-A9A0-05F1A9CF722B}</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4ABA-44ED-8FED-6882F716E087}"/>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{0244895E-DF0D-4CCA-8F73-5F13118107EE}</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4ABA-44ED-8FED-6882F716E087}"/>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{4FAB434B-2623-4348-9531-E969A7242AC1}</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4ABA-44ED-8FED-6882F716E087}"/>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{0E192BF8-8425-4D00-AA15-334D6D40A23D}</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8-4ABA-44ED-8FED-6882F716E087}"/>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{453D8A04-63D3-4CC6-95CB-CC5B12C362F7}</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4ABA-44ED-8FED-6882F716E087}"/>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{955B3BA8-E254-4B80-91AC-B0131E8E5F1F}</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A-4ABA-44ED-8FED-6882F716E087}"/>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{FB651774-F822-464B-A53C-49133F043B9E}</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B-4ABA-44ED-8FED-6882F716E087}"/>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{33C11BC4-E911-4C83-815A-92791A80C0E1}</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4ABA-44ED-8FED-6882F716E087}"/>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{9E4BCE57-BE12-4106-A23B-C302A7B66E77}</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4ABA-44ED-8FED-6882F716E087}"/>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{DC4EED8C-372F-434D-A940-8A3B4E3E485A}</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4ABA-44ED-8FED-6882F716E087}"/>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{6D56F9F7-7D79-4F05-ADA1-2148A687EAE7}</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F-4ABA-44ED-8FED-6882F716E087}"/>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{669CBE08-14B0-40A8-9E74-9310DCD1D098}</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10-4ABA-44ED-8FED-6882F716E087}"/>
                </c:ext>
              </c:extLst>
            </c:dLbl>
            <c:dLbl>
              <c:idx val="13"/>
              <c:tx>
                <c:strRef>
                  <c:f>ReportData!$K$17</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{3F0F7654-E4D9-484F-9B6A-BC5F3E77E58F}</c15:txfldGUID>
                      <c15:f>ReportData!$K$17</c15:f>
                      <c15:dlblFieldTableCache>
                        <c:ptCount val="1"/>
                        <c:pt idx="0">
                          <c:v>Southampton</c:v>
                        </c:pt>
                      </c15:dlblFieldTableCache>
                    </c15:dlblFTEntry>
                  </c15:dlblFieldTable>
                  <c15:showDataLabelsRange val="0"/>
                </c:ext>
                <c:ext xmlns:c16="http://schemas.microsoft.com/office/drawing/2014/chart" uri="{C3380CC4-5D6E-409C-BE32-E72D297353CC}">
                  <c16:uniqueId val="{00000011-4ABA-44ED-8FED-6882F716E087}"/>
                </c:ext>
              </c:extLst>
            </c:dLbl>
            <c:dLbl>
              <c:idx val="14"/>
              <c:tx>
                <c:strRef>
                  <c:f>ReportData!$K$18</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{C8902333-20BF-445E-919A-94D36B5636DF}</c15:txfldGUID>
                      <c15:f>ReportData!$K$18</c15:f>
                      <c15:dlblFieldTableCache>
                        <c:ptCount val="1"/>
                        <c:pt idx="0">
                          <c:v>Surrey</c:v>
                        </c:pt>
                      </c15:dlblFieldTableCache>
                    </c15:dlblFTEntry>
                  </c15:dlblFieldTable>
                  <c15:showDataLabelsRange val="0"/>
                </c:ext>
                <c:ext xmlns:c16="http://schemas.microsoft.com/office/drawing/2014/chart" uri="{C3380CC4-5D6E-409C-BE32-E72D297353CC}">
                  <c16:uniqueId val="{00000012-4ABA-44ED-8FED-6882F716E087}"/>
                </c:ext>
              </c:extLst>
            </c:dLbl>
            <c:dLbl>
              <c:idx val="15"/>
              <c:tx>
                <c:strRef>
                  <c:f>ReportData!$K$19</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{87005E2C-D5ED-4C79-B311-8F229DFDD49C}</c15:txfldGUID>
                      <c15:f>ReportData!$K$19</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4ABA-44ED-8FED-6882F716E087}"/>
                </c:ext>
              </c:extLst>
            </c:dLbl>
            <c:dLbl>
              <c:idx val="16"/>
              <c:tx>
                <c:strRef>
                  <c:f>ReportData!$K$20</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{C0309048-6B03-4D65-957C-5DBA74DD10D2}</c15:txfldGUID>
                      <c15:f>ReportData!$K$20</c15:f>
                      <c15:dlblFieldTableCache>
                        <c:ptCount val="1"/>
                        <c:pt idx="0">
                          <c:v>West Sussex</c:v>
                        </c:pt>
                      </c15:dlblFieldTableCache>
                    </c15:dlblFTEntry>
                  </c15:dlblFieldTable>
                  <c15:showDataLabelsRange val="0"/>
                </c:ext>
                <c:ext xmlns:c16="http://schemas.microsoft.com/office/drawing/2014/chart" uri="{C3380CC4-5D6E-409C-BE32-E72D297353CC}">
                  <c16:uniqueId val="{00000014-4ABA-44ED-8FED-6882F716E087}"/>
                </c:ext>
              </c:extLst>
            </c:dLbl>
            <c:dLbl>
              <c:idx val="17"/>
              <c:layout>
                <c:manualLayout>
                  <c:x val="-2.1259252882280515E-2"/>
                  <c:y val="1.782607922639495E-2"/>
                </c:manualLayout>
              </c:layout>
              <c:tx>
                <c:strRef>
                  <c:f>ReportData!$K$21</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{3585F1E6-5AC8-4A8F-A8A4-A33A2F38EE39}</c15:txfldGUID>
                      <c15:f>ReportData!$K$21</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4ABA-44ED-8FED-6882F716E087}"/>
                </c:ext>
              </c:extLst>
            </c:dLbl>
            <c:dLbl>
              <c:idx val="18"/>
              <c:tx>
                <c:strRef>
                  <c:f>ReportData!$K$22</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{5E2673C2-216C-4E6A-9F20-87C00ABA095C}</c15:txfldGUID>
                      <c15:f>ReportData!$K$22</c15:f>
                      <c15:dlblFieldTableCache>
                        <c:ptCount val="1"/>
                        <c:pt idx="0">
                          <c:v>Wokingham</c:v>
                        </c:pt>
                      </c15:dlblFieldTableCache>
                    </c15:dlblFTEntry>
                  </c15:dlblFieldTable>
                  <c15:showDataLabelsRange val="0"/>
                </c:ext>
                <c:ext xmlns:c16="http://schemas.microsoft.com/office/drawing/2014/chart" uri="{C3380CC4-5D6E-409C-BE32-E72D297353CC}">
                  <c16:uniqueId val="{00000016-4ABA-44ED-8FED-6882F716E087}"/>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'Re-referrals'!$AQ$38:$AQ$56</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'Re-referrals'!$AP$38:$AP$56</c:f>
              <c:numCache>
                <c:formatCode>0.0</c:formatCode>
                <c:ptCount val="19"/>
                <c:pt idx="0">
                  <c:v>131.25283624812371</c:v>
                </c:pt>
                <c:pt idx="1">
                  <c:v>171.0024428920413</c:v>
                </c:pt>
                <c:pt idx="2">
                  <c:v>120.75288365095285</c:v>
                </c:pt>
                <c:pt idx="3">
                  <c:v>63.02723780476034</c:v>
                </c:pt>
                <c:pt idx="4">
                  <c:v>#N/A</c:v>
                </c:pt>
                <c:pt idx="5">
                  <c:v>848.19523850157873</c:v>
                </c:pt>
                <c:pt idx="6">
                  <c:v>161.19678927000675</c:v>
                </c:pt>
                <c:pt idx="7">
                  <c:v>189.39223536821271</c:v>
                </c:pt>
                <c:pt idx="8">
                  <c:v>82.146242290204256</c:v>
                </c:pt>
                <c:pt idx="9">
                  <c:v>61.637323366446999</c:v>
                </c:pt>
                <c:pt idx="10">
                  <c:v>173.73011558370953</c:v>
                </c:pt>
                <c:pt idx="11">
                  <c:v>210.92040391257348</c:v>
                </c:pt>
                <c:pt idx="12">
                  <c:v>171.91018751811637</c:v>
                </c:pt>
                <c:pt idx="13">
                  <c:v>152.46262878923233</c:v>
                </c:pt>
                <c:pt idx="14">
                  <c:v>47.276340751001236</c:v>
                </c:pt>
                <c:pt idx="15">
                  <c:v>99.079971691436654</c:v>
                </c:pt>
                <c:pt idx="16">
                  <c:v>75.24803360743654</c:v>
                </c:pt>
                <c:pt idx="17">
                  <c:v>119.59977830284997</c:v>
                </c:pt>
                <c:pt idx="18">
                  <c:v>66.952948238444847</c:v>
                </c:pt>
              </c:numCache>
            </c:numRef>
          </c:yVal>
          <c:smooth val="0"/>
          <c:extLst>
            <c:ext xmlns:c16="http://schemas.microsoft.com/office/drawing/2014/chart" uri="{C3380CC4-5D6E-409C-BE32-E72D297353CC}">
              <c16:uniqueId val="{00000017-4ABA-44ED-8FED-6882F716E087}"/>
            </c:ext>
          </c:extLst>
        </c:ser>
        <c:ser>
          <c:idx val="1"/>
          <c:order val="1"/>
          <c:tx>
            <c:strRef>
              <c:f>'Re-referrals'!$Z$4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'Re-referrals'!$AQ$59</c:f>
              <c:numCache>
                <c:formatCode>0.0</c:formatCode>
                <c:ptCount val="1"/>
                <c:pt idx="0">
                  <c:v>#N/A</c:v>
                </c:pt>
              </c:numCache>
            </c:numRef>
          </c:xVal>
          <c:yVal>
            <c:numRef>
              <c:f>'Re-referrals'!$AP$59</c:f>
              <c:numCache>
                <c:formatCode>0.0</c:formatCode>
                <c:ptCount val="1"/>
                <c:pt idx="0">
                  <c:v>#N/A</c:v>
                </c:pt>
              </c:numCache>
            </c:numRef>
          </c:yVal>
          <c:smooth val="0"/>
          <c:extLst>
            <c:ext xmlns:c16="http://schemas.microsoft.com/office/drawing/2014/chart" uri="{C3380CC4-5D6E-409C-BE32-E72D297353CC}">
              <c16:uniqueId val="{0000001C-4ABA-44ED-8FED-6882F716E087}"/>
            </c:ext>
          </c:extLst>
        </c:ser>
        <c:ser>
          <c:idx val="4"/>
          <c:order val="2"/>
          <c:tx>
            <c:strRef>
              <c:f>'Re-referrals'!$B$30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'Re-referrals'!$AQ$57</c:f>
              <c:numCache>
                <c:formatCode>0.0</c:formatCode>
                <c:ptCount val="1"/>
                <c:pt idx="0">
                  <c:v>12.760581039440194</c:v>
                </c:pt>
              </c:numCache>
            </c:numRef>
          </c:xVal>
          <c:yVal>
            <c:numRef>
              <c:f>'Re-referrals'!$O$30</c:f>
              <c:numCache>
                <c:formatCode>0.0</c:formatCode>
                <c:ptCount val="1"/>
                <c:pt idx="0">
                  <c:v>189.68480971637101</c:v>
                </c:pt>
              </c:numCache>
            </c:numRef>
          </c:yVal>
          <c:smooth val="0"/>
          <c:extLst>
            <c:ext xmlns:c16="http://schemas.microsoft.com/office/drawing/2014/chart" uri="{C3380CC4-5D6E-409C-BE32-E72D297353CC}">
              <c16:uniqueId val="{0000001D-4ABA-44ED-8FED-6882F716E087}"/>
            </c:ext>
          </c:extLst>
        </c:ser>
        <c:ser>
          <c:idx val="2"/>
          <c:order val="4"/>
          <c:tx>
            <c:strRef>
              <c:f>'Re-referrals'!$X$40</c:f>
              <c:strCache>
                <c:ptCount val="1"/>
                <c:pt idx="0">
                  <c:v>National Trend 2024</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4ABA-44ED-8FED-6882F716E087}"/>
                </c:ext>
              </c:extLst>
            </c:dLbl>
            <c:dLbl>
              <c:idx val="1"/>
              <c:layout>
                <c:manualLayout>
                  <c:x val="-5.8479508243287875E-2"/>
                  <c:y val="2.4305446366204419E-2"/>
                </c:manualLayout>
              </c:layout>
              <c:tx>
                <c:strRef>
                  <c:f>'Re-referrals'!$AC$40</c:f>
                  <c:strCache>
                    <c:ptCount val="1"/>
                    <c:pt idx="0">
                      <c:v>r² = 0.109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{48E4B90B-34F9-4523-A0FF-22069EBC8ABC}</c15:txfldGUID>
                      <c15:f>'Re-referrals'!$AC$40</c15:f>
                      <c15:dlblFieldTableCache>
                        <c:ptCount val="1"/>
                        <c:pt idx="0">
                          <c:v>r² = 0.109</c:v>
                        </c:pt>
                      </c15:dlblFieldTableCache>
                    </c15:dlblFTEntry>
                  </c15:dlblFieldTable>
                  <c15:showDataLabelsRange val="0"/>
                </c:ext>
                <c:ext xmlns:c16="http://schemas.microsoft.com/office/drawing/2014/chart" uri="{C3380CC4-5D6E-409C-BE32-E72D297353CC}">
                  <c16:uniqueId val="{0000001F-4ABA-44ED-8FED-6882F716E087}"/>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'Re-referrals'!$AA$40:$AA$41</c:f>
              <c:numCache>
                <c:formatCode>General</c:formatCode>
                <c:ptCount val="2"/>
                <c:pt idx="0" formatCode="#,##0.0">
                  <c:v>3</c:v>
                </c:pt>
                <c:pt idx="1">
                  <c:v>22</c:v>
                </c:pt>
              </c:numCache>
            </c:numRef>
          </c:xVal>
          <c:yVal>
            <c:numRef>
              <c:f>'Re-referrals'!$AB$40:$AB$41</c:f>
              <c:numCache>
                <c:formatCode>0.0</c:formatCode>
                <c:ptCount val="2"/>
                <c:pt idx="0">
                  <c:v>51.552202963839001</c:v>
                </c:pt>
                <c:pt idx="1">
                  <c:v>134.77616082570503</c:v>
                </c:pt>
              </c:numCache>
            </c:numRef>
          </c:yVal>
          <c:smooth val="0"/>
          <c:extLst>
            <c:ext xmlns:c16="http://schemas.microsoft.com/office/drawing/2014/chart" uri="{C3380CC4-5D6E-409C-BE32-E72D297353CC}">
              <c16:uniqueId val="{00000020-4ABA-44ED-8FED-6882F716E087}"/>
            </c:ext>
          </c:extLst>
        </c:ser>
        <c:dLbls>
          <c:showLegendKey val="0"/>
          <c:showVal val="0"/>
          <c:showCatName val="0"/>
          <c:showSerName val="0"/>
          <c:showPercent val="0"/>
          <c:showBubbleSize val="0"/>
        </c:dLbls>
        <c:axId val="550521856"/>
        <c:axId val="550704256"/>
      </c:scatterChart>
      <c:valAx>
        <c:axId val="550521856"/>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2067741532308464"/>
              <c:y val="0.91929234900897616"/>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50704256"/>
        <c:crosses val="autoZero"/>
        <c:crossBetween val="midCat"/>
        <c:majorUnit val="5"/>
      </c:valAx>
      <c:valAx>
        <c:axId val="550704256"/>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a:t>Rate of Re-referrals per 10,000 0-17 year olds</a:t>
                </a:r>
              </a:p>
            </c:rich>
          </c:tx>
          <c:layout>
            <c:manualLayout>
              <c:xMode val="edge"/>
              <c:yMode val="edge"/>
              <c:x val="5.1878060696958335E-2"/>
              <c:y val="0.1705560910820355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50521856"/>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Assessments, per 10,000 0-17 year olds</a:t>
            </a:r>
          </a:p>
        </c:rich>
      </c:tx>
      <c:layout>
        <c:manualLayout>
          <c:xMode val="edge"/>
          <c:yMode val="edge"/>
          <c:x val="0.18218833317772035"/>
          <c:y val="2.0819646288138149E-2"/>
        </c:manualLayout>
      </c:layout>
      <c:overlay val="0"/>
      <c:spPr>
        <a:noFill/>
        <a:ln w="25400">
          <a:noFill/>
        </a:ln>
      </c:spPr>
    </c:title>
    <c:autoTitleDeleted val="0"/>
    <c:plotArea>
      <c:layout>
        <c:manualLayout>
          <c:layoutTarget val="inner"/>
          <c:xMode val="edge"/>
          <c:yMode val="edge"/>
          <c:x val="8.9669774541780586E-2"/>
          <c:y val="7.5616524512562011E-2"/>
          <c:w val="0.55513919734392181"/>
          <c:h val="0.86466476534538173"/>
        </c:manualLayout>
      </c:layout>
      <c:lineChart>
        <c:grouping val="standard"/>
        <c:varyColors val="0"/>
        <c:ser>
          <c:idx val="0"/>
          <c:order val="0"/>
          <c:tx>
            <c:strRef>
              <c:f>Assessments!$AK$38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3667-45C5-A8E6-DD784362BF53}"/>
              </c:ext>
            </c:extLst>
          </c:dPt>
          <c:cat>
            <c:strRef>
              <c:f>Assessments!$Y$2:$AC$3</c:f>
              <c:strCache>
                <c:ptCount val="5"/>
                <c:pt idx="0">
                  <c:v>2019/20</c:v>
                </c:pt>
                <c:pt idx="1">
                  <c:v>2020/21</c:v>
                </c:pt>
                <c:pt idx="2">
                  <c:v>2021/22</c:v>
                </c:pt>
                <c:pt idx="3">
                  <c:v>2022/23</c:v>
                </c:pt>
                <c:pt idx="4">
                  <c:v>2023/24</c:v>
                </c:pt>
              </c:strCache>
            </c:strRef>
          </c:cat>
          <c:val>
            <c:numRef>
              <c:f>Assessments!$AL$38:$AP$38</c:f>
              <c:numCache>
                <c:formatCode>0.0</c:formatCode>
                <c:ptCount val="5"/>
                <c:pt idx="0">
                  <c:v>560.84694849439518</c:v>
                </c:pt>
                <c:pt idx="1">
                  <c:v>584.54736536928317</c:v>
                </c:pt>
                <c:pt idx="2">
                  <c:v>526.1833734679941</c:v>
                </c:pt>
                <c:pt idx="3">
                  <c:v>497.70561242499116</c:v>
                </c:pt>
                <c:pt idx="4">
                  <c:v>496.7361329284044</c:v>
                </c:pt>
              </c:numCache>
            </c:numRef>
          </c:val>
          <c:smooth val="0"/>
          <c:extLst>
            <c:ext xmlns:c16="http://schemas.microsoft.com/office/drawing/2014/chart" uri="{C3380CC4-5D6E-409C-BE32-E72D297353CC}">
              <c16:uniqueId val="{00000001-3667-45C5-A8E6-DD784362BF53}"/>
            </c:ext>
          </c:extLst>
        </c:ser>
        <c:ser>
          <c:idx val="1"/>
          <c:order val="1"/>
          <c:tx>
            <c:strRef>
              <c:f>Assessments!$AK$39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Assessments!$Y$2:$AC$3</c:f>
              <c:strCache>
                <c:ptCount val="5"/>
                <c:pt idx="0">
                  <c:v>2019/20</c:v>
                </c:pt>
                <c:pt idx="1">
                  <c:v>2020/21</c:v>
                </c:pt>
                <c:pt idx="2">
                  <c:v>2021/22</c:v>
                </c:pt>
                <c:pt idx="3">
                  <c:v>2022/23</c:v>
                </c:pt>
                <c:pt idx="4">
                  <c:v>2023/24</c:v>
                </c:pt>
              </c:strCache>
            </c:strRef>
          </c:cat>
          <c:val>
            <c:numRef>
              <c:f>Assessments!$AL$39:$AP$39</c:f>
              <c:numCache>
                <c:formatCode>0.0</c:formatCode>
                <c:ptCount val="5"/>
                <c:pt idx="0">
                  <c:v>568.98475269616961</c:v>
                </c:pt>
                <c:pt idx="1">
                  <c:v>447.41889750646317</c:v>
                </c:pt>
                <c:pt idx="2">
                  <c:v>561.48541114058355</c:v>
                </c:pt>
                <c:pt idx="3">
                  <c:v>666.94951209164185</c:v>
                </c:pt>
                <c:pt idx="4">
                  <c:v>614.79449706424373</c:v>
                </c:pt>
              </c:numCache>
            </c:numRef>
          </c:val>
          <c:smooth val="0"/>
          <c:extLst>
            <c:ext xmlns:c16="http://schemas.microsoft.com/office/drawing/2014/chart" uri="{C3380CC4-5D6E-409C-BE32-E72D297353CC}">
              <c16:uniqueId val="{00000002-3667-45C5-A8E6-DD784362BF53}"/>
            </c:ext>
          </c:extLst>
        </c:ser>
        <c:ser>
          <c:idx val="2"/>
          <c:order val="2"/>
          <c:tx>
            <c:strRef>
              <c:f>Assessments!$AK$40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Assessments!$Y$2:$AC$3</c:f>
              <c:strCache>
                <c:ptCount val="5"/>
                <c:pt idx="0">
                  <c:v>2019/20</c:v>
                </c:pt>
                <c:pt idx="1">
                  <c:v>2020/21</c:v>
                </c:pt>
                <c:pt idx="2">
                  <c:v>2021/22</c:v>
                </c:pt>
                <c:pt idx="3">
                  <c:v>2022/23</c:v>
                </c:pt>
                <c:pt idx="4">
                  <c:v>2023/24</c:v>
                </c:pt>
              </c:strCache>
            </c:strRef>
          </c:cat>
          <c:val>
            <c:numRef>
              <c:f>Assessments!$AL$40:$AP$40</c:f>
              <c:numCache>
                <c:formatCode>0.0</c:formatCode>
                <c:ptCount val="5"/>
                <c:pt idx="0">
                  <c:v>664.99095278253105</c:v>
                </c:pt>
                <c:pt idx="1">
                  <c:v>675.70104902240917</c:v>
                </c:pt>
                <c:pt idx="2">
                  <c:v>825.92502631365869</c:v>
                </c:pt>
                <c:pt idx="3">
                  <c:v>704.99940436008421</c:v>
                </c:pt>
                <c:pt idx="4">
                  <c:v>673.1130892678035</c:v>
                </c:pt>
              </c:numCache>
            </c:numRef>
          </c:val>
          <c:smooth val="0"/>
          <c:extLst>
            <c:ext xmlns:c16="http://schemas.microsoft.com/office/drawing/2014/chart" uri="{C3380CC4-5D6E-409C-BE32-E72D297353CC}">
              <c16:uniqueId val="{00000003-3667-45C5-A8E6-DD784362BF53}"/>
            </c:ext>
          </c:extLst>
        </c:ser>
        <c:ser>
          <c:idx val="5"/>
          <c:order val="3"/>
          <c:tx>
            <c:strRef>
              <c:f>Assessments!$AK$41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Assessments!$Y$2:$AC$3</c:f>
              <c:strCache>
                <c:ptCount val="5"/>
                <c:pt idx="0">
                  <c:v>2019/20</c:v>
                </c:pt>
                <c:pt idx="1">
                  <c:v>2020/21</c:v>
                </c:pt>
                <c:pt idx="2">
                  <c:v>2021/22</c:v>
                </c:pt>
                <c:pt idx="3">
                  <c:v>2022/23</c:v>
                </c:pt>
                <c:pt idx="4">
                  <c:v>2023/24</c:v>
                </c:pt>
              </c:strCache>
            </c:strRef>
          </c:cat>
          <c:val>
            <c:numRef>
              <c:f>Assessments!$AL$41:$AP$41</c:f>
              <c:numCache>
                <c:formatCode>0.0</c:formatCode>
                <c:ptCount val="5"/>
                <c:pt idx="0">
                  <c:v>337.15179603773765</c:v>
                </c:pt>
                <c:pt idx="1">
                  <c:v>310.87981722141399</c:v>
                </c:pt>
                <c:pt idx="2">
                  <c:v>317.38247727027533</c:v>
                </c:pt>
                <c:pt idx="3">
                  <c:v>361.00170192073915</c:v>
                </c:pt>
                <c:pt idx="4">
                  <c:v>407.60187633920816</c:v>
                </c:pt>
              </c:numCache>
            </c:numRef>
          </c:val>
          <c:smooth val="0"/>
          <c:extLst>
            <c:ext xmlns:c16="http://schemas.microsoft.com/office/drawing/2014/chart" uri="{C3380CC4-5D6E-409C-BE32-E72D297353CC}">
              <c16:uniqueId val="{00000004-3667-45C5-A8E6-DD784362BF53}"/>
            </c:ext>
          </c:extLst>
        </c:ser>
        <c:ser>
          <c:idx val="9"/>
          <c:order val="4"/>
          <c:tx>
            <c:strRef>
              <c:f>Assessments!$AK$42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Assessments!$Y$2:$AC$3</c:f>
              <c:strCache>
                <c:ptCount val="5"/>
                <c:pt idx="0">
                  <c:v>2019/20</c:v>
                </c:pt>
                <c:pt idx="1">
                  <c:v>2020/21</c:v>
                </c:pt>
                <c:pt idx="2">
                  <c:v>2021/22</c:v>
                </c:pt>
                <c:pt idx="3">
                  <c:v>2022/23</c:v>
                </c:pt>
                <c:pt idx="4">
                  <c:v>2023/24</c:v>
                </c:pt>
              </c:strCache>
            </c:strRef>
          </c:cat>
          <c:val>
            <c:numRef>
              <c:f>Assessments!$AL$42:$AP$42</c:f>
              <c:numCache>
                <c:formatCode>0.0</c:formatCode>
                <c:ptCount val="5"/>
                <c:pt idx="0">
                  <c:v>705.66334932340521</c:v>
                </c:pt>
                <c:pt idx="1">
                  <c:v>787.47370078289373</c:v>
                </c:pt>
                <c:pt idx="2">
                  <c:v>984.62600870682638</c:v>
                </c:pt>
                <c:pt idx="3">
                  <c:v>1004.7727056267131</c:v>
                </c:pt>
                <c:pt idx="4">
                  <c:v>#N/A</c:v>
                </c:pt>
              </c:numCache>
            </c:numRef>
          </c:val>
          <c:smooth val="0"/>
          <c:extLst>
            <c:ext xmlns:c16="http://schemas.microsoft.com/office/drawing/2014/chart" uri="{C3380CC4-5D6E-409C-BE32-E72D297353CC}">
              <c16:uniqueId val="{00000005-3667-45C5-A8E6-DD784362BF53}"/>
            </c:ext>
          </c:extLst>
        </c:ser>
        <c:ser>
          <c:idx val="10"/>
          <c:order val="5"/>
          <c:tx>
            <c:strRef>
              <c:f>Assessments!$AK$43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Assessments!$Y$2:$AC$3</c:f>
              <c:strCache>
                <c:ptCount val="5"/>
                <c:pt idx="0">
                  <c:v>2019/20</c:v>
                </c:pt>
                <c:pt idx="1">
                  <c:v>2020/21</c:v>
                </c:pt>
                <c:pt idx="2">
                  <c:v>2021/22</c:v>
                </c:pt>
                <c:pt idx="3">
                  <c:v>2022/23</c:v>
                </c:pt>
                <c:pt idx="4">
                  <c:v>2023/24</c:v>
                </c:pt>
              </c:strCache>
            </c:strRef>
          </c:cat>
          <c:val>
            <c:numRef>
              <c:f>Assessments!$AL$43:$AP$43</c:f>
              <c:numCache>
                <c:formatCode>0.0</c:formatCode>
                <c:ptCount val="5"/>
                <c:pt idx="0">
                  <c:v>1295.8314472655447</c:v>
                </c:pt>
                <c:pt idx="1">
                  <c:v>1449.4391428093086</c:v>
                </c:pt>
                <c:pt idx="2">
                  <c:v>1768.0656625486547</c:v>
                </c:pt>
                <c:pt idx="3">
                  <c:v>1681.3971275601259</c:v>
                </c:pt>
                <c:pt idx="4">
                  <c:v>1693.4038740506869</c:v>
                </c:pt>
              </c:numCache>
            </c:numRef>
          </c:val>
          <c:smooth val="0"/>
          <c:extLst>
            <c:ext xmlns:c16="http://schemas.microsoft.com/office/drawing/2014/chart" uri="{C3380CC4-5D6E-409C-BE32-E72D297353CC}">
              <c16:uniqueId val="{00000006-3667-45C5-A8E6-DD784362BF53}"/>
            </c:ext>
          </c:extLst>
        </c:ser>
        <c:ser>
          <c:idx val="11"/>
          <c:order val="6"/>
          <c:tx>
            <c:strRef>
              <c:f>Assessments!$AK$44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Assessments!$Y$2:$AC$3</c:f>
              <c:strCache>
                <c:ptCount val="5"/>
                <c:pt idx="0">
                  <c:v>2019/20</c:v>
                </c:pt>
                <c:pt idx="1">
                  <c:v>2020/21</c:v>
                </c:pt>
                <c:pt idx="2">
                  <c:v>2021/22</c:v>
                </c:pt>
                <c:pt idx="3">
                  <c:v>2022/23</c:v>
                </c:pt>
                <c:pt idx="4">
                  <c:v>2023/24</c:v>
                </c:pt>
              </c:strCache>
            </c:strRef>
          </c:cat>
          <c:val>
            <c:numRef>
              <c:f>Assessments!$AL$44:$AP$44</c:f>
              <c:numCache>
                <c:formatCode>0.0</c:formatCode>
                <c:ptCount val="5"/>
                <c:pt idx="0">
                  <c:v>620.56200370189265</c:v>
                </c:pt>
                <c:pt idx="1">
                  <c:v>548.7046384230797</c:v>
                </c:pt>
                <c:pt idx="2">
                  <c:v>559.25329747003047</c:v>
                </c:pt>
                <c:pt idx="3">
                  <c:v>604.71098822252952</c:v>
                </c:pt>
                <c:pt idx="4">
                  <c:v>622.39472686976796</c:v>
                </c:pt>
              </c:numCache>
            </c:numRef>
          </c:val>
          <c:smooth val="0"/>
          <c:extLst>
            <c:ext xmlns:c16="http://schemas.microsoft.com/office/drawing/2014/chart" uri="{C3380CC4-5D6E-409C-BE32-E72D297353CC}">
              <c16:uniqueId val="{00000007-3667-45C5-A8E6-DD784362BF53}"/>
            </c:ext>
          </c:extLst>
        </c:ser>
        <c:ser>
          <c:idx val="12"/>
          <c:order val="7"/>
          <c:tx>
            <c:strRef>
              <c:f>Assessments!$AK$45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Assessments!$Y$2:$AC$3</c:f>
              <c:strCache>
                <c:ptCount val="5"/>
                <c:pt idx="0">
                  <c:v>2019/20</c:v>
                </c:pt>
                <c:pt idx="1">
                  <c:v>2020/21</c:v>
                </c:pt>
                <c:pt idx="2">
                  <c:v>2021/22</c:v>
                </c:pt>
                <c:pt idx="3">
                  <c:v>2022/23</c:v>
                </c:pt>
                <c:pt idx="4">
                  <c:v>2023/24</c:v>
                </c:pt>
              </c:strCache>
            </c:strRef>
          </c:cat>
          <c:val>
            <c:numRef>
              <c:f>Assessments!$AL$45:$AP$45</c:f>
              <c:numCache>
                <c:formatCode>0.0</c:formatCode>
                <c:ptCount val="5"/>
                <c:pt idx="0">
                  <c:v>748.99484859907022</c:v>
                </c:pt>
                <c:pt idx="1">
                  <c:v>517.1520527513934</c:v>
                </c:pt>
                <c:pt idx="2">
                  <c:v>563.32952034724292</c:v>
                </c:pt>
                <c:pt idx="3">
                  <c:v>622.12300823647138</c:v>
                </c:pt>
                <c:pt idx="4">
                  <c:v>806.30407725643681</c:v>
                </c:pt>
              </c:numCache>
            </c:numRef>
          </c:val>
          <c:smooth val="0"/>
          <c:extLst>
            <c:ext xmlns:c16="http://schemas.microsoft.com/office/drawing/2014/chart" uri="{C3380CC4-5D6E-409C-BE32-E72D297353CC}">
              <c16:uniqueId val="{00000008-3667-45C5-A8E6-DD784362BF53}"/>
            </c:ext>
          </c:extLst>
        </c:ser>
        <c:ser>
          <c:idx val="13"/>
          <c:order val="8"/>
          <c:tx>
            <c:strRef>
              <c:f>Assessments!$AK$46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Assessments!$Y$2:$AC$3</c:f>
              <c:strCache>
                <c:ptCount val="5"/>
                <c:pt idx="0">
                  <c:v>2019/20</c:v>
                </c:pt>
                <c:pt idx="1">
                  <c:v>2020/21</c:v>
                </c:pt>
                <c:pt idx="2">
                  <c:v>2021/22</c:v>
                </c:pt>
                <c:pt idx="3">
                  <c:v>2022/23</c:v>
                </c:pt>
                <c:pt idx="4">
                  <c:v>2023/24</c:v>
                </c:pt>
              </c:strCache>
            </c:strRef>
          </c:cat>
          <c:val>
            <c:numRef>
              <c:f>Assessments!$AL$46:$AP$46</c:f>
              <c:numCache>
                <c:formatCode>0.0</c:formatCode>
                <c:ptCount val="5"/>
                <c:pt idx="0">
                  <c:v>442.08178223271574</c:v>
                </c:pt>
                <c:pt idx="1">
                  <c:v>507.61128345718197</c:v>
                </c:pt>
                <c:pt idx="2">
                  <c:v>512.38601278092915</c:v>
                </c:pt>
                <c:pt idx="3">
                  <c:v>571.09836365942692</c:v>
                </c:pt>
                <c:pt idx="4">
                  <c:v>495.48745140596458</c:v>
                </c:pt>
              </c:numCache>
            </c:numRef>
          </c:val>
          <c:smooth val="0"/>
          <c:extLst>
            <c:ext xmlns:c16="http://schemas.microsoft.com/office/drawing/2014/chart" uri="{C3380CC4-5D6E-409C-BE32-E72D297353CC}">
              <c16:uniqueId val="{00000009-3667-45C5-A8E6-DD784362BF53}"/>
            </c:ext>
          </c:extLst>
        </c:ser>
        <c:ser>
          <c:idx val="15"/>
          <c:order val="9"/>
          <c:tx>
            <c:strRef>
              <c:f>Assessments!$AK$47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Assessments!$Y$2:$AC$3</c:f>
              <c:strCache>
                <c:ptCount val="5"/>
                <c:pt idx="0">
                  <c:v>2019/20</c:v>
                </c:pt>
                <c:pt idx="1">
                  <c:v>2020/21</c:v>
                </c:pt>
                <c:pt idx="2">
                  <c:v>2021/22</c:v>
                </c:pt>
                <c:pt idx="3">
                  <c:v>2022/23</c:v>
                </c:pt>
                <c:pt idx="4">
                  <c:v>2023/24</c:v>
                </c:pt>
              </c:strCache>
            </c:strRef>
          </c:cat>
          <c:val>
            <c:numRef>
              <c:f>Assessments!$AL$47:$AP$47</c:f>
              <c:numCache>
                <c:formatCode>0.0</c:formatCode>
                <c:ptCount val="5"/>
                <c:pt idx="0">
                  <c:v>486.12120834458455</c:v>
                </c:pt>
                <c:pt idx="1">
                  <c:v>408.83080037736107</c:v>
                </c:pt>
                <c:pt idx="2">
                  <c:v>405.8274054789091</c:v>
                </c:pt>
                <c:pt idx="3">
                  <c:v>383.313940269363</c:v>
                </c:pt>
                <c:pt idx="4">
                  <c:v>351.85731615356872</c:v>
                </c:pt>
              </c:numCache>
            </c:numRef>
          </c:val>
          <c:smooth val="0"/>
          <c:extLst>
            <c:ext xmlns:c16="http://schemas.microsoft.com/office/drawing/2014/chart" uri="{C3380CC4-5D6E-409C-BE32-E72D297353CC}">
              <c16:uniqueId val="{0000000A-3667-45C5-A8E6-DD784362BF53}"/>
            </c:ext>
          </c:extLst>
        </c:ser>
        <c:ser>
          <c:idx val="16"/>
          <c:order val="10"/>
          <c:tx>
            <c:strRef>
              <c:f>Assessments!$AK$48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Assessments!$Y$2:$AC$3</c:f>
              <c:strCache>
                <c:ptCount val="5"/>
                <c:pt idx="0">
                  <c:v>2019/20</c:v>
                </c:pt>
                <c:pt idx="1">
                  <c:v>2020/21</c:v>
                </c:pt>
                <c:pt idx="2">
                  <c:v>2021/22</c:v>
                </c:pt>
                <c:pt idx="3">
                  <c:v>2022/23</c:v>
                </c:pt>
                <c:pt idx="4">
                  <c:v>2023/24</c:v>
                </c:pt>
              </c:strCache>
            </c:strRef>
          </c:cat>
          <c:val>
            <c:numRef>
              <c:f>Assessments!$AL$48:$AP$48</c:f>
              <c:numCache>
                <c:formatCode>0.0</c:formatCode>
                <c:ptCount val="5"/>
                <c:pt idx="0">
                  <c:v>616.18252325553726</c:v>
                </c:pt>
                <c:pt idx="1">
                  <c:v>626.77654365221542</c:v>
                </c:pt>
                <c:pt idx="2">
                  <c:v>839.14396699399231</c:v>
                </c:pt>
                <c:pt idx="3">
                  <c:v>675.88545771536394</c:v>
                </c:pt>
                <c:pt idx="4">
                  <c:v>659.93807171390085</c:v>
                </c:pt>
              </c:numCache>
            </c:numRef>
          </c:val>
          <c:smooth val="0"/>
          <c:extLst>
            <c:ext xmlns:c16="http://schemas.microsoft.com/office/drawing/2014/chart" uri="{C3380CC4-5D6E-409C-BE32-E72D297353CC}">
              <c16:uniqueId val="{0000000B-3667-45C5-A8E6-DD784362BF53}"/>
            </c:ext>
          </c:extLst>
        </c:ser>
        <c:ser>
          <c:idx val="17"/>
          <c:order val="11"/>
          <c:tx>
            <c:strRef>
              <c:f>Assessments!$AK$49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Assessments!$Y$2:$AC$3</c:f>
              <c:strCache>
                <c:ptCount val="5"/>
                <c:pt idx="0">
                  <c:v>2019/20</c:v>
                </c:pt>
                <c:pt idx="1">
                  <c:v>2020/21</c:v>
                </c:pt>
                <c:pt idx="2">
                  <c:v>2021/22</c:v>
                </c:pt>
                <c:pt idx="3">
                  <c:v>2022/23</c:v>
                </c:pt>
                <c:pt idx="4">
                  <c:v>2023/24</c:v>
                </c:pt>
              </c:strCache>
            </c:strRef>
          </c:cat>
          <c:val>
            <c:numRef>
              <c:f>Assessments!$AL$49:$AP$49</c:f>
              <c:numCache>
                <c:formatCode>0.0</c:formatCode>
                <c:ptCount val="5"/>
                <c:pt idx="0">
                  <c:v>726.16797191466378</c:v>
                </c:pt>
                <c:pt idx="1">
                  <c:v>591.27424197343862</c:v>
                </c:pt>
                <c:pt idx="2">
                  <c:v>624.20873011504375</c:v>
                </c:pt>
                <c:pt idx="3">
                  <c:v>719.26999463231346</c:v>
                </c:pt>
                <c:pt idx="4">
                  <c:v>729.52094703261366</c:v>
                </c:pt>
              </c:numCache>
            </c:numRef>
          </c:val>
          <c:smooth val="0"/>
          <c:extLst>
            <c:ext xmlns:c16="http://schemas.microsoft.com/office/drawing/2014/chart" uri="{C3380CC4-5D6E-409C-BE32-E72D297353CC}">
              <c16:uniqueId val="{0000000C-3667-45C5-A8E6-DD784362BF53}"/>
            </c:ext>
          </c:extLst>
        </c:ser>
        <c:ser>
          <c:idx val="19"/>
          <c:order val="12"/>
          <c:tx>
            <c:strRef>
              <c:f>Assessments!$AK$50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Assessments!$Y$2:$AC$3</c:f>
              <c:strCache>
                <c:ptCount val="5"/>
                <c:pt idx="0">
                  <c:v>2019/20</c:v>
                </c:pt>
                <c:pt idx="1">
                  <c:v>2020/21</c:v>
                </c:pt>
                <c:pt idx="2">
                  <c:v>2021/22</c:v>
                </c:pt>
                <c:pt idx="3">
                  <c:v>2022/23</c:v>
                </c:pt>
                <c:pt idx="4">
                  <c:v>2023/24</c:v>
                </c:pt>
              </c:strCache>
            </c:strRef>
          </c:cat>
          <c:val>
            <c:numRef>
              <c:f>Assessments!$AL$50:$AP$50</c:f>
              <c:numCache>
                <c:formatCode>0.0</c:formatCode>
                <c:ptCount val="5"/>
                <c:pt idx="0">
                  <c:v>571.31028772510865</c:v>
                </c:pt>
                <c:pt idx="1">
                  <c:v>859.90888382687922</c:v>
                </c:pt>
                <c:pt idx="2">
                  <c:v>802.98145734732611</c:v>
                </c:pt>
                <c:pt idx="3">
                  <c:v>839.77401129943507</c:v>
                </c:pt>
                <c:pt idx="4">
                  <c:v>797.34219269102982</c:v>
                </c:pt>
              </c:numCache>
            </c:numRef>
          </c:val>
          <c:smooth val="0"/>
          <c:extLst>
            <c:ext xmlns:c16="http://schemas.microsoft.com/office/drawing/2014/chart" uri="{C3380CC4-5D6E-409C-BE32-E72D297353CC}">
              <c16:uniqueId val="{0000000D-3667-45C5-A8E6-DD784362BF53}"/>
            </c:ext>
          </c:extLst>
        </c:ser>
        <c:ser>
          <c:idx val="20"/>
          <c:order val="13"/>
          <c:tx>
            <c:strRef>
              <c:f>Assessments!$AK$51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Assessments!$Y$2:$AC$3</c:f>
              <c:strCache>
                <c:ptCount val="5"/>
                <c:pt idx="0">
                  <c:v>2019/20</c:v>
                </c:pt>
                <c:pt idx="1">
                  <c:v>2020/21</c:v>
                </c:pt>
                <c:pt idx="2">
                  <c:v>2021/22</c:v>
                </c:pt>
                <c:pt idx="3">
                  <c:v>2022/23</c:v>
                </c:pt>
                <c:pt idx="4">
                  <c:v>2023/24</c:v>
                </c:pt>
              </c:strCache>
            </c:strRef>
          </c:cat>
          <c:val>
            <c:numRef>
              <c:f>Assessments!$AL$51:$AP$51</c:f>
              <c:numCache>
                <c:formatCode>0.0</c:formatCode>
                <c:ptCount val="5"/>
                <c:pt idx="0">
                  <c:v>928.04710817133184</c:v>
                </c:pt>
                <c:pt idx="1">
                  <c:v>699.88137603795963</c:v>
                </c:pt>
                <c:pt idx="2">
                  <c:v>723.86004697497367</c:v>
                </c:pt>
                <c:pt idx="3">
                  <c:v>769.78604800384983</c:v>
                </c:pt>
                <c:pt idx="4">
                  <c:v>633.07724376153897</c:v>
                </c:pt>
              </c:numCache>
            </c:numRef>
          </c:val>
          <c:smooth val="0"/>
          <c:extLst>
            <c:ext xmlns:c16="http://schemas.microsoft.com/office/drawing/2014/chart" uri="{C3380CC4-5D6E-409C-BE32-E72D297353CC}">
              <c16:uniqueId val="{0000000F-3667-45C5-A8E6-DD784362BF53}"/>
            </c:ext>
          </c:extLst>
        </c:ser>
        <c:ser>
          <c:idx val="22"/>
          <c:order val="14"/>
          <c:tx>
            <c:strRef>
              <c:f>Assessments!$AK$52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Assessments!$Y$2:$AC$3</c:f>
              <c:strCache>
                <c:ptCount val="5"/>
                <c:pt idx="0">
                  <c:v>2019/20</c:v>
                </c:pt>
                <c:pt idx="1">
                  <c:v>2020/21</c:v>
                </c:pt>
                <c:pt idx="2">
                  <c:v>2021/22</c:v>
                </c:pt>
                <c:pt idx="3">
                  <c:v>2022/23</c:v>
                </c:pt>
                <c:pt idx="4">
                  <c:v>2023/24</c:v>
                </c:pt>
              </c:strCache>
            </c:strRef>
          </c:cat>
          <c:val>
            <c:numRef>
              <c:f>Assessments!$AL$52:$AP$52</c:f>
              <c:numCache>
                <c:formatCode>0.0</c:formatCode>
                <c:ptCount val="5"/>
                <c:pt idx="0">
                  <c:v>338.08056734290534</c:v>
                </c:pt>
                <c:pt idx="1">
                  <c:v>428.55650841911034</c:v>
                </c:pt>
                <c:pt idx="2">
                  <c:v>361.44253298803795</c:v>
                </c:pt>
                <c:pt idx="3">
                  <c:v>284.25174740261218</c:v>
                </c:pt>
                <c:pt idx="4">
                  <c:v>286.48107440754012</c:v>
                </c:pt>
              </c:numCache>
            </c:numRef>
          </c:val>
          <c:smooth val="0"/>
          <c:extLst>
            <c:ext xmlns:c16="http://schemas.microsoft.com/office/drawing/2014/chart" uri="{C3380CC4-5D6E-409C-BE32-E72D297353CC}">
              <c16:uniqueId val="{00000010-3667-45C5-A8E6-DD784362BF53}"/>
            </c:ext>
          </c:extLst>
        </c:ser>
        <c:ser>
          <c:idx val="23"/>
          <c:order val="15"/>
          <c:tx>
            <c:strRef>
              <c:f>Assessments!$AK$53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Assessments!$Y$2:$AC$3</c:f>
              <c:strCache>
                <c:ptCount val="5"/>
                <c:pt idx="0">
                  <c:v>2019/20</c:v>
                </c:pt>
                <c:pt idx="1">
                  <c:v>2020/21</c:v>
                </c:pt>
                <c:pt idx="2">
                  <c:v>2021/22</c:v>
                </c:pt>
                <c:pt idx="3">
                  <c:v>2022/23</c:v>
                </c:pt>
                <c:pt idx="4">
                  <c:v>2023/24</c:v>
                </c:pt>
              </c:strCache>
            </c:strRef>
          </c:cat>
          <c:val>
            <c:numRef>
              <c:f>Assessments!$AL$53:$AP$53</c:f>
              <c:numCache>
                <c:formatCode>0.0</c:formatCode>
                <c:ptCount val="5"/>
                <c:pt idx="0">
                  <c:v>535.63788825190386</c:v>
                </c:pt>
                <c:pt idx="1">
                  <c:v>524.35102228348273</c:v>
                </c:pt>
                <c:pt idx="2">
                  <c:v>681.02326925856346</c:v>
                </c:pt>
                <c:pt idx="3">
                  <c:v>816.05178735105403</c:v>
                </c:pt>
                <c:pt idx="4">
                  <c:v>681.10403397027608</c:v>
                </c:pt>
              </c:numCache>
            </c:numRef>
          </c:val>
          <c:smooth val="0"/>
          <c:extLst>
            <c:ext xmlns:c16="http://schemas.microsoft.com/office/drawing/2014/chart" uri="{C3380CC4-5D6E-409C-BE32-E72D297353CC}">
              <c16:uniqueId val="{00000013-3667-45C5-A8E6-DD784362BF53}"/>
            </c:ext>
          </c:extLst>
        </c:ser>
        <c:ser>
          <c:idx val="24"/>
          <c:order val="16"/>
          <c:tx>
            <c:strRef>
              <c:f>Assessments!$AK$54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Assessments!$Y$2:$AC$3</c:f>
              <c:strCache>
                <c:ptCount val="5"/>
                <c:pt idx="0">
                  <c:v>2019/20</c:v>
                </c:pt>
                <c:pt idx="1">
                  <c:v>2020/21</c:v>
                </c:pt>
                <c:pt idx="2">
                  <c:v>2021/22</c:v>
                </c:pt>
                <c:pt idx="3">
                  <c:v>2022/23</c:v>
                </c:pt>
                <c:pt idx="4">
                  <c:v>2023/24</c:v>
                </c:pt>
              </c:strCache>
            </c:strRef>
          </c:cat>
          <c:val>
            <c:numRef>
              <c:f>Assessments!$AL$54:$AP$54</c:f>
              <c:numCache>
                <c:formatCode>0.0</c:formatCode>
                <c:ptCount val="5"/>
                <c:pt idx="0">
                  <c:v>602.58944056790222</c:v>
                </c:pt>
                <c:pt idx="1">
                  <c:v>588.82057593760965</c:v>
                </c:pt>
                <c:pt idx="2">
                  <c:v>569.85483372799342</c:v>
                </c:pt>
                <c:pt idx="3">
                  <c:v>567.24311949884134</c:v>
                </c:pt>
                <c:pt idx="4">
                  <c:v>478.3026456918127</c:v>
                </c:pt>
              </c:numCache>
            </c:numRef>
          </c:val>
          <c:smooth val="0"/>
          <c:extLst>
            <c:ext xmlns:c16="http://schemas.microsoft.com/office/drawing/2014/chart" uri="{C3380CC4-5D6E-409C-BE32-E72D297353CC}">
              <c16:uniqueId val="{00000014-3667-45C5-A8E6-DD784362BF53}"/>
            </c:ext>
          </c:extLst>
        </c:ser>
        <c:ser>
          <c:idx val="25"/>
          <c:order val="17"/>
          <c:tx>
            <c:strRef>
              <c:f>Assessments!$AK$55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Assessments!$Y$2:$AC$3</c:f>
              <c:strCache>
                <c:ptCount val="5"/>
                <c:pt idx="0">
                  <c:v>2019/20</c:v>
                </c:pt>
                <c:pt idx="1">
                  <c:v>2020/21</c:v>
                </c:pt>
                <c:pt idx="2">
                  <c:v>2021/22</c:v>
                </c:pt>
                <c:pt idx="3">
                  <c:v>2022/23</c:v>
                </c:pt>
                <c:pt idx="4">
                  <c:v>2023/24</c:v>
                </c:pt>
              </c:strCache>
            </c:strRef>
          </c:cat>
          <c:val>
            <c:numRef>
              <c:f>Assessments!$AL$55:$AP$55</c:f>
              <c:numCache>
                <c:formatCode>0.0</c:formatCode>
                <c:ptCount val="5"/>
                <c:pt idx="0">
                  <c:v>353.32905409348194</c:v>
                </c:pt>
                <c:pt idx="1">
                  <c:v>413.69597746677226</c:v>
                </c:pt>
                <c:pt idx="2">
                  <c:v>485.00413271932933</c:v>
                </c:pt>
                <c:pt idx="3">
                  <c:v>447.04364904874978</c:v>
                </c:pt>
                <c:pt idx="4">
                  <c:v>444.85283393133221</c:v>
                </c:pt>
              </c:numCache>
            </c:numRef>
          </c:val>
          <c:smooth val="0"/>
          <c:extLst>
            <c:ext xmlns:c16="http://schemas.microsoft.com/office/drawing/2014/chart" uri="{C3380CC4-5D6E-409C-BE32-E72D297353CC}">
              <c16:uniqueId val="{00000015-3667-45C5-A8E6-DD784362BF53}"/>
            </c:ext>
          </c:extLst>
        </c:ser>
        <c:ser>
          <c:idx val="26"/>
          <c:order val="18"/>
          <c:tx>
            <c:strRef>
              <c:f>Assessments!$AK$56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Assessments!$Y$2:$AC$3</c:f>
              <c:strCache>
                <c:ptCount val="5"/>
                <c:pt idx="0">
                  <c:v>2019/20</c:v>
                </c:pt>
                <c:pt idx="1">
                  <c:v>2020/21</c:v>
                </c:pt>
                <c:pt idx="2">
                  <c:v>2021/22</c:v>
                </c:pt>
                <c:pt idx="3">
                  <c:v>2022/23</c:v>
                </c:pt>
                <c:pt idx="4">
                  <c:v>2023/24</c:v>
                </c:pt>
              </c:strCache>
            </c:strRef>
          </c:cat>
          <c:val>
            <c:numRef>
              <c:f>Assessments!$AL$56:$AP$56</c:f>
              <c:numCache>
                <c:formatCode>0.0</c:formatCode>
                <c:ptCount val="5"/>
                <c:pt idx="0">
                  <c:v>398.01870662777833</c:v>
                </c:pt>
                <c:pt idx="1">
                  <c:v>348.3545804921435</c:v>
                </c:pt>
                <c:pt idx="2">
                  <c:v>357.41204502905492</c:v>
                </c:pt>
                <c:pt idx="3">
                  <c:v>351.12888052681092</c:v>
                </c:pt>
                <c:pt idx="4">
                  <c:v>363.85464284065199</c:v>
                </c:pt>
              </c:numCache>
            </c:numRef>
          </c:val>
          <c:smooth val="0"/>
          <c:extLst>
            <c:ext xmlns:c16="http://schemas.microsoft.com/office/drawing/2014/chart" uri="{C3380CC4-5D6E-409C-BE32-E72D297353CC}">
              <c16:uniqueId val="{00000016-3667-45C5-A8E6-DD784362BF53}"/>
            </c:ext>
          </c:extLst>
        </c:ser>
        <c:ser>
          <c:idx val="4"/>
          <c:order val="19"/>
          <c:tx>
            <c:strRef>
              <c:f>Assessments!$AK$57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Assessments!$Y$2:$AC$3</c:f>
              <c:strCache>
                <c:ptCount val="5"/>
                <c:pt idx="0">
                  <c:v>2019/20</c:v>
                </c:pt>
                <c:pt idx="1">
                  <c:v>2020/21</c:v>
                </c:pt>
                <c:pt idx="2">
                  <c:v>2021/22</c:v>
                </c:pt>
                <c:pt idx="3">
                  <c:v>2022/23</c:v>
                </c:pt>
                <c:pt idx="4">
                  <c:v>2023/24</c:v>
                </c:pt>
              </c:strCache>
            </c:strRef>
          </c:cat>
          <c:val>
            <c:numRef>
              <c:f>Assessments!$AL$57:$AP$57</c:f>
              <c:numCache>
                <c:formatCode>0.0</c:formatCode>
                <c:ptCount val="5"/>
                <c:pt idx="0">
                  <c:v>573.1402962992936</c:v>
                </c:pt>
                <c:pt idx="1">
                  <c:v>568.79492793144152</c:v>
                </c:pt>
                <c:pt idx="2">
                  <c:v>614.40432795232311</c:v>
                </c:pt>
                <c:pt idx="3">
                  <c:v>613.82659284260785</c:v>
                </c:pt>
                <c:pt idx="4">
                  <c:v>702.08623936802258</c:v>
                </c:pt>
              </c:numCache>
            </c:numRef>
          </c:val>
          <c:smooth val="0"/>
          <c:extLst>
            <c:ext xmlns:c16="http://schemas.microsoft.com/office/drawing/2014/chart" uri="{C3380CC4-5D6E-409C-BE32-E72D297353CC}">
              <c16:uniqueId val="{00000017-3667-45C5-A8E6-DD784362BF53}"/>
            </c:ext>
          </c:extLst>
        </c:ser>
        <c:ser>
          <c:idx val="14"/>
          <c:order val="20"/>
          <c:tx>
            <c:strRef>
              <c:f>Assessments!$AK$58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Assessments!$Y$2:$AC$3</c:f>
              <c:strCache>
                <c:ptCount val="5"/>
                <c:pt idx="0">
                  <c:v>2019/20</c:v>
                </c:pt>
                <c:pt idx="1">
                  <c:v>2020/21</c:v>
                </c:pt>
                <c:pt idx="2">
                  <c:v>2021/22</c:v>
                </c:pt>
                <c:pt idx="3">
                  <c:v>2022/23</c:v>
                </c:pt>
                <c:pt idx="4">
                  <c:v>2023/24</c:v>
                </c:pt>
              </c:strCache>
            </c:strRef>
          </c:cat>
          <c:val>
            <c:numRef>
              <c:f>Assessments!$AL$58:$AP$58</c:f>
              <c:numCache>
                <c:formatCode>0.0</c:formatCode>
                <c:ptCount val="5"/>
                <c:pt idx="0">
                  <c:v>564.5735563876384</c:v>
                </c:pt>
                <c:pt idx="1">
                  <c:v>531.02387096347297</c:v>
                </c:pt>
                <c:pt idx="2">
                  <c:v>548.39470408517377</c:v>
                </c:pt>
                <c:pt idx="3">
                  <c:v>551.5325907266232</c:v>
                </c:pt>
                <c:pt idx="4">
                  <c:v>536.03548267029464</c:v>
                </c:pt>
              </c:numCache>
            </c:numRef>
          </c:val>
          <c:smooth val="0"/>
          <c:extLst>
            <c:ext xmlns:c16="http://schemas.microsoft.com/office/drawing/2014/chart" uri="{C3380CC4-5D6E-409C-BE32-E72D297353CC}">
              <c16:uniqueId val="{00000018-3667-45C5-A8E6-DD784362BF53}"/>
            </c:ext>
          </c:extLst>
        </c:ser>
        <c:ser>
          <c:idx val="6"/>
          <c:order val="21"/>
          <c:tx>
            <c:strRef>
              <c:f>Assessments!$AK$59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Assessments!$Y$2:$AC$3</c:f>
              <c:strCache>
                <c:ptCount val="5"/>
                <c:pt idx="0">
                  <c:v>2019/20</c:v>
                </c:pt>
                <c:pt idx="1">
                  <c:v>2020/21</c:v>
                </c:pt>
                <c:pt idx="2">
                  <c:v>2021/22</c:v>
                </c:pt>
                <c:pt idx="3">
                  <c:v>2022/23</c:v>
                </c:pt>
                <c:pt idx="4">
                  <c:v>2023/24</c:v>
                </c:pt>
              </c:strCache>
            </c:strRef>
          </c:cat>
          <c:val>
            <c:numRef>
              <c:f>Assessments!$AL$59:$AP$59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3667-45C5-A8E6-DD784362BF53}"/>
            </c:ext>
          </c:extLst>
        </c:ser>
        <c:dLbls>
          <c:showLegendKey val="0"/>
          <c:showVal val="0"/>
          <c:showCatName val="0"/>
          <c:showSerName val="0"/>
          <c:showPercent val="0"/>
          <c:showBubbleSize val="0"/>
        </c:dLbls>
        <c:marker val="1"/>
        <c:smooth val="0"/>
        <c:axId val="550959744"/>
        <c:axId val="550958976"/>
      </c:lineChart>
      <c:catAx>
        <c:axId val="550959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50958976"/>
        <c:crosses val="autoZero"/>
        <c:auto val="1"/>
        <c:lblAlgn val="ctr"/>
        <c:lblOffset val="100"/>
        <c:tickLblSkip val="1"/>
        <c:tickMarkSkip val="1"/>
        <c:noMultiLvlLbl val="0"/>
      </c:catAx>
      <c:valAx>
        <c:axId val="550958976"/>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50959744"/>
        <c:crosses val="autoZero"/>
        <c:crossBetween val="between"/>
      </c:valAx>
      <c:spPr>
        <a:noFill/>
        <a:ln w="3175">
          <a:solidFill>
            <a:srgbClr val="000000"/>
          </a:solidFill>
          <a:prstDash val="solid"/>
        </a:ln>
      </c:spPr>
    </c:plotArea>
    <c:legend>
      <c:legendPos val="r"/>
      <c:layout>
        <c:manualLayout>
          <c:xMode val="edge"/>
          <c:yMode val="edge"/>
          <c:x val="0.64829889853511902"/>
          <c:y val="6.9008506857817439E-2"/>
          <c:w val="0.34559952441842207"/>
          <c:h val="0.89602437253303147"/>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Assessments (Selected LA vs. SE) </a:t>
            </a:r>
          </a:p>
        </c:rich>
      </c:tx>
      <c:layout>
        <c:manualLayout>
          <c:xMode val="edge"/>
          <c:yMode val="edge"/>
          <c:x val="0.19939689159008697"/>
          <c:y val="2.7670815341630683E-2"/>
        </c:manualLayout>
      </c:layout>
      <c:overlay val="0"/>
      <c:spPr>
        <a:noFill/>
        <a:ln w="25400">
          <a:noFill/>
        </a:ln>
      </c:spPr>
    </c:title>
    <c:autoTitleDeleted val="0"/>
    <c:plotArea>
      <c:layout>
        <c:manualLayout>
          <c:layoutTarget val="inner"/>
          <c:xMode val="edge"/>
          <c:yMode val="edge"/>
          <c:x val="9.6909984154078643E-2"/>
          <c:y val="0.1713664245008048"/>
          <c:w val="0.65146216862752293"/>
          <c:h val="0.5969107454382574"/>
        </c:manualLayout>
      </c:layout>
      <c:barChart>
        <c:barDir val="col"/>
        <c:grouping val="clustered"/>
        <c:varyColors val="0"/>
        <c:ser>
          <c:idx val="6"/>
          <c:order val="0"/>
          <c:tx>
            <c:strRef>
              <c:f>Assessments!$Z$4</c:f>
              <c:strCache>
                <c:ptCount val="1"/>
                <c:pt idx="0">
                  <c:v>Selected LA- (none)</c:v>
                </c:pt>
              </c:strCache>
            </c:strRef>
          </c:tx>
          <c:spPr>
            <a:solidFill>
              <a:srgbClr val="66FF99"/>
            </a:solidFill>
            <a:ln>
              <a:solidFill>
                <a:schemeClr val="tx1">
                  <a:lumMod val="75000"/>
                  <a:lumOff val="25000"/>
                </a:schemeClr>
              </a:solidFill>
            </a:ln>
          </c:spPr>
          <c:invertIfNegative val="0"/>
          <c:cat>
            <c:strRef>
              <c:f>Assessments!$Y$2:$AC$3</c:f>
              <c:strCache>
                <c:ptCount val="5"/>
                <c:pt idx="0">
                  <c:v>2019/20</c:v>
                </c:pt>
                <c:pt idx="1">
                  <c:v>2020/21</c:v>
                </c:pt>
                <c:pt idx="2">
                  <c:v>2021/22</c:v>
                </c:pt>
                <c:pt idx="3">
                  <c:v>2022/23</c:v>
                </c:pt>
                <c:pt idx="4">
                  <c:v>2023/24</c:v>
                </c:pt>
              </c:strCache>
            </c:strRef>
          </c:cat>
          <c:val>
            <c:numRef>
              <c:f>Assessments!$AL$59:$AP$59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4B8E-48C6-96B1-C351593434BB}"/>
            </c:ext>
          </c:extLst>
        </c:ser>
        <c:ser>
          <c:idx val="4"/>
          <c:order val="1"/>
          <c:tx>
            <c:strRef>
              <c:f>Assessments!$B$30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Assessments!$Y$2:$AC$3</c:f>
              <c:strCache>
                <c:ptCount val="5"/>
                <c:pt idx="0">
                  <c:v>2019/20</c:v>
                </c:pt>
                <c:pt idx="1">
                  <c:v>2020/21</c:v>
                </c:pt>
                <c:pt idx="2">
                  <c:v>2021/22</c:v>
                </c:pt>
                <c:pt idx="3">
                  <c:v>2022/23</c:v>
                </c:pt>
                <c:pt idx="4">
                  <c:v>2023/24</c:v>
                </c:pt>
              </c:strCache>
            </c:strRef>
          </c:cat>
          <c:val>
            <c:numRef>
              <c:f>Assessments!$K$30:$O$30</c:f>
              <c:numCache>
                <c:formatCode>0.0</c:formatCode>
                <c:ptCount val="5"/>
                <c:pt idx="0">
                  <c:v>573.1402962992936</c:v>
                </c:pt>
                <c:pt idx="1">
                  <c:v>568.79492793144152</c:v>
                </c:pt>
                <c:pt idx="2">
                  <c:v>614.40432795232311</c:v>
                </c:pt>
                <c:pt idx="3">
                  <c:v>613.82659284260785</c:v>
                </c:pt>
                <c:pt idx="4">
                  <c:v>702.08623936802258</c:v>
                </c:pt>
              </c:numCache>
            </c:numRef>
          </c:val>
          <c:extLst>
            <c:ext xmlns:c16="http://schemas.microsoft.com/office/drawing/2014/chart" uri="{C3380CC4-5D6E-409C-BE32-E72D297353CC}">
              <c16:uniqueId val="{00000001-4B8E-48C6-96B1-C351593434BB}"/>
            </c:ext>
          </c:extLst>
        </c:ser>
        <c:ser>
          <c:idx val="0"/>
          <c:order val="2"/>
          <c:tx>
            <c:strRef>
              <c:f>Assessments!$B$31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Assessments!$Y$2:$AC$3</c:f>
              <c:strCache>
                <c:ptCount val="5"/>
                <c:pt idx="0">
                  <c:v>2019/20</c:v>
                </c:pt>
                <c:pt idx="1">
                  <c:v>2020/21</c:v>
                </c:pt>
                <c:pt idx="2">
                  <c:v>2021/22</c:v>
                </c:pt>
                <c:pt idx="3">
                  <c:v>2022/23</c:v>
                </c:pt>
                <c:pt idx="4">
                  <c:v>2023/24</c:v>
                </c:pt>
              </c:strCache>
            </c:strRef>
          </c:cat>
          <c:val>
            <c:numRef>
              <c:f>Assessments!$K$31:$O$31</c:f>
              <c:numCache>
                <c:formatCode>0.0</c:formatCode>
                <c:ptCount val="5"/>
                <c:pt idx="0">
                  <c:v>564.5735563876384</c:v>
                </c:pt>
                <c:pt idx="1">
                  <c:v>531.02387096347297</c:v>
                </c:pt>
                <c:pt idx="2">
                  <c:v>548.39470408517377</c:v>
                </c:pt>
                <c:pt idx="3">
                  <c:v>551.5325907266232</c:v>
                </c:pt>
                <c:pt idx="4">
                  <c:v>536.03548267029464</c:v>
                </c:pt>
              </c:numCache>
            </c:numRef>
          </c:val>
          <c:extLst>
            <c:ext xmlns:c16="http://schemas.microsoft.com/office/drawing/2014/chart" uri="{C3380CC4-5D6E-409C-BE32-E72D297353CC}">
              <c16:uniqueId val="{00000002-4B8E-48C6-96B1-C351593434BB}"/>
            </c:ext>
          </c:extLst>
        </c:ser>
        <c:dLbls>
          <c:showLegendKey val="0"/>
          <c:showVal val="0"/>
          <c:showCatName val="0"/>
          <c:showSerName val="0"/>
          <c:showPercent val="0"/>
          <c:showBubbleSize val="0"/>
        </c:dLbls>
        <c:gapWidth val="100"/>
        <c:axId val="550782080"/>
        <c:axId val="550783616"/>
      </c:barChart>
      <c:catAx>
        <c:axId val="550782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50783616"/>
        <c:crosses val="autoZero"/>
        <c:auto val="1"/>
        <c:lblAlgn val="ctr"/>
        <c:lblOffset val="100"/>
        <c:noMultiLvlLbl val="0"/>
      </c:catAx>
      <c:valAx>
        <c:axId val="550783616"/>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50782080"/>
        <c:crosses val="autoZero"/>
        <c:crossBetween val="between"/>
      </c:valAx>
      <c:spPr>
        <a:noFill/>
        <a:ln w="3175">
          <a:solidFill>
            <a:srgbClr val="000000"/>
          </a:solidFill>
          <a:prstDash val="solid"/>
        </a:ln>
      </c:spPr>
    </c:plotArea>
    <c:legend>
      <c:legendPos val="r"/>
      <c:layout>
        <c:manualLayout>
          <c:xMode val="edge"/>
          <c:yMode val="edge"/>
          <c:x val="0.74862729134362305"/>
          <c:y val="0.17953653819588342"/>
          <c:w val="0.25137270865637695"/>
          <c:h val="0.82046369203849523"/>
        </c:manualLayout>
      </c:layout>
      <c:overlay val="0"/>
      <c:spPr>
        <a:no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Referrals (Selected LA</a:t>
            </a:r>
            <a:r>
              <a:rPr lang="en-GB" sz="1100" baseline="0"/>
              <a:t> vs. SE)</a:t>
            </a:r>
            <a:r>
              <a:rPr lang="en-GB" sz="1100"/>
              <a:t> </a:t>
            </a:r>
          </a:p>
        </c:rich>
      </c:tx>
      <c:layout>
        <c:manualLayout>
          <c:xMode val="edge"/>
          <c:yMode val="edge"/>
          <c:x val="0.23322346874782246"/>
          <c:y val="2.7670949026108577E-2"/>
        </c:manualLayout>
      </c:layout>
      <c:overlay val="0"/>
      <c:spPr>
        <a:noFill/>
        <a:ln w="25400">
          <a:noFill/>
        </a:ln>
      </c:spPr>
    </c:title>
    <c:autoTitleDeleted val="0"/>
    <c:plotArea>
      <c:layout>
        <c:manualLayout>
          <c:layoutTarget val="inner"/>
          <c:xMode val="edge"/>
          <c:yMode val="edge"/>
          <c:x val="9.6909984154078643E-2"/>
          <c:y val="0.17025434320709906"/>
          <c:w val="0.64864318364531226"/>
          <c:h val="0.62294525684289459"/>
        </c:manualLayout>
      </c:layout>
      <c:barChart>
        <c:barDir val="col"/>
        <c:grouping val="clustered"/>
        <c:varyColors val="0"/>
        <c:ser>
          <c:idx val="6"/>
          <c:order val="0"/>
          <c:tx>
            <c:strRef>
              <c:f>Referrals!$Z$4</c:f>
              <c:strCache>
                <c:ptCount val="1"/>
                <c:pt idx="0">
                  <c:v>Selected LA- (none)</c:v>
                </c:pt>
              </c:strCache>
            </c:strRef>
          </c:tx>
          <c:spPr>
            <a:solidFill>
              <a:srgbClr val="66FF99"/>
            </a:solidFill>
            <a:ln>
              <a:solidFill>
                <a:schemeClr val="tx1">
                  <a:lumMod val="75000"/>
                  <a:lumOff val="25000"/>
                </a:schemeClr>
              </a:solidFill>
            </a:ln>
          </c:spPr>
          <c:invertIfNegative val="0"/>
          <c:cat>
            <c:strRef>
              <c:f>Referrals!$Y$2:$AC$3</c:f>
              <c:strCache>
                <c:ptCount val="5"/>
                <c:pt idx="0">
                  <c:v>2019/20</c:v>
                </c:pt>
                <c:pt idx="1">
                  <c:v>2020/21</c:v>
                </c:pt>
                <c:pt idx="2">
                  <c:v>2021/22</c:v>
                </c:pt>
                <c:pt idx="3">
                  <c:v>2022/23</c:v>
                </c:pt>
                <c:pt idx="4">
                  <c:v>2023/24</c:v>
                </c:pt>
              </c:strCache>
            </c:strRef>
          </c:cat>
          <c:val>
            <c:numRef>
              <c:f>Referrals!$AL$59:$AP$59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5461-492B-BEEC-AC6A6265DE12}"/>
            </c:ext>
          </c:extLst>
        </c:ser>
        <c:ser>
          <c:idx val="4"/>
          <c:order val="1"/>
          <c:tx>
            <c:strRef>
              <c:f>Referrals!$B$30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Referrals!$Y$2:$AC$3</c:f>
              <c:strCache>
                <c:ptCount val="5"/>
                <c:pt idx="0">
                  <c:v>2019/20</c:v>
                </c:pt>
                <c:pt idx="1">
                  <c:v>2020/21</c:v>
                </c:pt>
                <c:pt idx="2">
                  <c:v>2021/22</c:v>
                </c:pt>
                <c:pt idx="3">
                  <c:v>2022/23</c:v>
                </c:pt>
                <c:pt idx="4">
                  <c:v>2023/24</c:v>
                </c:pt>
              </c:strCache>
            </c:strRef>
          </c:cat>
          <c:val>
            <c:numRef>
              <c:f>Referrals!$K$30:$O$30</c:f>
              <c:numCache>
                <c:formatCode>0.0</c:formatCode>
                <c:ptCount val="5"/>
                <c:pt idx="0">
                  <c:v>593.67239832900441</c:v>
                </c:pt>
                <c:pt idx="1">
                  <c:v>575.64207546260968</c:v>
                </c:pt>
                <c:pt idx="2">
                  <c:v>640.64811829956773</c:v>
                </c:pt>
                <c:pt idx="3">
                  <c:v>644.96825534942013</c:v>
                </c:pt>
                <c:pt idx="4">
                  <c:v>711.71431389401596</c:v>
                </c:pt>
              </c:numCache>
            </c:numRef>
          </c:val>
          <c:extLst>
            <c:ext xmlns:c16="http://schemas.microsoft.com/office/drawing/2014/chart" uri="{C3380CC4-5D6E-409C-BE32-E72D297353CC}">
              <c16:uniqueId val="{00000001-5461-492B-BEEC-AC6A6265DE12}"/>
            </c:ext>
          </c:extLst>
        </c:ser>
        <c:ser>
          <c:idx val="0"/>
          <c:order val="2"/>
          <c:tx>
            <c:strRef>
              <c:f>Referrals!$B$31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Referrals!$Y$2:$AC$3</c:f>
              <c:strCache>
                <c:ptCount val="5"/>
                <c:pt idx="0">
                  <c:v>2019/20</c:v>
                </c:pt>
                <c:pt idx="1">
                  <c:v>2020/21</c:v>
                </c:pt>
                <c:pt idx="2">
                  <c:v>2021/22</c:v>
                </c:pt>
                <c:pt idx="3">
                  <c:v>2022/23</c:v>
                </c:pt>
                <c:pt idx="4">
                  <c:v>2023/24</c:v>
                </c:pt>
              </c:strCache>
            </c:strRef>
          </c:cat>
          <c:val>
            <c:numRef>
              <c:f>Referrals!$K$31:$O$31</c:f>
              <c:numCache>
                <c:formatCode>0.0</c:formatCode>
                <c:ptCount val="5"/>
                <c:pt idx="0">
                  <c:v>545.33771788318927</c:v>
                </c:pt>
                <c:pt idx="1">
                  <c:v>507.10081971232279</c:v>
                </c:pt>
                <c:pt idx="2">
                  <c:v>552.81539092728838</c:v>
                </c:pt>
                <c:pt idx="3">
                  <c:v>538.81993025452493</c:v>
                </c:pt>
                <c:pt idx="4">
                  <c:v>518.29181392633802</c:v>
                </c:pt>
              </c:numCache>
            </c:numRef>
          </c:val>
          <c:extLst>
            <c:ext xmlns:c16="http://schemas.microsoft.com/office/drawing/2014/chart" uri="{C3380CC4-5D6E-409C-BE32-E72D297353CC}">
              <c16:uniqueId val="{00000002-5461-492B-BEEC-AC6A6265DE12}"/>
            </c:ext>
          </c:extLst>
        </c:ser>
        <c:dLbls>
          <c:showLegendKey val="0"/>
          <c:showVal val="0"/>
          <c:showCatName val="0"/>
          <c:showSerName val="0"/>
          <c:showPercent val="0"/>
          <c:showBubbleSize val="0"/>
        </c:dLbls>
        <c:gapWidth val="100"/>
        <c:axId val="528410880"/>
        <c:axId val="528412672"/>
      </c:barChart>
      <c:catAx>
        <c:axId val="528410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412672"/>
        <c:crosses val="autoZero"/>
        <c:auto val="1"/>
        <c:lblAlgn val="ctr"/>
        <c:lblOffset val="100"/>
        <c:noMultiLvlLbl val="0"/>
      </c:catAx>
      <c:valAx>
        <c:axId val="528412672"/>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410880"/>
        <c:crosses val="autoZero"/>
        <c:crossBetween val="between"/>
      </c:valAx>
      <c:spPr>
        <a:noFill/>
        <a:ln w="3175">
          <a:solidFill>
            <a:srgbClr val="000000"/>
          </a:solidFill>
          <a:prstDash val="solid"/>
        </a:ln>
      </c:spPr>
    </c:plotArea>
    <c:legend>
      <c:legendPos val="r"/>
      <c:layout>
        <c:manualLayout>
          <c:xMode val="edge"/>
          <c:yMode val="edge"/>
          <c:x val="0.75144617725776119"/>
          <c:y val="0.17953653819588342"/>
          <c:w val="0.24855382274223886"/>
          <c:h val="0.665550193322608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100" b="1"/>
            </a:pPr>
            <a:r>
              <a:rPr lang="en-GB" sz="1100" b="1"/>
              <a:t>Proportion of Assessments resulting in No Further Action</a:t>
            </a:r>
          </a:p>
        </c:rich>
      </c:tx>
      <c:layout>
        <c:manualLayout>
          <c:xMode val="edge"/>
          <c:yMode val="edge"/>
          <c:x val="9.2952674055036266E-2"/>
          <c:y val="1.0762811457117704E-2"/>
        </c:manualLayout>
      </c:layout>
      <c:overlay val="0"/>
      <c:spPr>
        <a:noFill/>
        <a:ln w="25400">
          <a:noFill/>
        </a:ln>
      </c:spPr>
    </c:title>
    <c:autoTitleDeleted val="0"/>
    <c:plotArea>
      <c:layout>
        <c:manualLayout>
          <c:layoutTarget val="inner"/>
          <c:xMode val="edge"/>
          <c:yMode val="edge"/>
          <c:x val="8.6231331270701359E-2"/>
          <c:y val="7.327486206173299E-2"/>
          <c:w val="0.58689432012266662"/>
          <c:h val="0.86606881911532385"/>
        </c:manualLayout>
      </c:layout>
      <c:lineChart>
        <c:grouping val="standard"/>
        <c:varyColors val="0"/>
        <c:ser>
          <c:idx val="0"/>
          <c:order val="0"/>
          <c:tx>
            <c:strRef>
              <c:f>Assessments!$AK$38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F973-432F-B9CA-3C054908C41F}"/>
              </c:ext>
            </c:extLst>
          </c:dPt>
          <c:cat>
            <c:strRef>
              <c:f>Assessments!$Y$2:$AC$3</c:f>
              <c:strCache>
                <c:ptCount val="5"/>
                <c:pt idx="0">
                  <c:v>2019/20</c:v>
                </c:pt>
                <c:pt idx="1">
                  <c:v>2020/21</c:v>
                </c:pt>
                <c:pt idx="2">
                  <c:v>2021/22</c:v>
                </c:pt>
                <c:pt idx="3">
                  <c:v>2022/23</c:v>
                </c:pt>
                <c:pt idx="4">
                  <c:v>2023/24</c:v>
                </c:pt>
              </c:strCache>
            </c:strRef>
          </c:cat>
          <c:val>
            <c:numRef>
              <c:f>Assessments!$BG$38:$BK$38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F973-432F-B9CA-3C054908C41F}"/>
            </c:ext>
          </c:extLst>
        </c:ser>
        <c:ser>
          <c:idx val="1"/>
          <c:order val="1"/>
          <c:tx>
            <c:strRef>
              <c:f>Assessments!$AK$39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Assessments!$Y$2:$AC$3</c:f>
              <c:strCache>
                <c:ptCount val="5"/>
                <c:pt idx="0">
                  <c:v>2019/20</c:v>
                </c:pt>
                <c:pt idx="1">
                  <c:v>2020/21</c:v>
                </c:pt>
                <c:pt idx="2">
                  <c:v>2021/22</c:v>
                </c:pt>
                <c:pt idx="3">
                  <c:v>2022/23</c:v>
                </c:pt>
                <c:pt idx="4">
                  <c:v>2023/24</c:v>
                </c:pt>
              </c:strCache>
            </c:strRef>
          </c:cat>
          <c:val>
            <c:numRef>
              <c:f>Assessments!$BG$39:$BK$39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F973-432F-B9CA-3C054908C41F}"/>
            </c:ext>
          </c:extLst>
        </c:ser>
        <c:ser>
          <c:idx val="2"/>
          <c:order val="2"/>
          <c:tx>
            <c:strRef>
              <c:f>Assessments!$AK$40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Assessments!$Y$2:$AC$3</c:f>
              <c:strCache>
                <c:ptCount val="5"/>
                <c:pt idx="0">
                  <c:v>2019/20</c:v>
                </c:pt>
                <c:pt idx="1">
                  <c:v>2020/21</c:v>
                </c:pt>
                <c:pt idx="2">
                  <c:v>2021/22</c:v>
                </c:pt>
                <c:pt idx="3">
                  <c:v>2022/23</c:v>
                </c:pt>
                <c:pt idx="4">
                  <c:v>2023/24</c:v>
                </c:pt>
              </c:strCache>
            </c:strRef>
          </c:cat>
          <c:val>
            <c:numRef>
              <c:f>Assessments!$BG$40:$BK$40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F973-432F-B9CA-3C054908C41F}"/>
            </c:ext>
          </c:extLst>
        </c:ser>
        <c:ser>
          <c:idx val="5"/>
          <c:order val="3"/>
          <c:tx>
            <c:strRef>
              <c:f>Assessments!$AK$41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Assessments!$Y$2:$AC$3</c:f>
              <c:strCache>
                <c:ptCount val="5"/>
                <c:pt idx="0">
                  <c:v>2019/20</c:v>
                </c:pt>
                <c:pt idx="1">
                  <c:v>2020/21</c:v>
                </c:pt>
                <c:pt idx="2">
                  <c:v>2021/22</c:v>
                </c:pt>
                <c:pt idx="3">
                  <c:v>2022/23</c:v>
                </c:pt>
                <c:pt idx="4">
                  <c:v>2023/24</c:v>
                </c:pt>
              </c:strCache>
            </c:strRef>
          </c:cat>
          <c:val>
            <c:numRef>
              <c:f>Assessments!$BG$41:$BK$41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F973-432F-B9CA-3C054908C41F}"/>
            </c:ext>
          </c:extLst>
        </c:ser>
        <c:ser>
          <c:idx val="9"/>
          <c:order val="4"/>
          <c:tx>
            <c:strRef>
              <c:f>Assessments!$AK$42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Assessments!$Y$2:$AC$3</c:f>
              <c:strCache>
                <c:ptCount val="5"/>
                <c:pt idx="0">
                  <c:v>2019/20</c:v>
                </c:pt>
                <c:pt idx="1">
                  <c:v>2020/21</c:v>
                </c:pt>
                <c:pt idx="2">
                  <c:v>2021/22</c:v>
                </c:pt>
                <c:pt idx="3">
                  <c:v>2022/23</c:v>
                </c:pt>
                <c:pt idx="4">
                  <c:v>2023/24</c:v>
                </c:pt>
              </c:strCache>
            </c:strRef>
          </c:cat>
          <c:val>
            <c:numRef>
              <c:f>Assessments!$BG$42:$BK$42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F973-432F-B9CA-3C054908C41F}"/>
            </c:ext>
          </c:extLst>
        </c:ser>
        <c:ser>
          <c:idx val="10"/>
          <c:order val="5"/>
          <c:tx>
            <c:strRef>
              <c:f>Assessments!$AK$43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Assessments!$Y$2:$AC$3</c:f>
              <c:strCache>
                <c:ptCount val="5"/>
                <c:pt idx="0">
                  <c:v>2019/20</c:v>
                </c:pt>
                <c:pt idx="1">
                  <c:v>2020/21</c:v>
                </c:pt>
                <c:pt idx="2">
                  <c:v>2021/22</c:v>
                </c:pt>
                <c:pt idx="3">
                  <c:v>2022/23</c:v>
                </c:pt>
                <c:pt idx="4">
                  <c:v>2023/24</c:v>
                </c:pt>
              </c:strCache>
            </c:strRef>
          </c:cat>
          <c:val>
            <c:numRef>
              <c:f>Assessments!$BG$43:$BK$43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F973-432F-B9CA-3C054908C41F}"/>
            </c:ext>
          </c:extLst>
        </c:ser>
        <c:ser>
          <c:idx val="11"/>
          <c:order val="6"/>
          <c:tx>
            <c:strRef>
              <c:f>Assessments!$AK$44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Assessments!$Y$2:$AC$3</c:f>
              <c:strCache>
                <c:ptCount val="5"/>
                <c:pt idx="0">
                  <c:v>2019/20</c:v>
                </c:pt>
                <c:pt idx="1">
                  <c:v>2020/21</c:v>
                </c:pt>
                <c:pt idx="2">
                  <c:v>2021/22</c:v>
                </c:pt>
                <c:pt idx="3">
                  <c:v>2022/23</c:v>
                </c:pt>
                <c:pt idx="4">
                  <c:v>2023/24</c:v>
                </c:pt>
              </c:strCache>
            </c:strRef>
          </c:cat>
          <c:val>
            <c:numRef>
              <c:f>Assessments!$BG$44:$BK$44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F973-432F-B9CA-3C054908C41F}"/>
            </c:ext>
          </c:extLst>
        </c:ser>
        <c:ser>
          <c:idx val="12"/>
          <c:order val="7"/>
          <c:tx>
            <c:strRef>
              <c:f>Assessments!$AK$45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Assessments!$Y$2:$AC$3</c:f>
              <c:strCache>
                <c:ptCount val="5"/>
                <c:pt idx="0">
                  <c:v>2019/20</c:v>
                </c:pt>
                <c:pt idx="1">
                  <c:v>2020/21</c:v>
                </c:pt>
                <c:pt idx="2">
                  <c:v>2021/22</c:v>
                </c:pt>
                <c:pt idx="3">
                  <c:v>2022/23</c:v>
                </c:pt>
                <c:pt idx="4">
                  <c:v>2023/24</c:v>
                </c:pt>
              </c:strCache>
            </c:strRef>
          </c:cat>
          <c:val>
            <c:numRef>
              <c:f>Assessments!$BG$45:$BK$45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F973-432F-B9CA-3C054908C41F}"/>
            </c:ext>
          </c:extLst>
        </c:ser>
        <c:ser>
          <c:idx val="13"/>
          <c:order val="8"/>
          <c:tx>
            <c:strRef>
              <c:f>Assessments!$AK$46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Assessments!$Y$2:$AC$3</c:f>
              <c:strCache>
                <c:ptCount val="5"/>
                <c:pt idx="0">
                  <c:v>2019/20</c:v>
                </c:pt>
                <c:pt idx="1">
                  <c:v>2020/21</c:v>
                </c:pt>
                <c:pt idx="2">
                  <c:v>2021/22</c:v>
                </c:pt>
                <c:pt idx="3">
                  <c:v>2022/23</c:v>
                </c:pt>
                <c:pt idx="4">
                  <c:v>2023/24</c:v>
                </c:pt>
              </c:strCache>
            </c:strRef>
          </c:cat>
          <c:val>
            <c:numRef>
              <c:f>Assessments!$BG$46:$BK$46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F973-432F-B9CA-3C054908C41F}"/>
            </c:ext>
          </c:extLst>
        </c:ser>
        <c:ser>
          <c:idx val="15"/>
          <c:order val="9"/>
          <c:tx>
            <c:strRef>
              <c:f>Assessments!$AK$47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Assessments!$Y$2:$AC$3</c:f>
              <c:strCache>
                <c:ptCount val="5"/>
                <c:pt idx="0">
                  <c:v>2019/20</c:v>
                </c:pt>
                <c:pt idx="1">
                  <c:v>2020/21</c:v>
                </c:pt>
                <c:pt idx="2">
                  <c:v>2021/22</c:v>
                </c:pt>
                <c:pt idx="3">
                  <c:v>2022/23</c:v>
                </c:pt>
                <c:pt idx="4">
                  <c:v>2023/24</c:v>
                </c:pt>
              </c:strCache>
            </c:strRef>
          </c:cat>
          <c:val>
            <c:numRef>
              <c:f>Assessments!$BG$47:$BK$47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F973-432F-B9CA-3C054908C41F}"/>
            </c:ext>
          </c:extLst>
        </c:ser>
        <c:ser>
          <c:idx val="16"/>
          <c:order val="10"/>
          <c:tx>
            <c:strRef>
              <c:f>Assessments!$AK$48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Assessments!$Y$2:$AC$3</c:f>
              <c:strCache>
                <c:ptCount val="5"/>
                <c:pt idx="0">
                  <c:v>2019/20</c:v>
                </c:pt>
                <c:pt idx="1">
                  <c:v>2020/21</c:v>
                </c:pt>
                <c:pt idx="2">
                  <c:v>2021/22</c:v>
                </c:pt>
                <c:pt idx="3">
                  <c:v>2022/23</c:v>
                </c:pt>
                <c:pt idx="4">
                  <c:v>2023/24</c:v>
                </c:pt>
              </c:strCache>
            </c:strRef>
          </c:cat>
          <c:val>
            <c:numRef>
              <c:f>Assessments!$BG$48:$BK$48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F973-432F-B9CA-3C054908C41F}"/>
            </c:ext>
          </c:extLst>
        </c:ser>
        <c:ser>
          <c:idx val="17"/>
          <c:order val="11"/>
          <c:tx>
            <c:strRef>
              <c:f>Assessments!$AK$49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Assessments!$Y$2:$AC$3</c:f>
              <c:strCache>
                <c:ptCount val="5"/>
                <c:pt idx="0">
                  <c:v>2019/20</c:v>
                </c:pt>
                <c:pt idx="1">
                  <c:v>2020/21</c:v>
                </c:pt>
                <c:pt idx="2">
                  <c:v>2021/22</c:v>
                </c:pt>
                <c:pt idx="3">
                  <c:v>2022/23</c:v>
                </c:pt>
                <c:pt idx="4">
                  <c:v>2023/24</c:v>
                </c:pt>
              </c:strCache>
            </c:strRef>
          </c:cat>
          <c:val>
            <c:numRef>
              <c:f>Assessments!$BG$49:$BK$49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F973-432F-B9CA-3C054908C41F}"/>
            </c:ext>
          </c:extLst>
        </c:ser>
        <c:ser>
          <c:idx val="19"/>
          <c:order val="12"/>
          <c:tx>
            <c:strRef>
              <c:f>Assessments!$AK$50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Assessments!$Y$2:$AC$3</c:f>
              <c:strCache>
                <c:ptCount val="5"/>
                <c:pt idx="0">
                  <c:v>2019/20</c:v>
                </c:pt>
                <c:pt idx="1">
                  <c:v>2020/21</c:v>
                </c:pt>
                <c:pt idx="2">
                  <c:v>2021/22</c:v>
                </c:pt>
                <c:pt idx="3">
                  <c:v>2022/23</c:v>
                </c:pt>
                <c:pt idx="4">
                  <c:v>2023/24</c:v>
                </c:pt>
              </c:strCache>
            </c:strRef>
          </c:cat>
          <c:val>
            <c:numRef>
              <c:f>Assessments!$BG$50:$BK$50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F973-432F-B9CA-3C054908C41F}"/>
            </c:ext>
          </c:extLst>
        </c:ser>
        <c:ser>
          <c:idx val="20"/>
          <c:order val="13"/>
          <c:tx>
            <c:strRef>
              <c:f>Assessments!$AK$51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Assessments!$Y$2:$AC$3</c:f>
              <c:strCache>
                <c:ptCount val="5"/>
                <c:pt idx="0">
                  <c:v>2019/20</c:v>
                </c:pt>
                <c:pt idx="1">
                  <c:v>2020/21</c:v>
                </c:pt>
                <c:pt idx="2">
                  <c:v>2021/22</c:v>
                </c:pt>
                <c:pt idx="3">
                  <c:v>2022/23</c:v>
                </c:pt>
                <c:pt idx="4">
                  <c:v>2023/24</c:v>
                </c:pt>
              </c:strCache>
            </c:strRef>
          </c:cat>
          <c:val>
            <c:numRef>
              <c:f>Assessments!$BG$51:$BK$51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F973-432F-B9CA-3C054908C41F}"/>
            </c:ext>
          </c:extLst>
        </c:ser>
        <c:ser>
          <c:idx val="22"/>
          <c:order val="14"/>
          <c:tx>
            <c:strRef>
              <c:f>Assessments!$AK$52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Assessments!$Y$2:$AC$3</c:f>
              <c:strCache>
                <c:ptCount val="5"/>
                <c:pt idx="0">
                  <c:v>2019/20</c:v>
                </c:pt>
                <c:pt idx="1">
                  <c:v>2020/21</c:v>
                </c:pt>
                <c:pt idx="2">
                  <c:v>2021/22</c:v>
                </c:pt>
                <c:pt idx="3">
                  <c:v>2022/23</c:v>
                </c:pt>
                <c:pt idx="4">
                  <c:v>2023/24</c:v>
                </c:pt>
              </c:strCache>
            </c:strRef>
          </c:cat>
          <c:val>
            <c:numRef>
              <c:f>Assessments!$BG$52:$BK$52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F973-432F-B9CA-3C054908C41F}"/>
            </c:ext>
          </c:extLst>
        </c:ser>
        <c:ser>
          <c:idx val="23"/>
          <c:order val="15"/>
          <c:tx>
            <c:strRef>
              <c:f>Assessments!$AK$53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Assessments!$Y$2:$AC$3</c:f>
              <c:strCache>
                <c:ptCount val="5"/>
                <c:pt idx="0">
                  <c:v>2019/20</c:v>
                </c:pt>
                <c:pt idx="1">
                  <c:v>2020/21</c:v>
                </c:pt>
                <c:pt idx="2">
                  <c:v>2021/22</c:v>
                </c:pt>
                <c:pt idx="3">
                  <c:v>2022/23</c:v>
                </c:pt>
                <c:pt idx="4">
                  <c:v>2023/24</c:v>
                </c:pt>
              </c:strCache>
            </c:strRef>
          </c:cat>
          <c:val>
            <c:numRef>
              <c:f>Assessments!$BG$53:$BK$53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F973-432F-B9CA-3C054908C41F}"/>
            </c:ext>
          </c:extLst>
        </c:ser>
        <c:ser>
          <c:idx val="24"/>
          <c:order val="16"/>
          <c:tx>
            <c:strRef>
              <c:f>Assessments!$AK$54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Assessments!$Y$2:$AC$3</c:f>
              <c:strCache>
                <c:ptCount val="5"/>
                <c:pt idx="0">
                  <c:v>2019/20</c:v>
                </c:pt>
                <c:pt idx="1">
                  <c:v>2020/21</c:v>
                </c:pt>
                <c:pt idx="2">
                  <c:v>2021/22</c:v>
                </c:pt>
                <c:pt idx="3">
                  <c:v>2022/23</c:v>
                </c:pt>
                <c:pt idx="4">
                  <c:v>2023/24</c:v>
                </c:pt>
              </c:strCache>
            </c:strRef>
          </c:cat>
          <c:val>
            <c:numRef>
              <c:f>Assessments!$BG$54:$BK$54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F973-432F-B9CA-3C054908C41F}"/>
            </c:ext>
          </c:extLst>
        </c:ser>
        <c:ser>
          <c:idx val="25"/>
          <c:order val="17"/>
          <c:tx>
            <c:strRef>
              <c:f>Assessments!$AK$55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Assessments!$Y$2:$AC$3</c:f>
              <c:strCache>
                <c:ptCount val="5"/>
                <c:pt idx="0">
                  <c:v>2019/20</c:v>
                </c:pt>
                <c:pt idx="1">
                  <c:v>2020/21</c:v>
                </c:pt>
                <c:pt idx="2">
                  <c:v>2021/22</c:v>
                </c:pt>
                <c:pt idx="3">
                  <c:v>2022/23</c:v>
                </c:pt>
                <c:pt idx="4">
                  <c:v>2023/24</c:v>
                </c:pt>
              </c:strCache>
            </c:strRef>
          </c:cat>
          <c:val>
            <c:numRef>
              <c:f>Assessments!$BG$55:$BK$55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F973-432F-B9CA-3C054908C41F}"/>
            </c:ext>
          </c:extLst>
        </c:ser>
        <c:ser>
          <c:idx val="26"/>
          <c:order val="18"/>
          <c:tx>
            <c:strRef>
              <c:f>Assessments!$AK$56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Assessments!$Y$2:$AC$3</c:f>
              <c:strCache>
                <c:ptCount val="5"/>
                <c:pt idx="0">
                  <c:v>2019/20</c:v>
                </c:pt>
                <c:pt idx="1">
                  <c:v>2020/21</c:v>
                </c:pt>
                <c:pt idx="2">
                  <c:v>2021/22</c:v>
                </c:pt>
                <c:pt idx="3">
                  <c:v>2022/23</c:v>
                </c:pt>
                <c:pt idx="4">
                  <c:v>2023/24</c:v>
                </c:pt>
              </c:strCache>
            </c:strRef>
          </c:cat>
          <c:val>
            <c:numRef>
              <c:f>Assessments!$BG$56:$BK$56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F973-432F-B9CA-3C054908C41F}"/>
            </c:ext>
          </c:extLst>
        </c:ser>
        <c:ser>
          <c:idx val="4"/>
          <c:order val="19"/>
          <c:tx>
            <c:strRef>
              <c:f>Assessments!$AK$57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Assessments!$Y$2:$AC$3</c:f>
              <c:strCache>
                <c:ptCount val="5"/>
                <c:pt idx="0">
                  <c:v>2019/20</c:v>
                </c:pt>
                <c:pt idx="1">
                  <c:v>2020/21</c:v>
                </c:pt>
                <c:pt idx="2">
                  <c:v>2021/22</c:v>
                </c:pt>
                <c:pt idx="3">
                  <c:v>2022/23</c:v>
                </c:pt>
                <c:pt idx="4">
                  <c:v>2023/24</c:v>
                </c:pt>
              </c:strCache>
            </c:strRef>
          </c:cat>
          <c:val>
            <c:numRef>
              <c:f>Assessments!$BG$57:$BK$57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F973-432F-B9CA-3C054908C41F}"/>
            </c:ext>
          </c:extLst>
        </c:ser>
        <c:ser>
          <c:idx val="14"/>
          <c:order val="20"/>
          <c:tx>
            <c:strRef>
              <c:f>Assessments!$AK$58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Assessments!$Y$2:$AC$3</c:f>
              <c:strCache>
                <c:ptCount val="5"/>
                <c:pt idx="0">
                  <c:v>2019/20</c:v>
                </c:pt>
                <c:pt idx="1">
                  <c:v>2020/21</c:v>
                </c:pt>
                <c:pt idx="2">
                  <c:v>2021/22</c:v>
                </c:pt>
                <c:pt idx="3">
                  <c:v>2022/23</c:v>
                </c:pt>
                <c:pt idx="4">
                  <c:v>2023/24</c:v>
                </c:pt>
              </c:strCache>
            </c:strRef>
          </c:cat>
          <c:val>
            <c:numRef>
              <c:f>Assessments!$BG$58:$BK$58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F973-432F-B9CA-3C054908C41F}"/>
            </c:ext>
          </c:extLst>
        </c:ser>
        <c:ser>
          <c:idx val="6"/>
          <c:order val="21"/>
          <c:tx>
            <c:strRef>
              <c:f>Assessments!$AK$59</c:f>
              <c:strCache>
                <c:ptCount val="1"/>
                <c:pt idx="0">
                  <c:v>Selected LA- (none)</c:v>
                </c:pt>
              </c:strCache>
            </c:strRef>
          </c:tx>
          <c:spPr>
            <a:ln>
              <a:solidFill>
                <a:srgbClr val="000000"/>
              </a:solidFill>
            </a:ln>
          </c:spPr>
          <c:marker>
            <c:symbol val="circle"/>
            <c:size val="6"/>
            <c:spPr>
              <a:solidFill>
                <a:srgbClr val="66FF99"/>
              </a:solidFill>
              <a:ln>
                <a:solidFill>
                  <a:srgbClr val="000000"/>
                </a:solidFill>
              </a:ln>
            </c:spPr>
          </c:marker>
          <c:cat>
            <c:strRef>
              <c:f>Assessments!$Y$2:$AC$3</c:f>
              <c:strCache>
                <c:ptCount val="5"/>
                <c:pt idx="0">
                  <c:v>2019/20</c:v>
                </c:pt>
                <c:pt idx="1">
                  <c:v>2020/21</c:v>
                </c:pt>
                <c:pt idx="2">
                  <c:v>2021/22</c:v>
                </c:pt>
                <c:pt idx="3">
                  <c:v>2022/23</c:v>
                </c:pt>
                <c:pt idx="4">
                  <c:v>2023/24</c:v>
                </c:pt>
              </c:strCache>
            </c:strRef>
          </c:cat>
          <c:val>
            <c:numRef>
              <c:f>Assessments!$BG$59:$BK$59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F973-432F-B9CA-3C054908C41F}"/>
            </c:ext>
          </c:extLst>
        </c:ser>
        <c:dLbls>
          <c:showLegendKey val="0"/>
          <c:showVal val="0"/>
          <c:showCatName val="0"/>
          <c:showSerName val="0"/>
          <c:showPercent val="0"/>
          <c:showBubbleSize val="0"/>
        </c:dLbls>
        <c:marker val="1"/>
        <c:smooth val="0"/>
        <c:axId val="560653824"/>
        <c:axId val="560655744"/>
      </c:lineChart>
      <c:catAx>
        <c:axId val="560653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60655744"/>
        <c:crosses val="autoZero"/>
        <c:auto val="1"/>
        <c:lblAlgn val="ctr"/>
        <c:lblOffset val="100"/>
        <c:tickLblSkip val="1"/>
        <c:tickMarkSkip val="1"/>
        <c:noMultiLvlLbl val="0"/>
      </c:catAx>
      <c:valAx>
        <c:axId val="560655744"/>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0653824"/>
        <c:crosses val="autoZero"/>
        <c:crossBetween val="between"/>
      </c:valAx>
      <c:spPr>
        <a:noFill/>
        <a:ln w="3175">
          <a:solidFill>
            <a:srgbClr val="000000"/>
          </a:solidFill>
          <a:prstDash val="solid"/>
        </a:ln>
      </c:spPr>
    </c:plotArea>
    <c:legend>
      <c:legendPos val="r"/>
      <c:layout>
        <c:manualLayout>
          <c:xMode val="edge"/>
          <c:yMode val="edge"/>
          <c:x val="0.66904273140493609"/>
          <c:y val="6.3476508184568528E-2"/>
          <c:w val="0.33095726859506386"/>
          <c:h val="0.90191789385105492"/>
        </c:manualLayout>
      </c:layout>
      <c:overlay val="0"/>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Proportion of Single Assessments completed within 45 Days</a:t>
            </a:r>
          </a:p>
        </c:rich>
      </c:tx>
      <c:layout>
        <c:manualLayout>
          <c:xMode val="edge"/>
          <c:yMode val="edge"/>
          <c:x val="9.6934099453784492E-2"/>
          <c:y val="9.6271155760702318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28239525614858"/>
        </c:manualLayout>
      </c:layout>
      <c:lineChart>
        <c:grouping val="standard"/>
        <c:varyColors val="0"/>
        <c:ser>
          <c:idx val="0"/>
          <c:order val="0"/>
          <c:tx>
            <c:strRef>
              <c:f>Assessments!$AK$38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5341-4DCA-9C6E-9E4DD0D6BB4B}"/>
              </c:ext>
            </c:extLst>
          </c:dPt>
          <c:cat>
            <c:strRef>
              <c:f>Assessments!$Y$2:$AC$3</c:f>
              <c:strCache>
                <c:ptCount val="5"/>
                <c:pt idx="0">
                  <c:v>2019/20</c:v>
                </c:pt>
                <c:pt idx="1">
                  <c:v>2020/21</c:v>
                </c:pt>
                <c:pt idx="2">
                  <c:v>2021/22</c:v>
                </c:pt>
                <c:pt idx="3">
                  <c:v>2022/23</c:v>
                </c:pt>
                <c:pt idx="4">
                  <c:v>2023/24</c:v>
                </c:pt>
              </c:strCache>
            </c:strRef>
          </c:cat>
          <c:val>
            <c:numRef>
              <c:f>Assessments!$AW$38:$BA$38</c:f>
              <c:numCache>
                <c:formatCode>0.0%</c:formatCode>
                <c:ptCount val="5"/>
                <c:pt idx="0">
                  <c:v>0.93729588504245587</c:v>
                </c:pt>
                <c:pt idx="1">
                  <c:v>0.93428394296342221</c:v>
                </c:pt>
                <c:pt idx="2">
                  <c:v>0.81625683060109289</c:v>
                </c:pt>
                <c:pt idx="3">
                  <c:v>0.85886524822695032</c:v>
                </c:pt>
                <c:pt idx="4">
                  <c:v>0.82220660576247362</c:v>
                </c:pt>
              </c:numCache>
            </c:numRef>
          </c:val>
          <c:smooth val="0"/>
          <c:extLst>
            <c:ext xmlns:c16="http://schemas.microsoft.com/office/drawing/2014/chart" uri="{C3380CC4-5D6E-409C-BE32-E72D297353CC}">
              <c16:uniqueId val="{00000001-5341-4DCA-9C6E-9E4DD0D6BB4B}"/>
            </c:ext>
          </c:extLst>
        </c:ser>
        <c:ser>
          <c:idx val="1"/>
          <c:order val="1"/>
          <c:tx>
            <c:strRef>
              <c:f>Assessments!$AK$39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Assessments!$Y$2:$AC$3</c:f>
              <c:strCache>
                <c:ptCount val="5"/>
                <c:pt idx="0">
                  <c:v>2019/20</c:v>
                </c:pt>
                <c:pt idx="1">
                  <c:v>2020/21</c:v>
                </c:pt>
                <c:pt idx="2">
                  <c:v>2021/22</c:v>
                </c:pt>
                <c:pt idx="3">
                  <c:v>2022/23</c:v>
                </c:pt>
                <c:pt idx="4">
                  <c:v>2023/24</c:v>
                </c:pt>
              </c:strCache>
            </c:strRef>
          </c:cat>
          <c:val>
            <c:numRef>
              <c:f>Assessments!$AW$39:$BA$39</c:f>
              <c:numCache>
                <c:formatCode>0.0%</c:formatCode>
                <c:ptCount val="5"/>
                <c:pt idx="0">
                  <c:v>0.90014524328249823</c:v>
                </c:pt>
                <c:pt idx="1">
                  <c:v>0.91425908667287981</c:v>
                </c:pt>
                <c:pt idx="2">
                  <c:v>0.87339380196523053</c:v>
                </c:pt>
                <c:pt idx="3">
                  <c:v>0.83524173027989823</c:v>
                </c:pt>
                <c:pt idx="4">
                  <c:v>0.85988149180899265</c:v>
                </c:pt>
              </c:numCache>
            </c:numRef>
          </c:val>
          <c:smooth val="0"/>
          <c:extLst>
            <c:ext xmlns:c16="http://schemas.microsoft.com/office/drawing/2014/chart" uri="{C3380CC4-5D6E-409C-BE32-E72D297353CC}">
              <c16:uniqueId val="{00000002-5341-4DCA-9C6E-9E4DD0D6BB4B}"/>
            </c:ext>
          </c:extLst>
        </c:ser>
        <c:ser>
          <c:idx val="2"/>
          <c:order val="2"/>
          <c:tx>
            <c:strRef>
              <c:f>Assessments!$AK$40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Assessments!$Y$2:$AC$3</c:f>
              <c:strCache>
                <c:ptCount val="5"/>
                <c:pt idx="0">
                  <c:v>2019/20</c:v>
                </c:pt>
                <c:pt idx="1">
                  <c:v>2020/21</c:v>
                </c:pt>
                <c:pt idx="2">
                  <c:v>2021/22</c:v>
                </c:pt>
                <c:pt idx="3">
                  <c:v>2022/23</c:v>
                </c:pt>
                <c:pt idx="4">
                  <c:v>2023/24</c:v>
                </c:pt>
              </c:strCache>
            </c:strRef>
          </c:cat>
          <c:val>
            <c:numRef>
              <c:f>Assessments!$AW$40:$BA$40</c:f>
              <c:numCache>
                <c:formatCode>0.0%</c:formatCode>
                <c:ptCount val="5"/>
                <c:pt idx="0">
                  <c:v>0.87958630879093824</c:v>
                </c:pt>
                <c:pt idx="1">
                  <c:v>0.84015947807176516</c:v>
                </c:pt>
                <c:pt idx="2">
                  <c:v>0.81305754337810021</c:v>
                </c:pt>
                <c:pt idx="3">
                  <c:v>0.87788667342570692</c:v>
                </c:pt>
                <c:pt idx="4">
                  <c:v>0.77101280558789287</c:v>
                </c:pt>
              </c:numCache>
            </c:numRef>
          </c:val>
          <c:smooth val="0"/>
          <c:extLst>
            <c:ext xmlns:c16="http://schemas.microsoft.com/office/drawing/2014/chart" uri="{C3380CC4-5D6E-409C-BE32-E72D297353CC}">
              <c16:uniqueId val="{00000003-5341-4DCA-9C6E-9E4DD0D6BB4B}"/>
            </c:ext>
          </c:extLst>
        </c:ser>
        <c:ser>
          <c:idx val="5"/>
          <c:order val="3"/>
          <c:tx>
            <c:strRef>
              <c:f>Assessments!$AK$41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Assessments!$Y$2:$AC$3</c:f>
              <c:strCache>
                <c:ptCount val="5"/>
                <c:pt idx="0">
                  <c:v>2019/20</c:v>
                </c:pt>
                <c:pt idx="1">
                  <c:v>2020/21</c:v>
                </c:pt>
                <c:pt idx="2">
                  <c:v>2021/22</c:v>
                </c:pt>
                <c:pt idx="3">
                  <c:v>2022/23</c:v>
                </c:pt>
                <c:pt idx="4">
                  <c:v>2023/24</c:v>
                </c:pt>
              </c:strCache>
            </c:strRef>
          </c:cat>
          <c:val>
            <c:numRef>
              <c:f>Assessments!$AW$41:$BA$41</c:f>
              <c:numCache>
                <c:formatCode>0.0%</c:formatCode>
                <c:ptCount val="5"/>
                <c:pt idx="0">
                  <c:v>0.61008645533141215</c:v>
                </c:pt>
                <c:pt idx="1">
                  <c:v>0.65515075376884424</c:v>
                </c:pt>
                <c:pt idx="2">
                  <c:v>0.60661310259579726</c:v>
                </c:pt>
                <c:pt idx="3">
                  <c:v>0.60317887931034486</c:v>
                </c:pt>
                <c:pt idx="4">
                  <c:v>0.6623253611176888</c:v>
                </c:pt>
              </c:numCache>
            </c:numRef>
          </c:val>
          <c:smooth val="0"/>
          <c:extLst>
            <c:ext xmlns:c16="http://schemas.microsoft.com/office/drawing/2014/chart" uri="{C3380CC4-5D6E-409C-BE32-E72D297353CC}">
              <c16:uniqueId val="{00000004-5341-4DCA-9C6E-9E4DD0D6BB4B}"/>
            </c:ext>
          </c:extLst>
        </c:ser>
        <c:ser>
          <c:idx val="9"/>
          <c:order val="4"/>
          <c:tx>
            <c:strRef>
              <c:f>Assessments!$AK$42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Assessments!$Y$2:$AC$3</c:f>
              <c:strCache>
                <c:ptCount val="5"/>
                <c:pt idx="0">
                  <c:v>2019/20</c:v>
                </c:pt>
                <c:pt idx="1">
                  <c:v>2020/21</c:v>
                </c:pt>
                <c:pt idx="2">
                  <c:v>2021/22</c:v>
                </c:pt>
                <c:pt idx="3">
                  <c:v>2022/23</c:v>
                </c:pt>
                <c:pt idx="4">
                  <c:v>2023/24</c:v>
                </c:pt>
              </c:strCache>
            </c:strRef>
          </c:cat>
          <c:val>
            <c:numRef>
              <c:f>Assessments!$AW$42:$BA$42</c:f>
              <c:numCache>
                <c:formatCode>0.0%</c:formatCode>
                <c:ptCount val="5"/>
                <c:pt idx="0">
                  <c:v>0.92608563311688308</c:v>
                </c:pt>
                <c:pt idx="1">
                  <c:v>0.95910577971646671</c:v>
                </c:pt>
                <c:pt idx="2">
                  <c:v>0.96023281877010958</c:v>
                </c:pt>
                <c:pt idx="3">
                  <c:v>0.95063895520292097</c:v>
                </c:pt>
                <c:pt idx="4">
                  <c:v>0</c:v>
                </c:pt>
              </c:numCache>
            </c:numRef>
          </c:val>
          <c:smooth val="0"/>
          <c:extLst>
            <c:ext xmlns:c16="http://schemas.microsoft.com/office/drawing/2014/chart" uri="{C3380CC4-5D6E-409C-BE32-E72D297353CC}">
              <c16:uniqueId val="{00000005-5341-4DCA-9C6E-9E4DD0D6BB4B}"/>
            </c:ext>
          </c:extLst>
        </c:ser>
        <c:ser>
          <c:idx val="10"/>
          <c:order val="5"/>
          <c:tx>
            <c:strRef>
              <c:f>Assessments!$AK$43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Assessments!$Y$2:$AC$3</c:f>
              <c:strCache>
                <c:ptCount val="5"/>
                <c:pt idx="0">
                  <c:v>2019/20</c:v>
                </c:pt>
                <c:pt idx="1">
                  <c:v>2020/21</c:v>
                </c:pt>
                <c:pt idx="2">
                  <c:v>2021/22</c:v>
                </c:pt>
                <c:pt idx="3">
                  <c:v>2022/23</c:v>
                </c:pt>
                <c:pt idx="4">
                  <c:v>2023/24</c:v>
                </c:pt>
              </c:strCache>
            </c:strRef>
          </c:cat>
          <c:val>
            <c:numRef>
              <c:f>Assessments!$AW$43:$BA$43</c:f>
              <c:numCache>
                <c:formatCode>0.0%</c:formatCode>
                <c:ptCount val="5"/>
                <c:pt idx="0">
                  <c:v>0.94474436328993328</c:v>
                </c:pt>
                <c:pt idx="1">
                  <c:v>0.96679179901819234</c:v>
                </c:pt>
                <c:pt idx="2">
                  <c:v>0.96841349605168703</c:v>
                </c:pt>
                <c:pt idx="3">
                  <c:v>0.94288602476623706</c:v>
                </c:pt>
                <c:pt idx="4">
                  <c:v>0.96472663139329806</c:v>
                </c:pt>
              </c:numCache>
            </c:numRef>
          </c:val>
          <c:smooth val="0"/>
          <c:extLst>
            <c:ext xmlns:c16="http://schemas.microsoft.com/office/drawing/2014/chart" uri="{C3380CC4-5D6E-409C-BE32-E72D297353CC}">
              <c16:uniqueId val="{00000006-5341-4DCA-9C6E-9E4DD0D6BB4B}"/>
            </c:ext>
          </c:extLst>
        </c:ser>
        <c:ser>
          <c:idx val="11"/>
          <c:order val="6"/>
          <c:tx>
            <c:strRef>
              <c:f>Assessments!$AK$44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Assessments!$Y$2:$AC$3</c:f>
              <c:strCache>
                <c:ptCount val="5"/>
                <c:pt idx="0">
                  <c:v>2019/20</c:v>
                </c:pt>
                <c:pt idx="1">
                  <c:v>2020/21</c:v>
                </c:pt>
                <c:pt idx="2">
                  <c:v>2021/22</c:v>
                </c:pt>
                <c:pt idx="3">
                  <c:v>2022/23</c:v>
                </c:pt>
                <c:pt idx="4">
                  <c:v>2023/24</c:v>
                </c:pt>
              </c:strCache>
            </c:strRef>
          </c:cat>
          <c:val>
            <c:numRef>
              <c:f>Assessments!$AW$44:$BA$44</c:f>
              <c:numCache>
                <c:formatCode>0.0%</c:formatCode>
                <c:ptCount val="5"/>
                <c:pt idx="0">
                  <c:v>0.88020883689451801</c:v>
                </c:pt>
                <c:pt idx="1">
                  <c:v>0.89378746594005454</c:v>
                </c:pt>
                <c:pt idx="2">
                  <c:v>0.79006171525856561</c:v>
                </c:pt>
                <c:pt idx="3">
                  <c:v>0.76920850817537256</c:v>
                </c:pt>
                <c:pt idx="4">
                  <c:v>0.8484317343173432</c:v>
                </c:pt>
              </c:numCache>
            </c:numRef>
          </c:val>
          <c:smooth val="0"/>
          <c:extLst>
            <c:ext xmlns:c16="http://schemas.microsoft.com/office/drawing/2014/chart" uri="{C3380CC4-5D6E-409C-BE32-E72D297353CC}">
              <c16:uniqueId val="{00000007-5341-4DCA-9C6E-9E4DD0D6BB4B}"/>
            </c:ext>
          </c:extLst>
        </c:ser>
        <c:ser>
          <c:idx val="12"/>
          <c:order val="7"/>
          <c:tx>
            <c:strRef>
              <c:f>Assessments!$AK$45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Assessments!$Y$2:$AC$3</c:f>
              <c:strCache>
                <c:ptCount val="5"/>
                <c:pt idx="0">
                  <c:v>2019/20</c:v>
                </c:pt>
                <c:pt idx="1">
                  <c:v>2020/21</c:v>
                </c:pt>
                <c:pt idx="2">
                  <c:v>2021/22</c:v>
                </c:pt>
                <c:pt idx="3">
                  <c:v>2022/23</c:v>
                </c:pt>
                <c:pt idx="4">
                  <c:v>2023/24</c:v>
                </c:pt>
              </c:strCache>
            </c:strRef>
          </c:cat>
          <c:val>
            <c:numRef>
              <c:f>Assessments!$AW$45:$BA$45</c:f>
              <c:numCache>
                <c:formatCode>0.0%</c:formatCode>
                <c:ptCount val="5"/>
                <c:pt idx="0">
                  <c:v>0.95097623089983019</c:v>
                </c:pt>
                <c:pt idx="1">
                  <c:v>0.95901639344262291</c:v>
                </c:pt>
                <c:pt idx="2">
                  <c:v>0.88178025034770513</c:v>
                </c:pt>
                <c:pt idx="3">
                  <c:v>0.70180648354367736</c:v>
                </c:pt>
                <c:pt idx="4">
                  <c:v>0.78166263715826667</c:v>
                </c:pt>
              </c:numCache>
            </c:numRef>
          </c:val>
          <c:smooth val="0"/>
          <c:extLst>
            <c:ext xmlns:c16="http://schemas.microsoft.com/office/drawing/2014/chart" uri="{C3380CC4-5D6E-409C-BE32-E72D297353CC}">
              <c16:uniqueId val="{00000008-5341-4DCA-9C6E-9E4DD0D6BB4B}"/>
            </c:ext>
          </c:extLst>
        </c:ser>
        <c:ser>
          <c:idx val="13"/>
          <c:order val="8"/>
          <c:tx>
            <c:strRef>
              <c:f>Assessments!$AK$46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Assessments!$Y$2:$AC$3</c:f>
              <c:strCache>
                <c:ptCount val="5"/>
                <c:pt idx="0">
                  <c:v>2019/20</c:v>
                </c:pt>
                <c:pt idx="1">
                  <c:v>2020/21</c:v>
                </c:pt>
                <c:pt idx="2">
                  <c:v>2021/22</c:v>
                </c:pt>
                <c:pt idx="3">
                  <c:v>2022/23</c:v>
                </c:pt>
                <c:pt idx="4">
                  <c:v>2023/24</c:v>
                </c:pt>
              </c:strCache>
            </c:strRef>
          </c:cat>
          <c:val>
            <c:numRef>
              <c:f>Assessments!$AW$46:$BA$46</c:f>
              <c:numCache>
                <c:formatCode>0.0%</c:formatCode>
                <c:ptCount val="5"/>
                <c:pt idx="0">
                  <c:v>0.82929226736566186</c:v>
                </c:pt>
                <c:pt idx="1">
                  <c:v>0.91074474133030126</c:v>
                </c:pt>
                <c:pt idx="2">
                  <c:v>0.91507847533632292</c:v>
                </c:pt>
                <c:pt idx="3">
                  <c:v>0.79121421520236923</c:v>
                </c:pt>
                <c:pt idx="4">
                  <c:v>0.81092320487940117</c:v>
                </c:pt>
              </c:numCache>
            </c:numRef>
          </c:val>
          <c:smooth val="0"/>
          <c:extLst>
            <c:ext xmlns:c16="http://schemas.microsoft.com/office/drawing/2014/chart" uri="{C3380CC4-5D6E-409C-BE32-E72D297353CC}">
              <c16:uniqueId val="{00000009-5341-4DCA-9C6E-9E4DD0D6BB4B}"/>
            </c:ext>
          </c:extLst>
        </c:ser>
        <c:ser>
          <c:idx val="15"/>
          <c:order val="9"/>
          <c:tx>
            <c:strRef>
              <c:f>Assessments!$AK$47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Assessments!$Y$2:$AC$3</c:f>
              <c:strCache>
                <c:ptCount val="5"/>
                <c:pt idx="0">
                  <c:v>2019/20</c:v>
                </c:pt>
                <c:pt idx="1">
                  <c:v>2020/21</c:v>
                </c:pt>
                <c:pt idx="2">
                  <c:v>2021/22</c:v>
                </c:pt>
                <c:pt idx="3">
                  <c:v>2022/23</c:v>
                </c:pt>
                <c:pt idx="4">
                  <c:v>2023/24</c:v>
                </c:pt>
              </c:strCache>
            </c:strRef>
          </c:cat>
          <c:val>
            <c:numRef>
              <c:f>Assessments!$AW$47:$BA$47</c:f>
              <c:numCache>
                <c:formatCode>0.0%</c:formatCode>
                <c:ptCount val="5"/>
                <c:pt idx="0">
                  <c:v>0.63010967098703885</c:v>
                </c:pt>
                <c:pt idx="1">
                  <c:v>0.69193195216439274</c:v>
                </c:pt>
                <c:pt idx="2">
                  <c:v>0.70264354268395357</c:v>
                </c:pt>
                <c:pt idx="3">
                  <c:v>0.69277739009071881</c:v>
                </c:pt>
                <c:pt idx="4">
                  <c:v>0.81177786060380175</c:v>
                </c:pt>
              </c:numCache>
            </c:numRef>
          </c:val>
          <c:smooth val="0"/>
          <c:extLst>
            <c:ext xmlns:c16="http://schemas.microsoft.com/office/drawing/2014/chart" uri="{C3380CC4-5D6E-409C-BE32-E72D297353CC}">
              <c16:uniqueId val="{0000000A-5341-4DCA-9C6E-9E4DD0D6BB4B}"/>
            </c:ext>
          </c:extLst>
        </c:ser>
        <c:ser>
          <c:idx val="16"/>
          <c:order val="10"/>
          <c:tx>
            <c:strRef>
              <c:f>Assessments!$AK$48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Assessments!$Y$2:$AC$3</c:f>
              <c:strCache>
                <c:ptCount val="5"/>
                <c:pt idx="0">
                  <c:v>2019/20</c:v>
                </c:pt>
                <c:pt idx="1">
                  <c:v>2020/21</c:v>
                </c:pt>
                <c:pt idx="2">
                  <c:v>2021/22</c:v>
                </c:pt>
                <c:pt idx="3">
                  <c:v>2022/23</c:v>
                </c:pt>
                <c:pt idx="4">
                  <c:v>2023/24</c:v>
                </c:pt>
              </c:strCache>
            </c:strRef>
          </c:cat>
          <c:val>
            <c:numRef>
              <c:f>Assessments!$AW$48:$BA$48</c:f>
              <c:numCache>
                <c:formatCode>0.0%</c:formatCode>
                <c:ptCount val="5"/>
                <c:pt idx="0">
                  <c:v>0.97992277992277987</c:v>
                </c:pt>
                <c:pt idx="1">
                  <c:v>0.98246951219512191</c:v>
                </c:pt>
                <c:pt idx="2">
                  <c:v>0.97498562392179411</c:v>
                </c:pt>
                <c:pt idx="3">
                  <c:v>0.98233215547703179</c:v>
                </c:pt>
                <c:pt idx="4">
                  <c:v>1</c:v>
                </c:pt>
              </c:numCache>
            </c:numRef>
          </c:val>
          <c:smooth val="0"/>
          <c:extLst>
            <c:ext xmlns:c16="http://schemas.microsoft.com/office/drawing/2014/chart" uri="{C3380CC4-5D6E-409C-BE32-E72D297353CC}">
              <c16:uniqueId val="{0000000B-5341-4DCA-9C6E-9E4DD0D6BB4B}"/>
            </c:ext>
          </c:extLst>
        </c:ser>
        <c:ser>
          <c:idx val="17"/>
          <c:order val="11"/>
          <c:tx>
            <c:strRef>
              <c:f>Assessments!$AK$49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Assessments!$Y$2:$AC$3</c:f>
              <c:strCache>
                <c:ptCount val="5"/>
                <c:pt idx="0">
                  <c:v>2019/20</c:v>
                </c:pt>
                <c:pt idx="1">
                  <c:v>2020/21</c:v>
                </c:pt>
                <c:pt idx="2">
                  <c:v>2021/22</c:v>
                </c:pt>
                <c:pt idx="3">
                  <c:v>2022/23</c:v>
                </c:pt>
                <c:pt idx="4">
                  <c:v>2023/24</c:v>
                </c:pt>
              </c:strCache>
            </c:strRef>
          </c:cat>
          <c:val>
            <c:numRef>
              <c:f>Assessments!$AW$49:$BA$49</c:f>
              <c:numCache>
                <c:formatCode>0.0%</c:formatCode>
                <c:ptCount val="5"/>
                <c:pt idx="0">
                  <c:v>0.79992562290814428</c:v>
                </c:pt>
                <c:pt idx="1">
                  <c:v>0.84669811320754718</c:v>
                </c:pt>
                <c:pt idx="2">
                  <c:v>0.80423280423280419</c:v>
                </c:pt>
                <c:pt idx="3">
                  <c:v>0.62014925373134333</c:v>
                </c:pt>
                <c:pt idx="4">
                  <c:v>0.62125045175280091</c:v>
                </c:pt>
              </c:numCache>
            </c:numRef>
          </c:val>
          <c:smooth val="0"/>
          <c:extLst>
            <c:ext xmlns:c16="http://schemas.microsoft.com/office/drawing/2014/chart" uri="{C3380CC4-5D6E-409C-BE32-E72D297353CC}">
              <c16:uniqueId val="{0000000C-5341-4DCA-9C6E-9E4DD0D6BB4B}"/>
            </c:ext>
          </c:extLst>
        </c:ser>
        <c:ser>
          <c:idx val="19"/>
          <c:order val="12"/>
          <c:tx>
            <c:strRef>
              <c:f>Assessments!$AK$50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Assessments!$Y$2:$AC$3</c:f>
              <c:strCache>
                <c:ptCount val="5"/>
                <c:pt idx="0">
                  <c:v>2019/20</c:v>
                </c:pt>
                <c:pt idx="1">
                  <c:v>2020/21</c:v>
                </c:pt>
                <c:pt idx="2">
                  <c:v>2021/22</c:v>
                </c:pt>
                <c:pt idx="3">
                  <c:v>2022/23</c:v>
                </c:pt>
                <c:pt idx="4">
                  <c:v>2023/24</c:v>
                </c:pt>
              </c:strCache>
            </c:strRef>
          </c:cat>
          <c:val>
            <c:numRef>
              <c:f>Assessments!$AW$50:$BA$50</c:f>
              <c:numCache>
                <c:formatCode>0.0%</c:formatCode>
                <c:ptCount val="5"/>
                <c:pt idx="0">
                  <c:v>0.73904052936311004</c:v>
                </c:pt>
                <c:pt idx="1">
                  <c:v>0.80734447793916142</c:v>
                </c:pt>
                <c:pt idx="2">
                  <c:v>0.82403189066059224</c:v>
                </c:pt>
                <c:pt idx="3">
                  <c:v>0.88864265927977837</c:v>
                </c:pt>
                <c:pt idx="4">
                  <c:v>0.86434222092001167</c:v>
                </c:pt>
              </c:numCache>
            </c:numRef>
          </c:val>
          <c:smooth val="0"/>
          <c:extLst>
            <c:ext xmlns:c16="http://schemas.microsoft.com/office/drawing/2014/chart" uri="{C3380CC4-5D6E-409C-BE32-E72D297353CC}">
              <c16:uniqueId val="{0000000D-5341-4DCA-9C6E-9E4DD0D6BB4B}"/>
            </c:ext>
          </c:extLst>
        </c:ser>
        <c:ser>
          <c:idx val="20"/>
          <c:order val="13"/>
          <c:tx>
            <c:strRef>
              <c:f>Assessments!$AK$51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Assessments!$Y$2:$AC$3</c:f>
              <c:strCache>
                <c:ptCount val="5"/>
                <c:pt idx="0">
                  <c:v>2019/20</c:v>
                </c:pt>
                <c:pt idx="1">
                  <c:v>2020/21</c:v>
                </c:pt>
                <c:pt idx="2">
                  <c:v>2021/22</c:v>
                </c:pt>
                <c:pt idx="3">
                  <c:v>2022/23</c:v>
                </c:pt>
                <c:pt idx="4">
                  <c:v>2023/24</c:v>
                </c:pt>
              </c:strCache>
            </c:strRef>
          </c:cat>
          <c:val>
            <c:numRef>
              <c:f>Assessments!$AW$51:$BA$51</c:f>
              <c:numCache>
                <c:formatCode>0.0%</c:formatCode>
                <c:ptCount val="5"/>
                <c:pt idx="0">
                  <c:v>0.65254237288135597</c:v>
                </c:pt>
                <c:pt idx="1">
                  <c:v>0.8563631140476875</c:v>
                </c:pt>
                <c:pt idx="2">
                  <c:v>0.91300699300699306</c:v>
                </c:pt>
                <c:pt idx="3">
                  <c:v>0.81635842667361291</c:v>
                </c:pt>
                <c:pt idx="4">
                  <c:v>0.88084038883662585</c:v>
                </c:pt>
              </c:numCache>
            </c:numRef>
          </c:val>
          <c:smooth val="0"/>
          <c:extLst>
            <c:ext xmlns:c16="http://schemas.microsoft.com/office/drawing/2014/chart" uri="{C3380CC4-5D6E-409C-BE32-E72D297353CC}">
              <c16:uniqueId val="{0000000F-5341-4DCA-9C6E-9E4DD0D6BB4B}"/>
            </c:ext>
          </c:extLst>
        </c:ser>
        <c:ser>
          <c:idx val="22"/>
          <c:order val="14"/>
          <c:tx>
            <c:strRef>
              <c:f>Assessments!$AK$52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Assessments!$Y$2:$AC$3</c:f>
              <c:strCache>
                <c:ptCount val="5"/>
                <c:pt idx="0">
                  <c:v>2019/20</c:v>
                </c:pt>
                <c:pt idx="1">
                  <c:v>2020/21</c:v>
                </c:pt>
                <c:pt idx="2">
                  <c:v>2021/22</c:v>
                </c:pt>
                <c:pt idx="3">
                  <c:v>2022/23</c:v>
                </c:pt>
                <c:pt idx="4">
                  <c:v>2023/24</c:v>
                </c:pt>
              </c:strCache>
            </c:strRef>
          </c:cat>
          <c:val>
            <c:numRef>
              <c:f>Assessments!$AW$52:$BA$52</c:f>
              <c:numCache>
                <c:formatCode>0.0%</c:formatCode>
                <c:ptCount val="5"/>
                <c:pt idx="0">
                  <c:v>0.81808803301237965</c:v>
                </c:pt>
                <c:pt idx="1">
                  <c:v>0.88220958570268071</c:v>
                </c:pt>
                <c:pt idx="2">
                  <c:v>0.84475956925045315</c:v>
                </c:pt>
                <c:pt idx="3">
                  <c:v>0.72660525964490719</c:v>
                </c:pt>
                <c:pt idx="4">
                  <c:v>0.85218762317698071</c:v>
                </c:pt>
              </c:numCache>
            </c:numRef>
          </c:val>
          <c:smooth val="0"/>
          <c:extLst>
            <c:ext xmlns:c16="http://schemas.microsoft.com/office/drawing/2014/chart" uri="{C3380CC4-5D6E-409C-BE32-E72D297353CC}">
              <c16:uniqueId val="{00000010-5341-4DCA-9C6E-9E4DD0D6BB4B}"/>
            </c:ext>
          </c:extLst>
        </c:ser>
        <c:ser>
          <c:idx val="23"/>
          <c:order val="15"/>
          <c:tx>
            <c:strRef>
              <c:f>Assessments!$AK$53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Assessments!$Y$2:$AC$3</c:f>
              <c:strCache>
                <c:ptCount val="5"/>
                <c:pt idx="0">
                  <c:v>2019/20</c:v>
                </c:pt>
                <c:pt idx="1">
                  <c:v>2020/21</c:v>
                </c:pt>
                <c:pt idx="2">
                  <c:v>2021/22</c:v>
                </c:pt>
                <c:pt idx="3">
                  <c:v>2022/23</c:v>
                </c:pt>
                <c:pt idx="4">
                  <c:v>2023/24</c:v>
                </c:pt>
              </c:strCache>
            </c:strRef>
          </c:cat>
          <c:val>
            <c:numRef>
              <c:f>Assessments!$AW$53:$BA$53</c:f>
              <c:numCache>
                <c:formatCode>0.0%</c:formatCode>
                <c:ptCount val="5"/>
                <c:pt idx="0">
                  <c:v>0.99090422685928303</c:v>
                </c:pt>
                <c:pt idx="1">
                  <c:v>1</c:v>
                </c:pt>
                <c:pt idx="2">
                  <c:v>0.99275671069450366</c:v>
                </c:pt>
                <c:pt idx="3">
                  <c:v>0.97191997191997193</c:v>
                </c:pt>
                <c:pt idx="4">
                  <c:v>0.97381546134663344</c:v>
                </c:pt>
              </c:numCache>
            </c:numRef>
          </c:val>
          <c:smooth val="0"/>
          <c:extLst>
            <c:ext xmlns:c16="http://schemas.microsoft.com/office/drawing/2014/chart" uri="{C3380CC4-5D6E-409C-BE32-E72D297353CC}">
              <c16:uniqueId val="{00000013-5341-4DCA-9C6E-9E4DD0D6BB4B}"/>
            </c:ext>
          </c:extLst>
        </c:ser>
        <c:ser>
          <c:idx val="24"/>
          <c:order val="16"/>
          <c:tx>
            <c:strRef>
              <c:f>Assessments!$AK$54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Assessments!$Y$2:$AC$3</c:f>
              <c:strCache>
                <c:ptCount val="5"/>
                <c:pt idx="0">
                  <c:v>2019/20</c:v>
                </c:pt>
                <c:pt idx="1">
                  <c:v>2020/21</c:v>
                </c:pt>
                <c:pt idx="2">
                  <c:v>2021/22</c:v>
                </c:pt>
                <c:pt idx="3">
                  <c:v>2022/23</c:v>
                </c:pt>
                <c:pt idx="4">
                  <c:v>2023/24</c:v>
                </c:pt>
              </c:strCache>
            </c:strRef>
          </c:cat>
          <c:val>
            <c:numRef>
              <c:f>Assessments!$AW$54:$BA$54</c:f>
              <c:numCache>
                <c:formatCode>0.0%</c:formatCode>
                <c:ptCount val="5"/>
                <c:pt idx="0">
                  <c:v>0.87779690189328741</c:v>
                </c:pt>
                <c:pt idx="1">
                  <c:v>0.89021293221332287</c:v>
                </c:pt>
                <c:pt idx="2">
                  <c:v>0.8007628224430392</c:v>
                </c:pt>
                <c:pt idx="3">
                  <c:v>0.81411530815109345</c:v>
                </c:pt>
                <c:pt idx="4">
                  <c:v>0.89558514365802377</c:v>
                </c:pt>
              </c:numCache>
            </c:numRef>
          </c:val>
          <c:smooth val="0"/>
          <c:extLst>
            <c:ext xmlns:c16="http://schemas.microsoft.com/office/drawing/2014/chart" uri="{C3380CC4-5D6E-409C-BE32-E72D297353CC}">
              <c16:uniqueId val="{00000014-5341-4DCA-9C6E-9E4DD0D6BB4B}"/>
            </c:ext>
          </c:extLst>
        </c:ser>
        <c:ser>
          <c:idx val="25"/>
          <c:order val="17"/>
          <c:tx>
            <c:strRef>
              <c:f>Assessments!$AK$55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Assessments!$Y$2:$AC$3</c:f>
              <c:strCache>
                <c:ptCount val="5"/>
                <c:pt idx="0">
                  <c:v>2019/20</c:v>
                </c:pt>
                <c:pt idx="1">
                  <c:v>2020/21</c:v>
                </c:pt>
                <c:pt idx="2">
                  <c:v>2021/22</c:v>
                </c:pt>
                <c:pt idx="3">
                  <c:v>2022/23</c:v>
                </c:pt>
                <c:pt idx="4">
                  <c:v>2023/24</c:v>
                </c:pt>
              </c:strCache>
            </c:strRef>
          </c:cat>
          <c:val>
            <c:numRef>
              <c:f>Assessments!$AW$55:$BA$55</c:f>
              <c:numCache>
                <c:formatCode>0.0%</c:formatCode>
                <c:ptCount val="5"/>
                <c:pt idx="0">
                  <c:v>0.93063583815028905</c:v>
                </c:pt>
                <c:pt idx="1">
                  <c:v>0.97092198581560285</c:v>
                </c:pt>
                <c:pt idx="2">
                  <c:v>0.88374923919659165</c:v>
                </c:pt>
                <c:pt idx="3">
                  <c:v>0.82098360655737701</c:v>
                </c:pt>
                <c:pt idx="4">
                  <c:v>0.9036065573770492</c:v>
                </c:pt>
              </c:numCache>
            </c:numRef>
          </c:val>
          <c:smooth val="0"/>
          <c:extLst>
            <c:ext xmlns:c16="http://schemas.microsoft.com/office/drawing/2014/chart" uri="{C3380CC4-5D6E-409C-BE32-E72D297353CC}">
              <c16:uniqueId val="{00000015-5341-4DCA-9C6E-9E4DD0D6BB4B}"/>
            </c:ext>
          </c:extLst>
        </c:ser>
        <c:ser>
          <c:idx val="26"/>
          <c:order val="18"/>
          <c:tx>
            <c:strRef>
              <c:f>Assessments!$AK$56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Assessments!$Y$2:$AC$3</c:f>
              <c:strCache>
                <c:ptCount val="5"/>
                <c:pt idx="0">
                  <c:v>2019/20</c:v>
                </c:pt>
                <c:pt idx="1">
                  <c:v>2020/21</c:v>
                </c:pt>
                <c:pt idx="2">
                  <c:v>2021/22</c:v>
                </c:pt>
                <c:pt idx="3">
                  <c:v>2022/23</c:v>
                </c:pt>
                <c:pt idx="4">
                  <c:v>2023/24</c:v>
                </c:pt>
              </c:strCache>
            </c:strRef>
          </c:cat>
          <c:val>
            <c:numRef>
              <c:f>Assessments!$AW$56:$BA$56</c:f>
              <c:numCache>
                <c:formatCode>0.0%</c:formatCode>
                <c:ptCount val="5"/>
                <c:pt idx="0">
                  <c:v>0.78744939271255066</c:v>
                </c:pt>
                <c:pt idx="1">
                  <c:v>0.7397163120567376</c:v>
                </c:pt>
                <c:pt idx="2">
                  <c:v>0.65611510791366912</c:v>
                </c:pt>
                <c:pt idx="3">
                  <c:v>0.66711319490957799</c:v>
                </c:pt>
                <c:pt idx="4">
                  <c:v>0.81163251817580961</c:v>
                </c:pt>
              </c:numCache>
            </c:numRef>
          </c:val>
          <c:smooth val="0"/>
          <c:extLst>
            <c:ext xmlns:c16="http://schemas.microsoft.com/office/drawing/2014/chart" uri="{C3380CC4-5D6E-409C-BE32-E72D297353CC}">
              <c16:uniqueId val="{00000016-5341-4DCA-9C6E-9E4DD0D6BB4B}"/>
            </c:ext>
          </c:extLst>
        </c:ser>
        <c:ser>
          <c:idx val="4"/>
          <c:order val="19"/>
          <c:tx>
            <c:strRef>
              <c:f>Assessments!$AK$57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Assessments!$Y$2:$AC$3</c:f>
              <c:strCache>
                <c:ptCount val="5"/>
                <c:pt idx="0">
                  <c:v>2019/20</c:v>
                </c:pt>
                <c:pt idx="1">
                  <c:v>2020/21</c:v>
                </c:pt>
                <c:pt idx="2">
                  <c:v>2021/22</c:v>
                </c:pt>
                <c:pt idx="3">
                  <c:v>2022/23</c:v>
                </c:pt>
                <c:pt idx="4">
                  <c:v>2023/24</c:v>
                </c:pt>
              </c:strCache>
            </c:strRef>
          </c:cat>
          <c:val>
            <c:numRef>
              <c:f>Assessments!$AW$57:$BA$57</c:f>
              <c:numCache>
                <c:formatCode>0.0%</c:formatCode>
                <c:ptCount val="5"/>
                <c:pt idx="0">
                  <c:v>0.85129876006878447</c:v>
                </c:pt>
                <c:pt idx="1">
                  <c:v>0.88720933414827718</c:v>
                </c:pt>
                <c:pt idx="2">
                  <c:v>0.85665041197242309</c:v>
                </c:pt>
                <c:pt idx="3">
                  <c:v>0.82964436707286748</c:v>
                </c:pt>
                <c:pt idx="4">
                  <c:v>0.86387959866220732</c:v>
                </c:pt>
              </c:numCache>
            </c:numRef>
          </c:val>
          <c:smooth val="0"/>
          <c:extLst>
            <c:ext xmlns:c16="http://schemas.microsoft.com/office/drawing/2014/chart" uri="{C3380CC4-5D6E-409C-BE32-E72D297353CC}">
              <c16:uniqueId val="{00000017-5341-4DCA-9C6E-9E4DD0D6BB4B}"/>
            </c:ext>
          </c:extLst>
        </c:ser>
        <c:ser>
          <c:idx val="14"/>
          <c:order val="20"/>
          <c:tx>
            <c:strRef>
              <c:f>Assessments!$AK$58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Assessments!$Y$2:$AC$3</c:f>
              <c:strCache>
                <c:ptCount val="5"/>
                <c:pt idx="0">
                  <c:v>2019/20</c:v>
                </c:pt>
                <c:pt idx="1">
                  <c:v>2020/21</c:v>
                </c:pt>
                <c:pt idx="2">
                  <c:v>2021/22</c:v>
                </c:pt>
                <c:pt idx="3">
                  <c:v>2022/23</c:v>
                </c:pt>
                <c:pt idx="4">
                  <c:v>2023/24</c:v>
                </c:pt>
              </c:strCache>
            </c:strRef>
          </c:cat>
          <c:val>
            <c:numRef>
              <c:f>Assessments!$AW$58:$BA$58</c:f>
              <c:numCache>
                <c:formatCode>0.0%</c:formatCode>
                <c:ptCount val="5"/>
                <c:pt idx="0">
                  <c:v>0.83848095180867688</c:v>
                </c:pt>
                <c:pt idx="1">
                  <c:v>0.87573085402089523</c:v>
                </c:pt>
                <c:pt idx="2">
                  <c:v>0.84490055342831005</c:v>
                </c:pt>
                <c:pt idx="3">
                  <c:v>0.82491038059644572</c:v>
                </c:pt>
                <c:pt idx="4">
                  <c:v>0.84459543503949253</c:v>
                </c:pt>
              </c:numCache>
            </c:numRef>
          </c:val>
          <c:smooth val="0"/>
          <c:extLst>
            <c:ext xmlns:c16="http://schemas.microsoft.com/office/drawing/2014/chart" uri="{C3380CC4-5D6E-409C-BE32-E72D297353CC}">
              <c16:uniqueId val="{00000018-5341-4DCA-9C6E-9E4DD0D6BB4B}"/>
            </c:ext>
          </c:extLst>
        </c:ser>
        <c:ser>
          <c:idx val="6"/>
          <c:order val="21"/>
          <c:tx>
            <c:strRef>
              <c:f>Assessments!$AK$59</c:f>
              <c:strCache>
                <c:ptCount val="1"/>
                <c:pt idx="0">
                  <c:v>Selected LA- (none)</c:v>
                </c:pt>
              </c:strCache>
            </c:strRef>
          </c:tx>
          <c:spPr>
            <a:ln>
              <a:solidFill>
                <a:schemeClr val="tx1">
                  <a:lumMod val="75000"/>
                  <a:lumOff val="25000"/>
                </a:schemeClr>
              </a:solidFill>
            </a:ln>
          </c:spPr>
          <c:marker>
            <c:symbol val="circle"/>
            <c:size val="6"/>
            <c:spPr>
              <a:solidFill>
                <a:srgbClr val="66FF99"/>
              </a:solidFill>
              <a:ln>
                <a:solidFill>
                  <a:schemeClr val="tx1">
                    <a:lumMod val="75000"/>
                    <a:lumOff val="25000"/>
                  </a:schemeClr>
                </a:solidFill>
              </a:ln>
            </c:spPr>
          </c:marker>
          <c:cat>
            <c:strRef>
              <c:f>Assessments!$Y$2:$AC$3</c:f>
              <c:strCache>
                <c:ptCount val="5"/>
                <c:pt idx="0">
                  <c:v>2019/20</c:v>
                </c:pt>
                <c:pt idx="1">
                  <c:v>2020/21</c:v>
                </c:pt>
                <c:pt idx="2">
                  <c:v>2021/22</c:v>
                </c:pt>
                <c:pt idx="3">
                  <c:v>2022/23</c:v>
                </c:pt>
                <c:pt idx="4">
                  <c:v>2023/24</c:v>
                </c:pt>
              </c:strCache>
            </c:strRef>
          </c:cat>
          <c:val>
            <c:numRef>
              <c:f>Assessments!$AW$59:$BA$59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5341-4DCA-9C6E-9E4DD0D6BB4B}"/>
            </c:ext>
          </c:extLst>
        </c:ser>
        <c:dLbls>
          <c:showLegendKey val="0"/>
          <c:showVal val="0"/>
          <c:showCatName val="0"/>
          <c:showSerName val="0"/>
          <c:showPercent val="0"/>
          <c:showBubbleSize val="0"/>
        </c:dLbls>
        <c:marker val="1"/>
        <c:smooth val="0"/>
        <c:axId val="561498368"/>
        <c:axId val="561193344"/>
      </c:lineChart>
      <c:catAx>
        <c:axId val="561498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1193344"/>
        <c:crosses val="autoZero"/>
        <c:auto val="1"/>
        <c:lblAlgn val="ctr"/>
        <c:lblOffset val="100"/>
        <c:tickLblSkip val="1"/>
        <c:tickMarkSkip val="1"/>
        <c:noMultiLvlLbl val="0"/>
      </c:catAx>
      <c:valAx>
        <c:axId val="561193344"/>
        <c:scaling>
          <c:orientation val="minMax"/>
          <c:max val="1"/>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1498368"/>
        <c:crosses val="autoZero"/>
        <c:crossBetween val="between"/>
      </c:valAx>
      <c:spPr>
        <a:noFill/>
        <a:ln w="3175">
          <a:solidFill>
            <a:srgbClr val="000000"/>
          </a:solidFill>
          <a:prstDash val="solid"/>
        </a:ln>
      </c:spPr>
    </c:plotArea>
    <c:legend>
      <c:legendPos val="r"/>
      <c:layout>
        <c:manualLayout>
          <c:xMode val="edge"/>
          <c:yMode val="edge"/>
          <c:x val="0.66582075461911139"/>
          <c:y val="6.4010983242479322E-2"/>
          <c:w val="0.33417924538088867"/>
          <c:h val="0.92368132444982853"/>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Distance from Expected Rate of Assessments</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30967717627716601"/>
          <c:y val="0.13754659323684476"/>
          <c:w val="0.64711296832274368"/>
          <c:h val="0.80483344421018621"/>
        </c:manualLayout>
      </c:layout>
      <c:barChart>
        <c:barDir val="bar"/>
        <c:grouping val="clustered"/>
        <c:varyColors val="0"/>
        <c:ser>
          <c:idx val="2"/>
          <c:order val="0"/>
          <c:tx>
            <c:strRef>
              <c:f>Assessments!$S$7</c:f>
              <c:strCache>
                <c:ptCount val="1"/>
                <c:pt idx="0">
                  <c:v>Distance from 2024 Expected Rate based on IDACI</c:v>
                </c:pt>
              </c:strCache>
            </c:strRef>
          </c:tx>
          <c:spPr>
            <a:solidFill>
              <a:srgbClr val="FB994F"/>
            </a:solidFill>
            <a:ln w="25400">
              <a:noFill/>
            </a:ln>
          </c:spPr>
          <c:invertIfNegative val="0"/>
          <c:cat>
            <c:strRef>
              <c:f>Assessments!$X$74:$X$94</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Assessments!$T$11:$T$31</c:f>
              <c:numCache>
                <c:formatCode>0.0</c:formatCode>
                <c:ptCount val="21"/>
                <c:pt idx="0">
                  <c:v>99.980615604616389</c:v>
                </c:pt>
                <c:pt idx="1">
                  <c:v>94.757620517737337</c:v>
                </c:pt>
                <c:pt idx="2">
                  <c:v>284.0626568954354</c:v>
                </c:pt>
                <c:pt idx="3">
                  <c:v>-127.84517011013816</c:v>
                </c:pt>
                <c:pt idx="4">
                  <c:v>#N/A</c:v>
                </c:pt>
                <c:pt idx="5">
                  <c:v>1121.3576740820963</c:v>
                </c:pt>
                <c:pt idx="6">
                  <c:v>92.726494133986648</c:v>
                </c:pt>
                <c:pt idx="7">
                  <c:v>216.92143614715133</c:v>
                </c:pt>
                <c:pt idx="8">
                  <c:v>-18.770611426976927</c:v>
                </c:pt>
                <c:pt idx="9">
                  <c:v>-68.013456024479012</c:v>
                </c:pt>
                <c:pt idx="10">
                  <c:v>45.513904512500631</c:v>
                </c:pt>
                <c:pt idx="11">
                  <c:v>196.00017182112242</c:v>
                </c:pt>
                <c:pt idx="12">
                  <c:v>288.86294357165326</c:v>
                </c:pt>
                <c:pt idx="13">
                  <c:v>12.874262846573856</c:v>
                </c:pt>
                <c:pt idx="14">
                  <c:v>-98.716815489118062</c:v>
                </c:pt>
                <c:pt idx="15">
                  <c:v>288.20105912219799</c:v>
                </c:pt>
                <c:pt idx="16">
                  <c:v>41.095432373070196</c:v>
                </c:pt>
                <c:pt idx="17">
                  <c:v>90.475283840353654</c:v>
                </c:pt>
                <c:pt idx="18">
                  <c:v>30.66607636607813</c:v>
                </c:pt>
                <c:pt idx="19">
                  <c:v>230.96545986741546</c:v>
                </c:pt>
                <c:pt idx="20">
                  <c:v>-18.374036061721199</c:v>
                </c:pt>
              </c:numCache>
            </c:numRef>
          </c:val>
          <c:extLst>
            <c:ext xmlns:c16="http://schemas.microsoft.com/office/drawing/2014/chart" uri="{C3380CC4-5D6E-409C-BE32-E72D297353CC}">
              <c16:uniqueId val="{00000000-1623-4054-A155-1A7A3677B123}"/>
            </c:ext>
          </c:extLst>
        </c:ser>
        <c:ser>
          <c:idx val="0"/>
          <c:order val="1"/>
          <c:tx>
            <c:strRef>
              <c:f>Assessments!$Z$4</c:f>
              <c:strCache>
                <c:ptCount val="1"/>
                <c:pt idx="0">
                  <c:v>Selected LA- (none)</c:v>
                </c:pt>
              </c:strCache>
            </c:strRef>
          </c:tx>
          <c:spPr>
            <a:solidFill>
              <a:srgbClr val="66FF99"/>
            </a:solidFill>
            <a:ln w="12700">
              <a:solidFill>
                <a:srgbClr val="000000"/>
              </a:solidFill>
              <a:prstDash val="solid"/>
            </a:ln>
          </c:spPr>
          <c:invertIfNegative val="0"/>
          <c:cat>
            <c:strRef>
              <c:f>Assessments!$X$74:$X$94</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Assessments!$Z$74:$Z$94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1623-4054-A155-1A7A3677B123}"/>
            </c:ext>
          </c:extLst>
        </c:ser>
        <c:dLbls>
          <c:showLegendKey val="0"/>
          <c:showVal val="0"/>
          <c:showCatName val="0"/>
          <c:showSerName val="0"/>
          <c:showPercent val="0"/>
          <c:showBubbleSize val="0"/>
        </c:dLbls>
        <c:gapWidth val="40"/>
        <c:overlap val="100"/>
        <c:axId val="561223552"/>
        <c:axId val="561225088"/>
      </c:barChart>
      <c:catAx>
        <c:axId val="56122355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1225088"/>
        <c:crossesAt val="0"/>
        <c:auto val="1"/>
        <c:lblAlgn val="ctr"/>
        <c:lblOffset val="100"/>
        <c:noMultiLvlLbl val="0"/>
      </c:catAx>
      <c:valAx>
        <c:axId val="561225088"/>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1223552"/>
        <c:crosses val="max"/>
        <c:crossBetween val="between"/>
      </c:valAx>
      <c:spPr>
        <a:noFill/>
        <a:ln w="12700">
          <a:solidFill>
            <a:srgbClr val="000000"/>
          </a:solidFill>
          <a:prstDash val="solid"/>
        </a:ln>
      </c:spPr>
    </c:plotArea>
    <c:legend>
      <c:legendPos val="t"/>
      <c:layout>
        <c:manualLayout>
          <c:xMode val="edge"/>
          <c:yMode val="edge"/>
          <c:x val="0.12161668750321114"/>
          <c:y val="5.3972327533132435E-2"/>
          <c:w val="0.80298470654724186"/>
          <c:h val="5.941074495317715E-2"/>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Assessments!$AK$5</c:f>
          <c:strCache>
            <c:ptCount val="1"/>
            <c:pt idx="0">
              <c:v>Average Annual Change in Number of Assessments</c:v>
            </c:pt>
          </c:strCache>
        </c:strRef>
      </c:tx>
      <c:layout>
        <c:manualLayout>
          <c:xMode val="edge"/>
          <c:yMode val="edge"/>
          <c:x val="2.6894592721364376E-2"/>
          <c:y val="1.1152425391270536E-2"/>
        </c:manualLayout>
      </c:layout>
      <c:overlay val="0"/>
      <c:spPr>
        <a:noFill/>
        <a:ln w="25400">
          <a:noFill/>
        </a:ln>
      </c:spPr>
      <c:txPr>
        <a:bodyPr/>
        <a:lstStyle/>
        <a:p>
          <a:pPr algn="l">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29337722602552763"/>
          <c:y val="0.13343135348822138"/>
          <c:w val="0.667775557666481"/>
          <c:h val="0.80894867308253138"/>
        </c:manualLayout>
      </c:layout>
      <c:barChart>
        <c:barDir val="bar"/>
        <c:grouping val="clustered"/>
        <c:varyColors val="0"/>
        <c:ser>
          <c:idx val="0"/>
          <c:order val="0"/>
          <c:tx>
            <c:strRef>
              <c:f>Assessments!$I$7</c:f>
              <c:strCache>
                <c:ptCount val="1"/>
                <c:pt idx="0">
                  <c:v>Average Annual Change </c:v>
                </c:pt>
              </c:strCache>
            </c:strRef>
          </c:tx>
          <c:spPr>
            <a:solidFill>
              <a:srgbClr val="FB994F"/>
            </a:solidFill>
            <a:ln w="25400">
              <a:noFill/>
            </a:ln>
          </c:spPr>
          <c:invertIfNegative val="0"/>
          <c:cat>
            <c:strRef>
              <c:f>Assessments!$B$11:$B$31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Assessments!$I$11:$I$31</c:f>
              <c:numCache>
                <c:formatCode>0.0%</c:formatCode>
                <c:ptCount val="21"/>
                <c:pt idx="0">
                  <c:v>-1.6620020104647526E-2</c:v>
                </c:pt>
                <c:pt idx="1">
                  <c:v>2.8240561575134552E-2</c:v>
                </c:pt>
                <c:pt idx="2">
                  <c:v>2.2353350356509795E-2</c:v>
                </c:pt>
                <c:pt idx="3">
                  <c:v>5.4666931544143649E-2</c:v>
                </c:pt>
                <c:pt idx="4">
                  <c:v>0.13436383202898139</c:v>
                </c:pt>
                <c:pt idx="5">
                  <c:v>6.4095296444866195E-2</c:v>
                </c:pt>
                <c:pt idx="6">
                  <c:v>1.5027094204214074E-2</c:v>
                </c:pt>
                <c:pt idx="7">
                  <c:v>5.9190383826277962E-2</c:v>
                </c:pt>
                <c:pt idx="8">
                  <c:v>4.8181824457661102E-2</c:v>
                </c:pt>
                <c:pt idx="9">
                  <c:v>-6.3190875425952669E-2</c:v>
                </c:pt>
                <c:pt idx="10">
                  <c:v>3.4710798703777974E-2</c:v>
                </c:pt>
                <c:pt idx="11">
                  <c:v>1.6143396322028287E-2</c:v>
                </c:pt>
                <c:pt idx="12">
                  <c:v>0.11761725372784165</c:v>
                </c:pt>
                <c:pt idx="13">
                  <c:v>-7.8013695236618025E-2</c:v>
                </c:pt>
                <c:pt idx="14">
                  <c:v>-1.7195006868671293E-2</c:v>
                </c:pt>
                <c:pt idx="15">
                  <c:v>7.9080675379596899E-2</c:v>
                </c:pt>
                <c:pt idx="16">
                  <c:v>-4.676694484851069E-2</c:v>
                </c:pt>
                <c:pt idx="17">
                  <c:v>6.4438846918688758E-2</c:v>
                </c:pt>
                <c:pt idx="18">
                  <c:v>1.1265126816749436E-3</c:v>
                </c:pt>
                <c:pt idx="19">
                  <c:v>5.3862494354215577E-2</c:v>
                </c:pt>
                <c:pt idx="20">
                  <c:v>-7.9375229557649852E-3</c:v>
                </c:pt>
              </c:numCache>
            </c:numRef>
          </c:val>
          <c:extLst>
            <c:ext xmlns:c16="http://schemas.microsoft.com/office/drawing/2014/chart" uri="{C3380CC4-5D6E-409C-BE32-E72D297353CC}">
              <c16:uniqueId val="{00000000-8E2A-4B50-9ECC-B5D736486C41}"/>
            </c:ext>
          </c:extLst>
        </c:ser>
        <c:ser>
          <c:idx val="1"/>
          <c:order val="1"/>
          <c:tx>
            <c:strRef>
              <c:f>Assessments!$Z$4</c:f>
              <c:strCache>
                <c:ptCount val="1"/>
                <c:pt idx="0">
                  <c:v>Selected LA- (none)</c:v>
                </c:pt>
              </c:strCache>
            </c:strRef>
          </c:tx>
          <c:spPr>
            <a:solidFill>
              <a:srgbClr val="66FF99"/>
            </a:solidFill>
            <a:ln w="12700">
              <a:solidFill>
                <a:srgbClr val="000000"/>
              </a:solidFill>
              <a:prstDash val="solid"/>
            </a:ln>
          </c:spPr>
          <c:invertIfNegative val="0"/>
          <c:cat>
            <c:strRef>
              <c:f>Assessments!$B$11:$B$31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Assessments!$Y$74:$Y$94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8E2A-4B50-9ECC-B5D736486C41}"/>
            </c:ext>
          </c:extLst>
        </c:ser>
        <c:dLbls>
          <c:showLegendKey val="0"/>
          <c:showVal val="0"/>
          <c:showCatName val="0"/>
          <c:showSerName val="0"/>
          <c:showPercent val="0"/>
          <c:showBubbleSize val="0"/>
        </c:dLbls>
        <c:gapWidth val="40"/>
        <c:overlap val="100"/>
        <c:axId val="561336704"/>
        <c:axId val="561338240"/>
      </c:barChart>
      <c:catAx>
        <c:axId val="56133670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1338240"/>
        <c:crosses val="autoZero"/>
        <c:auto val="1"/>
        <c:lblAlgn val="ctr"/>
        <c:lblOffset val="100"/>
        <c:noMultiLvlLbl val="0"/>
      </c:catAx>
      <c:valAx>
        <c:axId val="561338240"/>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1336704"/>
        <c:crosses val="max"/>
        <c:crossBetween val="between"/>
      </c:valAx>
      <c:spPr>
        <a:noFill/>
        <a:ln w="3175">
          <a:solidFill>
            <a:srgbClr val="000000"/>
          </a:solidFill>
          <a:prstDash val="solid"/>
        </a:ln>
      </c:spPr>
    </c:plotArea>
    <c:legend>
      <c:legendPos val="t"/>
      <c:layout>
        <c:manualLayout>
          <c:xMode val="edge"/>
          <c:yMode val="edge"/>
          <c:x val="0.23090656970967496"/>
          <c:y val="7.1894138232720908E-2"/>
          <c:w val="0.71879546223809065"/>
          <c:h val="4.089223042176466E-2"/>
        </c:manualLayout>
      </c:layout>
      <c:overlay val="0"/>
      <c:spPr>
        <a:noFill/>
        <a:ln w="12700">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Assessments completed in 45 Days</a:t>
            </a:r>
            <a:r>
              <a:rPr lang="en-GB" sz="1100" baseline="0"/>
              <a:t> </a:t>
            </a:r>
            <a:r>
              <a:rPr lang="en-GB" sz="1100"/>
              <a:t>(Selected LA</a:t>
            </a:r>
            <a:r>
              <a:rPr lang="en-GB" sz="1100" baseline="0"/>
              <a:t> vs. SE &amp; National)</a:t>
            </a:r>
            <a:r>
              <a:rPr lang="en-GB" sz="1100"/>
              <a:t> </a:t>
            </a:r>
          </a:p>
        </c:rich>
      </c:tx>
      <c:layout>
        <c:manualLayout>
          <c:xMode val="edge"/>
          <c:yMode val="edge"/>
          <c:x val="0.15377777777777779"/>
          <c:y val="2.5360466305348196E-4"/>
        </c:manualLayout>
      </c:layout>
      <c:overlay val="0"/>
      <c:spPr>
        <a:noFill/>
        <a:ln w="25400">
          <a:noFill/>
        </a:ln>
      </c:spPr>
    </c:title>
    <c:autoTitleDeleted val="0"/>
    <c:plotArea>
      <c:layout>
        <c:manualLayout>
          <c:layoutTarget val="inner"/>
          <c:xMode val="edge"/>
          <c:yMode val="edge"/>
          <c:x val="9.8666589052626222E-2"/>
          <c:y val="0.23346788547983227"/>
          <c:w val="0.61102242378773319"/>
          <c:h val="0.53924123120973511"/>
        </c:manualLayout>
      </c:layout>
      <c:barChart>
        <c:barDir val="col"/>
        <c:grouping val="clustered"/>
        <c:varyColors val="0"/>
        <c:ser>
          <c:idx val="6"/>
          <c:order val="0"/>
          <c:tx>
            <c:strRef>
              <c:f>Assessments!$Z$4</c:f>
              <c:strCache>
                <c:ptCount val="1"/>
                <c:pt idx="0">
                  <c:v>Selected LA- (none)</c:v>
                </c:pt>
              </c:strCache>
            </c:strRef>
          </c:tx>
          <c:spPr>
            <a:solidFill>
              <a:srgbClr val="66FF99"/>
            </a:solidFill>
            <a:ln>
              <a:solidFill>
                <a:schemeClr val="tx1">
                  <a:lumMod val="75000"/>
                  <a:lumOff val="25000"/>
                </a:schemeClr>
              </a:solidFill>
            </a:ln>
          </c:spPr>
          <c:invertIfNegative val="0"/>
          <c:cat>
            <c:strRef>
              <c:f>Assessments!$Y$2:$AC$3</c:f>
              <c:strCache>
                <c:ptCount val="5"/>
                <c:pt idx="0">
                  <c:v>2019/20</c:v>
                </c:pt>
                <c:pt idx="1">
                  <c:v>2020/21</c:v>
                </c:pt>
                <c:pt idx="2">
                  <c:v>2021/22</c:v>
                </c:pt>
                <c:pt idx="3">
                  <c:v>2022/23</c:v>
                </c:pt>
                <c:pt idx="4">
                  <c:v>2023/24</c:v>
                </c:pt>
              </c:strCache>
            </c:strRef>
          </c:cat>
          <c:val>
            <c:numRef>
              <c:f>Assessments!$AW$59:$BA$59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AF6E-47AA-BCBE-2179D04A2CDD}"/>
            </c:ext>
          </c:extLst>
        </c:ser>
        <c:ser>
          <c:idx val="4"/>
          <c:order val="1"/>
          <c:tx>
            <c:strRef>
              <c:f>Assessments!$B$128</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Assessments!$Y$2:$AC$3</c:f>
              <c:strCache>
                <c:ptCount val="5"/>
                <c:pt idx="0">
                  <c:v>2019/20</c:v>
                </c:pt>
                <c:pt idx="1">
                  <c:v>2020/21</c:v>
                </c:pt>
                <c:pt idx="2">
                  <c:v>2021/22</c:v>
                </c:pt>
                <c:pt idx="3">
                  <c:v>2022/23</c:v>
                </c:pt>
                <c:pt idx="4">
                  <c:v>2023/24</c:v>
                </c:pt>
              </c:strCache>
            </c:strRef>
          </c:cat>
          <c:val>
            <c:numRef>
              <c:f>Assessments!$D$128:$H$128</c:f>
              <c:numCache>
                <c:formatCode>0%</c:formatCode>
                <c:ptCount val="5"/>
                <c:pt idx="0">
                  <c:v>0.85129876006878447</c:v>
                </c:pt>
                <c:pt idx="1">
                  <c:v>0.88720933414827718</c:v>
                </c:pt>
                <c:pt idx="2">
                  <c:v>0.85665041197242309</c:v>
                </c:pt>
                <c:pt idx="3">
                  <c:v>0.82964436707286748</c:v>
                </c:pt>
                <c:pt idx="4">
                  <c:v>0.86387959866220732</c:v>
                </c:pt>
              </c:numCache>
            </c:numRef>
          </c:val>
          <c:extLst>
            <c:ext xmlns:c16="http://schemas.microsoft.com/office/drawing/2014/chart" uri="{C3380CC4-5D6E-409C-BE32-E72D297353CC}">
              <c16:uniqueId val="{00000001-AF6E-47AA-BCBE-2179D04A2CDD}"/>
            </c:ext>
          </c:extLst>
        </c:ser>
        <c:ser>
          <c:idx val="0"/>
          <c:order val="2"/>
          <c:tx>
            <c:strRef>
              <c:f>Assessments!$B$129</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Assessments!$Y$2:$AC$3</c:f>
              <c:strCache>
                <c:ptCount val="5"/>
                <c:pt idx="0">
                  <c:v>2019/20</c:v>
                </c:pt>
                <c:pt idx="1">
                  <c:v>2020/21</c:v>
                </c:pt>
                <c:pt idx="2">
                  <c:v>2021/22</c:v>
                </c:pt>
                <c:pt idx="3">
                  <c:v>2022/23</c:v>
                </c:pt>
                <c:pt idx="4">
                  <c:v>2023/24</c:v>
                </c:pt>
              </c:strCache>
            </c:strRef>
          </c:cat>
          <c:val>
            <c:numRef>
              <c:f>Assessments!$D$129:$H$129</c:f>
              <c:numCache>
                <c:formatCode>0%</c:formatCode>
                <c:ptCount val="5"/>
                <c:pt idx="0">
                  <c:v>0.83848095180867688</c:v>
                </c:pt>
                <c:pt idx="1">
                  <c:v>0.87573085402089523</c:v>
                </c:pt>
                <c:pt idx="2">
                  <c:v>0.84490055342831005</c:v>
                </c:pt>
                <c:pt idx="3">
                  <c:v>0.82491038059644572</c:v>
                </c:pt>
                <c:pt idx="4">
                  <c:v>0.84459543503949253</c:v>
                </c:pt>
              </c:numCache>
            </c:numRef>
          </c:val>
          <c:extLst>
            <c:ext xmlns:c16="http://schemas.microsoft.com/office/drawing/2014/chart" uri="{C3380CC4-5D6E-409C-BE32-E72D297353CC}">
              <c16:uniqueId val="{00000002-AF6E-47AA-BCBE-2179D04A2CDD}"/>
            </c:ext>
          </c:extLst>
        </c:ser>
        <c:dLbls>
          <c:showLegendKey val="0"/>
          <c:showVal val="0"/>
          <c:showCatName val="0"/>
          <c:showSerName val="0"/>
          <c:showPercent val="0"/>
          <c:showBubbleSize val="0"/>
        </c:dLbls>
        <c:gapWidth val="100"/>
        <c:axId val="561379968"/>
        <c:axId val="561385856"/>
      </c:barChart>
      <c:catAx>
        <c:axId val="561379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1385856"/>
        <c:crosses val="autoZero"/>
        <c:auto val="1"/>
        <c:lblAlgn val="ctr"/>
        <c:lblOffset val="100"/>
        <c:noMultiLvlLbl val="0"/>
      </c:catAx>
      <c:valAx>
        <c:axId val="561385856"/>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1379968"/>
        <c:crosses val="autoZero"/>
        <c:crossBetween val="between"/>
      </c:valAx>
      <c:spPr>
        <a:noFill/>
        <a:ln w="3175">
          <a:solidFill>
            <a:srgbClr val="000000"/>
          </a:solidFill>
          <a:prstDash val="solid"/>
        </a:ln>
      </c:spPr>
    </c:plotArea>
    <c:legend>
      <c:legendPos val="r"/>
      <c:layout>
        <c:manualLayout>
          <c:xMode val="edge"/>
          <c:yMode val="edge"/>
          <c:x val="0.73254911968266945"/>
          <c:y val="0.22770278715160602"/>
          <c:w val="0.26415055114197888"/>
          <c:h val="0.6814378375116904"/>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100" b="1" i="0" u="none" strike="noStrike" baseline="0">
                <a:solidFill>
                  <a:srgbClr val="000000"/>
                </a:solidFill>
                <a:latin typeface="Arial"/>
                <a:ea typeface="Arial"/>
                <a:cs typeface="Arial"/>
              </a:defRPr>
            </a:pPr>
            <a:r>
              <a:rPr lang="en-GB" sz="1100"/>
              <a:t>Proportion of Assessments resulting in Step</a:t>
            </a:r>
            <a:r>
              <a:rPr lang="en-GB" sz="1100" baseline="0"/>
              <a:t>-down to Early Help</a:t>
            </a:r>
            <a:endParaRPr lang="en-GB" sz="1100"/>
          </a:p>
        </c:rich>
      </c:tx>
      <c:layout>
        <c:manualLayout>
          <c:xMode val="edge"/>
          <c:yMode val="edge"/>
          <c:x val="0.1080275590551181"/>
          <c:y val="8.4833139994174665E-3"/>
        </c:manualLayout>
      </c:layout>
      <c:overlay val="0"/>
      <c:spPr>
        <a:noFill/>
        <a:ln w="25400">
          <a:noFill/>
        </a:ln>
      </c:spPr>
    </c:title>
    <c:autoTitleDeleted val="0"/>
    <c:plotArea>
      <c:layout>
        <c:manualLayout>
          <c:layoutTarget val="inner"/>
          <c:xMode val="edge"/>
          <c:yMode val="edge"/>
          <c:x val="8.4472091716186193E-2"/>
          <c:y val="7.8463208236581192E-2"/>
          <c:w val="0.58401951315337142"/>
          <c:h val="0.86093686354378807"/>
        </c:manualLayout>
      </c:layout>
      <c:lineChart>
        <c:grouping val="standard"/>
        <c:varyColors val="0"/>
        <c:ser>
          <c:idx val="0"/>
          <c:order val="0"/>
          <c:tx>
            <c:strRef>
              <c:f>Assessments!$AK$38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2116-4D22-9FB4-7F4E0EA8213A}"/>
              </c:ext>
            </c:extLst>
          </c:dPt>
          <c:cat>
            <c:strRef>
              <c:f>Assessments!$Y$2:$AC$3</c:f>
              <c:strCache>
                <c:ptCount val="5"/>
                <c:pt idx="0">
                  <c:v>2019/20</c:v>
                </c:pt>
                <c:pt idx="1">
                  <c:v>2020/21</c:v>
                </c:pt>
                <c:pt idx="2">
                  <c:v>2021/22</c:v>
                </c:pt>
                <c:pt idx="3">
                  <c:v>2022/23</c:v>
                </c:pt>
                <c:pt idx="4">
                  <c:v>2023/24</c:v>
                </c:pt>
              </c:strCache>
            </c:strRef>
          </c:cat>
          <c:val>
            <c:numRef>
              <c:f>Assessments!$BB$38:$BF$38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2116-4D22-9FB4-7F4E0EA8213A}"/>
            </c:ext>
          </c:extLst>
        </c:ser>
        <c:ser>
          <c:idx val="1"/>
          <c:order val="1"/>
          <c:tx>
            <c:strRef>
              <c:f>Assessments!$AK$39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Assessments!$Y$2:$AC$3</c:f>
              <c:strCache>
                <c:ptCount val="5"/>
                <c:pt idx="0">
                  <c:v>2019/20</c:v>
                </c:pt>
                <c:pt idx="1">
                  <c:v>2020/21</c:v>
                </c:pt>
                <c:pt idx="2">
                  <c:v>2021/22</c:v>
                </c:pt>
                <c:pt idx="3">
                  <c:v>2022/23</c:v>
                </c:pt>
                <c:pt idx="4">
                  <c:v>2023/24</c:v>
                </c:pt>
              </c:strCache>
            </c:strRef>
          </c:cat>
          <c:val>
            <c:numRef>
              <c:f>Assessments!$BB$39:$BF$39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2116-4D22-9FB4-7F4E0EA8213A}"/>
            </c:ext>
          </c:extLst>
        </c:ser>
        <c:ser>
          <c:idx val="2"/>
          <c:order val="2"/>
          <c:tx>
            <c:strRef>
              <c:f>Assessments!$AK$40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Assessments!$Y$2:$AC$3</c:f>
              <c:strCache>
                <c:ptCount val="5"/>
                <c:pt idx="0">
                  <c:v>2019/20</c:v>
                </c:pt>
                <c:pt idx="1">
                  <c:v>2020/21</c:v>
                </c:pt>
                <c:pt idx="2">
                  <c:v>2021/22</c:v>
                </c:pt>
                <c:pt idx="3">
                  <c:v>2022/23</c:v>
                </c:pt>
                <c:pt idx="4">
                  <c:v>2023/24</c:v>
                </c:pt>
              </c:strCache>
            </c:strRef>
          </c:cat>
          <c:val>
            <c:numRef>
              <c:f>Assessments!$BB$40:$BF$40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2116-4D22-9FB4-7F4E0EA8213A}"/>
            </c:ext>
          </c:extLst>
        </c:ser>
        <c:ser>
          <c:idx val="5"/>
          <c:order val="3"/>
          <c:tx>
            <c:strRef>
              <c:f>Assessments!$AK$41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Assessments!$Y$2:$AC$3</c:f>
              <c:strCache>
                <c:ptCount val="5"/>
                <c:pt idx="0">
                  <c:v>2019/20</c:v>
                </c:pt>
                <c:pt idx="1">
                  <c:v>2020/21</c:v>
                </c:pt>
                <c:pt idx="2">
                  <c:v>2021/22</c:v>
                </c:pt>
                <c:pt idx="3">
                  <c:v>2022/23</c:v>
                </c:pt>
                <c:pt idx="4">
                  <c:v>2023/24</c:v>
                </c:pt>
              </c:strCache>
            </c:strRef>
          </c:cat>
          <c:val>
            <c:numRef>
              <c:f>Assessments!$BB$41:$BF$41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2116-4D22-9FB4-7F4E0EA8213A}"/>
            </c:ext>
          </c:extLst>
        </c:ser>
        <c:ser>
          <c:idx val="9"/>
          <c:order val="4"/>
          <c:tx>
            <c:strRef>
              <c:f>Assessments!$AK$42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Assessments!$Y$2:$AC$3</c:f>
              <c:strCache>
                <c:ptCount val="5"/>
                <c:pt idx="0">
                  <c:v>2019/20</c:v>
                </c:pt>
                <c:pt idx="1">
                  <c:v>2020/21</c:v>
                </c:pt>
                <c:pt idx="2">
                  <c:v>2021/22</c:v>
                </c:pt>
                <c:pt idx="3">
                  <c:v>2022/23</c:v>
                </c:pt>
                <c:pt idx="4">
                  <c:v>2023/24</c:v>
                </c:pt>
              </c:strCache>
            </c:strRef>
          </c:cat>
          <c:val>
            <c:numRef>
              <c:f>Assessments!$BB$42:$BF$42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2116-4D22-9FB4-7F4E0EA8213A}"/>
            </c:ext>
          </c:extLst>
        </c:ser>
        <c:ser>
          <c:idx val="10"/>
          <c:order val="5"/>
          <c:tx>
            <c:strRef>
              <c:f>Assessments!$AK$43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Assessments!$Y$2:$AC$3</c:f>
              <c:strCache>
                <c:ptCount val="5"/>
                <c:pt idx="0">
                  <c:v>2019/20</c:v>
                </c:pt>
                <c:pt idx="1">
                  <c:v>2020/21</c:v>
                </c:pt>
                <c:pt idx="2">
                  <c:v>2021/22</c:v>
                </c:pt>
                <c:pt idx="3">
                  <c:v>2022/23</c:v>
                </c:pt>
                <c:pt idx="4">
                  <c:v>2023/24</c:v>
                </c:pt>
              </c:strCache>
            </c:strRef>
          </c:cat>
          <c:val>
            <c:numRef>
              <c:f>Assessments!$BB$43:$BF$43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2116-4D22-9FB4-7F4E0EA8213A}"/>
            </c:ext>
          </c:extLst>
        </c:ser>
        <c:ser>
          <c:idx val="11"/>
          <c:order val="6"/>
          <c:tx>
            <c:strRef>
              <c:f>Assessments!$AK$44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Assessments!$Y$2:$AC$3</c:f>
              <c:strCache>
                <c:ptCount val="5"/>
                <c:pt idx="0">
                  <c:v>2019/20</c:v>
                </c:pt>
                <c:pt idx="1">
                  <c:v>2020/21</c:v>
                </c:pt>
                <c:pt idx="2">
                  <c:v>2021/22</c:v>
                </c:pt>
                <c:pt idx="3">
                  <c:v>2022/23</c:v>
                </c:pt>
                <c:pt idx="4">
                  <c:v>2023/24</c:v>
                </c:pt>
              </c:strCache>
            </c:strRef>
          </c:cat>
          <c:val>
            <c:numRef>
              <c:f>Assessments!$BB$44:$BF$44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2116-4D22-9FB4-7F4E0EA8213A}"/>
            </c:ext>
          </c:extLst>
        </c:ser>
        <c:ser>
          <c:idx val="12"/>
          <c:order val="7"/>
          <c:tx>
            <c:strRef>
              <c:f>Assessments!$AK$45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Assessments!$Y$2:$AC$3</c:f>
              <c:strCache>
                <c:ptCount val="5"/>
                <c:pt idx="0">
                  <c:v>2019/20</c:v>
                </c:pt>
                <c:pt idx="1">
                  <c:v>2020/21</c:v>
                </c:pt>
                <c:pt idx="2">
                  <c:v>2021/22</c:v>
                </c:pt>
                <c:pt idx="3">
                  <c:v>2022/23</c:v>
                </c:pt>
                <c:pt idx="4">
                  <c:v>2023/24</c:v>
                </c:pt>
              </c:strCache>
            </c:strRef>
          </c:cat>
          <c:val>
            <c:numRef>
              <c:f>Assessments!$BB$45:$BF$45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2116-4D22-9FB4-7F4E0EA8213A}"/>
            </c:ext>
          </c:extLst>
        </c:ser>
        <c:ser>
          <c:idx val="13"/>
          <c:order val="8"/>
          <c:tx>
            <c:strRef>
              <c:f>Assessments!$AK$46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Assessments!$Y$2:$AC$3</c:f>
              <c:strCache>
                <c:ptCount val="5"/>
                <c:pt idx="0">
                  <c:v>2019/20</c:v>
                </c:pt>
                <c:pt idx="1">
                  <c:v>2020/21</c:v>
                </c:pt>
                <c:pt idx="2">
                  <c:v>2021/22</c:v>
                </c:pt>
                <c:pt idx="3">
                  <c:v>2022/23</c:v>
                </c:pt>
                <c:pt idx="4">
                  <c:v>2023/24</c:v>
                </c:pt>
              </c:strCache>
            </c:strRef>
          </c:cat>
          <c:val>
            <c:numRef>
              <c:f>Assessments!$BB$46:$BF$46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2116-4D22-9FB4-7F4E0EA8213A}"/>
            </c:ext>
          </c:extLst>
        </c:ser>
        <c:ser>
          <c:idx val="15"/>
          <c:order val="9"/>
          <c:tx>
            <c:strRef>
              <c:f>Assessments!$AK$47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Assessments!$Y$2:$AC$3</c:f>
              <c:strCache>
                <c:ptCount val="5"/>
                <c:pt idx="0">
                  <c:v>2019/20</c:v>
                </c:pt>
                <c:pt idx="1">
                  <c:v>2020/21</c:v>
                </c:pt>
                <c:pt idx="2">
                  <c:v>2021/22</c:v>
                </c:pt>
                <c:pt idx="3">
                  <c:v>2022/23</c:v>
                </c:pt>
                <c:pt idx="4">
                  <c:v>2023/24</c:v>
                </c:pt>
              </c:strCache>
            </c:strRef>
          </c:cat>
          <c:val>
            <c:numRef>
              <c:f>Assessments!$BB$47:$BF$47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2116-4D22-9FB4-7F4E0EA8213A}"/>
            </c:ext>
          </c:extLst>
        </c:ser>
        <c:ser>
          <c:idx val="16"/>
          <c:order val="10"/>
          <c:tx>
            <c:strRef>
              <c:f>Assessments!$AK$48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Assessments!$Y$2:$AC$3</c:f>
              <c:strCache>
                <c:ptCount val="5"/>
                <c:pt idx="0">
                  <c:v>2019/20</c:v>
                </c:pt>
                <c:pt idx="1">
                  <c:v>2020/21</c:v>
                </c:pt>
                <c:pt idx="2">
                  <c:v>2021/22</c:v>
                </c:pt>
                <c:pt idx="3">
                  <c:v>2022/23</c:v>
                </c:pt>
                <c:pt idx="4">
                  <c:v>2023/24</c:v>
                </c:pt>
              </c:strCache>
            </c:strRef>
          </c:cat>
          <c:val>
            <c:numRef>
              <c:f>Assessments!$BB$48:$BF$48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2116-4D22-9FB4-7F4E0EA8213A}"/>
            </c:ext>
          </c:extLst>
        </c:ser>
        <c:ser>
          <c:idx val="17"/>
          <c:order val="11"/>
          <c:tx>
            <c:strRef>
              <c:f>Assessments!$AK$49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Assessments!$Y$2:$AC$3</c:f>
              <c:strCache>
                <c:ptCount val="5"/>
                <c:pt idx="0">
                  <c:v>2019/20</c:v>
                </c:pt>
                <c:pt idx="1">
                  <c:v>2020/21</c:v>
                </c:pt>
                <c:pt idx="2">
                  <c:v>2021/22</c:v>
                </c:pt>
                <c:pt idx="3">
                  <c:v>2022/23</c:v>
                </c:pt>
                <c:pt idx="4">
                  <c:v>2023/24</c:v>
                </c:pt>
              </c:strCache>
            </c:strRef>
          </c:cat>
          <c:val>
            <c:numRef>
              <c:f>Assessments!$BB$49:$BF$49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2116-4D22-9FB4-7F4E0EA8213A}"/>
            </c:ext>
          </c:extLst>
        </c:ser>
        <c:ser>
          <c:idx val="19"/>
          <c:order val="12"/>
          <c:tx>
            <c:strRef>
              <c:f>Assessments!$AK$50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Assessments!$Y$2:$AC$3</c:f>
              <c:strCache>
                <c:ptCount val="5"/>
                <c:pt idx="0">
                  <c:v>2019/20</c:v>
                </c:pt>
                <c:pt idx="1">
                  <c:v>2020/21</c:v>
                </c:pt>
                <c:pt idx="2">
                  <c:v>2021/22</c:v>
                </c:pt>
                <c:pt idx="3">
                  <c:v>2022/23</c:v>
                </c:pt>
                <c:pt idx="4">
                  <c:v>2023/24</c:v>
                </c:pt>
              </c:strCache>
            </c:strRef>
          </c:cat>
          <c:val>
            <c:numRef>
              <c:f>Assessments!$BB$50:$BF$50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2116-4D22-9FB4-7F4E0EA8213A}"/>
            </c:ext>
          </c:extLst>
        </c:ser>
        <c:ser>
          <c:idx val="20"/>
          <c:order val="13"/>
          <c:tx>
            <c:strRef>
              <c:f>Assessments!$AK$51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Assessments!$Y$2:$AC$3</c:f>
              <c:strCache>
                <c:ptCount val="5"/>
                <c:pt idx="0">
                  <c:v>2019/20</c:v>
                </c:pt>
                <c:pt idx="1">
                  <c:v>2020/21</c:v>
                </c:pt>
                <c:pt idx="2">
                  <c:v>2021/22</c:v>
                </c:pt>
                <c:pt idx="3">
                  <c:v>2022/23</c:v>
                </c:pt>
                <c:pt idx="4">
                  <c:v>2023/24</c:v>
                </c:pt>
              </c:strCache>
            </c:strRef>
          </c:cat>
          <c:val>
            <c:numRef>
              <c:f>Assessments!$BB$51:$BF$51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2116-4D22-9FB4-7F4E0EA8213A}"/>
            </c:ext>
          </c:extLst>
        </c:ser>
        <c:ser>
          <c:idx val="22"/>
          <c:order val="14"/>
          <c:tx>
            <c:strRef>
              <c:f>Assessments!$AK$52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Assessments!$Y$2:$AC$3</c:f>
              <c:strCache>
                <c:ptCount val="5"/>
                <c:pt idx="0">
                  <c:v>2019/20</c:v>
                </c:pt>
                <c:pt idx="1">
                  <c:v>2020/21</c:v>
                </c:pt>
                <c:pt idx="2">
                  <c:v>2021/22</c:v>
                </c:pt>
                <c:pt idx="3">
                  <c:v>2022/23</c:v>
                </c:pt>
                <c:pt idx="4">
                  <c:v>2023/24</c:v>
                </c:pt>
              </c:strCache>
            </c:strRef>
          </c:cat>
          <c:val>
            <c:numRef>
              <c:f>Assessments!$BB$52:$BF$52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2116-4D22-9FB4-7F4E0EA8213A}"/>
            </c:ext>
          </c:extLst>
        </c:ser>
        <c:ser>
          <c:idx val="23"/>
          <c:order val="15"/>
          <c:tx>
            <c:strRef>
              <c:f>Assessments!$AK$53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Assessments!$Y$2:$AC$3</c:f>
              <c:strCache>
                <c:ptCount val="5"/>
                <c:pt idx="0">
                  <c:v>2019/20</c:v>
                </c:pt>
                <c:pt idx="1">
                  <c:v>2020/21</c:v>
                </c:pt>
                <c:pt idx="2">
                  <c:v>2021/22</c:v>
                </c:pt>
                <c:pt idx="3">
                  <c:v>2022/23</c:v>
                </c:pt>
                <c:pt idx="4">
                  <c:v>2023/24</c:v>
                </c:pt>
              </c:strCache>
            </c:strRef>
          </c:cat>
          <c:val>
            <c:numRef>
              <c:f>Assessments!$BB$53:$BF$53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2116-4D22-9FB4-7F4E0EA8213A}"/>
            </c:ext>
          </c:extLst>
        </c:ser>
        <c:ser>
          <c:idx val="24"/>
          <c:order val="16"/>
          <c:tx>
            <c:strRef>
              <c:f>Assessments!$AK$54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Assessments!$Y$2:$AC$3</c:f>
              <c:strCache>
                <c:ptCount val="5"/>
                <c:pt idx="0">
                  <c:v>2019/20</c:v>
                </c:pt>
                <c:pt idx="1">
                  <c:v>2020/21</c:v>
                </c:pt>
                <c:pt idx="2">
                  <c:v>2021/22</c:v>
                </c:pt>
                <c:pt idx="3">
                  <c:v>2022/23</c:v>
                </c:pt>
                <c:pt idx="4">
                  <c:v>2023/24</c:v>
                </c:pt>
              </c:strCache>
            </c:strRef>
          </c:cat>
          <c:val>
            <c:numRef>
              <c:f>Assessments!$BB$54:$BF$54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2116-4D22-9FB4-7F4E0EA8213A}"/>
            </c:ext>
          </c:extLst>
        </c:ser>
        <c:ser>
          <c:idx val="25"/>
          <c:order val="17"/>
          <c:tx>
            <c:strRef>
              <c:f>Assessments!$AK$55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Assessments!$Y$2:$AC$3</c:f>
              <c:strCache>
                <c:ptCount val="5"/>
                <c:pt idx="0">
                  <c:v>2019/20</c:v>
                </c:pt>
                <c:pt idx="1">
                  <c:v>2020/21</c:v>
                </c:pt>
                <c:pt idx="2">
                  <c:v>2021/22</c:v>
                </c:pt>
                <c:pt idx="3">
                  <c:v>2022/23</c:v>
                </c:pt>
                <c:pt idx="4">
                  <c:v>2023/24</c:v>
                </c:pt>
              </c:strCache>
            </c:strRef>
          </c:cat>
          <c:val>
            <c:numRef>
              <c:f>Assessments!$BB$55:$BF$55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2116-4D22-9FB4-7F4E0EA8213A}"/>
            </c:ext>
          </c:extLst>
        </c:ser>
        <c:ser>
          <c:idx val="26"/>
          <c:order val="18"/>
          <c:tx>
            <c:strRef>
              <c:f>Assessments!$AK$56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Assessments!$Y$2:$AC$3</c:f>
              <c:strCache>
                <c:ptCount val="5"/>
                <c:pt idx="0">
                  <c:v>2019/20</c:v>
                </c:pt>
                <c:pt idx="1">
                  <c:v>2020/21</c:v>
                </c:pt>
                <c:pt idx="2">
                  <c:v>2021/22</c:v>
                </c:pt>
                <c:pt idx="3">
                  <c:v>2022/23</c:v>
                </c:pt>
                <c:pt idx="4">
                  <c:v>2023/24</c:v>
                </c:pt>
              </c:strCache>
            </c:strRef>
          </c:cat>
          <c:val>
            <c:numRef>
              <c:f>Assessments!$BB$56:$BF$56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2116-4D22-9FB4-7F4E0EA8213A}"/>
            </c:ext>
          </c:extLst>
        </c:ser>
        <c:ser>
          <c:idx val="4"/>
          <c:order val="19"/>
          <c:tx>
            <c:strRef>
              <c:f>Assessments!$AK$57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Assessments!$Y$2:$AC$3</c:f>
              <c:strCache>
                <c:ptCount val="5"/>
                <c:pt idx="0">
                  <c:v>2019/20</c:v>
                </c:pt>
                <c:pt idx="1">
                  <c:v>2020/21</c:v>
                </c:pt>
                <c:pt idx="2">
                  <c:v>2021/22</c:v>
                </c:pt>
                <c:pt idx="3">
                  <c:v>2022/23</c:v>
                </c:pt>
                <c:pt idx="4">
                  <c:v>2023/24</c:v>
                </c:pt>
              </c:strCache>
            </c:strRef>
          </c:cat>
          <c:val>
            <c:numRef>
              <c:f>Assessments!$BB$57:$BF$57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2116-4D22-9FB4-7F4E0EA8213A}"/>
            </c:ext>
          </c:extLst>
        </c:ser>
        <c:ser>
          <c:idx val="14"/>
          <c:order val="20"/>
          <c:tx>
            <c:strRef>
              <c:f>Assessments!$AK$58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Assessments!$Y$2:$AC$3</c:f>
              <c:strCache>
                <c:ptCount val="5"/>
                <c:pt idx="0">
                  <c:v>2019/20</c:v>
                </c:pt>
                <c:pt idx="1">
                  <c:v>2020/21</c:v>
                </c:pt>
                <c:pt idx="2">
                  <c:v>2021/22</c:v>
                </c:pt>
                <c:pt idx="3">
                  <c:v>2022/23</c:v>
                </c:pt>
                <c:pt idx="4">
                  <c:v>2023/24</c:v>
                </c:pt>
              </c:strCache>
            </c:strRef>
          </c:cat>
          <c:val>
            <c:numRef>
              <c:f>Assessments!$BB$58:$BF$58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2116-4D22-9FB4-7F4E0EA8213A}"/>
            </c:ext>
          </c:extLst>
        </c:ser>
        <c:ser>
          <c:idx val="6"/>
          <c:order val="21"/>
          <c:tx>
            <c:strRef>
              <c:f>Assessments!$AK$59</c:f>
              <c:strCache>
                <c:ptCount val="1"/>
                <c:pt idx="0">
                  <c:v>Selected LA- (none)</c:v>
                </c:pt>
              </c:strCache>
            </c:strRef>
          </c:tx>
          <c:spPr>
            <a:ln>
              <a:solidFill>
                <a:srgbClr val="000000"/>
              </a:solidFill>
            </a:ln>
          </c:spPr>
          <c:marker>
            <c:symbol val="circle"/>
            <c:size val="6"/>
            <c:spPr>
              <a:solidFill>
                <a:srgbClr val="99FFCC"/>
              </a:solidFill>
              <a:ln>
                <a:solidFill>
                  <a:srgbClr val="000000"/>
                </a:solidFill>
              </a:ln>
            </c:spPr>
          </c:marker>
          <c:cat>
            <c:strRef>
              <c:f>Assessments!$Y$2:$AC$3</c:f>
              <c:strCache>
                <c:ptCount val="5"/>
                <c:pt idx="0">
                  <c:v>2019/20</c:v>
                </c:pt>
                <c:pt idx="1">
                  <c:v>2020/21</c:v>
                </c:pt>
                <c:pt idx="2">
                  <c:v>2021/22</c:v>
                </c:pt>
                <c:pt idx="3">
                  <c:v>2022/23</c:v>
                </c:pt>
                <c:pt idx="4">
                  <c:v>2023/24</c:v>
                </c:pt>
              </c:strCache>
            </c:strRef>
          </c:cat>
          <c:val>
            <c:numRef>
              <c:f>Assessments!$BB$59:$BF$59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2116-4D22-9FB4-7F4E0EA8213A}"/>
            </c:ext>
          </c:extLst>
        </c:ser>
        <c:dLbls>
          <c:showLegendKey val="0"/>
          <c:showVal val="0"/>
          <c:showCatName val="0"/>
          <c:showSerName val="0"/>
          <c:showPercent val="0"/>
          <c:showBubbleSize val="0"/>
        </c:dLbls>
        <c:marker val="1"/>
        <c:smooth val="0"/>
        <c:axId val="561904640"/>
        <c:axId val="561525888"/>
      </c:lineChart>
      <c:catAx>
        <c:axId val="561904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1525888"/>
        <c:crosses val="autoZero"/>
        <c:auto val="1"/>
        <c:lblAlgn val="ctr"/>
        <c:lblOffset val="100"/>
        <c:tickLblSkip val="1"/>
        <c:tickMarkSkip val="1"/>
        <c:noMultiLvlLbl val="0"/>
      </c:catAx>
      <c:valAx>
        <c:axId val="56152588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1904640"/>
        <c:crosses val="autoZero"/>
        <c:crossBetween val="between"/>
      </c:valAx>
      <c:spPr>
        <a:noFill/>
        <a:ln w="3175">
          <a:solidFill>
            <a:srgbClr val="000000"/>
          </a:solidFill>
          <a:prstDash val="solid"/>
        </a:ln>
      </c:spPr>
    </c:plotArea>
    <c:legend>
      <c:legendPos val="r"/>
      <c:layout>
        <c:manualLayout>
          <c:xMode val="edge"/>
          <c:yMode val="edge"/>
          <c:x val="0.66967352573651784"/>
          <c:y val="6.6018513449566427E-2"/>
          <c:w val="0.33032647426348216"/>
          <c:h val="0.93398148655043356"/>
        </c:manualLayout>
      </c:layout>
      <c:overlay val="0"/>
      <c:txPr>
        <a:bodyPr/>
        <a:lstStyle/>
        <a:p>
          <a:pPr>
            <a:defRPr sz="900"/>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en-GB" b="1"/>
              <a:t>% Assessments resulting in Step-down (Selected LA vs. SE &amp; National) </a:t>
            </a:r>
          </a:p>
        </c:rich>
      </c:tx>
      <c:layout>
        <c:manualLayout>
          <c:xMode val="edge"/>
          <c:yMode val="edge"/>
          <c:x val="0.15377777777777779"/>
          <c:y val="2.5360466305348196E-4"/>
        </c:manualLayout>
      </c:layout>
      <c:overlay val="0"/>
      <c:spPr>
        <a:noFill/>
        <a:ln w="25400">
          <a:noFill/>
        </a:ln>
      </c:spPr>
    </c:title>
    <c:autoTitleDeleted val="0"/>
    <c:plotArea>
      <c:layout>
        <c:manualLayout>
          <c:layoutTarget val="inner"/>
          <c:xMode val="edge"/>
          <c:yMode val="edge"/>
          <c:x val="9.8666564984461691E-2"/>
          <c:y val="0.235636771818617"/>
          <c:w val="0.6167274758971959"/>
          <c:h val="0.56078378133767759"/>
        </c:manualLayout>
      </c:layout>
      <c:barChart>
        <c:barDir val="col"/>
        <c:grouping val="clustered"/>
        <c:varyColors val="0"/>
        <c:ser>
          <c:idx val="6"/>
          <c:order val="0"/>
          <c:tx>
            <c:strRef>
              <c:f>Assessments!$Z$4</c:f>
              <c:strCache>
                <c:ptCount val="1"/>
                <c:pt idx="0">
                  <c:v>Selected LA- (none)</c:v>
                </c:pt>
              </c:strCache>
            </c:strRef>
          </c:tx>
          <c:spPr>
            <a:solidFill>
              <a:srgbClr val="66FF99"/>
            </a:solidFill>
            <a:ln>
              <a:solidFill>
                <a:schemeClr val="tx1">
                  <a:lumMod val="75000"/>
                  <a:lumOff val="25000"/>
                </a:schemeClr>
              </a:solidFill>
            </a:ln>
          </c:spPr>
          <c:invertIfNegative val="0"/>
          <c:cat>
            <c:strRef>
              <c:f>Assessments!$Y$2:$AC$3</c:f>
              <c:strCache>
                <c:ptCount val="5"/>
                <c:pt idx="0">
                  <c:v>2019/20</c:v>
                </c:pt>
                <c:pt idx="1">
                  <c:v>2020/21</c:v>
                </c:pt>
                <c:pt idx="2">
                  <c:v>2021/22</c:v>
                </c:pt>
                <c:pt idx="3">
                  <c:v>2022/23</c:v>
                </c:pt>
                <c:pt idx="4">
                  <c:v>2023/24</c:v>
                </c:pt>
              </c:strCache>
            </c:strRef>
          </c:cat>
          <c:val>
            <c:numRef>
              <c:f>Assessments!$BB$59:$BF$59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5BBC-4E83-85CF-4D9FFD45137E}"/>
            </c:ext>
          </c:extLst>
        </c:ser>
        <c:ser>
          <c:idx val="4"/>
          <c:order val="1"/>
          <c:tx>
            <c:strRef>
              <c:f>Assessments!$B$192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Assessments!$Y$2:$AC$3</c:f>
              <c:strCache>
                <c:ptCount val="5"/>
                <c:pt idx="0">
                  <c:v>2019/20</c:v>
                </c:pt>
                <c:pt idx="1">
                  <c:v>2020/21</c:v>
                </c:pt>
                <c:pt idx="2">
                  <c:v>2021/22</c:v>
                </c:pt>
                <c:pt idx="3">
                  <c:v>2022/23</c:v>
                </c:pt>
                <c:pt idx="4">
                  <c:v>2023/24</c:v>
                </c:pt>
              </c:strCache>
            </c:strRef>
          </c:cat>
          <c:val>
            <c:numRef>
              <c:f>Assessments!$D$192:$H$192</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5BBC-4E83-85CF-4D9FFD45137E}"/>
            </c:ext>
          </c:extLst>
        </c:ser>
        <c:ser>
          <c:idx val="0"/>
          <c:order val="2"/>
          <c:tx>
            <c:strRef>
              <c:f>Assessments!$B$193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Assessments!$Y$2:$AC$3</c:f>
              <c:strCache>
                <c:ptCount val="5"/>
                <c:pt idx="0">
                  <c:v>2019/20</c:v>
                </c:pt>
                <c:pt idx="1">
                  <c:v>2020/21</c:v>
                </c:pt>
                <c:pt idx="2">
                  <c:v>2021/22</c:v>
                </c:pt>
                <c:pt idx="3">
                  <c:v>2022/23</c:v>
                </c:pt>
                <c:pt idx="4">
                  <c:v>2023/24</c:v>
                </c:pt>
              </c:strCache>
            </c:strRef>
          </c:cat>
          <c:val>
            <c:numRef>
              <c:f>Assessments!$D$193:$H$193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2-5BBC-4E83-85CF-4D9FFD45137E}"/>
            </c:ext>
          </c:extLst>
        </c:ser>
        <c:dLbls>
          <c:showLegendKey val="0"/>
          <c:showVal val="0"/>
          <c:showCatName val="0"/>
          <c:showSerName val="0"/>
          <c:showPercent val="0"/>
          <c:showBubbleSize val="0"/>
        </c:dLbls>
        <c:gapWidth val="100"/>
        <c:axId val="561568768"/>
        <c:axId val="561570560"/>
      </c:barChart>
      <c:catAx>
        <c:axId val="561568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61570560"/>
        <c:crosses val="autoZero"/>
        <c:auto val="1"/>
        <c:lblAlgn val="ctr"/>
        <c:lblOffset val="100"/>
        <c:noMultiLvlLbl val="0"/>
      </c:catAx>
      <c:valAx>
        <c:axId val="561570560"/>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1568768"/>
        <c:crosses val="autoZero"/>
        <c:crossBetween val="between"/>
      </c:valAx>
      <c:spPr>
        <a:noFill/>
        <a:ln w="3175">
          <a:solidFill>
            <a:srgbClr val="000000"/>
          </a:solidFill>
          <a:prstDash val="solid"/>
        </a:ln>
      </c:spPr>
    </c:plotArea>
    <c:legend>
      <c:legendPos val="r"/>
      <c:layout>
        <c:manualLayout>
          <c:xMode val="edge"/>
          <c:yMode val="edge"/>
          <c:x val="0.7358493802136119"/>
          <c:y val="0.21128233970753657"/>
          <c:w val="0.2641506197863881"/>
          <c:h val="0.64344081989751278"/>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pPr>
            <a:r>
              <a:rPr lang="en-GB" sz="1100" b="1"/>
              <a:t>% Assessments resulting in NFA</a:t>
            </a:r>
          </a:p>
          <a:p>
            <a:pPr>
              <a:defRPr sz="1100" b="1"/>
            </a:pPr>
            <a:r>
              <a:rPr lang="en-GB" sz="1100" b="1"/>
              <a:t> (Selected LA vs. SE &amp; National) </a:t>
            </a:r>
          </a:p>
        </c:rich>
      </c:tx>
      <c:layout>
        <c:manualLayout>
          <c:xMode val="edge"/>
          <c:yMode val="edge"/>
          <c:x val="0.13668376068376067"/>
          <c:y val="2.5360466305348196E-4"/>
        </c:manualLayout>
      </c:layout>
      <c:overlay val="0"/>
      <c:spPr>
        <a:noFill/>
        <a:ln w="25400">
          <a:noFill/>
        </a:ln>
      </c:spPr>
    </c:title>
    <c:autoTitleDeleted val="0"/>
    <c:plotArea>
      <c:layout>
        <c:manualLayout>
          <c:layoutTarget val="inner"/>
          <c:xMode val="edge"/>
          <c:yMode val="edge"/>
          <c:x val="0.10645253501728126"/>
          <c:y val="0.22607358290739976"/>
          <c:w val="0.61967152620773891"/>
          <c:h val="0.5548359963776458"/>
        </c:manualLayout>
      </c:layout>
      <c:barChart>
        <c:barDir val="col"/>
        <c:grouping val="clustered"/>
        <c:varyColors val="0"/>
        <c:ser>
          <c:idx val="6"/>
          <c:order val="0"/>
          <c:tx>
            <c:strRef>
              <c:f>Assessments!$Z$4</c:f>
              <c:strCache>
                <c:ptCount val="1"/>
                <c:pt idx="0">
                  <c:v>Selected LA- (none)</c:v>
                </c:pt>
              </c:strCache>
            </c:strRef>
          </c:tx>
          <c:spPr>
            <a:solidFill>
              <a:srgbClr val="66FF99"/>
            </a:solidFill>
            <a:ln>
              <a:solidFill>
                <a:schemeClr val="tx1">
                  <a:lumMod val="75000"/>
                  <a:lumOff val="25000"/>
                </a:schemeClr>
              </a:solidFill>
            </a:ln>
          </c:spPr>
          <c:invertIfNegative val="0"/>
          <c:cat>
            <c:strRef>
              <c:f>Assessments!$Y$2:$AC$3</c:f>
              <c:strCache>
                <c:ptCount val="5"/>
                <c:pt idx="0">
                  <c:v>2019/20</c:v>
                </c:pt>
                <c:pt idx="1">
                  <c:v>2020/21</c:v>
                </c:pt>
                <c:pt idx="2">
                  <c:v>2021/22</c:v>
                </c:pt>
                <c:pt idx="3">
                  <c:v>2022/23</c:v>
                </c:pt>
                <c:pt idx="4">
                  <c:v>2023/24</c:v>
                </c:pt>
              </c:strCache>
            </c:strRef>
          </c:cat>
          <c:val>
            <c:numRef>
              <c:f>Assessments!$BG$59:$BK$59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5EE5-4C0E-8F03-9FB81ACA3018}"/>
            </c:ext>
          </c:extLst>
        </c:ser>
        <c:ser>
          <c:idx val="4"/>
          <c:order val="1"/>
          <c:tx>
            <c:strRef>
              <c:f>Assessments!$B$225</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Assessments!$Y$2:$AC$3</c:f>
              <c:strCache>
                <c:ptCount val="5"/>
                <c:pt idx="0">
                  <c:v>2019/20</c:v>
                </c:pt>
                <c:pt idx="1">
                  <c:v>2020/21</c:v>
                </c:pt>
                <c:pt idx="2">
                  <c:v>2021/22</c:v>
                </c:pt>
                <c:pt idx="3">
                  <c:v>2022/23</c:v>
                </c:pt>
                <c:pt idx="4">
                  <c:v>2023/24</c:v>
                </c:pt>
              </c:strCache>
            </c:strRef>
          </c:cat>
          <c:val>
            <c:numRef>
              <c:f>Assessments!$D$225:$H$225</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5EE5-4C0E-8F03-9FB81ACA3018}"/>
            </c:ext>
          </c:extLst>
        </c:ser>
        <c:ser>
          <c:idx val="0"/>
          <c:order val="2"/>
          <c:tx>
            <c:strRef>
              <c:f>Assessments!$B$226</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Assessments!$Y$2:$AC$3</c:f>
              <c:strCache>
                <c:ptCount val="5"/>
                <c:pt idx="0">
                  <c:v>2019/20</c:v>
                </c:pt>
                <c:pt idx="1">
                  <c:v>2020/21</c:v>
                </c:pt>
                <c:pt idx="2">
                  <c:v>2021/22</c:v>
                </c:pt>
                <c:pt idx="3">
                  <c:v>2022/23</c:v>
                </c:pt>
                <c:pt idx="4">
                  <c:v>2023/24</c:v>
                </c:pt>
              </c:strCache>
            </c:strRef>
          </c:cat>
          <c:val>
            <c:numRef>
              <c:f>Assessments!$D$226:$H$226</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2-5EE5-4C0E-8F03-9FB81ACA3018}"/>
            </c:ext>
          </c:extLst>
        </c:ser>
        <c:dLbls>
          <c:showLegendKey val="0"/>
          <c:showVal val="0"/>
          <c:showCatName val="0"/>
          <c:showSerName val="0"/>
          <c:showPercent val="0"/>
          <c:showBubbleSize val="0"/>
        </c:dLbls>
        <c:gapWidth val="100"/>
        <c:axId val="561674880"/>
        <c:axId val="561680768"/>
      </c:barChart>
      <c:catAx>
        <c:axId val="561674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61680768"/>
        <c:crosses val="autoZero"/>
        <c:auto val="1"/>
        <c:lblAlgn val="ctr"/>
        <c:lblOffset val="100"/>
        <c:noMultiLvlLbl val="0"/>
      </c:catAx>
      <c:valAx>
        <c:axId val="561680768"/>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1674880"/>
        <c:crosses val="autoZero"/>
        <c:crossBetween val="between"/>
      </c:valAx>
      <c:spPr>
        <a:noFill/>
        <a:ln w="3175">
          <a:solidFill>
            <a:srgbClr val="000000"/>
          </a:solidFill>
          <a:prstDash val="solid"/>
        </a:ln>
      </c:spPr>
    </c:plotArea>
    <c:legend>
      <c:legendPos val="r"/>
      <c:layout>
        <c:manualLayout>
          <c:xMode val="edge"/>
          <c:yMode val="edge"/>
          <c:x val="0.73254905018060856"/>
          <c:y val="0.21128233970753657"/>
          <c:w val="0.26745094981939138"/>
          <c:h val="0.64344081989751278"/>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Proportion of Single Assessments completed within each time band </a:t>
            </a:r>
          </a:p>
        </c:rich>
      </c:tx>
      <c:layout>
        <c:manualLayout>
          <c:xMode val="edge"/>
          <c:yMode val="edge"/>
          <c:x val="0.12231399646472763"/>
          <c:y val="8.7452255281276654E-3"/>
        </c:manualLayout>
      </c:layout>
      <c:overlay val="0"/>
      <c:spPr>
        <a:noFill/>
        <a:ln w="25400">
          <a:noFill/>
        </a:ln>
      </c:spPr>
    </c:title>
    <c:autoTitleDeleted val="0"/>
    <c:plotArea>
      <c:layout>
        <c:manualLayout>
          <c:layoutTarget val="inner"/>
          <c:xMode val="edge"/>
          <c:yMode val="edge"/>
          <c:x val="0.28766189940543146"/>
          <c:y val="0.12059584090450232"/>
          <c:w val="0.59469859124752267"/>
          <c:h val="0.83680952957803356"/>
        </c:manualLayout>
      </c:layout>
      <c:barChart>
        <c:barDir val="bar"/>
        <c:grouping val="percentStacked"/>
        <c:varyColors val="0"/>
        <c:ser>
          <c:idx val="0"/>
          <c:order val="0"/>
          <c:tx>
            <c:strRef>
              <c:f>Assessments!$D$140</c:f>
              <c:strCache>
                <c:ptCount val="1"/>
                <c:pt idx="0">
                  <c:v>Within 10 Days</c:v>
                </c:pt>
              </c:strCache>
            </c:strRef>
          </c:tx>
          <c:spPr>
            <a:solidFill>
              <a:srgbClr val="92D050"/>
            </a:solidFill>
            <a:ln>
              <a:solidFill>
                <a:schemeClr val="tx1"/>
              </a:solidFill>
            </a:ln>
          </c:spPr>
          <c:invertIfNegative val="0"/>
          <c:cat>
            <c:strRef>
              <c:f>Assessments!$B$141:$B$161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Assessments!$D$141:$D$161</c:f>
              <c:numCache>
                <c:formatCode>0%</c:formatCode>
                <c:ptCount val="21"/>
                <c:pt idx="0">
                  <c:v>0.23190442726633873</c:v>
                </c:pt>
                <c:pt idx="1">
                  <c:v>0.15684907633321715</c:v>
                </c:pt>
                <c:pt idx="2">
                  <c:v>0.2048894062863795</c:v>
                </c:pt>
                <c:pt idx="3">
                  <c:v>8.264267108690504E-2</c:v>
                </c:pt>
                <c:pt idx="4">
                  <c:v>#N/A</c:v>
                </c:pt>
                <c:pt idx="5">
                  <c:v>0.4494834971025447</c:v>
                </c:pt>
                <c:pt idx="6">
                  <c:v>0.13464022140221402</c:v>
                </c:pt>
                <c:pt idx="7">
                  <c:v>5.4491352055049284E-2</c:v>
                </c:pt>
                <c:pt idx="8">
                  <c:v>9.3706681452730797E-2</c:v>
                </c:pt>
                <c:pt idx="9">
                  <c:v>8.6656727543794262E-2</c:v>
                </c:pt>
                <c:pt idx="10">
                  <c:v>0.19252128841169938</c:v>
                </c:pt>
                <c:pt idx="11">
                  <c:v>4.6982291290206001E-2</c:v>
                </c:pt>
                <c:pt idx="12">
                  <c:v>#N/A</c:v>
                </c:pt>
                <c:pt idx="13">
                  <c:v>0.13609281906553777</c:v>
                </c:pt>
                <c:pt idx="14">
                  <c:v>6.3592169228747872E-2</c:v>
                </c:pt>
                <c:pt idx="15">
                  <c:v>0.36159600997506236</c:v>
                </c:pt>
                <c:pt idx="16">
                  <c:v>6.8792338238729267E-2</c:v>
                </c:pt>
                <c:pt idx="17">
                  <c:v>0.13836065573770492</c:v>
                </c:pt>
                <c:pt idx="18">
                  <c:v>#N/A</c:v>
                </c:pt>
                <c:pt idx="19">
                  <c:v>0.17123745819397992</c:v>
                </c:pt>
                <c:pt idx="20">
                  <c:v>0.12951676099259904</c:v>
                </c:pt>
              </c:numCache>
            </c:numRef>
          </c:val>
          <c:extLst>
            <c:ext xmlns:c16="http://schemas.microsoft.com/office/drawing/2014/chart" uri="{C3380CC4-5D6E-409C-BE32-E72D297353CC}">
              <c16:uniqueId val="{00000000-0ADC-40EB-8DE4-EC74B68A0F60}"/>
            </c:ext>
          </c:extLst>
        </c:ser>
        <c:ser>
          <c:idx val="1"/>
          <c:order val="1"/>
          <c:tx>
            <c:strRef>
              <c:f>Assessments!$E$140</c:f>
              <c:strCache>
                <c:ptCount val="1"/>
                <c:pt idx="0">
                  <c:v>11-20 Days</c:v>
                </c:pt>
              </c:strCache>
            </c:strRef>
          </c:tx>
          <c:spPr>
            <a:solidFill>
              <a:schemeClr val="accent3">
                <a:lumMod val="75000"/>
              </a:schemeClr>
            </a:solidFill>
            <a:ln>
              <a:solidFill>
                <a:srgbClr val="000000"/>
              </a:solidFill>
            </a:ln>
          </c:spPr>
          <c:invertIfNegative val="0"/>
          <c:cat>
            <c:strRef>
              <c:f>Assessments!$B$141:$B$161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Assessments!$E$141:$E$161</c:f>
              <c:numCache>
                <c:formatCode>0%</c:formatCode>
                <c:ptCount val="21"/>
                <c:pt idx="0">
                  <c:v>0.26563598032326069</c:v>
                </c:pt>
                <c:pt idx="1">
                  <c:v>0.12896479609620076</c:v>
                </c:pt>
                <c:pt idx="2">
                  <c:v>0.11036088474970897</c:v>
                </c:pt>
                <c:pt idx="3">
                  <c:v>0.13876391191096377</c:v>
                </c:pt>
                <c:pt idx="4">
                  <c:v>#N/A</c:v>
                </c:pt>
                <c:pt idx="5">
                  <c:v>0.32023179642227262</c:v>
                </c:pt>
                <c:pt idx="6">
                  <c:v>8.9898523985239856E-2</c:v>
                </c:pt>
                <c:pt idx="7">
                  <c:v>7.9040357076436668E-2</c:v>
                </c:pt>
                <c:pt idx="8">
                  <c:v>0.17798724701968394</c:v>
                </c:pt>
                <c:pt idx="9">
                  <c:v>0.15001863585538577</c:v>
                </c:pt>
                <c:pt idx="10">
                  <c:v>0.30729359496482783</c:v>
                </c:pt>
                <c:pt idx="11">
                  <c:v>0.11601011926273942</c:v>
                </c:pt>
                <c:pt idx="12">
                  <c:v>0.11456196894227952</c:v>
                </c:pt>
                <c:pt idx="13">
                  <c:v>0.13577924114142365</c:v>
                </c:pt>
                <c:pt idx="14">
                  <c:v>0.11141768492970701</c:v>
                </c:pt>
                <c:pt idx="15">
                  <c:v>0.16209476309226933</c:v>
                </c:pt>
                <c:pt idx="16">
                  <c:v>0.16398037841625787</c:v>
                </c:pt>
                <c:pt idx="17">
                  <c:v>0.23540983606557378</c:v>
                </c:pt>
                <c:pt idx="18">
                  <c:v>9.4514210178453406E-2</c:v>
                </c:pt>
                <c:pt idx="19">
                  <c:v>0.22625418060200669</c:v>
                </c:pt>
                <c:pt idx="20">
                  <c:v>0.17250761863299957</c:v>
                </c:pt>
              </c:numCache>
            </c:numRef>
          </c:val>
          <c:extLst>
            <c:ext xmlns:c16="http://schemas.microsoft.com/office/drawing/2014/chart" uri="{C3380CC4-5D6E-409C-BE32-E72D297353CC}">
              <c16:uniqueId val="{00000001-0ADC-40EB-8DE4-EC74B68A0F60}"/>
            </c:ext>
          </c:extLst>
        </c:ser>
        <c:ser>
          <c:idx val="2"/>
          <c:order val="2"/>
          <c:tx>
            <c:strRef>
              <c:f>Assessments!$F$140</c:f>
              <c:strCache>
                <c:ptCount val="1"/>
                <c:pt idx="0">
                  <c:v>21-30 Days</c:v>
                </c:pt>
              </c:strCache>
            </c:strRef>
          </c:tx>
          <c:spPr>
            <a:solidFill>
              <a:srgbClr val="FFC000"/>
            </a:solidFill>
            <a:ln>
              <a:solidFill>
                <a:srgbClr val="000000"/>
              </a:solidFill>
            </a:ln>
          </c:spPr>
          <c:invertIfNegative val="0"/>
          <c:cat>
            <c:strRef>
              <c:f>Assessments!$B$141:$B$161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Assessments!$F$141:$F$161</c:f>
              <c:numCache>
                <c:formatCode>0%</c:formatCode>
                <c:ptCount val="21"/>
                <c:pt idx="0">
                  <c:v>0.14968376669009137</c:v>
                </c:pt>
                <c:pt idx="1">
                  <c:v>0.15580341582432902</c:v>
                </c:pt>
                <c:pt idx="2">
                  <c:v>0.15552968568102446</c:v>
                </c:pt>
                <c:pt idx="3">
                  <c:v>0.14255268766279897</c:v>
                </c:pt>
                <c:pt idx="4">
                  <c:v>#N/A</c:v>
                </c:pt>
                <c:pt idx="5">
                  <c:v>8.1632653061224483E-2</c:v>
                </c:pt>
                <c:pt idx="6">
                  <c:v>0.17375461254612545</c:v>
                </c:pt>
                <c:pt idx="7">
                  <c:v>0.12032732006695183</c:v>
                </c:pt>
                <c:pt idx="8">
                  <c:v>0.2173551427779318</c:v>
                </c:pt>
                <c:pt idx="9">
                  <c:v>0.1738725307491614</c:v>
                </c:pt>
                <c:pt idx="10">
                  <c:v>0.24879674194742687</c:v>
                </c:pt>
                <c:pt idx="11">
                  <c:v>0.14889772316588362</c:v>
                </c:pt>
                <c:pt idx="12">
                  <c:v>0.27160855552300028</c:v>
                </c:pt>
                <c:pt idx="13">
                  <c:v>0.16023831922232676</c:v>
                </c:pt>
                <c:pt idx="14">
                  <c:v>0.10800157666535277</c:v>
                </c:pt>
                <c:pt idx="15">
                  <c:v>0.14256026600166252</c:v>
                </c:pt>
                <c:pt idx="16">
                  <c:v>0.16748423265592152</c:v>
                </c:pt>
                <c:pt idx="17">
                  <c:v>0.19409836065573771</c:v>
                </c:pt>
                <c:pt idx="18">
                  <c:v>0.10508922670191673</c:v>
                </c:pt>
                <c:pt idx="19">
                  <c:v>0.14096989966555185</c:v>
                </c:pt>
                <c:pt idx="20">
                  <c:v>0.15952484607251693</c:v>
                </c:pt>
              </c:numCache>
            </c:numRef>
          </c:val>
          <c:extLst>
            <c:ext xmlns:c16="http://schemas.microsoft.com/office/drawing/2014/chart" uri="{C3380CC4-5D6E-409C-BE32-E72D297353CC}">
              <c16:uniqueId val="{00000002-0ADC-40EB-8DE4-EC74B68A0F60}"/>
            </c:ext>
          </c:extLst>
        </c:ser>
        <c:ser>
          <c:idx val="3"/>
          <c:order val="3"/>
          <c:tx>
            <c:strRef>
              <c:f>Assessments!$G$140</c:f>
              <c:strCache>
                <c:ptCount val="1"/>
                <c:pt idx="0">
                  <c:v>31-45 Days</c:v>
                </c:pt>
              </c:strCache>
            </c:strRef>
          </c:tx>
          <c:spPr>
            <a:solidFill>
              <a:schemeClr val="accent6"/>
            </a:solidFill>
            <a:ln>
              <a:solidFill>
                <a:srgbClr val="000000"/>
              </a:solidFill>
            </a:ln>
          </c:spPr>
          <c:invertIfNegative val="0"/>
          <c:cat>
            <c:strRef>
              <c:f>Assessments!$B$141:$B$161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Assessments!$G$141:$G$161</c:f>
              <c:numCache>
                <c:formatCode>0%</c:formatCode>
                <c:ptCount val="21"/>
                <c:pt idx="0">
                  <c:v>0.17498243148278286</c:v>
                </c:pt>
                <c:pt idx="1">
                  <c:v>0.41826420355524574</c:v>
                </c:pt>
                <c:pt idx="2">
                  <c:v>0.30023282887077996</c:v>
                </c:pt>
                <c:pt idx="3">
                  <c:v>0.29836609045702106</c:v>
                </c:pt>
                <c:pt idx="4">
                  <c:v>#N/A</c:v>
                </c:pt>
                <c:pt idx="5">
                  <c:v>0.11337868480725624</c:v>
                </c:pt>
                <c:pt idx="6">
                  <c:v>0.45013837638376386</c:v>
                </c:pt>
                <c:pt idx="7">
                  <c:v>0.52780360795982895</c:v>
                </c:pt>
                <c:pt idx="8">
                  <c:v>0.32187413362905459</c:v>
                </c:pt>
                <c:pt idx="9">
                  <c:v>0.40122996645546033</c:v>
                </c:pt>
                <c:pt idx="10">
                  <c:v>0.25138837467604591</c:v>
                </c:pt>
                <c:pt idx="11">
                  <c:v>0.30936031803397179</c:v>
                </c:pt>
                <c:pt idx="12">
                  <c:v>0.4781716964547319</c:v>
                </c:pt>
                <c:pt idx="13">
                  <c:v>0.4487300094073377</c:v>
                </c:pt>
                <c:pt idx="14">
                  <c:v>0.56917619235317307</c:v>
                </c:pt>
                <c:pt idx="15">
                  <c:v>0.30756442227763925</c:v>
                </c:pt>
                <c:pt idx="16">
                  <c:v>0.49532819434711517</c:v>
                </c:pt>
                <c:pt idx="17">
                  <c:v>0.33573770491803279</c:v>
                </c:pt>
                <c:pt idx="18">
                  <c:v>0.61202908129543954</c:v>
                </c:pt>
                <c:pt idx="19">
                  <c:v>0.32541806020066888</c:v>
                </c:pt>
                <c:pt idx="20">
                  <c:v>0.38304620934137695</c:v>
                </c:pt>
              </c:numCache>
            </c:numRef>
          </c:val>
          <c:extLst>
            <c:ext xmlns:c16="http://schemas.microsoft.com/office/drawing/2014/chart" uri="{C3380CC4-5D6E-409C-BE32-E72D297353CC}">
              <c16:uniqueId val="{00000003-0ADC-40EB-8DE4-EC74B68A0F60}"/>
            </c:ext>
          </c:extLst>
        </c:ser>
        <c:ser>
          <c:idx val="4"/>
          <c:order val="4"/>
          <c:tx>
            <c:strRef>
              <c:f>Assessments!$H$140</c:f>
              <c:strCache>
                <c:ptCount val="1"/>
                <c:pt idx="0">
                  <c:v>Over 45 Days</c:v>
                </c:pt>
              </c:strCache>
            </c:strRef>
          </c:tx>
          <c:spPr>
            <a:solidFill>
              <a:srgbClr val="CB9763"/>
            </a:solidFill>
            <a:ln>
              <a:solidFill>
                <a:srgbClr val="000000"/>
              </a:solidFill>
            </a:ln>
          </c:spPr>
          <c:invertIfNegative val="0"/>
          <c:cat>
            <c:strRef>
              <c:f>Assessments!$B$141:$B$161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Assessments!$H$141:$H$161</c:f>
              <c:numCache>
                <c:formatCode>0%</c:formatCode>
                <c:ptCount val="21"/>
                <c:pt idx="0">
                  <c:v>0.17779339423752635</c:v>
                </c:pt>
                <c:pt idx="1">
                  <c:v>0.14011850819100732</c:v>
                </c:pt>
                <c:pt idx="2">
                  <c:v>0.2289871944121071</c:v>
                </c:pt>
                <c:pt idx="3">
                  <c:v>0.33767463888231114</c:v>
                </c:pt>
                <c:pt idx="4">
                  <c:v>#N/A</c:v>
                </c:pt>
                <c:pt idx="5">
                  <c:v>3.5273368606701938E-2</c:v>
                </c:pt>
                <c:pt idx="6">
                  <c:v>0.15156826568265683</c:v>
                </c:pt>
                <c:pt idx="7">
                  <c:v>0.2183373628417333</c:v>
                </c:pt>
                <c:pt idx="8">
                  <c:v>0.18907679512059883</c:v>
                </c:pt>
                <c:pt idx="9">
                  <c:v>0.18822213939619828</c:v>
                </c:pt>
                <c:pt idx="10">
                  <c:v>#N/A</c:v>
                </c:pt>
                <c:pt idx="11">
                  <c:v>0.37874954824719914</c:v>
                </c:pt>
                <c:pt idx="12">
                  <c:v>0.13565777907998827</c:v>
                </c:pt>
                <c:pt idx="13">
                  <c:v>0.1191596111633741</c:v>
                </c:pt>
                <c:pt idx="14">
                  <c:v>0.14781237682301931</c:v>
                </c:pt>
                <c:pt idx="15">
                  <c:v>2.6184538653366583E-2</c:v>
                </c:pt>
                <c:pt idx="16">
                  <c:v>0.10441485634197617</c:v>
                </c:pt>
                <c:pt idx="17">
                  <c:v>9.6393442622950826E-2</c:v>
                </c:pt>
                <c:pt idx="18">
                  <c:v>0.18836748182419036</c:v>
                </c:pt>
                <c:pt idx="19">
                  <c:v>0.13612040133779263</c:v>
                </c:pt>
                <c:pt idx="20">
                  <c:v>0.1554045649605075</c:v>
                </c:pt>
              </c:numCache>
            </c:numRef>
          </c:val>
          <c:extLst>
            <c:ext xmlns:c16="http://schemas.microsoft.com/office/drawing/2014/chart" uri="{C3380CC4-5D6E-409C-BE32-E72D297353CC}">
              <c16:uniqueId val="{00000004-0ADC-40EB-8DE4-EC74B68A0F60}"/>
            </c:ext>
          </c:extLst>
        </c:ser>
        <c:dLbls>
          <c:showLegendKey val="0"/>
          <c:showVal val="0"/>
          <c:showCatName val="0"/>
          <c:showSerName val="0"/>
          <c:showPercent val="0"/>
          <c:showBubbleSize val="0"/>
        </c:dLbls>
        <c:gapWidth val="50"/>
        <c:overlap val="100"/>
        <c:axId val="561731072"/>
        <c:axId val="561732608"/>
      </c:barChart>
      <c:barChart>
        <c:barDir val="bar"/>
        <c:grouping val="percentStacked"/>
        <c:varyColors val="0"/>
        <c:ser>
          <c:idx val="5"/>
          <c:order val="5"/>
          <c:tx>
            <c:strRef>
              <c:f>Assessments!$Z$4</c:f>
              <c:strCache>
                <c:ptCount val="1"/>
                <c:pt idx="0">
                  <c:v>Selected LA- (none)</c:v>
                </c:pt>
              </c:strCache>
            </c:strRef>
          </c:tx>
          <c:spPr>
            <a:noFill/>
            <a:ln w="31750">
              <a:solidFill>
                <a:srgbClr val="66FF99"/>
              </a:solidFill>
            </a:ln>
          </c:spPr>
          <c:invertIfNegative val="0"/>
          <c:val>
            <c:numRef>
              <c:f>Assessments!$AF$141:$AF$161</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C0B9-45AA-B802-A32BF918B1F8}"/>
            </c:ext>
          </c:extLst>
        </c:ser>
        <c:dLbls>
          <c:showLegendKey val="0"/>
          <c:showVal val="0"/>
          <c:showCatName val="0"/>
          <c:showSerName val="0"/>
          <c:showPercent val="0"/>
          <c:showBubbleSize val="0"/>
        </c:dLbls>
        <c:gapWidth val="20"/>
        <c:overlap val="100"/>
        <c:axId val="1158636463"/>
        <c:axId val="1158661839"/>
      </c:barChart>
      <c:catAx>
        <c:axId val="561731072"/>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61732608"/>
        <c:crosses val="autoZero"/>
        <c:auto val="1"/>
        <c:lblAlgn val="ctr"/>
        <c:lblOffset val="100"/>
        <c:noMultiLvlLbl val="0"/>
      </c:catAx>
      <c:valAx>
        <c:axId val="561732608"/>
        <c:scaling>
          <c:orientation val="minMax"/>
        </c:scaling>
        <c:delete val="0"/>
        <c:axPos val="b"/>
        <c:majorGridlines>
          <c:spPr>
            <a:ln w="12700">
              <a:solidFill>
                <a:schemeClr val="bg1">
                  <a:lumMod val="75000"/>
                </a:schemeClr>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1731072"/>
        <c:crosses val="max"/>
        <c:crossBetween val="between"/>
      </c:valAx>
      <c:valAx>
        <c:axId val="1158661839"/>
        <c:scaling>
          <c:orientation val="minMax"/>
        </c:scaling>
        <c:delete val="1"/>
        <c:axPos val="b"/>
        <c:numFmt formatCode="0%" sourceLinked="1"/>
        <c:majorTickMark val="out"/>
        <c:minorTickMark val="none"/>
        <c:tickLblPos val="nextTo"/>
        <c:crossAx val="1158636463"/>
        <c:crosses val="max"/>
        <c:crossBetween val="between"/>
      </c:valAx>
      <c:catAx>
        <c:axId val="1158636463"/>
        <c:scaling>
          <c:orientation val="maxMin"/>
        </c:scaling>
        <c:delete val="1"/>
        <c:axPos val="r"/>
        <c:majorTickMark val="out"/>
        <c:minorTickMark val="none"/>
        <c:tickLblPos val="nextTo"/>
        <c:crossAx val="1158661839"/>
        <c:crosses val="max"/>
        <c:auto val="1"/>
        <c:lblAlgn val="ctr"/>
        <c:lblOffset val="100"/>
        <c:noMultiLvlLbl val="0"/>
      </c:catAx>
      <c:spPr>
        <a:noFill/>
        <a:ln w="3175">
          <a:solidFill>
            <a:srgbClr val="000000"/>
          </a:solidFill>
          <a:prstDash val="solid"/>
        </a:ln>
      </c:spPr>
    </c:plotArea>
    <c:legend>
      <c:legendPos val="r"/>
      <c:legendEntry>
        <c:idx val="5"/>
        <c:delete val="1"/>
      </c:legendEntry>
      <c:layout>
        <c:manualLayout>
          <c:xMode val="edge"/>
          <c:yMode val="edge"/>
          <c:x val="5.2583539094650203E-2"/>
          <c:y val="7.0002018978396932E-2"/>
          <c:w val="0.88940041152263372"/>
          <c:h val="3.6800969109630523E-2"/>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Assessments vs. IDACI</a:t>
            </a:r>
          </a:p>
        </c:rich>
      </c:tx>
      <c:layout>
        <c:manualLayout>
          <c:xMode val="edge"/>
          <c:yMode val="edge"/>
          <c:x val="0.25803230653175474"/>
          <c:y val="2.7075919032809818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Assessments!$AQ$35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3158-4086-A780-411D2103D6AC}"/>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{C27F1E0D-8A53-443F-8A17-086E847DCED3}</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3158-4086-A780-411D2103D6AC}"/>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{774F617F-D709-4308-B938-DADFEED77527}</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3158-4086-A780-411D2103D6AC}"/>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{FC402299-E610-4006-9211-0A89C66E1191}</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3158-4086-A780-411D2103D6AC}"/>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{1EE93EA2-5BCB-4E66-86DB-BB3B33E0E19E}</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3158-4086-A780-411D2103D6AC}"/>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{600C84C2-DD3F-48C3-8B94-E9C34036B3DC}</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5-3158-4086-A780-411D2103D6AC}"/>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{7DEFD665-522C-4EFF-A431-AD69009B776C}</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3158-4086-A780-411D2103D6AC}"/>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{712BE2E2-2AFC-45FE-B200-3E22968DC11D}</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7-3158-4086-A780-411D2103D6AC}"/>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{B7480A13-FAD4-46DA-8BBF-251E7530C9E5}</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8-3158-4086-A780-411D2103D6AC}"/>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{BE79FC3B-1E04-4DEA-8008-511E66347F8E}</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3158-4086-A780-411D2103D6AC}"/>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{38845B16-3A8D-4A2C-A897-CBAB821B83CC}</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3158-4086-A780-411D2103D6AC}"/>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{7033E4E1-1430-4A11-9DAB-53404A709339}</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3158-4086-A780-411D2103D6AC}"/>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{8A5590DC-B424-4802-8455-AE00D96BFA20}</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C-3158-4086-A780-411D2103D6AC}"/>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{BC46EDCD-726C-4416-84C5-7838506FB5E9}</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0D-3158-4086-A780-411D2103D6AC}"/>
                </c:ext>
              </c:extLst>
            </c:dLbl>
            <c:dLbl>
              <c:idx val="13"/>
              <c:tx>
                <c:strRef>
                  <c:f>ReportData!$K$17</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{F4287D76-DEE7-4D2B-8F38-94837C86BC30}</c15:txfldGUID>
                      <c15:f>ReportData!$K$17</c15:f>
                      <c15:dlblFieldTableCache>
                        <c:ptCount val="1"/>
                        <c:pt idx="0">
                          <c:v>Southampton</c:v>
                        </c:pt>
                      </c15:dlblFieldTableCache>
                    </c15:dlblFTEntry>
                  </c15:dlblFieldTable>
                  <c15:showDataLabelsRange val="0"/>
                </c:ext>
                <c:ext xmlns:c16="http://schemas.microsoft.com/office/drawing/2014/chart" uri="{C3380CC4-5D6E-409C-BE32-E72D297353CC}">
                  <c16:uniqueId val="{0000000E-3158-4086-A780-411D2103D6AC}"/>
                </c:ext>
              </c:extLst>
            </c:dLbl>
            <c:dLbl>
              <c:idx val="14"/>
              <c:tx>
                <c:strRef>
                  <c:f>ReportData!$K$18</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{01BE5EA5-D82A-4C4B-B20E-B3B2194765CF}</c15:txfldGUID>
                      <c15:f>ReportData!$K$18</c15:f>
                      <c15:dlblFieldTableCache>
                        <c:ptCount val="1"/>
                        <c:pt idx="0">
                          <c:v>Surrey</c:v>
                        </c:pt>
                      </c15:dlblFieldTableCache>
                    </c15:dlblFTEntry>
                  </c15:dlblFieldTable>
                  <c15:showDataLabelsRange val="0"/>
                </c:ext>
                <c:ext xmlns:c16="http://schemas.microsoft.com/office/drawing/2014/chart" uri="{C3380CC4-5D6E-409C-BE32-E72D297353CC}">
                  <c16:uniqueId val="{0000000F-3158-4086-A780-411D2103D6AC}"/>
                </c:ext>
              </c:extLst>
            </c:dLbl>
            <c:dLbl>
              <c:idx val="15"/>
              <c:tx>
                <c:strRef>
                  <c:f>ReportData!$K$19</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{1FE5A8DC-743E-4F31-91C9-FA4F1F18DA45}</c15:txfldGUID>
                      <c15:f>ReportData!$K$19</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3158-4086-A780-411D2103D6AC}"/>
                </c:ext>
              </c:extLst>
            </c:dLbl>
            <c:dLbl>
              <c:idx val="16"/>
              <c:tx>
                <c:strRef>
                  <c:f>ReportData!$K$20</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{5283FE43-9AEC-4A26-A2D6-963A4152F677}</c15:txfldGUID>
                      <c15:f>ReportData!$K$20</c15:f>
                      <c15:dlblFieldTableCache>
                        <c:ptCount val="1"/>
                        <c:pt idx="0">
                          <c:v>West Sussex</c:v>
                        </c:pt>
                      </c15:dlblFieldTableCache>
                    </c15:dlblFTEntry>
                  </c15:dlblFieldTable>
                  <c15:showDataLabelsRange val="0"/>
                </c:ext>
                <c:ext xmlns:c16="http://schemas.microsoft.com/office/drawing/2014/chart" uri="{C3380CC4-5D6E-409C-BE32-E72D297353CC}">
                  <c16:uniqueId val="{00000011-3158-4086-A780-411D2103D6AC}"/>
                </c:ext>
              </c:extLst>
            </c:dLbl>
            <c:dLbl>
              <c:idx val="17"/>
              <c:layout>
                <c:manualLayout>
                  <c:x val="-2.1259252882280515E-2"/>
                  <c:y val="1.782607922639495E-2"/>
                </c:manualLayout>
              </c:layout>
              <c:tx>
                <c:strRef>
                  <c:f>ReportData!$K$21</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{38437CD1-83B6-41F2-87E8-8DEA517F0444}</c15:txfldGUID>
                      <c15:f>ReportData!$K$21</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3158-4086-A780-411D2103D6AC}"/>
                </c:ext>
              </c:extLst>
            </c:dLbl>
            <c:dLbl>
              <c:idx val="18"/>
              <c:tx>
                <c:strRef>
                  <c:f>ReportData!$K$22</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{12B996D2-8F3D-46F3-B4A4-3475BABC5087}</c15:txfldGUID>
                      <c15:f>ReportData!$K$22</c15:f>
                      <c15:dlblFieldTableCache>
                        <c:ptCount val="1"/>
                        <c:pt idx="0">
                          <c:v>Wokingham</c:v>
                        </c:pt>
                      </c15:dlblFieldTableCache>
                    </c15:dlblFTEntry>
                  </c15:dlblFieldTable>
                  <c15:showDataLabelsRange val="0"/>
                </c:ext>
                <c:ext xmlns:c16="http://schemas.microsoft.com/office/drawing/2014/chart" uri="{C3380CC4-5D6E-409C-BE32-E72D297353CC}">
                  <c16:uniqueId val="{00000013-3158-4086-A780-411D2103D6AC}"/>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Assessments!$AQ$38:$AQ$57</c:f>
              <c:numCache>
                <c:formatCode>0.0</c:formatCode>
                <c:ptCount val="20"/>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pt idx="19">
                  <c:v>12.760581039440194</c:v>
                </c:pt>
              </c:numCache>
            </c:numRef>
          </c:xVal>
          <c:yVal>
            <c:numRef>
              <c:f>Assessments!$AP$38:$AP$56</c:f>
              <c:numCache>
                <c:formatCode>0.0</c:formatCode>
                <c:ptCount val="19"/>
                <c:pt idx="0">
                  <c:v>496.7361329284044</c:v>
                </c:pt>
                <c:pt idx="1">
                  <c:v>614.79449706424373</c:v>
                </c:pt>
                <c:pt idx="2">
                  <c:v>673.1130892678035</c:v>
                </c:pt>
                <c:pt idx="3">
                  <c:v>407.60187633920816</c:v>
                </c:pt>
                <c:pt idx="4">
                  <c:v>#N/A</c:v>
                </c:pt>
                <c:pt idx="5">
                  <c:v>1693.4038740506869</c:v>
                </c:pt>
                <c:pt idx="6">
                  <c:v>622.39472686976796</c:v>
                </c:pt>
                <c:pt idx="7">
                  <c:v>806.30407725643681</c:v>
                </c:pt>
                <c:pt idx="8">
                  <c:v>495.48745140596458</c:v>
                </c:pt>
                <c:pt idx="9">
                  <c:v>351.85731615356872</c:v>
                </c:pt>
                <c:pt idx="10">
                  <c:v>659.93807171390085</c:v>
                </c:pt>
                <c:pt idx="11">
                  <c:v>729.52094703261366</c:v>
                </c:pt>
                <c:pt idx="12">
                  <c:v>797.34219269102982</c:v>
                </c:pt>
                <c:pt idx="13">
                  <c:v>633.07724376153897</c:v>
                </c:pt>
                <c:pt idx="14">
                  <c:v>286.48107440754012</c:v>
                </c:pt>
                <c:pt idx="15">
                  <c:v>681.10403397027608</c:v>
                </c:pt>
                <c:pt idx="16">
                  <c:v>478.3026456918127</c:v>
                </c:pt>
                <c:pt idx="17">
                  <c:v>444.85283393133221</c:v>
                </c:pt>
                <c:pt idx="18">
                  <c:v>363.85464284065199</c:v>
                </c:pt>
              </c:numCache>
            </c:numRef>
          </c:yVal>
          <c:smooth val="0"/>
          <c:extLst>
            <c:ext xmlns:c16="http://schemas.microsoft.com/office/drawing/2014/chart" uri="{C3380CC4-5D6E-409C-BE32-E72D297353CC}">
              <c16:uniqueId val="{00000014-3158-4086-A780-411D2103D6AC}"/>
            </c:ext>
          </c:extLst>
        </c:ser>
        <c:ser>
          <c:idx val="1"/>
          <c:order val="1"/>
          <c:tx>
            <c:strRef>
              <c:f>Assessments!$Z$4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Assessments!$AQ$59</c:f>
              <c:numCache>
                <c:formatCode>0.0</c:formatCode>
                <c:ptCount val="1"/>
                <c:pt idx="0">
                  <c:v>#N/A</c:v>
                </c:pt>
              </c:numCache>
            </c:numRef>
          </c:xVal>
          <c:yVal>
            <c:numRef>
              <c:f>Assessments!$AP$59</c:f>
              <c:numCache>
                <c:formatCode>0.0</c:formatCode>
                <c:ptCount val="1"/>
                <c:pt idx="0">
                  <c:v>#N/A</c:v>
                </c:pt>
              </c:numCache>
            </c:numRef>
          </c:yVal>
          <c:smooth val="0"/>
          <c:extLst>
            <c:ext xmlns:c16="http://schemas.microsoft.com/office/drawing/2014/chart" uri="{C3380CC4-5D6E-409C-BE32-E72D297353CC}">
              <c16:uniqueId val="{00000019-3158-4086-A780-411D2103D6AC}"/>
            </c:ext>
          </c:extLst>
        </c:ser>
        <c:ser>
          <c:idx val="4"/>
          <c:order val="2"/>
          <c:tx>
            <c:strRef>
              <c:f>Assessments!$B$30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Assessments!$AQ$57</c:f>
              <c:numCache>
                <c:formatCode>0.0</c:formatCode>
                <c:ptCount val="1"/>
                <c:pt idx="0">
                  <c:v>12.760581039440194</c:v>
                </c:pt>
              </c:numCache>
            </c:numRef>
          </c:xVal>
          <c:yVal>
            <c:numRef>
              <c:f>Assessments!$O$30</c:f>
              <c:numCache>
                <c:formatCode>0.0</c:formatCode>
                <c:ptCount val="1"/>
                <c:pt idx="0">
                  <c:v>702.08623936802258</c:v>
                </c:pt>
              </c:numCache>
            </c:numRef>
          </c:yVal>
          <c:smooth val="0"/>
          <c:extLst>
            <c:ext xmlns:c16="http://schemas.microsoft.com/office/drawing/2014/chart" uri="{C3380CC4-5D6E-409C-BE32-E72D297353CC}">
              <c16:uniqueId val="{0000001A-3158-4086-A780-411D2103D6AC}"/>
            </c:ext>
          </c:extLst>
        </c:ser>
        <c:ser>
          <c:idx val="2"/>
          <c:order val="3"/>
          <c:tx>
            <c:strRef>
              <c:f>Assessments!$X$40</c:f>
              <c:strCache>
                <c:ptCount val="1"/>
                <c:pt idx="0">
                  <c:v>National Trend 2024</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B-3158-4086-A780-411D2103D6AC}"/>
                </c:ext>
              </c:extLst>
            </c:dLbl>
            <c:dLbl>
              <c:idx val="1"/>
              <c:layout>
                <c:manualLayout>
                  <c:x val="-5.2631497172789976E-2"/>
                  <c:y val="4.867196564968386E-2"/>
                </c:manualLayout>
              </c:layout>
              <c:tx>
                <c:strRef>
                  <c:f>Assessments!$AC$40</c:f>
                  <c:strCache>
                    <c:ptCount val="1"/>
                    <c:pt idx="0">
                      <c:v>r² = 0.325</c:v>
                    </c:pt>
                  </c:strCache>
                </c:strRef>
              </c:tx>
              <c:showLegendKey val="0"/>
              <c:showVal val="0"/>
              <c:showCatName val="1"/>
              <c:showSerName val="0"/>
              <c:showPercent val="0"/>
              <c:showBubbleSize val="0"/>
              <c:extLst>
                <c:ext xmlns:c15="http://schemas.microsoft.com/office/drawing/2012/chart" uri="{CE6537A1-D6FC-4f65-9D91-7224C49458BB}">
                  <c15:dlblFieldTable>
                    <c15:dlblFTEntry>
                      <c15:txfldGUID>{85B42FAA-D65A-489A-B7EC-213B8DFAE5DD}</c15:txfldGUID>
                      <c15:f>Assessments!$AC$40</c15:f>
                      <c15:dlblFieldTableCache>
                        <c:ptCount val="1"/>
                        <c:pt idx="0">
                          <c:v>r² = 0.325</c:v>
                        </c:pt>
                      </c15:dlblFieldTableCache>
                    </c15:dlblFTEntry>
                  </c15:dlblFieldTable>
                  <c15:showDataLabelsRange val="0"/>
                </c:ext>
                <c:ext xmlns:c16="http://schemas.microsoft.com/office/drawing/2014/chart" uri="{C3380CC4-5D6E-409C-BE32-E72D297353CC}">
                  <c16:uniqueId val="{0000001C-3158-4086-A780-411D2103D6AC}"/>
                </c:ext>
              </c:extLst>
            </c:dLbl>
            <c:spPr>
              <a:noFill/>
              <a:ln>
                <a:noFill/>
              </a:ln>
              <a:effectLst/>
            </c:spPr>
            <c:txPr>
              <a:bodyPr/>
              <a:lstStyle/>
              <a:p>
                <a:pPr>
                  <a:defRPr sz="900"/>
                </a:pPr>
                <a:endParaRPr lang="en-US"/>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Assessments!$AA$40:$AA$41</c:f>
              <c:numCache>
                <c:formatCode>General</c:formatCode>
                <c:ptCount val="2"/>
                <c:pt idx="0" formatCode="#,##0.0">
                  <c:v>3</c:v>
                </c:pt>
                <c:pt idx="1">
                  <c:v>22</c:v>
                </c:pt>
              </c:numCache>
            </c:numRef>
          </c:xVal>
          <c:yVal>
            <c:numRef>
              <c:f>Assessments!$AB$40:$AB$41</c:f>
              <c:numCache>
                <c:formatCode>0.0</c:formatCode>
                <c:ptCount val="2"/>
                <c:pt idx="0">
                  <c:v>283.1055142903445</c:v>
                </c:pt>
                <c:pt idx="1">
                  <c:v>649.09704948278977</c:v>
                </c:pt>
              </c:numCache>
            </c:numRef>
          </c:yVal>
          <c:smooth val="0"/>
          <c:extLst>
            <c:ext xmlns:c16="http://schemas.microsoft.com/office/drawing/2014/chart" uri="{C3380CC4-5D6E-409C-BE32-E72D297353CC}">
              <c16:uniqueId val="{0000001D-3158-4086-A780-411D2103D6AC}"/>
            </c:ext>
          </c:extLst>
        </c:ser>
        <c:ser>
          <c:idx val="5"/>
          <c:order val="4"/>
          <c:tx>
            <c:strRef>
              <c:f>Assessments!$X$38</c:f>
              <c:strCache>
                <c:ptCount val="1"/>
                <c:pt idx="0">
                  <c:v>South East LA Trend</c:v>
                </c:pt>
              </c:strCache>
            </c:strRef>
          </c:tx>
          <c:spPr>
            <a:ln w="9525">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3158-4086-A780-411D2103D6AC}"/>
                </c:ext>
              </c:extLst>
            </c:dLbl>
            <c:dLbl>
              <c:idx val="1"/>
              <c:layout>
                <c:manualLayout>
                  <c:x val="-6.7251461988303993E-2"/>
                  <c:y val="-3.3182495889004668E-2"/>
                </c:manualLayout>
              </c:layout>
              <c:tx>
                <c:strRef>
                  <c:f>Assessments!$AC$39</c:f>
                  <c:strCache>
                    <c:ptCount val="1"/>
                    <c:pt idx="0">
                      <c:v>r² = 0.236</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{E306261D-7E00-4BB4-8CFC-F8130F4F5832}</c15:txfldGUID>
                      <c15:f>Assessments!$AC$39</c15:f>
                      <c15:dlblFieldTableCache>
                        <c:ptCount val="1"/>
                        <c:pt idx="0">
                          <c:v>r² = 0.236</c:v>
                        </c:pt>
                      </c15:dlblFieldTableCache>
                    </c15:dlblFTEntry>
                  </c15:dlblFieldTable>
                  <c15:showDataLabelsRange val="0"/>
                </c:ext>
                <c:ext xmlns:c16="http://schemas.microsoft.com/office/drawing/2014/chart" uri="{C3380CC4-5D6E-409C-BE32-E72D297353CC}">
                  <c16:uniqueId val="{0000001F-3158-4086-A780-411D2103D6A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Assessments!$AA$38:$AA$39</c:f>
              <c:numCache>
                <c:formatCode>General</c:formatCode>
                <c:ptCount val="2"/>
                <c:pt idx="0" formatCode="#,##0.0">
                  <c:v>3</c:v>
                </c:pt>
                <c:pt idx="1">
                  <c:v>22</c:v>
                </c:pt>
              </c:numCache>
            </c:numRef>
          </c:xVal>
          <c:yVal>
            <c:numRef>
              <c:f>Assessments!$AB$38:$AB$39</c:f>
              <c:numCache>
                <c:formatCode>0.0</c:formatCode>
                <c:ptCount val="2"/>
                <c:pt idx="0">
                  <c:v>304.4116931614443</c:v>
                </c:pt>
                <c:pt idx="1">
                  <c:v>897.89171898317477</c:v>
                </c:pt>
              </c:numCache>
            </c:numRef>
          </c:yVal>
          <c:smooth val="0"/>
          <c:extLst>
            <c:ext xmlns:c16="http://schemas.microsoft.com/office/drawing/2014/chart" uri="{C3380CC4-5D6E-409C-BE32-E72D297353CC}">
              <c16:uniqueId val="{00000020-3158-4086-A780-411D2103D6AC}"/>
            </c:ext>
          </c:extLst>
        </c:ser>
        <c:dLbls>
          <c:showLegendKey val="0"/>
          <c:showVal val="0"/>
          <c:showCatName val="0"/>
          <c:showSerName val="0"/>
          <c:showPercent val="0"/>
          <c:showBubbleSize val="0"/>
        </c:dLbls>
        <c:axId val="562223744"/>
        <c:axId val="562004736"/>
      </c:scatterChart>
      <c:valAx>
        <c:axId val="562223744"/>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4087952964064139"/>
              <c:y val="0.91929229487900843"/>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2004736"/>
        <c:crosses val="autoZero"/>
        <c:crossBetween val="midCat"/>
        <c:majorUnit val="5"/>
      </c:valAx>
      <c:valAx>
        <c:axId val="562004736"/>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a:t>Rate of Assessmen ts per 10,000 0-17 year olds</a:t>
                </a:r>
              </a:p>
            </c:rich>
          </c:tx>
          <c:layout>
            <c:manualLayout>
              <c:xMode val="edge"/>
              <c:yMode val="edge"/>
              <c:x val="3.2875605513681336E-2"/>
              <c:y val="0.1821671518943594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2223744"/>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Referral</a:t>
            </a:r>
            <a:r>
              <a:rPr lang="en-GB" sz="1100" baseline="0"/>
              <a:t> to Assessment</a:t>
            </a:r>
            <a:r>
              <a:rPr lang="en-GB" sz="1100"/>
              <a:t> </a:t>
            </a:r>
          </a:p>
          <a:p>
            <a:pPr>
              <a:defRPr sz="1100" b="1" i="0" u="none" strike="noStrike" baseline="0">
                <a:solidFill>
                  <a:srgbClr val="000000"/>
                </a:solidFill>
                <a:latin typeface="Arial"/>
                <a:ea typeface="Arial"/>
                <a:cs typeface="Arial"/>
              </a:defRPr>
            </a:pPr>
            <a:r>
              <a:rPr lang="en-GB" sz="1100"/>
              <a:t>(Selected LA</a:t>
            </a:r>
            <a:r>
              <a:rPr lang="en-GB" sz="1100" baseline="0"/>
              <a:t> vs. SE &amp; National)</a:t>
            </a:r>
            <a:r>
              <a:rPr lang="en-GB" sz="1100"/>
              <a:t> </a:t>
            </a:r>
          </a:p>
        </c:rich>
      </c:tx>
      <c:layout>
        <c:manualLayout>
          <c:xMode val="edge"/>
          <c:yMode val="edge"/>
          <c:x val="0.23180114861879889"/>
          <c:y val="3.8613721671887789E-3"/>
        </c:manualLayout>
      </c:layout>
      <c:overlay val="0"/>
      <c:spPr>
        <a:noFill/>
        <a:ln w="25400">
          <a:noFill/>
        </a:ln>
      </c:spPr>
    </c:title>
    <c:autoTitleDeleted val="0"/>
    <c:plotArea>
      <c:layout>
        <c:manualLayout>
          <c:layoutTarget val="inner"/>
          <c:xMode val="edge"/>
          <c:yMode val="edge"/>
          <c:x val="9.8666564984461691E-2"/>
          <c:y val="0.23890930300379118"/>
          <c:w val="0.62130074028722215"/>
          <c:h val="0.53536703073406144"/>
        </c:manualLayout>
      </c:layout>
      <c:barChart>
        <c:barDir val="col"/>
        <c:grouping val="clustered"/>
        <c:varyColors val="0"/>
        <c:ser>
          <c:idx val="6"/>
          <c:order val="0"/>
          <c:tx>
            <c:strRef>
              <c:f>Referrals!$Z$4</c:f>
              <c:strCache>
                <c:ptCount val="1"/>
                <c:pt idx="0">
                  <c:v>Selected LA- (none)</c:v>
                </c:pt>
              </c:strCache>
            </c:strRef>
          </c:tx>
          <c:spPr>
            <a:solidFill>
              <a:srgbClr val="66FF99"/>
            </a:solidFill>
            <a:ln>
              <a:solidFill>
                <a:schemeClr val="tx1">
                  <a:lumMod val="75000"/>
                  <a:lumOff val="25000"/>
                </a:schemeClr>
              </a:solidFill>
            </a:ln>
          </c:spPr>
          <c:invertIfNegative val="0"/>
          <c:cat>
            <c:strRef>
              <c:f>Referrals!$Y$2:$AC$3</c:f>
              <c:strCache>
                <c:ptCount val="5"/>
                <c:pt idx="0">
                  <c:v>2019/20</c:v>
                </c:pt>
                <c:pt idx="1">
                  <c:v>2020/21</c:v>
                </c:pt>
                <c:pt idx="2">
                  <c:v>2021/22</c:v>
                </c:pt>
                <c:pt idx="3">
                  <c:v>2022/23</c:v>
                </c:pt>
                <c:pt idx="4">
                  <c:v>2023/24</c:v>
                </c:pt>
              </c:strCache>
            </c:strRef>
          </c:cat>
          <c:val>
            <c:numRef>
              <c:f>Referrals!$AR$59:$AV$59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E8F6-4023-919D-FD9A89F827BC}"/>
            </c:ext>
          </c:extLst>
        </c:ser>
        <c:ser>
          <c:idx val="4"/>
          <c:order val="1"/>
          <c:tx>
            <c:strRef>
              <c:f>Referrals!$B$162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Referrals!$Y$2:$AC$3</c:f>
              <c:strCache>
                <c:ptCount val="5"/>
                <c:pt idx="0">
                  <c:v>2019/20</c:v>
                </c:pt>
                <c:pt idx="1">
                  <c:v>2020/21</c:v>
                </c:pt>
                <c:pt idx="2">
                  <c:v>2021/22</c:v>
                </c:pt>
                <c:pt idx="3">
                  <c:v>2022/23</c:v>
                </c:pt>
                <c:pt idx="4">
                  <c:v>2023/24</c:v>
                </c:pt>
              </c:strCache>
            </c:strRef>
          </c:cat>
          <c:val>
            <c:numRef>
              <c:f>Referrals!$D$162:$H$162</c:f>
              <c:numCache>
                <c:formatCode>0%</c:formatCode>
                <c:ptCount val="5"/>
                <c:pt idx="0">
                  <c:v>0.93181758604720255</c:v>
                </c:pt>
                <c:pt idx="1">
                  <c:v>0.91052806794972152</c:v>
                </c:pt>
                <c:pt idx="2">
                  <c:v>0.90020966051124907</c:v>
                </c:pt>
                <c:pt idx="3">
                  <c:v>0.88094674556213015</c:v>
                </c:pt>
                <c:pt idx="4">
                  <c:v>0.92592592592592593</c:v>
                </c:pt>
              </c:numCache>
            </c:numRef>
          </c:val>
          <c:extLst>
            <c:ext xmlns:c16="http://schemas.microsoft.com/office/drawing/2014/chart" uri="{C3380CC4-5D6E-409C-BE32-E72D297353CC}">
              <c16:uniqueId val="{00000001-E8F6-4023-919D-FD9A89F827BC}"/>
            </c:ext>
          </c:extLst>
        </c:ser>
        <c:ser>
          <c:idx val="0"/>
          <c:order val="2"/>
          <c:tx>
            <c:strRef>
              <c:f>Referrals!$B$163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Referrals!$Y$2:$AC$3</c:f>
              <c:strCache>
                <c:ptCount val="5"/>
                <c:pt idx="0">
                  <c:v>2019/20</c:v>
                </c:pt>
                <c:pt idx="1">
                  <c:v>2020/21</c:v>
                </c:pt>
                <c:pt idx="2">
                  <c:v>2021/22</c:v>
                </c:pt>
                <c:pt idx="3">
                  <c:v>2022/23</c:v>
                </c:pt>
                <c:pt idx="4">
                  <c:v>2023/24</c:v>
                </c:pt>
              </c:strCache>
            </c:strRef>
          </c:cat>
          <c:val>
            <c:numRef>
              <c:f>Referrals!$D$163:$H$163</c:f>
              <c:numCache>
                <c:formatCode>0%</c:formatCode>
                <c:ptCount val="5"/>
                <c:pt idx="0">
                  <c:v>0.93716756353230268</c:v>
                </c:pt>
                <c:pt idx="1">
                  <c:v>0.94041086723768741</c:v>
                </c:pt>
                <c:pt idx="2">
                  <c:v>0.92398542144032481</c:v>
                </c:pt>
                <c:pt idx="3">
                  <c:v>0.92920381618600001</c:v>
                </c:pt>
                <c:pt idx="4">
                  <c:v>0.93741557856821256</c:v>
                </c:pt>
              </c:numCache>
            </c:numRef>
          </c:val>
          <c:extLst>
            <c:ext xmlns:c16="http://schemas.microsoft.com/office/drawing/2014/chart" uri="{C3380CC4-5D6E-409C-BE32-E72D297353CC}">
              <c16:uniqueId val="{00000002-E8F6-4023-919D-FD9A89F827BC}"/>
            </c:ext>
          </c:extLst>
        </c:ser>
        <c:dLbls>
          <c:showLegendKey val="0"/>
          <c:showVal val="0"/>
          <c:showCatName val="0"/>
          <c:showSerName val="0"/>
          <c:showPercent val="0"/>
          <c:showBubbleSize val="0"/>
        </c:dLbls>
        <c:gapWidth val="100"/>
        <c:axId val="528078336"/>
        <c:axId val="528079872"/>
      </c:barChart>
      <c:catAx>
        <c:axId val="528078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079872"/>
        <c:crosses val="autoZero"/>
        <c:auto val="1"/>
        <c:lblAlgn val="ctr"/>
        <c:lblOffset val="100"/>
        <c:noMultiLvlLbl val="0"/>
      </c:catAx>
      <c:valAx>
        <c:axId val="528079872"/>
        <c:scaling>
          <c:orientation val="minMax"/>
          <c:max val="1"/>
          <c:min val="0"/>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078336"/>
        <c:crosses val="autoZero"/>
        <c:crossBetween val="between"/>
      </c:valAx>
      <c:spPr>
        <a:noFill/>
        <a:ln w="3175">
          <a:solidFill>
            <a:srgbClr val="000000"/>
          </a:solidFill>
          <a:prstDash val="solid"/>
        </a:ln>
      </c:spPr>
    </c:plotArea>
    <c:legend>
      <c:legendPos val="r"/>
      <c:layout>
        <c:manualLayout>
          <c:xMode val="edge"/>
          <c:yMode val="edge"/>
          <c:x val="0.73706251473129225"/>
          <c:y val="0.24075972321641609"/>
          <c:w val="0.26293748526870786"/>
          <c:h val="0.68375216734271849"/>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Children in Need, per 10,000 0-17 year olds</a:t>
            </a:r>
          </a:p>
        </c:rich>
      </c:tx>
      <c:layout>
        <c:manualLayout>
          <c:xMode val="edge"/>
          <c:yMode val="edge"/>
          <c:x val="0.15369937411669696"/>
          <c:y val="2.081969612541569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313872900079858"/>
        </c:manualLayout>
      </c:layout>
      <c:lineChart>
        <c:grouping val="standard"/>
        <c:varyColors val="0"/>
        <c:ser>
          <c:idx val="0"/>
          <c:order val="0"/>
          <c:tx>
            <c:strRef>
              <c:f>'Children in Need'!$AK$38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F1C0-4ACF-9C77-D16E586B654F}"/>
              </c:ext>
            </c:extLst>
          </c:dPt>
          <c:cat>
            <c:strRef>
              <c:f>'Children in Need'!$Y$2:$AC$3</c:f>
              <c:strCache>
                <c:ptCount val="5"/>
                <c:pt idx="0">
                  <c:v>2019/20</c:v>
                </c:pt>
                <c:pt idx="1">
                  <c:v>2020/21</c:v>
                </c:pt>
                <c:pt idx="2">
                  <c:v>2021/22</c:v>
                </c:pt>
                <c:pt idx="3">
                  <c:v>2022/23</c:v>
                </c:pt>
                <c:pt idx="4">
                  <c:v>2023/24</c:v>
                </c:pt>
              </c:strCache>
            </c:strRef>
          </c:cat>
          <c:val>
            <c:numRef>
              <c:f>'Children in Need'!$AL$38:$AP$38</c:f>
              <c:numCache>
                <c:formatCode>0.0</c:formatCode>
                <c:ptCount val="5"/>
                <c:pt idx="0">
                  <c:v>322.00161183969516</c:v>
                </c:pt>
                <c:pt idx="1">
                  <c:v>345.72733202870188</c:v>
                </c:pt>
                <c:pt idx="2">
                  <c:v>346.83535204686768</c:v>
                </c:pt>
                <c:pt idx="3">
                  <c:v>385.104129897635</c:v>
                </c:pt>
                <c:pt idx="4">
                  <c:v>322.54686354592104</c:v>
                </c:pt>
              </c:numCache>
            </c:numRef>
          </c:val>
          <c:smooth val="0"/>
          <c:extLst>
            <c:ext xmlns:c16="http://schemas.microsoft.com/office/drawing/2014/chart" uri="{C3380CC4-5D6E-409C-BE32-E72D297353CC}">
              <c16:uniqueId val="{00000001-F1C0-4ACF-9C77-D16E586B654F}"/>
            </c:ext>
          </c:extLst>
        </c:ser>
        <c:ser>
          <c:idx val="1"/>
          <c:order val="1"/>
          <c:tx>
            <c:strRef>
              <c:f>'Children in Need'!$AK$39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'Children in Need'!$Y$2:$AC$3</c:f>
              <c:strCache>
                <c:ptCount val="5"/>
                <c:pt idx="0">
                  <c:v>2019/20</c:v>
                </c:pt>
                <c:pt idx="1">
                  <c:v>2020/21</c:v>
                </c:pt>
                <c:pt idx="2">
                  <c:v>2021/22</c:v>
                </c:pt>
                <c:pt idx="3">
                  <c:v>2022/23</c:v>
                </c:pt>
                <c:pt idx="4">
                  <c:v>2023/24</c:v>
                </c:pt>
              </c:strCache>
            </c:strRef>
          </c:cat>
          <c:val>
            <c:numRef>
              <c:f>'Children in Need'!$AL$39:$AP$39</c:f>
              <c:numCache>
                <c:formatCode>0.0</c:formatCode>
                <c:ptCount val="5"/>
                <c:pt idx="0">
                  <c:v>374.98450477253004</c:v>
                </c:pt>
                <c:pt idx="1">
                  <c:v>400.30022516887664</c:v>
                </c:pt>
                <c:pt idx="2">
                  <c:v>504.61538461538458</c:v>
                </c:pt>
                <c:pt idx="3">
                  <c:v>462.4522698345354</c:v>
                </c:pt>
                <c:pt idx="4">
                  <c:v>426.64895212788753</c:v>
                </c:pt>
              </c:numCache>
            </c:numRef>
          </c:val>
          <c:smooth val="0"/>
          <c:extLst>
            <c:ext xmlns:c16="http://schemas.microsoft.com/office/drawing/2014/chart" uri="{C3380CC4-5D6E-409C-BE32-E72D297353CC}">
              <c16:uniqueId val="{00000002-F1C0-4ACF-9C77-D16E586B654F}"/>
            </c:ext>
          </c:extLst>
        </c:ser>
        <c:ser>
          <c:idx val="2"/>
          <c:order val="2"/>
          <c:tx>
            <c:strRef>
              <c:f>'Children in Need'!$AK$40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'Children in Need'!$Y$2:$AC$3</c:f>
              <c:strCache>
                <c:ptCount val="5"/>
                <c:pt idx="0">
                  <c:v>2019/20</c:v>
                </c:pt>
                <c:pt idx="1">
                  <c:v>2020/21</c:v>
                </c:pt>
                <c:pt idx="2">
                  <c:v>2021/22</c:v>
                </c:pt>
                <c:pt idx="3">
                  <c:v>2022/23</c:v>
                </c:pt>
                <c:pt idx="4">
                  <c:v>2023/24</c:v>
                </c:pt>
              </c:strCache>
            </c:strRef>
          </c:cat>
          <c:val>
            <c:numRef>
              <c:f>'Children in Need'!$AL$40:$AP$40</c:f>
              <c:numCache>
                <c:formatCode>0.0</c:formatCode>
                <c:ptCount val="5"/>
                <c:pt idx="0">
                  <c:v>272.48090259298982</c:v>
                </c:pt>
                <c:pt idx="1">
                  <c:v>281.88905669619169</c:v>
                </c:pt>
                <c:pt idx="2">
                  <c:v>346.2877499797587</c:v>
                </c:pt>
                <c:pt idx="3">
                  <c:v>305.44414883056032</c:v>
                </c:pt>
                <c:pt idx="4">
                  <c:v>271.8311183550652</c:v>
                </c:pt>
              </c:numCache>
            </c:numRef>
          </c:val>
          <c:smooth val="0"/>
          <c:extLst>
            <c:ext xmlns:c16="http://schemas.microsoft.com/office/drawing/2014/chart" uri="{C3380CC4-5D6E-409C-BE32-E72D297353CC}">
              <c16:uniqueId val="{00000003-F1C0-4ACF-9C77-D16E586B654F}"/>
            </c:ext>
          </c:extLst>
        </c:ser>
        <c:ser>
          <c:idx val="5"/>
          <c:order val="3"/>
          <c:tx>
            <c:strRef>
              <c:f>'Children in Need'!$AK$41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'Children in Need'!$Y$2:$AC$3</c:f>
              <c:strCache>
                <c:ptCount val="5"/>
                <c:pt idx="0">
                  <c:v>2019/20</c:v>
                </c:pt>
                <c:pt idx="1">
                  <c:v>2020/21</c:v>
                </c:pt>
                <c:pt idx="2">
                  <c:v>2021/22</c:v>
                </c:pt>
                <c:pt idx="3">
                  <c:v>2022/23</c:v>
                </c:pt>
                <c:pt idx="4">
                  <c:v>2023/24</c:v>
                </c:pt>
              </c:strCache>
            </c:strRef>
          </c:cat>
          <c:val>
            <c:numRef>
              <c:f>'Children in Need'!$AL$41:$AP$41</c:f>
              <c:numCache>
                <c:formatCode>0.0</c:formatCode>
                <c:ptCount val="5"/>
                <c:pt idx="0">
                  <c:v>318.30238726790452</c:v>
                </c:pt>
                <c:pt idx="1">
                  <c:v>305.4120817426454</c:v>
                </c:pt>
                <c:pt idx="2">
                  <c:v>348.76764189527165</c:v>
                </c:pt>
                <c:pt idx="3">
                  <c:v>348.16435691709216</c:v>
                </c:pt>
                <c:pt idx="4">
                  <c:v>357.89433044418274</c:v>
                </c:pt>
              </c:numCache>
            </c:numRef>
          </c:val>
          <c:smooth val="0"/>
          <c:extLst>
            <c:ext xmlns:c16="http://schemas.microsoft.com/office/drawing/2014/chart" uri="{C3380CC4-5D6E-409C-BE32-E72D297353CC}">
              <c16:uniqueId val="{00000004-F1C0-4ACF-9C77-D16E586B654F}"/>
            </c:ext>
          </c:extLst>
        </c:ser>
        <c:ser>
          <c:idx val="9"/>
          <c:order val="4"/>
          <c:tx>
            <c:strRef>
              <c:f>'Children in Need'!$AK$42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'Children in Need'!$Y$2:$AC$3</c:f>
              <c:strCache>
                <c:ptCount val="5"/>
                <c:pt idx="0">
                  <c:v>2019/20</c:v>
                </c:pt>
                <c:pt idx="1">
                  <c:v>2020/21</c:v>
                </c:pt>
                <c:pt idx="2">
                  <c:v>2021/22</c:v>
                </c:pt>
                <c:pt idx="3">
                  <c:v>2022/23</c:v>
                </c:pt>
                <c:pt idx="4">
                  <c:v>2023/24</c:v>
                </c:pt>
              </c:strCache>
            </c:strRef>
          </c:cat>
          <c:val>
            <c:numRef>
              <c:f>'Children in Need'!$AL$42:$AP$42</c:f>
              <c:numCache>
                <c:formatCode>0.0</c:formatCode>
                <c:ptCount val="5"/>
                <c:pt idx="0">
                  <c:v>296.87835612515215</c:v>
                </c:pt>
                <c:pt idx="1">
                  <c:v>306.32326210479613</c:v>
                </c:pt>
                <c:pt idx="2">
                  <c:v>316.98400663512842</c:v>
                </c:pt>
                <c:pt idx="3">
                  <c:v>330.45607029599245</c:v>
                </c:pt>
                <c:pt idx="4">
                  <c:v>#N/A</c:v>
                </c:pt>
              </c:numCache>
            </c:numRef>
          </c:val>
          <c:smooth val="0"/>
          <c:extLst>
            <c:ext xmlns:c16="http://schemas.microsoft.com/office/drawing/2014/chart" uri="{C3380CC4-5D6E-409C-BE32-E72D297353CC}">
              <c16:uniqueId val="{00000005-F1C0-4ACF-9C77-D16E586B654F}"/>
            </c:ext>
          </c:extLst>
        </c:ser>
        <c:ser>
          <c:idx val="10"/>
          <c:order val="5"/>
          <c:tx>
            <c:strRef>
              <c:f>'Children in Need'!$AK$43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'Children in Need'!$Y$2:$AC$3</c:f>
              <c:strCache>
                <c:ptCount val="5"/>
                <c:pt idx="0">
                  <c:v>2019/20</c:v>
                </c:pt>
                <c:pt idx="1">
                  <c:v>2020/21</c:v>
                </c:pt>
                <c:pt idx="2">
                  <c:v>2021/22</c:v>
                </c:pt>
                <c:pt idx="3">
                  <c:v>2022/23</c:v>
                </c:pt>
                <c:pt idx="4">
                  <c:v>2023/24</c:v>
                </c:pt>
              </c:strCache>
            </c:strRef>
          </c:cat>
          <c:val>
            <c:numRef>
              <c:f>'Children in Need'!$AL$43:$AP$43</c:f>
              <c:numCache>
                <c:formatCode>0.0</c:formatCode>
                <c:ptCount val="5"/>
                <c:pt idx="0">
                  <c:v>480.63865684539729</c:v>
                </c:pt>
                <c:pt idx="1">
                  <c:v>536.99983257994302</c:v>
                </c:pt>
                <c:pt idx="2">
                  <c:v>570.31646640717543</c:v>
                </c:pt>
                <c:pt idx="3">
                  <c:v>579.58698053879493</c:v>
                </c:pt>
                <c:pt idx="4">
                  <c:v>625.90664732485698</c:v>
                </c:pt>
              </c:numCache>
            </c:numRef>
          </c:val>
          <c:smooth val="0"/>
          <c:extLst>
            <c:ext xmlns:c16="http://schemas.microsoft.com/office/drawing/2014/chart" uri="{C3380CC4-5D6E-409C-BE32-E72D297353CC}">
              <c16:uniqueId val="{00000006-F1C0-4ACF-9C77-D16E586B654F}"/>
            </c:ext>
          </c:extLst>
        </c:ser>
        <c:ser>
          <c:idx val="11"/>
          <c:order val="6"/>
          <c:tx>
            <c:strRef>
              <c:f>'Children in Need'!$AK$44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'Children in Need'!$Y$2:$AC$3</c:f>
              <c:strCache>
                <c:ptCount val="5"/>
                <c:pt idx="0">
                  <c:v>2019/20</c:v>
                </c:pt>
                <c:pt idx="1">
                  <c:v>2020/21</c:v>
                </c:pt>
                <c:pt idx="2">
                  <c:v>2021/22</c:v>
                </c:pt>
                <c:pt idx="3">
                  <c:v>2022/23</c:v>
                </c:pt>
                <c:pt idx="4">
                  <c:v>2023/24</c:v>
                </c:pt>
              </c:strCache>
            </c:strRef>
          </c:cat>
          <c:val>
            <c:numRef>
              <c:f>'Children in Need'!$AL$44:$AP$44</c:f>
              <c:numCache>
                <c:formatCode>0.0</c:formatCode>
                <c:ptCount val="5"/>
                <c:pt idx="0">
                  <c:v>315.71084438551287</c:v>
                </c:pt>
                <c:pt idx="1">
                  <c:v>324.52814391311625</c:v>
                </c:pt>
                <c:pt idx="2">
                  <c:v>354.8146186598272</c:v>
                </c:pt>
                <c:pt idx="3">
                  <c:v>343.69914075214814</c:v>
                </c:pt>
                <c:pt idx="4">
                  <c:v>336.3744932994959</c:v>
                </c:pt>
              </c:numCache>
            </c:numRef>
          </c:val>
          <c:smooth val="0"/>
          <c:extLst>
            <c:ext xmlns:c16="http://schemas.microsoft.com/office/drawing/2014/chart" uri="{C3380CC4-5D6E-409C-BE32-E72D297353CC}">
              <c16:uniqueId val="{00000007-F1C0-4ACF-9C77-D16E586B654F}"/>
            </c:ext>
          </c:extLst>
        </c:ser>
        <c:ser>
          <c:idx val="12"/>
          <c:order val="7"/>
          <c:tx>
            <c:strRef>
              <c:f>'Children in Need'!$AK$45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'Children in Need'!$Y$2:$AC$3</c:f>
              <c:strCache>
                <c:ptCount val="5"/>
                <c:pt idx="0">
                  <c:v>2019/20</c:v>
                </c:pt>
                <c:pt idx="1">
                  <c:v>2020/21</c:v>
                </c:pt>
                <c:pt idx="2">
                  <c:v>2021/22</c:v>
                </c:pt>
                <c:pt idx="3">
                  <c:v>2022/23</c:v>
                </c:pt>
                <c:pt idx="4">
                  <c:v>2023/24</c:v>
                </c:pt>
              </c:strCache>
            </c:strRef>
          </c:cat>
          <c:val>
            <c:numRef>
              <c:f>'Children in Need'!$AL$45:$AP$45</c:f>
              <c:numCache>
                <c:formatCode>0.0</c:formatCode>
                <c:ptCount val="5"/>
                <c:pt idx="0">
                  <c:v>361.69744942832017</c:v>
                </c:pt>
                <c:pt idx="1">
                  <c:v>281.49776277572806</c:v>
                </c:pt>
                <c:pt idx="2">
                  <c:v>274.69169656987947</c:v>
                </c:pt>
                <c:pt idx="3">
                  <c:v>420.5988761450235</c:v>
                </c:pt>
                <c:pt idx="4">
                  <c:v>336.94723109451616</c:v>
                </c:pt>
              </c:numCache>
            </c:numRef>
          </c:val>
          <c:smooth val="0"/>
          <c:extLst>
            <c:ext xmlns:c16="http://schemas.microsoft.com/office/drawing/2014/chart" uri="{C3380CC4-5D6E-409C-BE32-E72D297353CC}">
              <c16:uniqueId val="{00000008-F1C0-4ACF-9C77-D16E586B654F}"/>
            </c:ext>
          </c:extLst>
        </c:ser>
        <c:ser>
          <c:idx val="13"/>
          <c:order val="8"/>
          <c:tx>
            <c:strRef>
              <c:f>'Children in Need'!$AK$46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'Children in Need'!$Y$2:$AC$3</c:f>
              <c:strCache>
                <c:ptCount val="5"/>
                <c:pt idx="0">
                  <c:v>2019/20</c:v>
                </c:pt>
                <c:pt idx="1">
                  <c:v>2020/21</c:v>
                </c:pt>
                <c:pt idx="2">
                  <c:v>2021/22</c:v>
                </c:pt>
                <c:pt idx="3">
                  <c:v>2022/23</c:v>
                </c:pt>
                <c:pt idx="4">
                  <c:v>2023/24</c:v>
                </c:pt>
              </c:strCache>
            </c:strRef>
          </c:cat>
          <c:val>
            <c:numRef>
              <c:f>'Children in Need'!$AL$46:$AP$46</c:f>
              <c:numCache>
                <c:formatCode>0.0</c:formatCode>
                <c:ptCount val="5"/>
                <c:pt idx="0">
                  <c:v>342.56992627141972</c:v>
                </c:pt>
                <c:pt idx="1">
                  <c:v>335.18505158357982</c:v>
                </c:pt>
                <c:pt idx="2">
                  <c:v>373.80627557980898</c:v>
                </c:pt>
                <c:pt idx="3">
                  <c:v>369.83270144184019</c:v>
                </c:pt>
                <c:pt idx="4">
                  <c:v>343.55811365852986</c:v>
                </c:pt>
              </c:numCache>
            </c:numRef>
          </c:val>
          <c:smooth val="0"/>
          <c:extLst>
            <c:ext xmlns:c16="http://schemas.microsoft.com/office/drawing/2014/chart" uri="{C3380CC4-5D6E-409C-BE32-E72D297353CC}">
              <c16:uniqueId val="{00000009-F1C0-4ACF-9C77-D16E586B654F}"/>
            </c:ext>
          </c:extLst>
        </c:ser>
        <c:ser>
          <c:idx val="15"/>
          <c:order val="9"/>
          <c:tx>
            <c:strRef>
              <c:f>'Children in Need'!$AK$47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'Children in Need'!$Y$2:$AC$3</c:f>
              <c:strCache>
                <c:ptCount val="5"/>
                <c:pt idx="0">
                  <c:v>2019/20</c:v>
                </c:pt>
                <c:pt idx="1">
                  <c:v>2020/21</c:v>
                </c:pt>
                <c:pt idx="2">
                  <c:v>2021/22</c:v>
                </c:pt>
                <c:pt idx="3">
                  <c:v>2022/23</c:v>
                </c:pt>
                <c:pt idx="4">
                  <c:v>2023/24</c:v>
                </c:pt>
              </c:strCache>
            </c:strRef>
          </c:cat>
          <c:val>
            <c:numRef>
              <c:f>'Children in Need'!$AL$47:$AP$47</c:f>
              <c:numCache>
                <c:formatCode>0.0</c:formatCode>
                <c:ptCount val="5"/>
                <c:pt idx="0">
                  <c:v>328.88131884870768</c:v>
                </c:pt>
                <c:pt idx="1">
                  <c:v>294.72727397930021</c:v>
                </c:pt>
                <c:pt idx="2">
                  <c:v>342.96139890531151</c:v>
                </c:pt>
                <c:pt idx="3">
                  <c:v>286.68298358945555</c:v>
                </c:pt>
                <c:pt idx="4">
                  <c:v>253.23759876725353</c:v>
                </c:pt>
              </c:numCache>
            </c:numRef>
          </c:val>
          <c:smooth val="0"/>
          <c:extLst>
            <c:ext xmlns:c16="http://schemas.microsoft.com/office/drawing/2014/chart" uri="{C3380CC4-5D6E-409C-BE32-E72D297353CC}">
              <c16:uniqueId val="{0000000A-F1C0-4ACF-9C77-D16E586B654F}"/>
            </c:ext>
          </c:extLst>
        </c:ser>
        <c:ser>
          <c:idx val="16"/>
          <c:order val="10"/>
          <c:tx>
            <c:strRef>
              <c:f>'Children in Need'!$AK$48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'Children in Need'!$Y$2:$AC$3</c:f>
              <c:strCache>
                <c:ptCount val="5"/>
                <c:pt idx="0">
                  <c:v>2019/20</c:v>
                </c:pt>
                <c:pt idx="1">
                  <c:v>2020/21</c:v>
                </c:pt>
                <c:pt idx="2">
                  <c:v>2021/22</c:v>
                </c:pt>
                <c:pt idx="3">
                  <c:v>2022/23</c:v>
                </c:pt>
                <c:pt idx="4">
                  <c:v>2023/24</c:v>
                </c:pt>
              </c:strCache>
            </c:strRef>
          </c:cat>
          <c:val>
            <c:numRef>
              <c:f>'Children in Need'!$AL$48:$AP$48</c:f>
              <c:numCache>
                <c:formatCode>0.0</c:formatCode>
                <c:ptCount val="5"/>
                <c:pt idx="0">
                  <c:v>395.1657031380106</c:v>
                </c:pt>
                <c:pt idx="1">
                  <c:v>390.0632986981966</c:v>
                </c:pt>
                <c:pt idx="2">
                  <c:v>418.84816753926702</c:v>
                </c:pt>
                <c:pt idx="3">
                  <c:v>391.91803396145303</c:v>
                </c:pt>
                <c:pt idx="4">
                  <c:v>436.33441274493583</c:v>
                </c:pt>
              </c:numCache>
            </c:numRef>
          </c:val>
          <c:smooth val="0"/>
          <c:extLst>
            <c:ext xmlns:c16="http://schemas.microsoft.com/office/drawing/2014/chart" uri="{C3380CC4-5D6E-409C-BE32-E72D297353CC}">
              <c16:uniqueId val="{0000000B-F1C0-4ACF-9C77-D16E586B654F}"/>
            </c:ext>
          </c:extLst>
        </c:ser>
        <c:ser>
          <c:idx val="17"/>
          <c:order val="11"/>
          <c:tx>
            <c:strRef>
              <c:f>'Children in Need'!$AK$49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'Children in Need'!$Y$2:$AC$3</c:f>
              <c:strCache>
                <c:ptCount val="5"/>
                <c:pt idx="0">
                  <c:v>2019/20</c:v>
                </c:pt>
                <c:pt idx="1">
                  <c:v>2020/21</c:v>
                </c:pt>
                <c:pt idx="2">
                  <c:v>2021/22</c:v>
                </c:pt>
                <c:pt idx="3">
                  <c:v>2022/23</c:v>
                </c:pt>
                <c:pt idx="4">
                  <c:v>2023/24</c:v>
                </c:pt>
              </c:strCache>
            </c:strRef>
          </c:cat>
          <c:val>
            <c:numRef>
              <c:f>'Children in Need'!$AL$49:$AP$49</c:f>
              <c:numCache>
                <c:formatCode>0.0</c:formatCode>
                <c:ptCount val="5"/>
                <c:pt idx="0">
                  <c:v>391.84445044558464</c:v>
                </c:pt>
                <c:pt idx="1">
                  <c:v>422.49330556382034</c:v>
                </c:pt>
                <c:pt idx="2">
                  <c:v>417.2400506412726</c:v>
                </c:pt>
                <c:pt idx="3">
                  <c:v>429.68330649490071</c:v>
                </c:pt>
                <c:pt idx="4">
                  <c:v>450.8423633631258</c:v>
                </c:pt>
              </c:numCache>
            </c:numRef>
          </c:val>
          <c:smooth val="0"/>
          <c:extLst>
            <c:ext xmlns:c16="http://schemas.microsoft.com/office/drawing/2014/chart" uri="{C3380CC4-5D6E-409C-BE32-E72D297353CC}">
              <c16:uniqueId val="{0000000C-F1C0-4ACF-9C77-D16E586B654F}"/>
            </c:ext>
          </c:extLst>
        </c:ser>
        <c:ser>
          <c:idx val="19"/>
          <c:order val="12"/>
          <c:tx>
            <c:strRef>
              <c:f>'Children in Need'!$AK$50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'Children in Need'!$Y$2:$AC$3</c:f>
              <c:strCache>
                <c:ptCount val="5"/>
                <c:pt idx="0">
                  <c:v>2019/20</c:v>
                </c:pt>
                <c:pt idx="1">
                  <c:v>2020/21</c:v>
                </c:pt>
                <c:pt idx="2">
                  <c:v>2021/22</c:v>
                </c:pt>
                <c:pt idx="3">
                  <c:v>2022/23</c:v>
                </c:pt>
                <c:pt idx="4">
                  <c:v>2023/24</c:v>
                </c:pt>
              </c:strCache>
            </c:strRef>
          </c:cat>
          <c:val>
            <c:numRef>
              <c:f>'Children in Need'!$AL$50:$AP$50</c:f>
              <c:numCache>
                <c:formatCode>0.0</c:formatCode>
                <c:ptCount val="5"/>
                <c:pt idx="0">
                  <c:v>365.46378711561903</c:v>
                </c:pt>
                <c:pt idx="1">
                  <c:v>372.20956719817769</c:v>
                </c:pt>
                <c:pt idx="2">
                  <c:v>398.2897775338958</c:v>
                </c:pt>
                <c:pt idx="3">
                  <c:v>374.23728813559319</c:v>
                </c:pt>
                <c:pt idx="4">
                  <c:v>385.7388124595866</c:v>
                </c:pt>
              </c:numCache>
            </c:numRef>
          </c:val>
          <c:smooth val="0"/>
          <c:extLst>
            <c:ext xmlns:c16="http://schemas.microsoft.com/office/drawing/2014/chart" uri="{C3380CC4-5D6E-409C-BE32-E72D297353CC}">
              <c16:uniqueId val="{0000000D-F1C0-4ACF-9C77-D16E586B654F}"/>
            </c:ext>
          </c:extLst>
        </c:ser>
        <c:ser>
          <c:idx val="20"/>
          <c:order val="13"/>
          <c:tx>
            <c:strRef>
              <c:f>'Children in Need'!$AK$51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'Children in Need'!$Y$2:$AC$3</c:f>
              <c:strCache>
                <c:ptCount val="5"/>
                <c:pt idx="0">
                  <c:v>2019/20</c:v>
                </c:pt>
                <c:pt idx="1">
                  <c:v>2020/21</c:v>
                </c:pt>
                <c:pt idx="2">
                  <c:v>2021/22</c:v>
                </c:pt>
                <c:pt idx="3">
                  <c:v>2022/23</c:v>
                </c:pt>
                <c:pt idx="4">
                  <c:v>2023/24</c:v>
                </c:pt>
              </c:strCache>
            </c:strRef>
          </c:cat>
          <c:val>
            <c:numRef>
              <c:f>'Children in Need'!$AL$51:$AP$51</c:f>
              <c:numCache>
                <c:formatCode>0.0</c:formatCode>
                <c:ptCount val="5"/>
                <c:pt idx="0">
                  <c:v>485.19803178188272</c:v>
                </c:pt>
                <c:pt idx="1">
                  <c:v>444.33721374429496</c:v>
                </c:pt>
                <c:pt idx="2">
                  <c:v>587.38964930752411</c:v>
                </c:pt>
                <c:pt idx="3">
                  <c:v>518.93886226464281</c:v>
                </c:pt>
                <c:pt idx="4">
                  <c:v>408.75071963154869</c:v>
                </c:pt>
              </c:numCache>
            </c:numRef>
          </c:val>
          <c:smooth val="0"/>
          <c:extLst>
            <c:ext xmlns:c16="http://schemas.microsoft.com/office/drawing/2014/chart" uri="{C3380CC4-5D6E-409C-BE32-E72D297353CC}">
              <c16:uniqueId val="{0000000F-F1C0-4ACF-9C77-D16E586B654F}"/>
            </c:ext>
          </c:extLst>
        </c:ser>
        <c:ser>
          <c:idx val="22"/>
          <c:order val="14"/>
          <c:tx>
            <c:strRef>
              <c:f>'Children in Need'!$AK$52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'Children in Need'!$Y$2:$AC$3</c:f>
              <c:strCache>
                <c:ptCount val="5"/>
                <c:pt idx="0">
                  <c:v>2019/20</c:v>
                </c:pt>
                <c:pt idx="1">
                  <c:v>2020/21</c:v>
                </c:pt>
                <c:pt idx="2">
                  <c:v>2021/22</c:v>
                </c:pt>
                <c:pt idx="3">
                  <c:v>2022/23</c:v>
                </c:pt>
                <c:pt idx="4">
                  <c:v>2023/24</c:v>
                </c:pt>
              </c:strCache>
            </c:strRef>
          </c:cat>
          <c:val>
            <c:numRef>
              <c:f>'Children in Need'!$AL$52:$AP$52</c:f>
              <c:numCache>
                <c:formatCode>0.0</c:formatCode>
                <c:ptCount val="5"/>
                <c:pt idx="0">
                  <c:v>222.86810440039525</c:v>
                </c:pt>
                <c:pt idx="1">
                  <c:v>223.46519984991431</c:v>
                </c:pt>
                <c:pt idx="2">
                  <c:v>235.46368232827723</c:v>
                </c:pt>
                <c:pt idx="3">
                  <c:v>222.17247110429776</c:v>
                </c:pt>
                <c:pt idx="4">
                  <c:v>201.30085217862626</c:v>
                </c:pt>
              </c:numCache>
            </c:numRef>
          </c:val>
          <c:smooth val="0"/>
          <c:extLst>
            <c:ext xmlns:c16="http://schemas.microsoft.com/office/drawing/2014/chart" uri="{C3380CC4-5D6E-409C-BE32-E72D297353CC}">
              <c16:uniqueId val="{00000010-F1C0-4ACF-9C77-D16E586B654F}"/>
            </c:ext>
          </c:extLst>
        </c:ser>
        <c:ser>
          <c:idx val="23"/>
          <c:order val="15"/>
          <c:tx>
            <c:strRef>
              <c:f>'Children in Need'!$AK$53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'Children in Need'!$Y$2:$AC$3</c:f>
              <c:strCache>
                <c:ptCount val="5"/>
                <c:pt idx="0">
                  <c:v>2019/20</c:v>
                </c:pt>
                <c:pt idx="1">
                  <c:v>2020/21</c:v>
                </c:pt>
                <c:pt idx="2">
                  <c:v>2021/22</c:v>
                </c:pt>
                <c:pt idx="3">
                  <c:v>2022/23</c:v>
                </c:pt>
                <c:pt idx="4">
                  <c:v>2023/24</c:v>
                </c:pt>
              </c:strCache>
            </c:strRef>
          </c:cat>
          <c:val>
            <c:numRef>
              <c:f>'Children in Need'!$AL$53:$AP$53</c:f>
              <c:numCache>
                <c:formatCode>0.0</c:formatCode>
                <c:ptCount val="5"/>
                <c:pt idx="0">
                  <c:v>265.25198938992042</c:v>
                </c:pt>
                <c:pt idx="1">
                  <c:v>248.10475534114403</c:v>
                </c:pt>
                <c:pt idx="2">
                  <c:v>352.07399913282268</c:v>
                </c:pt>
                <c:pt idx="3">
                  <c:v>427.93308890925761</c:v>
                </c:pt>
                <c:pt idx="4">
                  <c:v>301.48619957537153</c:v>
                </c:pt>
              </c:numCache>
            </c:numRef>
          </c:val>
          <c:smooth val="0"/>
          <c:extLst>
            <c:ext xmlns:c16="http://schemas.microsoft.com/office/drawing/2014/chart" uri="{C3380CC4-5D6E-409C-BE32-E72D297353CC}">
              <c16:uniqueId val="{00000013-F1C0-4ACF-9C77-D16E586B654F}"/>
            </c:ext>
          </c:extLst>
        </c:ser>
        <c:ser>
          <c:idx val="24"/>
          <c:order val="16"/>
          <c:tx>
            <c:strRef>
              <c:f>'Children in Need'!$AK$54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'Children in Need'!$Y$2:$AC$3</c:f>
              <c:strCache>
                <c:ptCount val="5"/>
                <c:pt idx="0">
                  <c:v>2019/20</c:v>
                </c:pt>
                <c:pt idx="1">
                  <c:v>2020/21</c:v>
                </c:pt>
                <c:pt idx="2">
                  <c:v>2021/22</c:v>
                </c:pt>
                <c:pt idx="3">
                  <c:v>2022/23</c:v>
                </c:pt>
                <c:pt idx="4">
                  <c:v>2023/24</c:v>
                </c:pt>
              </c:strCache>
            </c:strRef>
          </c:cat>
          <c:val>
            <c:numRef>
              <c:f>'Children in Need'!$AL$54:$AP$54</c:f>
              <c:numCache>
                <c:formatCode>0.0</c:formatCode>
                <c:ptCount val="5"/>
                <c:pt idx="0">
                  <c:v>318.98404503575318</c:v>
                </c:pt>
                <c:pt idx="1">
                  <c:v>336.62500790807087</c:v>
                </c:pt>
                <c:pt idx="2">
                  <c:v>307.72046627086263</c:v>
                </c:pt>
                <c:pt idx="3">
                  <c:v>313.22420763579157</c:v>
                </c:pt>
                <c:pt idx="4">
                  <c:v>341.10207365033966</c:v>
                </c:pt>
              </c:numCache>
            </c:numRef>
          </c:val>
          <c:smooth val="0"/>
          <c:extLst>
            <c:ext xmlns:c16="http://schemas.microsoft.com/office/drawing/2014/chart" uri="{C3380CC4-5D6E-409C-BE32-E72D297353CC}">
              <c16:uniqueId val="{00000014-F1C0-4ACF-9C77-D16E586B654F}"/>
            </c:ext>
          </c:extLst>
        </c:ser>
        <c:ser>
          <c:idx val="25"/>
          <c:order val="17"/>
          <c:tx>
            <c:strRef>
              <c:f>'Children in Need'!$AK$55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'Children in Need'!$Y$2:$AC$3</c:f>
              <c:strCache>
                <c:ptCount val="5"/>
                <c:pt idx="0">
                  <c:v>2019/20</c:v>
                </c:pt>
                <c:pt idx="1">
                  <c:v>2020/21</c:v>
                </c:pt>
                <c:pt idx="2">
                  <c:v>2021/22</c:v>
                </c:pt>
                <c:pt idx="3">
                  <c:v>2022/23</c:v>
                </c:pt>
                <c:pt idx="4">
                  <c:v>2023/24</c:v>
                </c:pt>
              </c:strCache>
            </c:strRef>
          </c:cat>
          <c:val>
            <c:numRef>
              <c:f>'Children in Need'!$AL$55:$AP$55</c:f>
              <c:numCache>
                <c:formatCode>0.0</c:formatCode>
                <c:ptCount val="5"/>
                <c:pt idx="0">
                  <c:v>257.62969014413261</c:v>
                </c:pt>
                <c:pt idx="1">
                  <c:v>246.16377666285243</c:v>
                </c:pt>
                <c:pt idx="2">
                  <c:v>263.01806588735388</c:v>
                </c:pt>
                <c:pt idx="3">
                  <c:v>224.54782634186381</c:v>
                </c:pt>
                <c:pt idx="4">
                  <c:v>245.61710568536506</c:v>
                </c:pt>
              </c:numCache>
            </c:numRef>
          </c:val>
          <c:smooth val="0"/>
          <c:extLst>
            <c:ext xmlns:c16="http://schemas.microsoft.com/office/drawing/2014/chart" uri="{C3380CC4-5D6E-409C-BE32-E72D297353CC}">
              <c16:uniqueId val="{00000015-F1C0-4ACF-9C77-D16E586B654F}"/>
            </c:ext>
          </c:extLst>
        </c:ser>
        <c:ser>
          <c:idx val="26"/>
          <c:order val="18"/>
          <c:tx>
            <c:strRef>
              <c:f>'Children in Need'!$AK$56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'Children in Need'!$Y$2:$AC$3</c:f>
              <c:strCache>
                <c:ptCount val="5"/>
                <c:pt idx="0">
                  <c:v>2019/20</c:v>
                </c:pt>
                <c:pt idx="1">
                  <c:v>2020/21</c:v>
                </c:pt>
                <c:pt idx="2">
                  <c:v>2021/22</c:v>
                </c:pt>
                <c:pt idx="3">
                  <c:v>2022/23</c:v>
                </c:pt>
                <c:pt idx="4">
                  <c:v>2023/24</c:v>
                </c:pt>
              </c:strCache>
            </c:strRef>
          </c:cat>
          <c:val>
            <c:numRef>
              <c:f>'Children in Need'!$AL$56:$AP$56</c:f>
              <c:numCache>
                <c:formatCode>0.0</c:formatCode>
                <c:ptCount val="5"/>
                <c:pt idx="0">
                  <c:v>261.23906265714572</c:v>
                </c:pt>
                <c:pt idx="1">
                  <c:v>229.76578713311591</c:v>
                </c:pt>
                <c:pt idx="2">
                  <c:v>249.94529407474045</c:v>
                </c:pt>
                <c:pt idx="3">
                  <c:v>229.77422389463783</c:v>
                </c:pt>
                <c:pt idx="4">
                  <c:v>230.87223530498221</c:v>
                </c:pt>
              </c:numCache>
            </c:numRef>
          </c:val>
          <c:smooth val="0"/>
          <c:extLst>
            <c:ext xmlns:c16="http://schemas.microsoft.com/office/drawing/2014/chart" uri="{C3380CC4-5D6E-409C-BE32-E72D297353CC}">
              <c16:uniqueId val="{00000016-F1C0-4ACF-9C77-D16E586B654F}"/>
            </c:ext>
          </c:extLst>
        </c:ser>
        <c:ser>
          <c:idx val="4"/>
          <c:order val="19"/>
          <c:tx>
            <c:strRef>
              <c:f>'Children in Need'!$AK$57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'Children in Need'!$Y$2:$AC$3</c:f>
              <c:strCache>
                <c:ptCount val="5"/>
                <c:pt idx="0">
                  <c:v>2019/20</c:v>
                </c:pt>
                <c:pt idx="1">
                  <c:v>2020/21</c:v>
                </c:pt>
                <c:pt idx="2">
                  <c:v>2021/22</c:v>
                </c:pt>
                <c:pt idx="3">
                  <c:v>2022/23</c:v>
                </c:pt>
                <c:pt idx="4">
                  <c:v>2023/24</c:v>
                </c:pt>
              </c:strCache>
            </c:strRef>
          </c:cat>
          <c:val>
            <c:numRef>
              <c:f>'Children in Need'!$AL$57:$AP$57</c:f>
              <c:numCache>
                <c:formatCode>0.0</c:formatCode>
                <c:ptCount val="5"/>
                <c:pt idx="0">
                  <c:v>310.97471459703803</c:v>
                </c:pt>
                <c:pt idx="1">
                  <c:v>309.98621765538547</c:v>
                </c:pt>
                <c:pt idx="2">
                  <c:v>337.09322124961773</c:v>
                </c:pt>
                <c:pt idx="3">
                  <c:v>330.70206639178554</c:v>
                </c:pt>
                <c:pt idx="4">
                  <c:v>369.62412936374869</c:v>
                </c:pt>
              </c:numCache>
            </c:numRef>
          </c:val>
          <c:smooth val="0"/>
          <c:extLst>
            <c:ext xmlns:c16="http://schemas.microsoft.com/office/drawing/2014/chart" uri="{C3380CC4-5D6E-409C-BE32-E72D297353CC}">
              <c16:uniqueId val="{00000017-F1C0-4ACF-9C77-D16E586B654F}"/>
            </c:ext>
          </c:extLst>
        </c:ser>
        <c:ser>
          <c:idx val="14"/>
          <c:order val="20"/>
          <c:tx>
            <c:strRef>
              <c:f>'Children in Need'!$AK$58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'Children in Need'!$Y$2:$AC$3</c:f>
              <c:strCache>
                <c:ptCount val="5"/>
                <c:pt idx="0">
                  <c:v>2019/20</c:v>
                </c:pt>
                <c:pt idx="1">
                  <c:v>2020/21</c:v>
                </c:pt>
                <c:pt idx="2">
                  <c:v>2021/22</c:v>
                </c:pt>
                <c:pt idx="3">
                  <c:v>2022/23</c:v>
                </c:pt>
                <c:pt idx="4">
                  <c:v>2023/24</c:v>
                </c:pt>
              </c:strCache>
            </c:strRef>
          </c:cat>
          <c:val>
            <c:numRef>
              <c:f>'Children in Need'!$AL$58:$AP$58</c:f>
              <c:numCache>
                <c:formatCode>0.0</c:formatCode>
                <c:ptCount val="5"/>
                <c:pt idx="0">
                  <c:v>330.14737637750829</c:v>
                </c:pt>
                <c:pt idx="1">
                  <c:v>329.56972271486933</c:v>
                </c:pt>
                <c:pt idx="2">
                  <c:v>343.71690329526501</c:v>
                </c:pt>
                <c:pt idx="3">
                  <c:v>339.1360893248231</c:v>
                </c:pt>
                <c:pt idx="4">
                  <c:v>332.92089790798065</c:v>
                </c:pt>
              </c:numCache>
            </c:numRef>
          </c:val>
          <c:smooth val="0"/>
          <c:extLst>
            <c:ext xmlns:c16="http://schemas.microsoft.com/office/drawing/2014/chart" uri="{C3380CC4-5D6E-409C-BE32-E72D297353CC}">
              <c16:uniqueId val="{00000018-F1C0-4ACF-9C77-D16E586B654F}"/>
            </c:ext>
          </c:extLst>
        </c:ser>
        <c:ser>
          <c:idx val="6"/>
          <c:order val="21"/>
          <c:tx>
            <c:strRef>
              <c:f>'Children in Need'!$AK$59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'Children in Need'!$Y$2:$AC$3</c:f>
              <c:strCache>
                <c:ptCount val="5"/>
                <c:pt idx="0">
                  <c:v>2019/20</c:v>
                </c:pt>
                <c:pt idx="1">
                  <c:v>2020/21</c:v>
                </c:pt>
                <c:pt idx="2">
                  <c:v>2021/22</c:v>
                </c:pt>
                <c:pt idx="3">
                  <c:v>2022/23</c:v>
                </c:pt>
                <c:pt idx="4">
                  <c:v>2023/24</c:v>
                </c:pt>
              </c:strCache>
            </c:strRef>
          </c:cat>
          <c:val>
            <c:numRef>
              <c:f>'Children in Need'!$AL$59:$AP$59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F1C0-4ACF-9C77-D16E586B654F}"/>
            </c:ext>
          </c:extLst>
        </c:ser>
        <c:dLbls>
          <c:showLegendKey val="0"/>
          <c:showVal val="0"/>
          <c:showCatName val="0"/>
          <c:showSerName val="0"/>
          <c:showPercent val="0"/>
          <c:showBubbleSize val="0"/>
        </c:dLbls>
        <c:marker val="1"/>
        <c:smooth val="0"/>
        <c:axId val="562112384"/>
        <c:axId val="562126848"/>
      </c:lineChart>
      <c:catAx>
        <c:axId val="562112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62126848"/>
        <c:crosses val="autoZero"/>
        <c:auto val="1"/>
        <c:lblAlgn val="ctr"/>
        <c:lblOffset val="100"/>
        <c:tickLblSkip val="1"/>
        <c:tickMarkSkip val="1"/>
        <c:noMultiLvlLbl val="0"/>
      </c:catAx>
      <c:valAx>
        <c:axId val="5621268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2112384"/>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Children in Need (Selected LA vs. SE) </a:t>
            </a:r>
          </a:p>
        </c:rich>
      </c:tx>
      <c:layout>
        <c:manualLayout>
          <c:xMode val="edge"/>
          <c:yMode val="edge"/>
          <c:x val="0.12062667938479185"/>
          <c:y val="2.767064296603643E-2"/>
        </c:manualLayout>
      </c:layout>
      <c:overlay val="0"/>
      <c:spPr>
        <a:noFill/>
        <a:ln w="25400">
          <a:noFill/>
        </a:ln>
      </c:spPr>
    </c:title>
    <c:autoTitleDeleted val="0"/>
    <c:plotArea>
      <c:layout>
        <c:manualLayout>
          <c:layoutTarget val="inner"/>
          <c:xMode val="edge"/>
          <c:yMode val="edge"/>
          <c:x val="9.6909869639216717E-2"/>
          <c:y val="0.17935027582630014"/>
          <c:w val="0.63562695993167129"/>
          <c:h val="0.59953981800179168"/>
        </c:manualLayout>
      </c:layout>
      <c:barChart>
        <c:barDir val="col"/>
        <c:grouping val="clustered"/>
        <c:varyColors val="0"/>
        <c:ser>
          <c:idx val="6"/>
          <c:order val="0"/>
          <c:tx>
            <c:strRef>
              <c:f>'Children in Need'!$Z$4</c:f>
              <c:strCache>
                <c:ptCount val="1"/>
                <c:pt idx="0">
                  <c:v>Selected LA- (none)</c:v>
                </c:pt>
              </c:strCache>
            </c:strRef>
          </c:tx>
          <c:spPr>
            <a:solidFill>
              <a:srgbClr val="66FF99"/>
            </a:solidFill>
            <a:ln>
              <a:solidFill>
                <a:schemeClr val="tx1">
                  <a:lumMod val="75000"/>
                  <a:lumOff val="25000"/>
                </a:schemeClr>
              </a:solidFill>
            </a:ln>
          </c:spPr>
          <c:invertIfNegative val="0"/>
          <c:cat>
            <c:strRef>
              <c:f>'Children in Need'!$Y$2:$AC$3</c:f>
              <c:strCache>
                <c:ptCount val="5"/>
                <c:pt idx="0">
                  <c:v>2019/20</c:v>
                </c:pt>
                <c:pt idx="1">
                  <c:v>2020/21</c:v>
                </c:pt>
                <c:pt idx="2">
                  <c:v>2021/22</c:v>
                </c:pt>
                <c:pt idx="3">
                  <c:v>2022/23</c:v>
                </c:pt>
                <c:pt idx="4">
                  <c:v>2023/24</c:v>
                </c:pt>
              </c:strCache>
            </c:strRef>
          </c:cat>
          <c:val>
            <c:numRef>
              <c:f>'Children in Need'!$AL$59:$AP$59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65B5-4B4C-AB44-C5862771E03F}"/>
            </c:ext>
          </c:extLst>
        </c:ser>
        <c:ser>
          <c:idx val="4"/>
          <c:order val="1"/>
          <c:tx>
            <c:strRef>
              <c:f>'Children in Need'!$B$30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'Children in Need'!$Y$2:$AC$3</c:f>
              <c:strCache>
                <c:ptCount val="5"/>
                <c:pt idx="0">
                  <c:v>2019/20</c:v>
                </c:pt>
                <c:pt idx="1">
                  <c:v>2020/21</c:v>
                </c:pt>
                <c:pt idx="2">
                  <c:v>2021/22</c:v>
                </c:pt>
                <c:pt idx="3">
                  <c:v>2022/23</c:v>
                </c:pt>
                <c:pt idx="4">
                  <c:v>2023/24</c:v>
                </c:pt>
              </c:strCache>
            </c:strRef>
          </c:cat>
          <c:val>
            <c:numRef>
              <c:f>'Children in Need'!$K$30:$O$30</c:f>
              <c:numCache>
                <c:formatCode>0.0</c:formatCode>
                <c:ptCount val="5"/>
                <c:pt idx="0">
                  <c:v>310.97471459703803</c:v>
                </c:pt>
                <c:pt idx="1">
                  <c:v>309.98621765538547</c:v>
                </c:pt>
                <c:pt idx="2">
                  <c:v>337.09322124961773</c:v>
                </c:pt>
                <c:pt idx="3">
                  <c:v>330.70206639178554</c:v>
                </c:pt>
                <c:pt idx="4">
                  <c:v>369.62412936374869</c:v>
                </c:pt>
              </c:numCache>
            </c:numRef>
          </c:val>
          <c:extLst>
            <c:ext xmlns:c16="http://schemas.microsoft.com/office/drawing/2014/chart" uri="{C3380CC4-5D6E-409C-BE32-E72D297353CC}">
              <c16:uniqueId val="{00000001-65B5-4B4C-AB44-C5862771E03F}"/>
            </c:ext>
          </c:extLst>
        </c:ser>
        <c:ser>
          <c:idx val="0"/>
          <c:order val="2"/>
          <c:tx>
            <c:strRef>
              <c:f>'Children in Need'!$B$31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'Children in Need'!$Y$2:$AC$3</c:f>
              <c:strCache>
                <c:ptCount val="5"/>
                <c:pt idx="0">
                  <c:v>2019/20</c:v>
                </c:pt>
                <c:pt idx="1">
                  <c:v>2020/21</c:v>
                </c:pt>
                <c:pt idx="2">
                  <c:v>2021/22</c:v>
                </c:pt>
                <c:pt idx="3">
                  <c:v>2022/23</c:v>
                </c:pt>
                <c:pt idx="4">
                  <c:v>2023/24</c:v>
                </c:pt>
              </c:strCache>
            </c:strRef>
          </c:cat>
          <c:val>
            <c:numRef>
              <c:f>'Children in Need'!$K$31:$O$31</c:f>
              <c:numCache>
                <c:formatCode>0.0</c:formatCode>
                <c:ptCount val="5"/>
                <c:pt idx="0">
                  <c:v>330.14737637750829</c:v>
                </c:pt>
                <c:pt idx="1">
                  <c:v>329.56972271486933</c:v>
                </c:pt>
                <c:pt idx="2">
                  <c:v>343.71690329526501</c:v>
                </c:pt>
                <c:pt idx="3">
                  <c:v>339.1360893248231</c:v>
                </c:pt>
                <c:pt idx="4">
                  <c:v>332.92089790798065</c:v>
                </c:pt>
              </c:numCache>
            </c:numRef>
          </c:val>
          <c:extLst>
            <c:ext xmlns:c16="http://schemas.microsoft.com/office/drawing/2014/chart" uri="{C3380CC4-5D6E-409C-BE32-E72D297353CC}">
              <c16:uniqueId val="{00000002-65B5-4B4C-AB44-C5862771E03F}"/>
            </c:ext>
          </c:extLst>
        </c:ser>
        <c:dLbls>
          <c:showLegendKey val="0"/>
          <c:showVal val="0"/>
          <c:showCatName val="0"/>
          <c:showSerName val="0"/>
          <c:showPercent val="0"/>
          <c:showBubbleSize val="0"/>
        </c:dLbls>
        <c:gapWidth val="100"/>
        <c:axId val="562161536"/>
        <c:axId val="562163072"/>
      </c:barChart>
      <c:catAx>
        <c:axId val="562161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62163072"/>
        <c:crosses val="autoZero"/>
        <c:auto val="1"/>
        <c:lblAlgn val="ctr"/>
        <c:lblOffset val="100"/>
        <c:noMultiLvlLbl val="0"/>
      </c:catAx>
      <c:valAx>
        <c:axId val="562163072"/>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2161536"/>
        <c:crosses val="autoZero"/>
        <c:crossBetween val="between"/>
      </c:valAx>
      <c:spPr>
        <a:noFill/>
        <a:ln w="3175">
          <a:solidFill>
            <a:srgbClr val="000000"/>
          </a:solidFill>
          <a:prstDash val="solid"/>
        </a:ln>
      </c:spPr>
    </c:plotArea>
    <c:legend>
      <c:legendPos val="r"/>
      <c:layout>
        <c:manualLayout>
          <c:xMode val="edge"/>
          <c:yMode val="edge"/>
          <c:x val="0.73773330590208286"/>
          <c:y val="0.17953653819588342"/>
          <c:w val="0.26226669409791709"/>
          <c:h val="0.67924371728982991"/>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Distance from Expected Rate of Children in Need</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30387719568654986"/>
          <c:y val="0.13754659323684476"/>
          <c:w val="0.65695124248599968"/>
          <c:h val="0.80483344421018621"/>
        </c:manualLayout>
      </c:layout>
      <c:barChart>
        <c:barDir val="bar"/>
        <c:grouping val="clustered"/>
        <c:varyColors val="0"/>
        <c:ser>
          <c:idx val="2"/>
          <c:order val="0"/>
          <c:tx>
            <c:strRef>
              <c:f>'Children in Need'!$T$10</c:f>
              <c:strCache>
                <c:ptCount val="1"/>
                <c:pt idx="0">
                  <c:v>Distance</c:v>
                </c:pt>
              </c:strCache>
            </c:strRef>
          </c:tx>
          <c:spPr>
            <a:solidFill>
              <a:srgbClr val="FB994F"/>
            </a:solidFill>
            <a:ln w="25400">
              <a:noFill/>
            </a:ln>
          </c:spPr>
          <c:invertIfNegative val="0"/>
          <c:cat>
            <c:strRef>
              <c:f>'Children in Need'!$X$74:$X$94</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'Children in Need'!$T$11:$T$31</c:f>
              <c:numCache>
                <c:formatCode>0.0</c:formatCode>
                <c:ptCount val="21"/>
                <c:pt idx="0">
                  <c:v>55.580400871710026</c:v>
                </c:pt>
                <c:pt idx="1">
                  <c:v>91.19776460895946</c:v>
                </c:pt>
                <c:pt idx="2">
                  <c:v>9.1449509836489824</c:v>
                </c:pt>
                <c:pt idx="3">
                  <c:v>13.882552319665024</c:v>
                </c:pt>
                <c:pt idx="4">
                  <c:v>#N/A</c:v>
                </c:pt>
                <c:pt idx="5">
                  <c:v>261.56346651206388</c:v>
                </c:pt>
                <c:pt idx="6">
                  <c:v>-4.4270633479257526</c:v>
                </c:pt>
                <c:pt idx="7">
                  <c:v>-37.026614149565262</c:v>
                </c:pt>
                <c:pt idx="8">
                  <c:v>11.317147616697923</c:v>
                </c:pt>
                <c:pt idx="9">
                  <c:v>-26.569749815341936</c:v>
                </c:pt>
                <c:pt idx="10">
                  <c:v>48.44960776677118</c:v>
                </c:pt>
                <c:pt idx="11">
                  <c:v>107.90065906430681</c:v>
                </c:pt>
                <c:pt idx="12">
                  <c:v>56.708067894850728</c:v>
                </c:pt>
                <c:pt idx="13">
                  <c:v>17.655693176287969</c:v>
                </c:pt>
                <c:pt idx="14">
                  <c:v>-59.245167541392561</c:v>
                </c:pt>
                <c:pt idx="15">
                  <c:v>36.659884552557912</c:v>
                </c:pt>
                <c:pt idx="16">
                  <c:v>51.664060636455872</c:v>
                </c:pt>
                <c:pt idx="17">
                  <c:v>2.1922671765255473</c:v>
                </c:pt>
                <c:pt idx="18">
                  <c:v>-0.78179112117157956</c:v>
                </c:pt>
                <c:pt idx="19">
                  <c:v>61.346599466601219</c:v>
                </c:pt>
                <c:pt idx="20">
                  <c:v>-21.624830400425765</c:v>
                </c:pt>
              </c:numCache>
            </c:numRef>
          </c:val>
          <c:extLst>
            <c:ext xmlns:c16="http://schemas.microsoft.com/office/drawing/2014/chart" uri="{C3380CC4-5D6E-409C-BE32-E72D297353CC}">
              <c16:uniqueId val="{00000000-71A1-4D34-9B41-FBBD74E0A63D}"/>
            </c:ext>
          </c:extLst>
        </c:ser>
        <c:ser>
          <c:idx val="0"/>
          <c:order val="1"/>
          <c:tx>
            <c:strRef>
              <c:f>'Children in Need'!$Z$4</c:f>
              <c:strCache>
                <c:ptCount val="1"/>
                <c:pt idx="0">
                  <c:v>Selected LA- (none)</c:v>
                </c:pt>
              </c:strCache>
            </c:strRef>
          </c:tx>
          <c:spPr>
            <a:solidFill>
              <a:srgbClr val="66FF99"/>
            </a:solidFill>
            <a:ln w="12700">
              <a:solidFill>
                <a:srgbClr val="000000"/>
              </a:solidFill>
              <a:prstDash val="solid"/>
            </a:ln>
          </c:spPr>
          <c:invertIfNegative val="0"/>
          <c:cat>
            <c:strRef>
              <c:f>'Children in Need'!$X$74:$X$94</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'Children in Need'!$Z$74:$Z$94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71A1-4D34-9B41-FBBD74E0A63D}"/>
            </c:ext>
          </c:extLst>
        </c:ser>
        <c:dLbls>
          <c:showLegendKey val="0"/>
          <c:showVal val="0"/>
          <c:showCatName val="0"/>
          <c:showSerName val="0"/>
          <c:showPercent val="0"/>
          <c:showBubbleSize val="0"/>
        </c:dLbls>
        <c:gapWidth val="40"/>
        <c:overlap val="100"/>
        <c:axId val="562881664"/>
        <c:axId val="562883200"/>
      </c:barChart>
      <c:catAx>
        <c:axId val="56288166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2883200"/>
        <c:crossesAt val="0"/>
        <c:auto val="1"/>
        <c:lblAlgn val="ctr"/>
        <c:lblOffset val="100"/>
        <c:noMultiLvlLbl val="0"/>
      </c:catAx>
      <c:valAx>
        <c:axId val="562883200"/>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2881664"/>
        <c:crosses val="max"/>
        <c:crossBetween val="between"/>
      </c:valAx>
      <c:spPr>
        <a:noFill/>
        <a:ln w="12700">
          <a:solidFill>
            <a:srgbClr val="000000"/>
          </a:solidFill>
          <a:prstDash val="solid"/>
        </a:ln>
      </c:spPr>
    </c:plotArea>
    <c:legend>
      <c:legendPos val="t"/>
      <c:layout>
        <c:manualLayout>
          <c:xMode val="edge"/>
          <c:yMode val="edge"/>
          <c:x val="0.25749153150727955"/>
          <c:y val="7.2490772111310081E-2"/>
          <c:w val="0.66710972025932658"/>
          <c:h val="4.089223042176466E-2"/>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'Children in Need'!$AK$5</c:f>
          <c:strCache>
            <c:ptCount val="1"/>
            <c:pt idx="0">
              <c:v>Average Annual Change in Number of Children in Need</c:v>
            </c:pt>
          </c:strCache>
        </c:strRef>
      </c:tx>
      <c:layout>
        <c:manualLayout>
          <c:xMode val="edge"/>
          <c:yMode val="edge"/>
          <c:x val="9.5785619809663491E-3"/>
          <c:y val="1.1152426478663088E-2"/>
        </c:manualLayout>
      </c:layout>
      <c:overlay val="0"/>
      <c:spPr>
        <a:noFill/>
        <a:ln w="25400">
          <a:noFill/>
        </a:ln>
      </c:spPr>
      <c:txPr>
        <a:bodyPr/>
        <a:lstStyle/>
        <a:p>
          <a:pPr algn="l">
            <a:defRPr sz="1100" b="1"/>
          </a:pPr>
          <a:endParaRPr lang="en-US"/>
        </a:p>
      </c:txPr>
    </c:title>
    <c:autoTitleDeleted val="0"/>
    <c:plotArea>
      <c:layout>
        <c:manualLayout>
          <c:layoutTarget val="inner"/>
          <c:xMode val="edge"/>
          <c:yMode val="edge"/>
          <c:x val="0.29337722602552763"/>
          <c:y val="0.13343135348822138"/>
          <c:w val="0.66500922620022496"/>
          <c:h val="0.80894867308253138"/>
        </c:manualLayout>
      </c:layout>
      <c:barChart>
        <c:barDir val="bar"/>
        <c:grouping val="clustered"/>
        <c:varyColors val="0"/>
        <c:ser>
          <c:idx val="0"/>
          <c:order val="0"/>
          <c:tx>
            <c:strRef>
              <c:f>'Children in Need'!$I$7</c:f>
              <c:strCache>
                <c:ptCount val="1"/>
                <c:pt idx="0">
                  <c:v>Average Annual Change </c:v>
                </c:pt>
              </c:strCache>
            </c:strRef>
          </c:tx>
          <c:spPr>
            <a:solidFill>
              <a:srgbClr val="FB994F"/>
            </a:solidFill>
            <a:ln w="25400">
              <a:noFill/>
            </a:ln>
          </c:spPr>
          <c:invertIfNegative val="0"/>
          <c:cat>
            <c:strRef>
              <c:f>'Children in Need'!$B$11:$B$31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'Children in Need'!$I$11:$I$31</c:f>
              <c:numCache>
                <c:formatCode>0.0%</c:formatCode>
                <c:ptCount val="21"/>
                <c:pt idx="0">
                  <c:v>1.8588500284852975E-2</c:v>
                </c:pt>
                <c:pt idx="1">
                  <c:v>3.1608103051024614E-2</c:v>
                </c:pt>
                <c:pt idx="2">
                  <c:v>1.9349419757686701E-2</c:v>
                </c:pt>
                <c:pt idx="3">
                  <c:v>3.353873640595581E-2</c:v>
                </c:pt>
                <c:pt idx="4">
                  <c:v>4.1497298448880005E-2</c:v>
                </c:pt>
                <c:pt idx="5">
                  <c:v>5.9126011633774553E-2</c:v>
                </c:pt>
                <c:pt idx="6">
                  <c:v>2.8131708784292803E-2</c:v>
                </c:pt>
                <c:pt idx="7">
                  <c:v>3.4296577095590669E-2</c:v>
                </c:pt>
                <c:pt idx="8">
                  <c:v>1.5991855400010635E-2</c:v>
                </c:pt>
                <c:pt idx="9">
                  <c:v>-4.2816632155330873E-2</c:v>
                </c:pt>
                <c:pt idx="10">
                  <c:v>2.9104276628632044E-2</c:v>
                </c:pt>
                <c:pt idx="11">
                  <c:v>4.2800148116846237E-2</c:v>
                </c:pt>
                <c:pt idx="12">
                  <c:v>2.2433154397940296E-2</c:v>
                </c:pt>
                <c:pt idx="13">
                  <c:v>-2.0273025375988369E-2</c:v>
                </c:pt>
                <c:pt idx="14">
                  <c:v>-1.654104723016259E-2</c:v>
                </c:pt>
                <c:pt idx="15">
                  <c:v>6.9551717782725786E-2</c:v>
                </c:pt>
                <c:pt idx="16">
                  <c:v>2.7041525642055884E-2</c:v>
                </c:pt>
                <c:pt idx="17">
                  <c:v>-7.2316688657638947E-3</c:v>
                </c:pt>
                <c:pt idx="18">
                  <c:v>-6.4004158388816347E-3</c:v>
                </c:pt>
                <c:pt idx="19">
                  <c:v>4.5750693713840343E-2</c:v>
                </c:pt>
                <c:pt idx="20">
                  <c:v>6.680184243125482E-3</c:v>
                </c:pt>
              </c:numCache>
            </c:numRef>
          </c:val>
          <c:extLst>
            <c:ext xmlns:c16="http://schemas.microsoft.com/office/drawing/2014/chart" uri="{C3380CC4-5D6E-409C-BE32-E72D297353CC}">
              <c16:uniqueId val="{00000000-8D0D-4D39-80C9-D852DC277618}"/>
            </c:ext>
          </c:extLst>
        </c:ser>
        <c:ser>
          <c:idx val="1"/>
          <c:order val="1"/>
          <c:tx>
            <c:strRef>
              <c:f>'Children in Need'!$Z$4</c:f>
              <c:strCache>
                <c:ptCount val="1"/>
                <c:pt idx="0">
                  <c:v>Selected LA- (none)</c:v>
                </c:pt>
              </c:strCache>
            </c:strRef>
          </c:tx>
          <c:spPr>
            <a:solidFill>
              <a:srgbClr val="66FF99"/>
            </a:solidFill>
            <a:ln w="12700">
              <a:solidFill>
                <a:srgbClr val="000000"/>
              </a:solidFill>
              <a:prstDash val="solid"/>
            </a:ln>
          </c:spPr>
          <c:invertIfNegative val="0"/>
          <c:cat>
            <c:strRef>
              <c:f>'Children in Need'!$B$11:$B$31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'Children in Need'!$Y$74:$Y$94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8D0D-4D39-80C9-D852DC277618}"/>
            </c:ext>
          </c:extLst>
        </c:ser>
        <c:dLbls>
          <c:showLegendKey val="0"/>
          <c:showVal val="0"/>
          <c:showCatName val="0"/>
          <c:showSerName val="0"/>
          <c:showPercent val="0"/>
          <c:showBubbleSize val="0"/>
        </c:dLbls>
        <c:gapWidth val="40"/>
        <c:overlap val="100"/>
        <c:axId val="562920832"/>
        <c:axId val="562922624"/>
      </c:barChart>
      <c:catAx>
        <c:axId val="56292083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562922624"/>
        <c:crosses val="autoZero"/>
        <c:auto val="1"/>
        <c:lblAlgn val="ctr"/>
        <c:lblOffset val="100"/>
        <c:noMultiLvlLbl val="0"/>
      </c:catAx>
      <c:valAx>
        <c:axId val="562922624"/>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2920832"/>
        <c:crosses val="max"/>
        <c:crossBetween val="between"/>
      </c:valAx>
      <c:spPr>
        <a:noFill/>
        <a:ln w="3175">
          <a:solidFill>
            <a:srgbClr val="000000"/>
          </a:solidFill>
          <a:prstDash val="solid"/>
        </a:ln>
      </c:spPr>
    </c:plotArea>
    <c:legend>
      <c:legendPos val="t"/>
      <c:layout>
        <c:manualLayout>
          <c:xMode val="edge"/>
          <c:yMode val="edge"/>
          <c:x val="0.2203420316538611"/>
          <c:y val="7.8066985350641618E-2"/>
          <c:w val="0.72936019544665931"/>
          <c:h val="4.089223042176466E-2"/>
        </c:manualLayout>
      </c:layout>
      <c:overlay val="0"/>
      <c:spPr>
        <a:noFill/>
        <a:ln w="12700">
          <a:noFill/>
          <a:prstDash val="solid"/>
        </a:ln>
      </c:spPr>
    </c:legend>
    <c:plotVisOnly val="0"/>
    <c:dispBlanksAs val="gap"/>
    <c:showDLblsOverMax val="0"/>
  </c:chart>
  <c:spPr>
    <a:solidFill>
      <a:srgbClr val="FFFFFF"/>
    </a:solidFill>
    <a:ln w="12700">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Children in Need vs. IDACI</a:t>
            </a:r>
          </a:p>
        </c:rich>
      </c:tx>
      <c:layout>
        <c:manualLayout>
          <c:xMode val="edge"/>
          <c:yMode val="edge"/>
          <c:x val="0.24327501345629893"/>
          <c:y val="3.3109107967838863E-2"/>
        </c:manualLayout>
      </c:layout>
      <c:overlay val="0"/>
      <c:spPr>
        <a:noFill/>
        <a:ln w="25400">
          <a:noFill/>
        </a:ln>
      </c:spPr>
    </c:title>
    <c:autoTitleDeleted val="0"/>
    <c:plotArea>
      <c:layout>
        <c:manualLayout>
          <c:layoutTarget val="inner"/>
          <c:xMode val="edge"/>
          <c:yMode val="edge"/>
          <c:x val="0.19746859433544678"/>
          <c:y val="0.1097991710312229"/>
          <c:w val="0.71042412839987923"/>
          <c:h val="0.7425640385641078"/>
        </c:manualLayout>
      </c:layout>
      <c:scatterChart>
        <c:scatterStyle val="lineMarker"/>
        <c:varyColors val="0"/>
        <c:ser>
          <c:idx val="0"/>
          <c:order val="0"/>
          <c:tx>
            <c:strRef>
              <c:f>'Children in Need'!$AQ$35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1711-4A2B-AA94-EB50FB6C94C1}"/>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{7F64A00B-8997-4D1F-9DCD-92931CFDEC04}</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1711-4A2B-AA94-EB50FB6C94C1}"/>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{7BEF07FF-614B-43DC-8467-14737E84413D}</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1711-4A2B-AA94-EB50FB6C94C1}"/>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{8EEE478B-2FEC-4938-B0CD-813872F24717}</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1711-4A2B-AA94-EB50FB6C94C1}"/>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{0243639E-6213-4814-AF7D-2CE6494677BF}</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1711-4A2B-AA94-EB50FB6C94C1}"/>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{E908A94D-635A-41B6-8E7A-5EEB5D56E435}</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5-1711-4A2B-AA94-EB50FB6C94C1}"/>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{74DE0C35-A2FC-4836-B772-4A4DE19E3FE8}</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1711-4A2B-AA94-EB50FB6C94C1}"/>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{5C95A245-9550-4E74-BC98-9ED3609829E6}</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7-1711-4A2B-AA94-EB50FB6C94C1}"/>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{CD92E6C8-405E-4D3F-9F4A-4D8D8F89EB85}</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8-1711-4A2B-AA94-EB50FB6C94C1}"/>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{2767C90E-90C2-4FD6-9966-56172F63D1E7}</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1711-4A2B-AA94-EB50FB6C94C1}"/>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{E05002E0-DE13-47A6-B01D-317A49F0BAE4}</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1711-4A2B-AA94-EB50FB6C94C1}"/>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{B3BB5626-0B50-4A15-BCB9-BAA77C706ADB}</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1711-4A2B-AA94-EB50FB6C94C1}"/>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{EBBACFBA-2318-4002-82AC-1A889168E51E}</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C-1711-4A2B-AA94-EB50FB6C94C1}"/>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{0056ED51-2B81-4FA9-A3BE-3162680CC33C}</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0D-1711-4A2B-AA94-EB50FB6C94C1}"/>
                </c:ext>
              </c:extLst>
            </c:dLbl>
            <c:dLbl>
              <c:idx val="13"/>
              <c:tx>
                <c:strRef>
                  <c:f>ReportData!$K$17</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{8E939E89-0525-4C68-A28A-B42B3DF779CD}</c15:txfldGUID>
                      <c15:f>ReportData!$K$17</c15:f>
                      <c15:dlblFieldTableCache>
                        <c:ptCount val="1"/>
                        <c:pt idx="0">
                          <c:v>Southampton</c:v>
                        </c:pt>
                      </c15:dlblFieldTableCache>
                    </c15:dlblFTEntry>
                  </c15:dlblFieldTable>
                  <c15:showDataLabelsRange val="0"/>
                </c:ext>
                <c:ext xmlns:c16="http://schemas.microsoft.com/office/drawing/2014/chart" uri="{C3380CC4-5D6E-409C-BE32-E72D297353CC}">
                  <c16:uniqueId val="{0000000E-1711-4A2B-AA94-EB50FB6C94C1}"/>
                </c:ext>
              </c:extLst>
            </c:dLbl>
            <c:dLbl>
              <c:idx val="14"/>
              <c:tx>
                <c:strRef>
                  <c:f>ReportData!$K$18</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{0CC23E09-FB66-4907-AB78-7A89F5E69BAD}</c15:txfldGUID>
                      <c15:f>ReportData!$K$18</c15:f>
                      <c15:dlblFieldTableCache>
                        <c:ptCount val="1"/>
                        <c:pt idx="0">
                          <c:v>Surrey</c:v>
                        </c:pt>
                      </c15:dlblFieldTableCache>
                    </c15:dlblFTEntry>
                  </c15:dlblFieldTable>
                  <c15:showDataLabelsRange val="0"/>
                </c:ext>
                <c:ext xmlns:c16="http://schemas.microsoft.com/office/drawing/2014/chart" uri="{C3380CC4-5D6E-409C-BE32-E72D297353CC}">
                  <c16:uniqueId val="{0000000F-1711-4A2B-AA94-EB50FB6C94C1}"/>
                </c:ext>
              </c:extLst>
            </c:dLbl>
            <c:dLbl>
              <c:idx val="15"/>
              <c:tx>
                <c:strRef>
                  <c:f>ReportData!$K$19</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{A4508114-E2BE-4946-A71B-AAF3B7D291D7}</c15:txfldGUID>
                      <c15:f>ReportData!$K$19</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1711-4A2B-AA94-EB50FB6C94C1}"/>
                </c:ext>
              </c:extLst>
            </c:dLbl>
            <c:dLbl>
              <c:idx val="16"/>
              <c:tx>
                <c:strRef>
                  <c:f>ReportData!$K$20</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{B1BDBBEC-CF9F-45CC-B5A8-275860BDCDDD}</c15:txfldGUID>
                      <c15:f>ReportData!$K$20</c15:f>
                      <c15:dlblFieldTableCache>
                        <c:ptCount val="1"/>
                        <c:pt idx="0">
                          <c:v>West Sussex</c:v>
                        </c:pt>
                      </c15:dlblFieldTableCache>
                    </c15:dlblFTEntry>
                  </c15:dlblFieldTable>
                  <c15:showDataLabelsRange val="0"/>
                </c:ext>
                <c:ext xmlns:c16="http://schemas.microsoft.com/office/drawing/2014/chart" uri="{C3380CC4-5D6E-409C-BE32-E72D297353CC}">
                  <c16:uniqueId val="{00000011-1711-4A2B-AA94-EB50FB6C94C1}"/>
                </c:ext>
              </c:extLst>
            </c:dLbl>
            <c:dLbl>
              <c:idx val="17"/>
              <c:layout>
                <c:manualLayout>
                  <c:x val="-2.1259252882280515E-2"/>
                  <c:y val="1.782607922639495E-2"/>
                </c:manualLayout>
              </c:layout>
              <c:tx>
                <c:strRef>
                  <c:f>ReportData!$K$21</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{1FD43B43-1BD9-4513-838B-B4A23DA14E41}</c15:txfldGUID>
                      <c15:f>ReportData!$K$21</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1711-4A2B-AA94-EB50FB6C94C1}"/>
                </c:ext>
              </c:extLst>
            </c:dLbl>
            <c:dLbl>
              <c:idx val="18"/>
              <c:tx>
                <c:strRef>
                  <c:f>ReportData!$K$22</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{CD3983BC-27A7-4808-9E97-C192F4C64F90}</c15:txfldGUID>
                      <c15:f>ReportData!$K$22</c15:f>
                      <c15:dlblFieldTableCache>
                        <c:ptCount val="1"/>
                        <c:pt idx="0">
                          <c:v>Wokingham</c:v>
                        </c:pt>
                      </c15:dlblFieldTableCache>
                    </c15:dlblFTEntry>
                  </c15:dlblFieldTable>
                  <c15:showDataLabelsRange val="0"/>
                </c:ext>
                <c:ext xmlns:c16="http://schemas.microsoft.com/office/drawing/2014/chart" uri="{C3380CC4-5D6E-409C-BE32-E72D297353CC}">
                  <c16:uniqueId val="{00000013-1711-4A2B-AA94-EB50FB6C94C1}"/>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('Children in Need'!$AQ$38:$AQ$50,'Children in Need'!$AQ$51:$AQ$52,'Children in Need'!$AQ$53:$AQ$56)</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('Children in Need'!$AP$38:$AP$50,'Children in Need'!$AP$51:$AP$52,'Children in Need'!$AP$53:$AP$56)</c:f>
              <c:numCache>
                <c:formatCode>0.0</c:formatCode>
                <c:ptCount val="19"/>
                <c:pt idx="0">
                  <c:v>322.54686354592104</c:v>
                </c:pt>
                <c:pt idx="1">
                  <c:v>426.64895212788753</c:v>
                </c:pt>
                <c:pt idx="2">
                  <c:v>271.8311183550652</c:v>
                </c:pt>
                <c:pt idx="3">
                  <c:v>357.89433044418274</c:v>
                </c:pt>
                <c:pt idx="4">
                  <c:v>#N/A</c:v>
                </c:pt>
                <c:pt idx="5">
                  <c:v>625.90664732485698</c:v>
                </c:pt>
                <c:pt idx="6">
                  <c:v>336.3744932994959</c:v>
                </c:pt>
                <c:pt idx="7">
                  <c:v>336.94723109451616</c:v>
                </c:pt>
                <c:pt idx="8">
                  <c:v>343.55811365852986</c:v>
                </c:pt>
                <c:pt idx="9">
                  <c:v>253.23759876725353</c:v>
                </c:pt>
                <c:pt idx="10">
                  <c:v>436.33441274493583</c:v>
                </c:pt>
                <c:pt idx="11">
                  <c:v>450.8423633631258</c:v>
                </c:pt>
                <c:pt idx="12">
                  <c:v>385.7388124595866</c:v>
                </c:pt>
                <c:pt idx="13">
                  <c:v>408.75071963154869</c:v>
                </c:pt>
                <c:pt idx="14">
                  <c:v>201.30085217862626</c:v>
                </c:pt>
                <c:pt idx="15">
                  <c:v>301.48619957537153</c:v>
                </c:pt>
                <c:pt idx="16">
                  <c:v>341.10207365033966</c:v>
                </c:pt>
                <c:pt idx="17">
                  <c:v>245.61710568536506</c:v>
                </c:pt>
                <c:pt idx="18">
                  <c:v>230.87223530498221</c:v>
                </c:pt>
              </c:numCache>
            </c:numRef>
          </c:yVal>
          <c:smooth val="0"/>
          <c:extLst>
            <c:ext xmlns:c16="http://schemas.microsoft.com/office/drawing/2014/chart" uri="{C3380CC4-5D6E-409C-BE32-E72D297353CC}">
              <c16:uniqueId val="{00000014-1711-4A2B-AA94-EB50FB6C94C1}"/>
            </c:ext>
          </c:extLst>
        </c:ser>
        <c:ser>
          <c:idx val="1"/>
          <c:order val="1"/>
          <c:tx>
            <c:strRef>
              <c:f>'Children in Need'!$Z$4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'Children in Need'!$AQ$59</c:f>
              <c:numCache>
                <c:formatCode>0.0</c:formatCode>
                <c:ptCount val="1"/>
                <c:pt idx="0">
                  <c:v>#N/A</c:v>
                </c:pt>
              </c:numCache>
            </c:numRef>
          </c:xVal>
          <c:yVal>
            <c:numRef>
              <c:f>'Children in Need'!$AP$59</c:f>
              <c:numCache>
                <c:formatCode>0.0</c:formatCode>
                <c:ptCount val="1"/>
                <c:pt idx="0">
                  <c:v>#N/A</c:v>
                </c:pt>
              </c:numCache>
            </c:numRef>
          </c:yVal>
          <c:smooth val="0"/>
          <c:extLst>
            <c:ext xmlns:c16="http://schemas.microsoft.com/office/drawing/2014/chart" uri="{C3380CC4-5D6E-409C-BE32-E72D297353CC}">
              <c16:uniqueId val="{00000019-1711-4A2B-AA94-EB50FB6C94C1}"/>
            </c:ext>
          </c:extLst>
        </c:ser>
        <c:ser>
          <c:idx val="4"/>
          <c:order val="2"/>
          <c:tx>
            <c:strRef>
              <c:f>'Children in Need'!$B$30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'Children in Need'!$AQ$57</c:f>
              <c:numCache>
                <c:formatCode>0.0</c:formatCode>
                <c:ptCount val="1"/>
                <c:pt idx="0">
                  <c:v>12.760581039440194</c:v>
                </c:pt>
              </c:numCache>
            </c:numRef>
          </c:xVal>
          <c:yVal>
            <c:numRef>
              <c:f>'Children in Need'!$O$30</c:f>
              <c:numCache>
                <c:formatCode>0.0</c:formatCode>
                <c:ptCount val="1"/>
                <c:pt idx="0">
                  <c:v>369.62412936374869</c:v>
                </c:pt>
              </c:numCache>
            </c:numRef>
          </c:yVal>
          <c:smooth val="0"/>
          <c:extLst>
            <c:ext xmlns:c16="http://schemas.microsoft.com/office/drawing/2014/chart" uri="{C3380CC4-5D6E-409C-BE32-E72D297353CC}">
              <c16:uniqueId val="{0000001A-1711-4A2B-AA94-EB50FB6C94C1}"/>
            </c:ext>
          </c:extLst>
        </c:ser>
        <c:ser>
          <c:idx val="2"/>
          <c:order val="3"/>
          <c:tx>
            <c:strRef>
              <c:f>'Children in Need'!$X$40</c:f>
              <c:strCache>
                <c:ptCount val="1"/>
                <c:pt idx="0">
                  <c:v>National Trend 2024</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B-1711-4A2B-AA94-EB50FB6C94C1}"/>
                </c:ext>
              </c:extLst>
            </c:dLbl>
            <c:dLbl>
              <c:idx val="1"/>
              <c:layout>
                <c:manualLayout>
                  <c:x val="-5.012801518203449E-2"/>
                  <c:y val="-3.3182503770739065E-2"/>
                </c:manualLayout>
              </c:layout>
              <c:tx>
                <c:strRef>
                  <c:f>'Children in Need'!$AC$40</c:f>
                  <c:strCache>
                    <c:ptCount val="1"/>
                    <c:pt idx="0">
                      <c:v>r² = 0.419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{7F72F7FA-C24E-409A-A89C-DA77F1DD363D}</c15:txfldGUID>
                      <c15:f>'Children in Need'!$AC$40</c15:f>
                      <c15:dlblFieldTableCache>
                        <c:ptCount val="1"/>
                        <c:pt idx="0">
                          <c:v>r² = 0.419</c:v>
                        </c:pt>
                      </c15:dlblFieldTableCache>
                    </c15:dlblFTEntry>
                  </c15:dlblFieldTable>
                  <c15:showDataLabelsRange val="0"/>
                </c:ext>
                <c:ext xmlns:c16="http://schemas.microsoft.com/office/drawing/2014/chart" uri="{C3380CC4-5D6E-409C-BE32-E72D297353CC}">
                  <c16:uniqueId val="{0000001C-1711-4A2B-AA94-EB50FB6C94C1}"/>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'Children in Need'!$AA$40:$AA$41</c:f>
              <c:numCache>
                <c:formatCode>General</c:formatCode>
                <c:ptCount val="2"/>
                <c:pt idx="0" formatCode="#,##0.0">
                  <c:v>3</c:v>
                </c:pt>
                <c:pt idx="1">
                  <c:v>22</c:v>
                </c:pt>
              </c:numCache>
            </c:numRef>
          </c:xVal>
          <c:yVal>
            <c:numRef>
              <c:f>'Children in Need'!$AB$40:$AB$41</c:f>
              <c:numCache>
                <c:formatCode>0.0</c:formatCode>
                <c:ptCount val="2"/>
                <c:pt idx="0">
                  <c:v>203.83210695798746</c:v>
                </c:pt>
                <c:pt idx="1">
                  <c:v>407.1461338407413</c:v>
                </c:pt>
              </c:numCache>
            </c:numRef>
          </c:yVal>
          <c:smooth val="0"/>
          <c:extLst>
            <c:ext xmlns:c16="http://schemas.microsoft.com/office/drawing/2014/chart" uri="{C3380CC4-5D6E-409C-BE32-E72D297353CC}">
              <c16:uniqueId val="{0000001D-1711-4A2B-AA94-EB50FB6C94C1}"/>
            </c:ext>
          </c:extLst>
        </c:ser>
        <c:ser>
          <c:idx val="5"/>
          <c:order val="4"/>
          <c:tx>
            <c:strRef>
              <c:f>'Children in Need'!$X$38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1711-4A2B-AA94-EB50FB6C94C1}"/>
                </c:ext>
              </c:extLst>
            </c:dLbl>
            <c:dLbl>
              <c:idx val="1"/>
              <c:layout>
                <c:manualLayout>
                  <c:x val="-4.2932307880119737E-2"/>
                  <c:y val="2.4132730015082957E-2"/>
                </c:manualLayout>
              </c:layout>
              <c:tx>
                <c:strRef>
                  <c:f>'Children in Need'!$AC$39</c:f>
                  <c:strCache>
                    <c:ptCount val="1"/>
                    <c:pt idx="0">
                      <c:v>r² = 0.558</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{31E3F0EC-E8C8-4444-9A42-0FE81F5DD288}</c15:txfldGUID>
                      <c15:f>'Children in Need'!$AC$39</c15:f>
                      <c15:dlblFieldTableCache>
                        <c:ptCount val="1"/>
                        <c:pt idx="0">
                          <c:v>r² = 0.558</c:v>
                        </c:pt>
                      </c15:dlblFieldTableCache>
                    </c15:dlblFTEntry>
                  </c15:dlblFieldTable>
                  <c15:showDataLabelsRange val="0"/>
                </c:ext>
                <c:ext xmlns:c16="http://schemas.microsoft.com/office/drawing/2014/chart" uri="{C3380CC4-5D6E-409C-BE32-E72D297353CC}">
                  <c16:uniqueId val="{0000001F-1711-4A2B-AA94-EB50FB6C94C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'Children in Need'!$AA$38:$AA$39</c:f>
              <c:numCache>
                <c:formatCode>General</c:formatCode>
                <c:ptCount val="2"/>
                <c:pt idx="0" formatCode="#,##0.0">
                  <c:v>3</c:v>
                </c:pt>
                <c:pt idx="1">
                  <c:v>22</c:v>
                </c:pt>
              </c:numCache>
            </c:numRef>
          </c:xVal>
          <c:yVal>
            <c:numRef>
              <c:f>'Children in Need'!$AB$38:$AB$39</c:f>
              <c:numCache>
                <c:formatCode>0.0</c:formatCode>
                <c:ptCount val="2"/>
                <c:pt idx="0">
                  <c:v>188.76912001968142</c:v>
                </c:pt>
                <c:pt idx="1">
                  <c:v>485.58829144827172</c:v>
                </c:pt>
              </c:numCache>
            </c:numRef>
          </c:yVal>
          <c:smooth val="0"/>
          <c:extLst>
            <c:ext xmlns:c16="http://schemas.microsoft.com/office/drawing/2014/chart" uri="{C3380CC4-5D6E-409C-BE32-E72D297353CC}">
              <c16:uniqueId val="{00000020-1711-4A2B-AA94-EB50FB6C94C1}"/>
            </c:ext>
          </c:extLst>
        </c:ser>
        <c:dLbls>
          <c:showLegendKey val="0"/>
          <c:showVal val="0"/>
          <c:showCatName val="0"/>
          <c:showSerName val="0"/>
          <c:showPercent val="0"/>
          <c:showBubbleSize val="0"/>
        </c:dLbls>
        <c:axId val="563121152"/>
        <c:axId val="562983296"/>
      </c:scatterChart>
      <c:valAx>
        <c:axId val="563121152"/>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2821117075329953"/>
              <c:y val="0.9192924074535932"/>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2983296"/>
        <c:crosses val="autoZero"/>
        <c:crossBetween val="midCat"/>
        <c:majorUnit val="5"/>
      </c:valAx>
      <c:valAx>
        <c:axId val="562983296"/>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a:t>Rate of Children in Need per 10,000 0-17 year olds</a:t>
                </a:r>
              </a:p>
            </c:rich>
          </c:tx>
          <c:layout>
            <c:manualLayout>
              <c:xMode val="edge"/>
              <c:yMode val="edge"/>
              <c:x val="5.1877989550371623E-2"/>
              <c:y val="0.173253663401251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3121152"/>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Section 47 Enquiries, per 10,000 0-17 year olds</a:t>
            </a:r>
          </a:p>
        </c:rich>
      </c:tx>
      <c:layout>
        <c:manualLayout>
          <c:xMode val="edge"/>
          <c:yMode val="edge"/>
          <c:x val="0.14450639219920411"/>
          <c:y val="1.2608279847894989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313872900079858"/>
        </c:manualLayout>
      </c:layout>
      <c:lineChart>
        <c:grouping val="standard"/>
        <c:varyColors val="0"/>
        <c:ser>
          <c:idx val="0"/>
          <c:order val="0"/>
          <c:tx>
            <c:strRef>
              <c:f>'Section 47 Enquiries'!$AK$38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55FF-4596-B567-8BEB7429C37C}"/>
              </c:ext>
            </c:extLst>
          </c:dPt>
          <c:cat>
            <c:strRef>
              <c:f>'Section 47 Enquiries'!$Y$2:$AC$3</c:f>
              <c:strCache>
                <c:ptCount val="5"/>
                <c:pt idx="0">
                  <c:v>2019/20</c:v>
                </c:pt>
                <c:pt idx="1">
                  <c:v>2020/21</c:v>
                </c:pt>
                <c:pt idx="2">
                  <c:v>2021/22</c:v>
                </c:pt>
                <c:pt idx="3">
                  <c:v>2022/23</c:v>
                </c:pt>
                <c:pt idx="4">
                  <c:v>2023/24</c:v>
                </c:pt>
              </c:strCache>
            </c:strRef>
          </c:cat>
          <c:val>
            <c:numRef>
              <c:f>'Section 47 Enquiries'!$AL$38:$AP$38</c:f>
              <c:numCache>
                <c:formatCode>0.0</c:formatCode>
                <c:ptCount val="5"/>
                <c:pt idx="0">
                  <c:v>299.65565242874936</c:v>
                </c:pt>
                <c:pt idx="1">
                  <c:v>315.64832934695949</c:v>
                </c:pt>
                <c:pt idx="2">
                  <c:v>308.3779606800129</c:v>
                </c:pt>
                <c:pt idx="3">
                  <c:v>303.21214260501233</c:v>
                </c:pt>
                <c:pt idx="4">
                  <c:v>243.65553112018711</c:v>
                </c:pt>
              </c:numCache>
            </c:numRef>
          </c:val>
          <c:smooth val="0"/>
          <c:extLst>
            <c:ext xmlns:c16="http://schemas.microsoft.com/office/drawing/2014/chart" uri="{C3380CC4-5D6E-409C-BE32-E72D297353CC}">
              <c16:uniqueId val="{00000001-55FF-4596-B567-8BEB7429C37C}"/>
            </c:ext>
          </c:extLst>
        </c:ser>
        <c:ser>
          <c:idx val="1"/>
          <c:order val="1"/>
          <c:tx>
            <c:strRef>
              <c:f>'Section 47 Enquiries'!$AK$39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'Section 47 Enquiries'!$Y$2:$AC$3</c:f>
              <c:strCache>
                <c:ptCount val="5"/>
                <c:pt idx="0">
                  <c:v>2019/20</c:v>
                </c:pt>
                <c:pt idx="1">
                  <c:v>2020/21</c:v>
                </c:pt>
                <c:pt idx="2">
                  <c:v>2021/22</c:v>
                </c:pt>
                <c:pt idx="3">
                  <c:v>2022/23</c:v>
                </c:pt>
                <c:pt idx="4">
                  <c:v>2023/24</c:v>
                </c:pt>
              </c:strCache>
            </c:strRef>
          </c:cat>
          <c:val>
            <c:numRef>
              <c:f>'Section 47 Enquiries'!$AL$39:$AP$39</c:f>
              <c:numCache>
                <c:formatCode>0.0</c:formatCode>
                <c:ptCount val="5"/>
                <c:pt idx="0">
                  <c:v>174.37295979504978</c:v>
                </c:pt>
                <c:pt idx="1">
                  <c:v>161.788007672421</c:v>
                </c:pt>
                <c:pt idx="2">
                  <c:v>172.09549071618036</c:v>
                </c:pt>
                <c:pt idx="3">
                  <c:v>239.07509546033094</c:v>
                </c:pt>
                <c:pt idx="4">
                  <c:v>262.28946127801822</c:v>
                </c:pt>
              </c:numCache>
            </c:numRef>
          </c:val>
          <c:smooth val="0"/>
          <c:extLst>
            <c:ext xmlns:c16="http://schemas.microsoft.com/office/drawing/2014/chart" uri="{C3380CC4-5D6E-409C-BE32-E72D297353CC}">
              <c16:uniqueId val="{00000002-55FF-4596-B567-8BEB7429C37C}"/>
            </c:ext>
          </c:extLst>
        </c:ser>
        <c:ser>
          <c:idx val="2"/>
          <c:order val="2"/>
          <c:tx>
            <c:strRef>
              <c:f>'Section 47 Enquiries'!$AK$40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'Section 47 Enquiries'!$Y$2:$AC$3</c:f>
              <c:strCache>
                <c:ptCount val="5"/>
                <c:pt idx="0">
                  <c:v>2019/20</c:v>
                </c:pt>
                <c:pt idx="1">
                  <c:v>2020/21</c:v>
                </c:pt>
                <c:pt idx="2">
                  <c:v>2021/22</c:v>
                </c:pt>
                <c:pt idx="3">
                  <c:v>2022/23</c:v>
                </c:pt>
                <c:pt idx="4">
                  <c:v>2023/24</c:v>
                </c:pt>
              </c:strCache>
            </c:strRef>
          </c:cat>
          <c:val>
            <c:numRef>
              <c:f>'Section 47 Enquiries'!$AL$40:$AP$40</c:f>
              <c:numCache>
                <c:formatCode>0.0</c:formatCode>
                <c:ptCount val="5"/>
                <c:pt idx="0">
                  <c:v>197.64690470537184</c:v>
                </c:pt>
                <c:pt idx="1">
                  <c:v>200.33470753908321</c:v>
                </c:pt>
                <c:pt idx="2">
                  <c:v>287.99287507084449</c:v>
                </c:pt>
                <c:pt idx="3">
                  <c:v>226.34316801016561</c:v>
                </c:pt>
                <c:pt idx="4">
                  <c:v>212.90433801404211</c:v>
                </c:pt>
              </c:numCache>
            </c:numRef>
          </c:val>
          <c:smooth val="0"/>
          <c:extLst>
            <c:ext xmlns:c16="http://schemas.microsoft.com/office/drawing/2014/chart" uri="{C3380CC4-5D6E-409C-BE32-E72D297353CC}">
              <c16:uniqueId val="{00000003-55FF-4596-B567-8BEB7429C37C}"/>
            </c:ext>
          </c:extLst>
        </c:ser>
        <c:ser>
          <c:idx val="5"/>
          <c:order val="3"/>
          <c:tx>
            <c:strRef>
              <c:f>'Section 47 Enquiries'!$AK$41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'Section 47 Enquiries'!$Y$2:$AC$3</c:f>
              <c:strCache>
                <c:ptCount val="5"/>
                <c:pt idx="0">
                  <c:v>2019/20</c:v>
                </c:pt>
                <c:pt idx="1">
                  <c:v>2020/21</c:v>
                </c:pt>
                <c:pt idx="2">
                  <c:v>2021/22</c:v>
                </c:pt>
                <c:pt idx="3">
                  <c:v>2022/23</c:v>
                </c:pt>
                <c:pt idx="4">
                  <c:v>2023/24</c:v>
                </c:pt>
              </c:strCache>
            </c:strRef>
          </c:cat>
          <c:val>
            <c:numRef>
              <c:f>'Section 47 Enquiries'!$AL$41:$AP$41</c:f>
              <c:numCache>
                <c:formatCode>0.0</c:formatCode>
                <c:ptCount val="5"/>
                <c:pt idx="0">
                  <c:v>129.32249006519564</c:v>
                </c:pt>
                <c:pt idx="1">
                  <c:v>164.42261689725541</c:v>
                </c:pt>
                <c:pt idx="2">
                  <c:v>156.63158720662227</c:v>
                </c:pt>
                <c:pt idx="3">
                  <c:v>133.43058594699733</c:v>
                </c:pt>
                <c:pt idx="4">
                  <c:v>122.86933189197536</c:v>
                </c:pt>
              </c:numCache>
            </c:numRef>
          </c:val>
          <c:smooth val="0"/>
          <c:extLst>
            <c:ext xmlns:c16="http://schemas.microsoft.com/office/drawing/2014/chart" uri="{C3380CC4-5D6E-409C-BE32-E72D297353CC}">
              <c16:uniqueId val="{00000004-55FF-4596-B567-8BEB7429C37C}"/>
            </c:ext>
          </c:extLst>
        </c:ser>
        <c:ser>
          <c:idx val="9"/>
          <c:order val="4"/>
          <c:tx>
            <c:strRef>
              <c:f>'Section 47 Enquiries'!$AK$42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'Section 47 Enquiries'!$Y$2:$AC$3</c:f>
              <c:strCache>
                <c:ptCount val="5"/>
                <c:pt idx="0">
                  <c:v>2019/20</c:v>
                </c:pt>
                <c:pt idx="1">
                  <c:v>2020/21</c:v>
                </c:pt>
                <c:pt idx="2">
                  <c:v>2021/22</c:v>
                </c:pt>
                <c:pt idx="3">
                  <c:v>2022/23</c:v>
                </c:pt>
                <c:pt idx="4">
                  <c:v>2023/24</c:v>
                </c:pt>
              </c:strCache>
            </c:strRef>
          </c:cat>
          <c:val>
            <c:numRef>
              <c:f>'Section 47 Enquiries'!$AL$42:$AP$42</c:f>
              <c:numCache>
                <c:formatCode>0.0</c:formatCode>
                <c:ptCount val="5"/>
                <c:pt idx="0">
                  <c:v>180.24629483783204</c:v>
                </c:pt>
                <c:pt idx="1">
                  <c:v>216.40498647468834</c:v>
                </c:pt>
                <c:pt idx="2">
                  <c:v>282.91845982436843</c:v>
                </c:pt>
                <c:pt idx="3">
                  <c:v>297.68560815839879</c:v>
                </c:pt>
                <c:pt idx="4">
                  <c:v>#N/A</c:v>
                </c:pt>
              </c:numCache>
            </c:numRef>
          </c:val>
          <c:smooth val="0"/>
          <c:extLst>
            <c:ext xmlns:c16="http://schemas.microsoft.com/office/drawing/2014/chart" uri="{C3380CC4-5D6E-409C-BE32-E72D297353CC}">
              <c16:uniqueId val="{00000005-55FF-4596-B567-8BEB7429C37C}"/>
            </c:ext>
          </c:extLst>
        </c:ser>
        <c:ser>
          <c:idx val="10"/>
          <c:order val="5"/>
          <c:tx>
            <c:strRef>
              <c:f>'Section 47 Enquiries'!$AK$43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'Section 47 Enquiries'!$Y$2:$AC$3</c:f>
              <c:strCache>
                <c:ptCount val="5"/>
                <c:pt idx="0">
                  <c:v>2019/20</c:v>
                </c:pt>
                <c:pt idx="1">
                  <c:v>2020/21</c:v>
                </c:pt>
                <c:pt idx="2">
                  <c:v>2021/22</c:v>
                </c:pt>
                <c:pt idx="3">
                  <c:v>2022/23</c:v>
                </c:pt>
                <c:pt idx="4">
                  <c:v>2023/24</c:v>
                </c:pt>
              </c:strCache>
            </c:strRef>
          </c:cat>
          <c:val>
            <c:numRef>
              <c:f>'Section 47 Enquiries'!$AL$43:$AP$43</c:f>
              <c:numCache>
                <c:formatCode>0.0</c:formatCode>
                <c:ptCount val="5"/>
                <c:pt idx="0">
                  <c:v>263.77515328587299</c:v>
                </c:pt>
                <c:pt idx="1">
                  <c:v>372.09107651096599</c:v>
                </c:pt>
                <c:pt idx="2">
                  <c:v>423.9295989169064</c:v>
                </c:pt>
                <c:pt idx="3">
                  <c:v>461.88493243817459</c:v>
                </c:pt>
                <c:pt idx="4">
                  <c:v>497.48272036863216</c:v>
                </c:pt>
              </c:numCache>
            </c:numRef>
          </c:val>
          <c:smooth val="0"/>
          <c:extLst>
            <c:ext xmlns:c16="http://schemas.microsoft.com/office/drawing/2014/chart" uri="{C3380CC4-5D6E-409C-BE32-E72D297353CC}">
              <c16:uniqueId val="{00000006-55FF-4596-B567-8BEB7429C37C}"/>
            </c:ext>
          </c:extLst>
        </c:ser>
        <c:ser>
          <c:idx val="11"/>
          <c:order val="6"/>
          <c:tx>
            <c:strRef>
              <c:f>'Section 47 Enquiries'!$AK$44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'Section 47 Enquiries'!$Y$2:$AC$3</c:f>
              <c:strCache>
                <c:ptCount val="5"/>
                <c:pt idx="0">
                  <c:v>2019/20</c:v>
                </c:pt>
                <c:pt idx="1">
                  <c:v>2020/21</c:v>
                </c:pt>
                <c:pt idx="2">
                  <c:v>2021/22</c:v>
                </c:pt>
                <c:pt idx="3">
                  <c:v>2022/23</c:v>
                </c:pt>
                <c:pt idx="4">
                  <c:v>2023/24</c:v>
                </c:pt>
              </c:strCache>
            </c:strRef>
          </c:cat>
          <c:val>
            <c:numRef>
              <c:f>'Section 47 Enquiries'!$AL$44:$AP$44</c:f>
              <c:numCache>
                <c:formatCode>0.0</c:formatCode>
                <c:ptCount val="5"/>
                <c:pt idx="0">
                  <c:v>198.41424598686638</c:v>
                </c:pt>
                <c:pt idx="1">
                  <c:v>172.35605100112434</c:v>
                </c:pt>
                <c:pt idx="2">
                  <c:v>197.74406336379135</c:v>
                </c:pt>
                <c:pt idx="3">
                  <c:v>211.89530359507435</c:v>
                </c:pt>
                <c:pt idx="4">
                  <c:v>210.68980168345141</c:v>
                </c:pt>
              </c:numCache>
            </c:numRef>
          </c:val>
          <c:smooth val="0"/>
          <c:extLst>
            <c:ext xmlns:c16="http://schemas.microsoft.com/office/drawing/2014/chart" uri="{C3380CC4-5D6E-409C-BE32-E72D297353CC}">
              <c16:uniqueId val="{00000007-55FF-4596-B567-8BEB7429C37C}"/>
            </c:ext>
          </c:extLst>
        </c:ser>
        <c:ser>
          <c:idx val="12"/>
          <c:order val="7"/>
          <c:tx>
            <c:strRef>
              <c:f>'Section 47 Enquiries'!$AK$45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'Section 47 Enquiries'!$Y$2:$AC$3</c:f>
              <c:strCache>
                <c:ptCount val="5"/>
                <c:pt idx="0">
                  <c:v>2019/20</c:v>
                </c:pt>
                <c:pt idx="1">
                  <c:v>2020/21</c:v>
                </c:pt>
                <c:pt idx="2">
                  <c:v>2021/22</c:v>
                </c:pt>
                <c:pt idx="3">
                  <c:v>2022/23</c:v>
                </c:pt>
                <c:pt idx="4">
                  <c:v>2023/24</c:v>
                </c:pt>
              </c:strCache>
            </c:strRef>
          </c:cat>
          <c:val>
            <c:numRef>
              <c:f>'Section 47 Enquiries'!$AL$45:$AP$45</c:f>
              <c:numCache>
                <c:formatCode>0.0</c:formatCode>
                <c:ptCount val="5"/>
                <c:pt idx="0">
                  <c:v>278.45834903882394</c:v>
                </c:pt>
                <c:pt idx="1">
                  <c:v>201.27168537561818</c:v>
                </c:pt>
                <c:pt idx="2">
                  <c:v>190.38814109093187</c:v>
                </c:pt>
                <c:pt idx="3">
                  <c:v>267.10799784466167</c:v>
                </c:pt>
                <c:pt idx="4">
                  <c:v>301.25811627453623</c:v>
                </c:pt>
              </c:numCache>
            </c:numRef>
          </c:val>
          <c:smooth val="0"/>
          <c:extLst>
            <c:ext xmlns:c16="http://schemas.microsoft.com/office/drawing/2014/chart" uri="{C3380CC4-5D6E-409C-BE32-E72D297353CC}">
              <c16:uniqueId val="{00000008-55FF-4596-B567-8BEB7429C37C}"/>
            </c:ext>
          </c:extLst>
        </c:ser>
        <c:ser>
          <c:idx val="13"/>
          <c:order val="8"/>
          <c:tx>
            <c:strRef>
              <c:f>'Section 47 Enquiries'!$AK$46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'Section 47 Enquiries'!$Y$2:$AC$3</c:f>
              <c:strCache>
                <c:ptCount val="5"/>
                <c:pt idx="0">
                  <c:v>2019/20</c:v>
                </c:pt>
                <c:pt idx="1">
                  <c:v>2020/21</c:v>
                </c:pt>
                <c:pt idx="2">
                  <c:v>2021/22</c:v>
                </c:pt>
                <c:pt idx="3">
                  <c:v>2022/23</c:v>
                </c:pt>
                <c:pt idx="4">
                  <c:v>2023/24</c:v>
                </c:pt>
              </c:strCache>
            </c:strRef>
          </c:cat>
          <c:val>
            <c:numRef>
              <c:f>'Section 47 Enquiries'!$AL$46:$AP$46</c:f>
              <c:numCache>
                <c:formatCode>0.0</c:formatCode>
                <c:ptCount val="5"/>
                <c:pt idx="0">
                  <c:v>118.34233816649044</c:v>
                </c:pt>
                <c:pt idx="1">
                  <c:v>148.76271553278985</c:v>
                </c:pt>
                <c:pt idx="2">
                  <c:v>148.77575931643571</c:v>
                </c:pt>
                <c:pt idx="3">
                  <c:v>154.04997815393722</c:v>
                </c:pt>
                <c:pt idx="4">
                  <c:v>166.7651139470033</c:v>
                </c:pt>
              </c:numCache>
            </c:numRef>
          </c:val>
          <c:smooth val="0"/>
          <c:extLst>
            <c:ext xmlns:c16="http://schemas.microsoft.com/office/drawing/2014/chart" uri="{C3380CC4-5D6E-409C-BE32-E72D297353CC}">
              <c16:uniqueId val="{00000009-55FF-4596-B567-8BEB7429C37C}"/>
            </c:ext>
          </c:extLst>
        </c:ser>
        <c:ser>
          <c:idx val="15"/>
          <c:order val="9"/>
          <c:tx>
            <c:strRef>
              <c:f>'Section 47 Enquiries'!$AK$47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'Section 47 Enquiries'!$Y$2:$AC$3</c:f>
              <c:strCache>
                <c:ptCount val="5"/>
                <c:pt idx="0">
                  <c:v>2019/20</c:v>
                </c:pt>
                <c:pt idx="1">
                  <c:v>2020/21</c:v>
                </c:pt>
                <c:pt idx="2">
                  <c:v>2021/22</c:v>
                </c:pt>
                <c:pt idx="3">
                  <c:v>2022/23</c:v>
                </c:pt>
                <c:pt idx="4">
                  <c:v>2023/24</c:v>
                </c:pt>
              </c:strCache>
            </c:strRef>
          </c:cat>
          <c:val>
            <c:numRef>
              <c:f>'Section 47 Enquiries'!$AL$47:$AP$47</c:f>
              <c:numCache>
                <c:formatCode>0.0</c:formatCode>
                <c:ptCount val="5"/>
                <c:pt idx="0">
                  <c:v>131.89871840142908</c:v>
                </c:pt>
                <c:pt idx="1">
                  <c:v>121.05853917187146</c:v>
                </c:pt>
                <c:pt idx="2">
                  <c:v>141.31184955891297</c:v>
                </c:pt>
                <c:pt idx="3">
                  <c:v>142.37183859620964</c:v>
                </c:pt>
                <c:pt idx="4">
                  <c:v>122.15992918264975</c:v>
                </c:pt>
              </c:numCache>
            </c:numRef>
          </c:val>
          <c:smooth val="0"/>
          <c:extLst>
            <c:ext xmlns:c16="http://schemas.microsoft.com/office/drawing/2014/chart" uri="{C3380CC4-5D6E-409C-BE32-E72D297353CC}">
              <c16:uniqueId val="{0000000A-55FF-4596-B567-8BEB7429C37C}"/>
            </c:ext>
          </c:extLst>
        </c:ser>
        <c:ser>
          <c:idx val="16"/>
          <c:order val="10"/>
          <c:tx>
            <c:strRef>
              <c:f>'Section 47 Enquiries'!$AK$48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'Section 47 Enquiries'!$Y$2:$AC$3</c:f>
              <c:strCache>
                <c:ptCount val="5"/>
                <c:pt idx="0">
                  <c:v>2019/20</c:v>
                </c:pt>
                <c:pt idx="1">
                  <c:v>2020/21</c:v>
                </c:pt>
                <c:pt idx="2">
                  <c:v>2021/22</c:v>
                </c:pt>
                <c:pt idx="3">
                  <c:v>2022/23</c:v>
                </c:pt>
                <c:pt idx="4">
                  <c:v>2023/24</c:v>
                </c:pt>
              </c:strCache>
            </c:strRef>
          </c:cat>
          <c:val>
            <c:numRef>
              <c:f>'Section 47 Enquiries'!$AL$48:$AP$48</c:f>
              <c:numCache>
                <c:formatCode>0.0</c:formatCode>
                <c:ptCount val="5"/>
                <c:pt idx="0">
                  <c:v>307.85335331763139</c:v>
                </c:pt>
                <c:pt idx="1">
                  <c:v>267.0488474859668</c:v>
                </c:pt>
                <c:pt idx="2">
                  <c:v>308.34559799261706</c:v>
                </c:pt>
                <c:pt idx="3">
                  <c:v>241.93355783238997</c:v>
                </c:pt>
                <c:pt idx="4">
                  <c:v>334.93275344505633</c:v>
                </c:pt>
              </c:numCache>
            </c:numRef>
          </c:val>
          <c:smooth val="0"/>
          <c:extLst>
            <c:ext xmlns:c16="http://schemas.microsoft.com/office/drawing/2014/chart" uri="{C3380CC4-5D6E-409C-BE32-E72D297353CC}">
              <c16:uniqueId val="{0000000B-55FF-4596-B567-8BEB7429C37C}"/>
            </c:ext>
          </c:extLst>
        </c:ser>
        <c:ser>
          <c:idx val="17"/>
          <c:order val="11"/>
          <c:tx>
            <c:strRef>
              <c:f>'Section 47 Enquiries'!$AK$49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'Section 47 Enquiries'!$Y$2:$AC$3</c:f>
              <c:strCache>
                <c:ptCount val="5"/>
                <c:pt idx="0">
                  <c:v>2019/20</c:v>
                </c:pt>
                <c:pt idx="1">
                  <c:v>2020/21</c:v>
                </c:pt>
                <c:pt idx="2">
                  <c:v>2021/22</c:v>
                </c:pt>
                <c:pt idx="3">
                  <c:v>2022/23</c:v>
                </c:pt>
                <c:pt idx="4">
                  <c:v>2023/24</c:v>
                </c:pt>
              </c:strCache>
            </c:strRef>
          </c:cat>
          <c:val>
            <c:numRef>
              <c:f>'Section 47 Enquiries'!$AL$49:$AP$49</c:f>
              <c:numCache>
                <c:formatCode>0.0</c:formatCode>
                <c:ptCount val="5"/>
                <c:pt idx="0">
                  <c:v>233.59438293275724</c:v>
                </c:pt>
                <c:pt idx="1">
                  <c:v>248.03224148657054</c:v>
                </c:pt>
                <c:pt idx="2">
                  <c:v>303.57241151538506</c:v>
                </c:pt>
                <c:pt idx="3">
                  <c:v>275.36231884057969</c:v>
                </c:pt>
                <c:pt idx="4">
                  <c:v>288.17000184555354</c:v>
                </c:pt>
              </c:numCache>
            </c:numRef>
          </c:val>
          <c:smooth val="0"/>
          <c:extLst>
            <c:ext xmlns:c16="http://schemas.microsoft.com/office/drawing/2014/chart" uri="{C3380CC4-5D6E-409C-BE32-E72D297353CC}">
              <c16:uniqueId val="{0000000C-55FF-4596-B567-8BEB7429C37C}"/>
            </c:ext>
          </c:extLst>
        </c:ser>
        <c:ser>
          <c:idx val="19"/>
          <c:order val="12"/>
          <c:tx>
            <c:strRef>
              <c:f>'Section 47 Enquiries'!$AK$50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'Section 47 Enquiries'!$Y$2:$AC$3</c:f>
              <c:strCache>
                <c:ptCount val="5"/>
                <c:pt idx="0">
                  <c:v>2019/20</c:v>
                </c:pt>
                <c:pt idx="1">
                  <c:v>2020/21</c:v>
                </c:pt>
                <c:pt idx="2">
                  <c:v>2021/22</c:v>
                </c:pt>
                <c:pt idx="3">
                  <c:v>2022/23</c:v>
                </c:pt>
                <c:pt idx="4">
                  <c:v>2023/24</c:v>
                </c:pt>
              </c:strCache>
            </c:strRef>
          </c:cat>
          <c:val>
            <c:numRef>
              <c:f>'Section 47 Enquiries'!$AL$50:$AP$50</c:f>
              <c:numCache>
                <c:formatCode>0.0</c:formatCode>
                <c:ptCount val="5"/>
                <c:pt idx="0">
                  <c:v>297.84493663607719</c:v>
                </c:pt>
                <c:pt idx="1">
                  <c:v>390.20501138952159</c:v>
                </c:pt>
                <c:pt idx="2">
                  <c:v>299.06029220111117</c:v>
                </c:pt>
                <c:pt idx="3">
                  <c:v>311.86440677966101</c:v>
                </c:pt>
                <c:pt idx="4">
                  <c:v>275.36845860554308</c:v>
                </c:pt>
              </c:numCache>
            </c:numRef>
          </c:val>
          <c:smooth val="0"/>
          <c:extLst>
            <c:ext xmlns:c16="http://schemas.microsoft.com/office/drawing/2014/chart" uri="{C3380CC4-5D6E-409C-BE32-E72D297353CC}">
              <c16:uniqueId val="{0000000D-55FF-4596-B567-8BEB7429C37C}"/>
            </c:ext>
          </c:extLst>
        </c:ser>
        <c:ser>
          <c:idx val="20"/>
          <c:order val="13"/>
          <c:tx>
            <c:strRef>
              <c:f>'Section 47 Enquiries'!$AK$51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'Section 47 Enquiries'!$Y$2:$AC$3</c:f>
              <c:strCache>
                <c:ptCount val="5"/>
                <c:pt idx="0">
                  <c:v>2019/20</c:v>
                </c:pt>
                <c:pt idx="1">
                  <c:v>2020/21</c:v>
                </c:pt>
                <c:pt idx="2">
                  <c:v>2021/22</c:v>
                </c:pt>
                <c:pt idx="3">
                  <c:v>2022/23</c:v>
                </c:pt>
                <c:pt idx="4">
                  <c:v>2023/24</c:v>
                </c:pt>
              </c:strCache>
            </c:strRef>
          </c:cat>
          <c:val>
            <c:numRef>
              <c:f>'Section 47 Enquiries'!$AL$51:$AP$51</c:f>
              <c:numCache>
                <c:formatCode>0.0</c:formatCode>
                <c:ptCount val="5"/>
                <c:pt idx="0">
                  <c:v>426.71614100185531</c:v>
                </c:pt>
                <c:pt idx="1">
                  <c:v>332.75026640127066</c:v>
                </c:pt>
                <c:pt idx="2">
                  <c:v>355.14699927107796</c:v>
                </c:pt>
                <c:pt idx="3">
                  <c:v>348.29861041487038</c:v>
                </c:pt>
                <c:pt idx="4">
                  <c:v>262.04514323149306</c:v>
                </c:pt>
              </c:numCache>
            </c:numRef>
          </c:val>
          <c:smooth val="0"/>
          <c:extLst>
            <c:ext xmlns:c16="http://schemas.microsoft.com/office/drawing/2014/chart" uri="{C3380CC4-5D6E-409C-BE32-E72D297353CC}">
              <c16:uniqueId val="{0000000F-55FF-4596-B567-8BEB7429C37C}"/>
            </c:ext>
          </c:extLst>
        </c:ser>
        <c:ser>
          <c:idx val="22"/>
          <c:order val="14"/>
          <c:tx>
            <c:strRef>
              <c:f>'Section 47 Enquiries'!$AK$52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'Section 47 Enquiries'!$Y$2:$AC$3</c:f>
              <c:strCache>
                <c:ptCount val="5"/>
                <c:pt idx="0">
                  <c:v>2019/20</c:v>
                </c:pt>
                <c:pt idx="1">
                  <c:v>2020/21</c:v>
                </c:pt>
                <c:pt idx="2">
                  <c:v>2021/22</c:v>
                </c:pt>
                <c:pt idx="3">
                  <c:v>2022/23</c:v>
                </c:pt>
                <c:pt idx="4">
                  <c:v>2023/24</c:v>
                </c:pt>
              </c:strCache>
            </c:strRef>
          </c:cat>
          <c:val>
            <c:numRef>
              <c:f>'Section 47 Enquiries'!$AL$52:$AP$52</c:f>
              <c:numCache>
                <c:formatCode>0.0</c:formatCode>
                <c:ptCount val="5"/>
                <c:pt idx="0">
                  <c:v>103.00528977503923</c:v>
                </c:pt>
                <c:pt idx="1">
                  <c:v>132.4467447266932</c:v>
                </c:pt>
                <c:pt idx="2">
                  <c:v>134.958071278826</c:v>
                </c:pt>
                <c:pt idx="3">
                  <c:v>114.48238177996008</c:v>
                </c:pt>
                <c:pt idx="4">
                  <c:v>93.009425155831238</c:v>
                </c:pt>
              </c:numCache>
            </c:numRef>
          </c:val>
          <c:smooth val="0"/>
          <c:extLst>
            <c:ext xmlns:c16="http://schemas.microsoft.com/office/drawing/2014/chart" uri="{C3380CC4-5D6E-409C-BE32-E72D297353CC}">
              <c16:uniqueId val="{00000010-55FF-4596-B567-8BEB7429C37C}"/>
            </c:ext>
          </c:extLst>
        </c:ser>
        <c:ser>
          <c:idx val="23"/>
          <c:order val="15"/>
          <c:tx>
            <c:strRef>
              <c:f>'Section 47 Enquiries'!$AK$53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'Section 47 Enquiries'!$Y$2:$AC$3</c:f>
              <c:strCache>
                <c:ptCount val="5"/>
                <c:pt idx="0">
                  <c:v>2019/20</c:v>
                </c:pt>
                <c:pt idx="1">
                  <c:v>2020/21</c:v>
                </c:pt>
                <c:pt idx="2">
                  <c:v>2021/22</c:v>
                </c:pt>
                <c:pt idx="3">
                  <c:v>2022/23</c:v>
                </c:pt>
                <c:pt idx="4">
                  <c:v>2023/24</c:v>
                </c:pt>
              </c:strCache>
            </c:strRef>
          </c:cat>
          <c:val>
            <c:numRef>
              <c:f>'Section 47 Enquiries'!$AL$53:$AP$53</c:f>
              <c:numCache>
                <c:formatCode>0.0</c:formatCode>
                <c:ptCount val="5"/>
                <c:pt idx="0">
                  <c:v>147.45728872536438</c:v>
                </c:pt>
                <c:pt idx="1">
                  <c:v>155.35263036985987</c:v>
                </c:pt>
                <c:pt idx="2">
                  <c:v>212.74750686515392</c:v>
                </c:pt>
                <c:pt idx="3">
                  <c:v>259.7960586617782</c:v>
                </c:pt>
                <c:pt idx="4">
                  <c:v>202.689313517339</c:v>
                </c:pt>
              </c:numCache>
            </c:numRef>
          </c:val>
          <c:smooth val="0"/>
          <c:extLst>
            <c:ext xmlns:c16="http://schemas.microsoft.com/office/drawing/2014/chart" uri="{C3380CC4-5D6E-409C-BE32-E72D297353CC}">
              <c16:uniqueId val="{00000013-55FF-4596-B567-8BEB7429C37C}"/>
            </c:ext>
          </c:extLst>
        </c:ser>
        <c:ser>
          <c:idx val="24"/>
          <c:order val="16"/>
          <c:tx>
            <c:strRef>
              <c:f>'Section 47 Enquiries'!$AK$54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'Section 47 Enquiries'!$Y$2:$AC$3</c:f>
              <c:strCache>
                <c:ptCount val="5"/>
                <c:pt idx="0">
                  <c:v>2019/20</c:v>
                </c:pt>
                <c:pt idx="1">
                  <c:v>2020/21</c:v>
                </c:pt>
                <c:pt idx="2">
                  <c:v>2021/22</c:v>
                </c:pt>
                <c:pt idx="3">
                  <c:v>2022/23</c:v>
                </c:pt>
                <c:pt idx="4">
                  <c:v>2023/24</c:v>
                </c:pt>
              </c:strCache>
            </c:strRef>
          </c:cat>
          <c:val>
            <c:numRef>
              <c:f>'Section 47 Enquiries'!$AL$54:$AP$54</c:f>
              <c:numCache>
                <c:formatCode>0.0</c:formatCode>
                <c:ptCount val="5"/>
                <c:pt idx="0">
                  <c:v>177.46944702133669</c:v>
                </c:pt>
                <c:pt idx="1">
                  <c:v>192.61184887820423</c:v>
                </c:pt>
                <c:pt idx="2">
                  <c:v>200.24709152681973</c:v>
                </c:pt>
                <c:pt idx="3">
                  <c:v>200.11389971186756</c:v>
                </c:pt>
                <c:pt idx="4">
                  <c:v>170.88621737575974</c:v>
                </c:pt>
              </c:numCache>
            </c:numRef>
          </c:val>
          <c:smooth val="0"/>
          <c:extLst>
            <c:ext xmlns:c16="http://schemas.microsoft.com/office/drawing/2014/chart" uri="{C3380CC4-5D6E-409C-BE32-E72D297353CC}">
              <c16:uniqueId val="{00000014-55FF-4596-B567-8BEB7429C37C}"/>
            </c:ext>
          </c:extLst>
        </c:ser>
        <c:ser>
          <c:idx val="25"/>
          <c:order val="17"/>
          <c:tx>
            <c:strRef>
              <c:f>'Section 47 Enquiries'!$AK$55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'Section 47 Enquiries'!$Y$2:$AC$3</c:f>
              <c:strCache>
                <c:ptCount val="5"/>
                <c:pt idx="0">
                  <c:v>2019/20</c:v>
                </c:pt>
                <c:pt idx="1">
                  <c:v>2020/21</c:v>
                </c:pt>
                <c:pt idx="2">
                  <c:v>2021/22</c:v>
                </c:pt>
                <c:pt idx="3">
                  <c:v>2022/23</c:v>
                </c:pt>
                <c:pt idx="4">
                  <c:v>2023/24</c:v>
                </c:pt>
              </c:strCache>
            </c:strRef>
          </c:cat>
          <c:val>
            <c:numRef>
              <c:f>'Section 47 Enquiries'!$AL$55:$AP$55</c:f>
              <c:numCache>
                <c:formatCode>0.0</c:formatCode>
                <c:ptCount val="5"/>
                <c:pt idx="0">
                  <c:v>174.184513041956</c:v>
                </c:pt>
                <c:pt idx="1">
                  <c:v>188.6571017809465</c:v>
                </c:pt>
                <c:pt idx="2">
                  <c:v>208.40713189278546</c:v>
                </c:pt>
                <c:pt idx="3">
                  <c:v>193.76777181719578</c:v>
                </c:pt>
                <c:pt idx="4">
                  <c:v>189.31769785012105</c:v>
                </c:pt>
              </c:numCache>
            </c:numRef>
          </c:val>
          <c:smooth val="0"/>
          <c:extLst>
            <c:ext xmlns:c16="http://schemas.microsoft.com/office/drawing/2014/chart" uri="{C3380CC4-5D6E-409C-BE32-E72D297353CC}">
              <c16:uniqueId val="{00000015-55FF-4596-B567-8BEB7429C37C}"/>
            </c:ext>
          </c:extLst>
        </c:ser>
        <c:ser>
          <c:idx val="26"/>
          <c:order val="18"/>
          <c:tx>
            <c:strRef>
              <c:f>'Section 47 Enquiries'!$AK$56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'Section 47 Enquiries'!$Y$2:$AC$3</c:f>
              <c:strCache>
                <c:ptCount val="5"/>
                <c:pt idx="0">
                  <c:v>2019/20</c:v>
                </c:pt>
                <c:pt idx="1">
                  <c:v>2020/21</c:v>
                </c:pt>
                <c:pt idx="2">
                  <c:v>2021/22</c:v>
                </c:pt>
                <c:pt idx="3">
                  <c:v>2022/23</c:v>
                </c:pt>
                <c:pt idx="4">
                  <c:v>2023/24</c:v>
                </c:pt>
              </c:strCache>
            </c:strRef>
          </c:cat>
          <c:val>
            <c:numRef>
              <c:f>'Section 47 Enquiries'!$AL$56:$AP$56</c:f>
              <c:numCache>
                <c:formatCode>0.0</c:formatCode>
                <c:ptCount val="5"/>
                <c:pt idx="0">
                  <c:v>163.43155989138086</c:v>
                </c:pt>
                <c:pt idx="1">
                  <c:v>159.8478110485226</c:v>
                </c:pt>
                <c:pt idx="2">
                  <c:v>155.60796518271781</c:v>
                </c:pt>
                <c:pt idx="3">
                  <c:v>142.0507996237065</c:v>
                </c:pt>
                <c:pt idx="4">
                  <c:v>131.59717412383986</c:v>
                </c:pt>
              </c:numCache>
            </c:numRef>
          </c:val>
          <c:smooth val="0"/>
          <c:extLst>
            <c:ext xmlns:c16="http://schemas.microsoft.com/office/drawing/2014/chart" uri="{C3380CC4-5D6E-409C-BE32-E72D297353CC}">
              <c16:uniqueId val="{00000016-55FF-4596-B567-8BEB7429C37C}"/>
            </c:ext>
          </c:extLst>
        </c:ser>
        <c:ser>
          <c:idx val="4"/>
          <c:order val="19"/>
          <c:tx>
            <c:strRef>
              <c:f>'Section 47 Enquiries'!$AK$57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'Section 47 Enquiries'!$Y$2:$AC$3</c:f>
              <c:strCache>
                <c:ptCount val="5"/>
                <c:pt idx="0">
                  <c:v>2019/20</c:v>
                </c:pt>
                <c:pt idx="1">
                  <c:v>2020/21</c:v>
                </c:pt>
                <c:pt idx="2">
                  <c:v>2021/22</c:v>
                </c:pt>
                <c:pt idx="3">
                  <c:v>2022/23</c:v>
                </c:pt>
                <c:pt idx="4">
                  <c:v>2023/24</c:v>
                </c:pt>
              </c:strCache>
            </c:strRef>
          </c:cat>
          <c:val>
            <c:numRef>
              <c:f>'Section 47 Enquiries'!$AL$57:$AP$57</c:f>
              <c:numCache>
                <c:formatCode>0.0</c:formatCode>
                <c:ptCount val="5"/>
                <c:pt idx="0">
                  <c:v>182.93179534505396</c:v>
                </c:pt>
                <c:pt idx="1">
                  <c:v>189.37904866084401</c:v>
                </c:pt>
                <c:pt idx="2">
                  <c:v>213.20496606905215</c:v>
                </c:pt>
                <c:pt idx="3">
                  <c:v>212.95401567158368</c:v>
                </c:pt>
                <c:pt idx="4">
                  <c:v>237.59035126033845</c:v>
                </c:pt>
              </c:numCache>
            </c:numRef>
          </c:val>
          <c:smooth val="0"/>
          <c:extLst>
            <c:ext xmlns:c16="http://schemas.microsoft.com/office/drawing/2014/chart" uri="{C3380CC4-5D6E-409C-BE32-E72D297353CC}">
              <c16:uniqueId val="{00000017-55FF-4596-B567-8BEB7429C37C}"/>
            </c:ext>
          </c:extLst>
        </c:ser>
        <c:ser>
          <c:idx val="14"/>
          <c:order val="20"/>
          <c:tx>
            <c:strRef>
              <c:f>'Section 47 Enquiries'!$AK$58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'Section 47 Enquiries'!$Y$2:$AC$3</c:f>
              <c:strCache>
                <c:ptCount val="5"/>
                <c:pt idx="0">
                  <c:v>2019/20</c:v>
                </c:pt>
                <c:pt idx="1">
                  <c:v>2020/21</c:v>
                </c:pt>
                <c:pt idx="2">
                  <c:v>2021/22</c:v>
                </c:pt>
                <c:pt idx="3">
                  <c:v>2022/23</c:v>
                </c:pt>
                <c:pt idx="4">
                  <c:v>2023/24</c:v>
                </c:pt>
              </c:strCache>
            </c:strRef>
          </c:cat>
          <c:val>
            <c:numRef>
              <c:f>'Section 47 Enquiries'!$AL$58:$AP$58</c:f>
              <c:numCache>
                <c:formatCode>0.0</c:formatCode>
                <c:ptCount val="5"/>
                <c:pt idx="0">
                  <c:v>170.47634653413954</c:v>
                </c:pt>
                <c:pt idx="1">
                  <c:v>168.64054461759343</c:v>
                </c:pt>
                <c:pt idx="2">
                  <c:v>185.15876811780248</c:v>
                </c:pt>
                <c:pt idx="3">
                  <c:v>189.63823100006235</c:v>
                </c:pt>
                <c:pt idx="4">
                  <c:v>187.12111349897313</c:v>
                </c:pt>
              </c:numCache>
            </c:numRef>
          </c:val>
          <c:smooth val="0"/>
          <c:extLst>
            <c:ext xmlns:c16="http://schemas.microsoft.com/office/drawing/2014/chart" uri="{C3380CC4-5D6E-409C-BE32-E72D297353CC}">
              <c16:uniqueId val="{00000018-55FF-4596-B567-8BEB7429C37C}"/>
            </c:ext>
          </c:extLst>
        </c:ser>
        <c:ser>
          <c:idx val="6"/>
          <c:order val="21"/>
          <c:tx>
            <c:strRef>
              <c:f>'Section 47 Enquiries'!$AK$59</c:f>
              <c:strCache>
                <c:ptCount val="1"/>
                <c:pt idx="0">
                  <c:v>Selected LA- (none)</c:v>
                </c:pt>
              </c:strCache>
            </c:strRef>
          </c:tx>
          <c:spPr>
            <a:ln w="28575">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'Section 47 Enquiries'!$Y$2:$AC$3</c:f>
              <c:strCache>
                <c:ptCount val="5"/>
                <c:pt idx="0">
                  <c:v>2019/20</c:v>
                </c:pt>
                <c:pt idx="1">
                  <c:v>2020/21</c:v>
                </c:pt>
                <c:pt idx="2">
                  <c:v>2021/22</c:v>
                </c:pt>
                <c:pt idx="3">
                  <c:v>2022/23</c:v>
                </c:pt>
                <c:pt idx="4">
                  <c:v>2023/24</c:v>
                </c:pt>
              </c:strCache>
            </c:strRef>
          </c:cat>
          <c:val>
            <c:numRef>
              <c:f>'Section 47 Enquiries'!$AL$59:$AP$59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55FF-4596-B567-8BEB7429C37C}"/>
            </c:ext>
          </c:extLst>
        </c:ser>
        <c:dLbls>
          <c:showLegendKey val="0"/>
          <c:showVal val="0"/>
          <c:showCatName val="0"/>
          <c:showSerName val="0"/>
          <c:showPercent val="0"/>
          <c:showBubbleSize val="0"/>
        </c:dLbls>
        <c:marker val="1"/>
        <c:smooth val="0"/>
        <c:axId val="562733440"/>
        <c:axId val="562735360"/>
      </c:lineChart>
      <c:catAx>
        <c:axId val="562733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2735360"/>
        <c:crosses val="autoZero"/>
        <c:auto val="1"/>
        <c:lblAlgn val="ctr"/>
        <c:lblOffset val="100"/>
        <c:tickLblSkip val="1"/>
        <c:tickMarkSkip val="1"/>
        <c:noMultiLvlLbl val="0"/>
      </c:catAx>
      <c:valAx>
        <c:axId val="56273536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2733440"/>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Section 47 Enquiries (Selected LA vs. SE) </a:t>
            </a:r>
          </a:p>
        </c:rich>
      </c:tx>
      <c:layout>
        <c:manualLayout>
          <c:xMode val="edge"/>
          <c:yMode val="edge"/>
          <c:x val="0.13687547797784019"/>
          <c:y val="2.7670916135483066E-2"/>
        </c:manualLayout>
      </c:layout>
      <c:overlay val="0"/>
      <c:spPr>
        <a:noFill/>
        <a:ln w="25400">
          <a:noFill/>
        </a:ln>
      </c:spPr>
    </c:title>
    <c:autoTitleDeleted val="0"/>
    <c:plotArea>
      <c:layout>
        <c:manualLayout>
          <c:layoutTarget val="inner"/>
          <c:xMode val="edge"/>
          <c:yMode val="edge"/>
          <c:x val="9.6909984154078643E-2"/>
          <c:y val="0.17925608411374613"/>
          <c:w val="0.65146216862752293"/>
          <c:h val="0.59944524685893563"/>
        </c:manualLayout>
      </c:layout>
      <c:barChart>
        <c:barDir val="col"/>
        <c:grouping val="clustered"/>
        <c:varyColors val="0"/>
        <c:ser>
          <c:idx val="6"/>
          <c:order val="0"/>
          <c:tx>
            <c:strRef>
              <c:f>'Section 47 Enquiries'!$Z$4</c:f>
              <c:strCache>
                <c:ptCount val="1"/>
                <c:pt idx="0">
                  <c:v>Selected LA- (none)</c:v>
                </c:pt>
              </c:strCache>
            </c:strRef>
          </c:tx>
          <c:spPr>
            <a:solidFill>
              <a:srgbClr val="66FF99"/>
            </a:solidFill>
            <a:ln>
              <a:solidFill>
                <a:schemeClr val="tx1">
                  <a:lumMod val="75000"/>
                  <a:lumOff val="25000"/>
                </a:schemeClr>
              </a:solidFill>
            </a:ln>
          </c:spPr>
          <c:invertIfNegative val="0"/>
          <c:cat>
            <c:strRef>
              <c:f>'Section 47 Enquiries'!$Y$2:$AC$3</c:f>
              <c:strCache>
                <c:ptCount val="5"/>
                <c:pt idx="0">
                  <c:v>2019/20</c:v>
                </c:pt>
                <c:pt idx="1">
                  <c:v>2020/21</c:v>
                </c:pt>
                <c:pt idx="2">
                  <c:v>2021/22</c:v>
                </c:pt>
                <c:pt idx="3">
                  <c:v>2022/23</c:v>
                </c:pt>
                <c:pt idx="4">
                  <c:v>2023/24</c:v>
                </c:pt>
              </c:strCache>
            </c:strRef>
          </c:cat>
          <c:val>
            <c:numRef>
              <c:f>'Section 47 Enquiries'!$AL$59:$AP$59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9BD5-4461-862B-AFB2F4D4D1BE}"/>
            </c:ext>
          </c:extLst>
        </c:ser>
        <c:ser>
          <c:idx val="4"/>
          <c:order val="1"/>
          <c:tx>
            <c:strRef>
              <c:f>'Section 47 Enquiries'!$B$30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'Section 47 Enquiries'!$Y$2:$AC$3</c:f>
              <c:strCache>
                <c:ptCount val="5"/>
                <c:pt idx="0">
                  <c:v>2019/20</c:v>
                </c:pt>
                <c:pt idx="1">
                  <c:v>2020/21</c:v>
                </c:pt>
                <c:pt idx="2">
                  <c:v>2021/22</c:v>
                </c:pt>
                <c:pt idx="3">
                  <c:v>2022/23</c:v>
                </c:pt>
                <c:pt idx="4">
                  <c:v>2023/24</c:v>
                </c:pt>
              </c:strCache>
            </c:strRef>
          </c:cat>
          <c:val>
            <c:numRef>
              <c:f>'Section 47 Enquiries'!$K$30:$O$30</c:f>
              <c:numCache>
                <c:formatCode>0.0</c:formatCode>
                <c:ptCount val="5"/>
                <c:pt idx="0">
                  <c:v>182.93179534505396</c:v>
                </c:pt>
                <c:pt idx="1">
                  <c:v>189.37904866084401</c:v>
                </c:pt>
                <c:pt idx="2">
                  <c:v>213.20496606905215</c:v>
                </c:pt>
                <c:pt idx="3">
                  <c:v>212.95401567158368</c:v>
                </c:pt>
                <c:pt idx="4">
                  <c:v>237.59035126033845</c:v>
                </c:pt>
              </c:numCache>
            </c:numRef>
          </c:val>
          <c:extLst>
            <c:ext xmlns:c16="http://schemas.microsoft.com/office/drawing/2014/chart" uri="{C3380CC4-5D6E-409C-BE32-E72D297353CC}">
              <c16:uniqueId val="{00000001-9BD5-4461-862B-AFB2F4D4D1BE}"/>
            </c:ext>
          </c:extLst>
        </c:ser>
        <c:ser>
          <c:idx val="0"/>
          <c:order val="2"/>
          <c:tx>
            <c:strRef>
              <c:f>'Section 47 Enquiries'!$B$31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'Section 47 Enquiries'!$Y$2:$AC$3</c:f>
              <c:strCache>
                <c:ptCount val="5"/>
                <c:pt idx="0">
                  <c:v>2019/20</c:v>
                </c:pt>
                <c:pt idx="1">
                  <c:v>2020/21</c:v>
                </c:pt>
                <c:pt idx="2">
                  <c:v>2021/22</c:v>
                </c:pt>
                <c:pt idx="3">
                  <c:v>2022/23</c:v>
                </c:pt>
                <c:pt idx="4">
                  <c:v>2023/24</c:v>
                </c:pt>
              </c:strCache>
            </c:strRef>
          </c:cat>
          <c:val>
            <c:numRef>
              <c:f>'Section 47 Enquiries'!$K$31:$O$31</c:f>
              <c:numCache>
                <c:formatCode>0.0</c:formatCode>
                <c:ptCount val="5"/>
                <c:pt idx="0">
                  <c:v>170.47634653413954</c:v>
                </c:pt>
                <c:pt idx="1">
                  <c:v>168.64054461759343</c:v>
                </c:pt>
                <c:pt idx="2">
                  <c:v>185.15876811780248</c:v>
                </c:pt>
                <c:pt idx="3">
                  <c:v>189.63823100006235</c:v>
                </c:pt>
                <c:pt idx="4">
                  <c:v>187.12111349897313</c:v>
                </c:pt>
              </c:numCache>
            </c:numRef>
          </c:val>
          <c:extLst>
            <c:ext xmlns:c16="http://schemas.microsoft.com/office/drawing/2014/chart" uri="{C3380CC4-5D6E-409C-BE32-E72D297353CC}">
              <c16:uniqueId val="{00000002-9BD5-4461-862B-AFB2F4D4D1BE}"/>
            </c:ext>
          </c:extLst>
        </c:ser>
        <c:dLbls>
          <c:showLegendKey val="0"/>
          <c:showVal val="0"/>
          <c:showCatName val="0"/>
          <c:showSerName val="0"/>
          <c:showPercent val="0"/>
          <c:showBubbleSize val="0"/>
        </c:dLbls>
        <c:gapWidth val="100"/>
        <c:axId val="562512256"/>
        <c:axId val="562513792"/>
      </c:barChart>
      <c:catAx>
        <c:axId val="562512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62513792"/>
        <c:crosses val="autoZero"/>
        <c:auto val="1"/>
        <c:lblAlgn val="ctr"/>
        <c:lblOffset val="100"/>
        <c:noMultiLvlLbl val="0"/>
      </c:catAx>
      <c:valAx>
        <c:axId val="562513792"/>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2512256"/>
        <c:crosses val="autoZero"/>
        <c:crossBetween val="between"/>
      </c:valAx>
      <c:spPr>
        <a:noFill/>
        <a:ln w="3175">
          <a:solidFill>
            <a:srgbClr val="000000"/>
          </a:solidFill>
          <a:prstDash val="solid"/>
        </a:ln>
      </c:spPr>
    </c:plotArea>
    <c:legend>
      <c:legendPos val="r"/>
      <c:layout>
        <c:manualLayout>
          <c:xMode val="edge"/>
          <c:yMode val="edge"/>
          <c:x val="0.74862729134362305"/>
          <c:y val="0.17953653819588342"/>
          <c:w val="0.25137270865637695"/>
          <c:h val="0.67056236313656059"/>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Distance from Expected Rate of Section 47 Enquiries</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30101646385110953"/>
          <c:y val="0.13754659323684476"/>
          <c:w val="0.66090748170220792"/>
          <c:h val="0.80483344421018621"/>
        </c:manualLayout>
      </c:layout>
      <c:barChart>
        <c:barDir val="bar"/>
        <c:grouping val="clustered"/>
        <c:varyColors val="0"/>
        <c:ser>
          <c:idx val="2"/>
          <c:order val="0"/>
          <c:tx>
            <c:strRef>
              <c:f>'Section 47 Enquiries'!$S$7:$T$7</c:f>
              <c:strCache>
                <c:ptCount val="1"/>
                <c:pt idx="0">
                  <c:v>Distance from 2024 Expected Rate based on IDACI</c:v>
                </c:pt>
              </c:strCache>
            </c:strRef>
          </c:tx>
          <c:spPr>
            <a:solidFill>
              <a:srgbClr val="FB994F"/>
            </a:solidFill>
            <a:ln w="25400">
              <a:noFill/>
            </a:ln>
          </c:spPr>
          <c:invertIfNegative val="0"/>
          <c:cat>
            <c:strRef>
              <c:f>'Section 47 Enquiries'!$X$74:$X$94</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'Section 47 Enquiries'!$T$11:$T$31</c:f>
              <c:numCache>
                <c:formatCode>0.0</c:formatCode>
                <c:ptCount val="21"/>
                <c:pt idx="0">
                  <c:v>99.281562303295402</c:v>
                </c:pt>
                <c:pt idx="1">
                  <c:v>74.834755384950427</c:v>
                </c:pt>
                <c:pt idx="2">
                  <c:v>71.222915264411427</c:v>
                </c:pt>
                <c:pt idx="3">
                  <c:v>-69.970466135614444</c:v>
                </c:pt>
                <c:pt idx="4">
                  <c:v>#N/A</c:v>
                </c:pt>
                <c:pt idx="5">
                  <c:v>291.85332852155261</c:v>
                </c:pt>
                <c:pt idx="6">
                  <c:v>19.869413206307371</c:v>
                </c:pt>
                <c:pt idx="7">
                  <c:v>89.570495776119401</c:v>
                </c:pt>
                <c:pt idx="8">
                  <c:v>-18.670182395618752</c:v>
                </c:pt>
                <c:pt idx="9">
                  <c:v>-30.291677836024988</c:v>
                </c:pt>
                <c:pt idx="10">
                  <c:v>114.49435822804122</c:v>
                </c:pt>
                <c:pt idx="11">
                  <c:v>96.003340334779011</c:v>
                </c:pt>
                <c:pt idx="12">
                  <c:v>91.952571813366831</c:v>
                </c:pt>
                <c:pt idx="13">
                  <c:v>39.5873384640322</c:v>
                </c:pt>
                <c:pt idx="14">
                  <c:v>-47.32572456016895</c:v>
                </c:pt>
                <c:pt idx="15">
                  <c:v>59.661617734077794</c:v>
                </c:pt>
                <c:pt idx="16">
                  <c:v>12.376381705747775</c:v>
                </c:pt>
                <c:pt idx="17">
                  <c:v>59.752732403164885</c:v>
                </c:pt>
                <c:pt idx="18">
                  <c:v>9.4367103618514534</c:v>
                </c:pt>
                <c:pt idx="19">
                  <c:v>67.229401705729003</c:v>
                </c:pt>
                <c:pt idx="20">
                  <c:v>-12.345130634293781</c:v>
                </c:pt>
              </c:numCache>
            </c:numRef>
          </c:val>
          <c:extLst>
            <c:ext xmlns:c16="http://schemas.microsoft.com/office/drawing/2014/chart" uri="{C3380CC4-5D6E-409C-BE32-E72D297353CC}">
              <c16:uniqueId val="{00000000-0A75-415B-A25B-E1403135069F}"/>
            </c:ext>
          </c:extLst>
        </c:ser>
        <c:ser>
          <c:idx val="0"/>
          <c:order val="1"/>
          <c:tx>
            <c:strRef>
              <c:f>'Section 47 Enquiries'!$Z$4</c:f>
              <c:strCache>
                <c:ptCount val="1"/>
                <c:pt idx="0">
                  <c:v>Selected LA- (none)</c:v>
                </c:pt>
              </c:strCache>
            </c:strRef>
          </c:tx>
          <c:spPr>
            <a:solidFill>
              <a:srgbClr val="66FF99"/>
            </a:solidFill>
            <a:ln w="12700">
              <a:solidFill>
                <a:srgbClr val="000000"/>
              </a:solidFill>
              <a:prstDash val="solid"/>
            </a:ln>
          </c:spPr>
          <c:invertIfNegative val="0"/>
          <c:cat>
            <c:strRef>
              <c:f>'Section 47 Enquiries'!$X$74:$X$94</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'Section 47 Enquiries'!$Z$74:$Z$94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0A75-415B-A25B-E1403135069F}"/>
            </c:ext>
          </c:extLst>
        </c:ser>
        <c:dLbls>
          <c:showLegendKey val="0"/>
          <c:showVal val="0"/>
          <c:showCatName val="0"/>
          <c:showSerName val="0"/>
          <c:showPercent val="0"/>
          <c:showBubbleSize val="0"/>
        </c:dLbls>
        <c:gapWidth val="40"/>
        <c:overlap val="100"/>
        <c:axId val="562560384"/>
        <c:axId val="562369664"/>
      </c:barChart>
      <c:catAx>
        <c:axId val="56256038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562369664"/>
        <c:crossesAt val="0"/>
        <c:auto val="1"/>
        <c:lblAlgn val="ctr"/>
        <c:lblOffset val="100"/>
        <c:noMultiLvlLbl val="0"/>
      </c:catAx>
      <c:valAx>
        <c:axId val="562369664"/>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2560384"/>
        <c:crosses val="max"/>
        <c:crossBetween val="between"/>
      </c:valAx>
      <c:spPr>
        <a:noFill/>
        <a:ln w="12700">
          <a:solidFill>
            <a:srgbClr val="000000"/>
          </a:solidFill>
          <a:prstDash val="solid"/>
        </a:ln>
      </c:spPr>
    </c:plotArea>
    <c:legend>
      <c:legendPos val="t"/>
      <c:layout>
        <c:manualLayout>
          <c:xMode val="edge"/>
          <c:yMode val="edge"/>
          <c:x val="0.12005432872071839"/>
          <c:y val="6.2202780208029558E-2"/>
          <c:w val="0.80454686273261611"/>
          <c:h val="5.5295518615728588E-2"/>
        </c:manualLayout>
      </c:layout>
      <c:overlay val="0"/>
      <c:spPr>
        <a:solidFill>
          <a:srgbClr val="FFFFFF"/>
        </a:solidFill>
        <a:ln w="3175">
          <a:noFill/>
          <a:prstDash val="solid"/>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'Section 47 Enquiries'!$AK$5</c:f>
          <c:strCache>
            <c:ptCount val="1"/>
            <c:pt idx="0">
              <c:v>Average Annual Change in Number of Section 47 Enquiries</c:v>
            </c:pt>
          </c:strCache>
        </c:strRef>
      </c:tx>
      <c:layout>
        <c:manualLayout>
          <c:xMode val="edge"/>
          <c:yMode val="edge"/>
          <c:x val="9.5785619809663491E-3"/>
          <c:y val="1.1152426478663088E-2"/>
        </c:manualLayout>
      </c:layout>
      <c:overlay val="0"/>
      <c:spPr>
        <a:noFill/>
        <a:ln w="25400">
          <a:noFill/>
        </a:ln>
      </c:spPr>
      <c:txPr>
        <a:bodyPr/>
        <a:lstStyle/>
        <a:p>
          <a:pPr algn="l">
            <a:defRPr sz="1100" b="1"/>
          </a:pPr>
          <a:endParaRPr lang="en-US"/>
        </a:p>
      </c:txPr>
    </c:title>
    <c:autoTitleDeleted val="0"/>
    <c:plotArea>
      <c:layout>
        <c:manualLayout>
          <c:layoutTarget val="inner"/>
          <c:xMode val="edge"/>
          <c:yMode val="edge"/>
          <c:x val="0.30069766920160623"/>
          <c:y val="0.13754659323684476"/>
          <c:w val="0.65655315521457269"/>
          <c:h val="0.80483344421018621"/>
        </c:manualLayout>
      </c:layout>
      <c:barChart>
        <c:barDir val="bar"/>
        <c:grouping val="clustered"/>
        <c:varyColors val="0"/>
        <c:ser>
          <c:idx val="0"/>
          <c:order val="0"/>
          <c:tx>
            <c:strRef>
              <c:f>'Section 47 Enquiries'!$I$7</c:f>
              <c:strCache>
                <c:ptCount val="1"/>
                <c:pt idx="0">
                  <c:v>Average Annual Change </c:v>
                </c:pt>
              </c:strCache>
            </c:strRef>
          </c:tx>
          <c:spPr>
            <a:solidFill>
              <a:srgbClr val="FB994F"/>
            </a:solidFill>
            <a:ln w="25400">
              <a:noFill/>
            </a:ln>
          </c:spPr>
          <c:invertIfNegative val="0"/>
          <c:cat>
            <c:strRef>
              <c:f>'Section 47 Enquiries'!$B$11:$B$31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'Section 47 Enquiries'!$I$11:$I$31</c:f>
              <c:numCache>
                <c:formatCode>0.0%</c:formatCode>
                <c:ptCount val="21"/>
                <c:pt idx="0">
                  <c:v>-3.4098734226897166E-2</c:v>
                </c:pt>
                <c:pt idx="1">
                  <c:v>0.11006149986664787</c:v>
                </c:pt>
                <c:pt idx="2">
                  <c:v>5.5152647934213032E-2</c:v>
                </c:pt>
                <c:pt idx="3">
                  <c:v>1.2620382224158913E-4</c:v>
                </c:pt>
                <c:pt idx="4">
                  <c:v>0.19237388170127823</c:v>
                </c:pt>
                <c:pt idx="5">
                  <c:v>0.16787800485443832</c:v>
                </c:pt>
                <c:pt idx="6">
                  <c:v>3.1957004712424159E-2</c:v>
                </c:pt>
                <c:pt idx="7">
                  <c:v>6.4178691642006472E-2</c:v>
                </c:pt>
                <c:pt idx="8">
                  <c:v>0.10812683828648502</c:v>
                </c:pt>
                <c:pt idx="9">
                  <c:v>9.3180090718649258E-4</c:v>
                </c:pt>
                <c:pt idx="10">
                  <c:v>4.9640123431964958E-2</c:v>
                </c:pt>
                <c:pt idx="11">
                  <c:v>6.4610868409532174E-2</c:v>
                </c:pt>
                <c:pt idx="12">
                  <c:v>9.0815025202680283E-3</c:v>
                </c:pt>
                <c:pt idx="13">
                  <c:v>-0.10195159497995779</c:v>
                </c:pt>
                <c:pt idx="14">
                  <c:v>-2.1249469438403903E-3</c:v>
                </c:pt>
                <c:pt idx="15">
                  <c:v>0.10715447472350424</c:v>
                </c:pt>
                <c:pt idx="16">
                  <c:v>2.0919130629122734E-3</c:v>
                </c:pt>
                <c:pt idx="17">
                  <c:v>2.328411623481394E-2</c:v>
                </c:pt>
                <c:pt idx="18">
                  <c:v>-3.199398518063306E-2</c:v>
                </c:pt>
                <c:pt idx="19">
                  <c:v>6.8891562131381423E-2</c:v>
                </c:pt>
                <c:pt idx="20">
                  <c:v>2.8905939008861098E-2</c:v>
                </c:pt>
              </c:numCache>
            </c:numRef>
          </c:val>
          <c:extLst>
            <c:ext xmlns:c16="http://schemas.microsoft.com/office/drawing/2014/chart" uri="{C3380CC4-5D6E-409C-BE32-E72D297353CC}">
              <c16:uniqueId val="{00000000-D36C-4B24-AE14-9A28096C264A}"/>
            </c:ext>
          </c:extLst>
        </c:ser>
        <c:ser>
          <c:idx val="1"/>
          <c:order val="1"/>
          <c:tx>
            <c:strRef>
              <c:f>'Section 47 Enquiries'!$Z$4</c:f>
              <c:strCache>
                <c:ptCount val="1"/>
                <c:pt idx="0">
                  <c:v>Selected LA- (none)</c:v>
                </c:pt>
              </c:strCache>
            </c:strRef>
          </c:tx>
          <c:spPr>
            <a:solidFill>
              <a:srgbClr val="66FF99"/>
            </a:solidFill>
            <a:ln w="12700">
              <a:solidFill>
                <a:srgbClr val="000000"/>
              </a:solidFill>
              <a:prstDash val="solid"/>
            </a:ln>
          </c:spPr>
          <c:invertIfNegative val="0"/>
          <c:cat>
            <c:strRef>
              <c:f>'Section 47 Enquiries'!$B$11:$B$31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'Section 47 Enquiries'!$Y$74:$Y$94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D36C-4B24-AE14-9A28096C264A}"/>
            </c:ext>
          </c:extLst>
        </c:ser>
        <c:dLbls>
          <c:showLegendKey val="0"/>
          <c:showVal val="0"/>
          <c:showCatName val="0"/>
          <c:showSerName val="0"/>
          <c:showPercent val="0"/>
          <c:showBubbleSize val="0"/>
        </c:dLbls>
        <c:gapWidth val="40"/>
        <c:overlap val="100"/>
        <c:axId val="562403200"/>
        <c:axId val="562404736"/>
      </c:barChart>
      <c:catAx>
        <c:axId val="562403200"/>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562404736"/>
        <c:crosses val="autoZero"/>
        <c:auto val="1"/>
        <c:lblAlgn val="ctr"/>
        <c:lblOffset val="100"/>
        <c:noMultiLvlLbl val="0"/>
      </c:catAx>
      <c:valAx>
        <c:axId val="562404736"/>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2403200"/>
        <c:crosses val="max"/>
        <c:crossBetween val="between"/>
      </c:valAx>
      <c:spPr>
        <a:noFill/>
        <a:ln w="3175">
          <a:solidFill>
            <a:srgbClr val="000000"/>
          </a:solidFill>
          <a:prstDash val="solid"/>
        </a:ln>
      </c:spPr>
    </c:plotArea>
    <c:legend>
      <c:legendPos val="t"/>
      <c:layout>
        <c:manualLayout>
          <c:xMode val="edge"/>
          <c:yMode val="edge"/>
          <c:x val="0.14216035026805116"/>
          <c:y val="7.8066985350641618E-2"/>
          <c:w val="0.80754168167971441"/>
          <c:h val="4.089223042176466E-2"/>
        </c:manualLayout>
      </c:layout>
      <c:overlay val="0"/>
      <c:spPr>
        <a:noFill/>
        <a:ln w="12700">
          <a:noFill/>
          <a:prstDash val="solid"/>
        </a:ln>
      </c:spPr>
    </c:legend>
    <c:plotVisOnly val="0"/>
    <c:dispBlanksAs val="gap"/>
    <c:showDLblsOverMax val="0"/>
  </c:chart>
  <c:spPr>
    <a:solidFill>
      <a:srgbClr val="FFFFFF"/>
    </a:solidFill>
    <a:ln w="12700">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Section 47 Enquiries vs. IDACI</a:t>
            </a:r>
          </a:p>
        </c:rich>
      </c:tx>
      <c:layout>
        <c:manualLayout>
          <c:xMode val="edge"/>
          <c:yMode val="edge"/>
          <c:x val="0.21605930837592668"/>
          <c:y val="2.7076162990938353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'Section 47 Enquiries'!$AQ$35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30DD-495A-A357-0CD61094E186}"/>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{CBA0D493-38A9-49DB-B7EA-CDD173065B13}</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30DD-495A-A357-0CD61094E186}"/>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{7CA8F236-BBB8-46E2-BAF9-8A79D241B84B}</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30DD-495A-A357-0CD61094E186}"/>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{FA321AC1-73CA-4E86-A312-11007956622A}</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30DD-495A-A357-0CD61094E186}"/>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{BD490596-6EE2-430F-A164-0CA7AAF04301}</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30DD-495A-A357-0CD61094E186}"/>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{4F8D2CE3-0F2E-4335-A95F-08204DCE056F}</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5-30DD-495A-A357-0CD61094E186}"/>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{BBF6DD1E-31EC-44FE-9274-757C2BB9F467}</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30DD-495A-A357-0CD61094E186}"/>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{9DDEE2F4-98F3-4B52-B4C7-DA69D50E8D38}</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7-30DD-495A-A357-0CD61094E186}"/>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{8723AA4C-8712-474C-837A-62B6FACDC584}</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8-30DD-495A-A357-0CD61094E186}"/>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{892728A4-2007-46A7-875E-90D4469FBF03}</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30DD-495A-A357-0CD61094E186}"/>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{B86B7021-4330-4424-BC75-0B7670A43F71}</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30DD-495A-A357-0CD61094E186}"/>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{AB61C7B4-82F2-43A3-B831-1D9917D6065F}</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30DD-495A-A357-0CD61094E186}"/>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{0DDDC7B2-1E12-42B4-AAAD-11B4DE20BC5B}</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C-30DD-495A-A357-0CD61094E186}"/>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{94E8BAC1-CB47-4455-84BD-612137755FCC}</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0D-30DD-495A-A357-0CD61094E186}"/>
                </c:ext>
              </c:extLst>
            </c:dLbl>
            <c:dLbl>
              <c:idx val="13"/>
              <c:tx>
                <c:strRef>
                  <c:f>ReportData!$K$17</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{05FEB503-8BF9-47E7-AFAF-BACB25BEED8C}</c15:txfldGUID>
                      <c15:f>ReportData!$K$17</c15:f>
                      <c15:dlblFieldTableCache>
                        <c:ptCount val="1"/>
                        <c:pt idx="0">
                          <c:v>Southampton</c:v>
                        </c:pt>
                      </c15:dlblFieldTableCache>
                    </c15:dlblFTEntry>
                  </c15:dlblFieldTable>
                  <c15:showDataLabelsRange val="0"/>
                </c:ext>
                <c:ext xmlns:c16="http://schemas.microsoft.com/office/drawing/2014/chart" uri="{C3380CC4-5D6E-409C-BE32-E72D297353CC}">
                  <c16:uniqueId val="{0000000E-30DD-495A-A357-0CD61094E186}"/>
                </c:ext>
              </c:extLst>
            </c:dLbl>
            <c:dLbl>
              <c:idx val="14"/>
              <c:tx>
                <c:strRef>
                  <c:f>ReportData!$K$18</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{4ED68F59-49FB-472F-9057-72C7255D9F98}</c15:txfldGUID>
                      <c15:f>ReportData!$K$18</c15:f>
                      <c15:dlblFieldTableCache>
                        <c:ptCount val="1"/>
                        <c:pt idx="0">
                          <c:v>Surrey</c:v>
                        </c:pt>
                      </c15:dlblFieldTableCache>
                    </c15:dlblFTEntry>
                  </c15:dlblFieldTable>
                  <c15:showDataLabelsRange val="0"/>
                </c:ext>
                <c:ext xmlns:c16="http://schemas.microsoft.com/office/drawing/2014/chart" uri="{C3380CC4-5D6E-409C-BE32-E72D297353CC}">
                  <c16:uniqueId val="{0000000F-30DD-495A-A357-0CD61094E186}"/>
                </c:ext>
              </c:extLst>
            </c:dLbl>
            <c:dLbl>
              <c:idx val="15"/>
              <c:tx>
                <c:strRef>
                  <c:f>ReportData!$K$19</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{7AFA0F33-B551-4198-B14D-D60D3EC3D686}</c15:txfldGUID>
                      <c15:f>ReportData!$K$19</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30DD-495A-A357-0CD61094E186}"/>
                </c:ext>
              </c:extLst>
            </c:dLbl>
            <c:dLbl>
              <c:idx val="16"/>
              <c:tx>
                <c:strRef>
                  <c:f>ReportData!$K$20</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{16620998-2176-40F1-8283-CAC8BA396D6A}</c15:txfldGUID>
                      <c15:f>ReportData!$K$20</c15:f>
                      <c15:dlblFieldTableCache>
                        <c:ptCount val="1"/>
                        <c:pt idx="0">
                          <c:v>West Sussex</c:v>
                        </c:pt>
                      </c15:dlblFieldTableCache>
                    </c15:dlblFTEntry>
                  </c15:dlblFieldTable>
                  <c15:showDataLabelsRange val="0"/>
                </c:ext>
                <c:ext xmlns:c16="http://schemas.microsoft.com/office/drawing/2014/chart" uri="{C3380CC4-5D6E-409C-BE32-E72D297353CC}">
                  <c16:uniqueId val="{00000011-30DD-495A-A357-0CD61094E186}"/>
                </c:ext>
              </c:extLst>
            </c:dLbl>
            <c:dLbl>
              <c:idx val="17"/>
              <c:layout>
                <c:manualLayout>
                  <c:x val="-2.1259252882280515E-2"/>
                  <c:y val="1.782607922639495E-2"/>
                </c:manualLayout>
              </c:layout>
              <c:tx>
                <c:strRef>
                  <c:f>ReportData!$K$21</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{445C3FEC-C406-4A47-BE98-3180CD65B61A}</c15:txfldGUID>
                      <c15:f>ReportData!$K$21</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30DD-495A-A357-0CD61094E186}"/>
                </c:ext>
              </c:extLst>
            </c:dLbl>
            <c:dLbl>
              <c:idx val="18"/>
              <c:tx>
                <c:strRef>
                  <c:f>ReportData!$K$22</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{22266114-21AE-4B4F-8B03-6DFE7AC064AA}</c15:txfldGUID>
                      <c15:f>ReportData!$K$22</c15:f>
                      <c15:dlblFieldTableCache>
                        <c:ptCount val="1"/>
                        <c:pt idx="0">
                          <c:v>Wokingham</c:v>
                        </c:pt>
                      </c15:dlblFieldTableCache>
                    </c15:dlblFTEntry>
                  </c15:dlblFieldTable>
                  <c15:showDataLabelsRange val="0"/>
                </c:ext>
                <c:ext xmlns:c16="http://schemas.microsoft.com/office/drawing/2014/chart" uri="{C3380CC4-5D6E-409C-BE32-E72D297353CC}">
                  <c16:uniqueId val="{00000013-30DD-495A-A357-0CD61094E186}"/>
                </c:ext>
              </c:extLst>
            </c:dLbl>
            <c:spPr>
              <a:noFill/>
              <a:ln>
                <a:noFill/>
              </a:ln>
              <a:effectLst/>
            </c:spPr>
            <c:txPr>
              <a:bodyPr/>
              <a:lstStyle/>
              <a:p>
                <a:pPr>
                  <a:defRPr sz="700">
                    <a:solidFill>
                      <a:schemeClr val="bg1">
                        <a:lumMod val="7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('Section 47 Enquiries'!$AQ$38:$AQ$50,'Section 47 Enquiries'!$AQ$51:$AQ$52,'Section 47 Enquiries'!$AQ$53:$AQ$56)</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('Section 47 Enquiries'!$AP$38:$AP$50,'Section 47 Enquiries'!$AP$51:$AP$52,'Section 47 Enquiries'!$AP$53:$AP$56)</c:f>
              <c:numCache>
                <c:formatCode>0.0</c:formatCode>
                <c:ptCount val="19"/>
                <c:pt idx="0">
                  <c:v>243.65553112018711</c:v>
                </c:pt>
                <c:pt idx="1">
                  <c:v>262.28946127801822</c:v>
                </c:pt>
                <c:pt idx="2">
                  <c:v>212.90433801404211</c:v>
                </c:pt>
                <c:pt idx="3">
                  <c:v>122.86933189197536</c:v>
                </c:pt>
                <c:pt idx="4">
                  <c:v>#N/A</c:v>
                </c:pt>
                <c:pt idx="5">
                  <c:v>497.48272036863216</c:v>
                </c:pt>
                <c:pt idx="6">
                  <c:v>210.68980168345141</c:v>
                </c:pt>
                <c:pt idx="7">
                  <c:v>301.25811627453623</c:v>
                </c:pt>
                <c:pt idx="8">
                  <c:v>166.7651139470033</c:v>
                </c:pt>
                <c:pt idx="9">
                  <c:v>122.15992918264975</c:v>
                </c:pt>
                <c:pt idx="10">
                  <c:v>334.93275344505633</c:v>
                </c:pt>
                <c:pt idx="11">
                  <c:v>288.17000184555354</c:v>
                </c:pt>
                <c:pt idx="12">
                  <c:v>275.36845860554308</c:v>
                </c:pt>
                <c:pt idx="13">
                  <c:v>262.04514323149306</c:v>
                </c:pt>
                <c:pt idx="14">
                  <c:v>93.009425155831238</c:v>
                </c:pt>
                <c:pt idx="15">
                  <c:v>202.689313517339</c:v>
                </c:pt>
                <c:pt idx="16">
                  <c:v>170.88621737575974</c:v>
                </c:pt>
                <c:pt idx="17">
                  <c:v>189.31769785012105</c:v>
                </c:pt>
                <c:pt idx="18">
                  <c:v>131.59717412383986</c:v>
                </c:pt>
              </c:numCache>
            </c:numRef>
          </c:yVal>
          <c:smooth val="0"/>
          <c:extLst>
            <c:ext xmlns:c16="http://schemas.microsoft.com/office/drawing/2014/chart" uri="{C3380CC4-5D6E-409C-BE32-E72D297353CC}">
              <c16:uniqueId val="{00000015-30DD-495A-A357-0CD61094E186}"/>
            </c:ext>
          </c:extLst>
        </c:ser>
        <c:ser>
          <c:idx val="1"/>
          <c:order val="1"/>
          <c:tx>
            <c:strRef>
              <c:f>'Section 47 Enquiries'!$Z$4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'Section 47 Enquiries'!$AQ$59</c:f>
              <c:numCache>
                <c:formatCode>0.0</c:formatCode>
                <c:ptCount val="1"/>
                <c:pt idx="0">
                  <c:v>#N/A</c:v>
                </c:pt>
              </c:numCache>
            </c:numRef>
          </c:xVal>
          <c:yVal>
            <c:numRef>
              <c:f>'Section 47 Enquiries'!$AP$59</c:f>
              <c:numCache>
                <c:formatCode>0.0</c:formatCode>
                <c:ptCount val="1"/>
                <c:pt idx="0">
                  <c:v>#N/A</c:v>
                </c:pt>
              </c:numCache>
            </c:numRef>
          </c:yVal>
          <c:smooth val="0"/>
          <c:extLst>
            <c:ext xmlns:c16="http://schemas.microsoft.com/office/drawing/2014/chart" uri="{C3380CC4-5D6E-409C-BE32-E72D297353CC}">
              <c16:uniqueId val="{0000001A-30DD-495A-A357-0CD61094E186}"/>
            </c:ext>
          </c:extLst>
        </c:ser>
        <c:ser>
          <c:idx val="4"/>
          <c:order val="2"/>
          <c:tx>
            <c:strRef>
              <c:f>'Section 47 Enquiries'!$B$30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'Section 47 Enquiries'!$AQ$57</c:f>
              <c:numCache>
                <c:formatCode>0.0</c:formatCode>
                <c:ptCount val="1"/>
                <c:pt idx="0">
                  <c:v>12.760581039440194</c:v>
                </c:pt>
              </c:numCache>
            </c:numRef>
          </c:xVal>
          <c:yVal>
            <c:numRef>
              <c:f>'Section 47 Enquiries'!$O$30</c:f>
              <c:numCache>
                <c:formatCode>0.0</c:formatCode>
                <c:ptCount val="1"/>
                <c:pt idx="0">
                  <c:v>237.59035126033845</c:v>
                </c:pt>
              </c:numCache>
            </c:numRef>
          </c:yVal>
          <c:smooth val="0"/>
          <c:extLst>
            <c:ext xmlns:c16="http://schemas.microsoft.com/office/drawing/2014/chart" uri="{C3380CC4-5D6E-409C-BE32-E72D297353CC}">
              <c16:uniqueId val="{0000001B-30DD-495A-A357-0CD61094E186}"/>
            </c:ext>
          </c:extLst>
        </c:ser>
        <c:ser>
          <c:idx val="2"/>
          <c:order val="3"/>
          <c:tx>
            <c:strRef>
              <c:f>'Section 47 Enquiries'!$X$40</c:f>
              <c:strCache>
                <c:ptCount val="1"/>
                <c:pt idx="0">
                  <c:v>National Trend 2024</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C-30DD-495A-A357-0CD61094E186}"/>
                </c:ext>
              </c:extLst>
            </c:dLbl>
            <c:dLbl>
              <c:idx val="1"/>
              <c:layout>
                <c:manualLayout>
                  <c:x val="-6.1403447917027995E-2"/>
                  <c:y val="3.0165912518853696E-2"/>
                </c:manualLayout>
              </c:layout>
              <c:tx>
                <c:strRef>
                  <c:f>'Section 47 Enquiries'!$AC$40</c:f>
                  <c:strCache>
                    <c:ptCount val="1"/>
                    <c:pt idx="0">
                      <c:v>r² = 0.257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{EBC206AC-FB72-4466-AF91-BF56AE9B61EC}</c15:txfldGUID>
                      <c15:f>'Section 47 Enquiries'!$AC$40</c15:f>
                      <c15:dlblFieldTableCache>
                        <c:ptCount val="1"/>
                        <c:pt idx="0">
                          <c:v>r² = 0.257</c:v>
                        </c:pt>
                      </c15:dlblFieldTableCache>
                    </c15:dlblFTEntry>
                  </c15:dlblFieldTable>
                  <c15:showDataLabelsRange val="0"/>
                </c:ext>
                <c:ext xmlns:c16="http://schemas.microsoft.com/office/drawing/2014/chart" uri="{C3380CC4-5D6E-409C-BE32-E72D297353CC}">
                  <c16:uniqueId val="{0000001D-30DD-495A-A357-0CD61094E18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'Section 47 Enquiries'!$AA$40:$AA$41</c:f>
              <c:numCache>
                <c:formatCode>General</c:formatCode>
                <c:ptCount val="2"/>
                <c:pt idx="0" formatCode="#,##0.0">
                  <c:v>3</c:v>
                </c:pt>
                <c:pt idx="1">
                  <c:v>22</c:v>
                </c:pt>
              </c:numCache>
            </c:numRef>
          </c:xVal>
          <c:yVal>
            <c:numRef>
              <c:f>'Section 47 Enquiries'!$AB$40:$AB$41</c:f>
              <c:numCache>
                <c:formatCode>0.0</c:formatCode>
                <c:ptCount val="2"/>
                <c:pt idx="0">
                  <c:v>104.65891432479187</c:v>
                </c:pt>
                <c:pt idx="1">
                  <c:v>232.55485251968963</c:v>
                </c:pt>
              </c:numCache>
            </c:numRef>
          </c:yVal>
          <c:smooth val="0"/>
          <c:extLst>
            <c:ext xmlns:c16="http://schemas.microsoft.com/office/drawing/2014/chart" uri="{C3380CC4-5D6E-409C-BE32-E72D297353CC}">
              <c16:uniqueId val="{0000001E-30DD-495A-A357-0CD61094E186}"/>
            </c:ext>
          </c:extLst>
        </c:ser>
        <c:ser>
          <c:idx val="5"/>
          <c:order val="4"/>
          <c:tx>
            <c:strRef>
              <c:f>'Section 47 Enquiries'!$X$38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F-30DD-495A-A357-0CD61094E186}"/>
                </c:ext>
              </c:extLst>
            </c:dLbl>
            <c:dLbl>
              <c:idx val="1"/>
              <c:layout>
                <c:manualLayout>
                  <c:x val="-9.1964619644531745E-2"/>
                  <c:y val="-8.7968076388641459E-3"/>
                </c:manualLayout>
              </c:layout>
              <c:tx>
                <c:strRef>
                  <c:f>'Section 47 Enquiries'!$AC$39</c:f>
                  <c:strCache>
                    <c:ptCount val="1"/>
                    <c:pt idx="0">
                      <c:v>r² = 0.372</c:v>
                    </c:pt>
                  </c:strCache>
                </c:strRef>
              </c:tx>
              <c:showLegendKey val="0"/>
              <c:showVal val="1"/>
              <c:showCatName val="0"/>
              <c:showSerName val="0"/>
              <c:showPercent val="0"/>
              <c:showBubbleSize val="0"/>
              <c:extLst>
                <c:ext xmlns:c15="http://schemas.microsoft.com/office/drawing/2012/chart" uri="{CE6537A1-D6FC-4f65-9D91-7224C49458BB}">
                  <c15:layout>
                    <c:manualLayout>
                      <c:w val="0.16038264953722889"/>
                      <c:h val="5.835607653115759E-2"/>
                    </c:manualLayout>
                  </c15:layout>
                  <c15:dlblFieldTable>
                    <c15:dlblFTEntry>
                      <c15:txfldGUID>{A0D00E93-4572-4145-A409-E7DE19B108EC}</c15:txfldGUID>
                      <c15:f>'Section 47 Enquiries'!$AC$39</c15:f>
                      <c15:dlblFieldTableCache>
                        <c:ptCount val="1"/>
                        <c:pt idx="0">
                          <c:v>r² = 0.372</c:v>
                        </c:pt>
                      </c15:dlblFieldTableCache>
                    </c15:dlblFTEntry>
                  </c15:dlblFieldTable>
                  <c15:showDataLabelsRange val="0"/>
                </c:ext>
                <c:ext xmlns:c16="http://schemas.microsoft.com/office/drawing/2014/chart" uri="{C3380CC4-5D6E-409C-BE32-E72D297353CC}">
                  <c16:uniqueId val="{00000020-30DD-495A-A357-0CD61094E186}"/>
                </c:ext>
              </c:extLst>
            </c:dLbl>
            <c:spPr>
              <a:noFill/>
              <a:ln>
                <a:noFill/>
              </a:ln>
              <a:effectLst/>
            </c:spPr>
            <c:txPr>
              <a:bodyPr/>
              <a:lstStyle/>
              <a:p>
                <a:pPr>
                  <a:defRPr>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'Section 47 Enquiries'!$AA$38:$AA$39</c:f>
              <c:numCache>
                <c:formatCode>General</c:formatCode>
                <c:ptCount val="2"/>
                <c:pt idx="0" formatCode="#,##0.0">
                  <c:v>3</c:v>
                </c:pt>
                <c:pt idx="1">
                  <c:v>22</c:v>
                </c:pt>
              </c:numCache>
            </c:numRef>
          </c:xVal>
          <c:yVal>
            <c:numRef>
              <c:f>'Section 47 Enquiries'!$AB$38:$AB$39</c:f>
              <c:numCache>
                <c:formatCode>0.0</c:formatCode>
                <c:ptCount val="2"/>
                <c:pt idx="0">
                  <c:v>101.7030399298382</c:v>
                </c:pt>
                <c:pt idx="1">
                  <c:v>334.42838118488407</c:v>
                </c:pt>
              </c:numCache>
            </c:numRef>
          </c:yVal>
          <c:smooth val="0"/>
          <c:extLst>
            <c:ext xmlns:c16="http://schemas.microsoft.com/office/drawing/2014/chart" uri="{C3380CC4-5D6E-409C-BE32-E72D297353CC}">
              <c16:uniqueId val="{00000021-30DD-495A-A357-0CD61094E186}"/>
            </c:ext>
          </c:extLst>
        </c:ser>
        <c:dLbls>
          <c:showLegendKey val="0"/>
          <c:showVal val="0"/>
          <c:showCatName val="0"/>
          <c:showSerName val="0"/>
          <c:showPercent val="0"/>
          <c:showBubbleSize val="0"/>
        </c:dLbls>
        <c:axId val="563577984"/>
        <c:axId val="563579904"/>
      </c:scatterChart>
      <c:valAx>
        <c:axId val="563577984"/>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4087952964064139"/>
              <c:y val="0.91929229487900843"/>
            </c:manualLayout>
          </c:layout>
          <c:overlay val="0"/>
          <c:spPr>
            <a:noFill/>
            <a:ln w="25400">
              <a:noFill/>
            </a:ln>
          </c:spPr>
          <c:txPr>
            <a:bodyPr/>
            <a:lstStyle/>
            <a:p>
              <a:pPr>
                <a:defRPr b="1"/>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3579904"/>
        <c:crosses val="autoZero"/>
        <c:crossBetween val="midCat"/>
        <c:majorUnit val="5"/>
      </c:valAx>
      <c:valAx>
        <c:axId val="563579904"/>
        <c:scaling>
          <c:orientation val="minMax"/>
        </c:scaling>
        <c:delete val="0"/>
        <c:axPos val="l"/>
        <c:majorGridlines>
          <c:spPr>
            <a:ln w="12700">
              <a:solidFill>
                <a:schemeClr val="bg1">
                  <a:lumMod val="75000"/>
                </a:schemeClr>
              </a:solidFill>
              <a:prstDash val="solid"/>
            </a:ln>
          </c:spPr>
        </c:majorGridlines>
        <c:title>
          <c:tx>
            <c:rich>
              <a:bodyPr/>
              <a:lstStyle/>
              <a:p>
                <a:pPr>
                  <a:defRPr b="1"/>
                </a:pPr>
                <a:r>
                  <a:rPr lang="en-GB" b="1"/>
                  <a:t>Rate of Section 47 Enquiries per 10,000 0-17 year olds</a:t>
                </a:r>
              </a:p>
            </c:rich>
          </c:tx>
          <c:layout>
            <c:manualLayout>
              <c:xMode val="edge"/>
              <c:yMode val="edge"/>
              <c:x val="5.1877989550371623E-2"/>
              <c:y val="0.173253663401251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3577984"/>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Proportion of Referrals going on to Assessment</a:t>
            </a:r>
          </a:p>
        </c:rich>
      </c:tx>
      <c:layout>
        <c:manualLayout>
          <c:xMode val="edge"/>
          <c:yMode val="edge"/>
          <c:x val="0.14467235436906503"/>
          <c:y val="2.081969612541569E-2"/>
        </c:manualLayout>
      </c:layout>
      <c:overlay val="0"/>
      <c:spPr>
        <a:noFill/>
        <a:ln w="25400">
          <a:noFill/>
        </a:ln>
      </c:spPr>
    </c:title>
    <c:autoTitleDeleted val="0"/>
    <c:plotArea>
      <c:layout>
        <c:manualLayout>
          <c:layoutTarget val="inner"/>
          <c:xMode val="edge"/>
          <c:yMode val="edge"/>
          <c:x val="9.8135332248395879E-2"/>
          <c:y val="7.3549410974790952E-2"/>
          <c:w val="0.56673165332412789"/>
          <c:h val="0.863734963102056"/>
        </c:manualLayout>
      </c:layout>
      <c:lineChart>
        <c:grouping val="standard"/>
        <c:varyColors val="0"/>
        <c:ser>
          <c:idx val="0"/>
          <c:order val="0"/>
          <c:tx>
            <c:strRef>
              <c:f>Referrals!$AK$38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8ADA-4329-BD34-A67E8DD0B589}"/>
              </c:ext>
            </c:extLst>
          </c:dPt>
          <c:cat>
            <c:strRef>
              <c:f>Referrals!$Y$2:$AC$3</c:f>
              <c:strCache>
                <c:ptCount val="5"/>
                <c:pt idx="0">
                  <c:v>2019/20</c:v>
                </c:pt>
                <c:pt idx="1">
                  <c:v>2020/21</c:v>
                </c:pt>
                <c:pt idx="2">
                  <c:v>2021/22</c:v>
                </c:pt>
                <c:pt idx="3">
                  <c:v>2022/23</c:v>
                </c:pt>
                <c:pt idx="4">
                  <c:v>2023/24</c:v>
                </c:pt>
              </c:strCache>
            </c:strRef>
          </c:cat>
          <c:val>
            <c:numRef>
              <c:f>Referrals!$AR$38:$AV$38</c:f>
              <c:numCache>
                <c:formatCode>0.0%</c:formatCode>
                <c:ptCount val="5"/>
                <c:pt idx="0">
                  <c:v>0.81871689228958211</c:v>
                </c:pt>
                <c:pt idx="1">
                  <c:v>0.92810065907729178</c:v>
                </c:pt>
                <c:pt idx="2">
                  <c:v>0.89255108767303892</c:v>
                </c:pt>
                <c:pt idx="3">
                  <c:v>0.8735955056179775</c:v>
                </c:pt>
                <c:pt idx="4">
                  <c:v>0.88749172733289217</c:v>
                </c:pt>
              </c:numCache>
            </c:numRef>
          </c:val>
          <c:smooth val="0"/>
          <c:extLst>
            <c:ext xmlns:c16="http://schemas.microsoft.com/office/drawing/2014/chart" uri="{C3380CC4-5D6E-409C-BE32-E72D297353CC}">
              <c16:uniqueId val="{00000001-8ADA-4329-BD34-A67E8DD0B589}"/>
            </c:ext>
          </c:extLst>
        </c:ser>
        <c:ser>
          <c:idx val="1"/>
          <c:order val="1"/>
          <c:tx>
            <c:strRef>
              <c:f>Referrals!$AK$39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Referrals!$Y$2:$AC$3</c:f>
              <c:strCache>
                <c:ptCount val="5"/>
                <c:pt idx="0">
                  <c:v>2019/20</c:v>
                </c:pt>
                <c:pt idx="1">
                  <c:v>2020/21</c:v>
                </c:pt>
                <c:pt idx="2">
                  <c:v>2021/22</c:v>
                </c:pt>
                <c:pt idx="3">
                  <c:v>2022/23</c:v>
                </c:pt>
                <c:pt idx="4">
                  <c:v>2023/24</c:v>
                </c:pt>
              </c:strCache>
            </c:strRef>
          </c:cat>
          <c:val>
            <c:numRef>
              <c:f>Referrals!$AR$39:$AV$39</c:f>
              <c:numCache>
                <c:formatCode>0.0%</c:formatCode>
                <c:ptCount val="5"/>
                <c:pt idx="0">
                  <c:v>0.86782413889666765</c:v>
                </c:pt>
                <c:pt idx="1">
                  <c:v>0.85233072473630489</c:v>
                </c:pt>
                <c:pt idx="2">
                  <c:v>0.9522769806612601</c:v>
                </c:pt>
                <c:pt idx="3">
                  <c:v>0.81040320098491847</c:v>
                </c:pt>
                <c:pt idx="4">
                  <c:v>0.88271415412956711</c:v>
                </c:pt>
              </c:numCache>
            </c:numRef>
          </c:val>
          <c:smooth val="0"/>
          <c:extLst>
            <c:ext xmlns:c16="http://schemas.microsoft.com/office/drawing/2014/chart" uri="{C3380CC4-5D6E-409C-BE32-E72D297353CC}">
              <c16:uniqueId val="{00000002-8ADA-4329-BD34-A67E8DD0B589}"/>
            </c:ext>
          </c:extLst>
        </c:ser>
        <c:ser>
          <c:idx val="2"/>
          <c:order val="2"/>
          <c:tx>
            <c:strRef>
              <c:f>Referrals!$AK$40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Referrals!$Y$2:$AC$3</c:f>
              <c:strCache>
                <c:ptCount val="5"/>
                <c:pt idx="0">
                  <c:v>2019/20</c:v>
                </c:pt>
                <c:pt idx="1">
                  <c:v>2020/21</c:v>
                </c:pt>
                <c:pt idx="2">
                  <c:v>2021/22</c:v>
                </c:pt>
                <c:pt idx="3">
                  <c:v>2022/23</c:v>
                </c:pt>
                <c:pt idx="4">
                  <c:v>2023/24</c:v>
                </c:pt>
              </c:strCache>
            </c:strRef>
          </c:cat>
          <c:val>
            <c:numRef>
              <c:f>Referrals!$AR$40:$AV$40</c:f>
              <c:numCache>
                <c:formatCode>0.0%</c:formatCode>
                <c:ptCount val="5"/>
                <c:pt idx="0">
                  <c:v>0.85502569618740287</c:v>
                </c:pt>
                <c:pt idx="1">
                  <c:v>0.71774642658251342</c:v>
                </c:pt>
                <c:pt idx="2">
                  <c:v>0.55635363337663335</c:v>
                </c:pt>
                <c:pt idx="3">
                  <c:v>0.50991198486468703</c:v>
                </c:pt>
                <c:pt idx="4">
                  <c:v>0.9830815709969789</c:v>
                </c:pt>
              </c:numCache>
            </c:numRef>
          </c:val>
          <c:smooth val="0"/>
          <c:extLst>
            <c:ext xmlns:c16="http://schemas.microsoft.com/office/drawing/2014/chart" uri="{C3380CC4-5D6E-409C-BE32-E72D297353CC}">
              <c16:uniqueId val="{00000003-8ADA-4329-BD34-A67E8DD0B589}"/>
            </c:ext>
          </c:extLst>
        </c:ser>
        <c:ser>
          <c:idx val="5"/>
          <c:order val="3"/>
          <c:tx>
            <c:strRef>
              <c:f>Referrals!$AK$41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Referrals!$Y$2:$AC$3</c:f>
              <c:strCache>
                <c:ptCount val="5"/>
                <c:pt idx="0">
                  <c:v>2019/20</c:v>
                </c:pt>
                <c:pt idx="1">
                  <c:v>2020/21</c:v>
                </c:pt>
                <c:pt idx="2">
                  <c:v>2021/22</c:v>
                </c:pt>
                <c:pt idx="3">
                  <c:v>2022/23</c:v>
                </c:pt>
                <c:pt idx="4">
                  <c:v>2023/24</c:v>
                </c:pt>
              </c:strCache>
            </c:strRef>
          </c:cat>
          <c:val>
            <c:numRef>
              <c:f>Referrals!$AR$41:$AV$41</c:f>
              <c:numCache>
                <c:formatCode>0.0%</c:formatCode>
                <c:ptCount val="5"/>
                <c:pt idx="0">
                  <c:v>0.98656107511399083</c:v>
                </c:pt>
                <c:pt idx="1">
                  <c:v>0.98012552301255229</c:v>
                </c:pt>
                <c:pt idx="2">
                  <c:v>0.97763280521901208</c:v>
                </c:pt>
                <c:pt idx="3">
                  <c:v>0.95784363822176799</c:v>
                </c:pt>
                <c:pt idx="4">
                  <c:v>0.9610299234516354</c:v>
                </c:pt>
              </c:numCache>
            </c:numRef>
          </c:val>
          <c:smooth val="0"/>
          <c:extLst>
            <c:ext xmlns:c16="http://schemas.microsoft.com/office/drawing/2014/chart" uri="{C3380CC4-5D6E-409C-BE32-E72D297353CC}">
              <c16:uniqueId val="{00000004-8ADA-4329-BD34-A67E8DD0B589}"/>
            </c:ext>
          </c:extLst>
        </c:ser>
        <c:ser>
          <c:idx val="9"/>
          <c:order val="4"/>
          <c:tx>
            <c:strRef>
              <c:f>Referrals!$AK$42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Referrals!$Y$2:$AC$3</c:f>
              <c:strCache>
                <c:ptCount val="5"/>
                <c:pt idx="0">
                  <c:v>2019/20</c:v>
                </c:pt>
                <c:pt idx="1">
                  <c:v>2020/21</c:v>
                </c:pt>
                <c:pt idx="2">
                  <c:v>2021/22</c:v>
                </c:pt>
                <c:pt idx="3">
                  <c:v>2022/23</c:v>
                </c:pt>
                <c:pt idx="4">
                  <c:v>2023/24</c:v>
                </c:pt>
              </c:strCache>
            </c:strRef>
          </c:cat>
          <c:val>
            <c:numRef>
              <c:f>Referrals!$AR$42:$AV$42</c:f>
              <c:numCache>
                <c:formatCode>0.0%</c:formatCode>
                <c:ptCount val="5"/>
                <c:pt idx="0">
                  <c:v>0.86641938674579622</c:v>
                </c:pt>
                <c:pt idx="1">
                  <c:v>0.85509352585439036</c:v>
                </c:pt>
                <c:pt idx="2">
                  <c:v>0.89018776941623434</c:v>
                </c:pt>
                <c:pt idx="3">
                  <c:v>0.84519047931283198</c:v>
                </c:pt>
                <c:pt idx="4">
                  <c:v>#N/A</c:v>
                </c:pt>
              </c:numCache>
            </c:numRef>
          </c:val>
          <c:smooth val="0"/>
          <c:extLst>
            <c:ext xmlns:c16="http://schemas.microsoft.com/office/drawing/2014/chart" uri="{C3380CC4-5D6E-409C-BE32-E72D297353CC}">
              <c16:uniqueId val="{00000005-8ADA-4329-BD34-A67E8DD0B589}"/>
            </c:ext>
          </c:extLst>
        </c:ser>
        <c:ser>
          <c:idx val="10"/>
          <c:order val="5"/>
          <c:tx>
            <c:strRef>
              <c:f>Referrals!$AK$43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Referrals!$Y$2:$AC$3</c:f>
              <c:strCache>
                <c:ptCount val="5"/>
                <c:pt idx="0">
                  <c:v>2019/20</c:v>
                </c:pt>
                <c:pt idx="1">
                  <c:v>2020/21</c:v>
                </c:pt>
                <c:pt idx="2">
                  <c:v>2021/22</c:v>
                </c:pt>
                <c:pt idx="3">
                  <c:v>2022/23</c:v>
                </c:pt>
                <c:pt idx="4">
                  <c:v>2023/24</c:v>
                </c:pt>
              </c:strCache>
            </c:strRef>
          </c:cat>
          <c:val>
            <c:numRef>
              <c:f>Referrals!$AR$43:$AV$43</c:f>
              <c:numCache>
                <c:formatCode>0.0%</c:formatCode>
                <c:ptCount val="5"/>
                <c:pt idx="0">
                  <c:v>0.82958801498127344</c:v>
                </c:pt>
                <c:pt idx="1">
                  <c:v>0.89652539137075216</c:v>
                </c:pt>
                <c:pt idx="2">
                  <c:v>0.93997028231797919</c:v>
                </c:pt>
                <c:pt idx="3">
                  <c:v>0.79767441860465116</c:v>
                </c:pt>
                <c:pt idx="4">
                  <c:v>0.74486066697121978</c:v>
                </c:pt>
              </c:numCache>
            </c:numRef>
          </c:val>
          <c:smooth val="0"/>
          <c:extLst>
            <c:ext xmlns:c16="http://schemas.microsoft.com/office/drawing/2014/chart" uri="{C3380CC4-5D6E-409C-BE32-E72D297353CC}">
              <c16:uniqueId val="{00000006-8ADA-4329-BD34-A67E8DD0B589}"/>
            </c:ext>
          </c:extLst>
        </c:ser>
        <c:ser>
          <c:idx val="11"/>
          <c:order val="6"/>
          <c:tx>
            <c:strRef>
              <c:f>Referrals!$AK$44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Referrals!$Y$2:$AC$3</c:f>
              <c:strCache>
                <c:ptCount val="5"/>
                <c:pt idx="0">
                  <c:v>2019/20</c:v>
                </c:pt>
                <c:pt idx="1">
                  <c:v>2020/21</c:v>
                </c:pt>
                <c:pt idx="2">
                  <c:v>2021/22</c:v>
                </c:pt>
                <c:pt idx="3">
                  <c:v>2022/23</c:v>
                </c:pt>
                <c:pt idx="4">
                  <c:v>2023/24</c:v>
                </c:pt>
              </c:strCache>
            </c:strRef>
          </c:cat>
          <c:val>
            <c:numRef>
              <c:f>Referrals!$AR$44:$AV$44</c:f>
              <c:numCache>
                <c:formatCode>0.0%</c:formatCode>
                <c:ptCount val="5"/>
                <c:pt idx="0">
                  <c:v>0.99525705848136381</c:v>
                </c:pt>
                <c:pt idx="1">
                  <c:v>0.99714919227114351</c:v>
                </c:pt>
                <c:pt idx="2">
                  <c:v>0.99307585782428065</c:v>
                </c:pt>
                <c:pt idx="3">
                  <c:v>0.99114613307361987</c:v>
                </c:pt>
                <c:pt idx="4">
                  <c:v>0.99448384554767533</c:v>
                </c:pt>
              </c:numCache>
            </c:numRef>
          </c:val>
          <c:smooth val="0"/>
          <c:extLst>
            <c:ext xmlns:c16="http://schemas.microsoft.com/office/drawing/2014/chart" uri="{C3380CC4-5D6E-409C-BE32-E72D297353CC}">
              <c16:uniqueId val="{00000007-8ADA-4329-BD34-A67E8DD0B589}"/>
            </c:ext>
          </c:extLst>
        </c:ser>
        <c:ser>
          <c:idx val="12"/>
          <c:order val="7"/>
          <c:tx>
            <c:strRef>
              <c:f>Referrals!$AK$45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Referrals!$Y$2:$AC$3</c:f>
              <c:strCache>
                <c:ptCount val="5"/>
                <c:pt idx="0">
                  <c:v>2019/20</c:v>
                </c:pt>
                <c:pt idx="1">
                  <c:v>2020/21</c:v>
                </c:pt>
                <c:pt idx="2">
                  <c:v>2021/22</c:v>
                </c:pt>
                <c:pt idx="3">
                  <c:v>2022/23</c:v>
                </c:pt>
                <c:pt idx="4">
                  <c:v>2023/24</c:v>
                </c:pt>
              </c:strCache>
            </c:strRef>
          </c:cat>
          <c:val>
            <c:numRef>
              <c:f>Referrals!$AR$45:$AV$45</c:f>
              <c:numCache>
                <c:formatCode>0.0%</c:formatCode>
                <c:ptCount val="5"/>
                <c:pt idx="0">
                  <c:v>0.95207993474714514</c:v>
                </c:pt>
                <c:pt idx="1">
                  <c:v>0.88646824179196071</c:v>
                </c:pt>
                <c:pt idx="2">
                  <c:v>0.88475991649269314</c:v>
                </c:pt>
                <c:pt idx="3">
                  <c:v>0.89456936784047514</c:v>
                </c:pt>
                <c:pt idx="4">
                  <c:v>0.88756388415672915</c:v>
                </c:pt>
              </c:numCache>
            </c:numRef>
          </c:val>
          <c:smooth val="0"/>
          <c:extLst>
            <c:ext xmlns:c16="http://schemas.microsoft.com/office/drawing/2014/chart" uri="{C3380CC4-5D6E-409C-BE32-E72D297353CC}">
              <c16:uniqueId val="{00000008-8ADA-4329-BD34-A67E8DD0B589}"/>
            </c:ext>
          </c:extLst>
        </c:ser>
        <c:ser>
          <c:idx val="13"/>
          <c:order val="8"/>
          <c:tx>
            <c:strRef>
              <c:f>Referrals!$AK$46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Referrals!$Y$2:$AC$3</c:f>
              <c:strCache>
                <c:ptCount val="5"/>
                <c:pt idx="0">
                  <c:v>2019/20</c:v>
                </c:pt>
                <c:pt idx="1">
                  <c:v>2020/21</c:v>
                </c:pt>
                <c:pt idx="2">
                  <c:v>2021/22</c:v>
                </c:pt>
                <c:pt idx="3">
                  <c:v>2022/23</c:v>
                </c:pt>
                <c:pt idx="4">
                  <c:v>2023/24</c:v>
                </c:pt>
              </c:strCache>
            </c:strRef>
          </c:cat>
          <c:val>
            <c:numRef>
              <c:f>Referrals!$AR$46:$AV$46</c:f>
              <c:numCache>
                <c:formatCode>0.0%</c:formatCode>
                <c:ptCount val="5"/>
                <c:pt idx="0">
                  <c:v>0.90647249190938506</c:v>
                </c:pt>
                <c:pt idx="1">
                  <c:v>0.92927170868347342</c:v>
                </c:pt>
                <c:pt idx="2">
                  <c:v>0.90551181102362199</c:v>
                </c:pt>
                <c:pt idx="3">
                  <c:v>0.9010477299185099</c:v>
                </c:pt>
                <c:pt idx="4">
                  <c:v>0.92324983943481054</c:v>
                </c:pt>
              </c:numCache>
            </c:numRef>
          </c:val>
          <c:smooth val="0"/>
          <c:extLst>
            <c:ext xmlns:c16="http://schemas.microsoft.com/office/drawing/2014/chart" uri="{C3380CC4-5D6E-409C-BE32-E72D297353CC}">
              <c16:uniqueId val="{00000009-8ADA-4329-BD34-A67E8DD0B589}"/>
            </c:ext>
          </c:extLst>
        </c:ser>
        <c:ser>
          <c:idx val="15"/>
          <c:order val="9"/>
          <c:tx>
            <c:strRef>
              <c:f>Referrals!$AK$47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Referrals!$Y$2:$AC$3</c:f>
              <c:strCache>
                <c:ptCount val="5"/>
                <c:pt idx="0">
                  <c:v>2019/20</c:v>
                </c:pt>
                <c:pt idx="1">
                  <c:v>2020/21</c:v>
                </c:pt>
                <c:pt idx="2">
                  <c:v>2021/22</c:v>
                </c:pt>
                <c:pt idx="3">
                  <c:v>2022/23</c:v>
                </c:pt>
                <c:pt idx="4">
                  <c:v>2023/24</c:v>
                </c:pt>
              </c:strCache>
            </c:strRef>
          </c:cat>
          <c:val>
            <c:numRef>
              <c:f>Referrals!$AR$47:$AV$47</c:f>
              <c:numCache>
                <c:formatCode>0.0%</c:formatCode>
                <c:ptCount val="5"/>
                <c:pt idx="0">
                  <c:v>0.92948547054118902</c:v>
                </c:pt>
                <c:pt idx="1">
                  <c:v>0.88067045978779024</c:v>
                </c:pt>
                <c:pt idx="2">
                  <c:v>0.96882458233890212</c:v>
                </c:pt>
                <c:pt idx="3">
                  <c:v>0.95810109552181433</c:v>
                </c:pt>
                <c:pt idx="4">
                  <c:v>0.96314642361799085</c:v>
                </c:pt>
              </c:numCache>
            </c:numRef>
          </c:val>
          <c:smooth val="0"/>
          <c:extLst>
            <c:ext xmlns:c16="http://schemas.microsoft.com/office/drawing/2014/chart" uri="{C3380CC4-5D6E-409C-BE32-E72D297353CC}">
              <c16:uniqueId val="{0000000A-8ADA-4329-BD34-A67E8DD0B589}"/>
            </c:ext>
          </c:extLst>
        </c:ser>
        <c:ser>
          <c:idx val="16"/>
          <c:order val="10"/>
          <c:tx>
            <c:strRef>
              <c:f>Referrals!$AK$48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Referrals!$Y$2:$AC$3</c:f>
              <c:strCache>
                <c:ptCount val="5"/>
                <c:pt idx="0">
                  <c:v>2019/20</c:v>
                </c:pt>
                <c:pt idx="1">
                  <c:v>2020/21</c:v>
                </c:pt>
                <c:pt idx="2">
                  <c:v>2021/22</c:v>
                </c:pt>
                <c:pt idx="3">
                  <c:v>2022/23</c:v>
                </c:pt>
                <c:pt idx="4">
                  <c:v>2023/24</c:v>
                </c:pt>
              </c:strCache>
            </c:strRef>
          </c:cat>
          <c:val>
            <c:numRef>
              <c:f>Referrals!$AR$48:$AV$48</c:f>
              <c:numCache>
                <c:formatCode>0.0%</c:formatCode>
                <c:ptCount val="5"/>
                <c:pt idx="0">
                  <c:v>0.97822822822822819</c:v>
                </c:pt>
                <c:pt idx="1">
                  <c:v>1</c:v>
                </c:pt>
                <c:pt idx="2">
                  <c:v>1</c:v>
                </c:pt>
                <c:pt idx="3">
                  <c:v>1</c:v>
                </c:pt>
                <c:pt idx="4">
                  <c:v>1</c:v>
                </c:pt>
              </c:numCache>
            </c:numRef>
          </c:val>
          <c:smooth val="0"/>
          <c:extLst>
            <c:ext xmlns:c16="http://schemas.microsoft.com/office/drawing/2014/chart" uri="{C3380CC4-5D6E-409C-BE32-E72D297353CC}">
              <c16:uniqueId val="{0000000B-8ADA-4329-BD34-A67E8DD0B589}"/>
            </c:ext>
          </c:extLst>
        </c:ser>
        <c:ser>
          <c:idx val="17"/>
          <c:order val="11"/>
          <c:tx>
            <c:strRef>
              <c:f>Referrals!$AK$49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Referrals!$Y$2:$AC$3</c:f>
              <c:strCache>
                <c:ptCount val="5"/>
                <c:pt idx="0">
                  <c:v>2019/20</c:v>
                </c:pt>
                <c:pt idx="1">
                  <c:v>2020/21</c:v>
                </c:pt>
                <c:pt idx="2">
                  <c:v>2021/22</c:v>
                </c:pt>
                <c:pt idx="3">
                  <c:v>2022/23</c:v>
                </c:pt>
                <c:pt idx="4">
                  <c:v>2023/24</c:v>
                </c:pt>
              </c:strCache>
            </c:strRef>
          </c:cat>
          <c:val>
            <c:numRef>
              <c:f>Referrals!$AR$49:$AV$49</c:f>
              <c:numCache>
                <c:formatCode>0.0%</c:formatCode>
                <c:ptCount val="5"/>
                <c:pt idx="0">
                  <c:v>0.99063962558502339</c:v>
                </c:pt>
                <c:pt idx="1">
                  <c:v>0.99161518093556933</c:v>
                </c:pt>
                <c:pt idx="2">
                  <c:v>0.98979175173540224</c:v>
                </c:pt>
                <c:pt idx="3">
                  <c:v>0.93703833978192053</c:v>
                </c:pt>
                <c:pt idx="4">
                  <c:v>0.94105894105894106</c:v>
                </c:pt>
              </c:numCache>
            </c:numRef>
          </c:val>
          <c:smooth val="0"/>
          <c:extLst>
            <c:ext xmlns:c16="http://schemas.microsoft.com/office/drawing/2014/chart" uri="{C3380CC4-5D6E-409C-BE32-E72D297353CC}">
              <c16:uniqueId val="{0000000C-8ADA-4329-BD34-A67E8DD0B589}"/>
            </c:ext>
          </c:extLst>
        </c:ser>
        <c:ser>
          <c:idx val="19"/>
          <c:order val="12"/>
          <c:tx>
            <c:strRef>
              <c:f>Referrals!$AK$50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Referrals!$Y$2:$AC$3</c:f>
              <c:strCache>
                <c:ptCount val="5"/>
                <c:pt idx="0">
                  <c:v>2019/20</c:v>
                </c:pt>
                <c:pt idx="1">
                  <c:v>2020/21</c:v>
                </c:pt>
                <c:pt idx="2">
                  <c:v>2021/22</c:v>
                </c:pt>
                <c:pt idx="3">
                  <c:v>2022/23</c:v>
                </c:pt>
                <c:pt idx="4">
                  <c:v>2023/24</c:v>
                </c:pt>
              </c:strCache>
            </c:strRef>
          </c:cat>
          <c:val>
            <c:numRef>
              <c:f>Referrals!$AR$50:$AV$50</c:f>
              <c:numCache>
                <c:formatCode>0.0%</c:formatCode>
                <c:ptCount val="5"/>
                <c:pt idx="0">
                  <c:v>0.971259842519685</c:v>
                </c:pt>
                <c:pt idx="1">
                  <c:v>0.98903703703703705</c:v>
                </c:pt>
                <c:pt idx="2">
                  <c:v>0.99812675616609425</c:v>
                </c:pt>
                <c:pt idx="3">
                  <c:v>0.9970734562481709</c:v>
                </c:pt>
                <c:pt idx="4">
                  <c:v>0.9949419815531092</c:v>
                </c:pt>
              </c:numCache>
            </c:numRef>
          </c:val>
          <c:smooth val="0"/>
          <c:extLst>
            <c:ext xmlns:c16="http://schemas.microsoft.com/office/drawing/2014/chart" uri="{C3380CC4-5D6E-409C-BE32-E72D297353CC}">
              <c16:uniqueId val="{0000000D-8ADA-4329-BD34-A67E8DD0B589}"/>
            </c:ext>
          </c:extLst>
        </c:ser>
        <c:ser>
          <c:idx val="20"/>
          <c:order val="13"/>
          <c:tx>
            <c:strRef>
              <c:f>Referrals!$AK$51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Referrals!$Y$2:$AC$3</c:f>
              <c:strCache>
                <c:ptCount val="5"/>
                <c:pt idx="0">
                  <c:v>2019/20</c:v>
                </c:pt>
                <c:pt idx="1">
                  <c:v>2020/21</c:v>
                </c:pt>
                <c:pt idx="2">
                  <c:v>2021/22</c:v>
                </c:pt>
                <c:pt idx="3">
                  <c:v>2022/23</c:v>
                </c:pt>
                <c:pt idx="4">
                  <c:v>2023/24</c:v>
                </c:pt>
              </c:strCache>
            </c:strRef>
          </c:cat>
          <c:val>
            <c:numRef>
              <c:f>Referrals!$AR$51:$AV$51</c:f>
              <c:numCache>
                <c:formatCode>0.0%</c:formatCode>
                <c:ptCount val="5"/>
                <c:pt idx="0">
                  <c:v>0.81714876033057848</c:v>
                </c:pt>
                <c:pt idx="1">
                  <c:v>0.82111436950146632</c:v>
                </c:pt>
                <c:pt idx="2">
                  <c:v>0.88186813186813184</c:v>
                </c:pt>
                <c:pt idx="3">
                  <c:v>0.85748598879103277</c:v>
                </c:pt>
                <c:pt idx="4">
                  <c:v>0.91402714932126694</c:v>
                </c:pt>
              </c:numCache>
            </c:numRef>
          </c:val>
          <c:smooth val="0"/>
          <c:extLst>
            <c:ext xmlns:c16="http://schemas.microsoft.com/office/drawing/2014/chart" uri="{C3380CC4-5D6E-409C-BE32-E72D297353CC}">
              <c16:uniqueId val="{0000000F-8ADA-4329-BD34-A67E8DD0B589}"/>
            </c:ext>
          </c:extLst>
        </c:ser>
        <c:ser>
          <c:idx val="22"/>
          <c:order val="14"/>
          <c:tx>
            <c:strRef>
              <c:f>Referrals!$AK$52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Referrals!$Y$2:$AC$3</c:f>
              <c:strCache>
                <c:ptCount val="5"/>
                <c:pt idx="0">
                  <c:v>2019/20</c:v>
                </c:pt>
                <c:pt idx="1">
                  <c:v>2020/21</c:v>
                </c:pt>
                <c:pt idx="2">
                  <c:v>2021/22</c:v>
                </c:pt>
                <c:pt idx="3">
                  <c:v>2022/23</c:v>
                </c:pt>
                <c:pt idx="4">
                  <c:v>2023/24</c:v>
                </c:pt>
              </c:strCache>
            </c:strRef>
          </c:cat>
          <c:val>
            <c:numRef>
              <c:f>Referrals!$AR$52:$AV$52</c:f>
              <c:numCache>
                <c:formatCode>0.0%</c:formatCode>
                <c:ptCount val="5"/>
                <c:pt idx="0">
                  <c:v>0.96818875454865594</c:v>
                </c:pt>
                <c:pt idx="1">
                  <c:v>0.94044879171461448</c:v>
                </c:pt>
                <c:pt idx="2">
                  <c:v>0.87195583937655585</c:v>
                </c:pt>
                <c:pt idx="3">
                  <c:v>0.95107549557148885</c:v>
                </c:pt>
                <c:pt idx="4">
                  <c:v>0.93243946888831031</c:v>
                </c:pt>
              </c:numCache>
            </c:numRef>
          </c:val>
          <c:smooth val="0"/>
          <c:extLst>
            <c:ext xmlns:c16="http://schemas.microsoft.com/office/drawing/2014/chart" uri="{C3380CC4-5D6E-409C-BE32-E72D297353CC}">
              <c16:uniqueId val="{00000010-8ADA-4329-BD34-A67E8DD0B589}"/>
            </c:ext>
          </c:extLst>
        </c:ser>
        <c:ser>
          <c:idx val="23"/>
          <c:order val="15"/>
          <c:tx>
            <c:strRef>
              <c:f>Referrals!$AK$53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Referrals!$Y$2:$AC$3</c:f>
              <c:strCache>
                <c:ptCount val="5"/>
                <c:pt idx="0">
                  <c:v>2019/20</c:v>
                </c:pt>
                <c:pt idx="1">
                  <c:v>2020/21</c:v>
                </c:pt>
                <c:pt idx="2">
                  <c:v>2021/22</c:v>
                </c:pt>
                <c:pt idx="3">
                  <c:v>2022/23</c:v>
                </c:pt>
                <c:pt idx="4">
                  <c:v>2023/24</c:v>
                </c:pt>
              </c:strCache>
            </c:strRef>
          </c:cat>
          <c:val>
            <c:numRef>
              <c:f>Referrals!$AR$53:$AV$53</c:f>
              <c:numCache>
                <c:formatCode>0.0%</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13-8ADA-4329-BD34-A67E8DD0B589}"/>
            </c:ext>
          </c:extLst>
        </c:ser>
        <c:ser>
          <c:idx val="24"/>
          <c:order val="16"/>
          <c:tx>
            <c:strRef>
              <c:f>Referrals!$AK$54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Referrals!$Y$2:$AC$3</c:f>
              <c:strCache>
                <c:ptCount val="5"/>
                <c:pt idx="0">
                  <c:v>2019/20</c:v>
                </c:pt>
                <c:pt idx="1">
                  <c:v>2020/21</c:v>
                </c:pt>
                <c:pt idx="2">
                  <c:v>2021/22</c:v>
                </c:pt>
                <c:pt idx="3">
                  <c:v>2022/23</c:v>
                </c:pt>
                <c:pt idx="4">
                  <c:v>2023/24</c:v>
                </c:pt>
              </c:strCache>
            </c:strRef>
          </c:cat>
          <c:val>
            <c:numRef>
              <c:f>Referrals!$AR$54:$AV$54</c:f>
              <c:numCache>
                <c:formatCode>0.0%</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14-8ADA-4329-BD34-A67E8DD0B589}"/>
            </c:ext>
          </c:extLst>
        </c:ser>
        <c:ser>
          <c:idx val="25"/>
          <c:order val="17"/>
          <c:tx>
            <c:strRef>
              <c:f>Referrals!$AK$55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Referrals!$Y$2:$AC$3</c:f>
              <c:strCache>
                <c:ptCount val="5"/>
                <c:pt idx="0">
                  <c:v>2019/20</c:v>
                </c:pt>
                <c:pt idx="1">
                  <c:v>2020/21</c:v>
                </c:pt>
                <c:pt idx="2">
                  <c:v>2021/22</c:v>
                </c:pt>
                <c:pt idx="3">
                  <c:v>2022/23</c:v>
                </c:pt>
                <c:pt idx="4">
                  <c:v>2023/24</c:v>
                </c:pt>
              </c:strCache>
            </c:strRef>
          </c:cat>
          <c:val>
            <c:numRef>
              <c:f>Referrals!$AR$55:$AV$55</c:f>
              <c:numCache>
                <c:formatCode>0.0%</c:formatCode>
                <c:ptCount val="5"/>
                <c:pt idx="0">
                  <c:v>0.94321533923303835</c:v>
                </c:pt>
                <c:pt idx="1">
                  <c:v>0.95746117488183657</c:v>
                </c:pt>
                <c:pt idx="2">
                  <c:v>0.97883295194508013</c:v>
                </c:pt>
                <c:pt idx="3">
                  <c:v>0.96140172676485525</c:v>
                </c:pt>
                <c:pt idx="4">
                  <c:v>0.94484280198565918</c:v>
                </c:pt>
              </c:numCache>
            </c:numRef>
          </c:val>
          <c:smooth val="0"/>
          <c:extLst>
            <c:ext xmlns:c16="http://schemas.microsoft.com/office/drawing/2014/chart" uri="{C3380CC4-5D6E-409C-BE32-E72D297353CC}">
              <c16:uniqueId val="{00000015-8ADA-4329-BD34-A67E8DD0B589}"/>
            </c:ext>
          </c:extLst>
        </c:ser>
        <c:ser>
          <c:idx val="26"/>
          <c:order val="18"/>
          <c:tx>
            <c:strRef>
              <c:f>Referrals!$AK$56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Referrals!$Y$2:$AC$3</c:f>
              <c:strCache>
                <c:ptCount val="5"/>
                <c:pt idx="0">
                  <c:v>2019/20</c:v>
                </c:pt>
                <c:pt idx="1">
                  <c:v>2020/21</c:v>
                </c:pt>
                <c:pt idx="2">
                  <c:v>2021/22</c:v>
                </c:pt>
                <c:pt idx="3">
                  <c:v>2022/23</c:v>
                </c:pt>
                <c:pt idx="4">
                  <c:v>2023/24</c:v>
                </c:pt>
              </c:strCache>
            </c:strRef>
          </c:cat>
          <c:val>
            <c:numRef>
              <c:f>Referrals!$AR$56:$AV$56</c:f>
              <c:numCache>
                <c:formatCode>0.0%</c:formatCode>
                <c:ptCount val="5"/>
                <c:pt idx="0">
                  <c:v>0.9751972942502819</c:v>
                </c:pt>
                <c:pt idx="1">
                  <c:v>0.97255192878338281</c:v>
                </c:pt>
                <c:pt idx="2">
                  <c:v>0.96337475474166123</c:v>
                </c:pt>
                <c:pt idx="3">
                  <c:v>0.86123210952084628</c:v>
                </c:pt>
                <c:pt idx="4">
                  <c:v>0.95025839793281652</c:v>
                </c:pt>
              </c:numCache>
            </c:numRef>
          </c:val>
          <c:smooth val="0"/>
          <c:extLst>
            <c:ext xmlns:c16="http://schemas.microsoft.com/office/drawing/2014/chart" uri="{C3380CC4-5D6E-409C-BE32-E72D297353CC}">
              <c16:uniqueId val="{00000016-8ADA-4329-BD34-A67E8DD0B589}"/>
            </c:ext>
          </c:extLst>
        </c:ser>
        <c:ser>
          <c:idx val="4"/>
          <c:order val="19"/>
          <c:tx>
            <c:strRef>
              <c:f>Referrals!$AK$57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Referrals!$Y$2:$AC$3</c:f>
              <c:strCache>
                <c:ptCount val="5"/>
                <c:pt idx="0">
                  <c:v>2019/20</c:v>
                </c:pt>
                <c:pt idx="1">
                  <c:v>2020/21</c:v>
                </c:pt>
                <c:pt idx="2">
                  <c:v>2021/22</c:v>
                </c:pt>
                <c:pt idx="3">
                  <c:v>2022/23</c:v>
                </c:pt>
                <c:pt idx="4">
                  <c:v>2023/24</c:v>
                </c:pt>
              </c:strCache>
            </c:strRef>
          </c:cat>
          <c:val>
            <c:numRef>
              <c:f>Referrals!$AR$57:$AV$57</c:f>
              <c:numCache>
                <c:formatCode>0.0%</c:formatCode>
                <c:ptCount val="5"/>
                <c:pt idx="0">
                  <c:v>0.93181758604720255</c:v>
                </c:pt>
                <c:pt idx="1">
                  <c:v>0.91052806794972152</c:v>
                </c:pt>
                <c:pt idx="2">
                  <c:v>0.90020966051124907</c:v>
                </c:pt>
                <c:pt idx="3">
                  <c:v>0.88094674556213015</c:v>
                </c:pt>
                <c:pt idx="4">
                  <c:v>0.92592592592592593</c:v>
                </c:pt>
              </c:numCache>
            </c:numRef>
          </c:val>
          <c:smooth val="0"/>
          <c:extLst>
            <c:ext xmlns:c16="http://schemas.microsoft.com/office/drawing/2014/chart" uri="{C3380CC4-5D6E-409C-BE32-E72D297353CC}">
              <c16:uniqueId val="{00000017-8ADA-4329-BD34-A67E8DD0B589}"/>
            </c:ext>
          </c:extLst>
        </c:ser>
        <c:ser>
          <c:idx val="14"/>
          <c:order val="20"/>
          <c:tx>
            <c:strRef>
              <c:f>Referrals!$AK$58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Referrals!$Y$2:$AC$3</c:f>
              <c:strCache>
                <c:ptCount val="5"/>
                <c:pt idx="0">
                  <c:v>2019/20</c:v>
                </c:pt>
                <c:pt idx="1">
                  <c:v>2020/21</c:v>
                </c:pt>
                <c:pt idx="2">
                  <c:v>2021/22</c:v>
                </c:pt>
                <c:pt idx="3">
                  <c:v>2022/23</c:v>
                </c:pt>
                <c:pt idx="4">
                  <c:v>2023/24</c:v>
                </c:pt>
              </c:strCache>
            </c:strRef>
          </c:cat>
          <c:val>
            <c:numRef>
              <c:f>Referrals!$AR$58:$AV$58</c:f>
              <c:numCache>
                <c:formatCode>0.0%</c:formatCode>
                <c:ptCount val="5"/>
                <c:pt idx="0">
                  <c:v>0.93716756353230268</c:v>
                </c:pt>
                <c:pt idx="1">
                  <c:v>0.94041086723768741</c:v>
                </c:pt>
                <c:pt idx="2">
                  <c:v>0.92398542144032481</c:v>
                </c:pt>
                <c:pt idx="3">
                  <c:v>0.92920381618600001</c:v>
                </c:pt>
                <c:pt idx="4">
                  <c:v>0.93741557856821256</c:v>
                </c:pt>
              </c:numCache>
            </c:numRef>
          </c:val>
          <c:smooth val="0"/>
          <c:extLst>
            <c:ext xmlns:c16="http://schemas.microsoft.com/office/drawing/2014/chart" uri="{C3380CC4-5D6E-409C-BE32-E72D297353CC}">
              <c16:uniqueId val="{00000018-8ADA-4329-BD34-A67E8DD0B589}"/>
            </c:ext>
          </c:extLst>
        </c:ser>
        <c:ser>
          <c:idx val="6"/>
          <c:order val="21"/>
          <c:tx>
            <c:strRef>
              <c:f>Referrals!$AK$59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Referrals!$Y$2:$AC$3</c:f>
              <c:strCache>
                <c:ptCount val="5"/>
                <c:pt idx="0">
                  <c:v>2019/20</c:v>
                </c:pt>
                <c:pt idx="1">
                  <c:v>2020/21</c:v>
                </c:pt>
                <c:pt idx="2">
                  <c:v>2021/22</c:v>
                </c:pt>
                <c:pt idx="3">
                  <c:v>2022/23</c:v>
                </c:pt>
                <c:pt idx="4">
                  <c:v>2023/24</c:v>
                </c:pt>
              </c:strCache>
            </c:strRef>
          </c:cat>
          <c:val>
            <c:numRef>
              <c:f>Referrals!$AR$59:$AV$59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8ADA-4329-BD34-A67E8DD0B589}"/>
            </c:ext>
          </c:extLst>
        </c:ser>
        <c:dLbls>
          <c:showLegendKey val="0"/>
          <c:showVal val="0"/>
          <c:showCatName val="0"/>
          <c:showSerName val="0"/>
          <c:showPercent val="0"/>
          <c:showBubbleSize val="0"/>
        </c:dLbls>
        <c:marker val="1"/>
        <c:smooth val="0"/>
        <c:axId val="528291712"/>
        <c:axId val="528302080"/>
      </c:lineChart>
      <c:catAx>
        <c:axId val="528291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302080"/>
        <c:crosses val="autoZero"/>
        <c:auto val="1"/>
        <c:lblAlgn val="ctr"/>
        <c:lblOffset val="100"/>
        <c:tickLblSkip val="1"/>
        <c:tickMarkSkip val="1"/>
        <c:noMultiLvlLbl val="0"/>
      </c:catAx>
      <c:valAx>
        <c:axId val="52830208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29171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89749785081774403"/>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Initial CP Conferences, per 10,000 0-17 year olds</a:t>
            </a:r>
          </a:p>
        </c:rich>
      </c:tx>
      <c:layout>
        <c:manualLayout>
          <c:xMode val="edge"/>
          <c:yMode val="edge"/>
          <c:x val="0.10611211560143805"/>
          <c:y val="1.0531740794488318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313872900079858"/>
        </c:manualLayout>
      </c:layout>
      <c:lineChart>
        <c:grouping val="standard"/>
        <c:varyColors val="0"/>
        <c:ser>
          <c:idx val="0"/>
          <c:order val="0"/>
          <c:tx>
            <c:strRef>
              <c:f>'Initial CP Conferences'!$AK$38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8F3F-4911-8295-9917833EA440}"/>
              </c:ext>
            </c:extLst>
          </c:dPt>
          <c:cat>
            <c:strRef>
              <c:f>'Initial CP Conferences'!$Y$2:$AC$3</c:f>
              <c:strCache>
                <c:ptCount val="5"/>
                <c:pt idx="0">
                  <c:v>2019/20</c:v>
                </c:pt>
                <c:pt idx="1">
                  <c:v>2020/21</c:v>
                </c:pt>
                <c:pt idx="2">
                  <c:v>2021/22</c:v>
                </c:pt>
                <c:pt idx="3">
                  <c:v>2022/23</c:v>
                </c:pt>
                <c:pt idx="4">
                  <c:v>2023/24</c:v>
                </c:pt>
              </c:strCache>
            </c:strRef>
          </c:cat>
          <c:val>
            <c:numRef>
              <c:f>'Initial CP Conferences'!$AL$38:$AP$38</c:f>
              <c:numCache>
                <c:formatCode>0.0</c:formatCode>
                <c:ptCount val="5"/>
                <c:pt idx="0">
                  <c:v>94.1460912887391</c:v>
                </c:pt>
                <c:pt idx="1">
                  <c:v>96.035370007972745</c:v>
                </c:pt>
                <c:pt idx="2">
                  <c:v>99.198504834130034</c:v>
                </c:pt>
                <c:pt idx="3">
                  <c:v>86.480762442640298</c:v>
                </c:pt>
                <c:pt idx="4">
                  <c:v>48.521660208747861</c:v>
                </c:pt>
              </c:numCache>
            </c:numRef>
          </c:val>
          <c:smooth val="0"/>
          <c:extLst>
            <c:ext xmlns:c16="http://schemas.microsoft.com/office/drawing/2014/chart" uri="{C3380CC4-5D6E-409C-BE32-E72D297353CC}">
              <c16:uniqueId val="{00000001-8F3F-4911-8295-9917833EA440}"/>
            </c:ext>
          </c:extLst>
        </c:ser>
        <c:ser>
          <c:idx val="1"/>
          <c:order val="1"/>
          <c:tx>
            <c:strRef>
              <c:f>'Initial CP Conferences'!$AK$39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Conferences'!$AL$39:$AP$39</c:f>
              <c:numCache>
                <c:formatCode>0.0</c:formatCode>
                <c:ptCount val="5"/>
                <c:pt idx="0">
                  <c:v>96.277013346555918</c:v>
                </c:pt>
                <c:pt idx="1">
                  <c:v>78.809106830122587</c:v>
                </c:pt>
                <c:pt idx="2">
                  <c:v>82.758620689655174</c:v>
                </c:pt>
                <c:pt idx="3">
                  <c:v>79.338141705557902</c:v>
                </c:pt>
                <c:pt idx="4">
                  <c:v>73.501050015000217</c:v>
                </c:pt>
              </c:numCache>
            </c:numRef>
          </c:val>
          <c:smooth val="0"/>
          <c:extLst>
            <c:ext xmlns:c16="http://schemas.microsoft.com/office/drawing/2014/chart" uri="{C3380CC4-5D6E-409C-BE32-E72D297353CC}">
              <c16:uniqueId val="{00000002-8F3F-4911-8295-9917833EA440}"/>
            </c:ext>
          </c:extLst>
        </c:ser>
        <c:ser>
          <c:idx val="2"/>
          <c:order val="2"/>
          <c:tx>
            <c:strRef>
              <c:f>'Initial CP Conferences'!$AK$40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Conferences'!$AL$40:$AP$40</c:f>
              <c:numCache>
                <c:formatCode>0.0</c:formatCode>
                <c:ptCount val="5"/>
                <c:pt idx="0">
                  <c:v>70.16710742854336</c:v>
                </c:pt>
                <c:pt idx="1">
                  <c:v>56.002285807583988</c:v>
                </c:pt>
                <c:pt idx="2">
                  <c:v>84.608533721965827</c:v>
                </c:pt>
                <c:pt idx="3">
                  <c:v>56.546082674820312</c:v>
                </c:pt>
                <c:pt idx="4">
                  <c:v>50.777331995987964</c:v>
                </c:pt>
              </c:numCache>
            </c:numRef>
          </c:val>
          <c:smooth val="0"/>
          <c:extLst>
            <c:ext xmlns:c16="http://schemas.microsoft.com/office/drawing/2014/chart" uri="{C3380CC4-5D6E-409C-BE32-E72D297353CC}">
              <c16:uniqueId val="{00000003-8F3F-4911-8295-9917833EA440}"/>
            </c:ext>
          </c:extLst>
        </c:ser>
        <c:ser>
          <c:idx val="5"/>
          <c:order val="3"/>
          <c:tx>
            <c:strRef>
              <c:f>'Initial CP Conferences'!$AK$41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Conferences'!$AL$41:$AP$41</c:f>
              <c:numCache>
                <c:formatCode>0.0</c:formatCode>
                <c:ptCount val="5"/>
                <c:pt idx="0">
                  <c:v>66.75022590141954</c:v>
                </c:pt>
                <c:pt idx="1">
                  <c:v>73.326238295628741</c:v>
                </c:pt>
                <c:pt idx="2">
                  <c:v>67.772339862101433</c:v>
                </c:pt>
                <c:pt idx="3">
                  <c:v>79.844395818137613</c:v>
                </c:pt>
                <c:pt idx="4">
                  <c:v>79.628592938632906</c:v>
                </c:pt>
              </c:numCache>
            </c:numRef>
          </c:val>
          <c:smooth val="0"/>
          <c:extLst>
            <c:ext xmlns:c16="http://schemas.microsoft.com/office/drawing/2014/chart" uri="{C3380CC4-5D6E-409C-BE32-E72D297353CC}">
              <c16:uniqueId val="{00000004-8F3F-4911-8295-9917833EA440}"/>
            </c:ext>
          </c:extLst>
        </c:ser>
        <c:ser>
          <c:idx val="9"/>
          <c:order val="4"/>
          <c:tx>
            <c:strRef>
              <c:f>'Initial CP Conferences'!$AK$42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Conferences'!$AL$42:$AP$42</c:f>
              <c:numCache>
                <c:formatCode>0.0</c:formatCode>
                <c:ptCount val="5"/>
                <c:pt idx="0">
                  <c:v>56.74088923892031</c:v>
                </c:pt>
                <c:pt idx="1">
                  <c:v>61.007027437060792</c:v>
                </c:pt>
                <c:pt idx="2">
                  <c:v>58.164162475216159</c:v>
                </c:pt>
                <c:pt idx="3">
                  <c:v>58.697576961201037</c:v>
                </c:pt>
                <c:pt idx="4">
                  <c:v>#N/A</c:v>
                </c:pt>
              </c:numCache>
            </c:numRef>
          </c:val>
          <c:smooth val="0"/>
          <c:extLst>
            <c:ext xmlns:c16="http://schemas.microsoft.com/office/drawing/2014/chart" uri="{C3380CC4-5D6E-409C-BE32-E72D297353CC}">
              <c16:uniqueId val="{00000005-8F3F-4911-8295-9917833EA440}"/>
            </c:ext>
          </c:extLst>
        </c:ser>
        <c:ser>
          <c:idx val="10"/>
          <c:order val="5"/>
          <c:tx>
            <c:strRef>
              <c:f>'Initial CP Conferences'!$AK$43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Conferences'!$AL$43:$AP$43</c:f>
              <c:numCache>
                <c:formatCode>0.0</c:formatCode>
                <c:ptCount val="5"/>
                <c:pt idx="0">
                  <c:v>63.371877700506154</c:v>
                </c:pt>
                <c:pt idx="1">
                  <c:v>107.56738657291143</c:v>
                </c:pt>
                <c:pt idx="2">
                  <c:v>115.92486038246741</c:v>
                </c:pt>
                <c:pt idx="3">
                  <c:v>138.94790515849408</c:v>
                </c:pt>
                <c:pt idx="4">
                  <c:v>117.7574878402594</c:v>
                </c:pt>
              </c:numCache>
            </c:numRef>
          </c:val>
          <c:smooth val="0"/>
          <c:extLst>
            <c:ext xmlns:c16="http://schemas.microsoft.com/office/drawing/2014/chart" uri="{C3380CC4-5D6E-409C-BE32-E72D297353CC}">
              <c16:uniqueId val="{00000006-8F3F-4911-8295-9917833EA440}"/>
            </c:ext>
          </c:extLst>
        </c:ser>
        <c:ser>
          <c:idx val="11"/>
          <c:order val="6"/>
          <c:tx>
            <c:strRef>
              <c:f>'Initial CP Conferences'!$AK$44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Conferences'!$AL$44:$AP$44</c:f>
              <c:numCache>
                <c:formatCode>0.0</c:formatCode>
                <c:ptCount val="5"/>
                <c:pt idx="0">
                  <c:v>51.1485166930159</c:v>
                </c:pt>
                <c:pt idx="1">
                  <c:v>44.793435877807809</c:v>
                </c:pt>
                <c:pt idx="2">
                  <c:v>50.462523542730992</c:v>
                </c:pt>
                <c:pt idx="3">
                  <c:v>52.004036656575025</c:v>
                </c:pt>
                <c:pt idx="4">
                  <c:v>44.727443932799744</c:v>
                </c:pt>
              </c:numCache>
            </c:numRef>
          </c:val>
          <c:smooth val="0"/>
          <c:extLst>
            <c:ext xmlns:c16="http://schemas.microsoft.com/office/drawing/2014/chart" uri="{C3380CC4-5D6E-409C-BE32-E72D297353CC}">
              <c16:uniqueId val="{00000007-8F3F-4911-8295-9917833EA440}"/>
            </c:ext>
          </c:extLst>
        </c:ser>
        <c:ser>
          <c:idx val="12"/>
          <c:order val="7"/>
          <c:tx>
            <c:strRef>
              <c:f>'Initial CP Conferences'!$AK$45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Conferences'!$AL$45:$AP$45</c:f>
              <c:numCache>
                <c:formatCode>0.0</c:formatCode>
                <c:ptCount val="5"/>
                <c:pt idx="0">
                  <c:v>104.75562256564895</c:v>
                </c:pt>
                <c:pt idx="1">
                  <c:v>41.918517937043724</c:v>
                </c:pt>
                <c:pt idx="2">
                  <c:v>48.889794255449175</c:v>
                </c:pt>
                <c:pt idx="3">
                  <c:v>71.280117004079742</c:v>
                </c:pt>
                <c:pt idx="4">
                  <c:v>71.228275376010316</c:v>
                </c:pt>
              </c:numCache>
            </c:numRef>
          </c:val>
          <c:smooth val="0"/>
          <c:extLst>
            <c:ext xmlns:c16="http://schemas.microsoft.com/office/drawing/2014/chart" uri="{C3380CC4-5D6E-409C-BE32-E72D297353CC}">
              <c16:uniqueId val="{00000008-8F3F-4911-8295-9917833EA440}"/>
            </c:ext>
          </c:extLst>
        </c:ser>
        <c:ser>
          <c:idx val="13"/>
          <c:order val="8"/>
          <c:tx>
            <c:strRef>
              <c:f>'Initial CP Conferences'!$AK$46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Conferences'!$AL$46:$AP$46</c:f>
              <c:numCache>
                <c:formatCode>0.0</c:formatCode>
                <c:ptCount val="5"/>
                <c:pt idx="0">
                  <c:v>38.095513999739275</c:v>
                </c:pt>
                <c:pt idx="1">
                  <c:v>38.669648654498232</c:v>
                </c:pt>
                <c:pt idx="2">
                  <c:v>41.932936023551378</c:v>
                </c:pt>
                <c:pt idx="3">
                  <c:v>45.947202999253008</c:v>
                </c:pt>
                <c:pt idx="4">
                  <c:v>46.018379878291682</c:v>
                </c:pt>
              </c:numCache>
            </c:numRef>
          </c:val>
          <c:smooth val="0"/>
          <c:extLst>
            <c:ext xmlns:c16="http://schemas.microsoft.com/office/drawing/2014/chart" uri="{C3380CC4-5D6E-409C-BE32-E72D297353CC}">
              <c16:uniqueId val="{00000009-8F3F-4911-8295-9917833EA440}"/>
            </c:ext>
          </c:extLst>
        </c:ser>
        <c:ser>
          <c:idx val="15"/>
          <c:order val="9"/>
          <c:tx>
            <c:strRef>
              <c:f>'Initial CP Conferences'!$AK$47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Conferences'!$AL$47:$AP$47</c:f>
              <c:numCache>
                <c:formatCode>0.0</c:formatCode>
                <c:ptCount val="5"/>
                <c:pt idx="0">
                  <c:v>59.960257289048599</c:v>
                </c:pt>
                <c:pt idx="1">
                  <c:v>53.298810761677188</c:v>
                </c:pt>
                <c:pt idx="2">
                  <c:v>57.26273207464655</c:v>
                </c:pt>
                <c:pt idx="3">
                  <c:v>55.169923363961004</c:v>
                </c:pt>
                <c:pt idx="4">
                  <c:v>48.785285728336774</c:v>
                </c:pt>
              </c:numCache>
            </c:numRef>
          </c:val>
          <c:smooth val="0"/>
          <c:extLst>
            <c:ext xmlns:c16="http://schemas.microsoft.com/office/drawing/2014/chart" uri="{C3380CC4-5D6E-409C-BE32-E72D297353CC}">
              <c16:uniqueId val="{0000000A-8F3F-4911-8295-9917833EA440}"/>
            </c:ext>
          </c:extLst>
        </c:ser>
        <c:ser>
          <c:idx val="16"/>
          <c:order val="10"/>
          <c:tx>
            <c:strRef>
              <c:f>'Initial CP Conferences'!$AK$48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Conferences'!$AL$48:$AP$48</c:f>
              <c:numCache>
                <c:formatCode>0.0</c:formatCode>
                <c:ptCount val="5"/>
                <c:pt idx="0">
                  <c:v>80.413008826398311</c:v>
                </c:pt>
                <c:pt idx="1">
                  <c:v>85.27409530634182</c:v>
                </c:pt>
                <c:pt idx="2">
                  <c:v>67.556156054720489</c:v>
                </c:pt>
                <c:pt idx="3">
                  <c:v>65.916744286021355</c:v>
                </c:pt>
                <c:pt idx="4">
                  <c:v>80.601318930673401</c:v>
                </c:pt>
              </c:numCache>
            </c:numRef>
          </c:val>
          <c:smooth val="0"/>
          <c:extLst>
            <c:ext xmlns:c16="http://schemas.microsoft.com/office/drawing/2014/chart" uri="{C3380CC4-5D6E-409C-BE32-E72D297353CC}">
              <c16:uniqueId val="{0000000B-8F3F-4911-8295-9917833EA440}"/>
            </c:ext>
          </c:extLst>
        </c:ser>
        <c:ser>
          <c:idx val="17"/>
          <c:order val="11"/>
          <c:tx>
            <c:strRef>
              <c:f>'Initial CP Conferences'!$AK$49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Conferences'!$AL$49:$AP$49</c:f>
              <c:numCache>
                <c:formatCode>0.0</c:formatCode>
                <c:ptCount val="5"/>
                <c:pt idx="0">
                  <c:v>86.686470429381586</c:v>
                </c:pt>
                <c:pt idx="1">
                  <c:v>103.86519163668822</c:v>
                </c:pt>
                <c:pt idx="2">
                  <c:v>99.631199427533431</c:v>
                </c:pt>
                <c:pt idx="3">
                  <c:v>90.98228663446055</c:v>
                </c:pt>
                <c:pt idx="4">
                  <c:v>81.468006011231509</c:v>
                </c:pt>
              </c:numCache>
            </c:numRef>
          </c:val>
          <c:smooth val="0"/>
          <c:extLst>
            <c:ext xmlns:c16="http://schemas.microsoft.com/office/drawing/2014/chart" uri="{C3380CC4-5D6E-409C-BE32-E72D297353CC}">
              <c16:uniqueId val="{0000000C-8F3F-4911-8295-9917833EA440}"/>
            </c:ext>
          </c:extLst>
        </c:ser>
        <c:ser>
          <c:idx val="19"/>
          <c:order val="12"/>
          <c:tx>
            <c:strRef>
              <c:f>'Initial CP Conferences'!$AK$50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Conferences'!$AL$50:$AP$50</c:f>
              <c:numCache>
                <c:formatCode>0.0</c:formatCode>
                <c:ptCount val="5"/>
                <c:pt idx="0">
                  <c:v>89.238482945789926</c:v>
                </c:pt>
                <c:pt idx="1">
                  <c:v>101.82232346241459</c:v>
                </c:pt>
                <c:pt idx="2">
                  <c:v>89.169353179230399</c:v>
                </c:pt>
                <c:pt idx="3">
                  <c:v>83.615819209039557</c:v>
                </c:pt>
                <c:pt idx="4">
                  <c:v>70.012709313474105</c:v>
                </c:pt>
              </c:numCache>
            </c:numRef>
          </c:val>
          <c:smooth val="0"/>
          <c:extLst>
            <c:ext xmlns:c16="http://schemas.microsoft.com/office/drawing/2014/chart" uri="{C3380CC4-5D6E-409C-BE32-E72D297353CC}">
              <c16:uniqueId val="{0000000D-8F3F-4911-8295-9917833EA440}"/>
            </c:ext>
          </c:extLst>
        </c:ser>
        <c:ser>
          <c:idx val="20"/>
          <c:order val="13"/>
          <c:tx>
            <c:strRef>
              <c:f>'Initial CP Conferences'!$AK$51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Conferences'!$AL$51:$AP$51</c:f>
              <c:numCache>
                <c:formatCode>0.0</c:formatCode>
                <c:ptCount val="5"/>
                <c:pt idx="0">
                  <c:v>141.76816971848027</c:v>
                </c:pt>
                <c:pt idx="1">
                  <c:v>106.76156583629894</c:v>
                </c:pt>
                <c:pt idx="2">
                  <c:v>127.76382927026809</c:v>
                </c:pt>
                <c:pt idx="3">
                  <c:v>83.214693910288545</c:v>
                </c:pt>
                <c:pt idx="4">
                  <c:v>74.444642963492342</c:v>
                </c:pt>
              </c:numCache>
            </c:numRef>
          </c:val>
          <c:smooth val="0"/>
          <c:extLst>
            <c:ext xmlns:c16="http://schemas.microsoft.com/office/drawing/2014/chart" uri="{C3380CC4-5D6E-409C-BE32-E72D297353CC}">
              <c16:uniqueId val="{0000000F-8F3F-4911-8295-9917833EA440}"/>
            </c:ext>
          </c:extLst>
        </c:ser>
        <c:ser>
          <c:idx val="22"/>
          <c:order val="14"/>
          <c:tx>
            <c:strRef>
              <c:f>'Initial CP Conferences'!$AK$52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Conferences'!$AL$52:$AP$52</c:f>
              <c:numCache>
                <c:formatCode>0.0</c:formatCode>
                <c:ptCount val="5"/>
                <c:pt idx="0">
                  <c:v>33.172508670968242</c:v>
                </c:pt>
                <c:pt idx="1">
                  <c:v>44.716249095811143</c:v>
                </c:pt>
                <c:pt idx="2">
                  <c:v>44.896103095326183</c:v>
                </c:pt>
                <c:pt idx="3">
                  <c:v>37.945767908505168</c:v>
                </c:pt>
                <c:pt idx="4">
                  <c:v>26.875244662591466</c:v>
                </c:pt>
              </c:numCache>
            </c:numRef>
          </c:val>
          <c:smooth val="0"/>
          <c:extLst>
            <c:ext xmlns:c16="http://schemas.microsoft.com/office/drawing/2014/chart" uri="{C3380CC4-5D6E-409C-BE32-E72D297353CC}">
              <c16:uniqueId val="{00000010-8F3F-4911-8295-9917833EA440}"/>
            </c:ext>
          </c:extLst>
        </c:ser>
        <c:ser>
          <c:idx val="23"/>
          <c:order val="15"/>
          <c:tx>
            <c:strRef>
              <c:f>'Initial CP Conferences'!$AK$53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Conferences'!$AL$53:$AP$53</c:f>
              <c:numCache>
                <c:formatCode>0.0</c:formatCode>
                <c:ptCount val="5"/>
                <c:pt idx="0">
                  <c:v>61.036479278970937</c:v>
                </c:pt>
                <c:pt idx="1">
                  <c:v>74.0868366643694</c:v>
                </c:pt>
                <c:pt idx="2">
                  <c:v>81.80372886255239</c:v>
                </c:pt>
                <c:pt idx="3">
                  <c:v>140.06645279560036</c:v>
                </c:pt>
                <c:pt idx="4">
                  <c:v>72.753007784854915</c:v>
                </c:pt>
              </c:numCache>
            </c:numRef>
          </c:val>
          <c:smooth val="0"/>
          <c:extLst>
            <c:ext xmlns:c16="http://schemas.microsoft.com/office/drawing/2014/chart" uri="{C3380CC4-5D6E-409C-BE32-E72D297353CC}">
              <c16:uniqueId val="{00000013-8F3F-4911-8295-9917833EA440}"/>
            </c:ext>
          </c:extLst>
        </c:ser>
        <c:ser>
          <c:idx val="24"/>
          <c:order val="16"/>
          <c:tx>
            <c:strRef>
              <c:f>'Initial CP Conferences'!$AK$54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Conferences'!$AL$54:$AP$54</c:f>
              <c:numCache>
                <c:formatCode>0.0</c:formatCode>
                <c:ptCount val="5"/>
                <c:pt idx="0">
                  <c:v>77.210733444347767</c:v>
                </c:pt>
                <c:pt idx="1">
                  <c:v>80.863618848239796</c:v>
                </c:pt>
                <c:pt idx="2">
                  <c:v>60.285756774997999</c:v>
                </c:pt>
                <c:pt idx="3">
                  <c:v>64.900281366119913</c:v>
                </c:pt>
                <c:pt idx="4">
                  <c:v>56.813103324991069</c:v>
                </c:pt>
              </c:numCache>
            </c:numRef>
          </c:val>
          <c:smooth val="0"/>
          <c:extLst>
            <c:ext xmlns:c16="http://schemas.microsoft.com/office/drawing/2014/chart" uri="{C3380CC4-5D6E-409C-BE32-E72D297353CC}">
              <c16:uniqueId val="{00000014-8F3F-4911-8295-9917833EA440}"/>
            </c:ext>
          </c:extLst>
        </c:ser>
        <c:ser>
          <c:idx val="25"/>
          <c:order val="17"/>
          <c:tx>
            <c:strRef>
              <c:f>'Initial CP Conferences'!$AK$55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Conferences'!$AL$55:$AP$55</c:f>
              <c:numCache>
                <c:formatCode>0.0</c:formatCode>
                <c:ptCount val="5"/>
                <c:pt idx="0">
                  <c:v>75.567485557565504</c:v>
                </c:pt>
                <c:pt idx="1">
                  <c:v>73.350350614675946</c:v>
                </c:pt>
                <c:pt idx="2">
                  <c:v>64.352343842248203</c:v>
                </c:pt>
                <c:pt idx="3">
                  <c:v>74.165274235628644</c:v>
                </c:pt>
                <c:pt idx="4">
                  <c:v>67.092558560135345</c:v>
                </c:pt>
              </c:numCache>
            </c:numRef>
          </c:val>
          <c:smooth val="0"/>
          <c:extLst>
            <c:ext xmlns:c16="http://schemas.microsoft.com/office/drawing/2014/chart" uri="{C3380CC4-5D6E-409C-BE32-E72D297353CC}">
              <c16:uniqueId val="{00000015-8F3F-4911-8295-9917833EA440}"/>
            </c:ext>
          </c:extLst>
        </c:ser>
        <c:ser>
          <c:idx val="26"/>
          <c:order val="18"/>
          <c:tx>
            <c:strRef>
              <c:f>'Initial CP Conferences'!$AK$56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Conferences'!$AL$56:$AP$56</c:f>
              <c:numCache>
                <c:formatCode>0.0</c:formatCode>
                <c:ptCount val="5"/>
                <c:pt idx="0">
                  <c:v>51.795232827114553</c:v>
                </c:pt>
                <c:pt idx="1">
                  <c:v>45.211977468129263</c:v>
                </c:pt>
                <c:pt idx="2">
                  <c:v>51.545138466775271</c:v>
                </c:pt>
                <c:pt idx="3">
                  <c:v>34.336782690498588</c:v>
                </c:pt>
                <c:pt idx="4">
                  <c:v>37.632174354712106</c:v>
                </c:pt>
              </c:numCache>
            </c:numRef>
          </c:val>
          <c:smooth val="0"/>
          <c:extLst>
            <c:ext xmlns:c16="http://schemas.microsoft.com/office/drawing/2014/chart" uri="{C3380CC4-5D6E-409C-BE32-E72D297353CC}">
              <c16:uniqueId val="{00000016-8F3F-4911-8295-9917833EA440}"/>
            </c:ext>
          </c:extLst>
        </c:ser>
        <c:ser>
          <c:idx val="4"/>
          <c:order val="19"/>
          <c:tx>
            <c:strRef>
              <c:f>'Initial CP Conferences'!$AK$57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Conferences'!$AL$57:$AP$57</c:f>
              <c:numCache>
                <c:formatCode>0.0</c:formatCode>
                <c:ptCount val="5"/>
                <c:pt idx="0">
                  <c:v>62.934679591827205</c:v>
                </c:pt>
                <c:pt idx="1">
                  <c:v>61.225515102828929</c:v>
                </c:pt>
                <c:pt idx="2">
                  <c:v>62.199849563154544</c:v>
                </c:pt>
                <c:pt idx="3">
                  <c:v>60.960313207779514</c:v>
                </c:pt>
                <c:pt idx="4">
                  <c:v>62.993438819457168</c:v>
                </c:pt>
              </c:numCache>
            </c:numRef>
          </c:val>
          <c:smooth val="0"/>
          <c:extLst>
            <c:ext xmlns:c16="http://schemas.microsoft.com/office/drawing/2014/chart" uri="{C3380CC4-5D6E-409C-BE32-E72D297353CC}">
              <c16:uniqueId val="{00000017-8F3F-4911-8295-9917833EA440}"/>
            </c:ext>
          </c:extLst>
        </c:ser>
        <c:ser>
          <c:idx val="14"/>
          <c:order val="20"/>
          <c:tx>
            <c:strRef>
              <c:f>'Initial CP Conferences'!$AK$58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'Initial CP Conferences'!$Y$2:$AC$3</c:f>
              <c:strCache>
                <c:ptCount val="5"/>
                <c:pt idx="0">
                  <c:v>2019/20</c:v>
                </c:pt>
                <c:pt idx="1">
                  <c:v>2020/21</c:v>
                </c:pt>
                <c:pt idx="2">
                  <c:v>2021/22</c:v>
                </c:pt>
                <c:pt idx="3">
                  <c:v>2022/23</c:v>
                </c:pt>
                <c:pt idx="4">
                  <c:v>2023/24</c:v>
                </c:pt>
              </c:strCache>
            </c:strRef>
          </c:cat>
          <c:val>
            <c:numRef>
              <c:f>'Initial CP Conferences'!$AL$58:$AP$58</c:f>
              <c:numCache>
                <c:formatCode>0.0</c:formatCode>
                <c:ptCount val="5"/>
                <c:pt idx="0">
                  <c:v>65.705485402984024</c:v>
                </c:pt>
                <c:pt idx="1">
                  <c:v>61.572165241435336</c:v>
                </c:pt>
                <c:pt idx="2">
                  <c:v>62.731246553777055</c:v>
                </c:pt>
                <c:pt idx="3">
                  <c:v>62.578933548290316</c:v>
                </c:pt>
                <c:pt idx="4">
                  <c:v>60.215127606898314</c:v>
                </c:pt>
              </c:numCache>
            </c:numRef>
          </c:val>
          <c:smooth val="0"/>
          <c:extLst>
            <c:ext xmlns:c16="http://schemas.microsoft.com/office/drawing/2014/chart" uri="{C3380CC4-5D6E-409C-BE32-E72D297353CC}">
              <c16:uniqueId val="{00000018-8F3F-4911-8295-9917833EA440}"/>
            </c:ext>
          </c:extLst>
        </c:ser>
        <c:ser>
          <c:idx val="6"/>
          <c:order val="21"/>
          <c:tx>
            <c:strRef>
              <c:f>'Initial CP Conferences'!$AK$59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'Initial CP Conferences'!$Y$2:$AC$3</c:f>
              <c:strCache>
                <c:ptCount val="5"/>
                <c:pt idx="0">
                  <c:v>2019/20</c:v>
                </c:pt>
                <c:pt idx="1">
                  <c:v>2020/21</c:v>
                </c:pt>
                <c:pt idx="2">
                  <c:v>2021/22</c:v>
                </c:pt>
                <c:pt idx="3">
                  <c:v>2022/23</c:v>
                </c:pt>
                <c:pt idx="4">
                  <c:v>2023/24</c:v>
                </c:pt>
              </c:strCache>
            </c:strRef>
          </c:cat>
          <c:val>
            <c:numRef>
              <c:f>'Initial CP Conferences'!$AL$59:$AP$59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8F3F-4911-8295-9917833EA440}"/>
            </c:ext>
          </c:extLst>
        </c:ser>
        <c:dLbls>
          <c:showLegendKey val="0"/>
          <c:showVal val="0"/>
          <c:showCatName val="0"/>
          <c:showSerName val="0"/>
          <c:showPercent val="0"/>
          <c:showBubbleSize val="0"/>
        </c:dLbls>
        <c:marker val="1"/>
        <c:smooth val="0"/>
        <c:axId val="573836672"/>
        <c:axId val="573847040"/>
      </c:lineChart>
      <c:catAx>
        <c:axId val="573836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73847040"/>
        <c:crosses val="autoZero"/>
        <c:auto val="1"/>
        <c:lblAlgn val="ctr"/>
        <c:lblOffset val="100"/>
        <c:tickLblSkip val="1"/>
        <c:tickMarkSkip val="1"/>
        <c:noMultiLvlLbl val="0"/>
      </c:catAx>
      <c:valAx>
        <c:axId val="57384704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7383667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Initial CP Conferences (Selected LA vs. SE) </a:t>
            </a:r>
          </a:p>
        </c:rich>
      </c:tx>
      <c:layout>
        <c:manualLayout>
          <c:xMode val="edge"/>
          <c:yMode val="edge"/>
          <c:x val="0.13687547797784019"/>
          <c:y val="2.7670916135483066E-2"/>
        </c:manualLayout>
      </c:layout>
      <c:overlay val="0"/>
      <c:spPr>
        <a:noFill/>
        <a:ln w="25400">
          <a:noFill/>
        </a:ln>
      </c:spPr>
    </c:title>
    <c:autoTitleDeleted val="0"/>
    <c:plotArea>
      <c:layout>
        <c:manualLayout>
          <c:layoutTarget val="inner"/>
          <c:xMode val="edge"/>
          <c:yMode val="edge"/>
          <c:x val="8.8453290959790473E-2"/>
          <c:y val="0.18723972003499562"/>
          <c:w val="0.65991880278612403"/>
          <c:h val="0.59787589051368584"/>
        </c:manualLayout>
      </c:layout>
      <c:barChart>
        <c:barDir val="col"/>
        <c:grouping val="clustered"/>
        <c:varyColors val="0"/>
        <c:ser>
          <c:idx val="6"/>
          <c:order val="0"/>
          <c:tx>
            <c:strRef>
              <c:f>'Initial CP Conferences'!$Z$4</c:f>
              <c:strCache>
                <c:ptCount val="1"/>
                <c:pt idx="0">
                  <c:v>Selected LA- (none)</c:v>
                </c:pt>
              </c:strCache>
            </c:strRef>
          </c:tx>
          <c:spPr>
            <a:solidFill>
              <a:srgbClr val="66FF99"/>
            </a:solidFill>
            <a:ln>
              <a:solidFill>
                <a:schemeClr val="tx1">
                  <a:lumMod val="75000"/>
                  <a:lumOff val="25000"/>
                </a:schemeClr>
              </a:solidFill>
            </a:ln>
          </c:spPr>
          <c:invertIfNegative val="0"/>
          <c:cat>
            <c:strRef>
              <c:f>'Initial CP Conferences'!$Y$2:$AC$3</c:f>
              <c:strCache>
                <c:ptCount val="5"/>
                <c:pt idx="0">
                  <c:v>2019/20</c:v>
                </c:pt>
                <c:pt idx="1">
                  <c:v>2020/21</c:v>
                </c:pt>
                <c:pt idx="2">
                  <c:v>2021/22</c:v>
                </c:pt>
                <c:pt idx="3">
                  <c:v>2022/23</c:v>
                </c:pt>
                <c:pt idx="4">
                  <c:v>2023/24</c:v>
                </c:pt>
              </c:strCache>
            </c:strRef>
          </c:cat>
          <c:val>
            <c:numRef>
              <c:f>'Initial CP Conferences'!$AL$59:$AP$59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D6C8-497D-A7EC-FEB8E55043E5}"/>
            </c:ext>
          </c:extLst>
        </c:ser>
        <c:ser>
          <c:idx val="4"/>
          <c:order val="1"/>
          <c:tx>
            <c:strRef>
              <c:f>'Initial CP Conferences'!$B$30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'Initial CP Conferences'!$Y$2:$AC$3</c:f>
              <c:strCache>
                <c:ptCount val="5"/>
                <c:pt idx="0">
                  <c:v>2019/20</c:v>
                </c:pt>
                <c:pt idx="1">
                  <c:v>2020/21</c:v>
                </c:pt>
                <c:pt idx="2">
                  <c:v>2021/22</c:v>
                </c:pt>
                <c:pt idx="3">
                  <c:v>2022/23</c:v>
                </c:pt>
                <c:pt idx="4">
                  <c:v>2023/24</c:v>
                </c:pt>
              </c:strCache>
            </c:strRef>
          </c:cat>
          <c:val>
            <c:numRef>
              <c:f>'Initial CP Conferences'!$K$30:$O$30</c:f>
              <c:numCache>
                <c:formatCode>0.0</c:formatCode>
                <c:ptCount val="5"/>
                <c:pt idx="0">
                  <c:v>62.934679591827205</c:v>
                </c:pt>
                <c:pt idx="1">
                  <c:v>61.225515102828929</c:v>
                </c:pt>
                <c:pt idx="2">
                  <c:v>62.199849563154544</c:v>
                </c:pt>
                <c:pt idx="3">
                  <c:v>60.960313207779514</c:v>
                </c:pt>
                <c:pt idx="4">
                  <c:v>62.993438819457168</c:v>
                </c:pt>
              </c:numCache>
            </c:numRef>
          </c:val>
          <c:extLst>
            <c:ext xmlns:c16="http://schemas.microsoft.com/office/drawing/2014/chart" uri="{C3380CC4-5D6E-409C-BE32-E72D297353CC}">
              <c16:uniqueId val="{00000001-D6C8-497D-A7EC-FEB8E55043E5}"/>
            </c:ext>
          </c:extLst>
        </c:ser>
        <c:ser>
          <c:idx val="0"/>
          <c:order val="2"/>
          <c:tx>
            <c:strRef>
              <c:f>'Initial CP Conferences'!$B$31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'Initial CP Conferences'!$Y$2:$AC$3</c:f>
              <c:strCache>
                <c:ptCount val="5"/>
                <c:pt idx="0">
                  <c:v>2019/20</c:v>
                </c:pt>
                <c:pt idx="1">
                  <c:v>2020/21</c:v>
                </c:pt>
                <c:pt idx="2">
                  <c:v>2021/22</c:v>
                </c:pt>
                <c:pt idx="3">
                  <c:v>2022/23</c:v>
                </c:pt>
                <c:pt idx="4">
                  <c:v>2023/24</c:v>
                </c:pt>
              </c:strCache>
            </c:strRef>
          </c:cat>
          <c:val>
            <c:numRef>
              <c:f>'Initial CP Conferences'!$K$31:$O$31</c:f>
              <c:numCache>
                <c:formatCode>0.0</c:formatCode>
                <c:ptCount val="5"/>
                <c:pt idx="0">
                  <c:v>65.705485402984024</c:v>
                </c:pt>
                <c:pt idx="1">
                  <c:v>61.572165241435336</c:v>
                </c:pt>
                <c:pt idx="2">
                  <c:v>62.731246553777055</c:v>
                </c:pt>
                <c:pt idx="3">
                  <c:v>62.578933548290316</c:v>
                </c:pt>
                <c:pt idx="4">
                  <c:v>60.215127606898314</c:v>
                </c:pt>
              </c:numCache>
            </c:numRef>
          </c:val>
          <c:extLst>
            <c:ext xmlns:c16="http://schemas.microsoft.com/office/drawing/2014/chart" uri="{C3380CC4-5D6E-409C-BE32-E72D297353CC}">
              <c16:uniqueId val="{00000002-D6C8-497D-A7EC-FEB8E55043E5}"/>
            </c:ext>
          </c:extLst>
        </c:ser>
        <c:dLbls>
          <c:showLegendKey val="0"/>
          <c:showVal val="0"/>
          <c:showCatName val="0"/>
          <c:showSerName val="0"/>
          <c:showPercent val="0"/>
          <c:showBubbleSize val="0"/>
        </c:dLbls>
        <c:gapWidth val="100"/>
        <c:axId val="573876864"/>
        <c:axId val="573886848"/>
      </c:barChart>
      <c:catAx>
        <c:axId val="573876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73886848"/>
        <c:crosses val="autoZero"/>
        <c:auto val="1"/>
        <c:lblAlgn val="ctr"/>
        <c:lblOffset val="100"/>
        <c:noMultiLvlLbl val="0"/>
      </c:catAx>
      <c:valAx>
        <c:axId val="5738868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73876864"/>
        <c:crosses val="autoZero"/>
        <c:crossBetween val="between"/>
      </c:valAx>
      <c:spPr>
        <a:noFill/>
        <a:ln w="3175">
          <a:solidFill>
            <a:srgbClr val="000000"/>
          </a:solidFill>
          <a:prstDash val="solid"/>
        </a:ln>
      </c:spPr>
    </c:plotArea>
    <c:legend>
      <c:legendPos val="r"/>
      <c:layout>
        <c:manualLayout>
          <c:xMode val="edge"/>
          <c:yMode val="edge"/>
          <c:x val="0.75990284431229316"/>
          <c:y val="0.17953653819588342"/>
          <c:w val="0.24009715568770687"/>
          <c:h val="0.71060929883764545"/>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ICPC held within 15 Days of S47 </a:t>
            </a:r>
          </a:p>
          <a:p>
            <a:pPr>
              <a:defRPr sz="1100" b="1" i="0" u="none" strike="noStrike" baseline="0">
                <a:solidFill>
                  <a:srgbClr val="000000"/>
                </a:solidFill>
                <a:latin typeface="Arial"/>
                <a:ea typeface="Arial"/>
                <a:cs typeface="Arial"/>
              </a:defRPr>
            </a:pPr>
            <a:r>
              <a:rPr lang="en-GB" sz="1100"/>
              <a:t>(Selected LA</a:t>
            </a:r>
            <a:r>
              <a:rPr lang="en-GB" sz="1100" baseline="0"/>
              <a:t> vs. SE &amp; National)</a:t>
            </a:r>
            <a:r>
              <a:rPr lang="en-GB" sz="1100"/>
              <a:t> </a:t>
            </a:r>
          </a:p>
        </c:rich>
      </c:tx>
      <c:layout>
        <c:manualLayout>
          <c:xMode val="edge"/>
          <c:yMode val="edge"/>
          <c:x val="0.20505982905982906"/>
          <c:y val="3.8613923259592556E-3"/>
        </c:manualLayout>
      </c:layout>
      <c:overlay val="0"/>
      <c:spPr>
        <a:noFill/>
        <a:ln w="25400">
          <a:noFill/>
        </a:ln>
      </c:spPr>
    </c:title>
    <c:autoTitleDeleted val="0"/>
    <c:plotArea>
      <c:layout>
        <c:manualLayout>
          <c:layoutTarget val="inner"/>
          <c:xMode val="edge"/>
          <c:yMode val="edge"/>
          <c:x val="0.11305319508328786"/>
          <c:y val="0.22616581750810563"/>
          <c:w val="0.61307086614173223"/>
          <c:h val="0.56960876949204875"/>
        </c:manualLayout>
      </c:layout>
      <c:barChart>
        <c:barDir val="col"/>
        <c:grouping val="clustered"/>
        <c:varyColors val="0"/>
        <c:ser>
          <c:idx val="6"/>
          <c:order val="0"/>
          <c:tx>
            <c:strRef>
              <c:f>'Initial CP Conferences'!$Z$4</c:f>
              <c:strCache>
                <c:ptCount val="1"/>
                <c:pt idx="0">
                  <c:v>Selected LA- (none)</c:v>
                </c:pt>
              </c:strCache>
            </c:strRef>
          </c:tx>
          <c:spPr>
            <a:solidFill>
              <a:srgbClr val="66FF99"/>
            </a:solidFill>
            <a:ln>
              <a:solidFill>
                <a:schemeClr val="tx1">
                  <a:lumMod val="75000"/>
                  <a:lumOff val="25000"/>
                </a:schemeClr>
              </a:solidFill>
            </a:ln>
          </c:spPr>
          <c:invertIfNegative val="0"/>
          <c:cat>
            <c:strRef>
              <c:f>'Initial CP Conferences'!$Y$2:$AC$3</c:f>
              <c:strCache>
                <c:ptCount val="5"/>
                <c:pt idx="0">
                  <c:v>2019/20</c:v>
                </c:pt>
                <c:pt idx="1">
                  <c:v>2020/21</c:v>
                </c:pt>
                <c:pt idx="2">
                  <c:v>2021/22</c:v>
                </c:pt>
                <c:pt idx="3">
                  <c:v>2022/23</c:v>
                </c:pt>
                <c:pt idx="4">
                  <c:v>2023/24</c:v>
                </c:pt>
              </c:strCache>
            </c:strRef>
          </c:cat>
          <c:val>
            <c:numRef>
              <c:f>'Initial CP Conferences'!$AW$59:$BA$59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0285-43C9-A85A-48C51020495B}"/>
            </c:ext>
          </c:extLst>
        </c:ser>
        <c:ser>
          <c:idx val="4"/>
          <c:order val="1"/>
          <c:tx>
            <c:strRef>
              <c:f>'Initial CP Conferences'!$B$161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'Initial CP Conferences'!$Y$2:$AC$3</c:f>
              <c:strCache>
                <c:ptCount val="5"/>
                <c:pt idx="0">
                  <c:v>2019/20</c:v>
                </c:pt>
                <c:pt idx="1">
                  <c:v>2020/21</c:v>
                </c:pt>
                <c:pt idx="2">
                  <c:v>2021/22</c:v>
                </c:pt>
                <c:pt idx="3">
                  <c:v>2022/23</c:v>
                </c:pt>
                <c:pt idx="4">
                  <c:v>2023/24</c:v>
                </c:pt>
              </c:strCache>
            </c:strRef>
          </c:cat>
          <c:val>
            <c:numRef>
              <c:f>'Initial CP Conferences'!$D$161:$H$161</c:f>
              <c:numCache>
                <c:formatCode>0%</c:formatCode>
                <c:ptCount val="5"/>
                <c:pt idx="0">
                  <c:v>0.75914935707220577</c:v>
                </c:pt>
                <c:pt idx="1">
                  <c:v>0.81938922257000257</c:v>
                </c:pt>
                <c:pt idx="2">
                  <c:v>0.78654485049833889</c:v>
                </c:pt>
                <c:pt idx="3">
                  <c:v>0.77712854757929883</c:v>
                </c:pt>
                <c:pt idx="4">
                  <c:v>0.7931034482758621</c:v>
                </c:pt>
              </c:numCache>
            </c:numRef>
          </c:val>
          <c:extLst>
            <c:ext xmlns:c16="http://schemas.microsoft.com/office/drawing/2014/chart" uri="{C3380CC4-5D6E-409C-BE32-E72D297353CC}">
              <c16:uniqueId val="{00000001-0285-43C9-A85A-48C51020495B}"/>
            </c:ext>
          </c:extLst>
        </c:ser>
        <c:ser>
          <c:idx val="0"/>
          <c:order val="2"/>
          <c:tx>
            <c:strRef>
              <c:f>'Initial CP Conferences'!$B$162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'Initial CP Conferences'!$Y$2:$AC$3</c:f>
              <c:strCache>
                <c:ptCount val="5"/>
                <c:pt idx="0">
                  <c:v>2019/20</c:v>
                </c:pt>
                <c:pt idx="1">
                  <c:v>2020/21</c:v>
                </c:pt>
                <c:pt idx="2">
                  <c:v>2021/22</c:v>
                </c:pt>
                <c:pt idx="3">
                  <c:v>2022/23</c:v>
                </c:pt>
                <c:pt idx="4">
                  <c:v>2023/24</c:v>
                </c:pt>
              </c:strCache>
            </c:strRef>
          </c:cat>
          <c:val>
            <c:numRef>
              <c:f>'Initial CP Conferences'!$D$162:$H$162</c:f>
              <c:numCache>
                <c:formatCode>0%</c:formatCode>
                <c:ptCount val="5"/>
                <c:pt idx="0">
                  <c:v>0.77655866787143413</c:v>
                </c:pt>
                <c:pt idx="1">
                  <c:v>0.83039404794709282</c:v>
                </c:pt>
                <c:pt idx="2">
                  <c:v>0.79197723268735598</c:v>
                </c:pt>
                <c:pt idx="3">
                  <c:v>0.78421618714708252</c:v>
                </c:pt>
                <c:pt idx="4">
                  <c:v>0.79695501730103802</c:v>
                </c:pt>
              </c:numCache>
            </c:numRef>
          </c:val>
          <c:extLst>
            <c:ext xmlns:c16="http://schemas.microsoft.com/office/drawing/2014/chart" uri="{C3380CC4-5D6E-409C-BE32-E72D297353CC}">
              <c16:uniqueId val="{00000002-0285-43C9-A85A-48C51020495B}"/>
            </c:ext>
          </c:extLst>
        </c:ser>
        <c:dLbls>
          <c:showLegendKey val="0"/>
          <c:showVal val="0"/>
          <c:showCatName val="0"/>
          <c:showSerName val="0"/>
          <c:showPercent val="0"/>
          <c:showBubbleSize val="0"/>
        </c:dLbls>
        <c:gapWidth val="100"/>
        <c:axId val="563914624"/>
        <c:axId val="563916160"/>
      </c:barChart>
      <c:catAx>
        <c:axId val="563914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3916160"/>
        <c:crosses val="autoZero"/>
        <c:auto val="1"/>
        <c:lblAlgn val="ctr"/>
        <c:lblOffset val="100"/>
        <c:noMultiLvlLbl val="0"/>
      </c:catAx>
      <c:valAx>
        <c:axId val="563916160"/>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3914624"/>
        <c:crosses val="autoZero"/>
        <c:crossBetween val="between"/>
      </c:valAx>
      <c:spPr>
        <a:noFill/>
        <a:ln w="3175">
          <a:solidFill>
            <a:srgbClr val="000000"/>
          </a:solidFill>
          <a:prstDash val="solid"/>
        </a:ln>
      </c:spPr>
    </c:plotArea>
    <c:legend>
      <c:legendPos val="r"/>
      <c:layout>
        <c:manualLayout>
          <c:xMode val="edge"/>
          <c:yMode val="edge"/>
          <c:x val="0.73315558327486297"/>
          <c:y val="0.21128233970753657"/>
          <c:w val="0.26684441672513703"/>
          <c:h val="0.66697051103906146"/>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of Initial CP Conferences held within 15 days of the Section 47 Enquiry which led to the Conference</a:t>
            </a:r>
          </a:p>
        </c:rich>
      </c:tx>
      <c:layout>
        <c:manualLayout>
          <c:xMode val="edge"/>
          <c:yMode val="edge"/>
          <c:x val="0.11860373868745022"/>
          <c:y val="6.1214799217111891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'Initial CP Conferences'!$AK$38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6EFE-4180-9347-D63D94A5CEEA}"/>
              </c:ext>
            </c:extLst>
          </c:dPt>
          <c:cat>
            <c:strRef>
              <c:f>'Initial CP Conferences'!$Y$2:$AC$3</c:f>
              <c:strCache>
                <c:ptCount val="5"/>
                <c:pt idx="0">
                  <c:v>2019/20</c:v>
                </c:pt>
                <c:pt idx="1">
                  <c:v>2020/21</c:v>
                </c:pt>
                <c:pt idx="2">
                  <c:v>2021/22</c:v>
                </c:pt>
                <c:pt idx="3">
                  <c:v>2022/23</c:v>
                </c:pt>
                <c:pt idx="4">
                  <c:v>2023/24</c:v>
                </c:pt>
              </c:strCache>
            </c:strRef>
          </c:cat>
          <c:val>
            <c:numRef>
              <c:f>'Initial CP Conferences'!$AW$38:$BA$38</c:f>
              <c:numCache>
                <c:formatCode>0.0%</c:formatCode>
                <c:ptCount val="5"/>
                <c:pt idx="0">
                  <c:v>0.77431906614785995</c:v>
                </c:pt>
                <c:pt idx="1">
                  <c:v>0.79622641509433967</c:v>
                </c:pt>
                <c:pt idx="2">
                  <c:v>0.84420289855072461</c:v>
                </c:pt>
                <c:pt idx="3">
                  <c:v>0.76326530612244903</c:v>
                </c:pt>
                <c:pt idx="4">
                  <c:v>0.74100719424460426</c:v>
                </c:pt>
              </c:numCache>
            </c:numRef>
          </c:val>
          <c:smooth val="0"/>
          <c:extLst>
            <c:ext xmlns:c16="http://schemas.microsoft.com/office/drawing/2014/chart" uri="{C3380CC4-5D6E-409C-BE32-E72D297353CC}">
              <c16:uniqueId val="{00000001-6EFE-4180-9347-D63D94A5CEEA}"/>
            </c:ext>
          </c:extLst>
        </c:ser>
        <c:ser>
          <c:idx val="1"/>
          <c:order val="1"/>
          <c:tx>
            <c:strRef>
              <c:f>'Initial CP Conferences'!$AK$39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Conferences'!$AW$39:$BA$39</c:f>
              <c:numCache>
                <c:formatCode>0.0%</c:formatCode>
                <c:ptCount val="5"/>
                <c:pt idx="0">
                  <c:v>0.89699570815450647</c:v>
                </c:pt>
                <c:pt idx="1">
                  <c:v>0.90211640211640209</c:v>
                </c:pt>
                <c:pt idx="2">
                  <c:v>0.88205128205128203</c:v>
                </c:pt>
                <c:pt idx="3">
                  <c:v>0.89572192513368987</c:v>
                </c:pt>
                <c:pt idx="4">
                  <c:v>0.89504373177842567</c:v>
                </c:pt>
              </c:numCache>
            </c:numRef>
          </c:val>
          <c:smooth val="0"/>
          <c:extLst>
            <c:ext xmlns:c16="http://schemas.microsoft.com/office/drawing/2014/chart" uri="{C3380CC4-5D6E-409C-BE32-E72D297353CC}">
              <c16:uniqueId val="{00000002-6EFE-4180-9347-D63D94A5CEEA}"/>
            </c:ext>
          </c:extLst>
        </c:ser>
        <c:ser>
          <c:idx val="2"/>
          <c:order val="2"/>
          <c:tx>
            <c:strRef>
              <c:f>'Initial CP Conferences'!$AK$40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Conferences'!$AW$40:$BA$40</c:f>
              <c:numCache>
                <c:formatCode>0.0%</c:formatCode>
                <c:ptCount val="5"/>
                <c:pt idx="0">
                  <c:v>0.7537922987164527</c:v>
                </c:pt>
                <c:pt idx="1">
                  <c:v>0.84110787172011658</c:v>
                </c:pt>
                <c:pt idx="2">
                  <c:v>0.59808612440191389</c:v>
                </c:pt>
                <c:pt idx="3">
                  <c:v>0.7008426966292135</c:v>
                </c:pt>
                <c:pt idx="4">
                  <c:v>0.69444444444444442</c:v>
                </c:pt>
              </c:numCache>
            </c:numRef>
          </c:val>
          <c:smooth val="0"/>
          <c:extLst>
            <c:ext xmlns:c16="http://schemas.microsoft.com/office/drawing/2014/chart" uri="{C3380CC4-5D6E-409C-BE32-E72D297353CC}">
              <c16:uniqueId val="{00000003-6EFE-4180-9347-D63D94A5CEEA}"/>
            </c:ext>
          </c:extLst>
        </c:ser>
        <c:ser>
          <c:idx val="5"/>
          <c:order val="3"/>
          <c:tx>
            <c:strRef>
              <c:f>'Initial CP Conferences'!$AK$41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Conferences'!$AW$41:$BA$41</c:f>
              <c:numCache>
                <c:formatCode>0.0%</c:formatCode>
                <c:ptCount val="5"/>
                <c:pt idx="0">
                  <c:v>0.81368267831149932</c:v>
                </c:pt>
                <c:pt idx="1">
                  <c:v>0.79227696404793613</c:v>
                </c:pt>
                <c:pt idx="2">
                  <c:v>0.81186685962373373</c:v>
                </c:pt>
                <c:pt idx="3">
                  <c:v>0.7040194884287454</c:v>
                </c:pt>
                <c:pt idx="4">
                  <c:v>0.78181818181818186</c:v>
                </c:pt>
              </c:numCache>
            </c:numRef>
          </c:val>
          <c:smooth val="0"/>
          <c:extLst>
            <c:ext xmlns:c16="http://schemas.microsoft.com/office/drawing/2014/chart" uri="{C3380CC4-5D6E-409C-BE32-E72D297353CC}">
              <c16:uniqueId val="{00000004-6EFE-4180-9347-D63D94A5CEEA}"/>
            </c:ext>
          </c:extLst>
        </c:ser>
        <c:ser>
          <c:idx val="9"/>
          <c:order val="4"/>
          <c:tx>
            <c:strRef>
              <c:f>'Initial CP Conferences'!$AK$42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Conferences'!$AW$42:$BA$42</c:f>
              <c:numCache>
                <c:formatCode>0.0%</c:formatCode>
                <c:ptCount val="5"/>
                <c:pt idx="0">
                  <c:v>0.77097791798107251</c:v>
                </c:pt>
                <c:pt idx="1">
                  <c:v>0.87096774193548387</c:v>
                </c:pt>
                <c:pt idx="2">
                  <c:v>0.82374541003671975</c:v>
                </c:pt>
                <c:pt idx="3">
                  <c:v>0.78605769230769229</c:v>
                </c:pt>
                <c:pt idx="4">
                  <c:v>#N/A</c:v>
                </c:pt>
              </c:numCache>
            </c:numRef>
          </c:val>
          <c:smooth val="0"/>
          <c:extLst>
            <c:ext xmlns:c16="http://schemas.microsoft.com/office/drawing/2014/chart" uri="{C3380CC4-5D6E-409C-BE32-E72D297353CC}">
              <c16:uniqueId val="{00000005-6EFE-4180-9347-D63D94A5CEEA}"/>
            </c:ext>
          </c:extLst>
        </c:ser>
        <c:ser>
          <c:idx val="10"/>
          <c:order val="5"/>
          <c:tx>
            <c:strRef>
              <c:f>'Initial CP Conferences'!$AK$43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Conferences'!$AW$43:$BA$43</c:f>
              <c:numCache>
                <c:formatCode>0.0%</c:formatCode>
                <c:ptCount val="5"/>
                <c:pt idx="0">
                  <c:v>0.83116883116883122</c:v>
                </c:pt>
                <c:pt idx="1">
                  <c:v>0.75875486381322954</c:v>
                </c:pt>
                <c:pt idx="2">
                  <c:v>0.7992700729927007</c:v>
                </c:pt>
                <c:pt idx="3">
                  <c:v>0.66360856269113155</c:v>
                </c:pt>
                <c:pt idx="4">
                  <c:v>0.72826086956521741</c:v>
                </c:pt>
              </c:numCache>
            </c:numRef>
          </c:val>
          <c:smooth val="0"/>
          <c:extLst>
            <c:ext xmlns:c16="http://schemas.microsoft.com/office/drawing/2014/chart" uri="{C3380CC4-5D6E-409C-BE32-E72D297353CC}">
              <c16:uniqueId val="{00000006-6EFE-4180-9347-D63D94A5CEEA}"/>
            </c:ext>
          </c:extLst>
        </c:ser>
        <c:ser>
          <c:idx val="11"/>
          <c:order val="6"/>
          <c:tx>
            <c:strRef>
              <c:f>'Initial CP Conferences'!$AK$44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Conferences'!$AW$44:$BA$44</c:f>
              <c:numCache>
                <c:formatCode>0.0%</c:formatCode>
                <c:ptCount val="5"/>
                <c:pt idx="0">
                  <c:v>0.86744868035190614</c:v>
                </c:pt>
                <c:pt idx="1">
                  <c:v>0.88518024032042719</c:v>
                </c:pt>
                <c:pt idx="2">
                  <c:v>0.85790094339622647</c:v>
                </c:pt>
                <c:pt idx="3">
                  <c:v>0.81211441390914185</c:v>
                </c:pt>
                <c:pt idx="4">
                  <c:v>0.87548138639281126</c:v>
                </c:pt>
              </c:numCache>
            </c:numRef>
          </c:val>
          <c:smooth val="0"/>
          <c:extLst>
            <c:ext xmlns:c16="http://schemas.microsoft.com/office/drawing/2014/chart" uri="{C3380CC4-5D6E-409C-BE32-E72D297353CC}">
              <c16:uniqueId val="{00000007-6EFE-4180-9347-D63D94A5CEEA}"/>
            </c:ext>
          </c:extLst>
        </c:ser>
        <c:ser>
          <c:idx val="12"/>
          <c:order val="7"/>
          <c:tx>
            <c:strRef>
              <c:f>'Initial CP Conferences'!$AK$45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Conferences'!$AW$45:$BA$45</c:f>
              <c:numCache>
                <c:formatCode>0.0%</c:formatCode>
                <c:ptCount val="5"/>
                <c:pt idx="0">
                  <c:v>0.73913043478260865</c:v>
                </c:pt>
                <c:pt idx="1">
                  <c:v>0.85018726591760296</c:v>
                </c:pt>
                <c:pt idx="2">
                  <c:v>0.92948717948717952</c:v>
                </c:pt>
                <c:pt idx="3">
                  <c:v>0.90712742980561556</c:v>
                </c:pt>
                <c:pt idx="4">
                  <c:v>0.85894736842105268</c:v>
                </c:pt>
              </c:numCache>
            </c:numRef>
          </c:val>
          <c:smooth val="0"/>
          <c:extLst>
            <c:ext xmlns:c16="http://schemas.microsoft.com/office/drawing/2014/chart" uri="{C3380CC4-5D6E-409C-BE32-E72D297353CC}">
              <c16:uniqueId val="{00000008-6EFE-4180-9347-D63D94A5CEEA}"/>
            </c:ext>
          </c:extLst>
        </c:ser>
        <c:ser>
          <c:idx val="13"/>
          <c:order val="8"/>
          <c:tx>
            <c:strRef>
              <c:f>'Initial CP Conferences'!$AK$46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Conferences'!$AW$46:$BA$46</c:f>
              <c:numCache>
                <c:formatCode>0.0%</c:formatCode>
                <c:ptCount val="5"/>
                <c:pt idx="0">
                  <c:v>0.90874524714828897</c:v>
                </c:pt>
                <c:pt idx="1">
                  <c:v>0.92537313432835822</c:v>
                </c:pt>
                <c:pt idx="2">
                  <c:v>0.74657534246575341</c:v>
                </c:pt>
                <c:pt idx="3">
                  <c:v>0.80674846625766872</c:v>
                </c:pt>
                <c:pt idx="4">
                  <c:v>0.68955223880597016</c:v>
                </c:pt>
              </c:numCache>
            </c:numRef>
          </c:val>
          <c:smooth val="0"/>
          <c:extLst>
            <c:ext xmlns:c16="http://schemas.microsoft.com/office/drawing/2014/chart" uri="{C3380CC4-5D6E-409C-BE32-E72D297353CC}">
              <c16:uniqueId val="{00000009-6EFE-4180-9347-D63D94A5CEEA}"/>
            </c:ext>
          </c:extLst>
        </c:ser>
        <c:ser>
          <c:idx val="15"/>
          <c:order val="9"/>
          <c:tx>
            <c:strRef>
              <c:f>'Initial CP Conferences'!$AK$47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Conferences'!$AW$47:$BA$47</c:f>
              <c:numCache>
                <c:formatCode>0.0%</c:formatCode>
                <c:ptCount val="5"/>
                <c:pt idx="0">
                  <c:v>0.78060046189376442</c:v>
                </c:pt>
                <c:pt idx="1">
                  <c:v>0.80620155038759689</c:v>
                </c:pt>
                <c:pt idx="2">
                  <c:v>0.60023866348448685</c:v>
                </c:pt>
                <c:pt idx="3">
                  <c:v>0.79515151515151516</c:v>
                </c:pt>
                <c:pt idx="4">
                  <c:v>0.80913978494623651</c:v>
                </c:pt>
              </c:numCache>
            </c:numRef>
          </c:val>
          <c:smooth val="0"/>
          <c:extLst>
            <c:ext xmlns:c16="http://schemas.microsoft.com/office/drawing/2014/chart" uri="{C3380CC4-5D6E-409C-BE32-E72D297353CC}">
              <c16:uniqueId val="{0000000A-6EFE-4180-9347-D63D94A5CEEA}"/>
            </c:ext>
          </c:extLst>
        </c:ser>
        <c:ser>
          <c:idx val="16"/>
          <c:order val="10"/>
          <c:tx>
            <c:strRef>
              <c:f>'Initial CP Conferences'!$AK$48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Conferences'!$AW$48:$BA$48</c:f>
              <c:numCache>
                <c:formatCode>0.0%</c:formatCode>
                <c:ptCount val="5"/>
                <c:pt idx="0">
                  <c:v>0.86094674556213013</c:v>
                </c:pt>
                <c:pt idx="1">
                  <c:v>0.49859943977591037</c:v>
                </c:pt>
                <c:pt idx="2">
                  <c:v>0.8</c:v>
                </c:pt>
                <c:pt idx="3">
                  <c:v>0.85507246376811596</c:v>
                </c:pt>
                <c:pt idx="4">
                  <c:v>0.84457478005865105</c:v>
                </c:pt>
              </c:numCache>
            </c:numRef>
          </c:val>
          <c:smooth val="0"/>
          <c:extLst>
            <c:ext xmlns:c16="http://schemas.microsoft.com/office/drawing/2014/chart" uri="{C3380CC4-5D6E-409C-BE32-E72D297353CC}">
              <c16:uniqueId val="{0000000B-6EFE-4180-9347-D63D94A5CEEA}"/>
            </c:ext>
          </c:extLst>
        </c:ser>
        <c:ser>
          <c:idx val="17"/>
          <c:order val="11"/>
          <c:tx>
            <c:strRef>
              <c:f>'Initial CP Conferences'!$AK$49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Conferences'!$AW$49:$BA$49</c:f>
              <c:numCache>
                <c:formatCode>0.0%</c:formatCode>
                <c:ptCount val="5"/>
                <c:pt idx="0">
                  <c:v>0.78504672897196259</c:v>
                </c:pt>
                <c:pt idx="1">
                  <c:v>0.79427083333333337</c:v>
                </c:pt>
                <c:pt idx="2">
                  <c:v>0.73204419889502759</c:v>
                </c:pt>
                <c:pt idx="3">
                  <c:v>0.68731563421828912</c:v>
                </c:pt>
                <c:pt idx="4">
                  <c:v>0.68284789644012944</c:v>
                </c:pt>
              </c:numCache>
            </c:numRef>
          </c:val>
          <c:smooth val="0"/>
          <c:extLst>
            <c:ext xmlns:c16="http://schemas.microsoft.com/office/drawing/2014/chart" uri="{C3380CC4-5D6E-409C-BE32-E72D297353CC}">
              <c16:uniqueId val="{0000000C-6EFE-4180-9347-D63D94A5CEEA}"/>
            </c:ext>
          </c:extLst>
        </c:ser>
        <c:ser>
          <c:idx val="19"/>
          <c:order val="12"/>
          <c:tx>
            <c:strRef>
              <c:f>'Initial CP Conferences'!$AK$50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Conferences'!$AW$50:$BA$50</c:f>
              <c:numCache>
                <c:formatCode>0.0%</c:formatCode>
                <c:ptCount val="5"/>
                <c:pt idx="0">
                  <c:v>0.40206185567010311</c:v>
                </c:pt>
                <c:pt idx="1">
                  <c:v>0.65324384787472034</c:v>
                </c:pt>
                <c:pt idx="2">
                  <c:v>0.7384615384615385</c:v>
                </c:pt>
                <c:pt idx="3">
                  <c:v>0.51081081081081081</c:v>
                </c:pt>
                <c:pt idx="4">
                  <c:v>0.83121019108280259</c:v>
                </c:pt>
              </c:numCache>
            </c:numRef>
          </c:val>
          <c:smooth val="0"/>
          <c:extLst>
            <c:ext xmlns:c16="http://schemas.microsoft.com/office/drawing/2014/chart" uri="{C3380CC4-5D6E-409C-BE32-E72D297353CC}">
              <c16:uniqueId val="{0000000D-6EFE-4180-9347-D63D94A5CEEA}"/>
            </c:ext>
          </c:extLst>
        </c:ser>
        <c:ser>
          <c:idx val="20"/>
          <c:order val="13"/>
          <c:tx>
            <c:strRef>
              <c:f>'Initial CP Conferences'!$AK$51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Conferences'!$AW$51:$BA$51</c:f>
              <c:numCache>
                <c:formatCode>0.0%</c:formatCode>
                <c:ptCount val="5"/>
                <c:pt idx="0">
                  <c:v>0.55476529160739685</c:v>
                </c:pt>
                <c:pt idx="1">
                  <c:v>0.71939736346516003</c:v>
                </c:pt>
                <c:pt idx="2">
                  <c:v>0.7210776545166403</c:v>
                </c:pt>
                <c:pt idx="3">
                  <c:v>0.67228915662650601</c:v>
                </c:pt>
                <c:pt idx="4">
                  <c:v>0.72</c:v>
                </c:pt>
              </c:numCache>
            </c:numRef>
          </c:val>
          <c:smooth val="0"/>
          <c:extLst>
            <c:ext xmlns:c16="http://schemas.microsoft.com/office/drawing/2014/chart" uri="{C3380CC4-5D6E-409C-BE32-E72D297353CC}">
              <c16:uniqueId val="{0000000F-6EFE-4180-9347-D63D94A5CEEA}"/>
            </c:ext>
          </c:extLst>
        </c:ser>
        <c:ser>
          <c:idx val="22"/>
          <c:order val="14"/>
          <c:tx>
            <c:strRef>
              <c:f>'Initial CP Conferences'!$AK$52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Conferences'!$AW$52:$BA$52</c:f>
              <c:numCache>
                <c:formatCode>0.0%</c:formatCode>
                <c:ptCount val="5"/>
                <c:pt idx="0">
                  <c:v>0.82242990654205606</c:v>
                </c:pt>
                <c:pt idx="1">
                  <c:v>0.89013840830449831</c:v>
                </c:pt>
                <c:pt idx="2">
                  <c:v>0.8703862660944206</c:v>
                </c:pt>
                <c:pt idx="3">
                  <c:v>0.77300000000000002</c:v>
                </c:pt>
                <c:pt idx="4">
                  <c:v>0.81792717086834732</c:v>
                </c:pt>
              </c:numCache>
            </c:numRef>
          </c:val>
          <c:smooth val="0"/>
          <c:extLst>
            <c:ext xmlns:c16="http://schemas.microsoft.com/office/drawing/2014/chart" uri="{C3380CC4-5D6E-409C-BE32-E72D297353CC}">
              <c16:uniqueId val="{00000010-6EFE-4180-9347-D63D94A5CEEA}"/>
            </c:ext>
          </c:extLst>
        </c:ser>
        <c:ser>
          <c:idx val="23"/>
          <c:order val="15"/>
          <c:tx>
            <c:strRef>
              <c:f>'Initial CP Conferences'!$AK$53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Conferences'!$AW$53:$BA$53</c:f>
              <c:numCache>
                <c:formatCode>0.0%</c:formatCode>
                <c:ptCount val="5"/>
                <c:pt idx="0">
                  <c:v>0.84579439252336452</c:v>
                </c:pt>
                <c:pt idx="1">
                  <c:v>0.96511627906976749</c:v>
                </c:pt>
                <c:pt idx="2">
                  <c:v>0.95759717314487636</c:v>
                </c:pt>
                <c:pt idx="3">
                  <c:v>0.88957055214723924</c:v>
                </c:pt>
                <c:pt idx="4">
                  <c:v>0.82490272373540852</c:v>
                </c:pt>
              </c:numCache>
            </c:numRef>
          </c:val>
          <c:smooth val="0"/>
          <c:extLst>
            <c:ext xmlns:c16="http://schemas.microsoft.com/office/drawing/2014/chart" uri="{C3380CC4-5D6E-409C-BE32-E72D297353CC}">
              <c16:uniqueId val="{00000013-6EFE-4180-9347-D63D94A5CEEA}"/>
            </c:ext>
          </c:extLst>
        </c:ser>
        <c:ser>
          <c:idx val="24"/>
          <c:order val="16"/>
          <c:tx>
            <c:strRef>
              <c:f>'Initial CP Conferences'!$AK$54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Conferences'!$AW$54:$BA$54</c:f>
              <c:numCache>
                <c:formatCode>0.0%</c:formatCode>
                <c:ptCount val="5"/>
                <c:pt idx="0">
                  <c:v>0.60970149253731343</c:v>
                </c:pt>
                <c:pt idx="1">
                  <c:v>0.74964438122332855</c:v>
                </c:pt>
                <c:pt idx="2">
                  <c:v>0.76944971537001894</c:v>
                </c:pt>
                <c:pt idx="3">
                  <c:v>0.82276281494352732</c:v>
                </c:pt>
                <c:pt idx="4">
                  <c:v>0.71386430678466073</c:v>
                </c:pt>
              </c:numCache>
            </c:numRef>
          </c:val>
          <c:smooth val="0"/>
          <c:extLst>
            <c:ext xmlns:c16="http://schemas.microsoft.com/office/drawing/2014/chart" uri="{C3380CC4-5D6E-409C-BE32-E72D297353CC}">
              <c16:uniqueId val="{00000014-6EFE-4180-9347-D63D94A5CEEA}"/>
            </c:ext>
          </c:extLst>
        </c:ser>
        <c:ser>
          <c:idx val="25"/>
          <c:order val="17"/>
          <c:tx>
            <c:strRef>
              <c:f>'Initial CP Conferences'!$AK$55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Conferences'!$AW$55:$BA$55</c:f>
              <c:numCache>
                <c:formatCode>0.0%</c:formatCode>
                <c:ptCount val="5"/>
                <c:pt idx="0">
                  <c:v>0.5791505791505791</c:v>
                </c:pt>
                <c:pt idx="1">
                  <c:v>0.85599999999999998</c:v>
                </c:pt>
                <c:pt idx="2">
                  <c:v>0.78899082568807344</c:v>
                </c:pt>
                <c:pt idx="3">
                  <c:v>0.66007905138339917</c:v>
                </c:pt>
                <c:pt idx="4">
                  <c:v>0.75652173913043474</c:v>
                </c:pt>
              </c:numCache>
            </c:numRef>
          </c:val>
          <c:smooth val="0"/>
          <c:extLst>
            <c:ext xmlns:c16="http://schemas.microsoft.com/office/drawing/2014/chart" uri="{C3380CC4-5D6E-409C-BE32-E72D297353CC}">
              <c16:uniqueId val="{00000015-6EFE-4180-9347-D63D94A5CEEA}"/>
            </c:ext>
          </c:extLst>
        </c:ser>
        <c:ser>
          <c:idx val="26"/>
          <c:order val="18"/>
          <c:tx>
            <c:strRef>
              <c:f>'Initial CP Conferences'!$AK$56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Conferences'!$AW$56:$BA$56</c:f>
              <c:numCache>
                <c:formatCode>0.0%</c:formatCode>
                <c:ptCount val="5"/>
                <c:pt idx="0">
                  <c:v>0.87378640776699024</c:v>
                </c:pt>
                <c:pt idx="1">
                  <c:v>0.84153005464480879</c:v>
                </c:pt>
                <c:pt idx="2">
                  <c:v>0.78773584905660377</c:v>
                </c:pt>
                <c:pt idx="3">
                  <c:v>0.88356164383561642</c:v>
                </c:pt>
                <c:pt idx="4">
                  <c:v>0.93251533742331283</c:v>
                </c:pt>
              </c:numCache>
            </c:numRef>
          </c:val>
          <c:smooth val="0"/>
          <c:extLst>
            <c:ext xmlns:c16="http://schemas.microsoft.com/office/drawing/2014/chart" uri="{C3380CC4-5D6E-409C-BE32-E72D297353CC}">
              <c16:uniqueId val="{00000016-6EFE-4180-9347-D63D94A5CEEA}"/>
            </c:ext>
          </c:extLst>
        </c:ser>
        <c:ser>
          <c:idx val="4"/>
          <c:order val="19"/>
          <c:tx>
            <c:strRef>
              <c:f>'Initial CP Conferences'!$AK$57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Conferences'!$AW$57:$BA$57</c:f>
              <c:numCache>
                <c:formatCode>0.0%</c:formatCode>
                <c:ptCount val="5"/>
                <c:pt idx="0">
                  <c:v>0.75914935707220577</c:v>
                </c:pt>
                <c:pt idx="1">
                  <c:v>0.81938922257000257</c:v>
                </c:pt>
                <c:pt idx="2">
                  <c:v>0.78654485049833889</c:v>
                </c:pt>
                <c:pt idx="3">
                  <c:v>0.77712854757929883</c:v>
                </c:pt>
                <c:pt idx="4">
                  <c:v>0.7931034482758621</c:v>
                </c:pt>
              </c:numCache>
            </c:numRef>
          </c:val>
          <c:smooth val="0"/>
          <c:extLst>
            <c:ext xmlns:c16="http://schemas.microsoft.com/office/drawing/2014/chart" uri="{C3380CC4-5D6E-409C-BE32-E72D297353CC}">
              <c16:uniqueId val="{00000017-6EFE-4180-9347-D63D94A5CEEA}"/>
            </c:ext>
          </c:extLst>
        </c:ser>
        <c:ser>
          <c:idx val="14"/>
          <c:order val="20"/>
          <c:tx>
            <c:strRef>
              <c:f>'Initial CP Conferences'!$AK$58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'Initial CP Conferences'!$Y$2:$AC$3</c:f>
              <c:strCache>
                <c:ptCount val="5"/>
                <c:pt idx="0">
                  <c:v>2019/20</c:v>
                </c:pt>
                <c:pt idx="1">
                  <c:v>2020/21</c:v>
                </c:pt>
                <c:pt idx="2">
                  <c:v>2021/22</c:v>
                </c:pt>
                <c:pt idx="3">
                  <c:v>2022/23</c:v>
                </c:pt>
                <c:pt idx="4">
                  <c:v>2023/24</c:v>
                </c:pt>
              </c:strCache>
            </c:strRef>
          </c:cat>
          <c:val>
            <c:numRef>
              <c:f>'Initial CP Conferences'!$AW$58:$BA$58</c:f>
              <c:numCache>
                <c:formatCode>0.0%</c:formatCode>
                <c:ptCount val="5"/>
                <c:pt idx="0">
                  <c:v>0.77655866787143413</c:v>
                </c:pt>
                <c:pt idx="1">
                  <c:v>0.83039404794709282</c:v>
                </c:pt>
                <c:pt idx="2">
                  <c:v>0.79197723268735598</c:v>
                </c:pt>
                <c:pt idx="3">
                  <c:v>0.78421618714708252</c:v>
                </c:pt>
                <c:pt idx="4">
                  <c:v>0.79695501730103802</c:v>
                </c:pt>
              </c:numCache>
            </c:numRef>
          </c:val>
          <c:smooth val="0"/>
          <c:extLst>
            <c:ext xmlns:c16="http://schemas.microsoft.com/office/drawing/2014/chart" uri="{C3380CC4-5D6E-409C-BE32-E72D297353CC}">
              <c16:uniqueId val="{00000018-6EFE-4180-9347-D63D94A5CEEA}"/>
            </c:ext>
          </c:extLst>
        </c:ser>
        <c:ser>
          <c:idx val="6"/>
          <c:order val="21"/>
          <c:tx>
            <c:strRef>
              <c:f>'Initial CP Conferences'!$AK$59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'Initial CP Conferences'!$Y$2:$AC$3</c:f>
              <c:strCache>
                <c:ptCount val="5"/>
                <c:pt idx="0">
                  <c:v>2019/20</c:v>
                </c:pt>
                <c:pt idx="1">
                  <c:v>2020/21</c:v>
                </c:pt>
                <c:pt idx="2">
                  <c:v>2021/22</c:v>
                </c:pt>
                <c:pt idx="3">
                  <c:v>2022/23</c:v>
                </c:pt>
                <c:pt idx="4">
                  <c:v>2023/24</c:v>
                </c:pt>
              </c:strCache>
            </c:strRef>
          </c:cat>
          <c:val>
            <c:numRef>
              <c:f>'Initial CP Conferences'!$AW$59:$BA$59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6EFE-4180-9347-D63D94A5CEEA}"/>
            </c:ext>
          </c:extLst>
        </c:ser>
        <c:dLbls>
          <c:showLegendKey val="0"/>
          <c:showVal val="0"/>
          <c:showCatName val="0"/>
          <c:showSerName val="0"/>
          <c:showPercent val="0"/>
          <c:showBubbleSize val="0"/>
        </c:dLbls>
        <c:marker val="1"/>
        <c:smooth val="0"/>
        <c:axId val="574200064"/>
        <c:axId val="574206336"/>
      </c:lineChart>
      <c:catAx>
        <c:axId val="57420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74206336"/>
        <c:crosses val="autoZero"/>
        <c:auto val="1"/>
        <c:lblAlgn val="ctr"/>
        <c:lblOffset val="100"/>
        <c:tickLblSkip val="1"/>
        <c:tickMarkSkip val="1"/>
        <c:noMultiLvlLbl val="0"/>
      </c:catAx>
      <c:valAx>
        <c:axId val="574206336"/>
        <c:scaling>
          <c:orientation val="minMax"/>
          <c:max val="1"/>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74200064"/>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89091379300858"/>
          <c:h val="0.90130076528116321"/>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b="1" i="0" u="none" strike="noStrike" baseline="0">
                <a:solidFill>
                  <a:srgbClr val="000000"/>
                </a:solidFill>
                <a:latin typeface="Arial"/>
                <a:ea typeface="Arial"/>
                <a:cs typeface="Arial"/>
              </a:defRPr>
            </a:pPr>
            <a:r>
              <a:rPr lang="en-GB" sz="1100"/>
              <a:t>Distance from Expected Rate of Initial CP Conferences</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28777070469157806"/>
          <c:y val="0.13754659323684476"/>
          <c:w val="0.6780722303562714"/>
          <c:h val="0.80483344421018621"/>
        </c:manualLayout>
      </c:layout>
      <c:barChart>
        <c:barDir val="bar"/>
        <c:grouping val="clustered"/>
        <c:varyColors val="0"/>
        <c:ser>
          <c:idx val="2"/>
          <c:order val="0"/>
          <c:tx>
            <c:strRef>
              <c:f>'Initial CP Conferences'!$S$7:$T$7</c:f>
              <c:strCache>
                <c:ptCount val="1"/>
                <c:pt idx="0">
                  <c:v>Distance from 2024 Expected Rate based on IDACI</c:v>
                </c:pt>
              </c:strCache>
            </c:strRef>
          </c:tx>
          <c:spPr>
            <a:solidFill>
              <a:srgbClr val="FB994F"/>
            </a:solidFill>
            <a:ln w="25400">
              <a:noFill/>
            </a:ln>
          </c:spPr>
          <c:invertIfNegative val="0"/>
          <c:cat>
            <c:strRef>
              <c:f>'Initial CP Conferences'!$X$74:$X$94</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'Initial CP Conferences'!$T$11:$T$31</c:f>
              <c:numCache>
                <c:formatCode>0.0</c:formatCode>
                <c:ptCount val="21"/>
                <c:pt idx="0">
                  <c:v>0.1535308714657333</c:v>
                </c:pt>
                <c:pt idx="1">
                  <c:v>11.922997645464342</c:v>
                </c:pt>
                <c:pt idx="2">
                  <c:v>3.2348228482216967</c:v>
                </c:pt>
                <c:pt idx="3">
                  <c:v>16.399300190065311</c:v>
                </c:pt>
                <c:pt idx="4">
                  <c:v>#N/A</c:v>
                </c:pt>
                <c:pt idx="5">
                  <c:v>50.606499191491466</c:v>
                </c:pt>
                <c:pt idx="6">
                  <c:v>-17.882633673630956</c:v>
                </c:pt>
                <c:pt idx="7">
                  <c:v>2.2196413008317109</c:v>
                </c:pt>
                <c:pt idx="8">
                  <c:v>-14.940457349107298</c:v>
                </c:pt>
                <c:pt idx="9">
                  <c:v>-2.0597041774929323</c:v>
                </c:pt>
                <c:pt idx="10">
                  <c:v>8.909419239568237</c:v>
                </c:pt>
                <c:pt idx="11">
                  <c:v>18.445118310042879</c:v>
                </c:pt>
                <c:pt idx="12">
                  <c:v>9.6730872282120188</c:v>
                </c:pt>
                <c:pt idx="13">
                  <c:v>2.1335281302502977</c:v>
                </c:pt>
                <c:pt idx="14">
                  <c:v>-20.254454390416871</c:v>
                </c:pt>
                <c:pt idx="15">
                  <c:v>24.797688542330718</c:v>
                </c:pt>
                <c:pt idx="16">
                  <c:v>4.110467992750678</c:v>
                </c:pt>
                <c:pt idx="17">
                  <c:v>23.265340265190446</c:v>
                </c:pt>
                <c:pt idx="18">
                  <c:v>-3.9245884190641789</c:v>
                </c:pt>
                <c:pt idx="19">
                  <c:v>6.6568753586151814</c:v>
                </c:pt>
                <c:pt idx="20">
                  <c:v>-5.0460440967250335</c:v>
                </c:pt>
              </c:numCache>
            </c:numRef>
          </c:val>
          <c:extLst>
            <c:ext xmlns:c16="http://schemas.microsoft.com/office/drawing/2014/chart" uri="{C3380CC4-5D6E-409C-BE32-E72D297353CC}">
              <c16:uniqueId val="{00000000-637B-4265-8BE8-4321B043ABA3}"/>
            </c:ext>
          </c:extLst>
        </c:ser>
        <c:ser>
          <c:idx val="0"/>
          <c:order val="1"/>
          <c:tx>
            <c:strRef>
              <c:f>'Initial CP Conferences'!$Z$4</c:f>
              <c:strCache>
                <c:ptCount val="1"/>
                <c:pt idx="0">
                  <c:v>Selected LA- (none)</c:v>
                </c:pt>
              </c:strCache>
            </c:strRef>
          </c:tx>
          <c:spPr>
            <a:solidFill>
              <a:srgbClr val="66FF99"/>
            </a:solidFill>
            <a:ln w="12700">
              <a:solidFill>
                <a:srgbClr val="000000"/>
              </a:solidFill>
              <a:prstDash val="solid"/>
            </a:ln>
          </c:spPr>
          <c:invertIfNegative val="0"/>
          <c:cat>
            <c:strRef>
              <c:f>'Initial CP Conferences'!$X$74:$X$94</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'Initial CP Conferences'!$Z$74:$Z$94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637B-4265-8BE8-4321B043ABA3}"/>
            </c:ext>
          </c:extLst>
        </c:ser>
        <c:dLbls>
          <c:showLegendKey val="0"/>
          <c:showVal val="0"/>
          <c:showCatName val="0"/>
          <c:showSerName val="0"/>
          <c:showPercent val="0"/>
          <c:showBubbleSize val="0"/>
        </c:dLbls>
        <c:gapWidth val="40"/>
        <c:overlap val="100"/>
        <c:axId val="563931008"/>
        <c:axId val="563932544"/>
      </c:barChart>
      <c:catAx>
        <c:axId val="56393100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3932544"/>
        <c:crossesAt val="0"/>
        <c:auto val="1"/>
        <c:lblAlgn val="ctr"/>
        <c:lblOffset val="100"/>
        <c:noMultiLvlLbl val="0"/>
      </c:catAx>
      <c:valAx>
        <c:axId val="563932544"/>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3931008"/>
        <c:crosses val="max"/>
        <c:crossBetween val="between"/>
      </c:valAx>
      <c:spPr>
        <a:noFill/>
        <a:ln w="12700">
          <a:solidFill>
            <a:srgbClr val="000000"/>
          </a:solidFill>
          <a:prstDash val="solid"/>
        </a:ln>
      </c:spPr>
    </c:plotArea>
    <c:legend>
      <c:legendPos val="t"/>
      <c:layout>
        <c:manualLayout>
          <c:xMode val="edge"/>
          <c:yMode val="edge"/>
          <c:x val="7.4241941986546989E-2"/>
          <c:y val="7.8663685557823784E-2"/>
          <c:w val="0.85035924204808289"/>
          <c:h val="4.7065065940831471E-2"/>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'Initial CP Conferences'!$AK$5</c:f>
          <c:strCache>
            <c:ptCount val="1"/>
            <c:pt idx="0">
              <c:v>Average Annual Change in Number of Initial CP Conferences</c:v>
            </c:pt>
          </c:strCache>
        </c:strRef>
      </c:tx>
      <c:layout>
        <c:manualLayout>
          <c:xMode val="edge"/>
          <c:yMode val="edge"/>
          <c:x val="9.5785619809663491E-3"/>
          <c:y val="1.1152426478663088E-2"/>
        </c:manualLayout>
      </c:layout>
      <c:overlay val="0"/>
      <c:spPr>
        <a:noFill/>
        <a:ln w="25400">
          <a:noFill/>
        </a:ln>
      </c:spPr>
      <c:txPr>
        <a:bodyPr/>
        <a:lstStyle/>
        <a:p>
          <a:pPr algn="l">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30017257636558997"/>
          <c:y val="0.13754659323684476"/>
          <c:w val="0.66081792864504529"/>
          <c:h val="0.80483344421018621"/>
        </c:manualLayout>
      </c:layout>
      <c:barChart>
        <c:barDir val="bar"/>
        <c:grouping val="clustered"/>
        <c:varyColors val="0"/>
        <c:ser>
          <c:idx val="0"/>
          <c:order val="0"/>
          <c:tx>
            <c:strRef>
              <c:f>'Initial CP Conferences'!$I$7</c:f>
              <c:strCache>
                <c:ptCount val="1"/>
                <c:pt idx="0">
                  <c:v>Average Annual Change </c:v>
                </c:pt>
              </c:strCache>
            </c:strRef>
          </c:tx>
          <c:spPr>
            <a:solidFill>
              <a:srgbClr val="FB994F"/>
            </a:solidFill>
            <a:ln w="25400">
              <a:noFill/>
            </a:ln>
          </c:spPr>
          <c:invertIfNegative val="0"/>
          <c:cat>
            <c:strRef>
              <c:f>'Initial CP Conferences'!$B$11:$B$31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'Initial CP Conferences'!$I$11:$I$31</c:f>
              <c:numCache>
                <c:formatCode>0.0%</c:formatCode>
                <c:ptCount val="21"/>
                <c:pt idx="0">
                  <c:v>-0.11808351579316878</c:v>
                </c:pt>
                <c:pt idx="1">
                  <c:v>-7.025212788277671E-2</c:v>
                </c:pt>
                <c:pt idx="2">
                  <c:v>-2.1189391978254618E-2</c:v>
                </c:pt>
                <c:pt idx="3">
                  <c:v>5.1567608260174078E-2</c:v>
                </c:pt>
                <c:pt idx="4">
                  <c:v>1.7475801187327607E-2</c:v>
                </c:pt>
                <c:pt idx="5">
                  <c:v>0.19311159573384018</c:v>
                </c:pt>
                <c:pt idx="6">
                  <c:v>-1.6031507848924612E-2</c:v>
                </c:pt>
                <c:pt idx="7">
                  <c:v>1.9682865364473199E-2</c:v>
                </c:pt>
                <c:pt idx="8">
                  <c:v>6.3152340944412591E-2</c:v>
                </c:pt>
                <c:pt idx="9">
                  <c:v>-3.4310792998008599E-2</c:v>
                </c:pt>
                <c:pt idx="10">
                  <c:v>1.5437068833193165E-2</c:v>
                </c:pt>
                <c:pt idx="11">
                  <c:v>-3.2653678117812238E-3</c:v>
                </c:pt>
                <c:pt idx="12">
                  <c:v>-4.4522081371697372E-2</c:v>
                </c:pt>
                <c:pt idx="13">
                  <c:v>-0.12376028275494896</c:v>
                </c:pt>
                <c:pt idx="14">
                  <c:v>-1.7344536109974946E-2</c:v>
                </c:pt>
                <c:pt idx="15">
                  <c:v>0.13899606699403605</c:v>
                </c:pt>
                <c:pt idx="16">
                  <c:v>-5.6373007702930578E-2</c:v>
                </c:pt>
                <c:pt idx="17">
                  <c:v>-2.3276916735632328E-2</c:v>
                </c:pt>
                <c:pt idx="18">
                  <c:v>-3.7015734658574877E-2</c:v>
                </c:pt>
                <c:pt idx="19">
                  <c:v>5.4486280932002605E-4</c:v>
                </c:pt>
                <c:pt idx="20">
                  <c:v>-1.6772753961092946E-2</c:v>
                </c:pt>
              </c:numCache>
            </c:numRef>
          </c:val>
          <c:extLst>
            <c:ext xmlns:c16="http://schemas.microsoft.com/office/drawing/2014/chart" uri="{C3380CC4-5D6E-409C-BE32-E72D297353CC}">
              <c16:uniqueId val="{00000000-D39F-4117-88EF-841DC5674BF1}"/>
            </c:ext>
          </c:extLst>
        </c:ser>
        <c:ser>
          <c:idx val="1"/>
          <c:order val="1"/>
          <c:tx>
            <c:strRef>
              <c:f>'Initial CP Conferences'!$Z$4</c:f>
              <c:strCache>
                <c:ptCount val="1"/>
                <c:pt idx="0">
                  <c:v>Selected LA- (none)</c:v>
                </c:pt>
              </c:strCache>
            </c:strRef>
          </c:tx>
          <c:spPr>
            <a:solidFill>
              <a:srgbClr val="66FF99"/>
            </a:solidFill>
            <a:ln w="12700">
              <a:solidFill>
                <a:srgbClr val="000000"/>
              </a:solidFill>
              <a:prstDash val="solid"/>
            </a:ln>
          </c:spPr>
          <c:invertIfNegative val="0"/>
          <c:cat>
            <c:strRef>
              <c:f>'Initial CP Conferences'!$B$11:$B$31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'Initial CP Conferences'!$Y$74:$Y$94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D39F-4117-88EF-841DC5674BF1}"/>
            </c:ext>
          </c:extLst>
        </c:ser>
        <c:dLbls>
          <c:showLegendKey val="0"/>
          <c:showVal val="0"/>
          <c:showCatName val="0"/>
          <c:showSerName val="0"/>
          <c:showPercent val="0"/>
          <c:showBubbleSize val="0"/>
        </c:dLbls>
        <c:gapWidth val="40"/>
        <c:overlap val="100"/>
        <c:axId val="574263680"/>
        <c:axId val="574265216"/>
      </c:barChart>
      <c:catAx>
        <c:axId val="574263680"/>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74265216"/>
        <c:crosses val="autoZero"/>
        <c:auto val="1"/>
        <c:lblAlgn val="ctr"/>
        <c:lblOffset val="100"/>
        <c:noMultiLvlLbl val="0"/>
      </c:catAx>
      <c:valAx>
        <c:axId val="574265216"/>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74263680"/>
        <c:crosses val="max"/>
        <c:crossBetween val="between"/>
      </c:valAx>
      <c:spPr>
        <a:noFill/>
        <a:ln w="3175">
          <a:solidFill>
            <a:srgbClr val="000000"/>
          </a:solidFill>
          <a:prstDash val="solid"/>
        </a:ln>
      </c:spPr>
    </c:plotArea>
    <c:legend>
      <c:legendPos val="t"/>
      <c:layout>
        <c:manualLayout>
          <c:xMode val="edge"/>
          <c:yMode val="edge"/>
          <c:x val="9.1580378483871669E-2"/>
          <c:y val="7.3951751401445193E-2"/>
          <c:w val="0.85812183408986265"/>
          <c:h val="5.3237905447004311E-2"/>
        </c:manualLayout>
      </c:layout>
      <c:overlay val="0"/>
      <c:spPr>
        <a:noFill/>
        <a:ln w="12700">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pPr>
            <a:r>
              <a:rPr lang="en-GB" sz="1100" b="1"/>
              <a:t>ICPC as % of S47 </a:t>
            </a:r>
          </a:p>
          <a:p>
            <a:pPr>
              <a:defRPr sz="1100" b="1"/>
            </a:pPr>
            <a:r>
              <a:rPr lang="en-GB" sz="1100" b="1"/>
              <a:t>(Selected LA vs. SE &amp; National) </a:t>
            </a:r>
          </a:p>
        </c:rich>
      </c:tx>
      <c:layout>
        <c:manualLayout>
          <c:xMode val="edge"/>
          <c:yMode val="edge"/>
          <c:x val="0.2206138094124373"/>
          <c:y val="3.8611840186643332E-3"/>
        </c:manualLayout>
      </c:layout>
      <c:overlay val="0"/>
      <c:spPr>
        <a:noFill/>
        <a:ln w="25400">
          <a:noFill/>
        </a:ln>
      </c:spPr>
    </c:title>
    <c:autoTitleDeleted val="0"/>
    <c:plotArea>
      <c:layout>
        <c:manualLayout>
          <c:layoutTarget val="inner"/>
          <c:xMode val="edge"/>
          <c:yMode val="edge"/>
          <c:x val="9.8666564984461691E-2"/>
          <c:y val="0.23387085386256545"/>
          <c:w val="0.62957251630674882"/>
          <c:h val="0.53823640465994371"/>
        </c:manualLayout>
      </c:layout>
      <c:barChart>
        <c:barDir val="col"/>
        <c:grouping val="clustered"/>
        <c:varyColors val="0"/>
        <c:ser>
          <c:idx val="6"/>
          <c:order val="0"/>
          <c:tx>
            <c:strRef>
              <c:f>'Initial CP Conferences'!$Z$4</c:f>
              <c:strCache>
                <c:ptCount val="1"/>
                <c:pt idx="0">
                  <c:v>Selected LA- (none)</c:v>
                </c:pt>
              </c:strCache>
            </c:strRef>
          </c:tx>
          <c:spPr>
            <a:solidFill>
              <a:srgbClr val="66FF99"/>
            </a:solidFill>
            <a:ln>
              <a:solidFill>
                <a:schemeClr val="tx1">
                  <a:lumMod val="75000"/>
                  <a:lumOff val="25000"/>
                </a:schemeClr>
              </a:solidFill>
            </a:ln>
          </c:spPr>
          <c:invertIfNegative val="0"/>
          <c:cat>
            <c:strRef>
              <c:f>'Initial CP Conferences'!$Y$2:$AC$3</c:f>
              <c:strCache>
                <c:ptCount val="5"/>
                <c:pt idx="0">
                  <c:v>2019/20</c:v>
                </c:pt>
                <c:pt idx="1">
                  <c:v>2020/21</c:v>
                </c:pt>
                <c:pt idx="2">
                  <c:v>2021/22</c:v>
                </c:pt>
                <c:pt idx="3">
                  <c:v>2022/23</c:v>
                </c:pt>
                <c:pt idx="4">
                  <c:v>2023/24</c:v>
                </c:pt>
              </c:strCache>
            </c:strRef>
          </c:cat>
          <c:val>
            <c:numRef>
              <c:f>'Initial CP Conferences'!$AR$59:$AV$59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E3F4-4C63-9DC7-60922BA98C80}"/>
            </c:ext>
          </c:extLst>
        </c:ser>
        <c:ser>
          <c:idx val="4"/>
          <c:order val="1"/>
          <c:tx>
            <c:strRef>
              <c:f>'Initial CP Conferences'!$B$161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'Initial CP Conferences'!$Y$2:$AC$3</c:f>
              <c:strCache>
                <c:ptCount val="5"/>
                <c:pt idx="0">
                  <c:v>2019/20</c:v>
                </c:pt>
                <c:pt idx="1">
                  <c:v>2020/21</c:v>
                </c:pt>
                <c:pt idx="2">
                  <c:v>2021/22</c:v>
                </c:pt>
                <c:pt idx="3">
                  <c:v>2022/23</c:v>
                </c:pt>
                <c:pt idx="4">
                  <c:v>2023/24</c:v>
                </c:pt>
              </c:strCache>
            </c:strRef>
          </c:cat>
          <c:val>
            <c:numRef>
              <c:f>'Initial CP Conferences'!$D$128:$H$128</c:f>
              <c:numCache>
                <c:formatCode>0%</c:formatCode>
                <c:ptCount val="5"/>
                <c:pt idx="0">
                  <c:v>0.34403357531760437</c:v>
                </c:pt>
                <c:pt idx="1">
                  <c:v>0.32329613827808773</c:v>
                </c:pt>
                <c:pt idx="2">
                  <c:v>0.29173733947177127</c:v>
                </c:pt>
                <c:pt idx="3">
                  <c:v>0.28626045400238948</c:v>
                </c:pt>
                <c:pt idx="4">
                  <c:v>0.26513466765505311</c:v>
                </c:pt>
              </c:numCache>
            </c:numRef>
          </c:val>
          <c:extLst>
            <c:ext xmlns:c16="http://schemas.microsoft.com/office/drawing/2014/chart" uri="{C3380CC4-5D6E-409C-BE32-E72D297353CC}">
              <c16:uniqueId val="{00000001-E3F4-4C63-9DC7-60922BA98C80}"/>
            </c:ext>
          </c:extLst>
        </c:ser>
        <c:ser>
          <c:idx val="0"/>
          <c:order val="2"/>
          <c:tx>
            <c:strRef>
              <c:f>'Initial CP Conferences'!$B$162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'Initial CP Conferences'!$Y$2:$AC$3</c:f>
              <c:strCache>
                <c:ptCount val="5"/>
                <c:pt idx="0">
                  <c:v>2019/20</c:v>
                </c:pt>
                <c:pt idx="1">
                  <c:v>2020/21</c:v>
                </c:pt>
                <c:pt idx="2">
                  <c:v>2021/22</c:v>
                </c:pt>
                <c:pt idx="3">
                  <c:v>2022/23</c:v>
                </c:pt>
                <c:pt idx="4">
                  <c:v>2023/24</c:v>
                </c:pt>
              </c:strCache>
            </c:strRef>
          </c:cat>
          <c:val>
            <c:numRef>
              <c:f>'Initial CP Conferences'!$D$129:$H$129</c:f>
              <c:numCache>
                <c:formatCode>0%</c:formatCode>
                <c:ptCount val="5"/>
                <c:pt idx="0">
                  <c:v>0.38542288557213933</c:v>
                </c:pt>
                <c:pt idx="1">
                  <c:v>0.36510890889883796</c:v>
                </c:pt>
                <c:pt idx="2">
                  <c:v>0.33879706152433425</c:v>
                </c:pt>
                <c:pt idx="3">
                  <c:v>0.32999112688553683</c:v>
                </c:pt>
                <c:pt idx="4">
                  <c:v>0.32179761268483875</c:v>
                </c:pt>
              </c:numCache>
            </c:numRef>
          </c:val>
          <c:extLst>
            <c:ext xmlns:c16="http://schemas.microsoft.com/office/drawing/2014/chart" uri="{C3380CC4-5D6E-409C-BE32-E72D297353CC}">
              <c16:uniqueId val="{00000002-E3F4-4C63-9DC7-60922BA98C80}"/>
            </c:ext>
          </c:extLst>
        </c:ser>
        <c:dLbls>
          <c:showLegendKey val="0"/>
          <c:showVal val="0"/>
          <c:showCatName val="0"/>
          <c:showSerName val="0"/>
          <c:showPercent val="0"/>
          <c:showBubbleSize val="0"/>
        </c:dLbls>
        <c:gapWidth val="100"/>
        <c:axId val="574635008"/>
        <c:axId val="574640896"/>
      </c:barChart>
      <c:catAx>
        <c:axId val="574635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74640896"/>
        <c:crosses val="autoZero"/>
        <c:auto val="1"/>
        <c:lblAlgn val="ctr"/>
        <c:lblOffset val="100"/>
        <c:noMultiLvlLbl val="0"/>
      </c:catAx>
      <c:valAx>
        <c:axId val="574640896"/>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74635008"/>
        <c:crosses val="autoZero"/>
        <c:crossBetween val="between"/>
      </c:valAx>
      <c:spPr>
        <a:noFill/>
        <a:ln w="3175">
          <a:solidFill>
            <a:srgbClr val="000000"/>
          </a:solidFill>
          <a:prstDash val="solid"/>
        </a:ln>
      </c:spPr>
    </c:plotArea>
    <c:legend>
      <c:legendPos val="r"/>
      <c:layout>
        <c:manualLayout>
          <c:xMode val="edge"/>
          <c:yMode val="edge"/>
          <c:x val="0.72924872014760533"/>
          <c:y val="0.23427097474884606"/>
          <c:w val="0.27075127985239467"/>
          <c:h val="0.64344081989751278"/>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a:pPr>
            <a:r>
              <a:rPr lang="en-GB" sz="1200" b="1"/>
              <a:t>Number of Initial CP Conferences as a percentage of Section 47 Enquiries</a:t>
            </a:r>
          </a:p>
        </c:rich>
      </c:tx>
      <c:layout>
        <c:manualLayout>
          <c:xMode val="edge"/>
          <c:yMode val="edge"/>
          <c:x val="8.9251440329218099E-2"/>
          <c:y val="2.0507974964667879E-3"/>
        </c:manualLayout>
      </c:layout>
      <c:overlay val="0"/>
      <c:spPr>
        <a:noFill/>
        <a:ln w="25400">
          <a:noFill/>
        </a:ln>
      </c:spPr>
    </c:title>
    <c:autoTitleDeleted val="0"/>
    <c:plotArea>
      <c:layout>
        <c:manualLayout>
          <c:layoutTarget val="inner"/>
          <c:xMode val="edge"/>
          <c:yMode val="edge"/>
          <c:x val="8.9669774541780586E-2"/>
          <c:y val="7.3549410974790952E-2"/>
          <c:w val="0.56947107392372909"/>
          <c:h val="0.86169379844961236"/>
        </c:manualLayout>
      </c:layout>
      <c:lineChart>
        <c:grouping val="standard"/>
        <c:varyColors val="0"/>
        <c:ser>
          <c:idx val="0"/>
          <c:order val="0"/>
          <c:tx>
            <c:strRef>
              <c:f>'Initial CP Conferences'!$AK$38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750B-4F42-9FA7-B6CC88779032}"/>
              </c:ext>
            </c:extLst>
          </c:dPt>
          <c:cat>
            <c:strRef>
              <c:f>'Initial CP Conferences'!$Y$2:$AC$3</c:f>
              <c:strCache>
                <c:ptCount val="5"/>
                <c:pt idx="0">
                  <c:v>2019/20</c:v>
                </c:pt>
                <c:pt idx="1">
                  <c:v>2020/21</c:v>
                </c:pt>
                <c:pt idx="2">
                  <c:v>2021/22</c:v>
                </c:pt>
                <c:pt idx="3">
                  <c:v>2022/23</c:v>
                </c:pt>
                <c:pt idx="4">
                  <c:v>2023/24</c:v>
                </c:pt>
              </c:strCache>
            </c:strRef>
          </c:cat>
          <c:val>
            <c:numRef>
              <c:f>'Initial CP Conferences'!$AR$38:$AV$38</c:f>
              <c:numCache>
                <c:formatCode>0.0%</c:formatCode>
                <c:ptCount val="5"/>
                <c:pt idx="0">
                  <c:v>0.3141809290953545</c:v>
                </c:pt>
                <c:pt idx="1">
                  <c:v>0.30424799081515497</c:v>
                </c:pt>
                <c:pt idx="2">
                  <c:v>0.32167832167832167</c:v>
                </c:pt>
                <c:pt idx="3">
                  <c:v>0.28521536670547148</c:v>
                </c:pt>
                <c:pt idx="4">
                  <c:v>0.1991404011461318</c:v>
                </c:pt>
              </c:numCache>
            </c:numRef>
          </c:val>
          <c:smooth val="0"/>
          <c:extLst>
            <c:ext xmlns:c16="http://schemas.microsoft.com/office/drawing/2014/chart" uri="{C3380CC4-5D6E-409C-BE32-E72D297353CC}">
              <c16:uniqueId val="{00000001-750B-4F42-9FA7-B6CC88779032}"/>
            </c:ext>
          </c:extLst>
        </c:ser>
        <c:ser>
          <c:idx val="1"/>
          <c:order val="1"/>
          <c:tx>
            <c:strRef>
              <c:f>'Initial CP Conferences'!$AK$39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Conferences'!$AR$39:$AV$39</c:f>
              <c:numCache>
                <c:formatCode>0.0%</c:formatCode>
                <c:ptCount val="5"/>
                <c:pt idx="0">
                  <c:v>0.55213270142180093</c:v>
                </c:pt>
                <c:pt idx="1">
                  <c:v>0.48711340206185566</c:v>
                </c:pt>
                <c:pt idx="2">
                  <c:v>0.48088779284833538</c:v>
                </c:pt>
                <c:pt idx="3">
                  <c:v>0.3318544809228039</c:v>
                </c:pt>
                <c:pt idx="4">
                  <c:v>0.28022875816993464</c:v>
                </c:pt>
              </c:numCache>
            </c:numRef>
          </c:val>
          <c:smooth val="0"/>
          <c:extLst>
            <c:ext xmlns:c16="http://schemas.microsoft.com/office/drawing/2014/chart" uri="{C3380CC4-5D6E-409C-BE32-E72D297353CC}">
              <c16:uniqueId val="{00000002-750B-4F42-9FA7-B6CC88779032}"/>
            </c:ext>
          </c:extLst>
        </c:ser>
        <c:ser>
          <c:idx val="2"/>
          <c:order val="2"/>
          <c:tx>
            <c:strRef>
              <c:f>'Initial CP Conferences'!$AK$40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Conferences'!$AR$40:$AV$40</c:f>
              <c:numCache>
                <c:formatCode>0.0%</c:formatCode>
                <c:ptCount val="5"/>
                <c:pt idx="0">
                  <c:v>0.35501242750621376</c:v>
                </c:pt>
                <c:pt idx="1">
                  <c:v>0.2795436022819886</c:v>
                </c:pt>
                <c:pt idx="2">
                  <c:v>0.29378689907225192</c:v>
                </c:pt>
                <c:pt idx="3">
                  <c:v>0.24982456140350878</c:v>
                </c:pt>
                <c:pt idx="4">
                  <c:v>0.23849834376150167</c:v>
                </c:pt>
              </c:numCache>
            </c:numRef>
          </c:val>
          <c:smooth val="0"/>
          <c:extLst>
            <c:ext xmlns:c16="http://schemas.microsoft.com/office/drawing/2014/chart" uri="{C3380CC4-5D6E-409C-BE32-E72D297353CC}">
              <c16:uniqueId val="{00000003-750B-4F42-9FA7-B6CC88779032}"/>
            </c:ext>
          </c:extLst>
        </c:ser>
        <c:ser>
          <c:idx val="5"/>
          <c:order val="3"/>
          <c:tx>
            <c:strRef>
              <c:f>'Initial CP Conferences'!$AK$41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Conferences'!$AR$41:$AV$41</c:f>
              <c:numCache>
                <c:formatCode>0.0%</c:formatCode>
                <c:ptCount val="5"/>
                <c:pt idx="0">
                  <c:v>0.5161532682193839</c:v>
                </c:pt>
                <c:pt idx="1">
                  <c:v>0.44596199524940616</c:v>
                </c:pt>
                <c:pt idx="2">
                  <c:v>0.43268628678772697</c:v>
                </c:pt>
                <c:pt idx="3">
                  <c:v>0.59839650145772594</c:v>
                </c:pt>
                <c:pt idx="4">
                  <c:v>0.64807541241162603</c:v>
                </c:pt>
              </c:numCache>
            </c:numRef>
          </c:val>
          <c:smooth val="0"/>
          <c:extLst>
            <c:ext xmlns:c16="http://schemas.microsoft.com/office/drawing/2014/chart" uri="{C3380CC4-5D6E-409C-BE32-E72D297353CC}">
              <c16:uniqueId val="{00000004-750B-4F42-9FA7-B6CC88779032}"/>
            </c:ext>
          </c:extLst>
        </c:ser>
        <c:ser>
          <c:idx val="9"/>
          <c:order val="4"/>
          <c:tx>
            <c:strRef>
              <c:f>'Initial CP Conferences'!$AK$42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Conferences'!$AR$42:$AV$42</c:f>
              <c:numCache>
                <c:formatCode>0.0%</c:formatCode>
                <c:ptCount val="5"/>
                <c:pt idx="0">
                  <c:v>0.31479642502482624</c:v>
                </c:pt>
                <c:pt idx="1">
                  <c:v>0.28191137566137564</c:v>
                </c:pt>
                <c:pt idx="2">
                  <c:v>0.20558631102164066</c:v>
                </c:pt>
                <c:pt idx="3">
                  <c:v>0.19717976063514633</c:v>
                </c:pt>
                <c:pt idx="4">
                  <c:v>#N/A</c:v>
                </c:pt>
              </c:numCache>
            </c:numRef>
          </c:val>
          <c:smooth val="0"/>
          <c:extLst>
            <c:ext xmlns:c16="http://schemas.microsoft.com/office/drawing/2014/chart" uri="{C3380CC4-5D6E-409C-BE32-E72D297353CC}">
              <c16:uniqueId val="{00000005-750B-4F42-9FA7-B6CC88779032}"/>
            </c:ext>
          </c:extLst>
        </c:ser>
        <c:ser>
          <c:idx val="10"/>
          <c:order val="5"/>
          <c:tx>
            <c:strRef>
              <c:f>'Initial CP Conferences'!$AK$43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Conferences'!$AR$43:$AV$43</c:f>
              <c:numCache>
                <c:formatCode>0.0%</c:formatCode>
                <c:ptCount val="5"/>
                <c:pt idx="0">
                  <c:v>0.24024960998439937</c:v>
                </c:pt>
                <c:pt idx="1">
                  <c:v>0.28908886389201349</c:v>
                </c:pt>
                <c:pt idx="2">
                  <c:v>0.27345309381237526</c:v>
                </c:pt>
                <c:pt idx="3">
                  <c:v>0.30082796688132474</c:v>
                </c:pt>
                <c:pt idx="4">
                  <c:v>0.23670668953687821</c:v>
                </c:pt>
              </c:numCache>
            </c:numRef>
          </c:val>
          <c:smooth val="0"/>
          <c:extLst>
            <c:ext xmlns:c16="http://schemas.microsoft.com/office/drawing/2014/chart" uri="{C3380CC4-5D6E-409C-BE32-E72D297353CC}">
              <c16:uniqueId val="{00000006-750B-4F42-9FA7-B6CC88779032}"/>
            </c:ext>
          </c:extLst>
        </c:ser>
        <c:ser>
          <c:idx val="11"/>
          <c:order val="6"/>
          <c:tx>
            <c:strRef>
              <c:f>'Initial CP Conferences'!$AK$44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Conferences'!$AR$44:$AV$44</c:f>
              <c:numCache>
                <c:formatCode>0.0%</c:formatCode>
                <c:ptCount val="5"/>
                <c:pt idx="0">
                  <c:v>0.25778651345630482</c:v>
                </c:pt>
                <c:pt idx="1">
                  <c:v>0.25988896599583622</c:v>
                </c:pt>
                <c:pt idx="2">
                  <c:v>0.25519109238639781</c:v>
                </c:pt>
                <c:pt idx="3">
                  <c:v>0.24542326221610461</c:v>
                </c:pt>
                <c:pt idx="4">
                  <c:v>0.21229050279329609</c:v>
                </c:pt>
              </c:numCache>
            </c:numRef>
          </c:val>
          <c:smooth val="0"/>
          <c:extLst>
            <c:ext xmlns:c16="http://schemas.microsoft.com/office/drawing/2014/chart" uri="{C3380CC4-5D6E-409C-BE32-E72D297353CC}">
              <c16:uniqueId val="{00000007-750B-4F42-9FA7-B6CC88779032}"/>
            </c:ext>
          </c:extLst>
        </c:ser>
        <c:ser>
          <c:idx val="12"/>
          <c:order val="7"/>
          <c:tx>
            <c:strRef>
              <c:f>'Initial CP Conferences'!$AK$45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Conferences'!$AR$45:$AV$45</c:f>
              <c:numCache>
                <c:formatCode>0.0%</c:formatCode>
                <c:ptCount val="5"/>
                <c:pt idx="0">
                  <c:v>0.37619853355893967</c:v>
                </c:pt>
                <c:pt idx="1">
                  <c:v>0.20826833073322934</c:v>
                </c:pt>
                <c:pt idx="2">
                  <c:v>0.25679012345679014</c:v>
                </c:pt>
                <c:pt idx="3">
                  <c:v>0.26685878962536025</c:v>
                </c:pt>
                <c:pt idx="4">
                  <c:v>0.23643603782976605</c:v>
                </c:pt>
              </c:numCache>
            </c:numRef>
          </c:val>
          <c:smooth val="0"/>
          <c:extLst>
            <c:ext xmlns:c16="http://schemas.microsoft.com/office/drawing/2014/chart" uri="{C3380CC4-5D6E-409C-BE32-E72D297353CC}">
              <c16:uniqueId val="{00000008-750B-4F42-9FA7-B6CC88779032}"/>
            </c:ext>
          </c:extLst>
        </c:ser>
        <c:ser>
          <c:idx val="13"/>
          <c:order val="8"/>
          <c:tx>
            <c:strRef>
              <c:f>'Initial CP Conferences'!$AK$46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Conferences'!$AR$46:$AV$46</c:f>
              <c:numCache>
                <c:formatCode>0.0%</c:formatCode>
                <c:ptCount val="5"/>
                <c:pt idx="0">
                  <c:v>0.32190942472460221</c:v>
                </c:pt>
                <c:pt idx="1">
                  <c:v>0.25994180407371487</c:v>
                </c:pt>
                <c:pt idx="2">
                  <c:v>0.28185328185328185</c:v>
                </c:pt>
                <c:pt idx="3">
                  <c:v>0.29826166514181152</c:v>
                </c:pt>
                <c:pt idx="4">
                  <c:v>0.27594728171334432</c:v>
                </c:pt>
              </c:numCache>
            </c:numRef>
          </c:val>
          <c:smooth val="0"/>
          <c:extLst>
            <c:ext xmlns:c16="http://schemas.microsoft.com/office/drawing/2014/chart" uri="{C3380CC4-5D6E-409C-BE32-E72D297353CC}">
              <c16:uniqueId val="{00000009-750B-4F42-9FA7-B6CC88779032}"/>
            </c:ext>
          </c:extLst>
        </c:ser>
        <c:ser>
          <c:idx val="15"/>
          <c:order val="9"/>
          <c:tx>
            <c:strRef>
              <c:f>'Initial CP Conferences'!$AK$47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Conferences'!$AR$47:$AV$47</c:f>
              <c:numCache>
                <c:formatCode>0.0%</c:formatCode>
                <c:ptCount val="5"/>
                <c:pt idx="0">
                  <c:v>0.45459317585301839</c:v>
                </c:pt>
                <c:pt idx="1">
                  <c:v>0.44027303754266212</c:v>
                </c:pt>
                <c:pt idx="2">
                  <c:v>0.40522243713733075</c:v>
                </c:pt>
                <c:pt idx="3">
                  <c:v>0.38750587130108033</c:v>
                </c:pt>
                <c:pt idx="4">
                  <c:v>0.39935587761674718</c:v>
                </c:pt>
              </c:numCache>
            </c:numRef>
          </c:val>
          <c:smooth val="0"/>
          <c:extLst>
            <c:ext xmlns:c16="http://schemas.microsoft.com/office/drawing/2014/chart" uri="{C3380CC4-5D6E-409C-BE32-E72D297353CC}">
              <c16:uniqueId val="{0000000A-750B-4F42-9FA7-B6CC88779032}"/>
            </c:ext>
          </c:extLst>
        </c:ser>
        <c:ser>
          <c:idx val="16"/>
          <c:order val="10"/>
          <c:tx>
            <c:strRef>
              <c:f>'Initial CP Conferences'!$AK$48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Conferences'!$AR$48:$AV$48</c:f>
              <c:numCache>
                <c:formatCode>0.0%</c:formatCode>
                <c:ptCount val="5"/>
                <c:pt idx="0">
                  <c:v>0.26120556414219476</c:v>
                </c:pt>
                <c:pt idx="1">
                  <c:v>0.31932021466905186</c:v>
                </c:pt>
                <c:pt idx="2">
                  <c:v>0.2190923317683881</c:v>
                </c:pt>
                <c:pt idx="3">
                  <c:v>0.27245804540967422</c:v>
                </c:pt>
                <c:pt idx="4">
                  <c:v>0.24064925899788286</c:v>
                </c:pt>
              </c:numCache>
            </c:numRef>
          </c:val>
          <c:smooth val="0"/>
          <c:extLst>
            <c:ext xmlns:c16="http://schemas.microsoft.com/office/drawing/2014/chart" uri="{C3380CC4-5D6E-409C-BE32-E72D297353CC}">
              <c16:uniqueId val="{0000000B-750B-4F42-9FA7-B6CC88779032}"/>
            </c:ext>
          </c:extLst>
        </c:ser>
        <c:ser>
          <c:idx val="17"/>
          <c:order val="11"/>
          <c:tx>
            <c:strRef>
              <c:f>'Initial CP Conferences'!$AK$49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Conferences'!$AR$49:$AV$49</c:f>
              <c:numCache>
                <c:formatCode>0.0%</c:formatCode>
                <c:ptCount val="5"/>
                <c:pt idx="0">
                  <c:v>0.37109826589595374</c:v>
                </c:pt>
                <c:pt idx="1">
                  <c:v>0.41875681570338058</c:v>
                </c:pt>
                <c:pt idx="2">
                  <c:v>0.32819582955575705</c:v>
                </c:pt>
                <c:pt idx="3">
                  <c:v>0.33040935672514621</c:v>
                </c:pt>
                <c:pt idx="4">
                  <c:v>0.28270814272644101</c:v>
                </c:pt>
              </c:numCache>
            </c:numRef>
          </c:val>
          <c:smooth val="0"/>
          <c:extLst>
            <c:ext xmlns:c16="http://schemas.microsoft.com/office/drawing/2014/chart" uri="{C3380CC4-5D6E-409C-BE32-E72D297353CC}">
              <c16:uniqueId val="{0000000C-750B-4F42-9FA7-B6CC88779032}"/>
            </c:ext>
          </c:extLst>
        </c:ser>
        <c:ser>
          <c:idx val="19"/>
          <c:order val="12"/>
          <c:tx>
            <c:strRef>
              <c:f>'Initial CP Conferences'!$AK$50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Conferences'!$AR$50:$AV$50</c:f>
              <c:numCache>
                <c:formatCode>0.0%</c:formatCode>
                <c:ptCount val="5"/>
                <c:pt idx="0">
                  <c:v>0.29961389961389961</c:v>
                </c:pt>
                <c:pt idx="1">
                  <c:v>0.26094570928196148</c:v>
                </c:pt>
                <c:pt idx="2">
                  <c:v>0.29816513761467889</c:v>
                </c:pt>
                <c:pt idx="3">
                  <c:v>0.26811594202898553</c:v>
                </c:pt>
                <c:pt idx="4">
                  <c:v>0.25425101214574897</c:v>
                </c:pt>
              </c:numCache>
            </c:numRef>
          </c:val>
          <c:smooth val="0"/>
          <c:extLst>
            <c:ext xmlns:c16="http://schemas.microsoft.com/office/drawing/2014/chart" uri="{C3380CC4-5D6E-409C-BE32-E72D297353CC}">
              <c16:uniqueId val="{0000000D-750B-4F42-9FA7-B6CC88779032}"/>
            </c:ext>
          </c:extLst>
        </c:ser>
        <c:ser>
          <c:idx val="20"/>
          <c:order val="13"/>
          <c:tx>
            <c:strRef>
              <c:f>'Initial CP Conferences'!$AK$51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Conferences'!$AR$51:$AV$51</c:f>
              <c:numCache>
                <c:formatCode>0.0%</c:formatCode>
                <c:ptCount val="5"/>
                <c:pt idx="0">
                  <c:v>0.33223062381852553</c:v>
                </c:pt>
                <c:pt idx="1">
                  <c:v>0.32084592145015106</c:v>
                </c:pt>
                <c:pt idx="2">
                  <c:v>0.3597491448118586</c:v>
                </c:pt>
                <c:pt idx="3">
                  <c:v>0.23891767415083479</c:v>
                </c:pt>
                <c:pt idx="4">
                  <c:v>0.28409090909090912</c:v>
                </c:pt>
              </c:numCache>
            </c:numRef>
          </c:val>
          <c:smooth val="0"/>
          <c:extLst>
            <c:ext xmlns:c16="http://schemas.microsoft.com/office/drawing/2014/chart" uri="{C3380CC4-5D6E-409C-BE32-E72D297353CC}">
              <c16:uniqueId val="{0000000F-750B-4F42-9FA7-B6CC88779032}"/>
            </c:ext>
          </c:extLst>
        </c:ser>
        <c:ser>
          <c:idx val="22"/>
          <c:order val="14"/>
          <c:tx>
            <c:strRef>
              <c:f>'Initial CP Conferences'!$AK$52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Conferences'!$AR$52:$AV$52</c:f>
              <c:numCache>
                <c:formatCode>0.0%</c:formatCode>
                <c:ptCount val="5"/>
                <c:pt idx="0">
                  <c:v>0.3220466516177577</c:v>
                </c:pt>
                <c:pt idx="1">
                  <c:v>0.33761682242990654</c:v>
                </c:pt>
                <c:pt idx="2">
                  <c:v>0.33266704740148484</c:v>
                </c:pt>
                <c:pt idx="3">
                  <c:v>0.33145508783559829</c:v>
                </c:pt>
                <c:pt idx="4">
                  <c:v>0.28895184135977336</c:v>
                </c:pt>
              </c:numCache>
            </c:numRef>
          </c:val>
          <c:smooth val="0"/>
          <c:extLst>
            <c:ext xmlns:c16="http://schemas.microsoft.com/office/drawing/2014/chart" uri="{C3380CC4-5D6E-409C-BE32-E72D297353CC}">
              <c16:uniqueId val="{00000010-750B-4F42-9FA7-B6CC88779032}"/>
            </c:ext>
          </c:extLst>
        </c:ser>
        <c:ser>
          <c:idx val="23"/>
          <c:order val="15"/>
          <c:tx>
            <c:strRef>
              <c:f>'Initial CP Conferences'!$AK$53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Conferences'!$AR$53:$AV$53</c:f>
              <c:numCache>
                <c:formatCode>0.0%</c:formatCode>
                <c:ptCount val="5"/>
                <c:pt idx="0">
                  <c:v>0.41392649903288203</c:v>
                </c:pt>
                <c:pt idx="1">
                  <c:v>0.47689463955637706</c:v>
                </c:pt>
                <c:pt idx="2">
                  <c:v>0.38451086956521741</c:v>
                </c:pt>
                <c:pt idx="3">
                  <c:v>0.53914002205071665</c:v>
                </c:pt>
                <c:pt idx="4">
                  <c:v>0.35893854748603354</c:v>
                </c:pt>
              </c:numCache>
            </c:numRef>
          </c:val>
          <c:smooth val="0"/>
          <c:extLst>
            <c:ext xmlns:c16="http://schemas.microsoft.com/office/drawing/2014/chart" uri="{C3380CC4-5D6E-409C-BE32-E72D297353CC}">
              <c16:uniqueId val="{00000013-750B-4F42-9FA7-B6CC88779032}"/>
            </c:ext>
          </c:extLst>
        </c:ser>
        <c:ser>
          <c:idx val="24"/>
          <c:order val="16"/>
          <c:tx>
            <c:strRef>
              <c:f>'Initial CP Conferences'!$AK$54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Conferences'!$AR$54:$AV$54</c:f>
              <c:numCache>
                <c:formatCode>0.0%</c:formatCode>
                <c:ptCount val="5"/>
                <c:pt idx="0">
                  <c:v>0.43506493506493504</c:v>
                </c:pt>
                <c:pt idx="1">
                  <c:v>0.4198268139743207</c:v>
                </c:pt>
                <c:pt idx="2">
                  <c:v>0.30105684090259927</c:v>
                </c:pt>
                <c:pt idx="3">
                  <c:v>0.32431670893209352</c:v>
                </c:pt>
                <c:pt idx="4">
                  <c:v>0.33246158875449494</c:v>
                </c:pt>
              </c:numCache>
            </c:numRef>
          </c:val>
          <c:smooth val="0"/>
          <c:extLst>
            <c:ext xmlns:c16="http://schemas.microsoft.com/office/drawing/2014/chart" uri="{C3380CC4-5D6E-409C-BE32-E72D297353CC}">
              <c16:uniqueId val="{00000014-750B-4F42-9FA7-B6CC88779032}"/>
            </c:ext>
          </c:extLst>
        </c:ser>
        <c:ser>
          <c:idx val="25"/>
          <c:order val="17"/>
          <c:tx>
            <c:strRef>
              <c:f>'Initial CP Conferences'!$AK$55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Conferences'!$AR$55:$AV$55</c:f>
              <c:numCache>
                <c:formatCode>0.0%</c:formatCode>
                <c:ptCount val="5"/>
                <c:pt idx="0">
                  <c:v>0.43383584589614738</c:v>
                </c:pt>
                <c:pt idx="1">
                  <c:v>0.38880248833592534</c:v>
                </c:pt>
                <c:pt idx="2">
                  <c:v>0.30878186968838528</c:v>
                </c:pt>
                <c:pt idx="3">
                  <c:v>0.38275340393343421</c:v>
                </c:pt>
                <c:pt idx="4">
                  <c:v>0.3543913713405239</c:v>
                </c:pt>
              </c:numCache>
            </c:numRef>
          </c:val>
          <c:smooth val="0"/>
          <c:extLst>
            <c:ext xmlns:c16="http://schemas.microsoft.com/office/drawing/2014/chart" uri="{C3380CC4-5D6E-409C-BE32-E72D297353CC}">
              <c16:uniqueId val="{00000015-750B-4F42-9FA7-B6CC88779032}"/>
            </c:ext>
          </c:extLst>
        </c:ser>
        <c:ser>
          <c:idx val="26"/>
          <c:order val="18"/>
          <c:tx>
            <c:strRef>
              <c:f>'Initial CP Conferences'!$AK$56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Conferences'!$AR$56:$AV$56</c:f>
              <c:numCache>
                <c:formatCode>0.0%</c:formatCode>
                <c:ptCount val="5"/>
                <c:pt idx="0">
                  <c:v>0.31692307692307692</c:v>
                </c:pt>
                <c:pt idx="1">
                  <c:v>0.28284389489953632</c:v>
                </c:pt>
                <c:pt idx="2">
                  <c:v>0.33124999999999999</c:v>
                </c:pt>
                <c:pt idx="3">
                  <c:v>0.24172185430463577</c:v>
                </c:pt>
                <c:pt idx="4">
                  <c:v>0.28596491228070176</c:v>
                </c:pt>
              </c:numCache>
            </c:numRef>
          </c:val>
          <c:smooth val="0"/>
          <c:extLst>
            <c:ext xmlns:c16="http://schemas.microsoft.com/office/drawing/2014/chart" uri="{C3380CC4-5D6E-409C-BE32-E72D297353CC}">
              <c16:uniqueId val="{00000016-750B-4F42-9FA7-B6CC88779032}"/>
            </c:ext>
          </c:extLst>
        </c:ser>
        <c:ser>
          <c:idx val="4"/>
          <c:order val="19"/>
          <c:tx>
            <c:strRef>
              <c:f>'Initial CP Conferences'!$AK$57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'Initial CP Conferences'!$Y$2:$AC$3</c:f>
              <c:strCache>
                <c:ptCount val="5"/>
                <c:pt idx="0">
                  <c:v>2019/20</c:v>
                </c:pt>
                <c:pt idx="1">
                  <c:v>2020/21</c:v>
                </c:pt>
                <c:pt idx="2">
                  <c:v>2021/22</c:v>
                </c:pt>
                <c:pt idx="3">
                  <c:v>2022/23</c:v>
                </c:pt>
                <c:pt idx="4">
                  <c:v>2023/24</c:v>
                </c:pt>
              </c:strCache>
            </c:strRef>
          </c:cat>
          <c:val>
            <c:numRef>
              <c:f>'Initial CP Conferences'!$AR$57:$AV$57</c:f>
              <c:numCache>
                <c:formatCode>0.0%</c:formatCode>
                <c:ptCount val="5"/>
                <c:pt idx="0">
                  <c:v>0.34403357531760437</c:v>
                </c:pt>
                <c:pt idx="1">
                  <c:v>0.32329613827808773</c:v>
                </c:pt>
                <c:pt idx="2">
                  <c:v>0.29173733947177127</c:v>
                </c:pt>
                <c:pt idx="3">
                  <c:v>0.28626045400238948</c:v>
                </c:pt>
                <c:pt idx="4">
                  <c:v>0.26513466765505311</c:v>
                </c:pt>
              </c:numCache>
            </c:numRef>
          </c:val>
          <c:smooth val="0"/>
          <c:extLst>
            <c:ext xmlns:c16="http://schemas.microsoft.com/office/drawing/2014/chart" uri="{C3380CC4-5D6E-409C-BE32-E72D297353CC}">
              <c16:uniqueId val="{00000017-750B-4F42-9FA7-B6CC88779032}"/>
            </c:ext>
          </c:extLst>
        </c:ser>
        <c:ser>
          <c:idx val="14"/>
          <c:order val="20"/>
          <c:tx>
            <c:strRef>
              <c:f>'Initial CP Conferences'!$AK$58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'Initial CP Conferences'!$Y$2:$AC$3</c:f>
              <c:strCache>
                <c:ptCount val="5"/>
                <c:pt idx="0">
                  <c:v>2019/20</c:v>
                </c:pt>
                <c:pt idx="1">
                  <c:v>2020/21</c:v>
                </c:pt>
                <c:pt idx="2">
                  <c:v>2021/22</c:v>
                </c:pt>
                <c:pt idx="3">
                  <c:v>2022/23</c:v>
                </c:pt>
                <c:pt idx="4">
                  <c:v>2023/24</c:v>
                </c:pt>
              </c:strCache>
            </c:strRef>
          </c:cat>
          <c:val>
            <c:numRef>
              <c:f>'Initial CP Conferences'!$AR$58:$AV$58</c:f>
              <c:numCache>
                <c:formatCode>0.0%</c:formatCode>
                <c:ptCount val="5"/>
                <c:pt idx="0">
                  <c:v>0.38542288557213933</c:v>
                </c:pt>
                <c:pt idx="1">
                  <c:v>0.36510890889883796</c:v>
                </c:pt>
                <c:pt idx="2">
                  <c:v>0.33879706152433425</c:v>
                </c:pt>
                <c:pt idx="3">
                  <c:v>0.32999112688553683</c:v>
                </c:pt>
                <c:pt idx="4">
                  <c:v>0.32179761268483875</c:v>
                </c:pt>
              </c:numCache>
            </c:numRef>
          </c:val>
          <c:smooth val="0"/>
          <c:extLst>
            <c:ext xmlns:c16="http://schemas.microsoft.com/office/drawing/2014/chart" uri="{C3380CC4-5D6E-409C-BE32-E72D297353CC}">
              <c16:uniqueId val="{00000018-750B-4F42-9FA7-B6CC88779032}"/>
            </c:ext>
          </c:extLst>
        </c:ser>
        <c:ser>
          <c:idx val="6"/>
          <c:order val="21"/>
          <c:tx>
            <c:strRef>
              <c:f>'Initial CP Conferences'!$AK$59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'Initial CP Conferences'!$Y$2:$AC$3</c:f>
              <c:strCache>
                <c:ptCount val="5"/>
                <c:pt idx="0">
                  <c:v>2019/20</c:v>
                </c:pt>
                <c:pt idx="1">
                  <c:v>2020/21</c:v>
                </c:pt>
                <c:pt idx="2">
                  <c:v>2021/22</c:v>
                </c:pt>
                <c:pt idx="3">
                  <c:v>2022/23</c:v>
                </c:pt>
                <c:pt idx="4">
                  <c:v>2023/24</c:v>
                </c:pt>
              </c:strCache>
            </c:strRef>
          </c:cat>
          <c:val>
            <c:numRef>
              <c:f>'Initial CP Conferences'!$AR$59:$AV$59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750B-4F42-9FA7-B6CC88779032}"/>
            </c:ext>
          </c:extLst>
        </c:ser>
        <c:dLbls>
          <c:showLegendKey val="0"/>
          <c:showVal val="0"/>
          <c:showCatName val="0"/>
          <c:showSerName val="0"/>
          <c:showPercent val="0"/>
          <c:showBubbleSize val="0"/>
        </c:dLbls>
        <c:marker val="1"/>
        <c:smooth val="0"/>
        <c:axId val="574348672"/>
        <c:axId val="574350848"/>
      </c:lineChart>
      <c:catAx>
        <c:axId val="574348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74350848"/>
        <c:crosses val="autoZero"/>
        <c:auto val="1"/>
        <c:lblAlgn val="ctr"/>
        <c:lblOffset val="100"/>
        <c:tickLblSkip val="1"/>
        <c:tickMarkSkip val="1"/>
        <c:noMultiLvlLbl val="0"/>
      </c:catAx>
      <c:valAx>
        <c:axId val="5743508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74348672"/>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6267406732388923"/>
          <c:y val="6.8718346253229978E-2"/>
          <c:w val="0.32969132631927761"/>
          <c:h val="0.91907751937984494"/>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Initial CP Conferences</a:t>
            </a:r>
            <a:r>
              <a:rPr lang="en-GB" sz="1100" baseline="0"/>
              <a:t> </a:t>
            </a:r>
            <a:r>
              <a:rPr lang="en-GB" sz="1100"/>
              <a:t>vs. IDACI</a:t>
            </a:r>
          </a:p>
        </c:rich>
      </c:tx>
      <c:layout>
        <c:manualLayout>
          <c:xMode val="edge"/>
          <c:yMode val="edge"/>
          <c:x val="0.25021724292920045"/>
          <c:y val="2.7076162990938353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'Initial CP Conferences'!$AQ$35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7E64-4E5D-AD68-05FF360E618C}"/>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{DF3F0F59-8BDA-4770-B438-0BDA60B87E99}</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7E64-4E5D-AD68-05FF360E618C}"/>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{E37A5568-E76C-4CF6-A968-61DE21A69A48}</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7E64-4E5D-AD68-05FF360E618C}"/>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{FDD5B07F-13BC-4037-B183-0EE2C969AD0A}</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7E64-4E5D-AD68-05FF360E618C}"/>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{4E87CDAF-F445-4EE4-AA8B-BACD963D5B1D}</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7E64-4E5D-AD68-05FF360E618C}"/>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{D550108F-4EBF-4677-AEFA-4B201B4D4F9F}</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5-7E64-4E5D-AD68-05FF360E618C}"/>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{6FEE16D2-DF42-469F-B614-18FE699C60C6}</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7E64-4E5D-AD68-05FF360E618C}"/>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{33CE62ED-7B64-459C-9A20-99AE58C8FEF2}</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7-7E64-4E5D-AD68-05FF360E618C}"/>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{78BFF9C9-3C44-42BF-89BA-910D3C22BD25}</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8-7E64-4E5D-AD68-05FF360E618C}"/>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{02F9B34E-D487-4E3B-A3A2-AC13D24864D8}</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7E64-4E5D-AD68-05FF360E618C}"/>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{59C54430-D961-477B-9F04-136D1DAEF8E3}</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7E64-4E5D-AD68-05FF360E618C}"/>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{89A0D87B-D47E-4926-8925-1D22473B32FA}</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7E64-4E5D-AD68-05FF360E618C}"/>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{23B2ADD2-AB72-457E-A28A-D02EBD66C4A8}</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C-7E64-4E5D-AD68-05FF360E618C}"/>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{70262000-BCC5-4263-81EF-67A2590D84D9}</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0D-7E64-4E5D-AD68-05FF360E618C}"/>
                </c:ext>
              </c:extLst>
            </c:dLbl>
            <c:dLbl>
              <c:idx val="13"/>
              <c:tx>
                <c:strRef>
                  <c:f>ReportData!$K$17</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{3AC5D40A-63E5-48CB-BA7E-354EAE7373A6}</c15:txfldGUID>
                      <c15:f>ReportData!$K$17</c15:f>
                      <c15:dlblFieldTableCache>
                        <c:ptCount val="1"/>
                        <c:pt idx="0">
                          <c:v>Southampton</c:v>
                        </c:pt>
                      </c15:dlblFieldTableCache>
                    </c15:dlblFTEntry>
                  </c15:dlblFieldTable>
                  <c15:showDataLabelsRange val="0"/>
                </c:ext>
                <c:ext xmlns:c16="http://schemas.microsoft.com/office/drawing/2014/chart" uri="{C3380CC4-5D6E-409C-BE32-E72D297353CC}">
                  <c16:uniqueId val="{0000000E-7E64-4E5D-AD68-05FF360E618C}"/>
                </c:ext>
              </c:extLst>
            </c:dLbl>
            <c:dLbl>
              <c:idx val="14"/>
              <c:tx>
                <c:strRef>
                  <c:f>ReportData!$K$18</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{058A83CA-58F6-4D9D-99E0-C38D89C1A521}</c15:txfldGUID>
                      <c15:f>ReportData!$K$18</c15:f>
                      <c15:dlblFieldTableCache>
                        <c:ptCount val="1"/>
                        <c:pt idx="0">
                          <c:v>Surrey</c:v>
                        </c:pt>
                      </c15:dlblFieldTableCache>
                    </c15:dlblFTEntry>
                  </c15:dlblFieldTable>
                  <c15:showDataLabelsRange val="0"/>
                </c:ext>
                <c:ext xmlns:c16="http://schemas.microsoft.com/office/drawing/2014/chart" uri="{C3380CC4-5D6E-409C-BE32-E72D297353CC}">
                  <c16:uniqueId val="{0000000F-7E64-4E5D-AD68-05FF360E618C}"/>
                </c:ext>
              </c:extLst>
            </c:dLbl>
            <c:dLbl>
              <c:idx val="15"/>
              <c:tx>
                <c:strRef>
                  <c:f>ReportData!$K$19</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{FC472072-8F13-4947-9E30-9FDD139357EC}</c15:txfldGUID>
                      <c15:f>ReportData!$K$19</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7E64-4E5D-AD68-05FF360E618C}"/>
                </c:ext>
              </c:extLst>
            </c:dLbl>
            <c:dLbl>
              <c:idx val="16"/>
              <c:tx>
                <c:strRef>
                  <c:f>ReportData!$K$20</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{F6835AA4-6EB5-432F-A02A-9D09C7467669}</c15:txfldGUID>
                      <c15:f>ReportData!$K$20</c15:f>
                      <c15:dlblFieldTableCache>
                        <c:ptCount val="1"/>
                        <c:pt idx="0">
                          <c:v>West Sussex</c:v>
                        </c:pt>
                      </c15:dlblFieldTableCache>
                    </c15:dlblFTEntry>
                  </c15:dlblFieldTable>
                  <c15:showDataLabelsRange val="0"/>
                </c:ext>
                <c:ext xmlns:c16="http://schemas.microsoft.com/office/drawing/2014/chart" uri="{C3380CC4-5D6E-409C-BE32-E72D297353CC}">
                  <c16:uniqueId val="{00000011-7E64-4E5D-AD68-05FF360E618C}"/>
                </c:ext>
              </c:extLst>
            </c:dLbl>
            <c:dLbl>
              <c:idx val="17"/>
              <c:layout>
                <c:manualLayout>
                  <c:x val="-2.1259252882280515E-2"/>
                  <c:y val="1.782607922639495E-2"/>
                </c:manualLayout>
              </c:layout>
              <c:tx>
                <c:strRef>
                  <c:f>ReportData!$K$21</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{AB900CA4-55F6-404C-BE62-1977794C0B38}</c15:txfldGUID>
                      <c15:f>ReportData!$K$21</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7E64-4E5D-AD68-05FF360E618C}"/>
                </c:ext>
              </c:extLst>
            </c:dLbl>
            <c:dLbl>
              <c:idx val="18"/>
              <c:tx>
                <c:strRef>
                  <c:f>ReportData!$K$22</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{4A49D288-AFE8-4458-BCD5-15175EB9406A}</c15:txfldGUID>
                      <c15:f>ReportData!$K$22</c15:f>
                      <c15:dlblFieldTableCache>
                        <c:ptCount val="1"/>
                        <c:pt idx="0">
                          <c:v>Wokingham</c:v>
                        </c:pt>
                      </c15:dlblFieldTableCache>
                    </c15:dlblFTEntry>
                  </c15:dlblFieldTable>
                  <c15:showDataLabelsRange val="0"/>
                </c:ext>
                <c:ext xmlns:c16="http://schemas.microsoft.com/office/drawing/2014/chart" uri="{C3380CC4-5D6E-409C-BE32-E72D297353CC}">
                  <c16:uniqueId val="{00000013-7E64-4E5D-AD68-05FF360E618C}"/>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('Initial CP Conferences'!$AQ$38:$AQ$50,'Initial CP Conferences'!$AQ$51:$AQ$52,'Initial CP Conferences'!$AQ$53:$AQ$56)</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('Initial CP Conferences'!$AP$38:$AP$50,'Initial CP Conferences'!$AP$51:$AP$52,'Initial CP Conferences'!$AP$53:$AP$56)</c:f>
              <c:numCache>
                <c:formatCode>0.0</c:formatCode>
                <c:ptCount val="19"/>
                <c:pt idx="0">
                  <c:v>48.521660208747861</c:v>
                </c:pt>
                <c:pt idx="1">
                  <c:v>73.501050015000217</c:v>
                </c:pt>
                <c:pt idx="2">
                  <c:v>50.777331995987964</c:v>
                </c:pt>
                <c:pt idx="3">
                  <c:v>79.628592938632906</c:v>
                </c:pt>
                <c:pt idx="4">
                  <c:v>#N/A</c:v>
                </c:pt>
                <c:pt idx="5">
                  <c:v>117.7574878402594</c:v>
                </c:pt>
                <c:pt idx="6">
                  <c:v>44.727443932799744</c:v>
                </c:pt>
                <c:pt idx="7">
                  <c:v>71.228275376010316</c:v>
                </c:pt>
                <c:pt idx="8">
                  <c:v>46.018379878291682</c:v>
                </c:pt>
                <c:pt idx="9">
                  <c:v>48.785285728336774</c:v>
                </c:pt>
                <c:pt idx="10">
                  <c:v>80.601318930673401</c:v>
                </c:pt>
                <c:pt idx="11">
                  <c:v>81.468006011231509</c:v>
                </c:pt>
                <c:pt idx="12">
                  <c:v>70.012709313474105</c:v>
                </c:pt>
                <c:pt idx="13">
                  <c:v>74.444642963492342</c:v>
                </c:pt>
                <c:pt idx="14">
                  <c:v>26.875244662591466</c:v>
                </c:pt>
                <c:pt idx="15">
                  <c:v>72.753007784854915</c:v>
                </c:pt>
                <c:pt idx="16">
                  <c:v>56.813103324991069</c:v>
                </c:pt>
                <c:pt idx="17">
                  <c:v>67.092558560135345</c:v>
                </c:pt>
                <c:pt idx="18">
                  <c:v>37.632174354712106</c:v>
                </c:pt>
              </c:numCache>
            </c:numRef>
          </c:yVal>
          <c:smooth val="0"/>
          <c:extLst>
            <c:ext xmlns:c16="http://schemas.microsoft.com/office/drawing/2014/chart" uri="{C3380CC4-5D6E-409C-BE32-E72D297353CC}">
              <c16:uniqueId val="{00000014-7E64-4E5D-AD68-05FF360E618C}"/>
            </c:ext>
          </c:extLst>
        </c:ser>
        <c:ser>
          <c:idx val="1"/>
          <c:order val="1"/>
          <c:tx>
            <c:strRef>
              <c:f>'Initial CP Conferences'!$Z$4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'Initial CP Conferences'!$AQ$59</c:f>
              <c:numCache>
                <c:formatCode>0.0</c:formatCode>
                <c:ptCount val="1"/>
                <c:pt idx="0">
                  <c:v>#N/A</c:v>
                </c:pt>
              </c:numCache>
            </c:numRef>
          </c:xVal>
          <c:yVal>
            <c:numRef>
              <c:f>'Initial CP Conferences'!$AP$59</c:f>
              <c:numCache>
                <c:formatCode>0.0</c:formatCode>
                <c:ptCount val="1"/>
                <c:pt idx="0">
                  <c:v>#N/A</c:v>
                </c:pt>
              </c:numCache>
            </c:numRef>
          </c:yVal>
          <c:smooth val="0"/>
          <c:extLst>
            <c:ext xmlns:c16="http://schemas.microsoft.com/office/drawing/2014/chart" uri="{C3380CC4-5D6E-409C-BE32-E72D297353CC}">
              <c16:uniqueId val="{00000019-7E64-4E5D-AD68-05FF360E618C}"/>
            </c:ext>
          </c:extLst>
        </c:ser>
        <c:ser>
          <c:idx val="4"/>
          <c:order val="2"/>
          <c:tx>
            <c:strRef>
              <c:f>'Initial CP Conferences'!$B$30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'Initial CP Conferences'!#REF!</c:f>
            </c:numRef>
          </c:xVal>
          <c:yVal>
            <c:numRef>
              <c:f>'Initial CP Conferences'!$O$30</c:f>
              <c:numCache>
                <c:formatCode>0.0</c:formatCode>
                <c:ptCount val="1"/>
                <c:pt idx="0">
                  <c:v>62.993438819457168</c:v>
                </c:pt>
              </c:numCache>
            </c:numRef>
          </c:yVal>
          <c:smooth val="0"/>
          <c:extLst>
            <c:ext xmlns:c16="http://schemas.microsoft.com/office/drawing/2014/chart" uri="{C3380CC4-5D6E-409C-BE32-E72D297353CC}">
              <c16:uniqueId val="{0000001A-7E64-4E5D-AD68-05FF360E618C}"/>
            </c:ext>
          </c:extLst>
        </c:ser>
        <c:ser>
          <c:idx val="2"/>
          <c:order val="3"/>
          <c:tx>
            <c:strRef>
              <c:f>'Initial CP Conferences'!$X$40</c:f>
              <c:strCache>
                <c:ptCount val="1"/>
                <c:pt idx="0">
                  <c:v>National Trend 2024</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B-7E64-4E5D-AD68-05FF360E618C}"/>
                </c:ext>
              </c:extLst>
            </c:dLbl>
            <c:dLbl>
              <c:idx val="1"/>
              <c:layout>
                <c:manualLayout>
                  <c:x val="-3.0308135373141781E-2"/>
                  <c:y val="6.0944644362892998E-3"/>
                </c:manualLayout>
              </c:layout>
              <c:tx>
                <c:strRef>
                  <c:f>'Initial CP Conferences'!$AC$40</c:f>
                  <c:strCache>
                    <c:ptCount val="1"/>
                    <c:pt idx="0">
                      <c:v>r² = 0.248</c:v>
                    </c:pt>
                  </c:strCache>
                </c:strRef>
              </c:tx>
              <c:spPr/>
              <c:txPr>
                <a:bodyPr/>
                <a:lstStyle/>
                <a:p>
                  <a:pPr>
                    <a:defRPr sz="900"/>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{51463BE8-B9AA-4497-A6B4-376890DFEC45}</c15:txfldGUID>
                      <c15:f>'Initial CP Conferences'!$AC$40</c15:f>
                      <c15:dlblFieldTableCache>
                        <c:ptCount val="1"/>
                        <c:pt idx="0">
                          <c:v>r² = 0.248</c:v>
                        </c:pt>
                      </c15:dlblFieldTableCache>
                    </c15:dlblFTEntry>
                  </c15:dlblFieldTable>
                  <c15:showDataLabelsRange val="0"/>
                </c:ext>
                <c:ext xmlns:c16="http://schemas.microsoft.com/office/drawing/2014/chart" uri="{C3380CC4-5D6E-409C-BE32-E72D297353CC}">
                  <c16:uniqueId val="{0000001C-7E64-4E5D-AD68-05FF360E618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'Initial CP Conferences'!$AA$40:$AA$41</c:f>
              <c:numCache>
                <c:formatCode>General</c:formatCode>
                <c:ptCount val="2"/>
                <c:pt idx="0" formatCode="#,##0.0">
                  <c:v>3</c:v>
                </c:pt>
                <c:pt idx="1">
                  <c:v>22</c:v>
                </c:pt>
              </c:numCache>
            </c:numRef>
          </c:xVal>
          <c:yVal>
            <c:numRef>
              <c:f>'Initial CP Conferences'!$AB$40:$AB$41</c:f>
              <c:numCache>
                <c:formatCode>0.0</c:formatCode>
                <c:ptCount val="2"/>
                <c:pt idx="0">
                  <c:v>36.190231541923204</c:v>
                </c:pt>
                <c:pt idx="1">
                  <c:v>75.407190543926518</c:v>
                </c:pt>
              </c:numCache>
            </c:numRef>
          </c:yVal>
          <c:smooth val="0"/>
          <c:extLst>
            <c:ext xmlns:c16="http://schemas.microsoft.com/office/drawing/2014/chart" uri="{C3380CC4-5D6E-409C-BE32-E72D297353CC}">
              <c16:uniqueId val="{0000001D-7E64-4E5D-AD68-05FF360E618C}"/>
            </c:ext>
          </c:extLst>
        </c:ser>
        <c:ser>
          <c:idx val="5"/>
          <c:order val="4"/>
          <c:tx>
            <c:strRef>
              <c:f>'Initial CP Conferences'!$X$38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7E64-4E5D-AD68-05FF360E618C}"/>
                </c:ext>
              </c:extLst>
            </c:dLbl>
            <c:dLbl>
              <c:idx val="1"/>
              <c:layout>
                <c:manualLayout>
                  <c:x val="-7.7724951839452369E-2"/>
                  <c:y val="-1.5008135295305336E-2"/>
                </c:manualLayout>
              </c:layout>
              <c:tx>
                <c:strRef>
                  <c:f>'Initial CP Conferences'!$AC$39</c:f>
                  <c:strCache>
                    <c:ptCount val="1"/>
                    <c:pt idx="0">
                      <c:v>r² = 0.372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{B0CC9499-B4BD-4796-BB12-FB9A3AD47928}</c15:txfldGUID>
                      <c15:f>'Initial CP Conferences'!$AC$39</c15:f>
                      <c15:dlblFieldTableCache>
                        <c:ptCount val="1"/>
                        <c:pt idx="0">
                          <c:v>r² = 0.372</c:v>
                        </c:pt>
                      </c15:dlblFieldTableCache>
                    </c15:dlblFTEntry>
                  </c15:dlblFieldTable>
                  <c15:showDataLabelsRange val="0"/>
                </c:ext>
                <c:ext xmlns:c16="http://schemas.microsoft.com/office/drawing/2014/chart" uri="{C3380CC4-5D6E-409C-BE32-E72D297353CC}">
                  <c16:uniqueId val="{0000001F-7E64-4E5D-AD68-05FF360E618C}"/>
                </c:ext>
              </c:extLst>
            </c:dLbl>
            <c:spPr>
              <a:noFill/>
              <a:ln>
                <a:noFill/>
              </a:ln>
              <a:effectLst/>
            </c:spPr>
            <c:txPr>
              <a:bodyPr/>
              <a:lstStyle/>
              <a:p>
                <a:pPr>
                  <a:defRPr sz="9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'Initial CP Conferences'!$AA$38:$AA$39</c:f>
              <c:numCache>
                <c:formatCode>General</c:formatCode>
                <c:ptCount val="2"/>
                <c:pt idx="0" formatCode="#,##0.0">
                  <c:v>3</c:v>
                </c:pt>
                <c:pt idx="1">
                  <c:v>22</c:v>
                </c:pt>
              </c:numCache>
            </c:numRef>
          </c:xVal>
          <c:yVal>
            <c:numRef>
              <c:f>'Initial CP Conferences'!$AB$38:$AB$39</c:f>
              <c:numCache>
                <c:formatCode>0.0</c:formatCode>
                <c:ptCount val="2"/>
                <c:pt idx="0">
                  <c:v>36.324673084491259</c:v>
                </c:pt>
                <c:pt idx="1">
                  <c:v>87.334380125664552</c:v>
                </c:pt>
              </c:numCache>
            </c:numRef>
          </c:yVal>
          <c:smooth val="0"/>
          <c:extLst>
            <c:ext xmlns:c16="http://schemas.microsoft.com/office/drawing/2014/chart" uri="{C3380CC4-5D6E-409C-BE32-E72D297353CC}">
              <c16:uniqueId val="{00000020-7E64-4E5D-AD68-05FF360E618C}"/>
            </c:ext>
          </c:extLst>
        </c:ser>
        <c:dLbls>
          <c:showLegendKey val="0"/>
          <c:showVal val="0"/>
          <c:showCatName val="0"/>
          <c:showSerName val="0"/>
          <c:showPercent val="0"/>
          <c:showBubbleSize val="0"/>
        </c:dLbls>
        <c:axId val="574496128"/>
        <c:axId val="574518784"/>
      </c:scatterChart>
      <c:valAx>
        <c:axId val="574496128"/>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0920879545638746"/>
              <c:y val="0.9192924074535932"/>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74518784"/>
        <c:crosses val="autoZero"/>
        <c:crossBetween val="midCat"/>
        <c:majorUnit val="5"/>
      </c:valAx>
      <c:valAx>
        <c:axId val="574518784"/>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a:t>Rate of Initial CP Conferences per 10,000 0-17 year olds</a:t>
                </a:r>
              </a:p>
            </c:rich>
          </c:tx>
          <c:layout>
            <c:manualLayout>
              <c:xMode val="edge"/>
              <c:yMode val="edge"/>
              <c:x val="5.5426634038609875E-2"/>
              <c:y val="0.1221952233346397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74496128"/>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Child Protection Plans, per 10,000 </a:t>
            </a:r>
          </a:p>
          <a:p>
            <a:pPr>
              <a:defRPr sz="1100" b="1"/>
            </a:pPr>
            <a:r>
              <a:rPr lang="en-GB" sz="1100" b="1"/>
              <a:t>0-17 year olds</a:t>
            </a:r>
          </a:p>
        </c:rich>
      </c:tx>
      <c:layout>
        <c:manualLayout>
          <c:xMode val="edge"/>
          <c:yMode val="edge"/>
          <c:x val="0.18498579184792491"/>
          <c:y val="1.2601986112611952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'Child Protection Plans'!$AK$38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C265-44B3-B6A4-287E342E3588}"/>
              </c:ext>
            </c:extLst>
          </c:dPt>
          <c:cat>
            <c:strRef>
              <c:f>'Child Protection Plans'!$Y$2:$AC$3</c:f>
              <c:strCache>
                <c:ptCount val="5"/>
                <c:pt idx="0">
                  <c:v>2019/20</c:v>
                </c:pt>
                <c:pt idx="1">
                  <c:v>2020/21</c:v>
                </c:pt>
                <c:pt idx="2">
                  <c:v>2021/22</c:v>
                </c:pt>
                <c:pt idx="3">
                  <c:v>2022/23</c:v>
                </c:pt>
                <c:pt idx="4">
                  <c:v>2023/24</c:v>
                </c:pt>
              </c:strCache>
            </c:strRef>
          </c:cat>
          <c:val>
            <c:numRef>
              <c:f>'Child Protection Plans'!$AL$38:$AP$38</c:f>
              <c:numCache>
                <c:formatCode>0.0</c:formatCode>
                <c:ptCount val="5"/>
                <c:pt idx="0">
                  <c:v>44.691918821891718</c:v>
                </c:pt>
                <c:pt idx="1">
                  <c:v>57.258824382112053</c:v>
                </c:pt>
                <c:pt idx="2">
                  <c:v>66.491751428674121</c:v>
                </c:pt>
                <c:pt idx="3">
                  <c:v>52.947405577126723</c:v>
                </c:pt>
                <c:pt idx="4">
                  <c:v>39.0965895207177</c:v>
                </c:pt>
              </c:numCache>
            </c:numRef>
          </c:val>
          <c:smooth val="0"/>
          <c:extLst>
            <c:ext xmlns:c16="http://schemas.microsoft.com/office/drawing/2014/chart" uri="{C3380CC4-5D6E-409C-BE32-E72D297353CC}">
              <c16:uniqueId val="{00000001-C265-44B3-B6A4-287E342E3588}"/>
            </c:ext>
          </c:extLst>
        </c:ser>
        <c:ser>
          <c:idx val="1"/>
          <c:order val="1"/>
          <c:tx>
            <c:strRef>
              <c:f>'Child Protection Plans'!$AK$39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Plans'!$AL$39:$AP$39</c:f>
              <c:numCache>
                <c:formatCode>0.0</c:formatCode>
                <c:ptCount val="5"/>
                <c:pt idx="0">
                  <c:v>69.212016032395354</c:v>
                </c:pt>
                <c:pt idx="1">
                  <c:v>56.917688266199647</c:v>
                </c:pt>
                <c:pt idx="2">
                  <c:v>59.628647214854112</c:v>
                </c:pt>
                <c:pt idx="3">
                  <c:v>60.458209588459908</c:v>
                </c:pt>
                <c:pt idx="4">
                  <c:v>56.143659195131363</c:v>
                </c:pt>
              </c:numCache>
            </c:numRef>
          </c:val>
          <c:smooth val="0"/>
          <c:extLst>
            <c:ext xmlns:c16="http://schemas.microsoft.com/office/drawing/2014/chart" uri="{C3380CC4-5D6E-409C-BE32-E72D297353CC}">
              <c16:uniqueId val="{00000002-C265-44B3-B6A4-287E342E3588}"/>
            </c:ext>
          </c:extLst>
        </c:ser>
        <c:ser>
          <c:idx val="2"/>
          <c:order val="2"/>
          <c:tx>
            <c:strRef>
              <c:f>'Child Protection Plans'!$AK$40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Plans'!$AL$40:$AP$40</c:f>
              <c:numCache>
                <c:formatCode>0.0</c:formatCode>
                <c:ptCount val="5"/>
                <c:pt idx="0">
                  <c:v>47.078280946805634</c:v>
                </c:pt>
                <c:pt idx="1">
                  <c:v>42.287440303685862</c:v>
                </c:pt>
                <c:pt idx="2">
                  <c:v>60.885758238199337</c:v>
                </c:pt>
                <c:pt idx="3">
                  <c:v>41.297700829924956</c:v>
                </c:pt>
                <c:pt idx="4">
                  <c:v>33.694834503510535</c:v>
                </c:pt>
              </c:numCache>
            </c:numRef>
          </c:val>
          <c:smooth val="0"/>
          <c:extLst>
            <c:ext xmlns:c16="http://schemas.microsoft.com/office/drawing/2014/chart" uri="{C3380CC4-5D6E-409C-BE32-E72D297353CC}">
              <c16:uniqueId val="{00000003-C265-44B3-B6A4-287E342E3588}"/>
            </c:ext>
          </c:extLst>
        </c:ser>
        <c:ser>
          <c:idx val="5"/>
          <c:order val="3"/>
          <c:tx>
            <c:strRef>
              <c:f>'Child Protection Plans'!$AK$41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Plans'!$AL$41:$AP$41</c:f>
              <c:numCache>
                <c:formatCode>0.0</c:formatCode>
                <c:ptCount val="5"/>
                <c:pt idx="0">
                  <c:v>52.078778869229801</c:v>
                </c:pt>
                <c:pt idx="1">
                  <c:v>51.162381979906073</c:v>
                </c:pt>
                <c:pt idx="2">
                  <c:v>52.373993467962613</c:v>
                </c:pt>
                <c:pt idx="3">
                  <c:v>64.478482859226844</c:v>
                </c:pt>
                <c:pt idx="4">
                  <c:v>66.115862015713375</c:v>
                </c:pt>
              </c:numCache>
            </c:numRef>
          </c:val>
          <c:smooth val="0"/>
          <c:extLst>
            <c:ext xmlns:c16="http://schemas.microsoft.com/office/drawing/2014/chart" uri="{C3380CC4-5D6E-409C-BE32-E72D297353CC}">
              <c16:uniqueId val="{00000004-C265-44B3-B6A4-287E342E3588}"/>
            </c:ext>
          </c:extLst>
        </c:ser>
        <c:ser>
          <c:idx val="9"/>
          <c:order val="4"/>
          <c:tx>
            <c:strRef>
              <c:f>'Child Protection Plans'!$AK$42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Plans'!$AL$42:$AP$42</c:f>
              <c:numCache>
                <c:formatCode>0.0</c:formatCode>
                <c:ptCount val="5"/>
                <c:pt idx="0">
                  <c:v>33.579150855588175</c:v>
                </c:pt>
                <c:pt idx="1">
                  <c:v>35.781247763672013</c:v>
                </c:pt>
                <c:pt idx="2">
                  <c:v>36.450491049339867</c:v>
                </c:pt>
                <c:pt idx="3">
                  <c:v>36.897635517678061</c:v>
                </c:pt>
                <c:pt idx="4">
                  <c:v>#N/A</c:v>
                </c:pt>
              </c:numCache>
            </c:numRef>
          </c:val>
          <c:smooth val="0"/>
          <c:extLst>
            <c:ext xmlns:c16="http://schemas.microsoft.com/office/drawing/2014/chart" uri="{C3380CC4-5D6E-409C-BE32-E72D297353CC}">
              <c16:uniqueId val="{00000005-C265-44B3-B6A4-287E342E3588}"/>
            </c:ext>
          </c:extLst>
        </c:ser>
        <c:ser>
          <c:idx val="10"/>
          <c:order val="5"/>
          <c:tx>
            <c:strRef>
              <c:f>'Child Protection Plans'!$AK$43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Plans'!$AL$43:$AP$43</c:f>
              <c:numCache>
                <c:formatCode>0.0</c:formatCode>
                <c:ptCount val="5"/>
                <c:pt idx="0">
                  <c:v>51.849718118595945</c:v>
                </c:pt>
                <c:pt idx="1">
                  <c:v>77.850326469110996</c:v>
                </c:pt>
                <c:pt idx="2">
                  <c:v>68.11643256050094</c:v>
                </c:pt>
                <c:pt idx="3">
                  <c:v>91.782102490014452</c:v>
                </c:pt>
                <c:pt idx="4">
                  <c:v>78.504991893506272</c:v>
                </c:pt>
              </c:numCache>
            </c:numRef>
          </c:val>
          <c:smooth val="0"/>
          <c:extLst>
            <c:ext xmlns:c16="http://schemas.microsoft.com/office/drawing/2014/chart" uri="{C3380CC4-5D6E-409C-BE32-E72D297353CC}">
              <c16:uniqueId val="{00000006-C265-44B3-B6A4-287E342E3588}"/>
            </c:ext>
          </c:extLst>
        </c:ser>
        <c:ser>
          <c:idx val="11"/>
          <c:order val="6"/>
          <c:tx>
            <c:strRef>
              <c:f>'Child Protection Plans'!$AK$44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Plans'!$AL$44:$AP$44</c:f>
              <c:numCache>
                <c:formatCode>0.0</c:formatCode>
                <c:ptCount val="5"/>
                <c:pt idx="0">
                  <c:v>39.958841193605387</c:v>
                </c:pt>
                <c:pt idx="1">
                  <c:v>35.523766236872952</c:v>
                </c:pt>
                <c:pt idx="2">
                  <c:v>37.370831114192292</c:v>
                </c:pt>
                <c:pt idx="3">
                  <c:v>38.879069468992995</c:v>
                </c:pt>
                <c:pt idx="4">
                  <c:v>34.765683313620336</c:v>
                </c:pt>
              </c:numCache>
            </c:numRef>
          </c:val>
          <c:smooth val="0"/>
          <c:extLst>
            <c:ext xmlns:c16="http://schemas.microsoft.com/office/drawing/2014/chart" uri="{C3380CC4-5D6E-409C-BE32-E72D297353CC}">
              <c16:uniqueId val="{00000007-C265-44B3-B6A4-287E342E3588}"/>
            </c:ext>
          </c:extLst>
        </c:ser>
        <c:ser>
          <c:idx val="12"/>
          <c:order val="7"/>
          <c:tx>
            <c:strRef>
              <c:f>'Child Protection Plans'!$AK$45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Plans'!$AL$45:$AP$45</c:f>
              <c:numCache>
                <c:formatCode>0.0</c:formatCode>
                <c:ptCount val="5"/>
                <c:pt idx="0">
                  <c:v>72.716421661012689</c:v>
                </c:pt>
                <c:pt idx="1">
                  <c:v>21.037758065782242</c:v>
                </c:pt>
                <c:pt idx="2">
                  <c:v>34.316874813921054</c:v>
                </c:pt>
                <c:pt idx="3">
                  <c:v>44.33838811484874</c:v>
                </c:pt>
                <c:pt idx="4">
                  <c:v>42.137148169808214</c:v>
                </c:pt>
              </c:numCache>
            </c:numRef>
          </c:val>
          <c:smooth val="0"/>
          <c:extLst>
            <c:ext xmlns:c16="http://schemas.microsoft.com/office/drawing/2014/chart" uri="{C3380CC4-5D6E-409C-BE32-E72D297353CC}">
              <c16:uniqueId val="{00000008-C265-44B3-B6A4-287E342E3588}"/>
            </c:ext>
          </c:extLst>
        </c:ser>
        <c:ser>
          <c:idx val="13"/>
          <c:order val="8"/>
          <c:tx>
            <c:strRef>
              <c:f>'Child Protection Plans'!$AK$46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Plans'!$AL$46:$AP$46</c:f>
              <c:numCache>
                <c:formatCode>0.0</c:formatCode>
                <c:ptCount val="5"/>
                <c:pt idx="0">
                  <c:v>19.120181931428075</c:v>
                </c:pt>
                <c:pt idx="1">
                  <c:v>26.405021282735735</c:v>
                </c:pt>
                <c:pt idx="2">
                  <c:v>27.428735549651755</c:v>
                </c:pt>
                <c:pt idx="3">
                  <c:v>23.960197883046042</c:v>
                </c:pt>
                <c:pt idx="4">
                  <c:v>26.512081541821779</c:v>
                </c:pt>
              </c:numCache>
            </c:numRef>
          </c:val>
          <c:smooth val="0"/>
          <c:extLst>
            <c:ext xmlns:c16="http://schemas.microsoft.com/office/drawing/2014/chart" uri="{C3380CC4-5D6E-409C-BE32-E72D297353CC}">
              <c16:uniqueId val="{00000009-C265-44B3-B6A4-287E342E3588}"/>
            </c:ext>
          </c:extLst>
        </c:ser>
        <c:ser>
          <c:idx val="15"/>
          <c:order val="9"/>
          <c:tx>
            <c:strRef>
              <c:f>'Child Protection Plans'!$AK$47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Plans'!$AL$47:$AP$47</c:f>
              <c:numCache>
                <c:formatCode>0.0</c:formatCode>
                <c:ptCount val="5"/>
                <c:pt idx="0">
                  <c:v>37.596327607336477</c:v>
                </c:pt>
                <c:pt idx="1">
                  <c:v>31.056542188005704</c:v>
                </c:pt>
                <c:pt idx="2">
                  <c:v>38.197932255044655</c:v>
                </c:pt>
                <c:pt idx="3">
                  <c:v>37.448675253112924</c:v>
                </c:pt>
                <c:pt idx="4">
                  <c:v>34.884102160584902</c:v>
                </c:pt>
              </c:numCache>
            </c:numRef>
          </c:val>
          <c:smooth val="0"/>
          <c:extLst>
            <c:ext xmlns:c16="http://schemas.microsoft.com/office/drawing/2014/chart" uri="{C3380CC4-5D6E-409C-BE32-E72D297353CC}">
              <c16:uniqueId val="{0000000A-C265-44B3-B6A4-287E342E3588}"/>
            </c:ext>
          </c:extLst>
        </c:ser>
        <c:ser>
          <c:idx val="16"/>
          <c:order val="10"/>
          <c:tx>
            <c:strRef>
              <c:f>'Child Protection Plans'!$AK$48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Plans'!$AL$48:$AP$48</c:f>
              <c:numCache>
                <c:formatCode>0.0</c:formatCode>
                <c:ptCount val="5"/>
                <c:pt idx="0">
                  <c:v>48.295386957866441</c:v>
                </c:pt>
                <c:pt idx="1">
                  <c:v>60.910068075958442</c:v>
                </c:pt>
                <c:pt idx="2">
                  <c:v>54.286196829686105</c:v>
                </c:pt>
                <c:pt idx="3">
                  <c:v>42.033865921520857</c:v>
                </c:pt>
                <c:pt idx="4">
                  <c:v>53.655423452383772</c:v>
                </c:pt>
              </c:numCache>
            </c:numRef>
          </c:val>
          <c:smooth val="0"/>
          <c:extLst>
            <c:ext xmlns:c16="http://schemas.microsoft.com/office/drawing/2014/chart" uri="{C3380CC4-5D6E-409C-BE32-E72D297353CC}">
              <c16:uniqueId val="{0000000B-C265-44B3-B6A4-287E342E3588}"/>
            </c:ext>
          </c:extLst>
        </c:ser>
        <c:ser>
          <c:idx val="17"/>
          <c:order val="11"/>
          <c:tx>
            <c:strRef>
              <c:f>'Child Protection Plans'!$AK$49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Plans'!$AL$49:$AP$49</c:f>
              <c:numCache>
                <c:formatCode>0.0</c:formatCode>
                <c:ptCount val="5"/>
                <c:pt idx="0">
                  <c:v>60.491493383742913</c:v>
                </c:pt>
                <c:pt idx="1">
                  <c:v>61.399475264396415</c:v>
                </c:pt>
                <c:pt idx="2">
                  <c:v>59.723674794957887</c:v>
                </c:pt>
                <c:pt idx="3">
                  <c:v>48.040794417606016</c:v>
                </c:pt>
                <c:pt idx="4">
                  <c:v>61.957868649318463</c:v>
                </c:pt>
              </c:numCache>
            </c:numRef>
          </c:val>
          <c:smooth val="0"/>
          <c:extLst>
            <c:ext xmlns:c16="http://schemas.microsoft.com/office/drawing/2014/chart" uri="{C3380CC4-5D6E-409C-BE32-E72D297353CC}">
              <c16:uniqueId val="{0000000C-C265-44B3-B6A4-287E342E3588}"/>
            </c:ext>
          </c:extLst>
        </c:ser>
        <c:ser>
          <c:idx val="19"/>
          <c:order val="12"/>
          <c:tx>
            <c:strRef>
              <c:f>'Child Protection Plans'!$AK$50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Plans'!$AL$50:$AP$50</c:f>
              <c:numCache>
                <c:formatCode>0.0</c:formatCode>
                <c:ptCount val="5"/>
                <c:pt idx="0">
                  <c:v>69.228823110007127</c:v>
                </c:pt>
                <c:pt idx="1">
                  <c:v>68.56492027334852</c:v>
                </c:pt>
                <c:pt idx="2">
                  <c:v>65.848137732354758</c:v>
                </c:pt>
                <c:pt idx="3">
                  <c:v>58.305084745762713</c:v>
                </c:pt>
                <c:pt idx="4">
                  <c:v>43.479230306138376</c:v>
                </c:pt>
              </c:numCache>
            </c:numRef>
          </c:val>
          <c:smooth val="0"/>
          <c:extLst>
            <c:ext xmlns:c16="http://schemas.microsoft.com/office/drawing/2014/chart" uri="{C3380CC4-5D6E-409C-BE32-E72D297353CC}">
              <c16:uniqueId val="{0000000D-C265-44B3-B6A4-287E342E3588}"/>
            </c:ext>
          </c:extLst>
        </c:ser>
        <c:ser>
          <c:idx val="20"/>
          <c:order val="13"/>
          <c:tx>
            <c:strRef>
              <c:f>'Child Protection Plans'!$AK$51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Plans'!$AL$51:$AP$51</c:f>
              <c:numCache>
                <c:formatCode>0.0</c:formatCode>
                <c:ptCount val="5"/>
                <c:pt idx="0">
                  <c:v>79.858030168589167</c:v>
                </c:pt>
                <c:pt idx="1">
                  <c:v>62.327844461869432</c:v>
                </c:pt>
                <c:pt idx="2">
                  <c:v>96.177209038632867</c:v>
                </c:pt>
                <c:pt idx="3">
                  <c:v>63.162960437929854</c:v>
                </c:pt>
                <c:pt idx="4">
                  <c:v>54.791257221130365</c:v>
                </c:pt>
              </c:numCache>
            </c:numRef>
          </c:val>
          <c:smooth val="0"/>
          <c:extLst>
            <c:ext xmlns:c16="http://schemas.microsoft.com/office/drawing/2014/chart" uri="{C3380CC4-5D6E-409C-BE32-E72D297353CC}">
              <c16:uniqueId val="{0000000F-C265-44B3-B6A4-287E342E3588}"/>
            </c:ext>
          </c:extLst>
        </c:ser>
        <c:ser>
          <c:idx val="22"/>
          <c:order val="14"/>
          <c:tx>
            <c:strRef>
              <c:f>'Child Protection Plans'!$AK$52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Plans'!$AL$52:$AP$52</c:f>
              <c:numCache>
                <c:formatCode>0.0</c:formatCode>
                <c:ptCount val="5"/>
                <c:pt idx="0">
                  <c:v>26.545757522912673</c:v>
                </c:pt>
                <c:pt idx="1">
                  <c:v>34.581597484130761</c:v>
                </c:pt>
                <c:pt idx="2">
                  <c:v>38.614502404735482</c:v>
                </c:pt>
                <c:pt idx="3">
                  <c:v>29.407970129091503</c:v>
                </c:pt>
                <c:pt idx="4">
                  <c:v>21.793790839832575</c:v>
                </c:pt>
              </c:numCache>
            </c:numRef>
          </c:val>
          <c:smooth val="0"/>
          <c:extLst>
            <c:ext xmlns:c16="http://schemas.microsoft.com/office/drawing/2014/chart" uri="{C3380CC4-5D6E-409C-BE32-E72D297353CC}">
              <c16:uniqueId val="{00000010-C265-44B3-B6A4-287E342E3588}"/>
            </c:ext>
          </c:extLst>
        </c:ser>
        <c:ser>
          <c:idx val="23"/>
          <c:order val="15"/>
          <c:tx>
            <c:strRef>
              <c:f>'Child Protection Plans'!$AK$53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Plans'!$AL$53:$AP$53</c:f>
              <c:numCache>
                <c:formatCode>0.0</c:formatCode>
                <c:ptCount val="5"/>
                <c:pt idx="0">
                  <c:v>30.233022446593079</c:v>
                </c:pt>
                <c:pt idx="1">
                  <c:v>40.489317711922816</c:v>
                </c:pt>
                <c:pt idx="2">
                  <c:v>53.186876716288481</c:v>
                </c:pt>
                <c:pt idx="3">
                  <c:v>99.10632447296058</c:v>
                </c:pt>
                <c:pt idx="4">
                  <c:v>54.069355980184</c:v>
                </c:pt>
              </c:numCache>
            </c:numRef>
          </c:val>
          <c:smooth val="0"/>
          <c:extLst>
            <c:ext xmlns:c16="http://schemas.microsoft.com/office/drawing/2014/chart" uri="{C3380CC4-5D6E-409C-BE32-E72D297353CC}">
              <c16:uniqueId val="{00000013-C265-44B3-B6A4-287E342E3588}"/>
            </c:ext>
          </c:extLst>
        </c:ser>
        <c:ser>
          <c:idx val="24"/>
          <c:order val="16"/>
          <c:tx>
            <c:strRef>
              <c:f>'Child Protection Plans'!$AK$54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Plans'!$AL$54:$AP$54</c:f>
              <c:numCache>
                <c:formatCode>0.0</c:formatCode>
                <c:ptCount val="5"/>
                <c:pt idx="0">
                  <c:v>47.0178794705879</c:v>
                </c:pt>
                <c:pt idx="1">
                  <c:v>54.867633272561008</c:v>
                </c:pt>
                <c:pt idx="2">
                  <c:v>39.637599093997736</c:v>
                </c:pt>
                <c:pt idx="3">
                  <c:v>42.571426960400117</c:v>
                </c:pt>
                <c:pt idx="4">
                  <c:v>35.976045763317842</c:v>
                </c:pt>
              </c:numCache>
            </c:numRef>
          </c:val>
          <c:smooth val="0"/>
          <c:extLst>
            <c:ext xmlns:c16="http://schemas.microsoft.com/office/drawing/2014/chart" uri="{C3380CC4-5D6E-409C-BE32-E72D297353CC}">
              <c16:uniqueId val="{00000014-C265-44B3-B6A4-287E342E3588}"/>
            </c:ext>
          </c:extLst>
        </c:ser>
        <c:ser>
          <c:idx val="25"/>
          <c:order val="17"/>
          <c:tx>
            <c:strRef>
              <c:f>'Child Protection Plans'!$AK$55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Plans'!$AL$55:$AP$55</c:f>
              <c:numCache>
                <c:formatCode>0.0</c:formatCode>
                <c:ptCount val="5"/>
                <c:pt idx="0">
                  <c:v>38.221392309038926</c:v>
                </c:pt>
                <c:pt idx="1">
                  <c:v>37.261978112255377</c:v>
                </c:pt>
                <c:pt idx="2">
                  <c:v>41.622387530995397</c:v>
                </c:pt>
                <c:pt idx="3">
                  <c:v>30.780054524668014</c:v>
                </c:pt>
                <c:pt idx="4">
                  <c:v>28.878970858493041</c:v>
                </c:pt>
              </c:numCache>
            </c:numRef>
          </c:val>
          <c:smooth val="0"/>
          <c:extLst>
            <c:ext xmlns:c16="http://schemas.microsoft.com/office/drawing/2014/chart" uri="{C3380CC4-5D6E-409C-BE32-E72D297353CC}">
              <c16:uniqueId val="{00000015-C265-44B3-B6A4-287E342E3588}"/>
            </c:ext>
          </c:extLst>
        </c:ser>
        <c:ser>
          <c:idx val="26"/>
          <c:order val="18"/>
          <c:tx>
            <c:strRef>
              <c:f>'Child Protection Plans'!$AK$56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Plans'!$AL$56:$AP$56</c:f>
              <c:numCache>
                <c:formatCode>0.0</c:formatCode>
                <c:ptCount val="5"/>
                <c:pt idx="0">
                  <c:v>35.70351000704013</c:v>
                </c:pt>
                <c:pt idx="1">
                  <c:v>36.811937938531472</c:v>
                </c:pt>
                <c:pt idx="2">
                  <c:v>39.145128741277446</c:v>
                </c:pt>
                <c:pt idx="3">
                  <c:v>36.923800564440263</c:v>
                </c:pt>
                <c:pt idx="4">
                  <c:v>28.859029413122776</c:v>
                </c:pt>
              </c:numCache>
            </c:numRef>
          </c:val>
          <c:smooth val="0"/>
          <c:extLst>
            <c:ext xmlns:c16="http://schemas.microsoft.com/office/drawing/2014/chart" uri="{C3380CC4-5D6E-409C-BE32-E72D297353CC}">
              <c16:uniqueId val="{00000016-C265-44B3-B6A4-287E342E3588}"/>
            </c:ext>
          </c:extLst>
        </c:ser>
        <c:ser>
          <c:idx val="4"/>
          <c:order val="19"/>
          <c:tx>
            <c:strRef>
              <c:f>'Child Protection Plans'!$AK$57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Plans'!$AL$57:$AP$57</c:f>
              <c:numCache>
                <c:formatCode>0.0</c:formatCode>
                <c:ptCount val="5"/>
                <c:pt idx="0">
                  <c:v>42.049827956754974</c:v>
                </c:pt>
                <c:pt idx="1">
                  <c:v>41.295239989413339</c:v>
                </c:pt>
                <c:pt idx="2">
                  <c:v>44.159826749654904</c:v>
                </c:pt>
                <c:pt idx="3">
                  <c:v>42.234607648127714</c:v>
                </c:pt>
                <c:pt idx="4">
                  <c:v>44.995090083046193</c:v>
                </c:pt>
              </c:numCache>
            </c:numRef>
          </c:val>
          <c:smooth val="0"/>
          <c:extLst>
            <c:ext xmlns:c16="http://schemas.microsoft.com/office/drawing/2014/chart" uri="{C3380CC4-5D6E-409C-BE32-E72D297353CC}">
              <c16:uniqueId val="{00000017-C265-44B3-B6A4-287E342E3588}"/>
            </c:ext>
          </c:extLst>
        </c:ser>
        <c:ser>
          <c:idx val="14"/>
          <c:order val="20"/>
          <c:tx>
            <c:strRef>
              <c:f>'Child Protection Plans'!$AK$58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'Child Protection Plans'!$Y$2:$AC$3</c:f>
              <c:strCache>
                <c:ptCount val="5"/>
                <c:pt idx="0">
                  <c:v>2019/20</c:v>
                </c:pt>
                <c:pt idx="1">
                  <c:v>2020/21</c:v>
                </c:pt>
                <c:pt idx="2">
                  <c:v>2021/22</c:v>
                </c:pt>
                <c:pt idx="3">
                  <c:v>2022/23</c:v>
                </c:pt>
                <c:pt idx="4">
                  <c:v>2023/24</c:v>
                </c:pt>
              </c:strCache>
            </c:strRef>
          </c:cat>
          <c:val>
            <c:numRef>
              <c:f>'Child Protection Plans'!$AL$58:$AP$58</c:f>
              <c:numCache>
                <c:formatCode>0.0</c:formatCode>
                <c:ptCount val="5"/>
                <c:pt idx="0">
                  <c:v>43.687744328226508</c:v>
                </c:pt>
                <c:pt idx="1">
                  <c:v>42.425240889007732</c:v>
                </c:pt>
                <c:pt idx="2">
                  <c:v>43.288725769322781</c:v>
                </c:pt>
                <c:pt idx="3">
                  <c:v>42.723289131247405</c:v>
                </c:pt>
                <c:pt idx="4">
                  <c:v>41.588025848916615</c:v>
                </c:pt>
              </c:numCache>
            </c:numRef>
          </c:val>
          <c:smooth val="0"/>
          <c:extLst>
            <c:ext xmlns:c16="http://schemas.microsoft.com/office/drawing/2014/chart" uri="{C3380CC4-5D6E-409C-BE32-E72D297353CC}">
              <c16:uniqueId val="{00000018-C265-44B3-B6A4-287E342E3588}"/>
            </c:ext>
          </c:extLst>
        </c:ser>
        <c:ser>
          <c:idx val="6"/>
          <c:order val="21"/>
          <c:tx>
            <c:strRef>
              <c:f>'Child Protection Plans'!$AK$59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 Protection Plans'!$Y$2:$AC$3</c:f>
              <c:strCache>
                <c:ptCount val="5"/>
                <c:pt idx="0">
                  <c:v>2019/20</c:v>
                </c:pt>
                <c:pt idx="1">
                  <c:v>2020/21</c:v>
                </c:pt>
                <c:pt idx="2">
                  <c:v>2021/22</c:v>
                </c:pt>
                <c:pt idx="3">
                  <c:v>2022/23</c:v>
                </c:pt>
                <c:pt idx="4">
                  <c:v>2023/24</c:v>
                </c:pt>
              </c:strCache>
            </c:strRef>
          </c:cat>
          <c:val>
            <c:numRef>
              <c:f>'Child Protection Plans'!$AL$59:$AP$59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C265-44B3-B6A4-287E342E3588}"/>
            </c:ext>
          </c:extLst>
        </c:ser>
        <c:dLbls>
          <c:showLegendKey val="0"/>
          <c:showVal val="0"/>
          <c:showCatName val="0"/>
          <c:showSerName val="0"/>
          <c:showPercent val="0"/>
          <c:showBubbleSize val="0"/>
        </c:dLbls>
        <c:marker val="1"/>
        <c:smooth val="0"/>
        <c:axId val="585075328"/>
        <c:axId val="585093888"/>
      </c:lineChart>
      <c:catAx>
        <c:axId val="585075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85093888"/>
        <c:crosses val="autoZero"/>
        <c:auto val="1"/>
        <c:lblAlgn val="ctr"/>
        <c:lblOffset val="100"/>
        <c:tickLblSkip val="1"/>
        <c:tickMarkSkip val="1"/>
        <c:noMultiLvlLbl val="0"/>
      </c:catAx>
      <c:valAx>
        <c:axId val="58509388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85075328"/>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Distance from Expected Rate of Referrals</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29819757731129276"/>
          <c:y val="9.4376073361200227E-2"/>
          <c:w val="0.65667204918624078"/>
          <c:h val="0.84800411522633745"/>
        </c:manualLayout>
      </c:layout>
      <c:barChart>
        <c:barDir val="bar"/>
        <c:grouping val="clustered"/>
        <c:varyColors val="0"/>
        <c:ser>
          <c:idx val="2"/>
          <c:order val="0"/>
          <c:tx>
            <c:strRef>
              <c:f>Referrals!$T$10</c:f>
              <c:strCache>
                <c:ptCount val="1"/>
                <c:pt idx="0">
                  <c:v>Distance</c:v>
                </c:pt>
              </c:strCache>
            </c:strRef>
          </c:tx>
          <c:spPr>
            <a:solidFill>
              <a:srgbClr val="FB994F"/>
            </a:solidFill>
            <a:ln w="25400">
              <a:noFill/>
            </a:ln>
          </c:spPr>
          <c:invertIfNegative val="0"/>
          <c:cat>
            <c:strRef>
              <c:f>Referrals!$B$11:$B$31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Referrals!$T$11:$T$31</c:f>
              <c:numCache>
                <c:formatCode>0.0</c:formatCode>
                <c:ptCount val="21"/>
                <c:pt idx="0">
                  <c:v>108.15660541711475</c:v>
                </c:pt>
                <c:pt idx="1">
                  <c:v>190.10737326236381</c:v>
                </c:pt>
                <c:pt idx="2">
                  <c:v>104.97876054167972</c:v>
                </c:pt>
                <c:pt idx="3">
                  <c:v>-102.80218733452625</c:v>
                </c:pt>
                <c:pt idx="4">
                  <c:v>#N/A</c:v>
                </c:pt>
                <c:pt idx="5">
                  <c:v>1322.7258353335392</c:v>
                </c:pt>
                <c:pt idx="6">
                  <c:v>177.43666676428006</c:v>
                </c:pt>
                <c:pt idx="7">
                  <c:v>234.57745581166182</c:v>
                </c:pt>
                <c:pt idx="8">
                  <c:v>-75.916308969518013</c:v>
                </c:pt>
                <c:pt idx="9">
                  <c:v>-104.95822454465832</c:v>
                </c:pt>
                <c:pt idx="10">
                  <c:v>147.90676596127128</c:v>
                </c:pt>
                <c:pt idx="11">
                  <c:v>274.2280123750985</c:v>
                </c:pt>
                <c:pt idx="12">
                  <c:v>249.87234408434307</c:v>
                </c:pt>
                <c:pt idx="13">
                  <c:v>34.45379050316933</c:v>
                </c:pt>
                <c:pt idx="14">
                  <c:v>-121.84477505331466</c:v>
                </c:pt>
                <c:pt idx="15">
                  <c:v>37.254646810616862</c:v>
                </c:pt>
                <c:pt idx="16">
                  <c:v>-5.295307250402459</c:v>
                </c:pt>
                <c:pt idx="17">
                  <c:v>139.9992908261321</c:v>
                </c:pt>
                <c:pt idx="18">
                  <c:v>-16.258283577990312</c:v>
                </c:pt>
                <c:pt idx="19">
                  <c:v>239.01159913511992</c:v>
                </c:pt>
                <c:pt idx="20">
                  <c:v>-14.223617259170396</c:v>
                </c:pt>
              </c:numCache>
            </c:numRef>
          </c:val>
          <c:extLst>
            <c:ext xmlns:c16="http://schemas.microsoft.com/office/drawing/2014/chart" uri="{C3380CC4-5D6E-409C-BE32-E72D297353CC}">
              <c16:uniqueId val="{00000000-26D8-42DA-B351-A9780EF0D568}"/>
            </c:ext>
          </c:extLst>
        </c:ser>
        <c:ser>
          <c:idx val="0"/>
          <c:order val="1"/>
          <c:tx>
            <c:strRef>
              <c:f>Referrals!$Z$4</c:f>
              <c:strCache>
                <c:ptCount val="1"/>
                <c:pt idx="0">
                  <c:v>Selected LA- (none)</c:v>
                </c:pt>
              </c:strCache>
            </c:strRef>
          </c:tx>
          <c:spPr>
            <a:solidFill>
              <a:srgbClr val="66FF99"/>
            </a:solidFill>
            <a:ln>
              <a:solidFill>
                <a:srgbClr val="000000"/>
              </a:solidFill>
            </a:ln>
          </c:spPr>
          <c:invertIfNegative val="0"/>
          <c:val>
            <c:numRef>
              <c:f>Referrals!$Z$74:$Z$94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26D8-42DA-B351-A9780EF0D568}"/>
            </c:ext>
          </c:extLst>
        </c:ser>
        <c:dLbls>
          <c:showLegendKey val="0"/>
          <c:showVal val="0"/>
          <c:showCatName val="0"/>
          <c:showSerName val="0"/>
          <c:showPercent val="0"/>
          <c:showBubbleSize val="0"/>
        </c:dLbls>
        <c:gapWidth val="40"/>
        <c:overlap val="100"/>
        <c:axId val="528340480"/>
        <c:axId val="528342016"/>
      </c:barChart>
      <c:catAx>
        <c:axId val="528340480"/>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342016"/>
        <c:crossesAt val="0"/>
        <c:auto val="1"/>
        <c:lblAlgn val="ctr"/>
        <c:lblOffset val="100"/>
        <c:noMultiLvlLbl val="0"/>
      </c:catAx>
      <c:valAx>
        <c:axId val="528342016"/>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340480"/>
        <c:crosses val="max"/>
        <c:crossBetween val="between"/>
      </c:valAx>
      <c:spPr>
        <a:noFill/>
        <a:ln w="12700">
          <a:solidFill>
            <a:srgbClr val="000000"/>
          </a:solidFill>
          <a:prstDash val="solid"/>
        </a:ln>
      </c:spPr>
    </c:plotArea>
    <c:legend>
      <c:legendPos val="t"/>
      <c:layout>
        <c:manualLayout>
          <c:xMode val="edge"/>
          <c:yMode val="edge"/>
          <c:x val="0.25749145299145298"/>
          <c:y val="5.191471436440815E-2"/>
          <c:w val="0.73798291412277583"/>
          <c:h val="3.0546482615598974E-2"/>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Child Protection Plans </a:t>
            </a:r>
          </a:p>
          <a:p>
            <a:pPr>
              <a:defRPr sz="1100" b="1"/>
            </a:pPr>
            <a:r>
              <a:rPr lang="en-GB" sz="1100" b="1"/>
              <a:t>(Selected LA vs. SE) </a:t>
            </a:r>
          </a:p>
        </c:rich>
      </c:tx>
      <c:layout>
        <c:manualLayout>
          <c:xMode val="edge"/>
          <c:yMode val="edge"/>
          <c:x val="0.28217460076393636"/>
          <c:y val="1.1892093369985557E-2"/>
        </c:manualLayout>
      </c:layout>
      <c:overlay val="0"/>
      <c:spPr>
        <a:noFill/>
        <a:ln w="25400">
          <a:noFill/>
        </a:ln>
      </c:spPr>
    </c:title>
    <c:autoTitleDeleted val="0"/>
    <c:plotArea>
      <c:layout>
        <c:manualLayout>
          <c:layoutTarget val="inner"/>
          <c:xMode val="edge"/>
          <c:yMode val="edge"/>
          <c:x val="9.1212039569275746E-2"/>
          <c:y val="0.24237245492242468"/>
          <c:w val="0.65146216862752293"/>
          <c:h val="0.54820357514482276"/>
        </c:manualLayout>
      </c:layout>
      <c:barChart>
        <c:barDir val="col"/>
        <c:grouping val="clustered"/>
        <c:varyColors val="0"/>
        <c:ser>
          <c:idx val="6"/>
          <c:order val="0"/>
          <c:tx>
            <c:strRef>
              <c:f>'Child Protection Plans'!$Z$4</c:f>
              <c:strCache>
                <c:ptCount val="1"/>
                <c:pt idx="0">
                  <c:v>Selected LA- (none)</c:v>
                </c:pt>
              </c:strCache>
            </c:strRef>
          </c:tx>
          <c:spPr>
            <a:solidFill>
              <a:srgbClr val="66FF99"/>
            </a:solidFill>
            <a:ln>
              <a:solidFill>
                <a:schemeClr val="tx1">
                  <a:lumMod val="75000"/>
                  <a:lumOff val="25000"/>
                </a:schemeClr>
              </a:solidFill>
            </a:ln>
          </c:spPr>
          <c:invertIfNegative val="0"/>
          <c:cat>
            <c:strRef>
              <c:f>'Child Protection Plans'!$Y$2:$AC$3</c:f>
              <c:strCache>
                <c:ptCount val="5"/>
                <c:pt idx="0">
                  <c:v>2019/20</c:v>
                </c:pt>
                <c:pt idx="1">
                  <c:v>2020/21</c:v>
                </c:pt>
                <c:pt idx="2">
                  <c:v>2021/22</c:v>
                </c:pt>
                <c:pt idx="3">
                  <c:v>2022/23</c:v>
                </c:pt>
                <c:pt idx="4">
                  <c:v>2023/24</c:v>
                </c:pt>
              </c:strCache>
            </c:strRef>
          </c:cat>
          <c:val>
            <c:numRef>
              <c:f>'Child Protection Plans'!$AL$59:$AP$59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239B-410F-84E7-C9257F49D292}"/>
            </c:ext>
          </c:extLst>
        </c:ser>
        <c:ser>
          <c:idx val="4"/>
          <c:order val="1"/>
          <c:tx>
            <c:strRef>
              <c:f>'Child Protection Plans'!$B$30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 Protection Plans'!$Y$2:$AC$3</c:f>
              <c:strCache>
                <c:ptCount val="5"/>
                <c:pt idx="0">
                  <c:v>2019/20</c:v>
                </c:pt>
                <c:pt idx="1">
                  <c:v>2020/21</c:v>
                </c:pt>
                <c:pt idx="2">
                  <c:v>2021/22</c:v>
                </c:pt>
                <c:pt idx="3">
                  <c:v>2022/23</c:v>
                </c:pt>
                <c:pt idx="4">
                  <c:v>2023/24</c:v>
                </c:pt>
              </c:strCache>
            </c:strRef>
          </c:cat>
          <c:val>
            <c:numRef>
              <c:f>'Child Protection Plans'!$K$30:$O$30</c:f>
              <c:numCache>
                <c:formatCode>0.0</c:formatCode>
                <c:ptCount val="5"/>
                <c:pt idx="0">
                  <c:v>42.049827956754974</c:v>
                </c:pt>
                <c:pt idx="1">
                  <c:v>41.295239989413339</c:v>
                </c:pt>
                <c:pt idx="2">
                  <c:v>44.159826749654904</c:v>
                </c:pt>
                <c:pt idx="3">
                  <c:v>42.234607648127714</c:v>
                </c:pt>
                <c:pt idx="4">
                  <c:v>44.995090083046193</c:v>
                </c:pt>
              </c:numCache>
            </c:numRef>
          </c:val>
          <c:extLst>
            <c:ext xmlns:c16="http://schemas.microsoft.com/office/drawing/2014/chart" uri="{C3380CC4-5D6E-409C-BE32-E72D297353CC}">
              <c16:uniqueId val="{00000001-239B-410F-84E7-C9257F49D292}"/>
            </c:ext>
          </c:extLst>
        </c:ser>
        <c:ser>
          <c:idx val="0"/>
          <c:order val="2"/>
          <c:tx>
            <c:strRef>
              <c:f>'Child Protection Plans'!$B$31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'Child Protection Plans'!$Y$2:$AC$3</c:f>
              <c:strCache>
                <c:ptCount val="5"/>
                <c:pt idx="0">
                  <c:v>2019/20</c:v>
                </c:pt>
                <c:pt idx="1">
                  <c:v>2020/21</c:v>
                </c:pt>
                <c:pt idx="2">
                  <c:v>2021/22</c:v>
                </c:pt>
                <c:pt idx="3">
                  <c:v>2022/23</c:v>
                </c:pt>
                <c:pt idx="4">
                  <c:v>2023/24</c:v>
                </c:pt>
              </c:strCache>
            </c:strRef>
          </c:cat>
          <c:val>
            <c:numRef>
              <c:f>'Child Protection Plans'!$K$31:$O$31</c:f>
              <c:numCache>
                <c:formatCode>0.0</c:formatCode>
                <c:ptCount val="5"/>
                <c:pt idx="0">
                  <c:v>43.687744328226508</c:v>
                </c:pt>
                <c:pt idx="1">
                  <c:v>42.425240889007732</c:v>
                </c:pt>
                <c:pt idx="2">
                  <c:v>43.288725769322781</c:v>
                </c:pt>
                <c:pt idx="3">
                  <c:v>42.723289131247405</c:v>
                </c:pt>
                <c:pt idx="4">
                  <c:v>41.588025848916615</c:v>
                </c:pt>
              </c:numCache>
            </c:numRef>
          </c:val>
          <c:extLst>
            <c:ext xmlns:c16="http://schemas.microsoft.com/office/drawing/2014/chart" uri="{C3380CC4-5D6E-409C-BE32-E72D297353CC}">
              <c16:uniqueId val="{00000002-239B-410F-84E7-C9257F49D292}"/>
            </c:ext>
          </c:extLst>
        </c:ser>
        <c:dLbls>
          <c:showLegendKey val="0"/>
          <c:showVal val="0"/>
          <c:showCatName val="0"/>
          <c:showSerName val="0"/>
          <c:showPercent val="0"/>
          <c:showBubbleSize val="0"/>
        </c:dLbls>
        <c:gapWidth val="100"/>
        <c:axId val="574904576"/>
        <c:axId val="574906368"/>
      </c:barChart>
      <c:catAx>
        <c:axId val="574904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74906368"/>
        <c:crosses val="autoZero"/>
        <c:auto val="1"/>
        <c:lblAlgn val="ctr"/>
        <c:lblOffset val="100"/>
        <c:noMultiLvlLbl val="0"/>
      </c:catAx>
      <c:valAx>
        <c:axId val="57490636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74904576"/>
        <c:crosses val="autoZero"/>
        <c:crossBetween val="between"/>
      </c:valAx>
      <c:spPr>
        <a:noFill/>
        <a:ln w="3175">
          <a:solidFill>
            <a:srgbClr val="000000"/>
          </a:solidFill>
          <a:prstDash val="solid"/>
        </a:ln>
      </c:spPr>
    </c:plotArea>
    <c:legend>
      <c:legendPos val="r"/>
      <c:layout>
        <c:manualLayout>
          <c:xMode val="edge"/>
          <c:yMode val="edge"/>
          <c:x val="0.75135591193756601"/>
          <c:y val="0.2032048952460824"/>
          <c:w val="0.24864408806243399"/>
          <c:h val="0.69423100218981504"/>
        </c:manualLayout>
      </c:layout>
      <c:overlay val="0"/>
      <c:spPr>
        <a:no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a:pPr>
            <a:r>
              <a:rPr lang="en-GB" sz="1200" b="1"/>
              <a:t>% New CPP 2nd/ Subsequent</a:t>
            </a:r>
          </a:p>
          <a:p>
            <a:pPr>
              <a:defRPr sz="1200" b="1"/>
            </a:pPr>
            <a:r>
              <a:rPr lang="en-GB" sz="1200" b="1"/>
              <a:t>(Selected LA vs. SE &amp; National) </a:t>
            </a:r>
          </a:p>
        </c:rich>
      </c:tx>
      <c:layout>
        <c:manualLayout>
          <c:xMode val="edge"/>
          <c:yMode val="edge"/>
          <c:x val="0.2255726202541514"/>
          <c:y val="3.86188253414431E-3"/>
        </c:manualLayout>
      </c:layout>
      <c:overlay val="0"/>
      <c:spPr>
        <a:noFill/>
        <a:ln w="25400">
          <a:noFill/>
        </a:ln>
      </c:spPr>
    </c:title>
    <c:autoTitleDeleted val="0"/>
    <c:plotArea>
      <c:layout>
        <c:manualLayout>
          <c:layoutTarget val="inner"/>
          <c:xMode val="edge"/>
          <c:yMode val="edge"/>
          <c:x val="9.8666564984461691E-2"/>
          <c:y val="0.25838339069891714"/>
          <c:w val="0.61845846001923022"/>
          <c:h val="0.52226821946657864"/>
        </c:manualLayout>
      </c:layout>
      <c:barChart>
        <c:barDir val="col"/>
        <c:grouping val="clustered"/>
        <c:varyColors val="0"/>
        <c:ser>
          <c:idx val="6"/>
          <c:order val="0"/>
          <c:tx>
            <c:strRef>
              <c:f>'Child Protection Plans'!$Z$4</c:f>
              <c:strCache>
                <c:ptCount val="1"/>
                <c:pt idx="0">
                  <c:v>Selected LA- (none)</c:v>
                </c:pt>
              </c:strCache>
            </c:strRef>
          </c:tx>
          <c:spPr>
            <a:solidFill>
              <a:srgbClr val="66FF99"/>
            </a:solidFill>
            <a:ln>
              <a:solidFill>
                <a:schemeClr val="tx1">
                  <a:lumMod val="75000"/>
                  <a:lumOff val="25000"/>
                </a:schemeClr>
              </a:solidFill>
            </a:ln>
          </c:spPr>
          <c:invertIfNegative val="0"/>
          <c:cat>
            <c:strRef>
              <c:f>'Child Protection Plans'!$Y$2:$AC$3</c:f>
              <c:strCache>
                <c:ptCount val="5"/>
                <c:pt idx="0">
                  <c:v>2019/20</c:v>
                </c:pt>
                <c:pt idx="1">
                  <c:v>2020/21</c:v>
                </c:pt>
                <c:pt idx="2">
                  <c:v>2021/22</c:v>
                </c:pt>
                <c:pt idx="3">
                  <c:v>2022/23</c:v>
                </c:pt>
                <c:pt idx="4">
                  <c:v>2023/24</c:v>
                </c:pt>
              </c:strCache>
            </c:strRef>
          </c:cat>
          <c:val>
            <c:numRef>
              <c:f>'Child Protection Plans'!$BG$59:$BK$59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0A9A-422B-AACF-49011B0A9F2A}"/>
            </c:ext>
          </c:extLst>
        </c:ser>
        <c:ser>
          <c:idx val="4"/>
          <c:order val="1"/>
          <c:tx>
            <c:strRef>
              <c:f>'Child Protection Plans'!$B$262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 Protection Plans'!$Y$2:$AC$3</c:f>
              <c:strCache>
                <c:ptCount val="5"/>
                <c:pt idx="0">
                  <c:v>2019/20</c:v>
                </c:pt>
                <c:pt idx="1">
                  <c:v>2020/21</c:v>
                </c:pt>
                <c:pt idx="2">
                  <c:v>2021/22</c:v>
                </c:pt>
                <c:pt idx="3">
                  <c:v>2022/23</c:v>
                </c:pt>
                <c:pt idx="4">
                  <c:v>2023/24</c:v>
                </c:pt>
              </c:strCache>
            </c:strRef>
          </c:cat>
          <c:val>
            <c:numRef>
              <c:f>'Child Protection Plans'!$D$262:$H$262</c:f>
              <c:numCache>
                <c:formatCode>0%</c:formatCode>
                <c:ptCount val="5"/>
                <c:pt idx="0">
                  <c:v>0.23443579766536965</c:v>
                </c:pt>
                <c:pt idx="1">
                  <c:v>0.23482926829268291</c:v>
                </c:pt>
                <c:pt idx="2">
                  <c:v>0.23721331925918818</c:v>
                </c:pt>
                <c:pt idx="3">
                  <c:v>0.25194552529182879</c:v>
                </c:pt>
                <c:pt idx="4">
                  <c:v>0.25303867403314917</c:v>
                </c:pt>
              </c:numCache>
            </c:numRef>
          </c:val>
          <c:extLst>
            <c:ext xmlns:c16="http://schemas.microsoft.com/office/drawing/2014/chart" uri="{C3380CC4-5D6E-409C-BE32-E72D297353CC}">
              <c16:uniqueId val="{00000001-0A9A-422B-AACF-49011B0A9F2A}"/>
            </c:ext>
          </c:extLst>
        </c:ser>
        <c:ser>
          <c:idx val="0"/>
          <c:order val="2"/>
          <c:tx>
            <c:strRef>
              <c:f>'Child Protection Plans'!$B$263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'Child Protection Plans'!$Y$2:$AC$3</c:f>
              <c:strCache>
                <c:ptCount val="5"/>
                <c:pt idx="0">
                  <c:v>2019/20</c:v>
                </c:pt>
                <c:pt idx="1">
                  <c:v>2020/21</c:v>
                </c:pt>
                <c:pt idx="2">
                  <c:v>2021/22</c:v>
                </c:pt>
                <c:pt idx="3">
                  <c:v>2022/23</c:v>
                </c:pt>
                <c:pt idx="4">
                  <c:v>2023/24</c:v>
                </c:pt>
              </c:strCache>
            </c:strRef>
          </c:cat>
          <c:val>
            <c:numRef>
              <c:f>'Child Protection Plans'!$D$263:$H$263</c:f>
              <c:numCache>
                <c:formatCode>0%</c:formatCode>
                <c:ptCount val="5"/>
                <c:pt idx="0">
                  <c:v>0.21904188008436276</c:v>
                </c:pt>
                <c:pt idx="1">
                  <c:v>0.22074259752467493</c:v>
                </c:pt>
                <c:pt idx="2">
                  <c:v>0.23280012424289487</c:v>
                </c:pt>
                <c:pt idx="3">
                  <c:v>0.23563488335681854</c:v>
                </c:pt>
                <c:pt idx="4">
                  <c:v>0.24682015778457575</c:v>
                </c:pt>
              </c:numCache>
            </c:numRef>
          </c:val>
          <c:extLst>
            <c:ext xmlns:c16="http://schemas.microsoft.com/office/drawing/2014/chart" uri="{C3380CC4-5D6E-409C-BE32-E72D297353CC}">
              <c16:uniqueId val="{00000002-0A9A-422B-AACF-49011B0A9F2A}"/>
            </c:ext>
          </c:extLst>
        </c:ser>
        <c:dLbls>
          <c:showLegendKey val="0"/>
          <c:showVal val="0"/>
          <c:showCatName val="0"/>
          <c:showSerName val="0"/>
          <c:showPercent val="0"/>
          <c:showBubbleSize val="0"/>
        </c:dLbls>
        <c:gapWidth val="100"/>
        <c:axId val="584848896"/>
        <c:axId val="584850432"/>
      </c:barChart>
      <c:catAx>
        <c:axId val="584848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84850432"/>
        <c:crosses val="autoZero"/>
        <c:auto val="1"/>
        <c:lblAlgn val="ctr"/>
        <c:lblOffset val="100"/>
        <c:noMultiLvlLbl val="0"/>
      </c:catAx>
      <c:valAx>
        <c:axId val="584850432"/>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84848896"/>
        <c:crosses val="autoZero"/>
        <c:crossBetween val="between"/>
      </c:valAx>
      <c:spPr>
        <a:noFill/>
        <a:ln w="3175">
          <a:solidFill>
            <a:srgbClr val="000000"/>
          </a:solidFill>
          <a:prstDash val="solid"/>
        </a:ln>
      </c:spPr>
    </c:plotArea>
    <c:legend>
      <c:legendPos val="r"/>
      <c:layout>
        <c:manualLayout>
          <c:xMode val="edge"/>
          <c:yMode val="edge"/>
          <c:x val="0.71783139731295964"/>
          <c:y val="0.23523472739560247"/>
          <c:w val="0.28216860268704036"/>
          <c:h val="0.65298882549860904"/>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effectLst/>
              </a:rPr>
              <a:t>% Children who became the subject of a CP Plan for a second or subsequent time</a:t>
            </a:r>
            <a:endParaRPr lang="en-GB" sz="1100"/>
          </a:p>
        </c:rich>
      </c:tx>
      <c:layout>
        <c:manualLayout>
          <c:xMode val="edge"/>
          <c:yMode val="edge"/>
          <c:x val="0.11860373868745022"/>
          <c:y val="6.1214799217111891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'Child Protection Plans'!$AK$38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26B2-46AF-B19B-4CE56C2B6E28}"/>
              </c:ext>
            </c:extLst>
          </c:dPt>
          <c:cat>
            <c:strRef>
              <c:f>'Child Protection Plans'!$Y$2:$AC$3</c:f>
              <c:strCache>
                <c:ptCount val="5"/>
                <c:pt idx="0">
                  <c:v>2019/20</c:v>
                </c:pt>
                <c:pt idx="1">
                  <c:v>2020/21</c:v>
                </c:pt>
                <c:pt idx="2">
                  <c:v>2021/22</c:v>
                </c:pt>
                <c:pt idx="3">
                  <c:v>2022/23</c:v>
                </c:pt>
                <c:pt idx="4">
                  <c:v>2023/24</c:v>
                </c:pt>
              </c:strCache>
            </c:strRef>
          </c:cat>
          <c:val>
            <c:numRef>
              <c:f>'Child Protection Plans'!$BG$38:$BK$38</c:f>
              <c:numCache>
                <c:formatCode>0.0%</c:formatCode>
                <c:ptCount val="5"/>
                <c:pt idx="0">
                  <c:v>0.2391304347826087</c:v>
                </c:pt>
                <c:pt idx="1">
                  <c:v>0.19248826291079812</c:v>
                </c:pt>
                <c:pt idx="2">
                  <c:v>0.23430962343096234</c:v>
                </c:pt>
                <c:pt idx="3">
                  <c:v>0.33333333333333331</c:v>
                </c:pt>
                <c:pt idx="4">
                  <c:v>0.23529411764705882</c:v>
                </c:pt>
              </c:numCache>
            </c:numRef>
          </c:val>
          <c:smooth val="0"/>
          <c:extLst>
            <c:ext xmlns:c16="http://schemas.microsoft.com/office/drawing/2014/chart" uri="{C3380CC4-5D6E-409C-BE32-E72D297353CC}">
              <c16:uniqueId val="{00000001-26B2-46AF-B19B-4CE56C2B6E28}"/>
            </c:ext>
          </c:extLst>
        </c:ser>
        <c:ser>
          <c:idx val="1"/>
          <c:order val="1"/>
          <c:tx>
            <c:strRef>
              <c:f>'Child Protection Plans'!$AK$39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Plans'!$BG$39:$BK$39</c:f>
              <c:numCache>
                <c:formatCode>0.0%</c:formatCode>
                <c:ptCount val="5"/>
                <c:pt idx="0">
                  <c:v>0.26785714285714285</c:v>
                </c:pt>
                <c:pt idx="1">
                  <c:v>0.24374999999999999</c:v>
                </c:pt>
                <c:pt idx="2">
                  <c:v>0.27044025157232704</c:v>
                </c:pt>
                <c:pt idx="3">
                  <c:v>0.33333333333333331</c:v>
                </c:pt>
                <c:pt idx="4">
                  <c:v>0.24210526315789474</c:v>
                </c:pt>
              </c:numCache>
            </c:numRef>
          </c:val>
          <c:smooth val="0"/>
          <c:extLst>
            <c:ext xmlns:c16="http://schemas.microsoft.com/office/drawing/2014/chart" uri="{C3380CC4-5D6E-409C-BE32-E72D297353CC}">
              <c16:uniqueId val="{00000002-26B2-46AF-B19B-4CE56C2B6E28}"/>
            </c:ext>
          </c:extLst>
        </c:ser>
        <c:ser>
          <c:idx val="2"/>
          <c:order val="2"/>
          <c:tx>
            <c:strRef>
              <c:f>'Child Protection Plans'!$AK$40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Plans'!$BG$40:$BK$40</c:f>
              <c:numCache>
                <c:formatCode>0.0%</c:formatCode>
                <c:ptCount val="5"/>
                <c:pt idx="0">
                  <c:v>0.24523160762942781</c:v>
                </c:pt>
                <c:pt idx="1">
                  <c:v>0.24332810047095763</c:v>
                </c:pt>
                <c:pt idx="2">
                  <c:v>0.19387755102040816</c:v>
                </c:pt>
                <c:pt idx="3">
                  <c:v>0.25765765765765763</c:v>
                </c:pt>
                <c:pt idx="4">
                  <c:v>0.28413284132841327</c:v>
                </c:pt>
              </c:numCache>
            </c:numRef>
          </c:val>
          <c:smooth val="0"/>
          <c:extLst>
            <c:ext xmlns:c16="http://schemas.microsoft.com/office/drawing/2014/chart" uri="{C3380CC4-5D6E-409C-BE32-E72D297353CC}">
              <c16:uniqueId val="{00000003-26B2-46AF-B19B-4CE56C2B6E28}"/>
            </c:ext>
          </c:extLst>
        </c:ser>
        <c:ser>
          <c:idx val="5"/>
          <c:order val="3"/>
          <c:tx>
            <c:strRef>
              <c:f>'Child Protection Plans'!$AK$41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Plans'!$BG$41:$BK$41</c:f>
              <c:numCache>
                <c:formatCode>0.0%</c:formatCode>
                <c:ptCount val="5"/>
                <c:pt idx="0">
                  <c:v>0.25042301184433163</c:v>
                </c:pt>
                <c:pt idx="1">
                  <c:v>0.25948406676783003</c:v>
                </c:pt>
                <c:pt idx="2">
                  <c:v>0.31292517006802723</c:v>
                </c:pt>
                <c:pt idx="3">
                  <c:v>0.26666666666666666</c:v>
                </c:pt>
                <c:pt idx="4">
                  <c:v>0.26962962962962961</c:v>
                </c:pt>
              </c:numCache>
            </c:numRef>
          </c:val>
          <c:smooth val="0"/>
          <c:extLst>
            <c:ext xmlns:c16="http://schemas.microsoft.com/office/drawing/2014/chart" uri="{C3380CC4-5D6E-409C-BE32-E72D297353CC}">
              <c16:uniqueId val="{00000004-26B2-46AF-B19B-4CE56C2B6E28}"/>
            </c:ext>
          </c:extLst>
        </c:ser>
        <c:ser>
          <c:idx val="9"/>
          <c:order val="4"/>
          <c:tx>
            <c:strRef>
              <c:f>'Child Protection Plans'!$AK$42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Plans'!$BG$42:$BK$42</c:f>
              <c:numCache>
                <c:formatCode>0.0%</c:formatCode>
                <c:ptCount val="5"/>
                <c:pt idx="0">
                  <c:v>0.23901712583767684</c:v>
                </c:pt>
                <c:pt idx="1">
                  <c:v>0.25410958904109587</c:v>
                </c:pt>
                <c:pt idx="2">
                  <c:v>0.21829971181556196</c:v>
                </c:pt>
                <c:pt idx="3">
                  <c:v>0.2443064182194617</c:v>
                </c:pt>
                <c:pt idx="4">
                  <c:v>#N/A</c:v>
                </c:pt>
              </c:numCache>
            </c:numRef>
          </c:val>
          <c:smooth val="0"/>
          <c:extLst>
            <c:ext xmlns:c16="http://schemas.microsoft.com/office/drawing/2014/chart" uri="{C3380CC4-5D6E-409C-BE32-E72D297353CC}">
              <c16:uniqueId val="{00000005-26B2-46AF-B19B-4CE56C2B6E28}"/>
            </c:ext>
          </c:extLst>
        </c:ser>
        <c:ser>
          <c:idx val="10"/>
          <c:order val="5"/>
          <c:tx>
            <c:strRef>
              <c:f>'Child Protection Plans'!$AK$43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Plans'!$BG$43:$BK$43</c:f>
              <c:numCache>
                <c:formatCode>0.0%</c:formatCode>
                <c:ptCount val="5"/>
                <c:pt idx="0">
                  <c:v>0.17687074829931973</c:v>
                </c:pt>
                <c:pt idx="1">
                  <c:v>0.22018348623853212</c:v>
                </c:pt>
                <c:pt idx="2">
                  <c:v>0.25847457627118642</c:v>
                </c:pt>
                <c:pt idx="3">
                  <c:v>0.28000000000000003</c:v>
                </c:pt>
                <c:pt idx="4">
                  <c:v>0.19313304721030042</c:v>
                </c:pt>
              </c:numCache>
            </c:numRef>
          </c:val>
          <c:smooth val="0"/>
          <c:extLst>
            <c:ext xmlns:c16="http://schemas.microsoft.com/office/drawing/2014/chart" uri="{C3380CC4-5D6E-409C-BE32-E72D297353CC}">
              <c16:uniqueId val="{00000006-26B2-46AF-B19B-4CE56C2B6E28}"/>
            </c:ext>
          </c:extLst>
        </c:ser>
        <c:ser>
          <c:idx val="11"/>
          <c:order val="6"/>
          <c:tx>
            <c:strRef>
              <c:f>'Child Protection Plans'!$AK$44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Plans'!$BG$44:$BK$44</c:f>
              <c:numCache>
                <c:formatCode>0.0%</c:formatCode>
                <c:ptCount val="5"/>
                <c:pt idx="0">
                  <c:v>0.22631578947368422</c:v>
                </c:pt>
                <c:pt idx="1">
                  <c:v>0.22375478927203066</c:v>
                </c:pt>
                <c:pt idx="2">
                  <c:v>0.19750519750519752</c:v>
                </c:pt>
                <c:pt idx="3">
                  <c:v>0.23220012828736369</c:v>
                </c:pt>
                <c:pt idx="4">
                  <c:v>0.19792438843587842</c:v>
                </c:pt>
              </c:numCache>
            </c:numRef>
          </c:val>
          <c:smooth val="0"/>
          <c:extLst>
            <c:ext xmlns:c16="http://schemas.microsoft.com/office/drawing/2014/chart" uri="{C3380CC4-5D6E-409C-BE32-E72D297353CC}">
              <c16:uniqueId val="{00000007-26B2-46AF-B19B-4CE56C2B6E28}"/>
            </c:ext>
          </c:extLst>
        </c:ser>
        <c:ser>
          <c:idx val="12"/>
          <c:order val="7"/>
          <c:tx>
            <c:strRef>
              <c:f>'Child Protection Plans'!$AK$45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Plans'!$BG$45:$BK$45</c:f>
              <c:numCache>
                <c:formatCode>0.0%</c:formatCode>
                <c:ptCount val="5"/>
                <c:pt idx="0">
                  <c:v>0.21783876500857632</c:v>
                </c:pt>
                <c:pt idx="1">
                  <c:v>0.16129032258064516</c:v>
                </c:pt>
                <c:pt idx="2">
                  <c:v>0.2786259541984733</c:v>
                </c:pt>
                <c:pt idx="3">
                  <c:v>0.20759493670886076</c:v>
                </c:pt>
                <c:pt idx="4">
                  <c:v>0.26493506493506491</c:v>
                </c:pt>
              </c:numCache>
            </c:numRef>
          </c:val>
          <c:smooth val="0"/>
          <c:extLst>
            <c:ext xmlns:c16="http://schemas.microsoft.com/office/drawing/2014/chart" uri="{C3380CC4-5D6E-409C-BE32-E72D297353CC}">
              <c16:uniqueId val="{00000008-26B2-46AF-B19B-4CE56C2B6E28}"/>
            </c:ext>
          </c:extLst>
        </c:ser>
        <c:ser>
          <c:idx val="13"/>
          <c:order val="8"/>
          <c:tx>
            <c:strRef>
              <c:f>'Child Protection Plans'!$AK$46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Plans'!$BG$46:$BK$46</c:f>
              <c:numCache>
                <c:formatCode>0.0%</c:formatCode>
                <c:ptCount val="5"/>
                <c:pt idx="0">
                  <c:v>0.11160714285714286</c:v>
                </c:pt>
                <c:pt idx="1">
                  <c:v>0.13580246913580246</c:v>
                </c:pt>
                <c:pt idx="2">
                  <c:v>0.12927756653992395</c:v>
                </c:pt>
                <c:pt idx="3">
                  <c:v>0.16494845360824742</c:v>
                </c:pt>
                <c:pt idx="4">
                  <c:v>0.23076923076923078</c:v>
                </c:pt>
              </c:numCache>
            </c:numRef>
          </c:val>
          <c:smooth val="0"/>
          <c:extLst>
            <c:ext xmlns:c16="http://schemas.microsoft.com/office/drawing/2014/chart" uri="{C3380CC4-5D6E-409C-BE32-E72D297353CC}">
              <c16:uniqueId val="{00000009-26B2-46AF-B19B-4CE56C2B6E28}"/>
            </c:ext>
          </c:extLst>
        </c:ser>
        <c:ser>
          <c:idx val="15"/>
          <c:order val="9"/>
          <c:tx>
            <c:strRef>
              <c:f>'Child Protection Plans'!$AK$47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Plans'!$BG$47:$BK$47</c:f>
              <c:numCache>
                <c:formatCode>0.0%</c:formatCode>
                <c:ptCount val="5"/>
                <c:pt idx="0">
                  <c:v>0.24765729585006693</c:v>
                </c:pt>
                <c:pt idx="1">
                  <c:v>0.2132564841498559</c:v>
                </c:pt>
                <c:pt idx="2">
                  <c:v>0.30263157894736842</c:v>
                </c:pt>
                <c:pt idx="3">
                  <c:v>0.26630434782608697</c:v>
                </c:pt>
                <c:pt idx="4">
                  <c:v>0.27586206896551724</c:v>
                </c:pt>
              </c:numCache>
            </c:numRef>
          </c:val>
          <c:smooth val="0"/>
          <c:extLst>
            <c:ext xmlns:c16="http://schemas.microsoft.com/office/drawing/2014/chart" uri="{C3380CC4-5D6E-409C-BE32-E72D297353CC}">
              <c16:uniqueId val="{0000000A-26B2-46AF-B19B-4CE56C2B6E28}"/>
            </c:ext>
          </c:extLst>
        </c:ser>
        <c:ser>
          <c:idx val="16"/>
          <c:order val="10"/>
          <c:tx>
            <c:strRef>
              <c:f>'Child Protection Plans'!$AK$48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Plans'!$BG$48:$BK$48</c:f>
              <c:numCache>
                <c:formatCode>0.0%</c:formatCode>
                <c:ptCount val="5"/>
                <c:pt idx="0">
                  <c:v>0.19732441471571907</c:v>
                </c:pt>
                <c:pt idx="1">
                  <c:v>0.22112211221122113</c:v>
                </c:pt>
                <c:pt idx="2">
                  <c:v>0.22821576763485477</c:v>
                </c:pt>
                <c:pt idx="3">
                  <c:v>0.21705426356589147</c:v>
                </c:pt>
                <c:pt idx="4">
                  <c:v>0.29836065573770493</c:v>
                </c:pt>
              </c:numCache>
            </c:numRef>
          </c:val>
          <c:smooth val="0"/>
          <c:extLst>
            <c:ext xmlns:c16="http://schemas.microsoft.com/office/drawing/2014/chart" uri="{C3380CC4-5D6E-409C-BE32-E72D297353CC}">
              <c16:uniqueId val="{0000000B-26B2-46AF-B19B-4CE56C2B6E28}"/>
            </c:ext>
          </c:extLst>
        </c:ser>
        <c:ser>
          <c:idx val="17"/>
          <c:order val="11"/>
          <c:tx>
            <c:strRef>
              <c:f>'Child Protection Plans'!$AK$49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Plans'!$BG$49:$BK$49</c:f>
              <c:numCache>
                <c:formatCode>0.0%</c:formatCode>
                <c:ptCount val="5"/>
                <c:pt idx="0">
                  <c:v>0.25</c:v>
                </c:pt>
                <c:pt idx="1">
                  <c:v>0.29022988505747127</c:v>
                </c:pt>
                <c:pt idx="2">
                  <c:v>0.28239202657807311</c:v>
                </c:pt>
                <c:pt idx="3">
                  <c:v>0.2788844621513944</c:v>
                </c:pt>
                <c:pt idx="4">
                  <c:v>0.30038022813688214</c:v>
                </c:pt>
              </c:numCache>
            </c:numRef>
          </c:val>
          <c:smooth val="0"/>
          <c:extLst>
            <c:ext xmlns:c16="http://schemas.microsoft.com/office/drawing/2014/chart" uri="{C3380CC4-5D6E-409C-BE32-E72D297353CC}">
              <c16:uniqueId val="{0000000C-26B2-46AF-B19B-4CE56C2B6E28}"/>
            </c:ext>
          </c:extLst>
        </c:ser>
        <c:ser>
          <c:idx val="19"/>
          <c:order val="12"/>
          <c:tx>
            <c:strRef>
              <c:f>'Child Protection Plans'!$AK$50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Plans'!$BG$50:$BK$50</c:f>
              <c:numCache>
                <c:formatCode>0.0%</c:formatCode>
                <c:ptCount val="5"/>
                <c:pt idx="0">
                  <c:v>0.18296529968454259</c:v>
                </c:pt>
                <c:pt idx="1">
                  <c:v>0.13600000000000001</c:v>
                </c:pt>
                <c:pt idx="2">
                  <c:v>0.20710059171597633</c:v>
                </c:pt>
                <c:pt idx="3">
                  <c:v>0.17973856209150327</c:v>
                </c:pt>
                <c:pt idx="4">
                  <c:v>0.19691119691119691</c:v>
                </c:pt>
              </c:numCache>
            </c:numRef>
          </c:val>
          <c:smooth val="0"/>
          <c:extLst>
            <c:ext xmlns:c16="http://schemas.microsoft.com/office/drawing/2014/chart" uri="{C3380CC4-5D6E-409C-BE32-E72D297353CC}">
              <c16:uniqueId val="{0000000D-26B2-46AF-B19B-4CE56C2B6E28}"/>
            </c:ext>
          </c:extLst>
        </c:ser>
        <c:ser>
          <c:idx val="20"/>
          <c:order val="13"/>
          <c:tx>
            <c:strRef>
              <c:f>'Child Protection Plans'!$AK$51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Plans'!$BG$51:$BK$51</c:f>
              <c:numCache>
                <c:formatCode>0.0%</c:formatCode>
                <c:ptCount val="5"/>
                <c:pt idx="0">
                  <c:v>0.24377224199288255</c:v>
                </c:pt>
                <c:pt idx="1">
                  <c:v>0.23044397463002114</c:v>
                </c:pt>
                <c:pt idx="2">
                  <c:v>0.241852487135506</c:v>
                </c:pt>
                <c:pt idx="3">
                  <c:v>0.3306878306878307</c:v>
                </c:pt>
                <c:pt idx="4">
                  <c:v>0.29268292682926828</c:v>
                </c:pt>
              </c:numCache>
            </c:numRef>
          </c:val>
          <c:smooth val="0"/>
          <c:extLst>
            <c:ext xmlns:c16="http://schemas.microsoft.com/office/drawing/2014/chart" uri="{C3380CC4-5D6E-409C-BE32-E72D297353CC}">
              <c16:uniqueId val="{0000000F-26B2-46AF-B19B-4CE56C2B6E28}"/>
            </c:ext>
          </c:extLst>
        </c:ser>
        <c:ser>
          <c:idx val="22"/>
          <c:order val="14"/>
          <c:tx>
            <c:strRef>
              <c:f>'Child Protection Plans'!$AK$52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Plans'!$BG$52:$BK$52</c:f>
              <c:numCache>
                <c:formatCode>0.0%</c:formatCode>
                <c:ptCount val="5"/>
                <c:pt idx="0">
                  <c:v>0.26398852223816355</c:v>
                </c:pt>
                <c:pt idx="1">
                  <c:v>0.25937183383991896</c:v>
                </c:pt>
                <c:pt idx="2">
                  <c:v>0.23181377303588749</c:v>
                </c:pt>
                <c:pt idx="3">
                  <c:v>0.25938967136150237</c:v>
                </c:pt>
                <c:pt idx="4">
                  <c:v>0.29337539432176657</c:v>
                </c:pt>
              </c:numCache>
            </c:numRef>
          </c:val>
          <c:smooth val="0"/>
          <c:extLst>
            <c:ext xmlns:c16="http://schemas.microsoft.com/office/drawing/2014/chart" uri="{C3380CC4-5D6E-409C-BE32-E72D297353CC}">
              <c16:uniqueId val="{00000010-26B2-46AF-B19B-4CE56C2B6E28}"/>
            </c:ext>
          </c:extLst>
        </c:ser>
        <c:ser>
          <c:idx val="23"/>
          <c:order val="15"/>
          <c:tx>
            <c:strRef>
              <c:f>'Child Protection Plans'!$AK$53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Plans'!$BG$53:$BK$53</c:f>
              <c:numCache>
                <c:formatCode>0.0%</c:formatCode>
                <c:ptCount val="5"/>
                <c:pt idx="0">
                  <c:v>0.21764705882352942</c:v>
                </c:pt>
                <c:pt idx="1">
                  <c:v>0.22666666666666666</c:v>
                </c:pt>
                <c:pt idx="2">
                  <c:v>0.22448979591836735</c:v>
                </c:pt>
                <c:pt idx="3">
                  <c:v>0.25192802056555269</c:v>
                </c:pt>
                <c:pt idx="4">
                  <c:v>0.30392156862745096</c:v>
                </c:pt>
              </c:numCache>
            </c:numRef>
          </c:val>
          <c:smooth val="0"/>
          <c:extLst>
            <c:ext xmlns:c16="http://schemas.microsoft.com/office/drawing/2014/chart" uri="{C3380CC4-5D6E-409C-BE32-E72D297353CC}">
              <c16:uniqueId val="{00000013-26B2-46AF-B19B-4CE56C2B6E28}"/>
            </c:ext>
          </c:extLst>
        </c:ser>
        <c:ser>
          <c:idx val="24"/>
          <c:order val="16"/>
          <c:tx>
            <c:strRef>
              <c:f>'Child Protection Plans'!$AK$54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Plans'!$BG$54:$BK$54</c:f>
              <c:numCache>
                <c:formatCode>0.0%</c:formatCode>
                <c:ptCount val="5"/>
                <c:pt idx="0">
                  <c:v>0.2648888888888889</c:v>
                </c:pt>
                <c:pt idx="1">
                  <c:v>0.26284751474304968</c:v>
                </c:pt>
                <c:pt idx="2">
                  <c:v>0.26413043478260867</c:v>
                </c:pt>
                <c:pt idx="3">
                  <c:v>0.23891129032258066</c:v>
                </c:pt>
                <c:pt idx="4">
                  <c:v>0.25837320574162681</c:v>
                </c:pt>
              </c:numCache>
            </c:numRef>
          </c:val>
          <c:smooth val="0"/>
          <c:extLst>
            <c:ext xmlns:c16="http://schemas.microsoft.com/office/drawing/2014/chart" uri="{C3380CC4-5D6E-409C-BE32-E72D297353CC}">
              <c16:uniqueId val="{00000014-26B2-46AF-B19B-4CE56C2B6E28}"/>
            </c:ext>
          </c:extLst>
        </c:ser>
        <c:ser>
          <c:idx val="25"/>
          <c:order val="17"/>
          <c:tx>
            <c:strRef>
              <c:f>'Child Protection Plans'!$AK$55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Plans'!$BG$55:$BK$55</c:f>
              <c:numCache>
                <c:formatCode>0.0%</c:formatCode>
                <c:ptCount val="5"/>
                <c:pt idx="0">
                  <c:v>0.15023474178403756</c:v>
                </c:pt>
                <c:pt idx="1">
                  <c:v>0.25877192982456143</c:v>
                </c:pt>
                <c:pt idx="2">
                  <c:v>0.32446808510638298</c:v>
                </c:pt>
                <c:pt idx="3">
                  <c:v>0.30808080808080807</c:v>
                </c:pt>
                <c:pt idx="4">
                  <c:v>0.30158730158730157</c:v>
                </c:pt>
              </c:numCache>
            </c:numRef>
          </c:val>
          <c:smooth val="0"/>
          <c:extLst>
            <c:ext xmlns:c16="http://schemas.microsoft.com/office/drawing/2014/chart" uri="{C3380CC4-5D6E-409C-BE32-E72D297353CC}">
              <c16:uniqueId val="{00000015-26B2-46AF-B19B-4CE56C2B6E28}"/>
            </c:ext>
          </c:extLst>
        </c:ser>
        <c:ser>
          <c:idx val="26"/>
          <c:order val="18"/>
          <c:tx>
            <c:strRef>
              <c:f>'Child Protection Plans'!$AK$56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Plans'!$BG$56:$BK$56</c:f>
              <c:numCache>
                <c:formatCode>0.0%</c:formatCode>
                <c:ptCount val="5"/>
                <c:pt idx="0">
                  <c:v>0.20224719101123595</c:v>
                </c:pt>
                <c:pt idx="1">
                  <c:v>0.18354430379746836</c:v>
                </c:pt>
                <c:pt idx="2">
                  <c:v>0.20512820512820512</c:v>
                </c:pt>
                <c:pt idx="3">
                  <c:v>0.21014492753623187</c:v>
                </c:pt>
                <c:pt idx="4">
                  <c:v>0.216</c:v>
                </c:pt>
              </c:numCache>
            </c:numRef>
          </c:val>
          <c:smooth val="0"/>
          <c:extLst>
            <c:ext xmlns:c16="http://schemas.microsoft.com/office/drawing/2014/chart" uri="{C3380CC4-5D6E-409C-BE32-E72D297353CC}">
              <c16:uniqueId val="{00000016-26B2-46AF-B19B-4CE56C2B6E28}"/>
            </c:ext>
          </c:extLst>
        </c:ser>
        <c:ser>
          <c:idx val="4"/>
          <c:order val="19"/>
          <c:tx>
            <c:strRef>
              <c:f>'Child Protection Plans'!$AK$57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Plans'!$BG$57:$BK$57</c:f>
              <c:numCache>
                <c:formatCode>0.0%</c:formatCode>
                <c:ptCount val="5"/>
                <c:pt idx="0">
                  <c:v>0.23443579766536965</c:v>
                </c:pt>
                <c:pt idx="1">
                  <c:v>0.23482926829268291</c:v>
                </c:pt>
                <c:pt idx="2">
                  <c:v>0.23721331925918818</c:v>
                </c:pt>
                <c:pt idx="3">
                  <c:v>0.25194552529182879</c:v>
                </c:pt>
                <c:pt idx="4">
                  <c:v>0.25303867403314917</c:v>
                </c:pt>
              </c:numCache>
            </c:numRef>
          </c:val>
          <c:smooth val="0"/>
          <c:extLst>
            <c:ext xmlns:c16="http://schemas.microsoft.com/office/drawing/2014/chart" uri="{C3380CC4-5D6E-409C-BE32-E72D297353CC}">
              <c16:uniqueId val="{00000017-26B2-46AF-B19B-4CE56C2B6E28}"/>
            </c:ext>
          </c:extLst>
        </c:ser>
        <c:ser>
          <c:idx val="14"/>
          <c:order val="20"/>
          <c:tx>
            <c:strRef>
              <c:f>'Child Protection Plans'!$AK$58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'Child Protection Plans'!$Y$2:$AC$3</c:f>
              <c:strCache>
                <c:ptCount val="5"/>
                <c:pt idx="0">
                  <c:v>2019/20</c:v>
                </c:pt>
                <c:pt idx="1">
                  <c:v>2020/21</c:v>
                </c:pt>
                <c:pt idx="2">
                  <c:v>2021/22</c:v>
                </c:pt>
                <c:pt idx="3">
                  <c:v>2022/23</c:v>
                </c:pt>
                <c:pt idx="4">
                  <c:v>2023/24</c:v>
                </c:pt>
              </c:strCache>
            </c:strRef>
          </c:cat>
          <c:val>
            <c:numRef>
              <c:f>'Child Protection Plans'!$BG$58:$BK$58</c:f>
              <c:numCache>
                <c:formatCode>0.0%</c:formatCode>
                <c:ptCount val="5"/>
                <c:pt idx="0">
                  <c:v>0.21904188008436276</c:v>
                </c:pt>
                <c:pt idx="1">
                  <c:v>0.22074259752467493</c:v>
                </c:pt>
                <c:pt idx="2">
                  <c:v>0.23280012424289487</c:v>
                </c:pt>
                <c:pt idx="3">
                  <c:v>0.23563488335681854</c:v>
                </c:pt>
                <c:pt idx="4">
                  <c:v>0.24682015778457575</c:v>
                </c:pt>
              </c:numCache>
            </c:numRef>
          </c:val>
          <c:smooth val="0"/>
          <c:extLst>
            <c:ext xmlns:c16="http://schemas.microsoft.com/office/drawing/2014/chart" uri="{C3380CC4-5D6E-409C-BE32-E72D297353CC}">
              <c16:uniqueId val="{00000018-26B2-46AF-B19B-4CE56C2B6E28}"/>
            </c:ext>
          </c:extLst>
        </c:ser>
        <c:ser>
          <c:idx val="6"/>
          <c:order val="21"/>
          <c:tx>
            <c:strRef>
              <c:f>'Child Protection Plans'!$AK$59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 Protection Plans'!$Y$2:$AC$3</c:f>
              <c:strCache>
                <c:ptCount val="5"/>
                <c:pt idx="0">
                  <c:v>2019/20</c:v>
                </c:pt>
                <c:pt idx="1">
                  <c:v>2020/21</c:v>
                </c:pt>
                <c:pt idx="2">
                  <c:v>2021/22</c:v>
                </c:pt>
                <c:pt idx="3">
                  <c:v>2022/23</c:v>
                </c:pt>
                <c:pt idx="4">
                  <c:v>2023/24</c:v>
                </c:pt>
              </c:strCache>
            </c:strRef>
          </c:cat>
          <c:val>
            <c:numRef>
              <c:f>'Child Protection Plans'!$BG$59:$BK$59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26B2-46AF-B19B-4CE56C2B6E28}"/>
            </c:ext>
          </c:extLst>
        </c:ser>
        <c:dLbls>
          <c:showLegendKey val="0"/>
          <c:showVal val="0"/>
          <c:showCatName val="0"/>
          <c:showSerName val="0"/>
          <c:showPercent val="0"/>
          <c:showBubbleSize val="0"/>
        </c:dLbls>
        <c:marker val="1"/>
        <c:smooth val="0"/>
        <c:axId val="585389952"/>
        <c:axId val="585420800"/>
      </c:lineChart>
      <c:catAx>
        <c:axId val="585389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5420800"/>
        <c:crosses val="autoZero"/>
        <c:auto val="1"/>
        <c:lblAlgn val="ctr"/>
        <c:lblOffset val="100"/>
        <c:tickLblSkip val="1"/>
        <c:tickMarkSkip val="1"/>
        <c:noMultiLvlLbl val="0"/>
      </c:catAx>
      <c:valAx>
        <c:axId val="58542080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538995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9145783517353856"/>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b="1"/>
            </a:pPr>
            <a:r>
              <a:rPr lang="en-GB" sz="1100" b="1"/>
              <a:t>Distance from Expected Rate of Child Protection Plans</a:t>
            </a:r>
          </a:p>
        </c:rich>
      </c:tx>
      <c:layout>
        <c:manualLayout>
          <c:xMode val="edge"/>
          <c:yMode val="edge"/>
          <c:x val="6.8617635733538703E-3"/>
          <c:y val="1.5365235743636314E-2"/>
        </c:manualLayout>
      </c:layout>
      <c:overlay val="0"/>
      <c:spPr>
        <a:noFill/>
        <a:ln w="25400">
          <a:noFill/>
        </a:ln>
      </c:spPr>
    </c:title>
    <c:autoTitleDeleted val="0"/>
    <c:plotArea>
      <c:layout>
        <c:manualLayout>
          <c:layoutTarget val="inner"/>
          <c:xMode val="edge"/>
          <c:yMode val="edge"/>
          <c:x val="0.29046555053366435"/>
          <c:y val="0.13754659323684476"/>
          <c:w val="0.67987777707046915"/>
          <c:h val="0.80483344421018621"/>
        </c:manualLayout>
      </c:layout>
      <c:barChart>
        <c:barDir val="bar"/>
        <c:grouping val="clustered"/>
        <c:varyColors val="0"/>
        <c:ser>
          <c:idx val="2"/>
          <c:order val="0"/>
          <c:tx>
            <c:strRef>
              <c:f>'Child Protection Plans'!$S$7:$T$7</c:f>
              <c:strCache>
                <c:ptCount val="1"/>
                <c:pt idx="0">
                  <c:v>Distance from 2024 Expected Rate based on IDACI</c:v>
                </c:pt>
              </c:strCache>
            </c:strRef>
          </c:tx>
          <c:spPr>
            <a:solidFill>
              <a:srgbClr val="FB994F"/>
            </a:solidFill>
            <a:ln w="25400">
              <a:noFill/>
            </a:ln>
          </c:spPr>
          <c:invertIfNegative val="0"/>
          <c:cat>
            <c:strRef>
              <c:f>'Child Protection Plans'!$X$72:$X$92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'Child Protection Plans'!$T$11:$T$31</c:f>
              <c:numCache>
                <c:formatCode>0.0</c:formatCode>
                <c:ptCount val="21"/>
                <c:pt idx="0">
                  <c:v>8.3109794634132541</c:v>
                </c:pt>
                <c:pt idx="1">
                  <c:v>14.719306877460326</c:v>
                </c:pt>
                <c:pt idx="2">
                  <c:v>3.5741458374790014</c:v>
                </c:pt>
                <c:pt idx="3">
                  <c:v>23.361666915496507</c:v>
                </c:pt>
                <c:pt idx="4">
                  <c:v>#N/A</c:v>
                </c:pt>
                <c:pt idx="5">
                  <c:v>32.592420184743077</c:v>
                </c:pt>
                <c:pt idx="6">
                  <c:v>-7.4898207431418413</c:v>
                </c:pt>
                <c:pt idx="7">
                  <c:v>-5.2714966693190348</c:v>
                </c:pt>
                <c:pt idx="8">
                  <c:v>-14.413579732394574</c:v>
                </c:pt>
                <c:pt idx="9">
                  <c:v>2.1037279294617193</c:v>
                </c:pt>
                <c:pt idx="10">
                  <c:v>4.0857840916195585</c:v>
                </c:pt>
                <c:pt idx="11">
                  <c:v>19.36990389691983</c:v>
                </c:pt>
                <c:pt idx="12">
                  <c:v>3.052260075376708</c:v>
                </c:pt>
                <c:pt idx="13">
                  <c:v>4.7229268169114675</c:v>
                </c:pt>
                <c:pt idx="14">
                  <c:v>-7.9944371305625026</c:v>
                </c:pt>
                <c:pt idx="15">
                  <c:v>23.61620661851601</c:v>
                </c:pt>
                <c:pt idx="16">
                  <c:v>1.6995984018306061</c:v>
                </c:pt>
                <c:pt idx="17">
                  <c:v>1.7504284531896133</c:v>
                </c:pt>
                <c:pt idx="18">
                  <c:v>3.5590208338198579</c:v>
                </c:pt>
                <c:pt idx="19">
                  <c:v>7.7920227360757508</c:v>
                </c:pt>
                <c:pt idx="20">
                  <c:v>-2.8025630784498361</c:v>
                </c:pt>
              </c:numCache>
            </c:numRef>
          </c:val>
          <c:extLst>
            <c:ext xmlns:c16="http://schemas.microsoft.com/office/drawing/2014/chart" uri="{C3380CC4-5D6E-409C-BE32-E72D297353CC}">
              <c16:uniqueId val="{00000000-D03A-4C19-98A2-9764078D9DE7}"/>
            </c:ext>
          </c:extLst>
        </c:ser>
        <c:ser>
          <c:idx val="0"/>
          <c:order val="1"/>
          <c:tx>
            <c:strRef>
              <c:f>'Child Protection Plans'!$Z$4</c:f>
              <c:strCache>
                <c:ptCount val="1"/>
                <c:pt idx="0">
                  <c:v>Selected LA- (none)</c:v>
                </c:pt>
              </c:strCache>
            </c:strRef>
          </c:tx>
          <c:spPr>
            <a:solidFill>
              <a:srgbClr val="66FF99"/>
            </a:solidFill>
            <a:ln w="12700">
              <a:solidFill>
                <a:srgbClr val="000000"/>
              </a:solidFill>
              <a:prstDash val="solid"/>
            </a:ln>
          </c:spPr>
          <c:invertIfNegative val="0"/>
          <c:cat>
            <c:strRef>
              <c:f>'Child Protection Plans'!$X$72:$X$92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'Child Protection Plans'!$Z$72:$Z$92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D03A-4C19-98A2-9764078D9DE7}"/>
            </c:ext>
          </c:extLst>
        </c:ser>
        <c:dLbls>
          <c:showLegendKey val="0"/>
          <c:showVal val="0"/>
          <c:showCatName val="0"/>
          <c:showSerName val="0"/>
          <c:showPercent val="0"/>
          <c:showBubbleSize val="0"/>
        </c:dLbls>
        <c:gapWidth val="40"/>
        <c:overlap val="100"/>
        <c:axId val="585512448"/>
        <c:axId val="585513984"/>
      </c:barChart>
      <c:catAx>
        <c:axId val="58551244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585513984"/>
        <c:crossesAt val="0"/>
        <c:auto val="1"/>
        <c:lblAlgn val="ctr"/>
        <c:lblOffset val="100"/>
        <c:noMultiLvlLbl val="0"/>
      </c:catAx>
      <c:valAx>
        <c:axId val="585513984"/>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85512448"/>
        <c:crosses val="max"/>
        <c:crossBetween val="between"/>
      </c:valAx>
      <c:spPr>
        <a:noFill/>
        <a:ln w="12700">
          <a:solidFill>
            <a:srgbClr val="000000"/>
          </a:solidFill>
          <a:prstDash val="solid"/>
        </a:ln>
      </c:spPr>
    </c:plotArea>
    <c:legend>
      <c:legendPos val="t"/>
      <c:layout>
        <c:manualLayout>
          <c:xMode val="edge"/>
          <c:yMode val="edge"/>
          <c:x val="4.7418332750689463E-2"/>
          <c:y val="7.2490772111310081E-2"/>
          <c:w val="0.91100974957411518"/>
          <c:h val="5.3257067750611557E-2"/>
        </c:manualLayout>
      </c:layout>
      <c:overlay val="0"/>
      <c:spPr>
        <a:solidFill>
          <a:srgbClr val="FFFFFF"/>
        </a:solidFill>
        <a:ln w="3175">
          <a:noFill/>
          <a:prstDash val="solid"/>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 Protection Plans'!$AK$5</c:f>
          <c:strCache>
            <c:ptCount val="1"/>
            <c:pt idx="0">
              <c:v>Average Annual Change in Number of Child Protection Plans</c:v>
            </c:pt>
          </c:strCache>
        </c:strRef>
      </c:tx>
      <c:layout>
        <c:manualLayout>
          <c:xMode val="edge"/>
          <c:yMode val="edge"/>
          <c:x val="9.5785619809663491E-3"/>
          <c:y val="1.1152426478663088E-2"/>
        </c:manualLayout>
      </c:layout>
      <c:overlay val="0"/>
      <c:spPr>
        <a:noFill/>
        <a:ln w="25400">
          <a:noFill/>
        </a:ln>
      </c:spPr>
      <c:txPr>
        <a:bodyPr/>
        <a:lstStyle/>
        <a:p>
          <a:pPr algn="l">
            <a:defRPr sz="1100" b="1"/>
          </a:pPr>
          <a:endParaRPr lang="en-US"/>
        </a:p>
      </c:txPr>
    </c:title>
    <c:autoTitleDeleted val="0"/>
    <c:plotArea>
      <c:layout>
        <c:manualLayout>
          <c:layoutTarget val="inner"/>
          <c:xMode val="edge"/>
          <c:yMode val="edge"/>
          <c:x val="0.29460276736179636"/>
          <c:y val="0.13754659323684476"/>
          <c:w val="0.66360985022915164"/>
          <c:h val="0.80483344421018621"/>
        </c:manualLayout>
      </c:layout>
      <c:barChart>
        <c:barDir val="bar"/>
        <c:grouping val="clustered"/>
        <c:varyColors val="0"/>
        <c:ser>
          <c:idx val="0"/>
          <c:order val="0"/>
          <c:tx>
            <c:strRef>
              <c:f>'Child Protection Plans'!$I$7</c:f>
              <c:strCache>
                <c:ptCount val="1"/>
                <c:pt idx="0">
                  <c:v>Average Annual Change </c:v>
                </c:pt>
              </c:strCache>
            </c:strRef>
          </c:tx>
          <c:spPr>
            <a:solidFill>
              <a:srgbClr val="FB994F"/>
            </a:solidFill>
            <a:ln w="25400">
              <a:noFill/>
            </a:ln>
          </c:spPr>
          <c:invertIfNegative val="0"/>
          <c:cat>
            <c:strRef>
              <c:f>'Child Protection Plans'!$B$11:$B$31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'Child Protection Plans'!$I$11:$I$31</c:f>
              <c:numCache>
                <c:formatCode>0.0%</c:formatCode>
                <c:ptCount val="21"/>
                <c:pt idx="0">
                  <c:v>5.8613801599898263E-3</c:v>
                </c:pt>
                <c:pt idx="1">
                  <c:v>-5.5559369125691843E-2</c:v>
                </c:pt>
                <c:pt idx="2">
                  <c:v>-3.2245136104988095E-2</c:v>
                </c:pt>
                <c:pt idx="3">
                  <c:v>6.7862861810690137E-2</c:v>
                </c:pt>
                <c:pt idx="4">
                  <c:v>3.7194152007818053E-2</c:v>
                </c:pt>
                <c:pt idx="5">
                  <c:v>0.13381215818102213</c:v>
                </c:pt>
                <c:pt idx="6">
                  <c:v>-2.027154977628862E-2</c:v>
                </c:pt>
                <c:pt idx="7">
                  <c:v>5.3627035614088124E-2</c:v>
                </c:pt>
                <c:pt idx="8">
                  <c:v>0.11385648925654326</c:v>
                </c:pt>
                <c:pt idx="9">
                  <c:v>5.4569150959266344E-3</c:v>
                </c:pt>
                <c:pt idx="10">
                  <c:v>5.2626381534850109E-2</c:v>
                </c:pt>
                <c:pt idx="11">
                  <c:v>2.6768487086158775E-2</c:v>
                </c:pt>
                <c:pt idx="12">
                  <c:v>-9.7885520487264677E-2</c:v>
                </c:pt>
                <c:pt idx="13">
                  <c:v>-3.639132043206747E-2</c:v>
                </c:pt>
                <c:pt idx="14">
                  <c:v>-1.3383818453866173E-2</c:v>
                </c:pt>
                <c:pt idx="15">
                  <c:v>0.26690278056208855</c:v>
                </c:pt>
                <c:pt idx="16">
                  <c:v>-4.0505259171283302E-2</c:v>
                </c:pt>
                <c:pt idx="17">
                  <c:v>-5.8190034187906137E-2</c:v>
                </c:pt>
                <c:pt idx="18">
                  <c:v>-2.4708422287071166E-2</c:v>
                </c:pt>
                <c:pt idx="19">
                  <c:v>1.8296853752269214E-2</c:v>
                </c:pt>
                <c:pt idx="20">
                  <c:v>-7.7508166432065815E-3</c:v>
                </c:pt>
              </c:numCache>
            </c:numRef>
          </c:val>
          <c:extLst>
            <c:ext xmlns:c16="http://schemas.microsoft.com/office/drawing/2014/chart" uri="{C3380CC4-5D6E-409C-BE32-E72D297353CC}">
              <c16:uniqueId val="{00000000-169C-43C6-9175-75320E865166}"/>
            </c:ext>
          </c:extLst>
        </c:ser>
        <c:ser>
          <c:idx val="1"/>
          <c:order val="1"/>
          <c:tx>
            <c:strRef>
              <c:f>'Child Protection Plans'!$Z$4</c:f>
              <c:strCache>
                <c:ptCount val="1"/>
                <c:pt idx="0">
                  <c:v>Selected LA- (none)</c:v>
                </c:pt>
              </c:strCache>
            </c:strRef>
          </c:tx>
          <c:spPr>
            <a:solidFill>
              <a:srgbClr val="66FF99"/>
            </a:solidFill>
            <a:ln w="12700">
              <a:solidFill>
                <a:srgbClr val="000000"/>
              </a:solidFill>
              <a:prstDash val="solid"/>
            </a:ln>
          </c:spPr>
          <c:invertIfNegative val="0"/>
          <c:cat>
            <c:strRef>
              <c:f>'Child Protection Plans'!$B$11:$B$31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'Child Protection Plans'!$Y$72:$Y$92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169C-43C6-9175-75320E865166}"/>
            </c:ext>
          </c:extLst>
        </c:ser>
        <c:dLbls>
          <c:showLegendKey val="0"/>
          <c:showVal val="0"/>
          <c:showCatName val="0"/>
          <c:showSerName val="0"/>
          <c:showPercent val="0"/>
          <c:showBubbleSize val="0"/>
        </c:dLbls>
        <c:gapWidth val="40"/>
        <c:overlap val="100"/>
        <c:axId val="585826304"/>
        <c:axId val="585827840"/>
      </c:barChart>
      <c:catAx>
        <c:axId val="58582630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585827840"/>
        <c:crosses val="autoZero"/>
        <c:auto val="1"/>
        <c:lblAlgn val="ctr"/>
        <c:lblOffset val="100"/>
        <c:noMultiLvlLbl val="0"/>
      </c:catAx>
      <c:valAx>
        <c:axId val="585827840"/>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85826304"/>
        <c:crosses val="max"/>
        <c:crossBetween val="between"/>
      </c:valAx>
      <c:spPr>
        <a:noFill/>
        <a:ln w="3175">
          <a:solidFill>
            <a:srgbClr val="000000"/>
          </a:solidFill>
          <a:prstDash val="solid"/>
        </a:ln>
      </c:spPr>
    </c:plotArea>
    <c:legend>
      <c:legendPos val="t"/>
      <c:layout>
        <c:manualLayout>
          <c:xMode val="edge"/>
          <c:yMode val="edge"/>
          <c:x val="0.12156443963817824"/>
          <c:y val="7.8066985350641618E-2"/>
          <c:w val="0.82813760940826597"/>
          <c:h val="4.089223042176466E-2"/>
        </c:manualLayout>
      </c:layout>
      <c:overlay val="0"/>
      <c:spPr>
        <a:noFill/>
        <a:ln w="12700">
          <a:noFill/>
          <a:prstDash val="solid"/>
        </a:ln>
      </c:spPr>
    </c:legend>
    <c:plotVisOnly val="0"/>
    <c:dispBlanksAs val="gap"/>
    <c:showDLblsOverMax val="0"/>
  </c:chart>
  <c:spPr>
    <a:solidFill>
      <a:srgbClr val="FFFFFF"/>
    </a:solidFill>
    <a:ln w="12700">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pPr>
            <a:r>
              <a:rPr lang="en-GB" sz="1100" b="1"/>
              <a:t>% Ceased CPP 2yrs+ </a:t>
            </a:r>
          </a:p>
          <a:p>
            <a:pPr>
              <a:defRPr sz="1100" b="1"/>
            </a:pPr>
            <a:r>
              <a:rPr lang="en-GB" sz="1100" b="1"/>
              <a:t>(Selected LA vs. SE &amp; National) </a:t>
            </a:r>
          </a:p>
        </c:rich>
      </c:tx>
      <c:layout>
        <c:manualLayout>
          <c:xMode val="edge"/>
          <c:yMode val="edge"/>
          <c:x val="0.14081338842545671"/>
          <c:y val="3.8612538702123308E-3"/>
        </c:manualLayout>
      </c:layout>
      <c:overlay val="0"/>
      <c:spPr>
        <a:noFill/>
        <a:ln w="25400">
          <a:noFill/>
        </a:ln>
      </c:spPr>
    </c:title>
    <c:autoTitleDeleted val="0"/>
    <c:plotArea>
      <c:layout>
        <c:manualLayout>
          <c:layoutTarget val="inner"/>
          <c:xMode val="edge"/>
          <c:yMode val="edge"/>
          <c:x val="9.8666614692965365E-2"/>
          <c:y val="0.2447124648341113"/>
          <c:w val="0.62627218627374548"/>
          <c:h val="0.51418674462099434"/>
        </c:manualLayout>
      </c:layout>
      <c:barChart>
        <c:barDir val="col"/>
        <c:grouping val="clustered"/>
        <c:varyColors val="0"/>
        <c:ser>
          <c:idx val="6"/>
          <c:order val="0"/>
          <c:tx>
            <c:strRef>
              <c:f>'Child Protection Plans'!$Z$4</c:f>
              <c:strCache>
                <c:ptCount val="1"/>
                <c:pt idx="0">
                  <c:v>Selected LA- (none)</c:v>
                </c:pt>
              </c:strCache>
            </c:strRef>
          </c:tx>
          <c:spPr>
            <a:solidFill>
              <a:srgbClr val="66FF99"/>
            </a:solidFill>
            <a:ln>
              <a:solidFill>
                <a:schemeClr val="tx1">
                  <a:lumMod val="75000"/>
                  <a:lumOff val="25000"/>
                </a:schemeClr>
              </a:solidFill>
            </a:ln>
          </c:spPr>
          <c:invertIfNegative val="0"/>
          <c:cat>
            <c:strRef>
              <c:f>'Child Protection Plans'!$Y$2:$AC$3</c:f>
              <c:strCache>
                <c:ptCount val="5"/>
                <c:pt idx="0">
                  <c:v>2019/20</c:v>
                </c:pt>
                <c:pt idx="1">
                  <c:v>2020/21</c:v>
                </c:pt>
                <c:pt idx="2">
                  <c:v>2021/22</c:v>
                </c:pt>
                <c:pt idx="3">
                  <c:v>2022/23</c:v>
                </c:pt>
                <c:pt idx="4">
                  <c:v>2023/24</c:v>
                </c:pt>
              </c:strCache>
            </c:strRef>
          </c:cat>
          <c:val>
            <c:numRef>
              <c:f>'Child Protection Plans'!$BB$59:$BF$59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7A40-4E24-8ECF-D644F35BA847}"/>
            </c:ext>
          </c:extLst>
        </c:ser>
        <c:ser>
          <c:idx val="4"/>
          <c:order val="1"/>
          <c:tx>
            <c:strRef>
              <c:f>'Child Protection Plans'!$B$262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 Protection Plans'!$Y$2:$AC$3</c:f>
              <c:strCache>
                <c:ptCount val="5"/>
                <c:pt idx="0">
                  <c:v>2019/20</c:v>
                </c:pt>
                <c:pt idx="1">
                  <c:v>2020/21</c:v>
                </c:pt>
                <c:pt idx="2">
                  <c:v>2021/22</c:v>
                </c:pt>
                <c:pt idx="3">
                  <c:v>2022/23</c:v>
                </c:pt>
                <c:pt idx="4">
                  <c:v>2023/24</c:v>
                </c:pt>
              </c:strCache>
            </c:strRef>
          </c:cat>
          <c:val>
            <c:numRef>
              <c:f>'Child Protection Plans'!$D$229:$H$229</c:f>
              <c:numCache>
                <c:formatCode>0%</c:formatCode>
                <c:ptCount val="5"/>
                <c:pt idx="0">
                  <c:v>5.0632911392405063E-2</c:v>
                </c:pt>
                <c:pt idx="1">
                  <c:v>4.2520293776575187E-2</c:v>
                </c:pt>
                <c:pt idx="2">
                  <c:v>3.3468559837728194E-2</c:v>
                </c:pt>
                <c:pt idx="3">
                  <c:v>4.3767840152235969E-2</c:v>
                </c:pt>
                <c:pt idx="4">
                  <c:v>4.3922369765066395E-2</c:v>
                </c:pt>
              </c:numCache>
            </c:numRef>
          </c:val>
          <c:extLst>
            <c:ext xmlns:c16="http://schemas.microsoft.com/office/drawing/2014/chart" uri="{C3380CC4-5D6E-409C-BE32-E72D297353CC}">
              <c16:uniqueId val="{00000001-7A40-4E24-8ECF-D644F35BA847}"/>
            </c:ext>
          </c:extLst>
        </c:ser>
        <c:ser>
          <c:idx val="0"/>
          <c:order val="2"/>
          <c:tx>
            <c:strRef>
              <c:f>'Child Protection Plans'!$B$263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'Child Protection Plans'!$Y$2:$AC$3</c:f>
              <c:strCache>
                <c:ptCount val="5"/>
                <c:pt idx="0">
                  <c:v>2019/20</c:v>
                </c:pt>
                <c:pt idx="1">
                  <c:v>2020/21</c:v>
                </c:pt>
                <c:pt idx="2">
                  <c:v>2021/22</c:v>
                </c:pt>
                <c:pt idx="3">
                  <c:v>2022/23</c:v>
                </c:pt>
                <c:pt idx="4">
                  <c:v>2023/24</c:v>
                </c:pt>
              </c:strCache>
            </c:strRef>
          </c:cat>
          <c:val>
            <c:numRef>
              <c:f>'Child Protection Plans'!$D$230:$H$230</c:f>
              <c:numCache>
                <c:formatCode>0%</c:formatCode>
                <c:ptCount val="5"/>
                <c:pt idx="0">
                  <c:v>3.5836941914289981E-2</c:v>
                </c:pt>
                <c:pt idx="1">
                  <c:v>3.6963190184049081E-2</c:v>
                </c:pt>
                <c:pt idx="2">
                  <c:v>3.7383177570093455E-2</c:v>
                </c:pt>
                <c:pt idx="3">
                  <c:v>3.8804568925050853E-2</c:v>
                </c:pt>
                <c:pt idx="4">
                  <c:v>3.8174009861619215E-2</c:v>
                </c:pt>
              </c:numCache>
            </c:numRef>
          </c:val>
          <c:extLst>
            <c:ext xmlns:c16="http://schemas.microsoft.com/office/drawing/2014/chart" uri="{C3380CC4-5D6E-409C-BE32-E72D297353CC}">
              <c16:uniqueId val="{00000002-7A40-4E24-8ECF-D644F35BA847}"/>
            </c:ext>
          </c:extLst>
        </c:ser>
        <c:dLbls>
          <c:showLegendKey val="0"/>
          <c:showVal val="0"/>
          <c:showCatName val="0"/>
          <c:showSerName val="0"/>
          <c:showPercent val="0"/>
          <c:showBubbleSize val="0"/>
        </c:dLbls>
        <c:gapWidth val="100"/>
        <c:axId val="585865856"/>
        <c:axId val="585884032"/>
      </c:barChart>
      <c:catAx>
        <c:axId val="585865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85884032"/>
        <c:crosses val="autoZero"/>
        <c:auto val="1"/>
        <c:lblAlgn val="ctr"/>
        <c:lblOffset val="100"/>
        <c:noMultiLvlLbl val="0"/>
      </c:catAx>
      <c:valAx>
        <c:axId val="585884032"/>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85865856"/>
        <c:crosses val="autoZero"/>
        <c:crossBetween val="between"/>
      </c:valAx>
      <c:spPr>
        <a:noFill/>
        <a:ln w="3175">
          <a:solidFill>
            <a:srgbClr val="000000"/>
          </a:solidFill>
          <a:prstDash val="solid"/>
        </a:ln>
      </c:spPr>
    </c:plotArea>
    <c:legend>
      <c:legendPos val="r"/>
      <c:layout>
        <c:manualLayout>
          <c:xMode val="edge"/>
          <c:yMode val="edge"/>
          <c:x val="0.7358493802136119"/>
          <c:y val="0.21128233970753657"/>
          <c:w val="0.2641506197863881"/>
          <c:h val="0.78871750620213565"/>
        </c:manualLayout>
      </c:layout>
      <c:overlay val="0"/>
      <c:spPr>
        <a:no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Children subject to a CP Plan for 2 Years or more (CP Plans ceasing during</a:t>
            </a:r>
            <a:r>
              <a:rPr lang="en-GB" sz="1100" baseline="0"/>
              <a:t> period</a:t>
            </a:r>
            <a:r>
              <a:rPr lang="en-GB" sz="1100"/>
              <a:t>)</a:t>
            </a:r>
          </a:p>
        </c:rich>
      </c:tx>
      <c:layout>
        <c:manualLayout>
          <c:xMode val="edge"/>
          <c:yMode val="edge"/>
          <c:x val="0.11860373868745022"/>
          <c:y val="6.1214799217111891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'Child Protection Plans'!$AK$38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D829-4544-A57D-8B5BEF6DBA9A}"/>
              </c:ext>
            </c:extLst>
          </c:dPt>
          <c:cat>
            <c:strRef>
              <c:f>'Child Protection Plans'!$Y$2:$AC$3</c:f>
              <c:strCache>
                <c:ptCount val="5"/>
                <c:pt idx="0">
                  <c:v>2019/20</c:v>
                </c:pt>
                <c:pt idx="1">
                  <c:v>2020/21</c:v>
                </c:pt>
                <c:pt idx="2">
                  <c:v>2021/22</c:v>
                </c:pt>
                <c:pt idx="3">
                  <c:v>2022/23</c:v>
                </c:pt>
                <c:pt idx="4">
                  <c:v>2023/24</c:v>
                </c:pt>
              </c:strCache>
            </c:strRef>
          </c:cat>
          <c:val>
            <c:numRef>
              <c:f>'Child Protection Plans'!$BB$38:$BF$38</c:f>
              <c:numCache>
                <c:formatCode>0.0%</c:formatCode>
                <c:ptCount val="5"/>
                <c:pt idx="0">
                  <c:v>0</c:v>
                </c:pt>
                <c:pt idx="1">
                  <c:v>#N/A</c:v>
                </c:pt>
                <c:pt idx="2">
                  <c:v>#N/A</c:v>
                </c:pt>
                <c:pt idx="3">
                  <c:v>5.5793991416309016E-2</c:v>
                </c:pt>
                <c:pt idx="4">
                  <c:v>5.0955414012738856E-2</c:v>
                </c:pt>
              </c:numCache>
            </c:numRef>
          </c:val>
          <c:smooth val="0"/>
          <c:extLst>
            <c:ext xmlns:c16="http://schemas.microsoft.com/office/drawing/2014/chart" uri="{C3380CC4-5D6E-409C-BE32-E72D297353CC}">
              <c16:uniqueId val="{00000001-D829-4544-A57D-8B5BEF6DBA9A}"/>
            </c:ext>
          </c:extLst>
        </c:ser>
        <c:ser>
          <c:idx val="1"/>
          <c:order val="1"/>
          <c:tx>
            <c:strRef>
              <c:f>'Child Protection Plans'!$AK$39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Plans'!$BB$39:$BF$39</c:f>
              <c:numCache>
                <c:formatCode>0.0%</c:formatCode>
                <c:ptCount val="5"/>
                <c:pt idx="0">
                  <c:v>4.3010752688172046E-2</c:v>
                </c:pt>
                <c:pt idx="1">
                  <c:v>6.8062827225130892E-2</c:v>
                </c:pt>
                <c:pt idx="2">
                  <c:v>5.647840531561462E-2</c:v>
                </c:pt>
                <c:pt idx="3">
                  <c:v>7.2847682119205295E-2</c:v>
                </c:pt>
                <c:pt idx="4">
                  <c:v>5.128205128205128E-2</c:v>
                </c:pt>
              </c:numCache>
            </c:numRef>
          </c:val>
          <c:smooth val="0"/>
          <c:extLst>
            <c:ext xmlns:c16="http://schemas.microsoft.com/office/drawing/2014/chart" uri="{C3380CC4-5D6E-409C-BE32-E72D297353CC}">
              <c16:uniqueId val="{00000002-D829-4544-A57D-8B5BEF6DBA9A}"/>
            </c:ext>
          </c:extLst>
        </c:ser>
        <c:ser>
          <c:idx val="2"/>
          <c:order val="2"/>
          <c:tx>
            <c:strRef>
              <c:f>'Child Protection Plans'!$AK$40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Plans'!$BB$40:$BF$40</c:f>
              <c:numCache>
                <c:formatCode>0.0%</c:formatCode>
                <c:ptCount val="5"/>
                <c:pt idx="0">
                  <c:v>4.0221914008321778E-2</c:v>
                </c:pt>
                <c:pt idx="1">
                  <c:v>5.7471264367816091E-2</c:v>
                </c:pt>
                <c:pt idx="2">
                  <c:v>2.4615384615384615E-2</c:v>
                </c:pt>
                <c:pt idx="3">
                  <c:v>4.1931385006353239E-2</c:v>
                </c:pt>
                <c:pt idx="4">
                  <c:v>6.1128526645768025E-2</c:v>
                </c:pt>
              </c:numCache>
            </c:numRef>
          </c:val>
          <c:smooth val="0"/>
          <c:extLst>
            <c:ext xmlns:c16="http://schemas.microsoft.com/office/drawing/2014/chart" uri="{C3380CC4-5D6E-409C-BE32-E72D297353CC}">
              <c16:uniqueId val="{00000003-D829-4544-A57D-8B5BEF6DBA9A}"/>
            </c:ext>
          </c:extLst>
        </c:ser>
        <c:ser>
          <c:idx val="5"/>
          <c:order val="3"/>
          <c:tx>
            <c:strRef>
              <c:f>'Child Protection Plans'!$AK$41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Plans'!$BB$41:$BF$41</c:f>
              <c:numCache>
                <c:formatCode>0.0%</c:formatCode>
                <c:ptCount val="5"/>
                <c:pt idx="0">
                  <c:v>8.5346215780998394E-2</c:v>
                </c:pt>
                <c:pt idx="1">
                  <c:v>8.0118694362017809E-2</c:v>
                </c:pt>
                <c:pt idx="2">
                  <c:v>6.9204152249134954E-2</c:v>
                </c:pt>
                <c:pt idx="3">
                  <c:v>4.060913705583756E-2</c:v>
                </c:pt>
                <c:pt idx="4">
                  <c:v>6.9337442218798145E-2</c:v>
                </c:pt>
              </c:numCache>
            </c:numRef>
          </c:val>
          <c:smooth val="0"/>
          <c:extLst>
            <c:ext xmlns:c16="http://schemas.microsoft.com/office/drawing/2014/chart" uri="{C3380CC4-5D6E-409C-BE32-E72D297353CC}">
              <c16:uniqueId val="{00000004-D829-4544-A57D-8B5BEF6DBA9A}"/>
            </c:ext>
          </c:extLst>
        </c:ser>
        <c:ser>
          <c:idx val="9"/>
          <c:order val="4"/>
          <c:tx>
            <c:strRef>
              <c:f>'Child Protection Plans'!$AK$42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Plans'!$BB$42:$BF$42</c:f>
              <c:numCache>
                <c:formatCode>0.0%</c:formatCode>
                <c:ptCount val="5"/>
                <c:pt idx="0">
                  <c:v>3.9307128580946038E-2</c:v>
                </c:pt>
                <c:pt idx="1">
                  <c:v>2.9285714285714286E-2</c:v>
                </c:pt>
                <c:pt idx="2">
                  <c:v>2.4193548387096774E-2</c:v>
                </c:pt>
                <c:pt idx="3">
                  <c:v>3.5764375876577839E-2</c:v>
                </c:pt>
                <c:pt idx="4">
                  <c:v>#N/A</c:v>
                </c:pt>
              </c:numCache>
            </c:numRef>
          </c:val>
          <c:smooth val="0"/>
          <c:extLst>
            <c:ext xmlns:c16="http://schemas.microsoft.com/office/drawing/2014/chart" uri="{C3380CC4-5D6E-409C-BE32-E72D297353CC}">
              <c16:uniqueId val="{00000005-D829-4544-A57D-8B5BEF6DBA9A}"/>
            </c:ext>
          </c:extLst>
        </c:ser>
        <c:ser>
          <c:idx val="10"/>
          <c:order val="5"/>
          <c:tx>
            <c:strRef>
              <c:f>'Child Protection Plans'!$AK$43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Plans'!$BB$43:$BF$43</c:f>
              <c:numCache>
                <c:formatCode>0.0%</c:formatCode>
                <c:ptCount val="5"/>
                <c:pt idx="0">
                  <c:v>6.5217391304347824E-2</c:v>
                </c:pt>
                <c:pt idx="1">
                  <c:v>3.8216560509554139E-2</c:v>
                </c:pt>
                <c:pt idx="2">
                  <c:v>3.8314176245210725E-2</c:v>
                </c:pt>
                <c:pt idx="3">
                  <c:v>2.8571428571428571E-2</c:v>
                </c:pt>
                <c:pt idx="4">
                  <c:v>4.9056603773584909E-2</c:v>
                </c:pt>
              </c:numCache>
            </c:numRef>
          </c:val>
          <c:smooth val="0"/>
          <c:extLst>
            <c:ext xmlns:c16="http://schemas.microsoft.com/office/drawing/2014/chart" uri="{C3380CC4-5D6E-409C-BE32-E72D297353CC}">
              <c16:uniqueId val="{00000006-D829-4544-A57D-8B5BEF6DBA9A}"/>
            </c:ext>
          </c:extLst>
        </c:ser>
        <c:ser>
          <c:idx val="11"/>
          <c:order val="6"/>
          <c:tx>
            <c:strRef>
              <c:f>'Child Protection Plans'!$AK$44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Plans'!$BB$44:$BF$44</c:f>
              <c:numCache>
                <c:formatCode>0.0%</c:formatCode>
                <c:ptCount val="5"/>
                <c:pt idx="0">
                  <c:v>5.7200538358008077E-2</c:v>
                </c:pt>
                <c:pt idx="1">
                  <c:v>5.9515570934256058E-2</c:v>
                </c:pt>
                <c:pt idx="2">
                  <c:v>4.4075144508670519E-2</c:v>
                </c:pt>
                <c:pt idx="3">
                  <c:v>4.6558704453441298E-2</c:v>
                </c:pt>
                <c:pt idx="4">
                  <c:v>4.9626104690686609E-2</c:v>
                </c:pt>
              </c:numCache>
            </c:numRef>
          </c:val>
          <c:smooth val="0"/>
          <c:extLst>
            <c:ext xmlns:c16="http://schemas.microsoft.com/office/drawing/2014/chart" uri="{C3380CC4-5D6E-409C-BE32-E72D297353CC}">
              <c16:uniqueId val="{00000007-D829-4544-A57D-8B5BEF6DBA9A}"/>
            </c:ext>
          </c:extLst>
        </c:ser>
        <c:ser>
          <c:idx val="12"/>
          <c:order val="7"/>
          <c:tx>
            <c:strRef>
              <c:f>'Child Protection Plans'!$AK$45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Plans'!$BB$45:$BF$45</c:f>
              <c:numCache>
                <c:formatCode>0.0%</c:formatCode>
                <c:ptCount val="5"/>
                <c:pt idx="0">
                  <c:v>4.6315789473684213E-2</c:v>
                </c:pt>
                <c:pt idx="1">
                  <c:v>4.2124542124542128E-2</c:v>
                </c:pt>
                <c:pt idx="2">
                  <c:v>#N/A</c:v>
                </c:pt>
                <c:pt idx="3">
                  <c:v>3.3742331288343558E-2</c:v>
                </c:pt>
                <c:pt idx="4">
                  <c:v>1.5306122448979591E-2</c:v>
                </c:pt>
              </c:numCache>
            </c:numRef>
          </c:val>
          <c:smooth val="0"/>
          <c:extLst>
            <c:ext xmlns:c16="http://schemas.microsoft.com/office/drawing/2014/chart" uri="{C3380CC4-5D6E-409C-BE32-E72D297353CC}">
              <c16:uniqueId val="{00000008-D829-4544-A57D-8B5BEF6DBA9A}"/>
            </c:ext>
          </c:extLst>
        </c:ser>
        <c:ser>
          <c:idx val="13"/>
          <c:order val="8"/>
          <c:tx>
            <c:strRef>
              <c:f>'Child Protection Plans'!$AK$46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Plans'!$BB$46:$BF$46</c:f>
              <c:numCache>
                <c:formatCode>0.0%</c:formatCode>
                <c:ptCount val="5"/>
                <c:pt idx="0">
                  <c:v>#N/A</c:v>
                </c:pt>
                <c:pt idx="1">
                  <c:v>#N/A</c:v>
                </c:pt>
                <c:pt idx="2">
                  <c:v>#N/A</c:v>
                </c:pt>
                <c:pt idx="3">
                  <c:v>3.5143769968051117E-2</c:v>
                </c:pt>
                <c:pt idx="4">
                  <c:v>#N/A</c:v>
                </c:pt>
              </c:numCache>
            </c:numRef>
          </c:val>
          <c:smooth val="0"/>
          <c:extLst>
            <c:ext xmlns:c16="http://schemas.microsoft.com/office/drawing/2014/chart" uri="{C3380CC4-5D6E-409C-BE32-E72D297353CC}">
              <c16:uniqueId val="{00000009-D829-4544-A57D-8B5BEF6DBA9A}"/>
            </c:ext>
          </c:extLst>
        </c:ser>
        <c:ser>
          <c:idx val="15"/>
          <c:order val="9"/>
          <c:tx>
            <c:strRef>
              <c:f>'Child Protection Plans'!$AK$47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Plans'!$BB$47:$BF$47</c:f>
              <c:numCache>
                <c:formatCode>0.0%</c:formatCode>
                <c:ptCount val="5"/>
                <c:pt idx="0">
                  <c:v>6.6914498141263934E-2</c:v>
                </c:pt>
                <c:pt idx="1">
                  <c:v>3.1847133757961783E-2</c:v>
                </c:pt>
                <c:pt idx="2">
                  <c:v>2.0061728395061727E-2</c:v>
                </c:pt>
                <c:pt idx="3">
                  <c:v>4.4654939106901215E-2</c:v>
                </c:pt>
                <c:pt idx="4">
                  <c:v>1.4802631578947368E-2</c:v>
                </c:pt>
              </c:numCache>
            </c:numRef>
          </c:val>
          <c:smooth val="0"/>
          <c:extLst>
            <c:ext xmlns:c16="http://schemas.microsoft.com/office/drawing/2014/chart" uri="{C3380CC4-5D6E-409C-BE32-E72D297353CC}">
              <c16:uniqueId val="{0000000A-D829-4544-A57D-8B5BEF6DBA9A}"/>
            </c:ext>
          </c:extLst>
        </c:ser>
        <c:ser>
          <c:idx val="16"/>
          <c:order val="10"/>
          <c:tx>
            <c:strRef>
              <c:f>'Child Protection Plans'!$AK$48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Plans'!$BB$48:$BF$48</c:f>
              <c:numCache>
                <c:formatCode>0.0%</c:formatCode>
                <c:ptCount val="5"/>
                <c:pt idx="0">
                  <c:v>2.4054982817869417E-2</c:v>
                </c:pt>
                <c:pt idx="1">
                  <c:v>3.9840637450199202E-2</c:v>
                </c:pt>
                <c:pt idx="2">
                  <c:v>5.4545454545454543E-2</c:v>
                </c:pt>
                <c:pt idx="3">
                  <c:v>7.5409836065573776E-2</c:v>
                </c:pt>
                <c:pt idx="4">
                  <c:v>3.0769230769230771E-2</c:v>
                </c:pt>
              </c:numCache>
            </c:numRef>
          </c:val>
          <c:smooth val="0"/>
          <c:extLst>
            <c:ext xmlns:c16="http://schemas.microsoft.com/office/drawing/2014/chart" uri="{C3380CC4-5D6E-409C-BE32-E72D297353CC}">
              <c16:uniqueId val="{0000000B-D829-4544-A57D-8B5BEF6DBA9A}"/>
            </c:ext>
          </c:extLst>
        </c:ser>
        <c:ser>
          <c:idx val="17"/>
          <c:order val="11"/>
          <c:tx>
            <c:strRef>
              <c:f>'Child Protection Plans'!$AK$49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Plans'!$BB$49:$BF$49</c:f>
              <c:numCache>
                <c:formatCode>0.0%</c:formatCode>
                <c:ptCount val="5"/>
                <c:pt idx="0">
                  <c:v>5.4151624548736461E-2</c:v>
                </c:pt>
                <c:pt idx="1">
                  <c:v>4.3604651162790699E-2</c:v>
                </c:pt>
                <c:pt idx="2">
                  <c:v>#N/A</c:v>
                </c:pt>
                <c:pt idx="3">
                  <c:v>4.1237113402061855E-2</c:v>
                </c:pt>
                <c:pt idx="4">
                  <c:v>8.5308056872037921E-2</c:v>
                </c:pt>
              </c:numCache>
            </c:numRef>
          </c:val>
          <c:smooth val="0"/>
          <c:extLst>
            <c:ext xmlns:c16="http://schemas.microsoft.com/office/drawing/2014/chart" uri="{C3380CC4-5D6E-409C-BE32-E72D297353CC}">
              <c16:uniqueId val="{0000000C-D829-4544-A57D-8B5BEF6DBA9A}"/>
            </c:ext>
          </c:extLst>
        </c:ser>
        <c:ser>
          <c:idx val="19"/>
          <c:order val="12"/>
          <c:tx>
            <c:strRef>
              <c:f>'Child Protection Plans'!$AK$50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Plans'!$BB$50:$BF$50</c:f>
              <c:numCache>
                <c:formatCode>0.0%</c:formatCode>
                <c:ptCount val="5"/>
                <c:pt idx="0">
                  <c:v>5.128205128205128E-2</c:v>
                </c:pt>
                <c:pt idx="1">
                  <c:v>3.4666666666666665E-2</c:v>
                </c:pt>
                <c:pt idx="2">
                  <c:v>3.7037037037037035E-2</c:v>
                </c:pt>
                <c:pt idx="3">
                  <c:v>2.3880597014925373E-2</c:v>
                </c:pt>
                <c:pt idx="4">
                  <c:v>3.4161490683229816E-2</c:v>
                </c:pt>
              </c:numCache>
            </c:numRef>
          </c:val>
          <c:smooth val="0"/>
          <c:extLst>
            <c:ext xmlns:c16="http://schemas.microsoft.com/office/drawing/2014/chart" uri="{C3380CC4-5D6E-409C-BE32-E72D297353CC}">
              <c16:uniqueId val="{0000000D-D829-4544-A57D-8B5BEF6DBA9A}"/>
            </c:ext>
          </c:extLst>
        </c:ser>
        <c:ser>
          <c:idx val="20"/>
          <c:order val="13"/>
          <c:tx>
            <c:strRef>
              <c:f>'Child Protection Plans'!$AK$51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Plans'!$BB$51:$BF$51</c:f>
              <c:numCache>
                <c:formatCode>0.0%</c:formatCode>
                <c:ptCount val="5"/>
                <c:pt idx="0">
                  <c:v>2.9748283752860413E-2</c:v>
                </c:pt>
                <c:pt idx="1">
                  <c:v>5.3333333333333337E-2</c:v>
                </c:pt>
                <c:pt idx="2">
                  <c:v>2.1126760563380281E-2</c:v>
                </c:pt>
                <c:pt idx="3">
                  <c:v>2.4074074074074074E-2</c:v>
                </c:pt>
                <c:pt idx="4">
                  <c:v>6.5040650406504072E-2</c:v>
                </c:pt>
              </c:numCache>
            </c:numRef>
          </c:val>
          <c:smooth val="0"/>
          <c:extLst>
            <c:ext xmlns:c16="http://schemas.microsoft.com/office/drawing/2014/chart" uri="{C3380CC4-5D6E-409C-BE32-E72D297353CC}">
              <c16:uniqueId val="{0000000F-D829-4544-A57D-8B5BEF6DBA9A}"/>
            </c:ext>
          </c:extLst>
        </c:ser>
        <c:ser>
          <c:idx val="22"/>
          <c:order val="14"/>
          <c:tx>
            <c:strRef>
              <c:f>'Child Protection Plans'!$AK$52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Plans'!$BB$52:$BF$52</c:f>
              <c:numCache>
                <c:formatCode>0.0%</c:formatCode>
                <c:ptCount val="5"/>
                <c:pt idx="0">
                  <c:v>6.9214876033057857E-2</c:v>
                </c:pt>
                <c:pt idx="1">
                  <c:v>5.9872611464968153E-2</c:v>
                </c:pt>
                <c:pt idx="2">
                  <c:v>3.5445757250268529E-2</c:v>
                </c:pt>
                <c:pt idx="3">
                  <c:v>7.6137418755803155E-2</c:v>
                </c:pt>
                <c:pt idx="4">
                  <c:v>8.1927710843373497E-2</c:v>
                </c:pt>
              </c:numCache>
            </c:numRef>
          </c:val>
          <c:smooth val="0"/>
          <c:extLst>
            <c:ext xmlns:c16="http://schemas.microsoft.com/office/drawing/2014/chart" uri="{C3380CC4-5D6E-409C-BE32-E72D297353CC}">
              <c16:uniqueId val="{00000010-D829-4544-A57D-8B5BEF6DBA9A}"/>
            </c:ext>
          </c:extLst>
        </c:ser>
        <c:ser>
          <c:idx val="23"/>
          <c:order val="15"/>
          <c:tx>
            <c:strRef>
              <c:f>'Child Protection Plans'!$AK$53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Plans'!$BB$53:$BF$53</c:f>
              <c:numCache>
                <c:formatCode>0.0%</c:formatCode>
                <c:ptCount val="5"/>
                <c:pt idx="0">
                  <c:v>2.7472527472527472E-2</c:v>
                </c:pt>
                <c:pt idx="1">
                  <c:v>#N/A</c:v>
                </c:pt>
                <c:pt idx="2">
                  <c:v>#N/A</c:v>
                </c:pt>
                <c:pt idx="3">
                  <c:v>0</c:v>
                </c:pt>
                <c:pt idx="4">
                  <c:v>3.7463976945244955E-2</c:v>
                </c:pt>
              </c:numCache>
            </c:numRef>
          </c:val>
          <c:smooth val="0"/>
          <c:extLst>
            <c:ext xmlns:c16="http://schemas.microsoft.com/office/drawing/2014/chart" uri="{C3380CC4-5D6E-409C-BE32-E72D297353CC}">
              <c16:uniqueId val="{00000013-D829-4544-A57D-8B5BEF6DBA9A}"/>
            </c:ext>
          </c:extLst>
        </c:ser>
        <c:ser>
          <c:idx val="24"/>
          <c:order val="16"/>
          <c:tx>
            <c:strRef>
              <c:f>'Child Protection Plans'!$AK$54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Plans'!$BB$54:$BF$54</c:f>
              <c:numCache>
                <c:formatCode>0.0%</c:formatCode>
                <c:ptCount val="5"/>
                <c:pt idx="0">
                  <c:v>5.8016877637130801E-2</c:v>
                </c:pt>
                <c:pt idx="1">
                  <c:v>9.5419847328244278E-3</c:v>
                </c:pt>
                <c:pt idx="2">
                  <c:v>3.3022861981371721E-2</c:v>
                </c:pt>
                <c:pt idx="3">
                  <c:v>3.399122807017544E-2</c:v>
                </c:pt>
                <c:pt idx="4">
                  <c:v>1.5300546448087432E-2</c:v>
                </c:pt>
              </c:numCache>
            </c:numRef>
          </c:val>
          <c:smooth val="0"/>
          <c:extLst>
            <c:ext xmlns:c16="http://schemas.microsoft.com/office/drawing/2014/chart" uri="{C3380CC4-5D6E-409C-BE32-E72D297353CC}">
              <c16:uniqueId val="{00000014-D829-4544-A57D-8B5BEF6DBA9A}"/>
            </c:ext>
          </c:extLst>
        </c:ser>
        <c:ser>
          <c:idx val="25"/>
          <c:order val="17"/>
          <c:tx>
            <c:strRef>
              <c:f>'Child Protection Plans'!$AK$55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Plans'!$BB$55:$BF$55</c:f>
              <c:numCache>
                <c:formatCode>0.0%</c:formatCode>
                <c:ptCount val="5"/>
                <c:pt idx="0">
                  <c:v>4.6511627906976744E-2</c:v>
                </c:pt>
                <c:pt idx="1">
                  <c:v>#N/A</c:v>
                </c:pt>
                <c:pt idx="2">
                  <c:v>#N/A</c:v>
                </c:pt>
                <c:pt idx="3">
                  <c:v>3.4188034188034191E-2</c:v>
                </c:pt>
                <c:pt idx="4">
                  <c:v>#N/A</c:v>
                </c:pt>
              </c:numCache>
            </c:numRef>
          </c:val>
          <c:smooth val="0"/>
          <c:extLst>
            <c:ext xmlns:c16="http://schemas.microsoft.com/office/drawing/2014/chart" uri="{C3380CC4-5D6E-409C-BE32-E72D297353CC}">
              <c16:uniqueId val="{00000015-D829-4544-A57D-8B5BEF6DBA9A}"/>
            </c:ext>
          </c:extLst>
        </c:ser>
        <c:ser>
          <c:idx val="26"/>
          <c:order val="18"/>
          <c:tx>
            <c:strRef>
              <c:f>'Child Protection Plans'!$AK$56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Plans'!$BB$56:$BF$56</c:f>
              <c:numCache>
                <c:formatCode>0.0%</c:formatCode>
                <c:ptCount val="5"/>
                <c:pt idx="0">
                  <c:v>#N/A</c:v>
                </c:pt>
                <c:pt idx="1">
                  <c:v>#N/A</c:v>
                </c:pt>
                <c:pt idx="2">
                  <c:v>7.909604519774012E-2</c:v>
                </c:pt>
                <c:pt idx="3">
                  <c:v>6.2068965517241378E-2</c:v>
                </c:pt>
                <c:pt idx="4">
                  <c:v>5.0955414012738856E-2</c:v>
                </c:pt>
              </c:numCache>
            </c:numRef>
          </c:val>
          <c:smooth val="0"/>
          <c:extLst>
            <c:ext xmlns:c16="http://schemas.microsoft.com/office/drawing/2014/chart" uri="{C3380CC4-5D6E-409C-BE32-E72D297353CC}">
              <c16:uniqueId val="{00000016-D829-4544-A57D-8B5BEF6DBA9A}"/>
            </c:ext>
          </c:extLst>
        </c:ser>
        <c:ser>
          <c:idx val="4"/>
          <c:order val="19"/>
          <c:tx>
            <c:strRef>
              <c:f>'Child Protection Plans'!$AK$57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Plans'!$BB$57:$BF$57</c:f>
              <c:numCache>
                <c:formatCode>0.0%</c:formatCode>
                <c:ptCount val="5"/>
                <c:pt idx="0">
                  <c:v>5.0632911392405063E-2</c:v>
                </c:pt>
                <c:pt idx="1">
                  <c:v>4.2520293776575187E-2</c:v>
                </c:pt>
                <c:pt idx="2">
                  <c:v>3.3468559837728194E-2</c:v>
                </c:pt>
                <c:pt idx="3">
                  <c:v>4.3767840152235969E-2</c:v>
                </c:pt>
                <c:pt idx="4">
                  <c:v>4.3922369765066395E-2</c:v>
                </c:pt>
              </c:numCache>
            </c:numRef>
          </c:val>
          <c:smooth val="0"/>
          <c:extLst>
            <c:ext xmlns:c16="http://schemas.microsoft.com/office/drawing/2014/chart" uri="{C3380CC4-5D6E-409C-BE32-E72D297353CC}">
              <c16:uniqueId val="{00000017-D829-4544-A57D-8B5BEF6DBA9A}"/>
            </c:ext>
          </c:extLst>
        </c:ser>
        <c:ser>
          <c:idx val="14"/>
          <c:order val="20"/>
          <c:tx>
            <c:strRef>
              <c:f>'Child Protection Plans'!$AK$58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'Child Protection Plans'!$Y$2:$AC$3</c:f>
              <c:strCache>
                <c:ptCount val="5"/>
                <c:pt idx="0">
                  <c:v>2019/20</c:v>
                </c:pt>
                <c:pt idx="1">
                  <c:v>2020/21</c:v>
                </c:pt>
                <c:pt idx="2">
                  <c:v>2021/22</c:v>
                </c:pt>
                <c:pt idx="3">
                  <c:v>2022/23</c:v>
                </c:pt>
                <c:pt idx="4">
                  <c:v>2023/24</c:v>
                </c:pt>
              </c:strCache>
            </c:strRef>
          </c:cat>
          <c:val>
            <c:numRef>
              <c:f>'Child Protection Plans'!$BB$58:$BF$58</c:f>
              <c:numCache>
                <c:formatCode>0.0%</c:formatCode>
                <c:ptCount val="5"/>
                <c:pt idx="0">
                  <c:v>3.5836941914289981E-2</c:v>
                </c:pt>
                <c:pt idx="1">
                  <c:v>3.6963190184049081E-2</c:v>
                </c:pt>
                <c:pt idx="2">
                  <c:v>3.7383177570093455E-2</c:v>
                </c:pt>
                <c:pt idx="3">
                  <c:v>3.8804568925050853E-2</c:v>
                </c:pt>
                <c:pt idx="4">
                  <c:v>3.8174009861619215E-2</c:v>
                </c:pt>
              </c:numCache>
            </c:numRef>
          </c:val>
          <c:smooth val="0"/>
          <c:extLst>
            <c:ext xmlns:c16="http://schemas.microsoft.com/office/drawing/2014/chart" uri="{C3380CC4-5D6E-409C-BE32-E72D297353CC}">
              <c16:uniqueId val="{00000018-D829-4544-A57D-8B5BEF6DBA9A}"/>
            </c:ext>
          </c:extLst>
        </c:ser>
        <c:ser>
          <c:idx val="6"/>
          <c:order val="21"/>
          <c:tx>
            <c:strRef>
              <c:f>'Child Protection Plans'!$AK$59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 Protection Plans'!$Y$2:$AC$3</c:f>
              <c:strCache>
                <c:ptCount val="5"/>
                <c:pt idx="0">
                  <c:v>2019/20</c:v>
                </c:pt>
                <c:pt idx="1">
                  <c:v>2020/21</c:v>
                </c:pt>
                <c:pt idx="2">
                  <c:v>2021/22</c:v>
                </c:pt>
                <c:pt idx="3">
                  <c:v>2022/23</c:v>
                </c:pt>
                <c:pt idx="4">
                  <c:v>2023/24</c:v>
                </c:pt>
              </c:strCache>
            </c:strRef>
          </c:cat>
          <c:val>
            <c:numRef>
              <c:f>'Child Protection Plans'!$BB$59:$BF$59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D829-4544-A57D-8B5BEF6DBA9A}"/>
            </c:ext>
          </c:extLst>
        </c:ser>
        <c:dLbls>
          <c:showLegendKey val="0"/>
          <c:showVal val="0"/>
          <c:showCatName val="0"/>
          <c:showSerName val="0"/>
          <c:showPercent val="0"/>
          <c:showBubbleSize val="0"/>
        </c:dLbls>
        <c:marker val="1"/>
        <c:smooth val="0"/>
        <c:axId val="586009600"/>
        <c:axId val="586011776"/>
      </c:lineChart>
      <c:catAx>
        <c:axId val="586009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6011776"/>
        <c:crosses val="autoZero"/>
        <c:auto val="1"/>
        <c:lblAlgn val="ctr"/>
        <c:lblOffset val="100"/>
        <c:tickLblSkip val="1"/>
        <c:tickMarkSkip val="1"/>
        <c:noMultiLvlLbl val="0"/>
      </c:catAx>
      <c:valAx>
        <c:axId val="586011776"/>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6009600"/>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6586460905349787"/>
          <c:y val="7.5190870500600387E-2"/>
          <c:w val="0.33413539094650208"/>
          <c:h val="0.90203916471900625"/>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CPP Reviews in Timescales</a:t>
            </a:r>
          </a:p>
          <a:p>
            <a:pPr>
              <a:defRPr sz="1100" b="1" i="0" u="none" strike="noStrike" baseline="0">
                <a:solidFill>
                  <a:srgbClr val="000000"/>
                </a:solidFill>
                <a:latin typeface="Arial"/>
                <a:ea typeface="Arial"/>
                <a:cs typeface="Arial"/>
              </a:defRPr>
            </a:pPr>
            <a:r>
              <a:rPr lang="en-GB" sz="1100"/>
              <a:t>(Selected LA</a:t>
            </a:r>
            <a:r>
              <a:rPr lang="en-GB" sz="1100" baseline="0"/>
              <a:t> vs. SE &amp; National)</a:t>
            </a:r>
            <a:r>
              <a:rPr lang="en-GB" sz="1100"/>
              <a:t> </a:t>
            </a:r>
          </a:p>
        </c:rich>
      </c:tx>
      <c:layout>
        <c:manualLayout>
          <c:xMode val="edge"/>
          <c:yMode val="edge"/>
          <c:x val="0.20505982905982906"/>
          <c:y val="3.8613923259592556E-3"/>
        </c:manualLayout>
      </c:layout>
      <c:overlay val="0"/>
      <c:spPr>
        <a:noFill/>
        <a:ln w="25400">
          <a:noFill/>
        </a:ln>
      </c:spPr>
    </c:title>
    <c:autoTitleDeleted val="0"/>
    <c:plotArea>
      <c:layout>
        <c:manualLayout>
          <c:layoutTarget val="inner"/>
          <c:xMode val="edge"/>
          <c:yMode val="edge"/>
          <c:x val="0.11635352511629116"/>
          <c:y val="0.24241532682666164"/>
          <c:w val="0.61169070450352114"/>
          <c:h val="0.54598079431687807"/>
        </c:manualLayout>
      </c:layout>
      <c:barChart>
        <c:barDir val="col"/>
        <c:grouping val="clustered"/>
        <c:varyColors val="0"/>
        <c:ser>
          <c:idx val="6"/>
          <c:order val="0"/>
          <c:tx>
            <c:strRef>
              <c:f>'Child Protection Plans'!$Z$4</c:f>
              <c:strCache>
                <c:ptCount val="1"/>
                <c:pt idx="0">
                  <c:v>Selected LA- (none)</c:v>
                </c:pt>
              </c:strCache>
            </c:strRef>
          </c:tx>
          <c:spPr>
            <a:solidFill>
              <a:srgbClr val="66FF99"/>
            </a:solidFill>
            <a:ln>
              <a:solidFill>
                <a:schemeClr val="tx1">
                  <a:lumMod val="75000"/>
                  <a:lumOff val="25000"/>
                </a:schemeClr>
              </a:solidFill>
            </a:ln>
          </c:spPr>
          <c:invertIfNegative val="0"/>
          <c:cat>
            <c:strRef>
              <c:f>'Child Protection Plans'!$Y$2:$AC$3</c:f>
              <c:strCache>
                <c:ptCount val="5"/>
                <c:pt idx="0">
                  <c:v>2019/20</c:v>
                </c:pt>
                <c:pt idx="1">
                  <c:v>2020/21</c:v>
                </c:pt>
                <c:pt idx="2">
                  <c:v>2021/22</c:v>
                </c:pt>
                <c:pt idx="3">
                  <c:v>2022/23</c:v>
                </c:pt>
                <c:pt idx="4">
                  <c:v>2023/24</c:v>
                </c:pt>
              </c:strCache>
            </c:strRef>
          </c:cat>
          <c:val>
            <c:numRef>
              <c:f>'Child Protection Plans'!$BR$59:$BV$59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F9B3-4D71-B3CA-95FB82466C4F}"/>
            </c:ext>
          </c:extLst>
        </c:ser>
        <c:ser>
          <c:idx val="4"/>
          <c:order val="1"/>
          <c:tx>
            <c:strRef>
              <c:f>'Child Protection Plans'!$B$262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 Protection Plans'!$Y$2:$AC$3</c:f>
              <c:strCache>
                <c:ptCount val="5"/>
                <c:pt idx="0">
                  <c:v>2019/20</c:v>
                </c:pt>
                <c:pt idx="1">
                  <c:v>2020/21</c:v>
                </c:pt>
                <c:pt idx="2">
                  <c:v>2021/22</c:v>
                </c:pt>
                <c:pt idx="3">
                  <c:v>2022/23</c:v>
                </c:pt>
                <c:pt idx="4">
                  <c:v>2023/24</c:v>
                </c:pt>
              </c:strCache>
            </c:strRef>
          </c:cat>
          <c:val>
            <c:numRef>
              <c:f>'Child Protection Plans'!$D$196:$H$196</c:f>
              <c:numCache>
                <c:formatCode>0%</c:formatCode>
                <c:ptCount val="5"/>
                <c:pt idx="0">
                  <c:v>0.89557522123893807</c:v>
                </c:pt>
                <c:pt idx="1">
                  <c:v>0.92738921516284034</c:v>
                </c:pt>
                <c:pt idx="2">
                  <c:v>0.87796610169491529</c:v>
                </c:pt>
                <c:pt idx="3">
                  <c:v>0.88214904679376083</c:v>
                </c:pt>
                <c:pt idx="4">
                  <c:v>0.89493433395872424</c:v>
                </c:pt>
              </c:numCache>
            </c:numRef>
          </c:val>
          <c:extLst>
            <c:ext xmlns:c16="http://schemas.microsoft.com/office/drawing/2014/chart" uri="{C3380CC4-5D6E-409C-BE32-E72D297353CC}">
              <c16:uniqueId val="{00000001-F9B3-4D71-B3CA-95FB82466C4F}"/>
            </c:ext>
          </c:extLst>
        </c:ser>
        <c:ser>
          <c:idx val="0"/>
          <c:order val="2"/>
          <c:tx>
            <c:strRef>
              <c:f>'Child Protection Plans'!$B$263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'Child Protection Plans'!$Y$2:$AC$3</c:f>
              <c:strCache>
                <c:ptCount val="5"/>
                <c:pt idx="0">
                  <c:v>2019/20</c:v>
                </c:pt>
                <c:pt idx="1">
                  <c:v>2020/21</c:v>
                </c:pt>
                <c:pt idx="2">
                  <c:v>2021/22</c:v>
                </c:pt>
                <c:pt idx="3">
                  <c:v>2022/23</c:v>
                </c:pt>
                <c:pt idx="4">
                  <c:v>2023/24</c:v>
                </c:pt>
              </c:strCache>
            </c:strRef>
          </c:cat>
          <c:val>
            <c:numRef>
              <c:f>'Child Protection Plans'!$D$197:$H$197</c:f>
              <c:numCache>
                <c:formatCode>0%</c:formatCode>
                <c:ptCount val="5"/>
                <c:pt idx="0">
                  <c:v>0.91481481481481486</c:v>
                </c:pt>
                <c:pt idx="1">
                  <c:v>0.93229901269393511</c:v>
                </c:pt>
                <c:pt idx="2">
                  <c:v>0.89256912442396308</c:v>
                </c:pt>
                <c:pt idx="3">
                  <c:v>0.8811010215664018</c:v>
                </c:pt>
                <c:pt idx="4">
                  <c:v>0.8976916500427472</c:v>
                </c:pt>
              </c:numCache>
            </c:numRef>
          </c:val>
          <c:extLst>
            <c:ext xmlns:c16="http://schemas.microsoft.com/office/drawing/2014/chart" uri="{C3380CC4-5D6E-409C-BE32-E72D297353CC}">
              <c16:uniqueId val="{00000002-F9B3-4D71-B3CA-95FB82466C4F}"/>
            </c:ext>
          </c:extLst>
        </c:ser>
        <c:dLbls>
          <c:showLegendKey val="0"/>
          <c:showVal val="0"/>
          <c:showCatName val="0"/>
          <c:showSerName val="0"/>
          <c:showPercent val="0"/>
          <c:showBubbleSize val="0"/>
        </c:dLbls>
        <c:gapWidth val="100"/>
        <c:axId val="585665152"/>
        <c:axId val="585671040"/>
      </c:barChart>
      <c:catAx>
        <c:axId val="585665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5671040"/>
        <c:crosses val="autoZero"/>
        <c:auto val="1"/>
        <c:lblAlgn val="ctr"/>
        <c:lblOffset val="100"/>
        <c:noMultiLvlLbl val="0"/>
      </c:catAx>
      <c:valAx>
        <c:axId val="585671040"/>
        <c:scaling>
          <c:orientation val="minMax"/>
          <c:max val="1"/>
          <c:min val="0"/>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5665152"/>
        <c:crosses val="autoZero"/>
        <c:crossBetween val="between"/>
      </c:valAx>
      <c:spPr>
        <a:noFill/>
        <a:ln w="3175">
          <a:solidFill>
            <a:srgbClr val="000000"/>
          </a:solidFill>
          <a:prstDash val="solid"/>
        </a:ln>
      </c:spPr>
    </c:plotArea>
    <c:legend>
      <c:legendPos val="r"/>
      <c:layout>
        <c:manualLayout>
          <c:xMode val="edge"/>
          <c:yMode val="edge"/>
          <c:x val="0.73254905018060856"/>
          <c:y val="0.21128233970753657"/>
          <c:w val="0.26745094981939138"/>
          <c:h val="0.69290898517924782"/>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Children subject to a CP Plan with Reviews in Timescales</a:t>
            </a:r>
          </a:p>
        </c:rich>
      </c:tx>
      <c:layout>
        <c:manualLayout>
          <c:xMode val="edge"/>
          <c:yMode val="edge"/>
          <c:x val="0.12050411522633744"/>
          <c:y val="6.2826868863614296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'Child Protection Plans'!$AK$38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4EDF-4ACC-A2F5-540FCD1F7EB3}"/>
              </c:ext>
            </c:extLst>
          </c:dPt>
          <c:cat>
            <c:strRef>
              <c:f>'Child Protection Plans'!$Y$2:$AC$3</c:f>
              <c:strCache>
                <c:ptCount val="5"/>
                <c:pt idx="0">
                  <c:v>2019/20</c:v>
                </c:pt>
                <c:pt idx="1">
                  <c:v>2020/21</c:v>
                </c:pt>
                <c:pt idx="2">
                  <c:v>2021/22</c:v>
                </c:pt>
                <c:pt idx="3">
                  <c:v>2022/23</c:v>
                </c:pt>
                <c:pt idx="4">
                  <c:v>2023/24</c:v>
                </c:pt>
              </c:strCache>
            </c:strRef>
          </c:cat>
          <c:val>
            <c:numRef>
              <c:f>'Child Protection Plans'!$BR$38:$BV$38</c:f>
              <c:numCache>
                <c:formatCode>0.0%</c:formatCode>
                <c:ptCount val="5"/>
                <c:pt idx="0">
                  <c:v>0.98412698412698407</c:v>
                </c:pt>
                <c:pt idx="1">
                  <c:v>1</c:v>
                </c:pt>
                <c:pt idx="2">
                  <c:v>0.97478991596638653</c:v>
                </c:pt>
                <c:pt idx="3">
                  <c:v>0.97959183673469385</c:v>
                </c:pt>
                <c:pt idx="4">
                  <c:v>0.9885057471264368</c:v>
                </c:pt>
              </c:numCache>
            </c:numRef>
          </c:val>
          <c:smooth val="0"/>
          <c:extLst>
            <c:ext xmlns:c16="http://schemas.microsoft.com/office/drawing/2014/chart" uri="{C3380CC4-5D6E-409C-BE32-E72D297353CC}">
              <c16:uniqueId val="{00000001-4EDF-4ACC-A2F5-540FCD1F7EB3}"/>
            </c:ext>
          </c:extLst>
        </c:ser>
        <c:ser>
          <c:idx val="1"/>
          <c:order val="1"/>
          <c:tx>
            <c:strRef>
              <c:f>'Child Protection Plans'!$AK$39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Plans'!$BR$39:$BV$39</c:f>
              <c:numCache>
                <c:formatCode>0.0%</c:formatCode>
                <c:ptCount val="5"/>
                <c:pt idx="0">
                  <c:v>0.9719626168224299</c:v>
                </c:pt>
                <c:pt idx="1">
                  <c:v>0.99481865284974091</c:v>
                </c:pt>
                <c:pt idx="2">
                  <c:v>0.87709497206703912</c:v>
                </c:pt>
                <c:pt idx="3">
                  <c:v>0.56716417910447758</c:v>
                </c:pt>
                <c:pt idx="4">
                  <c:v>0.86979166666666663</c:v>
                </c:pt>
              </c:numCache>
            </c:numRef>
          </c:val>
          <c:smooth val="0"/>
          <c:extLst>
            <c:ext xmlns:c16="http://schemas.microsoft.com/office/drawing/2014/chart" uri="{C3380CC4-5D6E-409C-BE32-E72D297353CC}">
              <c16:uniqueId val="{00000002-4EDF-4ACC-A2F5-540FCD1F7EB3}"/>
            </c:ext>
          </c:extLst>
        </c:ser>
        <c:ser>
          <c:idx val="2"/>
          <c:order val="2"/>
          <c:tx>
            <c:strRef>
              <c:f>'Child Protection Plans'!$AK$40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Plans'!$BR$40:$BV$40</c:f>
              <c:numCache>
                <c:formatCode>0.0%</c:formatCode>
                <c:ptCount val="5"/>
                <c:pt idx="0">
                  <c:v>0.97222222222222221</c:v>
                </c:pt>
                <c:pt idx="1">
                  <c:v>0.98550724637681164</c:v>
                </c:pt>
                <c:pt idx="2">
                  <c:v>0.82191780821917804</c:v>
                </c:pt>
                <c:pt idx="3">
                  <c:v>0.80456852791878175</c:v>
                </c:pt>
                <c:pt idx="4">
                  <c:v>0.882943143812709</c:v>
                </c:pt>
              </c:numCache>
            </c:numRef>
          </c:val>
          <c:smooth val="0"/>
          <c:extLst>
            <c:ext xmlns:c16="http://schemas.microsoft.com/office/drawing/2014/chart" uri="{C3380CC4-5D6E-409C-BE32-E72D297353CC}">
              <c16:uniqueId val="{00000003-4EDF-4ACC-A2F5-540FCD1F7EB3}"/>
            </c:ext>
          </c:extLst>
        </c:ser>
        <c:ser>
          <c:idx val="5"/>
          <c:order val="3"/>
          <c:tx>
            <c:strRef>
              <c:f>'Child Protection Plans'!$AK$41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Plans'!$BR$41:$BV$41</c:f>
              <c:numCache>
                <c:formatCode>0.0%</c:formatCode>
                <c:ptCount val="5"/>
                <c:pt idx="0">
                  <c:v>0.92650918635170598</c:v>
                </c:pt>
                <c:pt idx="1">
                  <c:v>0.91025641025641024</c:v>
                </c:pt>
                <c:pt idx="2">
                  <c:v>0.90394088669950734</c:v>
                </c:pt>
                <c:pt idx="3">
                  <c:v>0.91440501043841338</c:v>
                </c:pt>
                <c:pt idx="4">
                  <c:v>0.89097744360902253</c:v>
                </c:pt>
              </c:numCache>
            </c:numRef>
          </c:val>
          <c:smooth val="0"/>
          <c:extLst>
            <c:ext xmlns:c16="http://schemas.microsoft.com/office/drawing/2014/chart" uri="{C3380CC4-5D6E-409C-BE32-E72D297353CC}">
              <c16:uniqueId val="{00000004-4EDF-4ACC-A2F5-540FCD1F7EB3}"/>
            </c:ext>
          </c:extLst>
        </c:ser>
        <c:ser>
          <c:idx val="9"/>
          <c:order val="4"/>
          <c:tx>
            <c:strRef>
              <c:f>'Child Protection Plans'!$AK$42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Plans'!$BR$42:$BV$42</c:f>
              <c:numCache>
                <c:formatCode>0.0%</c:formatCode>
                <c:ptCount val="5"/>
                <c:pt idx="0">
                  <c:v>0.80879864636209808</c:v>
                </c:pt>
                <c:pt idx="1">
                  <c:v>0.88746438746438749</c:v>
                </c:pt>
                <c:pt idx="2">
                  <c:v>0.86849710982658956</c:v>
                </c:pt>
                <c:pt idx="3">
                  <c:v>0.81392045454545459</c:v>
                </c:pt>
                <c:pt idx="4">
                  <c:v>#N/A</c:v>
                </c:pt>
              </c:numCache>
            </c:numRef>
          </c:val>
          <c:smooth val="0"/>
          <c:extLst>
            <c:ext xmlns:c16="http://schemas.microsoft.com/office/drawing/2014/chart" uri="{C3380CC4-5D6E-409C-BE32-E72D297353CC}">
              <c16:uniqueId val="{00000005-4EDF-4ACC-A2F5-540FCD1F7EB3}"/>
            </c:ext>
          </c:extLst>
        </c:ser>
        <c:ser>
          <c:idx val="10"/>
          <c:order val="5"/>
          <c:tx>
            <c:strRef>
              <c:f>'Child Protection Plans'!$AK$43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Plans'!$BR$43:$BV$43</c:f>
              <c:numCache>
                <c:formatCode>0.0%</c:formatCode>
                <c:ptCount val="5"/>
                <c:pt idx="0">
                  <c:v>0.92682926829268297</c:v>
                </c:pt>
                <c:pt idx="1">
                  <c:v>0.9826086956521739</c:v>
                </c:pt>
                <c:pt idx="2">
                  <c:v>0.86813186813186816</c:v>
                </c:pt>
                <c:pt idx="3">
                  <c:v>0.93129770992366412</c:v>
                </c:pt>
                <c:pt idx="4">
                  <c:v>0.84210526315789469</c:v>
                </c:pt>
              </c:numCache>
            </c:numRef>
          </c:val>
          <c:smooth val="0"/>
          <c:extLst>
            <c:ext xmlns:c16="http://schemas.microsoft.com/office/drawing/2014/chart" uri="{C3380CC4-5D6E-409C-BE32-E72D297353CC}">
              <c16:uniqueId val="{00000006-4EDF-4ACC-A2F5-540FCD1F7EB3}"/>
            </c:ext>
          </c:extLst>
        </c:ser>
        <c:ser>
          <c:idx val="11"/>
          <c:order val="6"/>
          <c:tx>
            <c:strRef>
              <c:f>'Child Protection Plans'!$AK$44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Plans'!$BR$44:$BV$44</c:f>
              <c:numCache>
                <c:formatCode>0.0%</c:formatCode>
                <c:ptCount val="5"/>
                <c:pt idx="0">
                  <c:v>1</c:v>
                </c:pt>
                <c:pt idx="1">
                  <c:v>0.99759903961584628</c:v>
                </c:pt>
                <c:pt idx="2">
                  <c:v>0.99658314350797261</c:v>
                </c:pt>
                <c:pt idx="3">
                  <c:v>0.97846153846153849</c:v>
                </c:pt>
                <c:pt idx="4">
                  <c:v>0.99765807962529274</c:v>
                </c:pt>
              </c:numCache>
            </c:numRef>
          </c:val>
          <c:smooth val="0"/>
          <c:extLst>
            <c:ext xmlns:c16="http://schemas.microsoft.com/office/drawing/2014/chart" uri="{C3380CC4-5D6E-409C-BE32-E72D297353CC}">
              <c16:uniqueId val="{00000007-4EDF-4ACC-A2F5-540FCD1F7EB3}"/>
            </c:ext>
          </c:extLst>
        </c:ser>
        <c:ser>
          <c:idx val="12"/>
          <c:order val="7"/>
          <c:tx>
            <c:strRef>
              <c:f>'Child Protection Plans'!$AK$45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Plans'!$BR$45:$BV$45</c:f>
              <c:numCache>
                <c:formatCode>0.0%</c:formatCode>
                <c:ptCount val="5"/>
                <c:pt idx="0">
                  <c:v>1</c:v>
                </c:pt>
                <c:pt idx="1">
                  <c:v>0.94174757281553401</c:v>
                </c:pt>
                <c:pt idx="2">
                  <c:v>1</c:v>
                </c:pt>
                <c:pt idx="3">
                  <c:v>0.96648044692737434</c:v>
                </c:pt>
                <c:pt idx="4">
                  <c:v>0.96721311475409832</c:v>
                </c:pt>
              </c:numCache>
            </c:numRef>
          </c:val>
          <c:smooth val="0"/>
          <c:extLst>
            <c:ext xmlns:c16="http://schemas.microsoft.com/office/drawing/2014/chart" uri="{C3380CC4-5D6E-409C-BE32-E72D297353CC}">
              <c16:uniqueId val="{00000008-4EDF-4ACC-A2F5-540FCD1F7EB3}"/>
            </c:ext>
          </c:extLst>
        </c:ser>
        <c:ser>
          <c:idx val="13"/>
          <c:order val="8"/>
          <c:tx>
            <c:strRef>
              <c:f>'Child Protection Plans'!$AK$46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Plans'!$BR$46:$BV$46</c:f>
              <c:numCache>
                <c:formatCode>0.0%</c:formatCode>
                <c:ptCount val="5"/>
                <c:pt idx="0">
                  <c:v>0.93548387096774188</c:v>
                </c:pt>
                <c:pt idx="1">
                  <c:v>0.91851851851851851</c:v>
                </c:pt>
                <c:pt idx="2">
                  <c:v>0.66956521739130437</c:v>
                </c:pt>
                <c:pt idx="3">
                  <c:v>0.92592592592592593</c:v>
                </c:pt>
                <c:pt idx="4">
                  <c:v>0.87826086956521743</c:v>
                </c:pt>
              </c:numCache>
            </c:numRef>
          </c:val>
          <c:smooth val="0"/>
          <c:extLst>
            <c:ext xmlns:c16="http://schemas.microsoft.com/office/drawing/2014/chart" uri="{C3380CC4-5D6E-409C-BE32-E72D297353CC}">
              <c16:uniqueId val="{00000009-4EDF-4ACC-A2F5-540FCD1F7EB3}"/>
            </c:ext>
          </c:extLst>
        </c:ser>
        <c:ser>
          <c:idx val="15"/>
          <c:order val="9"/>
          <c:tx>
            <c:strRef>
              <c:f>'Child Protection Plans'!$AK$47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Plans'!$BR$47:$BV$47</c:f>
              <c:numCache>
                <c:formatCode>0.0%</c:formatCode>
                <c:ptCount val="5"/>
                <c:pt idx="0">
                  <c:v>0.75409836065573765</c:v>
                </c:pt>
                <c:pt idx="1">
                  <c:v>0.89687499999999998</c:v>
                </c:pt>
                <c:pt idx="2">
                  <c:v>0.85989010989010994</c:v>
                </c:pt>
                <c:pt idx="3">
                  <c:v>0.91685912240184753</c:v>
                </c:pt>
                <c:pt idx="4">
                  <c:v>0.97126436781609193</c:v>
                </c:pt>
              </c:numCache>
            </c:numRef>
          </c:val>
          <c:smooth val="0"/>
          <c:extLst>
            <c:ext xmlns:c16="http://schemas.microsoft.com/office/drawing/2014/chart" uri="{C3380CC4-5D6E-409C-BE32-E72D297353CC}">
              <c16:uniqueId val="{0000000A-4EDF-4ACC-A2F5-540FCD1F7EB3}"/>
            </c:ext>
          </c:extLst>
        </c:ser>
        <c:ser>
          <c:idx val="16"/>
          <c:order val="10"/>
          <c:tx>
            <c:strRef>
              <c:f>'Child Protection Plans'!$AK$48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Plans'!$BR$48:$BV$48</c:f>
              <c:numCache>
                <c:formatCode>0.0%</c:formatCode>
                <c:ptCount val="5"/>
                <c:pt idx="0">
                  <c:v>1</c:v>
                </c:pt>
                <c:pt idx="1">
                  <c:v>1</c:v>
                </c:pt>
                <c:pt idx="2">
                  <c:v>0.99444444444444446</c:v>
                </c:pt>
                <c:pt idx="3">
                  <c:v>0.96460176991150437</c:v>
                </c:pt>
                <c:pt idx="4">
                  <c:v>1</c:v>
                </c:pt>
              </c:numCache>
            </c:numRef>
          </c:val>
          <c:smooth val="0"/>
          <c:extLst>
            <c:ext xmlns:c16="http://schemas.microsoft.com/office/drawing/2014/chart" uri="{C3380CC4-5D6E-409C-BE32-E72D297353CC}">
              <c16:uniqueId val="{0000000B-4EDF-4ACC-A2F5-540FCD1F7EB3}"/>
            </c:ext>
          </c:extLst>
        </c:ser>
        <c:ser>
          <c:idx val="17"/>
          <c:order val="11"/>
          <c:tx>
            <c:strRef>
              <c:f>'Child Protection Plans'!$AK$49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Plans'!$BR$49:$BV$49</c:f>
              <c:numCache>
                <c:formatCode>0.0%</c:formatCode>
                <c:ptCount val="5"/>
                <c:pt idx="0">
                  <c:v>0.69064748201438853</c:v>
                </c:pt>
                <c:pt idx="1">
                  <c:v>0.91379310344827591</c:v>
                </c:pt>
                <c:pt idx="2">
                  <c:v>0.83229813664596275</c:v>
                </c:pt>
                <c:pt idx="3">
                  <c:v>0.78378378378378377</c:v>
                </c:pt>
                <c:pt idx="4">
                  <c:v>0.76344086021505375</c:v>
                </c:pt>
              </c:numCache>
            </c:numRef>
          </c:val>
          <c:smooth val="0"/>
          <c:extLst>
            <c:ext xmlns:c16="http://schemas.microsoft.com/office/drawing/2014/chart" uri="{C3380CC4-5D6E-409C-BE32-E72D297353CC}">
              <c16:uniqueId val="{0000000C-4EDF-4ACC-A2F5-540FCD1F7EB3}"/>
            </c:ext>
          </c:extLst>
        </c:ser>
        <c:ser>
          <c:idx val="19"/>
          <c:order val="12"/>
          <c:tx>
            <c:strRef>
              <c:f>'Child Protection Plans'!$AK$50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Plans'!$BR$50:$BV$50</c:f>
              <c:numCache>
                <c:formatCode>0.0%</c:formatCode>
                <c:ptCount val="5"/>
                <c:pt idx="0">
                  <c:v>0.70108695652173914</c:v>
                </c:pt>
                <c:pt idx="1">
                  <c:v>0.83870967741935487</c:v>
                </c:pt>
                <c:pt idx="2">
                  <c:v>0.92488262910798125</c:v>
                </c:pt>
                <c:pt idx="3">
                  <c:v>0.97727272727272729</c:v>
                </c:pt>
                <c:pt idx="4">
                  <c:v>0.95</c:v>
                </c:pt>
              </c:numCache>
            </c:numRef>
          </c:val>
          <c:smooth val="0"/>
          <c:extLst>
            <c:ext xmlns:c16="http://schemas.microsoft.com/office/drawing/2014/chart" uri="{C3380CC4-5D6E-409C-BE32-E72D297353CC}">
              <c16:uniqueId val="{0000000D-4EDF-4ACC-A2F5-540FCD1F7EB3}"/>
            </c:ext>
          </c:extLst>
        </c:ser>
        <c:ser>
          <c:idx val="20"/>
          <c:order val="13"/>
          <c:tx>
            <c:strRef>
              <c:f>'Child Protection Plans'!$AK$51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Plans'!$BR$51:$BV$51</c:f>
              <c:numCache>
                <c:formatCode>0.0%</c:formatCode>
                <c:ptCount val="5"/>
                <c:pt idx="0">
                  <c:v>0.65048543689320393</c:v>
                </c:pt>
                <c:pt idx="1">
                  <c:v>0.63285024154589375</c:v>
                </c:pt>
                <c:pt idx="2">
                  <c:v>0.47352941176470587</c:v>
                </c:pt>
                <c:pt idx="3">
                  <c:v>0.80193236714975846</c:v>
                </c:pt>
                <c:pt idx="4">
                  <c:v>0.83490566037735847</c:v>
                </c:pt>
              </c:numCache>
            </c:numRef>
          </c:val>
          <c:smooth val="0"/>
          <c:extLst>
            <c:ext xmlns:c16="http://schemas.microsoft.com/office/drawing/2014/chart" uri="{C3380CC4-5D6E-409C-BE32-E72D297353CC}">
              <c16:uniqueId val="{0000000F-4EDF-4ACC-A2F5-540FCD1F7EB3}"/>
            </c:ext>
          </c:extLst>
        </c:ser>
        <c:ser>
          <c:idx val="22"/>
          <c:order val="14"/>
          <c:tx>
            <c:strRef>
              <c:f>'Child Protection Plans'!$AK$52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Plans'!$BR$52:$BV$52</c:f>
              <c:numCache>
                <c:formatCode>0.0%</c:formatCode>
                <c:ptCount val="5"/>
                <c:pt idx="0">
                  <c:v>0.93176972281449888</c:v>
                </c:pt>
                <c:pt idx="1">
                  <c:v>0.98363338788870702</c:v>
                </c:pt>
                <c:pt idx="2">
                  <c:v>0.94622279129321385</c:v>
                </c:pt>
                <c:pt idx="3">
                  <c:v>0.97661870503597126</c:v>
                </c:pt>
                <c:pt idx="4">
                  <c:v>0.96055684454756385</c:v>
                </c:pt>
              </c:numCache>
            </c:numRef>
          </c:val>
          <c:smooth val="0"/>
          <c:extLst>
            <c:ext xmlns:c16="http://schemas.microsoft.com/office/drawing/2014/chart" uri="{C3380CC4-5D6E-409C-BE32-E72D297353CC}">
              <c16:uniqueId val="{00000010-4EDF-4ACC-A2F5-540FCD1F7EB3}"/>
            </c:ext>
          </c:extLst>
        </c:ser>
        <c:ser>
          <c:idx val="23"/>
          <c:order val="15"/>
          <c:tx>
            <c:strRef>
              <c:f>'Child Protection Plans'!$AK$53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Plans'!$BR$53:$BV$53</c:f>
              <c:numCache>
                <c:formatCode>0.0%</c:formatCode>
                <c:ptCount val="5"/>
                <c:pt idx="0">
                  <c:v>1</c:v>
                </c:pt>
                <c:pt idx="1">
                  <c:v>1</c:v>
                </c:pt>
                <c:pt idx="2">
                  <c:v>1</c:v>
                </c:pt>
                <c:pt idx="3">
                  <c:v>0.69266055045871555</c:v>
                </c:pt>
                <c:pt idx="4">
                  <c:v>0.83870967741935487</c:v>
                </c:pt>
              </c:numCache>
            </c:numRef>
          </c:val>
          <c:smooth val="0"/>
          <c:extLst>
            <c:ext xmlns:c16="http://schemas.microsoft.com/office/drawing/2014/chart" uri="{C3380CC4-5D6E-409C-BE32-E72D297353CC}">
              <c16:uniqueId val="{00000013-4EDF-4ACC-A2F5-540FCD1F7EB3}"/>
            </c:ext>
          </c:extLst>
        </c:ser>
        <c:ser>
          <c:idx val="24"/>
          <c:order val="16"/>
          <c:tx>
            <c:strRef>
              <c:f>'Child Protection Plans'!$AK$54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Plans'!$BR$54:$BV$54</c:f>
              <c:numCache>
                <c:formatCode>0.0%</c:formatCode>
                <c:ptCount val="5"/>
                <c:pt idx="0">
                  <c:v>0.86443661971830987</c:v>
                </c:pt>
                <c:pt idx="1">
                  <c:v>0.87696709585121602</c:v>
                </c:pt>
                <c:pt idx="2">
                  <c:v>0.84565217391304348</c:v>
                </c:pt>
                <c:pt idx="3">
                  <c:v>0.8104448742746615</c:v>
                </c:pt>
                <c:pt idx="4">
                  <c:v>0.74561403508771928</c:v>
                </c:pt>
              </c:numCache>
            </c:numRef>
          </c:val>
          <c:smooth val="0"/>
          <c:extLst>
            <c:ext xmlns:c16="http://schemas.microsoft.com/office/drawing/2014/chart" uri="{C3380CC4-5D6E-409C-BE32-E72D297353CC}">
              <c16:uniqueId val="{00000014-4EDF-4ACC-A2F5-540FCD1F7EB3}"/>
            </c:ext>
          </c:extLst>
        </c:ser>
        <c:ser>
          <c:idx val="25"/>
          <c:order val="17"/>
          <c:tx>
            <c:strRef>
              <c:f>'Child Protection Plans'!$AK$55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Plans'!$BR$55:$BV$55</c:f>
              <c:numCache>
                <c:formatCode>0.0%</c:formatCode>
                <c:ptCount val="5"/>
                <c:pt idx="0">
                  <c:v>0.81176470588235294</c:v>
                </c:pt>
                <c:pt idx="1">
                  <c:v>0.8928571428571429</c:v>
                </c:pt>
                <c:pt idx="2">
                  <c:v>0.82558139534883723</c:v>
                </c:pt>
                <c:pt idx="3">
                  <c:v>0.86363636363636365</c:v>
                </c:pt>
                <c:pt idx="4">
                  <c:v>0.90909090909090906</c:v>
                </c:pt>
              </c:numCache>
            </c:numRef>
          </c:val>
          <c:smooth val="0"/>
          <c:extLst>
            <c:ext xmlns:c16="http://schemas.microsoft.com/office/drawing/2014/chart" uri="{C3380CC4-5D6E-409C-BE32-E72D297353CC}">
              <c16:uniqueId val="{00000015-4EDF-4ACC-A2F5-540FCD1F7EB3}"/>
            </c:ext>
          </c:extLst>
        </c:ser>
        <c:ser>
          <c:idx val="26"/>
          <c:order val="18"/>
          <c:tx>
            <c:strRef>
              <c:f>'Child Protection Plans'!$AK$56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Plans'!$BR$56:$BV$56</c:f>
              <c:numCache>
                <c:formatCode>0.0%</c:formatCode>
                <c:ptCount val="5"/>
                <c:pt idx="0">
                  <c:v>1</c:v>
                </c:pt>
                <c:pt idx="1">
                  <c:v>0.97272727272727277</c:v>
                </c:pt>
                <c:pt idx="2">
                  <c:v>0.78125</c:v>
                </c:pt>
                <c:pt idx="3">
                  <c:v>0.99038461538461542</c:v>
                </c:pt>
                <c:pt idx="4">
                  <c:v>0.97674418604651159</c:v>
                </c:pt>
              </c:numCache>
            </c:numRef>
          </c:val>
          <c:smooth val="0"/>
          <c:extLst>
            <c:ext xmlns:c16="http://schemas.microsoft.com/office/drawing/2014/chart" uri="{C3380CC4-5D6E-409C-BE32-E72D297353CC}">
              <c16:uniqueId val="{00000016-4EDF-4ACC-A2F5-540FCD1F7EB3}"/>
            </c:ext>
          </c:extLst>
        </c:ser>
        <c:ser>
          <c:idx val="4"/>
          <c:order val="19"/>
          <c:tx>
            <c:strRef>
              <c:f>'Child Protection Plans'!$AK$57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Plans'!$BR$57:$BV$57</c:f>
              <c:numCache>
                <c:formatCode>0.0%</c:formatCode>
                <c:ptCount val="5"/>
                <c:pt idx="0">
                  <c:v>0.89557522123893807</c:v>
                </c:pt>
                <c:pt idx="1">
                  <c:v>0.92738921516284034</c:v>
                </c:pt>
                <c:pt idx="2">
                  <c:v>0.87796610169491529</c:v>
                </c:pt>
                <c:pt idx="3">
                  <c:v>0.88214904679376083</c:v>
                </c:pt>
                <c:pt idx="4">
                  <c:v>0.89493433395872424</c:v>
                </c:pt>
              </c:numCache>
            </c:numRef>
          </c:val>
          <c:smooth val="0"/>
          <c:extLst>
            <c:ext xmlns:c16="http://schemas.microsoft.com/office/drawing/2014/chart" uri="{C3380CC4-5D6E-409C-BE32-E72D297353CC}">
              <c16:uniqueId val="{00000017-4EDF-4ACC-A2F5-540FCD1F7EB3}"/>
            </c:ext>
          </c:extLst>
        </c:ser>
        <c:ser>
          <c:idx val="14"/>
          <c:order val="20"/>
          <c:tx>
            <c:strRef>
              <c:f>'Child Protection Plans'!$AK$58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'Child Protection Plans'!$Y$2:$AC$3</c:f>
              <c:strCache>
                <c:ptCount val="5"/>
                <c:pt idx="0">
                  <c:v>2019/20</c:v>
                </c:pt>
                <c:pt idx="1">
                  <c:v>2020/21</c:v>
                </c:pt>
                <c:pt idx="2">
                  <c:v>2021/22</c:v>
                </c:pt>
                <c:pt idx="3">
                  <c:v>2022/23</c:v>
                </c:pt>
                <c:pt idx="4">
                  <c:v>2023/24</c:v>
                </c:pt>
              </c:strCache>
            </c:strRef>
          </c:cat>
          <c:val>
            <c:numRef>
              <c:f>'Child Protection Plans'!$BR$58:$BV$58</c:f>
              <c:numCache>
                <c:formatCode>0.0%</c:formatCode>
                <c:ptCount val="5"/>
                <c:pt idx="0">
                  <c:v>0.91481481481481486</c:v>
                </c:pt>
                <c:pt idx="1">
                  <c:v>0.93229901269393511</c:v>
                </c:pt>
                <c:pt idx="2">
                  <c:v>0.89256912442396308</c:v>
                </c:pt>
                <c:pt idx="3">
                  <c:v>0.8811010215664018</c:v>
                </c:pt>
                <c:pt idx="4">
                  <c:v>0.8976916500427472</c:v>
                </c:pt>
              </c:numCache>
            </c:numRef>
          </c:val>
          <c:smooth val="0"/>
          <c:extLst>
            <c:ext xmlns:c16="http://schemas.microsoft.com/office/drawing/2014/chart" uri="{C3380CC4-5D6E-409C-BE32-E72D297353CC}">
              <c16:uniqueId val="{00000018-4EDF-4ACC-A2F5-540FCD1F7EB3}"/>
            </c:ext>
          </c:extLst>
        </c:ser>
        <c:ser>
          <c:idx val="6"/>
          <c:order val="21"/>
          <c:tx>
            <c:strRef>
              <c:f>'Child Protection Plans'!$AK$59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 Protection Plans'!$Y$2:$AC$3</c:f>
              <c:strCache>
                <c:ptCount val="5"/>
                <c:pt idx="0">
                  <c:v>2019/20</c:v>
                </c:pt>
                <c:pt idx="1">
                  <c:v>2020/21</c:v>
                </c:pt>
                <c:pt idx="2">
                  <c:v>2021/22</c:v>
                </c:pt>
                <c:pt idx="3">
                  <c:v>2022/23</c:v>
                </c:pt>
                <c:pt idx="4">
                  <c:v>2023/24</c:v>
                </c:pt>
              </c:strCache>
            </c:strRef>
          </c:cat>
          <c:val>
            <c:numRef>
              <c:f>'Child Protection Plans'!$BR$59:$BV$59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4EDF-4ACC-A2F5-540FCD1F7EB3}"/>
            </c:ext>
          </c:extLst>
        </c:ser>
        <c:dLbls>
          <c:showLegendKey val="0"/>
          <c:showVal val="0"/>
          <c:showCatName val="0"/>
          <c:showSerName val="0"/>
          <c:showPercent val="0"/>
          <c:showBubbleSize val="0"/>
        </c:dLbls>
        <c:marker val="1"/>
        <c:smooth val="0"/>
        <c:axId val="585809280"/>
        <c:axId val="585815552"/>
      </c:lineChart>
      <c:catAx>
        <c:axId val="585809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5815552"/>
        <c:crosses val="autoZero"/>
        <c:auto val="1"/>
        <c:lblAlgn val="ctr"/>
        <c:lblOffset val="100"/>
        <c:tickLblSkip val="1"/>
        <c:tickMarkSkip val="1"/>
        <c:noMultiLvlLbl val="0"/>
      </c:catAx>
      <c:valAx>
        <c:axId val="585815552"/>
        <c:scaling>
          <c:orientation val="minMax"/>
          <c:max val="1.02"/>
          <c:min val="0.2"/>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5809280"/>
        <c:crosses val="autoZero"/>
        <c:crossBetween val="between"/>
      </c:valAx>
      <c:spPr>
        <a:noFill/>
        <a:ln w="3175">
          <a:solidFill>
            <a:srgbClr val="000000"/>
          </a:solidFill>
          <a:prstDash val="solid"/>
        </a:ln>
      </c:spPr>
    </c:plotArea>
    <c:legend>
      <c:legendPos val="r"/>
      <c:layout>
        <c:manualLayout>
          <c:xMode val="edge"/>
          <c:yMode val="edge"/>
          <c:x val="0.67109092691214423"/>
          <c:y val="6.4741533950671629E-2"/>
          <c:w val="0.31211251343072949"/>
          <c:h val="0.89616376656621621"/>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b="1" i="0" u="none" strike="noStrike" baseline="0">
                <a:solidFill>
                  <a:srgbClr val="000000"/>
                </a:solidFill>
                <a:latin typeface="Arial"/>
                <a:ea typeface="Arial"/>
                <a:cs typeface="Arial"/>
              </a:defRPr>
            </a:pPr>
            <a:r>
              <a:rPr lang="en-GB" sz="1100" b="1" i="0" u="none" strike="noStrike" baseline="0">
                <a:effectLst/>
              </a:rPr>
              <a:t>% Children who became the subject of a CP Plan for a second or subsequent time within 2 years of a previous Plan </a:t>
            </a:r>
          </a:p>
        </c:rich>
      </c:tx>
      <c:layout>
        <c:manualLayout>
          <c:xMode val="edge"/>
          <c:yMode val="edge"/>
          <c:x val="1.4489506803281353E-3"/>
          <c:y val="3.8461745182876038E-3"/>
        </c:manualLayout>
      </c:layout>
      <c:overlay val="0"/>
      <c:spPr>
        <a:noFill/>
        <a:ln w="25400">
          <a:noFill/>
        </a:ln>
      </c:spPr>
    </c:title>
    <c:autoTitleDeleted val="0"/>
    <c:plotArea>
      <c:layout>
        <c:manualLayout>
          <c:layoutTarget val="inner"/>
          <c:xMode val="edge"/>
          <c:yMode val="edge"/>
          <c:x val="8.9669753086419751E-2"/>
          <c:y val="0.10356388321830141"/>
          <c:w val="0.57508230927201043"/>
          <c:h val="0.82113335662393738"/>
        </c:manualLayout>
      </c:layout>
      <c:lineChart>
        <c:grouping val="standard"/>
        <c:varyColors val="0"/>
        <c:ser>
          <c:idx val="0"/>
          <c:order val="0"/>
          <c:tx>
            <c:strRef>
              <c:f>'Child Protection Plans'!$AK$38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E324-4653-BC4A-7EE626FA4949}"/>
              </c:ext>
            </c:extLst>
          </c:dPt>
          <c:cat>
            <c:strRef>
              <c:f>'Child Protection Plans'!$Y$2:$AC$3</c:f>
              <c:strCache>
                <c:ptCount val="5"/>
                <c:pt idx="0">
                  <c:v>2019/20</c:v>
                </c:pt>
                <c:pt idx="1">
                  <c:v>2020/21</c:v>
                </c:pt>
                <c:pt idx="2">
                  <c:v>2021/22</c:v>
                </c:pt>
                <c:pt idx="3">
                  <c:v>2022/23</c:v>
                </c:pt>
                <c:pt idx="4">
                  <c:v>2023/24</c:v>
                </c:pt>
              </c:strCache>
            </c:strRef>
          </c:cat>
          <c:val>
            <c:numRef>
              <c:f>'Child Protection Plans'!$BL$38:$BP$38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E324-4653-BC4A-7EE626FA4949}"/>
            </c:ext>
          </c:extLst>
        </c:ser>
        <c:ser>
          <c:idx val="1"/>
          <c:order val="1"/>
          <c:tx>
            <c:strRef>
              <c:f>'Child Protection Plans'!$AK$39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Plans'!$BL$39:$BP$39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E324-4653-BC4A-7EE626FA4949}"/>
            </c:ext>
          </c:extLst>
        </c:ser>
        <c:ser>
          <c:idx val="2"/>
          <c:order val="2"/>
          <c:tx>
            <c:strRef>
              <c:f>'Child Protection Plans'!$AK$40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Plans'!$BL$40:$BP$40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E324-4653-BC4A-7EE626FA4949}"/>
            </c:ext>
          </c:extLst>
        </c:ser>
        <c:ser>
          <c:idx val="5"/>
          <c:order val="3"/>
          <c:tx>
            <c:strRef>
              <c:f>'Child Protection Plans'!$AK$41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Plans'!$BL$41:$BP$41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E324-4653-BC4A-7EE626FA4949}"/>
            </c:ext>
          </c:extLst>
        </c:ser>
        <c:ser>
          <c:idx val="9"/>
          <c:order val="4"/>
          <c:tx>
            <c:strRef>
              <c:f>'Child Protection Plans'!$AK$42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Plans'!$BL$42:$BP$42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E324-4653-BC4A-7EE626FA4949}"/>
            </c:ext>
          </c:extLst>
        </c:ser>
        <c:ser>
          <c:idx val="10"/>
          <c:order val="5"/>
          <c:tx>
            <c:strRef>
              <c:f>'Child Protection Plans'!$AK$43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Plans'!$BL$43:$BP$43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E324-4653-BC4A-7EE626FA4949}"/>
            </c:ext>
          </c:extLst>
        </c:ser>
        <c:ser>
          <c:idx val="11"/>
          <c:order val="6"/>
          <c:tx>
            <c:strRef>
              <c:f>'Child Protection Plans'!$AK$44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Plans'!$BL$44:$BP$44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E324-4653-BC4A-7EE626FA4949}"/>
            </c:ext>
          </c:extLst>
        </c:ser>
        <c:ser>
          <c:idx val="12"/>
          <c:order val="7"/>
          <c:tx>
            <c:strRef>
              <c:f>'Child Protection Plans'!$AK$45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Plans'!$BL$45:$BP$45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E324-4653-BC4A-7EE626FA4949}"/>
            </c:ext>
          </c:extLst>
        </c:ser>
        <c:ser>
          <c:idx val="13"/>
          <c:order val="8"/>
          <c:tx>
            <c:strRef>
              <c:f>'Child Protection Plans'!$AK$46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Plans'!$BL$46:$BP$46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E324-4653-BC4A-7EE626FA4949}"/>
            </c:ext>
          </c:extLst>
        </c:ser>
        <c:ser>
          <c:idx val="15"/>
          <c:order val="9"/>
          <c:tx>
            <c:strRef>
              <c:f>'Child Protection Plans'!$AK$47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Plans'!$BL$47:$BP$47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E324-4653-BC4A-7EE626FA4949}"/>
            </c:ext>
          </c:extLst>
        </c:ser>
        <c:ser>
          <c:idx val="16"/>
          <c:order val="10"/>
          <c:tx>
            <c:strRef>
              <c:f>'Child Protection Plans'!$AK$48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Plans'!$BL$48:$BP$48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E324-4653-BC4A-7EE626FA4949}"/>
            </c:ext>
          </c:extLst>
        </c:ser>
        <c:ser>
          <c:idx val="17"/>
          <c:order val="11"/>
          <c:tx>
            <c:strRef>
              <c:f>'Child Protection Plans'!$AK$49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Plans'!$BL$49:$BP$49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E324-4653-BC4A-7EE626FA4949}"/>
            </c:ext>
          </c:extLst>
        </c:ser>
        <c:ser>
          <c:idx val="19"/>
          <c:order val="12"/>
          <c:tx>
            <c:strRef>
              <c:f>'Child Protection Plans'!$AK$50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Plans'!$BL$50:$BP$50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E324-4653-BC4A-7EE626FA4949}"/>
            </c:ext>
          </c:extLst>
        </c:ser>
        <c:ser>
          <c:idx val="20"/>
          <c:order val="13"/>
          <c:tx>
            <c:strRef>
              <c:f>'Child Protection Plans'!$AK$51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Plans'!$BL$51:$BP$51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E324-4653-BC4A-7EE626FA4949}"/>
            </c:ext>
          </c:extLst>
        </c:ser>
        <c:ser>
          <c:idx val="22"/>
          <c:order val="14"/>
          <c:tx>
            <c:strRef>
              <c:f>'Child Protection Plans'!$AK$52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Plans'!$BL$52:$BP$52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E324-4653-BC4A-7EE626FA4949}"/>
            </c:ext>
          </c:extLst>
        </c:ser>
        <c:ser>
          <c:idx val="23"/>
          <c:order val="15"/>
          <c:tx>
            <c:strRef>
              <c:f>'Child Protection Plans'!$AK$53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Plans'!$BL$53:$BP$53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E324-4653-BC4A-7EE626FA4949}"/>
            </c:ext>
          </c:extLst>
        </c:ser>
        <c:ser>
          <c:idx val="24"/>
          <c:order val="16"/>
          <c:tx>
            <c:strRef>
              <c:f>'Child Protection Plans'!$AK$54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Plans'!$BL$54:$BP$54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E324-4653-BC4A-7EE626FA4949}"/>
            </c:ext>
          </c:extLst>
        </c:ser>
        <c:ser>
          <c:idx val="25"/>
          <c:order val="17"/>
          <c:tx>
            <c:strRef>
              <c:f>'Child Protection Plans'!$AK$55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Plans'!$BL$55:$BP$55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E324-4653-BC4A-7EE626FA4949}"/>
            </c:ext>
          </c:extLst>
        </c:ser>
        <c:ser>
          <c:idx val="26"/>
          <c:order val="18"/>
          <c:tx>
            <c:strRef>
              <c:f>'Child Protection Plans'!$AK$56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Plans'!$BL$56:$BP$56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E324-4653-BC4A-7EE626FA4949}"/>
            </c:ext>
          </c:extLst>
        </c:ser>
        <c:ser>
          <c:idx val="4"/>
          <c:order val="19"/>
          <c:tx>
            <c:strRef>
              <c:f>'Child Protection Plans'!$AK$57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Plans'!$BL$57:$BP$57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E324-4653-BC4A-7EE626FA4949}"/>
            </c:ext>
          </c:extLst>
        </c:ser>
        <c:ser>
          <c:idx val="6"/>
          <c:order val="20"/>
          <c:tx>
            <c:strRef>
              <c:f>'Child Protection Plans'!$AK$59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 Protection Plans'!$Y$2:$AC$3</c:f>
              <c:strCache>
                <c:ptCount val="5"/>
                <c:pt idx="0">
                  <c:v>2019/20</c:v>
                </c:pt>
                <c:pt idx="1">
                  <c:v>2020/21</c:v>
                </c:pt>
                <c:pt idx="2">
                  <c:v>2021/22</c:v>
                </c:pt>
                <c:pt idx="3">
                  <c:v>2022/23</c:v>
                </c:pt>
                <c:pt idx="4">
                  <c:v>2023/24</c:v>
                </c:pt>
              </c:strCache>
            </c:strRef>
          </c:cat>
          <c:val>
            <c:numRef>
              <c:f>'Child Protection Plans'!$BL$59:$BP$59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E324-4653-BC4A-7EE626FA4949}"/>
            </c:ext>
          </c:extLst>
        </c:ser>
        <c:dLbls>
          <c:showLegendKey val="0"/>
          <c:showVal val="0"/>
          <c:showCatName val="0"/>
          <c:showSerName val="0"/>
          <c:showPercent val="0"/>
          <c:showBubbleSize val="0"/>
        </c:dLbls>
        <c:marker val="1"/>
        <c:smooth val="0"/>
        <c:axId val="586141056"/>
        <c:axId val="586155520"/>
      </c:lineChart>
      <c:catAx>
        <c:axId val="5861410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6155520"/>
        <c:crosses val="autoZero"/>
        <c:auto val="1"/>
        <c:lblAlgn val="ctr"/>
        <c:lblOffset val="100"/>
        <c:tickLblSkip val="1"/>
        <c:tickMarkSkip val="1"/>
        <c:noMultiLvlLbl val="0"/>
      </c:catAx>
      <c:valAx>
        <c:axId val="586155520"/>
        <c:scaling>
          <c:orientation val="minMax"/>
          <c:max val="0.4"/>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6141056"/>
        <c:crosses val="autoZero"/>
        <c:crossBetween val="between"/>
      </c:valAx>
      <c:spPr>
        <a:noFill/>
        <a:ln w="3175">
          <a:solidFill>
            <a:srgbClr val="000000"/>
          </a:solidFill>
          <a:prstDash val="solid"/>
        </a:ln>
      </c:spPr>
    </c:plotArea>
    <c:legend>
      <c:legendPos val="r"/>
      <c:layout>
        <c:manualLayout>
          <c:xMode val="edge"/>
          <c:yMode val="edge"/>
          <c:x val="0.6683014309403793"/>
          <c:y val="7.5190870500600387E-2"/>
          <c:w val="0.31909026016099451"/>
          <c:h val="0.9052946821460943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Referrals!$AK$5</c:f>
          <c:strCache>
            <c:ptCount val="1"/>
            <c:pt idx="0">
              <c:v>Average Annual Change in Number of Referrals</c:v>
            </c:pt>
          </c:strCache>
        </c:strRef>
      </c:tx>
      <c:layout>
        <c:manualLayout>
          <c:xMode val="edge"/>
          <c:yMode val="edge"/>
          <c:x val="9.5785619809663491E-3"/>
          <c:y val="1.1152426478663088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30423245171276669"/>
          <c:y val="8.8163863776287224E-2"/>
          <c:w val="0.65301837270341212"/>
          <c:h val="0.85421616279446555"/>
        </c:manualLayout>
      </c:layout>
      <c:barChart>
        <c:barDir val="bar"/>
        <c:grouping val="clustered"/>
        <c:varyColors val="0"/>
        <c:ser>
          <c:idx val="0"/>
          <c:order val="0"/>
          <c:tx>
            <c:strRef>
              <c:f>Referrals!$I$7</c:f>
              <c:strCache>
                <c:ptCount val="1"/>
                <c:pt idx="0">
                  <c:v>Average Annual Change </c:v>
                </c:pt>
              </c:strCache>
            </c:strRef>
          </c:tx>
          <c:spPr>
            <a:solidFill>
              <a:srgbClr val="FB994F"/>
            </a:solidFill>
            <a:ln w="25400">
              <a:noFill/>
            </a:ln>
          </c:spPr>
          <c:invertIfNegative val="0"/>
          <c:cat>
            <c:strRef>
              <c:f>Referrals!$B$11:$B$31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Referrals!$I$11:$I$31</c:f>
              <c:numCache>
                <c:formatCode>0.0%</c:formatCode>
                <c:ptCount val="21"/>
                <c:pt idx="0">
                  <c:v>-2.1621262280565854E-2</c:v>
                </c:pt>
                <c:pt idx="1">
                  <c:v>-1.7564840717295988E-2</c:v>
                </c:pt>
                <c:pt idx="2">
                  <c:v>-6.0398421812521558E-3</c:v>
                </c:pt>
                <c:pt idx="3">
                  <c:v>1.3357863557747776E-2</c:v>
                </c:pt>
                <c:pt idx="4">
                  <c:v>0.15083707445913636</c:v>
                </c:pt>
                <c:pt idx="5">
                  <c:v>0.13677021576346221</c:v>
                </c:pt>
                <c:pt idx="6">
                  <c:v>2.5705274215782271E-2</c:v>
                </c:pt>
                <c:pt idx="7">
                  <c:v>5.9793361234677281E-2</c:v>
                </c:pt>
                <c:pt idx="8">
                  <c:v>6.8255387338910269E-3</c:v>
                </c:pt>
                <c:pt idx="9">
                  <c:v>-8.9033640455752933E-2</c:v>
                </c:pt>
                <c:pt idx="10">
                  <c:v>5.2427595972932978E-2</c:v>
                </c:pt>
                <c:pt idx="11">
                  <c:v>4.5423742352111801E-2</c:v>
                </c:pt>
                <c:pt idx="12">
                  <c:v>8.2050228229103225E-2</c:v>
                </c:pt>
                <c:pt idx="13">
                  <c:v>-0.10247050868112234</c:v>
                </c:pt>
                <c:pt idx="14">
                  <c:v>-1.0012429884340278E-2</c:v>
                </c:pt>
                <c:pt idx="15">
                  <c:v>1.8409101270413952E-2</c:v>
                </c:pt>
                <c:pt idx="16">
                  <c:v>-5.2422005166695644E-2</c:v>
                </c:pt>
                <c:pt idx="17">
                  <c:v>7.9917163609317832E-2</c:v>
                </c:pt>
                <c:pt idx="18">
                  <c:v>-2.289073264934282E-2</c:v>
                </c:pt>
                <c:pt idx="19">
                  <c:v>4.8196949284268195E-2</c:v>
                </c:pt>
                <c:pt idx="20">
                  <c:v>-6.6453129399903568E-3</c:v>
                </c:pt>
              </c:numCache>
            </c:numRef>
          </c:val>
          <c:extLst>
            <c:ext xmlns:c16="http://schemas.microsoft.com/office/drawing/2014/chart" uri="{C3380CC4-5D6E-409C-BE32-E72D297353CC}">
              <c16:uniqueId val="{00000000-BA9F-43A8-990F-C873CB67CBCB}"/>
            </c:ext>
          </c:extLst>
        </c:ser>
        <c:ser>
          <c:idx val="1"/>
          <c:order val="1"/>
          <c:tx>
            <c:strRef>
              <c:f>Referrals!$Z$4</c:f>
              <c:strCache>
                <c:ptCount val="1"/>
                <c:pt idx="0">
                  <c:v>Selected LA- (none)</c:v>
                </c:pt>
              </c:strCache>
            </c:strRef>
          </c:tx>
          <c:spPr>
            <a:solidFill>
              <a:srgbClr val="66FF99"/>
            </a:solidFill>
            <a:ln w="12700">
              <a:solidFill>
                <a:srgbClr val="000000"/>
              </a:solidFill>
              <a:prstDash val="solid"/>
            </a:ln>
          </c:spPr>
          <c:invertIfNegative val="0"/>
          <c:cat>
            <c:strRef>
              <c:f>Referrals!$B$11:$B$31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Referrals!$Y$74:$Y$94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BA9F-43A8-990F-C873CB67CBCB}"/>
            </c:ext>
          </c:extLst>
        </c:ser>
        <c:dLbls>
          <c:showLegendKey val="0"/>
          <c:showVal val="0"/>
          <c:showCatName val="0"/>
          <c:showSerName val="0"/>
          <c:showPercent val="0"/>
          <c:showBubbleSize val="0"/>
        </c:dLbls>
        <c:gapWidth val="40"/>
        <c:overlap val="100"/>
        <c:axId val="528965632"/>
        <c:axId val="528967168"/>
      </c:barChart>
      <c:catAx>
        <c:axId val="52896563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967168"/>
        <c:crosses val="autoZero"/>
        <c:auto val="1"/>
        <c:lblAlgn val="ctr"/>
        <c:lblOffset val="100"/>
        <c:noMultiLvlLbl val="0"/>
      </c:catAx>
      <c:valAx>
        <c:axId val="528967168"/>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965632"/>
        <c:crosses val="max"/>
        <c:crossBetween val="between"/>
      </c:valAx>
      <c:spPr>
        <a:noFill/>
        <a:ln w="3175">
          <a:solidFill>
            <a:srgbClr val="000000"/>
          </a:solidFill>
          <a:prstDash val="solid"/>
        </a:ln>
      </c:spPr>
    </c:plotArea>
    <c:legend>
      <c:legendPos val="t"/>
      <c:layout>
        <c:manualLayout>
          <c:xMode val="edge"/>
          <c:yMode val="edge"/>
          <c:x val="0.25317633828160147"/>
          <c:y val="4.510676906127474E-2"/>
          <c:w val="0.69938219261053902"/>
          <c:h val="4.089223042176466E-2"/>
        </c:manualLayout>
      </c:layout>
      <c:overlay val="0"/>
      <c:spPr>
        <a:noFill/>
        <a:ln w="12700">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pPr>
            <a:r>
              <a:rPr lang="en-GB" sz="1100" b="1"/>
              <a:t>% New CPP 2nd/ Subsequent (within 2 years) (Selected LA vs. SE) </a:t>
            </a:r>
          </a:p>
        </c:rich>
      </c:tx>
      <c:layout>
        <c:manualLayout>
          <c:xMode val="edge"/>
          <c:yMode val="edge"/>
          <c:x val="0.14546187132013905"/>
          <c:y val="1.8045457083821968E-2"/>
        </c:manualLayout>
      </c:layout>
      <c:overlay val="0"/>
      <c:spPr>
        <a:noFill/>
        <a:ln w="25400">
          <a:noFill/>
        </a:ln>
      </c:spPr>
    </c:title>
    <c:autoTitleDeleted val="0"/>
    <c:plotArea>
      <c:layout>
        <c:manualLayout>
          <c:layoutTarget val="inner"/>
          <c:xMode val="edge"/>
          <c:yMode val="edge"/>
          <c:x val="9.8666564984461691E-2"/>
          <c:y val="0.2503993587627894"/>
          <c:w val="0.61012993425326789"/>
          <c:h val="0.50630015559432318"/>
        </c:manualLayout>
      </c:layout>
      <c:barChart>
        <c:barDir val="col"/>
        <c:grouping val="clustered"/>
        <c:varyColors val="0"/>
        <c:ser>
          <c:idx val="6"/>
          <c:order val="0"/>
          <c:tx>
            <c:strRef>
              <c:f>'Child Protection Plans'!$Z$4</c:f>
              <c:strCache>
                <c:ptCount val="1"/>
                <c:pt idx="0">
                  <c:v>Selected LA- (none)</c:v>
                </c:pt>
              </c:strCache>
            </c:strRef>
          </c:tx>
          <c:spPr>
            <a:solidFill>
              <a:srgbClr val="66FF99"/>
            </a:solidFill>
            <a:ln>
              <a:solidFill>
                <a:schemeClr val="tx1">
                  <a:lumMod val="75000"/>
                  <a:lumOff val="25000"/>
                </a:schemeClr>
              </a:solidFill>
            </a:ln>
          </c:spPr>
          <c:invertIfNegative val="0"/>
          <c:cat>
            <c:strRef>
              <c:f>'Child Protection Plans'!$Y$2:$AC$3</c:f>
              <c:strCache>
                <c:ptCount val="5"/>
                <c:pt idx="0">
                  <c:v>2019/20</c:v>
                </c:pt>
                <c:pt idx="1">
                  <c:v>2020/21</c:v>
                </c:pt>
                <c:pt idx="2">
                  <c:v>2021/22</c:v>
                </c:pt>
                <c:pt idx="3">
                  <c:v>2022/23</c:v>
                </c:pt>
                <c:pt idx="4">
                  <c:v>2023/24</c:v>
                </c:pt>
              </c:strCache>
            </c:strRef>
          </c:cat>
          <c:val>
            <c:numRef>
              <c:f>'Child Protection Plans'!$BL$59:$BP$59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DDAB-4E39-82B9-FAD4F871F77D}"/>
            </c:ext>
          </c:extLst>
        </c:ser>
        <c:ser>
          <c:idx val="4"/>
          <c:order val="1"/>
          <c:tx>
            <c:strRef>
              <c:f>'Child Protection Plans'!$B$295</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 Protection Plans'!$Y$2:$AC$3</c:f>
              <c:strCache>
                <c:ptCount val="5"/>
                <c:pt idx="0">
                  <c:v>2019/20</c:v>
                </c:pt>
                <c:pt idx="1">
                  <c:v>2020/21</c:v>
                </c:pt>
                <c:pt idx="2">
                  <c:v>2021/22</c:v>
                </c:pt>
                <c:pt idx="3">
                  <c:v>2022/23</c:v>
                </c:pt>
                <c:pt idx="4">
                  <c:v>2023/24</c:v>
                </c:pt>
              </c:strCache>
            </c:strRef>
          </c:cat>
          <c:val>
            <c:numRef>
              <c:f>'Child Protection Plans'!$D$295:$H$295</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DDAB-4E39-82B9-FAD4F871F77D}"/>
            </c:ext>
          </c:extLst>
        </c:ser>
        <c:dLbls>
          <c:showLegendKey val="0"/>
          <c:showVal val="0"/>
          <c:showCatName val="0"/>
          <c:showSerName val="0"/>
          <c:showPercent val="0"/>
          <c:showBubbleSize val="0"/>
        </c:dLbls>
        <c:gapWidth val="100"/>
        <c:axId val="586202112"/>
        <c:axId val="586203904"/>
      </c:barChart>
      <c:catAx>
        <c:axId val="586202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86203904"/>
        <c:crosses val="autoZero"/>
        <c:auto val="1"/>
        <c:lblAlgn val="ctr"/>
        <c:lblOffset val="100"/>
        <c:noMultiLvlLbl val="0"/>
      </c:catAx>
      <c:valAx>
        <c:axId val="586203904"/>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86202112"/>
        <c:crosses val="autoZero"/>
        <c:crossBetween val="between"/>
      </c:valAx>
      <c:spPr>
        <a:noFill/>
        <a:ln w="3175">
          <a:solidFill>
            <a:srgbClr val="000000"/>
          </a:solidFill>
          <a:prstDash val="solid"/>
        </a:ln>
      </c:spPr>
    </c:plotArea>
    <c:legend>
      <c:legendPos val="r"/>
      <c:layout>
        <c:manualLayout>
          <c:xMode val="edge"/>
          <c:yMode val="edge"/>
          <c:x val="0.72924872014760533"/>
          <c:y val="0.25120279126785799"/>
          <c:w val="0.27075127985239467"/>
          <c:h val="0.49174407091329153"/>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 Children</a:t>
            </a:r>
            <a:r>
              <a:rPr lang="en-GB" sz="900" baseline="0"/>
              <a:t> subject to </a:t>
            </a:r>
            <a:r>
              <a:rPr lang="en-GB" sz="900"/>
              <a:t>CPP Seen in Timescales</a:t>
            </a:r>
          </a:p>
          <a:p>
            <a:pPr>
              <a:defRPr sz="900" b="1" i="0" u="none" strike="noStrike" baseline="0">
                <a:solidFill>
                  <a:srgbClr val="000000"/>
                </a:solidFill>
                <a:latin typeface="Arial"/>
                <a:ea typeface="Arial"/>
                <a:cs typeface="Arial"/>
              </a:defRPr>
            </a:pPr>
            <a:r>
              <a:rPr lang="en-GB" sz="900"/>
              <a:t>(Selected LA</a:t>
            </a:r>
            <a:r>
              <a:rPr lang="en-GB" sz="900" baseline="0"/>
              <a:t> vs. SE &amp; National)</a:t>
            </a:r>
            <a:r>
              <a:rPr lang="en-GB" sz="900"/>
              <a:t> </a:t>
            </a:r>
          </a:p>
        </c:rich>
      </c:tx>
      <c:layout>
        <c:manualLayout>
          <c:xMode val="edge"/>
          <c:yMode val="edge"/>
          <c:x val="0.15460934950698729"/>
          <c:y val="3.8613355148788219E-3"/>
        </c:manualLayout>
      </c:layout>
      <c:overlay val="0"/>
      <c:spPr>
        <a:noFill/>
        <a:ln w="25400">
          <a:noFill/>
        </a:ln>
      </c:spPr>
    </c:title>
    <c:autoTitleDeleted val="0"/>
    <c:plotArea>
      <c:layout>
        <c:manualLayout>
          <c:layoutTarget val="inner"/>
          <c:xMode val="edge"/>
          <c:yMode val="edge"/>
          <c:x val="9.8666564984461691E-2"/>
          <c:y val="0.21047931508561429"/>
          <c:w val="0.64607416380644722"/>
          <c:h val="0.62582114735658045"/>
        </c:manualLayout>
      </c:layout>
      <c:barChart>
        <c:barDir val="col"/>
        <c:grouping val="clustered"/>
        <c:varyColors val="0"/>
        <c:ser>
          <c:idx val="6"/>
          <c:order val="0"/>
          <c:tx>
            <c:strRef>
              <c:f>'Child Protection Plans'!$Z$4</c:f>
              <c:strCache>
                <c:ptCount val="1"/>
                <c:pt idx="0">
                  <c:v>Selected LA- (none)</c:v>
                </c:pt>
              </c:strCache>
            </c:strRef>
          </c:tx>
          <c:spPr>
            <a:solidFill>
              <a:srgbClr val="66FF99"/>
            </a:solidFill>
            <a:ln>
              <a:solidFill>
                <a:schemeClr val="tx1">
                  <a:lumMod val="75000"/>
                  <a:lumOff val="25000"/>
                </a:schemeClr>
              </a:solidFill>
            </a:ln>
          </c:spPr>
          <c:invertIfNegative val="0"/>
          <c:cat>
            <c:strRef>
              <c:f>'Child Protection Plans'!$Y$2:$AC$3</c:f>
              <c:strCache>
                <c:ptCount val="5"/>
                <c:pt idx="0">
                  <c:v>2019/20</c:v>
                </c:pt>
                <c:pt idx="1">
                  <c:v>2020/21</c:v>
                </c:pt>
                <c:pt idx="2">
                  <c:v>2021/22</c:v>
                </c:pt>
                <c:pt idx="3">
                  <c:v>2022/23</c:v>
                </c:pt>
                <c:pt idx="4">
                  <c:v>2023/24</c:v>
                </c:pt>
              </c:strCache>
            </c:strRef>
          </c:cat>
          <c:val>
            <c:numRef>
              <c:f>'Child Protection Plans'!$AW$59:$BA$59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748E-4F14-A2F0-99C4699F01DB}"/>
            </c:ext>
          </c:extLst>
        </c:ser>
        <c:ser>
          <c:idx val="4"/>
          <c:order val="1"/>
          <c:tx>
            <c:strRef>
              <c:f>'Child Protection Plans'!$B$163</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 Protection Plans'!$Y$2:$AC$3</c:f>
              <c:strCache>
                <c:ptCount val="5"/>
                <c:pt idx="0">
                  <c:v>2019/20</c:v>
                </c:pt>
                <c:pt idx="1">
                  <c:v>2020/21</c:v>
                </c:pt>
                <c:pt idx="2">
                  <c:v>2021/22</c:v>
                </c:pt>
                <c:pt idx="3">
                  <c:v>2022/23</c:v>
                </c:pt>
                <c:pt idx="4">
                  <c:v>2023/24</c:v>
                </c:pt>
              </c:strCache>
            </c:strRef>
          </c:cat>
          <c:val>
            <c:numRef>
              <c:f>'Child Protection Plans'!$D$163:$H$163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748E-4F14-A2F0-99C4699F01DB}"/>
            </c:ext>
          </c:extLst>
        </c:ser>
        <c:ser>
          <c:idx val="0"/>
          <c:order val="2"/>
          <c:tx>
            <c:strRef>
              <c:f>'Child Protection Plans'!$B$164</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'Child Protection Plans'!$Y$2:$AC$3</c:f>
              <c:strCache>
                <c:ptCount val="5"/>
                <c:pt idx="0">
                  <c:v>2019/20</c:v>
                </c:pt>
                <c:pt idx="1">
                  <c:v>2020/21</c:v>
                </c:pt>
                <c:pt idx="2">
                  <c:v>2021/22</c:v>
                </c:pt>
                <c:pt idx="3">
                  <c:v>2022/23</c:v>
                </c:pt>
                <c:pt idx="4">
                  <c:v>2023/24</c:v>
                </c:pt>
              </c:strCache>
            </c:strRef>
          </c:cat>
          <c:val>
            <c:numRef>
              <c:f>'Child Protection Plans'!$D$164:$H$164</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2-748E-4F14-A2F0-99C4699F01DB}"/>
            </c:ext>
          </c:extLst>
        </c:ser>
        <c:dLbls>
          <c:showLegendKey val="0"/>
          <c:showVal val="0"/>
          <c:showCatName val="0"/>
          <c:showSerName val="0"/>
          <c:showPercent val="0"/>
          <c:showBubbleSize val="0"/>
        </c:dLbls>
        <c:gapWidth val="100"/>
        <c:axId val="586635136"/>
        <c:axId val="586636672"/>
      </c:barChart>
      <c:catAx>
        <c:axId val="586635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636672"/>
        <c:crosses val="autoZero"/>
        <c:auto val="1"/>
        <c:lblAlgn val="ctr"/>
        <c:lblOffset val="100"/>
        <c:noMultiLvlLbl val="0"/>
      </c:catAx>
      <c:valAx>
        <c:axId val="586636672"/>
        <c:scaling>
          <c:orientation val="minMax"/>
          <c:max val="1"/>
          <c:min val="0"/>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635136"/>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78871731942598089"/>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Children subject to a CP Plan who had been seen within Timescales</a:t>
            </a:r>
          </a:p>
        </c:rich>
      </c:tx>
      <c:layout>
        <c:manualLayout>
          <c:xMode val="edge"/>
          <c:yMode val="edge"/>
          <c:x val="0.10231045966504695"/>
          <c:y val="8.2113573768678987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'Child Protection Plans'!$AK$38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6DF8-4198-A290-8EFA9D00C255}"/>
              </c:ext>
            </c:extLst>
          </c:dPt>
          <c:cat>
            <c:strRef>
              <c:f>'Child Protection Plans'!$Y$2:$AC$3</c:f>
              <c:strCache>
                <c:ptCount val="5"/>
                <c:pt idx="0">
                  <c:v>2019/20</c:v>
                </c:pt>
                <c:pt idx="1">
                  <c:v>2020/21</c:v>
                </c:pt>
                <c:pt idx="2">
                  <c:v>2021/22</c:v>
                </c:pt>
                <c:pt idx="3">
                  <c:v>2022/23</c:v>
                </c:pt>
                <c:pt idx="4">
                  <c:v>2023/24</c:v>
                </c:pt>
              </c:strCache>
            </c:strRef>
          </c:cat>
          <c:val>
            <c:numRef>
              <c:f>'Child Protection Plans'!$AW$38:$BA$38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6DF8-4198-A290-8EFA9D00C255}"/>
            </c:ext>
          </c:extLst>
        </c:ser>
        <c:ser>
          <c:idx val="1"/>
          <c:order val="1"/>
          <c:tx>
            <c:strRef>
              <c:f>'Child Protection Plans'!$AK$39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Plans'!$AW$39:$BA$39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6DF8-4198-A290-8EFA9D00C255}"/>
            </c:ext>
          </c:extLst>
        </c:ser>
        <c:ser>
          <c:idx val="2"/>
          <c:order val="2"/>
          <c:tx>
            <c:strRef>
              <c:f>'Child Protection Plans'!$AK$40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Plans'!$AW$40:$BA$40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6DF8-4198-A290-8EFA9D00C255}"/>
            </c:ext>
          </c:extLst>
        </c:ser>
        <c:ser>
          <c:idx val="5"/>
          <c:order val="3"/>
          <c:tx>
            <c:strRef>
              <c:f>'Child Protection Plans'!$AK$41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Plans'!$AW$41:$BA$41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6DF8-4198-A290-8EFA9D00C255}"/>
            </c:ext>
          </c:extLst>
        </c:ser>
        <c:ser>
          <c:idx val="9"/>
          <c:order val="4"/>
          <c:tx>
            <c:strRef>
              <c:f>'Child Protection Plans'!$AK$42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Plans'!$AW$42:$BA$42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6DF8-4198-A290-8EFA9D00C255}"/>
            </c:ext>
          </c:extLst>
        </c:ser>
        <c:ser>
          <c:idx val="10"/>
          <c:order val="5"/>
          <c:tx>
            <c:strRef>
              <c:f>'Child Protection Plans'!$AK$43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Plans'!$AW$43:$BA$43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6DF8-4198-A290-8EFA9D00C255}"/>
            </c:ext>
          </c:extLst>
        </c:ser>
        <c:ser>
          <c:idx val="11"/>
          <c:order val="6"/>
          <c:tx>
            <c:strRef>
              <c:f>'Child Protection Plans'!$AK$44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Plans'!$AW$44:$BA$44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6DF8-4198-A290-8EFA9D00C255}"/>
            </c:ext>
          </c:extLst>
        </c:ser>
        <c:ser>
          <c:idx val="12"/>
          <c:order val="7"/>
          <c:tx>
            <c:strRef>
              <c:f>'Child Protection Plans'!$AK$45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Plans'!$AW$45:$BA$45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6DF8-4198-A290-8EFA9D00C255}"/>
            </c:ext>
          </c:extLst>
        </c:ser>
        <c:ser>
          <c:idx val="13"/>
          <c:order val="8"/>
          <c:tx>
            <c:strRef>
              <c:f>'Child Protection Plans'!$AK$46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Plans'!$AW$46:$BA$46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6DF8-4198-A290-8EFA9D00C255}"/>
            </c:ext>
          </c:extLst>
        </c:ser>
        <c:ser>
          <c:idx val="15"/>
          <c:order val="9"/>
          <c:tx>
            <c:strRef>
              <c:f>'Child Protection Plans'!$AK$47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Plans'!$AW$47:$BA$47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6DF8-4198-A290-8EFA9D00C255}"/>
            </c:ext>
          </c:extLst>
        </c:ser>
        <c:ser>
          <c:idx val="16"/>
          <c:order val="10"/>
          <c:tx>
            <c:strRef>
              <c:f>'Child Protection Plans'!$AK$48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Plans'!$AW$48:$BA$48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6DF8-4198-A290-8EFA9D00C255}"/>
            </c:ext>
          </c:extLst>
        </c:ser>
        <c:ser>
          <c:idx val="17"/>
          <c:order val="11"/>
          <c:tx>
            <c:strRef>
              <c:f>'Child Protection Plans'!$AK$49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Plans'!$AW$49:$BA$49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6DF8-4198-A290-8EFA9D00C255}"/>
            </c:ext>
          </c:extLst>
        </c:ser>
        <c:ser>
          <c:idx val="19"/>
          <c:order val="12"/>
          <c:tx>
            <c:strRef>
              <c:f>'Child Protection Plans'!$AK$50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Plans'!$AW$50:$BA$50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6DF8-4198-A290-8EFA9D00C255}"/>
            </c:ext>
          </c:extLst>
        </c:ser>
        <c:ser>
          <c:idx val="3"/>
          <c:order val="13"/>
          <c:tx>
            <c:strRef>
              <c:f>'Child Protection Plans'!#REF!</c:f>
              <c:strCache>
                <c:ptCount val="1"/>
                <c:pt idx="0">
                  <c:v>#REF!</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Plans'!#REF!</c:f>
              <c:numCache>
                <c:formatCode>General</c:formatCode>
                <c:ptCount val="1"/>
                <c:pt idx="0">
                  <c:v>1</c:v>
                </c:pt>
              </c:numCache>
            </c:numRef>
          </c:val>
          <c:smooth val="0"/>
          <c:extLst>
            <c:ext xmlns:c16="http://schemas.microsoft.com/office/drawing/2014/chart" uri="{C3380CC4-5D6E-409C-BE32-E72D297353CC}">
              <c16:uniqueId val="{0000000E-6DF8-4198-A290-8EFA9D00C255}"/>
            </c:ext>
          </c:extLst>
        </c:ser>
        <c:ser>
          <c:idx val="20"/>
          <c:order val="14"/>
          <c:tx>
            <c:strRef>
              <c:f>'Child Protection Plans'!$AK$51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Plans'!$AW$51:$BA$51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6DF8-4198-A290-8EFA9D00C255}"/>
            </c:ext>
          </c:extLst>
        </c:ser>
        <c:ser>
          <c:idx val="22"/>
          <c:order val="15"/>
          <c:tx>
            <c:strRef>
              <c:f>'Child Protection Plans'!$AK$52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Plans'!$AW$52:$BA$52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6DF8-4198-A290-8EFA9D00C255}"/>
            </c:ext>
          </c:extLst>
        </c:ser>
        <c:ser>
          <c:idx val="7"/>
          <c:order val="16"/>
          <c:tx>
            <c:strRef>
              <c:f>'Child Protection Plans'!#REF!</c:f>
              <c:strCache>
                <c:ptCount val="1"/>
                <c:pt idx="0">
                  <c:v>#REF!</c:v>
                </c:pt>
              </c:strCache>
            </c:strRef>
          </c:tx>
          <c:spPr>
            <a:ln w="12700"/>
          </c:spPr>
          <c:marker>
            <c:symbol val="triangle"/>
            <c:size val="5"/>
            <c:spPr>
              <a:solidFill>
                <a:schemeClr val="accent2">
                  <a:lumMod val="20000"/>
                  <a:lumOff val="80000"/>
                </a:schemeClr>
              </a:solidFill>
            </c:spPr>
          </c:marker>
          <c:cat>
            <c:strRef>
              <c:f>'Child Protection Plans'!$Y$2:$AC$3</c:f>
              <c:strCache>
                <c:ptCount val="5"/>
                <c:pt idx="0">
                  <c:v>2019/20</c:v>
                </c:pt>
                <c:pt idx="1">
                  <c:v>2020/21</c:v>
                </c:pt>
                <c:pt idx="2">
                  <c:v>2021/22</c:v>
                </c:pt>
                <c:pt idx="3">
                  <c:v>2022/23</c:v>
                </c:pt>
                <c:pt idx="4">
                  <c:v>2023/24</c:v>
                </c:pt>
              </c:strCache>
            </c:strRef>
          </c:cat>
          <c:val>
            <c:numRef>
              <c:f>'Child Protection Plans'!#REF!</c:f>
              <c:numCache>
                <c:formatCode>General</c:formatCode>
                <c:ptCount val="1"/>
                <c:pt idx="0">
                  <c:v>1</c:v>
                </c:pt>
              </c:numCache>
            </c:numRef>
          </c:val>
          <c:smooth val="0"/>
          <c:extLst>
            <c:ext xmlns:c16="http://schemas.microsoft.com/office/drawing/2014/chart" uri="{C3380CC4-5D6E-409C-BE32-E72D297353CC}">
              <c16:uniqueId val="{00000011-6DF8-4198-A290-8EFA9D00C255}"/>
            </c:ext>
          </c:extLst>
        </c:ser>
        <c:ser>
          <c:idx val="23"/>
          <c:order val="17"/>
          <c:tx>
            <c:strRef>
              <c:f>'Child Protection Plans'!$AK$53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Plans'!$AW$53:$BA$53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6DF8-4198-A290-8EFA9D00C255}"/>
            </c:ext>
          </c:extLst>
        </c:ser>
        <c:ser>
          <c:idx val="24"/>
          <c:order val="18"/>
          <c:tx>
            <c:strRef>
              <c:f>'Child Protection Plans'!$AK$54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Plans'!$AW$54:$BA$54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6DF8-4198-A290-8EFA9D00C255}"/>
            </c:ext>
          </c:extLst>
        </c:ser>
        <c:ser>
          <c:idx val="25"/>
          <c:order val="19"/>
          <c:tx>
            <c:strRef>
              <c:f>'Child Protection Plans'!$AK$55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Plans'!$AW$55:$BA$55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6DF8-4198-A290-8EFA9D00C255}"/>
            </c:ext>
          </c:extLst>
        </c:ser>
        <c:ser>
          <c:idx val="26"/>
          <c:order val="20"/>
          <c:tx>
            <c:strRef>
              <c:f>'Child Protection Plans'!$AK$56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Plans'!$AW$56:$BA$56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6DF8-4198-A290-8EFA9D00C255}"/>
            </c:ext>
          </c:extLst>
        </c:ser>
        <c:ser>
          <c:idx val="4"/>
          <c:order val="21"/>
          <c:tx>
            <c:strRef>
              <c:f>'Child Protection Plans'!$AK$57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Plans'!$AW$57:$BA$57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6DF8-4198-A290-8EFA9D00C255}"/>
            </c:ext>
          </c:extLst>
        </c:ser>
        <c:ser>
          <c:idx val="14"/>
          <c:order val="22"/>
          <c:tx>
            <c:strRef>
              <c:f>'Child Protection Plans'!$AK$58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'Child Protection Plans'!$Y$2:$AC$3</c:f>
              <c:strCache>
                <c:ptCount val="5"/>
                <c:pt idx="0">
                  <c:v>2019/20</c:v>
                </c:pt>
                <c:pt idx="1">
                  <c:v>2020/21</c:v>
                </c:pt>
                <c:pt idx="2">
                  <c:v>2021/22</c:v>
                </c:pt>
                <c:pt idx="3">
                  <c:v>2022/23</c:v>
                </c:pt>
                <c:pt idx="4">
                  <c:v>2023/24</c:v>
                </c:pt>
              </c:strCache>
            </c:strRef>
          </c:cat>
          <c:val>
            <c:numRef>
              <c:f>'Child Protection Plans'!$AW$58:$BA$58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6DF8-4198-A290-8EFA9D00C255}"/>
            </c:ext>
          </c:extLst>
        </c:ser>
        <c:ser>
          <c:idx val="6"/>
          <c:order val="23"/>
          <c:tx>
            <c:strRef>
              <c:f>'Child Protection Plans'!$AK$59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 Protection Plans'!$Y$2:$AC$3</c:f>
              <c:strCache>
                <c:ptCount val="5"/>
                <c:pt idx="0">
                  <c:v>2019/20</c:v>
                </c:pt>
                <c:pt idx="1">
                  <c:v>2020/21</c:v>
                </c:pt>
                <c:pt idx="2">
                  <c:v>2021/22</c:v>
                </c:pt>
                <c:pt idx="3">
                  <c:v>2022/23</c:v>
                </c:pt>
                <c:pt idx="4">
                  <c:v>2023/24</c:v>
                </c:pt>
              </c:strCache>
            </c:strRef>
          </c:cat>
          <c:val>
            <c:numRef>
              <c:f>'Child Protection Plans'!$AW$59:$BA$59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6DF8-4198-A290-8EFA9D00C255}"/>
            </c:ext>
          </c:extLst>
        </c:ser>
        <c:dLbls>
          <c:showLegendKey val="0"/>
          <c:showVal val="0"/>
          <c:showCatName val="0"/>
          <c:showSerName val="0"/>
          <c:showPercent val="0"/>
          <c:showBubbleSize val="0"/>
        </c:dLbls>
        <c:marker val="1"/>
        <c:smooth val="0"/>
        <c:axId val="586394624"/>
        <c:axId val="586408704"/>
      </c:lineChart>
      <c:catAx>
        <c:axId val="586394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408704"/>
        <c:crosses val="autoZero"/>
        <c:auto val="1"/>
        <c:lblAlgn val="ctr"/>
        <c:lblOffset val="100"/>
        <c:tickLblSkip val="1"/>
        <c:tickMarkSkip val="1"/>
        <c:noMultiLvlLbl val="0"/>
      </c:catAx>
      <c:valAx>
        <c:axId val="586408704"/>
        <c:scaling>
          <c:orientation val="minMax"/>
          <c:max val="1.02"/>
          <c:min val="0"/>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394624"/>
        <c:crosses val="autoZero"/>
        <c:crossBetween val="between"/>
      </c:valAx>
      <c:spPr>
        <a:noFill/>
        <a:ln w="3175">
          <a:solidFill>
            <a:srgbClr val="000000"/>
          </a:solidFill>
          <a:prstDash val="solid"/>
        </a:ln>
      </c:spPr>
    </c:plotArea>
    <c:legend>
      <c:legendPos val="r"/>
      <c:layout>
        <c:manualLayout>
          <c:xMode val="edge"/>
          <c:yMode val="edge"/>
          <c:x val="0.67109092691214423"/>
          <c:y val="6.4741533950671629E-2"/>
          <c:w val="0.31211251343072949"/>
          <c:h val="0.93525846604932839"/>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Children</a:t>
            </a:r>
            <a:r>
              <a:rPr lang="en-GB" sz="1100" baseline="0"/>
              <a:t> subject to </a:t>
            </a:r>
            <a:r>
              <a:rPr lang="en-GB" sz="1100"/>
              <a:t>CPP for 2+ years</a:t>
            </a:r>
          </a:p>
          <a:p>
            <a:pPr>
              <a:defRPr sz="1100" b="1" i="0" u="none" strike="noStrike" baseline="0">
                <a:solidFill>
                  <a:srgbClr val="000000"/>
                </a:solidFill>
                <a:latin typeface="Arial"/>
                <a:ea typeface="Arial"/>
                <a:cs typeface="Arial"/>
              </a:defRPr>
            </a:pPr>
            <a:r>
              <a:rPr lang="en-GB" sz="1100"/>
              <a:t>(Selected LA</a:t>
            </a:r>
            <a:r>
              <a:rPr lang="en-GB" sz="1100" baseline="0"/>
              <a:t> vs. SE &amp; National)</a:t>
            </a:r>
            <a:r>
              <a:rPr lang="en-GB" sz="1100"/>
              <a:t> </a:t>
            </a:r>
          </a:p>
        </c:rich>
      </c:tx>
      <c:layout>
        <c:manualLayout>
          <c:xMode val="edge"/>
          <c:yMode val="edge"/>
          <c:x val="0.17535692939372677"/>
          <c:y val="3.8612538702123308E-3"/>
        </c:manualLayout>
      </c:layout>
      <c:overlay val="0"/>
      <c:spPr>
        <a:noFill/>
        <a:ln w="25400">
          <a:noFill/>
        </a:ln>
      </c:spPr>
    </c:title>
    <c:autoTitleDeleted val="0"/>
    <c:plotArea>
      <c:layout>
        <c:manualLayout>
          <c:layoutTarget val="inner"/>
          <c:xMode val="edge"/>
          <c:yMode val="edge"/>
          <c:x val="9.2065954626958754E-2"/>
          <c:y val="0.22090988626421698"/>
          <c:w val="0.62957251630674882"/>
          <c:h val="0.58369373183190809"/>
        </c:manualLayout>
      </c:layout>
      <c:barChart>
        <c:barDir val="col"/>
        <c:grouping val="clustered"/>
        <c:varyColors val="0"/>
        <c:ser>
          <c:idx val="6"/>
          <c:order val="0"/>
          <c:tx>
            <c:strRef>
              <c:f>'Child Protection Plans'!$Z$4</c:f>
              <c:strCache>
                <c:ptCount val="1"/>
                <c:pt idx="0">
                  <c:v>Selected LA- (none)</c:v>
                </c:pt>
              </c:strCache>
            </c:strRef>
          </c:tx>
          <c:spPr>
            <a:solidFill>
              <a:srgbClr val="66FF99"/>
            </a:solidFill>
            <a:ln>
              <a:solidFill>
                <a:schemeClr val="tx1">
                  <a:lumMod val="75000"/>
                  <a:lumOff val="25000"/>
                </a:schemeClr>
              </a:solidFill>
            </a:ln>
          </c:spPr>
          <c:invertIfNegative val="0"/>
          <c:cat>
            <c:strRef>
              <c:f>'Child Protection Plans'!$Y$2:$AC$3</c:f>
              <c:strCache>
                <c:ptCount val="5"/>
                <c:pt idx="0">
                  <c:v>2019/20</c:v>
                </c:pt>
                <c:pt idx="1">
                  <c:v>2020/21</c:v>
                </c:pt>
                <c:pt idx="2">
                  <c:v>2021/22</c:v>
                </c:pt>
                <c:pt idx="3">
                  <c:v>2022/23</c:v>
                </c:pt>
                <c:pt idx="4">
                  <c:v>2023/24</c:v>
                </c:pt>
              </c:strCache>
            </c:strRef>
          </c:cat>
          <c:val>
            <c:numRef>
              <c:f>'Child Protection Plans'!$AR$59:$AV$59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6A29-4981-819C-72E6CE8C0497}"/>
            </c:ext>
          </c:extLst>
        </c:ser>
        <c:ser>
          <c:idx val="4"/>
          <c:order val="1"/>
          <c:tx>
            <c:strRef>
              <c:f>'Child Protection Plans'!$B$128</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 Protection Plans'!$Y$2:$AC$3</c:f>
              <c:strCache>
                <c:ptCount val="5"/>
                <c:pt idx="0">
                  <c:v>2019/20</c:v>
                </c:pt>
                <c:pt idx="1">
                  <c:v>2020/21</c:v>
                </c:pt>
                <c:pt idx="2">
                  <c:v>2021/22</c:v>
                </c:pt>
                <c:pt idx="3">
                  <c:v>2022/23</c:v>
                </c:pt>
                <c:pt idx="4">
                  <c:v>2023/24</c:v>
                </c:pt>
              </c:strCache>
            </c:strRef>
          </c:cat>
          <c:val>
            <c:numRef>
              <c:f>'Child Protection Plans'!$D$128:$H$128</c:f>
              <c:numCache>
                <c:formatCode>0%</c:formatCode>
                <c:ptCount val="5"/>
                <c:pt idx="0">
                  <c:v>2.4673081667900321E-2</c:v>
                </c:pt>
                <c:pt idx="1">
                  <c:v>2.0067728583970903E-2</c:v>
                </c:pt>
                <c:pt idx="2">
                  <c:v>2.3397285914833879E-2</c:v>
                </c:pt>
                <c:pt idx="3">
                  <c:v>2.289156626506024E-2</c:v>
                </c:pt>
                <c:pt idx="4">
                  <c:v>3.3288948069241014E-2</c:v>
                </c:pt>
              </c:numCache>
            </c:numRef>
          </c:val>
          <c:extLst>
            <c:ext xmlns:c16="http://schemas.microsoft.com/office/drawing/2014/chart" uri="{C3380CC4-5D6E-409C-BE32-E72D297353CC}">
              <c16:uniqueId val="{00000001-6A29-4981-819C-72E6CE8C0497}"/>
            </c:ext>
          </c:extLst>
        </c:ser>
        <c:ser>
          <c:idx val="0"/>
          <c:order val="2"/>
          <c:tx>
            <c:strRef>
              <c:f>'Child Protection Plans'!$B$129</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'Child Protection Plans'!$Y$2:$AC$3</c:f>
              <c:strCache>
                <c:ptCount val="5"/>
                <c:pt idx="0">
                  <c:v>2019/20</c:v>
                </c:pt>
                <c:pt idx="1">
                  <c:v>2020/21</c:v>
                </c:pt>
                <c:pt idx="2">
                  <c:v>2021/22</c:v>
                </c:pt>
                <c:pt idx="3">
                  <c:v>2022/23</c:v>
                </c:pt>
                <c:pt idx="4">
                  <c:v>2023/24</c:v>
                </c:pt>
              </c:strCache>
            </c:strRef>
          </c:cat>
          <c:val>
            <c:numRef>
              <c:f>'Child Protection Plans'!$D$129:$H$129</c:f>
              <c:numCache>
                <c:formatCode>0%</c:formatCode>
                <c:ptCount val="5"/>
                <c:pt idx="0">
                  <c:v>2.1355076684139003E-2</c:v>
                </c:pt>
                <c:pt idx="1">
                  <c:v>2.0395920815836834E-2</c:v>
                </c:pt>
                <c:pt idx="2">
                  <c:v>2.4548311076197957E-2</c:v>
                </c:pt>
                <c:pt idx="3">
                  <c:v>2.2055927530523829E-2</c:v>
                </c:pt>
                <c:pt idx="4">
                  <c:v>2.5450901803607213E-2</c:v>
                </c:pt>
              </c:numCache>
            </c:numRef>
          </c:val>
          <c:extLst>
            <c:ext xmlns:c16="http://schemas.microsoft.com/office/drawing/2014/chart" uri="{C3380CC4-5D6E-409C-BE32-E72D297353CC}">
              <c16:uniqueId val="{00000002-6A29-4981-819C-72E6CE8C0497}"/>
            </c:ext>
          </c:extLst>
        </c:ser>
        <c:dLbls>
          <c:showLegendKey val="0"/>
          <c:showVal val="0"/>
          <c:showCatName val="0"/>
          <c:showSerName val="0"/>
          <c:showPercent val="0"/>
          <c:showBubbleSize val="0"/>
        </c:dLbls>
        <c:gapWidth val="100"/>
        <c:axId val="586504064"/>
        <c:axId val="586505600"/>
      </c:barChart>
      <c:catAx>
        <c:axId val="586504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6505600"/>
        <c:crosses val="autoZero"/>
        <c:auto val="1"/>
        <c:lblAlgn val="ctr"/>
        <c:lblOffset val="100"/>
        <c:noMultiLvlLbl val="0"/>
      </c:catAx>
      <c:valAx>
        <c:axId val="586505600"/>
        <c:scaling>
          <c:orientation val="minMax"/>
          <c:min val="0"/>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6504064"/>
        <c:crosses val="autoZero"/>
        <c:crossBetween val="between"/>
      </c:valAx>
      <c:spPr>
        <a:noFill/>
        <a:ln w="3175">
          <a:solidFill>
            <a:srgbClr val="000000"/>
          </a:solidFill>
          <a:prstDash val="solid"/>
        </a:ln>
      </c:spPr>
    </c:plotArea>
    <c:legend>
      <c:legendPos val="r"/>
      <c:layout>
        <c:manualLayout>
          <c:xMode val="edge"/>
          <c:yMode val="edge"/>
          <c:x val="0.73133598399209998"/>
          <c:y val="0.25120279126785799"/>
          <c:w val="0.26866401600790002"/>
          <c:h val="0.63507127477328806"/>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Children subject to a CP Plan at 31st March who had  been subject to a Plan</a:t>
            </a:r>
            <a:r>
              <a:rPr lang="en-GB" sz="1100" baseline="0"/>
              <a:t> for 2 years or longer</a:t>
            </a:r>
            <a:endParaRPr lang="en-GB" sz="1100"/>
          </a:p>
        </c:rich>
      </c:tx>
      <c:layout>
        <c:manualLayout>
          <c:xMode val="edge"/>
          <c:yMode val="edge"/>
          <c:x val="0.10231045966504695"/>
          <c:y val="8.2113573768678987E-3"/>
        </c:manualLayout>
      </c:layout>
      <c:overlay val="0"/>
      <c:spPr>
        <a:noFill/>
        <a:ln w="25400">
          <a:noFill/>
        </a:ln>
      </c:spPr>
    </c:title>
    <c:autoTitleDeleted val="0"/>
    <c:plotArea>
      <c:layout>
        <c:manualLayout>
          <c:layoutTarget val="inner"/>
          <c:xMode val="edge"/>
          <c:yMode val="edge"/>
          <c:x val="8.9669774541780586E-2"/>
          <c:y val="7.3549410974790952E-2"/>
          <c:w val="0.56110599382624338"/>
          <c:h val="0.86579581299760788"/>
        </c:manualLayout>
      </c:layout>
      <c:lineChart>
        <c:grouping val="standard"/>
        <c:varyColors val="0"/>
        <c:ser>
          <c:idx val="0"/>
          <c:order val="0"/>
          <c:tx>
            <c:strRef>
              <c:f>'Child Protection Plans'!$AK$38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EE4C-4845-BF79-E3A3E4A956A9}"/>
              </c:ext>
            </c:extLst>
          </c:dPt>
          <c:cat>
            <c:strRef>
              <c:f>'Child Protection Plans'!$Y$2:$AC$3</c:f>
              <c:strCache>
                <c:ptCount val="5"/>
                <c:pt idx="0">
                  <c:v>2019/20</c:v>
                </c:pt>
                <c:pt idx="1">
                  <c:v>2020/21</c:v>
                </c:pt>
                <c:pt idx="2">
                  <c:v>2021/22</c:v>
                </c:pt>
                <c:pt idx="3">
                  <c:v>2022/23</c:v>
                </c:pt>
                <c:pt idx="4">
                  <c:v>2023/24</c:v>
                </c:pt>
              </c:strCache>
            </c:strRef>
          </c:cat>
          <c:val>
            <c:numRef>
              <c:f>'Child Protection Plans'!$AR$38:$AV$38</c:f>
              <c:numCache>
                <c:formatCode>0.0%</c:formatCode>
                <c:ptCount val="5"/>
                <c:pt idx="0">
                  <c:v>8.1967213114754103E-3</c:v>
                </c:pt>
                <c:pt idx="1">
                  <c:v>#N/A</c:v>
                </c:pt>
                <c:pt idx="2">
                  <c:v>#N/A</c:v>
                </c:pt>
                <c:pt idx="3">
                  <c:v>#N/A</c:v>
                </c:pt>
                <c:pt idx="4">
                  <c:v>6.25E-2</c:v>
                </c:pt>
              </c:numCache>
            </c:numRef>
          </c:val>
          <c:smooth val="0"/>
          <c:extLst>
            <c:ext xmlns:c16="http://schemas.microsoft.com/office/drawing/2014/chart" uri="{C3380CC4-5D6E-409C-BE32-E72D297353CC}">
              <c16:uniqueId val="{00000001-EE4C-4845-BF79-E3A3E4A956A9}"/>
            </c:ext>
          </c:extLst>
        </c:ser>
        <c:ser>
          <c:idx val="1"/>
          <c:order val="1"/>
          <c:tx>
            <c:strRef>
              <c:f>'Child Protection Plans'!$AK$39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Plans'!$AR$39:$AV$39</c:f>
              <c:numCache>
                <c:formatCode>0.0%</c:formatCode>
                <c:ptCount val="5"/>
                <c:pt idx="0">
                  <c:v>3.2835820895522387E-2</c:v>
                </c:pt>
                <c:pt idx="1">
                  <c:v>4.3956043956043959E-2</c:v>
                </c:pt>
                <c:pt idx="2">
                  <c:v>5.3380782918149468E-2</c:v>
                </c:pt>
                <c:pt idx="3">
                  <c:v>3.1578947368421054E-2</c:v>
                </c:pt>
                <c:pt idx="4">
                  <c:v>#N/A</c:v>
                </c:pt>
              </c:numCache>
            </c:numRef>
          </c:val>
          <c:smooth val="0"/>
          <c:extLst>
            <c:ext xmlns:c16="http://schemas.microsoft.com/office/drawing/2014/chart" uri="{C3380CC4-5D6E-409C-BE32-E72D297353CC}">
              <c16:uniqueId val="{00000002-EE4C-4845-BF79-E3A3E4A956A9}"/>
            </c:ext>
          </c:extLst>
        </c:ser>
        <c:ser>
          <c:idx val="2"/>
          <c:order val="2"/>
          <c:tx>
            <c:strRef>
              <c:f>'Child Protection Plans'!$AK$40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Plans'!$AR$40:$AV$40</c:f>
              <c:numCache>
                <c:formatCode>0.0%</c:formatCode>
                <c:ptCount val="5"/>
                <c:pt idx="0">
                  <c:v>2.9565217391304348E-2</c:v>
                </c:pt>
                <c:pt idx="1">
                  <c:v>1.5444015444015444E-2</c:v>
                </c:pt>
                <c:pt idx="2">
                  <c:v>2.1276595744680851E-2</c:v>
                </c:pt>
                <c:pt idx="3">
                  <c:v>1.7307692307692309E-2</c:v>
                </c:pt>
                <c:pt idx="4">
                  <c:v>6.5116279069767441E-2</c:v>
                </c:pt>
              </c:numCache>
            </c:numRef>
          </c:val>
          <c:smooth val="0"/>
          <c:extLst>
            <c:ext xmlns:c16="http://schemas.microsoft.com/office/drawing/2014/chart" uri="{C3380CC4-5D6E-409C-BE32-E72D297353CC}">
              <c16:uniqueId val="{00000003-EE4C-4845-BF79-E3A3E4A956A9}"/>
            </c:ext>
          </c:extLst>
        </c:ser>
        <c:ser>
          <c:idx val="5"/>
          <c:order val="3"/>
          <c:tx>
            <c:strRef>
              <c:f>'Child Protection Plans'!$AK$41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Plans'!$AR$41:$AV$41</c:f>
              <c:numCache>
                <c:formatCode>0.0%</c:formatCode>
                <c:ptCount val="5"/>
                <c:pt idx="0">
                  <c:v>3.9179104477611942E-2</c:v>
                </c:pt>
                <c:pt idx="1">
                  <c:v>3.8167938931297711E-2</c:v>
                </c:pt>
                <c:pt idx="2">
                  <c:v>4.49438202247191E-2</c:v>
                </c:pt>
                <c:pt idx="3">
                  <c:v>5.128205128205128E-2</c:v>
                </c:pt>
                <c:pt idx="4">
                  <c:v>7.8832116788321166E-2</c:v>
                </c:pt>
              </c:numCache>
            </c:numRef>
          </c:val>
          <c:smooth val="0"/>
          <c:extLst>
            <c:ext xmlns:c16="http://schemas.microsoft.com/office/drawing/2014/chart" uri="{C3380CC4-5D6E-409C-BE32-E72D297353CC}">
              <c16:uniqueId val="{00000004-EE4C-4845-BF79-E3A3E4A956A9}"/>
            </c:ext>
          </c:extLst>
        </c:ser>
        <c:ser>
          <c:idx val="9"/>
          <c:order val="4"/>
          <c:tx>
            <c:strRef>
              <c:f>'Child Protection Plans'!$AK$42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Plans'!$AR$42:$AV$42</c:f>
              <c:numCache>
                <c:formatCode>0.0%</c:formatCode>
                <c:ptCount val="5"/>
                <c:pt idx="0">
                  <c:v>1.5991471215351813E-2</c:v>
                </c:pt>
                <c:pt idx="1">
                  <c:v>7.0000000000000001E-3</c:v>
                </c:pt>
                <c:pt idx="2">
                  <c:v>1.5625E-2</c:v>
                </c:pt>
                <c:pt idx="3">
                  <c:v>1.9120458891013385E-2</c:v>
                </c:pt>
                <c:pt idx="4">
                  <c:v>#N/A</c:v>
                </c:pt>
              </c:numCache>
            </c:numRef>
          </c:val>
          <c:smooth val="0"/>
          <c:extLst>
            <c:ext xmlns:c16="http://schemas.microsoft.com/office/drawing/2014/chart" uri="{C3380CC4-5D6E-409C-BE32-E72D297353CC}">
              <c16:uniqueId val="{00000005-EE4C-4845-BF79-E3A3E4A956A9}"/>
            </c:ext>
          </c:extLst>
        </c:ser>
        <c:ser>
          <c:idx val="10"/>
          <c:order val="5"/>
          <c:tx>
            <c:strRef>
              <c:f>'Child Protection Plans'!$AK$43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Plans'!$AR$43:$AV$43</c:f>
              <c:numCache>
                <c:formatCode>0.0%</c:formatCode>
                <c:ptCount val="5"/>
                <c:pt idx="0">
                  <c:v>1.5873015873015872E-2</c:v>
                </c:pt>
                <c:pt idx="1">
                  <c:v>#N/A</c:v>
                </c:pt>
                <c:pt idx="2">
                  <c:v>0</c:v>
                </c:pt>
                <c:pt idx="3">
                  <c:v>#N/A</c:v>
                </c:pt>
                <c:pt idx="4">
                  <c:v>0</c:v>
                </c:pt>
              </c:numCache>
            </c:numRef>
          </c:val>
          <c:smooth val="0"/>
          <c:extLst>
            <c:ext xmlns:c16="http://schemas.microsoft.com/office/drawing/2014/chart" uri="{C3380CC4-5D6E-409C-BE32-E72D297353CC}">
              <c16:uniqueId val="{00000006-EE4C-4845-BF79-E3A3E4A956A9}"/>
            </c:ext>
          </c:extLst>
        </c:ser>
        <c:ser>
          <c:idx val="11"/>
          <c:order val="6"/>
          <c:tx>
            <c:strRef>
              <c:f>'Child Protection Plans'!$AK$44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Plans'!$AR$44:$AV$44</c:f>
              <c:numCache>
                <c:formatCode>0.0%</c:formatCode>
                <c:ptCount val="5"/>
                <c:pt idx="0">
                  <c:v>2.6276276276276277E-2</c:v>
                </c:pt>
                <c:pt idx="1">
                  <c:v>2.5252525252525252E-2</c:v>
                </c:pt>
                <c:pt idx="2">
                  <c:v>2.3885350318471339E-2</c:v>
                </c:pt>
                <c:pt idx="3">
                  <c:v>2.8507126781695424E-2</c:v>
                </c:pt>
                <c:pt idx="4">
                  <c:v>1.8992568125516102E-2</c:v>
                </c:pt>
              </c:numCache>
            </c:numRef>
          </c:val>
          <c:smooth val="0"/>
          <c:extLst>
            <c:ext xmlns:c16="http://schemas.microsoft.com/office/drawing/2014/chart" uri="{C3380CC4-5D6E-409C-BE32-E72D297353CC}">
              <c16:uniqueId val="{00000007-EE4C-4845-BF79-E3A3E4A956A9}"/>
            </c:ext>
          </c:extLst>
        </c:ser>
        <c:ser>
          <c:idx val="12"/>
          <c:order val="7"/>
          <c:tx>
            <c:strRef>
              <c:f>'Child Protection Plans'!$AK$45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Plans'!$AR$45:$AV$45</c:f>
              <c:numCache>
                <c:formatCode>0.0%</c:formatCode>
                <c:ptCount val="5"/>
                <c:pt idx="0">
                  <c:v>1.9438444924406047E-2</c:v>
                </c:pt>
                <c:pt idx="1">
                  <c:v>#N/A</c:v>
                </c:pt>
                <c:pt idx="2">
                  <c:v>#N/A</c:v>
                </c:pt>
                <c:pt idx="3">
                  <c:v>#N/A</c:v>
                </c:pt>
                <c:pt idx="4">
                  <c:v>#N/A</c:v>
                </c:pt>
              </c:numCache>
            </c:numRef>
          </c:val>
          <c:smooth val="0"/>
          <c:extLst>
            <c:ext xmlns:c16="http://schemas.microsoft.com/office/drawing/2014/chart" uri="{C3380CC4-5D6E-409C-BE32-E72D297353CC}">
              <c16:uniqueId val="{00000008-EE4C-4845-BF79-E3A3E4A956A9}"/>
            </c:ext>
          </c:extLst>
        </c:ser>
        <c:ser>
          <c:idx val="13"/>
          <c:order val="8"/>
          <c:tx>
            <c:strRef>
              <c:f>'Child Protection Plans'!$AK$46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Plans'!$AR$46:$AV$46</c:f>
              <c:numCache>
                <c:formatCode>0.0%</c:formatCode>
                <c:ptCount val="5"/>
                <c:pt idx="0">
                  <c:v>#N/A</c:v>
                </c:pt>
                <c:pt idx="1">
                  <c:v>0</c:v>
                </c:pt>
                <c:pt idx="2">
                  <c:v>#N/A</c:v>
                </c:pt>
                <c:pt idx="3">
                  <c:v>#N/A</c:v>
                </c:pt>
                <c:pt idx="4">
                  <c:v>#N/A</c:v>
                </c:pt>
              </c:numCache>
            </c:numRef>
          </c:val>
          <c:smooth val="0"/>
          <c:extLst>
            <c:ext xmlns:c16="http://schemas.microsoft.com/office/drawing/2014/chart" uri="{C3380CC4-5D6E-409C-BE32-E72D297353CC}">
              <c16:uniqueId val="{00000009-EE4C-4845-BF79-E3A3E4A956A9}"/>
            </c:ext>
          </c:extLst>
        </c:ser>
        <c:ser>
          <c:idx val="15"/>
          <c:order val="9"/>
          <c:tx>
            <c:strRef>
              <c:f>'Child Protection Plans'!$AK$47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Plans'!$AR$47:$AV$47</c:f>
              <c:numCache>
                <c:formatCode>0.0%</c:formatCode>
                <c:ptCount val="5"/>
                <c:pt idx="0">
                  <c:v>3.4990791896869246E-2</c:v>
                </c:pt>
                <c:pt idx="1">
                  <c:v>2.2172949002217297E-2</c:v>
                </c:pt>
                <c:pt idx="2">
                  <c:v>2.6833631484794274E-2</c:v>
                </c:pt>
                <c:pt idx="3">
                  <c:v>#N/A</c:v>
                </c:pt>
                <c:pt idx="4">
                  <c:v>2.4436090225563908E-2</c:v>
                </c:pt>
              </c:numCache>
            </c:numRef>
          </c:val>
          <c:smooth val="0"/>
          <c:extLst>
            <c:ext xmlns:c16="http://schemas.microsoft.com/office/drawing/2014/chart" uri="{C3380CC4-5D6E-409C-BE32-E72D297353CC}">
              <c16:uniqueId val="{0000000A-EE4C-4845-BF79-E3A3E4A956A9}"/>
            </c:ext>
          </c:extLst>
        </c:ser>
        <c:ser>
          <c:idx val="16"/>
          <c:order val="10"/>
          <c:tx>
            <c:strRef>
              <c:f>'Child Protection Plans'!$AK$48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Plans'!$AR$48:$AV$48</c:f>
              <c:numCache>
                <c:formatCode>0.0%</c:formatCode>
                <c:ptCount val="5"/>
                <c:pt idx="0">
                  <c:v>3.4482758620689655E-2</c:v>
                </c:pt>
                <c:pt idx="1">
                  <c:v>#N/A</c:v>
                </c:pt>
                <c:pt idx="2">
                  <c:v>2.6666666666666668E-2</c:v>
                </c:pt>
                <c:pt idx="3">
                  <c:v>5.113636363636364E-2</c:v>
                </c:pt>
                <c:pt idx="4">
                  <c:v>#N/A</c:v>
                </c:pt>
              </c:numCache>
            </c:numRef>
          </c:val>
          <c:smooth val="0"/>
          <c:extLst>
            <c:ext xmlns:c16="http://schemas.microsoft.com/office/drawing/2014/chart" uri="{C3380CC4-5D6E-409C-BE32-E72D297353CC}">
              <c16:uniqueId val="{0000000B-EE4C-4845-BF79-E3A3E4A956A9}"/>
            </c:ext>
          </c:extLst>
        </c:ser>
        <c:ser>
          <c:idx val="17"/>
          <c:order val="11"/>
          <c:tx>
            <c:strRef>
              <c:f>'Child Protection Plans'!$AK$49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Plans'!$AR$49:$AV$49</c:f>
              <c:numCache>
                <c:formatCode>0.0%</c:formatCode>
                <c:ptCount val="5"/>
                <c:pt idx="0">
                  <c:v>4.0178571428571432E-2</c:v>
                </c:pt>
                <c:pt idx="1">
                  <c:v>#N/A</c:v>
                </c:pt>
                <c:pt idx="2">
                  <c:v>#N/A</c:v>
                </c:pt>
                <c:pt idx="3">
                  <c:v>#N/A</c:v>
                </c:pt>
                <c:pt idx="4">
                  <c:v>3.8297872340425532E-2</c:v>
                </c:pt>
              </c:numCache>
            </c:numRef>
          </c:val>
          <c:smooth val="0"/>
          <c:extLst>
            <c:ext xmlns:c16="http://schemas.microsoft.com/office/drawing/2014/chart" uri="{C3380CC4-5D6E-409C-BE32-E72D297353CC}">
              <c16:uniqueId val="{0000000C-EE4C-4845-BF79-E3A3E4A956A9}"/>
            </c:ext>
          </c:extLst>
        </c:ser>
        <c:ser>
          <c:idx val="19"/>
          <c:order val="12"/>
          <c:tx>
            <c:strRef>
              <c:f>'Child Protection Plans'!$AK$50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Plans'!$AR$50:$AV$50</c:f>
              <c:numCache>
                <c:formatCode>0.0%</c:formatCode>
                <c:ptCount val="5"/>
                <c:pt idx="0">
                  <c:v>1.6611295681063124E-2</c:v>
                </c:pt>
                <c:pt idx="1">
                  <c:v>#N/A</c:v>
                </c:pt>
                <c:pt idx="2">
                  <c:v>#N/A</c:v>
                </c:pt>
                <c:pt idx="3">
                  <c:v>#N/A</c:v>
                </c:pt>
                <c:pt idx="4">
                  <c:v>#N/A</c:v>
                </c:pt>
              </c:numCache>
            </c:numRef>
          </c:val>
          <c:smooth val="0"/>
          <c:extLst>
            <c:ext xmlns:c16="http://schemas.microsoft.com/office/drawing/2014/chart" uri="{C3380CC4-5D6E-409C-BE32-E72D297353CC}">
              <c16:uniqueId val="{0000000D-EE4C-4845-BF79-E3A3E4A956A9}"/>
            </c:ext>
          </c:extLst>
        </c:ser>
        <c:ser>
          <c:idx val="20"/>
          <c:order val="13"/>
          <c:tx>
            <c:strRef>
              <c:f>'Child Protection Plans'!$AK$51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Plans'!$AR$51:$AV$51</c:f>
              <c:numCache>
                <c:formatCode>0.0%</c:formatCode>
                <c:ptCount val="5"/>
                <c:pt idx="0">
                  <c:v>1.7676767676767676E-2</c:v>
                </c:pt>
                <c:pt idx="1">
                  <c:v>#N/A</c:v>
                </c:pt>
                <c:pt idx="2">
                  <c:v>0</c:v>
                </c:pt>
                <c:pt idx="3">
                  <c:v>1.9047619047619049E-2</c:v>
                </c:pt>
                <c:pt idx="4">
                  <c:v>3.9855072463768113E-2</c:v>
                </c:pt>
              </c:numCache>
            </c:numRef>
          </c:val>
          <c:smooth val="0"/>
          <c:extLst>
            <c:ext xmlns:c16="http://schemas.microsoft.com/office/drawing/2014/chart" uri="{C3380CC4-5D6E-409C-BE32-E72D297353CC}">
              <c16:uniqueId val="{0000000F-EE4C-4845-BF79-E3A3E4A956A9}"/>
            </c:ext>
          </c:extLst>
        </c:ser>
        <c:ser>
          <c:idx val="22"/>
          <c:order val="14"/>
          <c:tx>
            <c:strRef>
              <c:f>'Child Protection Plans'!$AK$52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Plans'!$AR$52:$AV$52</c:f>
              <c:numCache>
                <c:formatCode>0.0%</c:formatCode>
                <c:ptCount val="5"/>
                <c:pt idx="0">
                  <c:v>2.9197080291970802E-2</c:v>
                </c:pt>
                <c:pt idx="1">
                  <c:v>3.3557046979865772E-2</c:v>
                </c:pt>
                <c:pt idx="2">
                  <c:v>3.6926147704590816E-2</c:v>
                </c:pt>
                <c:pt idx="3">
                  <c:v>4.2580645161290322E-2</c:v>
                </c:pt>
                <c:pt idx="4">
                  <c:v>6.3903281519861826E-2</c:v>
                </c:pt>
              </c:numCache>
            </c:numRef>
          </c:val>
          <c:smooth val="0"/>
          <c:extLst>
            <c:ext xmlns:c16="http://schemas.microsoft.com/office/drawing/2014/chart" uri="{C3380CC4-5D6E-409C-BE32-E72D297353CC}">
              <c16:uniqueId val="{00000010-EE4C-4845-BF79-E3A3E4A956A9}"/>
            </c:ext>
          </c:extLst>
        </c:ser>
        <c:ser>
          <c:idx val="23"/>
          <c:order val="15"/>
          <c:tx>
            <c:strRef>
              <c:f>'Child Protection Plans'!$AK$53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Plans'!$AR$53:$AV$53</c:f>
              <c:numCache>
                <c:formatCode>0.0%</c:formatCode>
                <c:ptCount val="5"/>
                <c:pt idx="0">
                  <c:v>9.433962264150943E-3</c:v>
                </c:pt>
                <c:pt idx="1">
                  <c:v>0</c:v>
                </c:pt>
                <c:pt idx="2">
                  <c:v>#N/A</c:v>
                </c:pt>
                <c:pt idx="3">
                  <c:v>3.1791907514450865E-2</c:v>
                </c:pt>
                <c:pt idx="4">
                  <c:v>5.7591623036649213E-2</c:v>
                </c:pt>
              </c:numCache>
            </c:numRef>
          </c:val>
          <c:smooth val="0"/>
          <c:extLst>
            <c:ext xmlns:c16="http://schemas.microsoft.com/office/drawing/2014/chart" uri="{C3380CC4-5D6E-409C-BE32-E72D297353CC}">
              <c16:uniqueId val="{00000013-EE4C-4845-BF79-E3A3E4A956A9}"/>
            </c:ext>
          </c:extLst>
        </c:ser>
        <c:ser>
          <c:idx val="24"/>
          <c:order val="16"/>
          <c:tx>
            <c:strRef>
              <c:f>'Child Protection Plans'!$AK$54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Plans'!$AR$54:$AV$54</c:f>
              <c:numCache>
                <c:formatCode>0.0%</c:formatCode>
                <c:ptCount val="5"/>
                <c:pt idx="0">
                  <c:v>9.8039215686274508E-3</c:v>
                </c:pt>
                <c:pt idx="1">
                  <c:v>9.433962264150943E-3</c:v>
                </c:pt>
                <c:pt idx="2">
                  <c:v>1.5873015873015872E-2</c:v>
                </c:pt>
                <c:pt idx="3">
                  <c:v>7.9470198675496689E-3</c:v>
                </c:pt>
                <c:pt idx="4">
                  <c:v>2.0186335403726708E-2</c:v>
                </c:pt>
              </c:numCache>
            </c:numRef>
          </c:val>
          <c:smooth val="0"/>
          <c:extLst>
            <c:ext xmlns:c16="http://schemas.microsoft.com/office/drawing/2014/chart" uri="{C3380CC4-5D6E-409C-BE32-E72D297353CC}">
              <c16:uniqueId val="{00000014-EE4C-4845-BF79-E3A3E4A956A9}"/>
            </c:ext>
          </c:extLst>
        </c:ser>
        <c:ser>
          <c:idx val="25"/>
          <c:order val="17"/>
          <c:tx>
            <c:strRef>
              <c:f>'Child Protection Plans'!$AK$55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Plans'!$AR$55:$AV$55</c:f>
              <c:numCache>
                <c:formatCode>0.0%</c:formatCode>
                <c:ptCount val="5"/>
                <c:pt idx="0">
                  <c:v>3.0534351145038167E-2</c:v>
                </c:pt>
                <c:pt idx="1">
                  <c:v>0</c:v>
                </c:pt>
                <c:pt idx="2">
                  <c:v>#N/A</c:v>
                </c:pt>
                <c:pt idx="3">
                  <c:v>0</c:v>
                </c:pt>
                <c:pt idx="4">
                  <c:v>6.0606060606060608E-2</c:v>
                </c:pt>
              </c:numCache>
            </c:numRef>
          </c:val>
          <c:smooth val="0"/>
          <c:extLst>
            <c:ext xmlns:c16="http://schemas.microsoft.com/office/drawing/2014/chart" uri="{C3380CC4-5D6E-409C-BE32-E72D297353CC}">
              <c16:uniqueId val="{00000015-EE4C-4845-BF79-E3A3E4A956A9}"/>
            </c:ext>
          </c:extLst>
        </c:ser>
        <c:ser>
          <c:idx val="26"/>
          <c:order val="18"/>
          <c:tx>
            <c:strRef>
              <c:f>'Child Protection Plans'!$AK$56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Plans'!$AR$56:$AV$56</c:f>
              <c:numCache>
                <c:formatCode>0.0%</c:formatCode>
                <c:ptCount val="5"/>
                <c:pt idx="0">
                  <c:v>0</c:v>
                </c:pt>
                <c:pt idx="1">
                  <c:v>6.0402684563758392E-2</c:v>
                </c:pt>
                <c:pt idx="2">
                  <c:v>3.7267080745341616E-2</c:v>
                </c:pt>
                <c:pt idx="3">
                  <c:v>#N/A</c:v>
                </c:pt>
                <c:pt idx="4">
                  <c:v>#N/A</c:v>
                </c:pt>
              </c:numCache>
            </c:numRef>
          </c:val>
          <c:smooth val="0"/>
          <c:extLst>
            <c:ext xmlns:c16="http://schemas.microsoft.com/office/drawing/2014/chart" uri="{C3380CC4-5D6E-409C-BE32-E72D297353CC}">
              <c16:uniqueId val="{00000016-EE4C-4845-BF79-E3A3E4A956A9}"/>
            </c:ext>
          </c:extLst>
        </c:ser>
        <c:ser>
          <c:idx val="4"/>
          <c:order val="19"/>
          <c:tx>
            <c:strRef>
              <c:f>'Child Protection Plans'!$AK$57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 Protection Plans'!$Y$2:$AC$3</c:f>
              <c:strCache>
                <c:ptCount val="5"/>
                <c:pt idx="0">
                  <c:v>2019/20</c:v>
                </c:pt>
                <c:pt idx="1">
                  <c:v>2020/21</c:v>
                </c:pt>
                <c:pt idx="2">
                  <c:v>2021/22</c:v>
                </c:pt>
                <c:pt idx="3">
                  <c:v>2022/23</c:v>
                </c:pt>
                <c:pt idx="4">
                  <c:v>2023/24</c:v>
                </c:pt>
              </c:strCache>
            </c:strRef>
          </c:cat>
          <c:val>
            <c:numRef>
              <c:f>'Child Protection Plans'!$AR$57:$AV$57</c:f>
              <c:numCache>
                <c:formatCode>0.0%</c:formatCode>
                <c:ptCount val="5"/>
                <c:pt idx="0">
                  <c:v>2.4673081667900321E-2</c:v>
                </c:pt>
                <c:pt idx="1">
                  <c:v>2.0067728583970903E-2</c:v>
                </c:pt>
                <c:pt idx="2">
                  <c:v>2.3397285914833879E-2</c:v>
                </c:pt>
                <c:pt idx="3">
                  <c:v>2.289156626506024E-2</c:v>
                </c:pt>
                <c:pt idx="4">
                  <c:v>3.3288948069241014E-2</c:v>
                </c:pt>
              </c:numCache>
            </c:numRef>
          </c:val>
          <c:smooth val="0"/>
          <c:extLst>
            <c:ext xmlns:c16="http://schemas.microsoft.com/office/drawing/2014/chart" uri="{C3380CC4-5D6E-409C-BE32-E72D297353CC}">
              <c16:uniqueId val="{00000017-EE4C-4845-BF79-E3A3E4A956A9}"/>
            </c:ext>
          </c:extLst>
        </c:ser>
        <c:ser>
          <c:idx val="14"/>
          <c:order val="20"/>
          <c:tx>
            <c:strRef>
              <c:f>'Child Protection Plans'!$AK$58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'Child Protection Plans'!$Y$2:$AC$3</c:f>
              <c:strCache>
                <c:ptCount val="5"/>
                <c:pt idx="0">
                  <c:v>2019/20</c:v>
                </c:pt>
                <c:pt idx="1">
                  <c:v>2020/21</c:v>
                </c:pt>
                <c:pt idx="2">
                  <c:v>2021/22</c:v>
                </c:pt>
                <c:pt idx="3">
                  <c:v>2022/23</c:v>
                </c:pt>
                <c:pt idx="4">
                  <c:v>2023/24</c:v>
                </c:pt>
              </c:strCache>
            </c:strRef>
          </c:cat>
          <c:val>
            <c:numRef>
              <c:f>'Child Protection Plans'!$AR$58:$AV$58</c:f>
              <c:numCache>
                <c:formatCode>0.0%</c:formatCode>
                <c:ptCount val="5"/>
                <c:pt idx="0">
                  <c:v>2.1355076684139003E-2</c:v>
                </c:pt>
                <c:pt idx="1">
                  <c:v>2.0395920815836834E-2</c:v>
                </c:pt>
                <c:pt idx="2">
                  <c:v>2.4548311076197957E-2</c:v>
                </c:pt>
                <c:pt idx="3">
                  <c:v>2.2055927530523829E-2</c:v>
                </c:pt>
                <c:pt idx="4">
                  <c:v>2.5450901803607213E-2</c:v>
                </c:pt>
              </c:numCache>
            </c:numRef>
          </c:val>
          <c:smooth val="0"/>
          <c:extLst>
            <c:ext xmlns:c16="http://schemas.microsoft.com/office/drawing/2014/chart" uri="{C3380CC4-5D6E-409C-BE32-E72D297353CC}">
              <c16:uniqueId val="{00000018-EE4C-4845-BF79-E3A3E4A956A9}"/>
            </c:ext>
          </c:extLst>
        </c:ser>
        <c:ser>
          <c:idx val="6"/>
          <c:order val="21"/>
          <c:tx>
            <c:strRef>
              <c:f>'Child Protection Plans'!$AK$59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 Protection Plans'!$Y$2:$AC$3</c:f>
              <c:strCache>
                <c:ptCount val="5"/>
                <c:pt idx="0">
                  <c:v>2019/20</c:v>
                </c:pt>
                <c:pt idx="1">
                  <c:v>2020/21</c:v>
                </c:pt>
                <c:pt idx="2">
                  <c:v>2021/22</c:v>
                </c:pt>
                <c:pt idx="3">
                  <c:v>2022/23</c:v>
                </c:pt>
                <c:pt idx="4">
                  <c:v>2023/24</c:v>
                </c:pt>
              </c:strCache>
            </c:strRef>
          </c:cat>
          <c:val>
            <c:numRef>
              <c:f>'Child Protection Plans'!$AR$59:$AV$59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EE4C-4845-BF79-E3A3E4A956A9}"/>
            </c:ext>
          </c:extLst>
        </c:ser>
        <c:dLbls>
          <c:showLegendKey val="0"/>
          <c:showVal val="0"/>
          <c:showCatName val="0"/>
          <c:showSerName val="0"/>
          <c:showPercent val="0"/>
          <c:showBubbleSize val="0"/>
        </c:dLbls>
        <c:marker val="1"/>
        <c:smooth val="0"/>
        <c:axId val="586770688"/>
        <c:axId val="586789248"/>
      </c:lineChart>
      <c:catAx>
        <c:axId val="586770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6789248"/>
        <c:crosses val="autoZero"/>
        <c:auto val="1"/>
        <c:lblAlgn val="ctr"/>
        <c:lblOffset val="100"/>
        <c:tickLblSkip val="1"/>
        <c:tickMarkSkip val="1"/>
        <c:noMultiLvlLbl val="0"/>
      </c:catAx>
      <c:valAx>
        <c:axId val="5867892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6770688"/>
        <c:crosses val="autoZero"/>
        <c:crossBetween val="between"/>
      </c:valAx>
      <c:spPr>
        <a:noFill/>
        <a:ln w="3175">
          <a:solidFill>
            <a:srgbClr val="000000"/>
          </a:solidFill>
          <a:prstDash val="solid"/>
        </a:ln>
      </c:spPr>
    </c:plotArea>
    <c:legend>
      <c:legendPos val="r"/>
      <c:layout>
        <c:manualLayout>
          <c:xMode val="edge"/>
          <c:yMode val="edge"/>
          <c:x val="0.6599098697568464"/>
          <c:y val="6.4741533950671629E-2"/>
          <c:w val="0.33167929480513048"/>
          <c:h val="0.9352584660493283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Child Protection Plans vs. IDACI</a:t>
            </a:r>
          </a:p>
        </c:rich>
      </c:tx>
      <c:layout>
        <c:manualLayout>
          <c:xMode val="edge"/>
          <c:yMode val="edge"/>
          <c:x val="0.19971981066469252"/>
          <c:y val="3.3109345494709091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'Child Protection Plans'!$AQ$35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7624-48D0-8DF4-2015AA6FF7BF}"/>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{53AE724E-9EDD-43C7-BEBF-C84D2C2270AB}</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7624-48D0-8DF4-2015AA6FF7BF}"/>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{71A0FDF9-EE60-4BB6-8966-1A59753BEC64}</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7624-48D0-8DF4-2015AA6FF7BF}"/>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{43F3A888-F862-49FA-A6E5-059EF32711AB}</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7624-48D0-8DF4-2015AA6FF7BF}"/>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{DA73896C-914D-406D-A90D-2B0970316CA7}</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7624-48D0-8DF4-2015AA6FF7BF}"/>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{85A2A435-5935-44CB-BCB9-3362353D8A56}</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5-7624-48D0-8DF4-2015AA6FF7BF}"/>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{FF9FDB78-D1BF-4E42-99FF-0B95AB0D09CC}</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7624-48D0-8DF4-2015AA6FF7BF}"/>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{66C0951E-C47C-4D75-9AD4-6683E3AD2E8D}</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7-7624-48D0-8DF4-2015AA6FF7BF}"/>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{19CEAA28-034A-4640-BC5F-437706C6204D}</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8-7624-48D0-8DF4-2015AA6FF7BF}"/>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{12A2DD13-326E-467B-A1BF-9ED335EF555A}</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7624-48D0-8DF4-2015AA6FF7BF}"/>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{48E7A090-189B-4196-A5F4-4CC7716CC88C}</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7624-48D0-8DF4-2015AA6FF7BF}"/>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{8607F617-541B-4B3E-96ED-32AD2D76B452}</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7624-48D0-8DF4-2015AA6FF7BF}"/>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{20640B92-0697-41AD-884D-3CE34458741D}</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C-7624-48D0-8DF4-2015AA6FF7BF}"/>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{5B628279-15AA-4525-A7C8-DA7A7D045CC7}</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0D-7624-48D0-8DF4-2015AA6FF7BF}"/>
                </c:ext>
              </c:extLst>
            </c:dLbl>
            <c:dLbl>
              <c:idx val="13"/>
              <c:tx>
                <c:strRef>
                  <c:f>ReportData!$K$17</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{B1ABB1CB-ED73-41C5-89EA-8FE045BC7684}</c15:txfldGUID>
                      <c15:f>ReportData!$K$17</c15:f>
                      <c15:dlblFieldTableCache>
                        <c:ptCount val="1"/>
                        <c:pt idx="0">
                          <c:v>Southampton</c:v>
                        </c:pt>
                      </c15:dlblFieldTableCache>
                    </c15:dlblFTEntry>
                  </c15:dlblFieldTable>
                  <c15:showDataLabelsRange val="0"/>
                </c:ext>
                <c:ext xmlns:c16="http://schemas.microsoft.com/office/drawing/2014/chart" uri="{C3380CC4-5D6E-409C-BE32-E72D297353CC}">
                  <c16:uniqueId val="{0000000E-7624-48D0-8DF4-2015AA6FF7BF}"/>
                </c:ext>
              </c:extLst>
            </c:dLbl>
            <c:dLbl>
              <c:idx val="14"/>
              <c:tx>
                <c:strRef>
                  <c:f>ReportData!$K$18</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{797B6192-D944-4119-B92F-60C0639372A1}</c15:txfldGUID>
                      <c15:f>ReportData!$K$18</c15:f>
                      <c15:dlblFieldTableCache>
                        <c:ptCount val="1"/>
                        <c:pt idx="0">
                          <c:v>Surrey</c:v>
                        </c:pt>
                      </c15:dlblFieldTableCache>
                    </c15:dlblFTEntry>
                  </c15:dlblFieldTable>
                  <c15:showDataLabelsRange val="0"/>
                </c:ext>
                <c:ext xmlns:c16="http://schemas.microsoft.com/office/drawing/2014/chart" uri="{C3380CC4-5D6E-409C-BE32-E72D297353CC}">
                  <c16:uniqueId val="{0000000F-7624-48D0-8DF4-2015AA6FF7BF}"/>
                </c:ext>
              </c:extLst>
            </c:dLbl>
            <c:dLbl>
              <c:idx val="15"/>
              <c:tx>
                <c:strRef>
                  <c:f>ReportData!$K$19</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{A62441F5-3A30-47B8-8989-F4B836EE3E36}</c15:txfldGUID>
                      <c15:f>ReportData!$K$19</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7624-48D0-8DF4-2015AA6FF7BF}"/>
                </c:ext>
              </c:extLst>
            </c:dLbl>
            <c:dLbl>
              <c:idx val="16"/>
              <c:tx>
                <c:strRef>
                  <c:f>ReportData!$K$20</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{26FD056B-4F46-4055-A87A-6E9D9E1DE023}</c15:txfldGUID>
                      <c15:f>ReportData!$K$20</c15:f>
                      <c15:dlblFieldTableCache>
                        <c:ptCount val="1"/>
                        <c:pt idx="0">
                          <c:v>West Sussex</c:v>
                        </c:pt>
                      </c15:dlblFieldTableCache>
                    </c15:dlblFTEntry>
                  </c15:dlblFieldTable>
                  <c15:showDataLabelsRange val="0"/>
                </c:ext>
                <c:ext xmlns:c16="http://schemas.microsoft.com/office/drawing/2014/chart" uri="{C3380CC4-5D6E-409C-BE32-E72D297353CC}">
                  <c16:uniqueId val="{00000011-7624-48D0-8DF4-2015AA6FF7BF}"/>
                </c:ext>
              </c:extLst>
            </c:dLbl>
            <c:dLbl>
              <c:idx val="17"/>
              <c:layout>
                <c:manualLayout>
                  <c:x val="-2.1259252882280515E-2"/>
                  <c:y val="1.782607922639495E-2"/>
                </c:manualLayout>
              </c:layout>
              <c:tx>
                <c:strRef>
                  <c:f>ReportData!$K$21</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{4A254193-FCDC-4A7B-B523-37E87D414456}</c15:txfldGUID>
                      <c15:f>ReportData!$K$21</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7624-48D0-8DF4-2015AA6FF7BF}"/>
                </c:ext>
              </c:extLst>
            </c:dLbl>
            <c:dLbl>
              <c:idx val="18"/>
              <c:tx>
                <c:strRef>
                  <c:f>ReportData!$K$22</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{8EDA84D1-77AB-4D24-A9F5-86C7CD7DDBD3}</c15:txfldGUID>
                      <c15:f>ReportData!$K$22</c15:f>
                      <c15:dlblFieldTableCache>
                        <c:ptCount val="1"/>
                        <c:pt idx="0">
                          <c:v>Wokingham</c:v>
                        </c:pt>
                      </c15:dlblFieldTableCache>
                    </c15:dlblFTEntry>
                  </c15:dlblFieldTable>
                  <c15:showDataLabelsRange val="0"/>
                </c:ext>
                <c:ext xmlns:c16="http://schemas.microsoft.com/office/drawing/2014/chart" uri="{C3380CC4-5D6E-409C-BE32-E72D297353CC}">
                  <c16:uniqueId val="{00000013-7624-48D0-8DF4-2015AA6FF7BF}"/>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('Child Protection Plans'!$AQ$38:$AQ$50,'Child Protection Plans'!$AQ$51:$AQ$52,'Child Protection Plans'!$AQ$53:$AQ$56)</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('Child Protection Plans'!$AP$38:$AP$50,'Child Protection Plans'!$AP$51:$AP$52,'Child Protection Plans'!$AP$53:$AP$56)</c:f>
              <c:numCache>
                <c:formatCode>0.0</c:formatCode>
                <c:ptCount val="19"/>
                <c:pt idx="0">
                  <c:v>39.0965895207177</c:v>
                </c:pt>
                <c:pt idx="1">
                  <c:v>56.143659195131363</c:v>
                </c:pt>
                <c:pt idx="2">
                  <c:v>33.694834503510535</c:v>
                </c:pt>
                <c:pt idx="3">
                  <c:v>66.115862015713375</c:v>
                </c:pt>
                <c:pt idx="4">
                  <c:v>#N/A</c:v>
                </c:pt>
                <c:pt idx="5">
                  <c:v>78.504991893506272</c:v>
                </c:pt>
                <c:pt idx="6">
                  <c:v>34.765683313620336</c:v>
                </c:pt>
                <c:pt idx="7">
                  <c:v>42.137148169808214</c:v>
                </c:pt>
                <c:pt idx="8">
                  <c:v>26.512081541821779</c:v>
                </c:pt>
                <c:pt idx="9">
                  <c:v>34.884102160584902</c:v>
                </c:pt>
                <c:pt idx="10">
                  <c:v>53.655423452383772</c:v>
                </c:pt>
                <c:pt idx="11">
                  <c:v>61.957868649318463</c:v>
                </c:pt>
                <c:pt idx="12">
                  <c:v>43.479230306138376</c:v>
                </c:pt>
                <c:pt idx="13">
                  <c:v>54.791257221130365</c:v>
                </c:pt>
                <c:pt idx="14">
                  <c:v>21.793790839832575</c:v>
                </c:pt>
                <c:pt idx="15">
                  <c:v>54.069355980184</c:v>
                </c:pt>
                <c:pt idx="16">
                  <c:v>35.976045763317842</c:v>
                </c:pt>
                <c:pt idx="17">
                  <c:v>28.878970858493041</c:v>
                </c:pt>
                <c:pt idx="18">
                  <c:v>28.859029413122776</c:v>
                </c:pt>
              </c:numCache>
            </c:numRef>
          </c:yVal>
          <c:smooth val="0"/>
          <c:extLst>
            <c:ext xmlns:c16="http://schemas.microsoft.com/office/drawing/2014/chart" uri="{C3380CC4-5D6E-409C-BE32-E72D297353CC}">
              <c16:uniqueId val="{00000014-7624-48D0-8DF4-2015AA6FF7BF}"/>
            </c:ext>
          </c:extLst>
        </c:ser>
        <c:ser>
          <c:idx val="1"/>
          <c:order val="1"/>
          <c:tx>
            <c:strRef>
              <c:f>'Child Protection Plans'!$Z$4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'Child Protection Plans'!$AQ$59</c:f>
              <c:numCache>
                <c:formatCode>0.0</c:formatCode>
                <c:ptCount val="1"/>
                <c:pt idx="0">
                  <c:v>#N/A</c:v>
                </c:pt>
              </c:numCache>
            </c:numRef>
          </c:xVal>
          <c:yVal>
            <c:numRef>
              <c:f>'Child Protection Plans'!$AP$59</c:f>
              <c:numCache>
                <c:formatCode>0.0</c:formatCode>
                <c:ptCount val="1"/>
                <c:pt idx="0">
                  <c:v>#N/A</c:v>
                </c:pt>
              </c:numCache>
            </c:numRef>
          </c:yVal>
          <c:smooth val="0"/>
          <c:extLst>
            <c:ext xmlns:c16="http://schemas.microsoft.com/office/drawing/2014/chart" uri="{C3380CC4-5D6E-409C-BE32-E72D297353CC}">
              <c16:uniqueId val="{00000019-7624-48D0-8DF4-2015AA6FF7BF}"/>
            </c:ext>
          </c:extLst>
        </c:ser>
        <c:ser>
          <c:idx val="4"/>
          <c:order val="2"/>
          <c:tx>
            <c:strRef>
              <c:f>'Child Protection Plans'!$B$30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'Child Protection Plans'!$AQ$57</c:f>
              <c:numCache>
                <c:formatCode>0.0</c:formatCode>
                <c:ptCount val="1"/>
                <c:pt idx="0">
                  <c:v>12.760581039440194</c:v>
                </c:pt>
              </c:numCache>
            </c:numRef>
          </c:xVal>
          <c:yVal>
            <c:numRef>
              <c:f>'Child Protection Plans'!$O$30</c:f>
              <c:numCache>
                <c:formatCode>0.0</c:formatCode>
                <c:ptCount val="1"/>
                <c:pt idx="0">
                  <c:v>44.995090083046193</c:v>
                </c:pt>
              </c:numCache>
            </c:numRef>
          </c:yVal>
          <c:smooth val="0"/>
          <c:extLst>
            <c:ext xmlns:c16="http://schemas.microsoft.com/office/drawing/2014/chart" uri="{C3380CC4-5D6E-409C-BE32-E72D297353CC}">
              <c16:uniqueId val="{0000001A-7624-48D0-8DF4-2015AA6FF7BF}"/>
            </c:ext>
          </c:extLst>
        </c:ser>
        <c:ser>
          <c:idx val="2"/>
          <c:order val="3"/>
          <c:tx>
            <c:strRef>
              <c:f>'Child Protection Plans'!$X$40</c:f>
              <c:strCache>
                <c:ptCount val="1"/>
                <c:pt idx="0">
                  <c:v>National Trend 2024</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B-7624-48D0-8DF4-2015AA6FF7BF}"/>
                </c:ext>
              </c:extLst>
            </c:dLbl>
            <c:dLbl>
              <c:idx val="1"/>
              <c:layout>
                <c:manualLayout>
                  <c:x val="-5.8479532163742583E-2"/>
                  <c:y val="3.3182503770739065E-2"/>
                </c:manualLayout>
              </c:layout>
              <c:tx>
                <c:strRef>
                  <c:f>'Child Protection Plans'!$AC$40</c:f>
                  <c:strCache>
                    <c:ptCount val="1"/>
                    <c:pt idx="0">
                      <c:v>r² = 0.365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{CB39809D-0DA0-4334-87F6-22C9626034F6}</c15:txfldGUID>
                      <c15:f>'Child Protection Plans'!$AC$40</c15:f>
                      <c15:dlblFieldTableCache>
                        <c:ptCount val="1"/>
                        <c:pt idx="0">
                          <c:v>r² = 0.365</c:v>
                        </c:pt>
                      </c15:dlblFieldTableCache>
                    </c15:dlblFTEntry>
                  </c15:dlblFieldTable>
                  <c15:showDataLabelsRange val="0"/>
                </c:ext>
                <c:ext xmlns:c16="http://schemas.microsoft.com/office/drawing/2014/chart" uri="{C3380CC4-5D6E-409C-BE32-E72D297353CC}">
                  <c16:uniqueId val="{0000001C-7624-48D0-8DF4-2015AA6FF7BF}"/>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'Child Protection Plans'!$AA$40:$AA$41</c:f>
              <c:numCache>
                <c:formatCode>General</c:formatCode>
                <c:ptCount val="2"/>
                <c:pt idx="0" formatCode="#,##0.0">
                  <c:v>3</c:v>
                </c:pt>
                <c:pt idx="1">
                  <c:v>22</c:v>
                </c:pt>
              </c:numCache>
            </c:numRef>
          </c:xVal>
          <c:yVal>
            <c:numRef>
              <c:f>'Child Protection Plans'!$AB$40:$AB$41</c:f>
              <c:numCache>
                <c:formatCode>0.0</c:formatCode>
                <c:ptCount val="2"/>
                <c:pt idx="0">
                  <c:v>20.978019536028988</c:v>
                </c:pt>
                <c:pt idx="1">
                  <c:v>52.561785621492319</c:v>
                </c:pt>
              </c:numCache>
            </c:numRef>
          </c:yVal>
          <c:smooth val="0"/>
          <c:extLst>
            <c:ext xmlns:c16="http://schemas.microsoft.com/office/drawing/2014/chart" uri="{C3380CC4-5D6E-409C-BE32-E72D297353CC}">
              <c16:uniqueId val="{0000001D-7624-48D0-8DF4-2015AA6FF7BF}"/>
            </c:ext>
          </c:extLst>
        </c:ser>
        <c:ser>
          <c:idx val="5"/>
          <c:order val="4"/>
          <c:tx>
            <c:strRef>
              <c:f>'Child Protection Plans'!$X$38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7624-48D0-8DF4-2015AA6FF7BF}"/>
                </c:ext>
              </c:extLst>
            </c:dLbl>
            <c:dLbl>
              <c:idx val="1"/>
              <c:layout>
                <c:manualLayout>
                  <c:x val="-5.5555555555555448E-2"/>
                  <c:y val="-3.0165912518853696E-2"/>
                </c:manualLayout>
              </c:layout>
              <c:tx>
                <c:strRef>
                  <c:f>'Child Protection Plans'!$AC$39</c:f>
                  <c:strCache>
                    <c:ptCount val="1"/>
                    <c:pt idx="0">
                      <c:v>r² = 0.379</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{2517A31B-AC1C-4CA0-B769-E7BEFB3F9B0B}</c15:txfldGUID>
                      <c15:f>'Child Protection Plans'!$AC$39</c15:f>
                      <c15:dlblFieldTableCache>
                        <c:ptCount val="1"/>
                        <c:pt idx="0">
                          <c:v>r² = 0.379</c:v>
                        </c:pt>
                      </c15:dlblFieldTableCache>
                    </c15:dlblFTEntry>
                  </c15:dlblFieldTable>
                  <c15:showDataLabelsRange val="0"/>
                </c:ext>
                <c:ext xmlns:c16="http://schemas.microsoft.com/office/drawing/2014/chart" uri="{C3380CC4-5D6E-409C-BE32-E72D297353CC}">
                  <c16:uniqueId val="{0000001F-7624-48D0-8DF4-2015AA6FF7B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'Child Protection Plans'!$AA$38:$AA$39</c:f>
              <c:numCache>
                <c:formatCode>General</c:formatCode>
                <c:ptCount val="2"/>
                <c:pt idx="0" formatCode="#,##0.0">
                  <c:v>3</c:v>
                </c:pt>
                <c:pt idx="1">
                  <c:v>22</c:v>
                </c:pt>
              </c:numCache>
            </c:numRef>
          </c:xVal>
          <c:yVal>
            <c:numRef>
              <c:f>'Child Protection Plans'!$AB$38:$AB$39</c:f>
              <c:numCache>
                <c:formatCode>0.0</c:formatCode>
                <c:ptCount val="2"/>
                <c:pt idx="0">
                  <c:v>23.780639155797992</c:v>
                </c:pt>
                <c:pt idx="1">
                  <c:v>61.642950495382721</c:v>
                </c:pt>
              </c:numCache>
            </c:numRef>
          </c:yVal>
          <c:smooth val="0"/>
          <c:extLst>
            <c:ext xmlns:c16="http://schemas.microsoft.com/office/drawing/2014/chart" uri="{C3380CC4-5D6E-409C-BE32-E72D297353CC}">
              <c16:uniqueId val="{00000020-7624-48D0-8DF4-2015AA6FF7BF}"/>
            </c:ext>
          </c:extLst>
        </c:ser>
        <c:dLbls>
          <c:showLegendKey val="0"/>
          <c:showVal val="0"/>
          <c:showCatName val="0"/>
          <c:showSerName val="0"/>
          <c:showPercent val="0"/>
          <c:showBubbleSize val="0"/>
        </c:dLbls>
        <c:axId val="587147520"/>
        <c:axId val="587157888"/>
      </c:scatterChart>
      <c:valAx>
        <c:axId val="587147520"/>
        <c:scaling>
          <c:orientation val="minMax"/>
          <c:min val="0"/>
        </c:scaling>
        <c:delete val="0"/>
        <c:axPos val="b"/>
        <c:title>
          <c:tx>
            <c:strRef>
              <c:f>ReportData!$C$5</c:f>
              <c:strCache>
                <c:ptCount val="1"/>
                <c:pt idx="0">
                  <c:v>Local Authority IDACI Score 2019</c:v>
                </c:pt>
              </c:strCache>
            </c:strRef>
          </c:tx>
          <c:layout>
            <c:manualLayout>
              <c:xMode val="edge"/>
              <c:yMode val="edge"/>
              <c:x val="0.30241797900262468"/>
              <c:y val="0.9192924074535932"/>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7157888"/>
        <c:crosses val="autoZero"/>
        <c:crossBetween val="midCat"/>
        <c:majorUnit val="5"/>
      </c:valAx>
      <c:valAx>
        <c:axId val="587157888"/>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a:t>Rate of Child Protection Plans per 10,000 0-17 year olds</a:t>
                </a:r>
              </a:p>
            </c:rich>
          </c:tx>
          <c:layout>
            <c:manualLayout>
              <c:xMode val="edge"/>
              <c:yMode val="edge"/>
              <c:x val="5.18781546537452E-2"/>
              <c:y val="0.1101288583270982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7147520"/>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Care Applications to Court, per </a:t>
            </a:r>
          </a:p>
          <a:p>
            <a:pPr>
              <a:defRPr sz="1100" b="1"/>
            </a:pPr>
            <a:r>
              <a:rPr lang="en-GB" sz="1100" b="1"/>
              <a:t>10,000 0-17 year olds</a:t>
            </a:r>
          </a:p>
        </c:rich>
      </c:tx>
      <c:layout>
        <c:manualLayout>
          <c:xMode val="edge"/>
          <c:yMode val="edge"/>
          <c:x val="0.21050662037029738"/>
          <c:y val="1.2589354296580521E-2"/>
        </c:manualLayout>
      </c:layout>
      <c:overlay val="0"/>
      <c:spPr>
        <a:noFill/>
        <a:ln w="25400">
          <a:noFill/>
        </a:ln>
      </c:spPr>
    </c:title>
    <c:autoTitleDeleted val="0"/>
    <c:plotArea>
      <c:layout>
        <c:manualLayout>
          <c:layoutTarget val="inner"/>
          <c:xMode val="edge"/>
          <c:yMode val="edge"/>
          <c:x val="7.1224466506904033E-2"/>
          <c:y val="7.5616446156444389E-2"/>
          <c:w val="0.57508230927201043"/>
          <c:h val="0.86054953834119718"/>
        </c:manualLayout>
      </c:layout>
      <c:lineChart>
        <c:grouping val="standard"/>
        <c:varyColors val="0"/>
        <c:ser>
          <c:idx val="0"/>
          <c:order val="0"/>
          <c:tx>
            <c:strRef>
              <c:f>'Court Applications'!$AK$38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D2C2-4CA4-9206-304059AB5BAE}"/>
              </c:ext>
            </c:extLst>
          </c:dPt>
          <c:cat>
            <c:strRef>
              <c:f>'Court Applications'!$Y$2:$AC$3</c:f>
              <c:strCache>
                <c:ptCount val="5"/>
                <c:pt idx="0">
                  <c:v>2019/20</c:v>
                </c:pt>
                <c:pt idx="1">
                  <c:v>2020/21</c:v>
                </c:pt>
                <c:pt idx="2">
                  <c:v>2021/22</c:v>
                </c:pt>
                <c:pt idx="3">
                  <c:v>2022/23</c:v>
                </c:pt>
                <c:pt idx="4">
                  <c:v>2023/24</c:v>
                </c:pt>
              </c:strCache>
            </c:strRef>
          </c:cat>
          <c:val>
            <c:numRef>
              <c:f>'Court Applications'!$AL$38:$AP$38</c:f>
              <c:numCache>
                <c:formatCode>0.0</c:formatCode>
                <c:ptCount val="5"/>
                <c:pt idx="0">
                  <c:v>10.623488900285734</c:v>
                </c:pt>
                <c:pt idx="1">
                  <c:v>6.8855548307603094</c:v>
                </c:pt>
                <c:pt idx="2">
                  <c:v>8.6259569420982647</c:v>
                </c:pt>
                <c:pt idx="3">
                  <c:v>7.4126367807977411</c:v>
                </c:pt>
                <c:pt idx="4">
                  <c:v>5.9343037665375089</c:v>
                </c:pt>
              </c:numCache>
            </c:numRef>
          </c:val>
          <c:smooth val="0"/>
          <c:extLst>
            <c:ext xmlns:c16="http://schemas.microsoft.com/office/drawing/2014/chart" uri="{C3380CC4-5D6E-409C-BE32-E72D297353CC}">
              <c16:uniqueId val="{00000001-D2C2-4CA4-9206-304059AB5BAE}"/>
            </c:ext>
          </c:extLst>
        </c:ser>
        <c:ser>
          <c:idx val="1"/>
          <c:order val="1"/>
          <c:tx>
            <c:strRef>
              <c:f>'Court Applications'!$AK$39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Applications'!$AL$39:$AP$39</c:f>
              <c:numCache>
                <c:formatCode>0.0</c:formatCode>
                <c:ptCount val="5"/>
                <c:pt idx="0">
                  <c:v>16.32163960166935</c:v>
                </c:pt>
                <c:pt idx="1">
                  <c:v>13.134851138353765</c:v>
                </c:pt>
                <c:pt idx="2">
                  <c:v>14.217506631299734</c:v>
                </c:pt>
                <c:pt idx="3">
                  <c:v>7.8489605430632157</c:v>
                </c:pt>
                <c:pt idx="4">
                  <c:v>9.6429948999271424</c:v>
                </c:pt>
              </c:numCache>
            </c:numRef>
          </c:val>
          <c:smooth val="0"/>
          <c:extLst>
            <c:ext xmlns:c16="http://schemas.microsoft.com/office/drawing/2014/chart" uri="{C3380CC4-5D6E-409C-BE32-E72D297353CC}">
              <c16:uniqueId val="{00000002-D2C2-4CA4-9206-304059AB5BAE}"/>
            </c:ext>
          </c:extLst>
        </c:ser>
        <c:ser>
          <c:idx val="2"/>
          <c:order val="2"/>
          <c:tx>
            <c:strRef>
              <c:f>'Court Applications'!$AK$40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Applications'!$AL$40:$AP$40</c:f>
              <c:numCache>
                <c:formatCode>0.0</c:formatCode>
                <c:ptCount val="5"/>
                <c:pt idx="0">
                  <c:v>7.3687744090652298</c:v>
                </c:pt>
                <c:pt idx="1">
                  <c:v>8.4085064696518224</c:v>
                </c:pt>
                <c:pt idx="2">
                  <c:v>6.7201036353331718</c:v>
                </c:pt>
                <c:pt idx="3">
                  <c:v>4.6857006710876385</c:v>
                </c:pt>
                <c:pt idx="4">
                  <c:v>6.0337261785356064</c:v>
                </c:pt>
              </c:numCache>
            </c:numRef>
          </c:val>
          <c:smooth val="0"/>
          <c:extLst>
            <c:ext xmlns:c16="http://schemas.microsoft.com/office/drawing/2014/chart" uri="{C3380CC4-5D6E-409C-BE32-E72D297353CC}">
              <c16:uniqueId val="{00000003-D2C2-4CA4-9206-304059AB5BAE}"/>
            </c:ext>
          </c:extLst>
        </c:ser>
        <c:ser>
          <c:idx val="5"/>
          <c:order val="3"/>
          <c:tx>
            <c:strRef>
              <c:f>'Court Applications'!$AK$41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Applications'!$AL$41:$AP$41</c:f>
              <c:numCache>
                <c:formatCode>0.0</c:formatCode>
                <c:ptCount val="5"/>
                <c:pt idx="0">
                  <c:v>6.7041711604045826</c:v>
                </c:pt>
                <c:pt idx="1">
                  <c:v>8.103965084603443</c:v>
                </c:pt>
                <c:pt idx="2">
                  <c:v>5.9827970066399239</c:v>
                </c:pt>
                <c:pt idx="3">
                  <c:v>6.7104303428154628</c:v>
                </c:pt>
                <c:pt idx="4">
                  <c:v>6.7563654614597608</c:v>
                </c:pt>
              </c:numCache>
            </c:numRef>
          </c:val>
          <c:smooth val="0"/>
          <c:extLst>
            <c:ext xmlns:c16="http://schemas.microsoft.com/office/drawing/2014/chart" uri="{C3380CC4-5D6E-409C-BE32-E72D297353CC}">
              <c16:uniqueId val="{00000004-D2C2-4CA4-9206-304059AB5BAE}"/>
            </c:ext>
          </c:extLst>
        </c:ser>
        <c:ser>
          <c:idx val="9"/>
          <c:order val="4"/>
          <c:tx>
            <c:strRef>
              <c:f>'Court Applications'!$AK$42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Applications'!$AL$42:$AP$42</c:f>
              <c:numCache>
                <c:formatCode>0.0</c:formatCode>
                <c:ptCount val="5"/>
                <c:pt idx="0">
                  <c:v>7.3745256676451634</c:v>
                </c:pt>
                <c:pt idx="1">
                  <c:v>8.9095306931543323</c:v>
                </c:pt>
                <c:pt idx="2">
                  <c:v>7.7955640037162413</c:v>
                </c:pt>
                <c:pt idx="3">
                  <c:v>7.9015968986232172</c:v>
                </c:pt>
                <c:pt idx="4">
                  <c:v>7.7728370855362208</c:v>
                </c:pt>
              </c:numCache>
            </c:numRef>
          </c:val>
          <c:smooth val="0"/>
          <c:extLst>
            <c:ext xmlns:c16="http://schemas.microsoft.com/office/drawing/2014/chart" uri="{C3380CC4-5D6E-409C-BE32-E72D297353CC}">
              <c16:uniqueId val="{00000005-D2C2-4CA4-9206-304059AB5BAE}"/>
            </c:ext>
          </c:extLst>
        </c:ser>
        <c:ser>
          <c:idx val="10"/>
          <c:order val="5"/>
          <c:tx>
            <c:strRef>
              <c:f>'Court Applications'!$AK$43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Applications'!$AL$43:$AP$43</c:f>
              <c:numCache>
                <c:formatCode>0.0</c:formatCode>
                <c:ptCount val="5"/>
                <c:pt idx="0">
                  <c:v>10.699148183202338</c:v>
                </c:pt>
                <c:pt idx="1">
                  <c:v>13.393604553825547</c:v>
                </c:pt>
                <c:pt idx="2">
                  <c:v>13.538669825689626</c:v>
                </c:pt>
                <c:pt idx="3">
                  <c:v>15.297017081669075</c:v>
                </c:pt>
                <c:pt idx="4">
                  <c:v>13.226384503797252</c:v>
                </c:pt>
              </c:numCache>
            </c:numRef>
          </c:val>
          <c:smooth val="0"/>
          <c:extLst>
            <c:ext xmlns:c16="http://schemas.microsoft.com/office/drawing/2014/chart" uri="{C3380CC4-5D6E-409C-BE32-E72D297353CC}">
              <c16:uniqueId val="{00000006-D2C2-4CA4-9206-304059AB5BAE}"/>
            </c:ext>
          </c:extLst>
        </c:ser>
        <c:ser>
          <c:idx val="11"/>
          <c:order val="6"/>
          <c:tx>
            <c:strRef>
              <c:f>'Court Applications'!$AK$44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Applications'!$AL$44:$AP$44</c:f>
              <c:numCache>
                <c:formatCode>0.0</c:formatCode>
                <c:ptCount val="5"/>
                <c:pt idx="0">
                  <c:v>8.099765106811903</c:v>
                </c:pt>
                <c:pt idx="1">
                  <c:v>7.0569097911633136</c:v>
                </c:pt>
                <c:pt idx="2">
                  <c:v>7.974030842837208</c:v>
                </c:pt>
                <c:pt idx="3">
                  <c:v>7.6708141562979426</c:v>
                </c:pt>
                <c:pt idx="4">
                  <c:v>5.8851899911578611</c:v>
                </c:pt>
              </c:numCache>
            </c:numRef>
          </c:val>
          <c:smooth val="0"/>
          <c:extLst>
            <c:ext xmlns:c16="http://schemas.microsoft.com/office/drawing/2014/chart" uri="{C3380CC4-5D6E-409C-BE32-E72D297353CC}">
              <c16:uniqueId val="{00000007-D2C2-4CA4-9206-304059AB5BAE}"/>
            </c:ext>
          </c:extLst>
        </c:ser>
        <c:ser>
          <c:idx val="12"/>
          <c:order val="7"/>
          <c:tx>
            <c:strRef>
              <c:f>'Court Applications'!$AK$45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Applications'!$AL$45:$AP$45</c:f>
              <c:numCache>
                <c:formatCode>0.0</c:formatCode>
                <c:ptCount val="5"/>
                <c:pt idx="0">
                  <c:v>14.763161201155924</c:v>
                </c:pt>
                <c:pt idx="1">
                  <c:v>11.146871810974172</c:v>
                </c:pt>
                <c:pt idx="2">
                  <c:v>13.319334973439679</c:v>
                </c:pt>
                <c:pt idx="3">
                  <c:v>12.932029866830883</c:v>
                </c:pt>
                <c:pt idx="4">
                  <c:v>10.046935684616193</c:v>
                </c:pt>
              </c:numCache>
            </c:numRef>
          </c:val>
          <c:smooth val="0"/>
          <c:extLst>
            <c:ext xmlns:c16="http://schemas.microsoft.com/office/drawing/2014/chart" uri="{C3380CC4-5D6E-409C-BE32-E72D297353CC}">
              <c16:uniqueId val="{00000008-D2C2-4CA4-9206-304059AB5BAE}"/>
            </c:ext>
          </c:extLst>
        </c:ser>
        <c:ser>
          <c:idx val="13"/>
          <c:order val="8"/>
          <c:tx>
            <c:strRef>
              <c:f>'Court Applications'!$AK$46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Applications'!$AL$46:$AP$46</c:f>
              <c:numCache>
                <c:formatCode>0.0</c:formatCode>
                <c:ptCount val="5"/>
                <c:pt idx="0">
                  <c:v>10.139490418181554</c:v>
                </c:pt>
                <c:pt idx="1">
                  <c:v>10.388860832551764</c:v>
                </c:pt>
                <c:pt idx="2">
                  <c:v>10.33962806060171</c:v>
                </c:pt>
                <c:pt idx="3">
                  <c:v>10.147848515172441</c:v>
                </c:pt>
                <c:pt idx="4">
                  <c:v>12.225778534829733</c:v>
                </c:pt>
              </c:numCache>
            </c:numRef>
          </c:val>
          <c:smooth val="0"/>
          <c:extLst>
            <c:ext xmlns:c16="http://schemas.microsoft.com/office/drawing/2014/chart" uri="{C3380CC4-5D6E-409C-BE32-E72D297353CC}">
              <c16:uniqueId val="{00000009-D2C2-4CA4-9206-304059AB5BAE}"/>
            </c:ext>
          </c:extLst>
        </c:ser>
        <c:ser>
          <c:idx val="15"/>
          <c:order val="9"/>
          <c:tx>
            <c:strRef>
              <c:f>'Court Applications'!$AK$47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Applications'!$AL$47:$AP$47</c:f>
              <c:numCache>
                <c:formatCode>0.0</c:formatCode>
                <c:ptCount val="5"/>
                <c:pt idx="0">
                  <c:v>10.178011341212638</c:v>
                </c:pt>
                <c:pt idx="1">
                  <c:v>9.6406117656780452</c:v>
                </c:pt>
                <c:pt idx="2">
                  <c:v>9.8398966810848485</c:v>
                </c:pt>
                <c:pt idx="3">
                  <c:v>7.0884992443392321</c:v>
                </c:pt>
                <c:pt idx="4">
                  <c:v>5.1801580276056516</c:v>
                </c:pt>
              </c:numCache>
            </c:numRef>
          </c:val>
          <c:smooth val="0"/>
          <c:extLst>
            <c:ext xmlns:c16="http://schemas.microsoft.com/office/drawing/2014/chart" uri="{C3380CC4-5D6E-409C-BE32-E72D297353CC}">
              <c16:uniqueId val="{0000000A-D2C2-4CA4-9206-304059AB5BAE}"/>
            </c:ext>
          </c:extLst>
        </c:ser>
        <c:ser>
          <c:idx val="16"/>
          <c:order val="10"/>
          <c:tx>
            <c:strRef>
              <c:f>'Court Applications'!$AK$48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Applications'!$AL$48:$AP$48</c:f>
              <c:numCache>
                <c:formatCode>0.0</c:formatCode>
                <c:ptCount val="5"/>
                <c:pt idx="0">
                  <c:v>14.750315228510933</c:v>
                </c:pt>
                <c:pt idx="1">
                  <c:v>11.704287591066524</c:v>
                </c:pt>
                <c:pt idx="2">
                  <c:v>11.822327309576085</c:v>
                </c:pt>
                <c:pt idx="3">
                  <c:v>15.523870936925316</c:v>
                </c:pt>
                <c:pt idx="4">
                  <c:v>14.654785260122438</c:v>
                </c:pt>
              </c:numCache>
            </c:numRef>
          </c:val>
          <c:smooth val="0"/>
          <c:extLst>
            <c:ext xmlns:c16="http://schemas.microsoft.com/office/drawing/2014/chart" uri="{C3380CC4-5D6E-409C-BE32-E72D297353CC}">
              <c16:uniqueId val="{0000000B-D2C2-4CA4-9206-304059AB5BAE}"/>
            </c:ext>
          </c:extLst>
        </c:ser>
        <c:ser>
          <c:idx val="17"/>
          <c:order val="11"/>
          <c:tx>
            <c:strRef>
              <c:f>'Court Applications'!$AK$49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Applications'!$AL$49:$AP$49</c:f>
              <c:numCache>
                <c:formatCode>0.0</c:formatCode>
                <c:ptCount val="5"/>
                <c:pt idx="0">
                  <c:v>13.502565487442613</c:v>
                </c:pt>
                <c:pt idx="1">
                  <c:v>10.548808525601148</c:v>
                </c:pt>
                <c:pt idx="2">
                  <c:v>7.1558320030825122</c:v>
                </c:pt>
                <c:pt idx="3">
                  <c:v>8.8566827697262482</c:v>
                </c:pt>
                <c:pt idx="4">
                  <c:v>14.23712726409871</c:v>
                </c:pt>
              </c:numCache>
            </c:numRef>
          </c:val>
          <c:smooth val="0"/>
          <c:extLst>
            <c:ext xmlns:c16="http://schemas.microsoft.com/office/drawing/2014/chart" uri="{C3380CC4-5D6E-409C-BE32-E72D297353CC}">
              <c16:uniqueId val="{0000000C-D2C2-4CA4-9206-304059AB5BAE}"/>
            </c:ext>
          </c:extLst>
        </c:ser>
        <c:ser>
          <c:idx val="19"/>
          <c:order val="12"/>
          <c:tx>
            <c:strRef>
              <c:f>'Court Applications'!$AK$50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Applications'!$AL$50:$AP$50</c:f>
              <c:numCache>
                <c:formatCode>0.0</c:formatCode>
                <c:ptCount val="5"/>
                <c:pt idx="0">
                  <c:v>11.499804503323444</c:v>
                </c:pt>
                <c:pt idx="1">
                  <c:v>14.57858769931663</c:v>
                </c:pt>
                <c:pt idx="2">
                  <c:v>10.288771520680431</c:v>
                </c:pt>
                <c:pt idx="3">
                  <c:v>9.7175141242937855</c:v>
                </c:pt>
                <c:pt idx="4">
                  <c:v>5.5742602956587666</c:v>
                </c:pt>
              </c:numCache>
            </c:numRef>
          </c:val>
          <c:smooth val="0"/>
          <c:extLst>
            <c:ext xmlns:c16="http://schemas.microsoft.com/office/drawing/2014/chart" uri="{C3380CC4-5D6E-409C-BE32-E72D297353CC}">
              <c16:uniqueId val="{0000000D-D2C2-4CA4-9206-304059AB5BAE}"/>
            </c:ext>
          </c:extLst>
        </c:ser>
        <c:ser>
          <c:idx val="20"/>
          <c:order val="13"/>
          <c:tx>
            <c:strRef>
              <c:f>'Court Applications'!$AK$51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Applications'!$AL$51:$AP$51</c:f>
              <c:numCache>
                <c:formatCode>0.0</c:formatCode>
                <c:ptCount val="5"/>
                <c:pt idx="0">
                  <c:v>20.36783092683714</c:v>
                </c:pt>
                <c:pt idx="1">
                  <c:v>19.703641152461952</c:v>
                </c:pt>
                <c:pt idx="2">
                  <c:v>19.032963472908399</c:v>
                </c:pt>
                <c:pt idx="3">
                  <c:v>12.231557418138797</c:v>
                </c:pt>
                <c:pt idx="4">
                  <c:v>8.7348381077164348</c:v>
                </c:pt>
              </c:numCache>
            </c:numRef>
          </c:val>
          <c:smooth val="0"/>
          <c:extLst>
            <c:ext xmlns:c16="http://schemas.microsoft.com/office/drawing/2014/chart" uri="{C3380CC4-5D6E-409C-BE32-E72D297353CC}">
              <c16:uniqueId val="{0000000F-D2C2-4CA4-9206-304059AB5BAE}"/>
            </c:ext>
          </c:extLst>
        </c:ser>
        <c:ser>
          <c:idx val="22"/>
          <c:order val="14"/>
          <c:tx>
            <c:strRef>
              <c:f>'Court Applications'!$AK$52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Applications'!$AL$52:$AP$52</c:f>
              <c:numCache>
                <c:formatCode>0.0</c:formatCode>
                <c:ptCount val="5"/>
                <c:pt idx="0">
                  <c:v>5.7354337421767525</c:v>
                </c:pt>
                <c:pt idx="1">
                  <c:v>7.542965894189595</c:v>
                </c:pt>
                <c:pt idx="2">
                  <c:v>6.3201381181403384</c:v>
                </c:pt>
                <c:pt idx="3">
                  <c:v>4.8950040601971656</c:v>
                </c:pt>
                <c:pt idx="4">
                  <c:v>4.2533650516426267</c:v>
                </c:pt>
              </c:numCache>
            </c:numRef>
          </c:val>
          <c:smooth val="0"/>
          <c:extLst>
            <c:ext xmlns:c16="http://schemas.microsoft.com/office/drawing/2014/chart" uri="{C3380CC4-5D6E-409C-BE32-E72D297353CC}">
              <c16:uniqueId val="{00000010-D2C2-4CA4-9206-304059AB5BAE}"/>
            </c:ext>
          </c:extLst>
        </c:ser>
        <c:ser>
          <c:idx val="23"/>
          <c:order val="15"/>
          <c:tx>
            <c:strRef>
              <c:f>'Court Applications'!$AK$53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Applications'!$AL$53:$AP$53</c:f>
              <c:numCache>
                <c:formatCode>0.0</c:formatCode>
                <c:ptCount val="5"/>
                <c:pt idx="0">
                  <c:v>6.274778243632527</c:v>
                </c:pt>
                <c:pt idx="1">
                  <c:v>5.1688490696071669</c:v>
                </c:pt>
                <c:pt idx="2">
                  <c:v>7.2264778147131095</c:v>
                </c:pt>
                <c:pt idx="3">
                  <c:v>9.1659028414298813</c:v>
                </c:pt>
                <c:pt idx="4">
                  <c:v>9.624911535739562</c:v>
                </c:pt>
              </c:numCache>
            </c:numRef>
          </c:val>
          <c:smooth val="0"/>
          <c:extLst>
            <c:ext xmlns:c16="http://schemas.microsoft.com/office/drawing/2014/chart" uri="{C3380CC4-5D6E-409C-BE32-E72D297353CC}">
              <c16:uniqueId val="{00000013-D2C2-4CA4-9206-304059AB5BAE}"/>
            </c:ext>
          </c:extLst>
        </c:ser>
        <c:ser>
          <c:idx val="24"/>
          <c:order val="16"/>
          <c:tx>
            <c:strRef>
              <c:f>'Court Applications'!$AK$54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Applications'!$AL$54:$AP$54</c:f>
              <c:numCache>
                <c:formatCode>0.0</c:formatCode>
                <c:ptCount val="5"/>
                <c:pt idx="0">
                  <c:v>11.178270364330947</c:v>
                </c:pt>
                <c:pt idx="1">
                  <c:v>13.170532515111605</c:v>
                </c:pt>
                <c:pt idx="2">
                  <c:v>8.0075957765651982</c:v>
                </c:pt>
                <c:pt idx="3">
                  <c:v>9.0781453518204227</c:v>
                </c:pt>
                <c:pt idx="4">
                  <c:v>7.5415623882731495</c:v>
                </c:pt>
              </c:numCache>
            </c:numRef>
          </c:val>
          <c:smooth val="0"/>
          <c:extLst>
            <c:ext xmlns:c16="http://schemas.microsoft.com/office/drawing/2014/chart" uri="{C3380CC4-5D6E-409C-BE32-E72D297353CC}">
              <c16:uniqueId val="{00000014-D2C2-4CA4-9206-304059AB5BAE}"/>
            </c:ext>
          </c:extLst>
        </c:ser>
        <c:ser>
          <c:idx val="25"/>
          <c:order val="17"/>
          <c:tx>
            <c:strRef>
              <c:f>'Court Applications'!$AK$55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Applications'!$AL$55:$AP$55</c:f>
              <c:numCache>
                <c:formatCode>0.0</c:formatCode>
                <c:ptCount val="5"/>
                <c:pt idx="0">
                  <c:v>8.4612242516193028</c:v>
                </c:pt>
                <c:pt idx="1">
                  <c:v>6.7482322565501862</c:v>
                </c:pt>
                <c:pt idx="2">
                  <c:v>8.2654386586373843</c:v>
                </c:pt>
                <c:pt idx="3">
                  <c:v>7.9148711634860609</c:v>
                </c:pt>
                <c:pt idx="4">
                  <c:v>8.7512032904524375</c:v>
                </c:pt>
              </c:numCache>
            </c:numRef>
          </c:val>
          <c:smooth val="0"/>
          <c:extLst>
            <c:ext xmlns:c16="http://schemas.microsoft.com/office/drawing/2014/chart" uri="{C3380CC4-5D6E-409C-BE32-E72D297353CC}">
              <c16:uniqueId val="{00000015-D2C2-4CA4-9206-304059AB5BAE}"/>
            </c:ext>
          </c:extLst>
        </c:ser>
        <c:ser>
          <c:idx val="26"/>
          <c:order val="18"/>
          <c:tx>
            <c:strRef>
              <c:f>'Court Applications'!$AK$56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Applications'!$AL$56:$AP$56</c:f>
              <c:numCache>
                <c:formatCode>0.0</c:formatCode>
                <c:ptCount val="5"/>
                <c:pt idx="0">
                  <c:v>6.537262395655234</c:v>
                </c:pt>
                <c:pt idx="1">
                  <c:v>6.6706196264453013</c:v>
                </c:pt>
                <c:pt idx="2">
                  <c:v>7.5372608135378929</c:v>
                </c:pt>
                <c:pt idx="3">
                  <c:v>7.2906867356538099</c:v>
                </c:pt>
                <c:pt idx="4">
                  <c:v>6.6952948238444847</c:v>
                </c:pt>
              </c:numCache>
            </c:numRef>
          </c:val>
          <c:smooth val="0"/>
          <c:extLst>
            <c:ext xmlns:c16="http://schemas.microsoft.com/office/drawing/2014/chart" uri="{C3380CC4-5D6E-409C-BE32-E72D297353CC}">
              <c16:uniqueId val="{00000016-D2C2-4CA4-9206-304059AB5BAE}"/>
            </c:ext>
          </c:extLst>
        </c:ser>
        <c:ser>
          <c:idx val="4"/>
          <c:order val="19"/>
          <c:tx>
            <c:strRef>
              <c:f>'Court Applications'!$AK$57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Applications'!$AL$57:$AP$57</c:f>
              <c:numCache>
                <c:formatCode>0.0</c:formatCode>
                <c:ptCount val="5"/>
                <c:pt idx="0">
                  <c:v>9.1403647742169092</c:v>
                </c:pt>
                <c:pt idx="1">
                  <c:v>9.3746876183165853</c:v>
                </c:pt>
                <c:pt idx="2">
                  <c:v>8.5602284656268335</c:v>
                </c:pt>
                <c:pt idx="3">
                  <c:v>7.9024512864508836</c:v>
                </c:pt>
                <c:pt idx="4">
                  <c:v>7.3055398809319785</c:v>
                </c:pt>
              </c:numCache>
            </c:numRef>
          </c:val>
          <c:smooth val="0"/>
          <c:extLst>
            <c:ext xmlns:c16="http://schemas.microsoft.com/office/drawing/2014/chart" uri="{C3380CC4-5D6E-409C-BE32-E72D297353CC}">
              <c16:uniqueId val="{00000017-D2C2-4CA4-9206-304059AB5BAE}"/>
            </c:ext>
          </c:extLst>
        </c:ser>
        <c:ser>
          <c:idx val="14"/>
          <c:order val="20"/>
          <c:tx>
            <c:strRef>
              <c:f>'Court Applications'!$AK$58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'Court Applications'!$Y$2:$AC$3</c:f>
              <c:strCache>
                <c:ptCount val="5"/>
                <c:pt idx="0">
                  <c:v>2019/20</c:v>
                </c:pt>
                <c:pt idx="1">
                  <c:v>2020/21</c:v>
                </c:pt>
                <c:pt idx="2">
                  <c:v>2021/22</c:v>
                </c:pt>
                <c:pt idx="3">
                  <c:v>2022/23</c:v>
                </c:pt>
                <c:pt idx="4">
                  <c:v>2023/24</c:v>
                </c:pt>
              </c:strCache>
            </c:strRef>
          </c:cat>
          <c:val>
            <c:numRef>
              <c:f>'Court Applications'!$AL$58:$AP$58</c:f>
              <c:numCache>
                <c:formatCode>0.0</c:formatCode>
                <c:ptCount val="5"/>
                <c:pt idx="0">
                  <c:v>11.097077204242197</c:v>
                </c:pt>
                <c:pt idx="1">
                  <c:v>10.84681323748956</c:v>
                </c:pt>
                <c:pt idx="2">
                  <c:v>10.116571811762395</c:v>
                </c:pt>
                <c:pt idx="3">
                  <c:v>10.047292611369762</c:v>
                </c:pt>
                <c:pt idx="4">
                  <c:v>9.5385762693557261</c:v>
                </c:pt>
              </c:numCache>
            </c:numRef>
          </c:val>
          <c:smooth val="0"/>
          <c:extLst>
            <c:ext xmlns:c16="http://schemas.microsoft.com/office/drawing/2014/chart" uri="{C3380CC4-5D6E-409C-BE32-E72D297353CC}">
              <c16:uniqueId val="{00000018-D2C2-4CA4-9206-304059AB5BAE}"/>
            </c:ext>
          </c:extLst>
        </c:ser>
        <c:ser>
          <c:idx val="6"/>
          <c:order val="21"/>
          <c:tx>
            <c:strRef>
              <c:f>'Court Applications'!$AK$59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'Court Applications'!$Y$2:$AC$3</c:f>
              <c:strCache>
                <c:ptCount val="5"/>
                <c:pt idx="0">
                  <c:v>2019/20</c:v>
                </c:pt>
                <c:pt idx="1">
                  <c:v>2020/21</c:v>
                </c:pt>
                <c:pt idx="2">
                  <c:v>2021/22</c:v>
                </c:pt>
                <c:pt idx="3">
                  <c:v>2022/23</c:v>
                </c:pt>
                <c:pt idx="4">
                  <c:v>2023/24</c:v>
                </c:pt>
              </c:strCache>
            </c:strRef>
          </c:cat>
          <c:val>
            <c:numRef>
              <c:f>'Court Applications'!$AL$59:$AP$59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D2C2-4CA4-9206-304059AB5BAE}"/>
            </c:ext>
          </c:extLst>
        </c:ser>
        <c:dLbls>
          <c:showLegendKey val="0"/>
          <c:showVal val="0"/>
          <c:showCatName val="0"/>
          <c:showSerName val="0"/>
          <c:showPercent val="0"/>
          <c:showBubbleSize val="0"/>
        </c:dLbls>
        <c:marker val="1"/>
        <c:smooth val="0"/>
        <c:axId val="587688576"/>
        <c:axId val="587703040"/>
      </c:lineChart>
      <c:catAx>
        <c:axId val="587688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87703040"/>
        <c:crosses val="autoZero"/>
        <c:auto val="1"/>
        <c:lblAlgn val="ctr"/>
        <c:lblOffset val="100"/>
        <c:tickLblSkip val="1"/>
        <c:tickMarkSkip val="1"/>
        <c:noMultiLvlLbl val="0"/>
      </c:catAx>
      <c:valAx>
        <c:axId val="58770304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87688576"/>
        <c:crosses val="autoZero"/>
        <c:crossBetween val="between"/>
      </c:valAx>
      <c:spPr>
        <a:noFill/>
        <a:ln w="3175">
          <a:solidFill>
            <a:srgbClr val="000000"/>
          </a:solidFill>
          <a:prstDash val="solid"/>
        </a:ln>
      </c:spPr>
    </c:plotArea>
    <c:legend>
      <c:legendPos val="r"/>
      <c:layout>
        <c:manualLayout>
          <c:xMode val="edge"/>
          <c:yMode val="edge"/>
          <c:x val="0.64533983200744194"/>
          <c:y val="7.5190870500600387E-2"/>
          <c:w val="0.34855853661778619"/>
          <c:h val="0.89602431295865037"/>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a:pPr>
            <a:r>
              <a:rPr lang="en-GB" sz="1200" b="1"/>
              <a:t>Rate of Care Applications to Court </a:t>
            </a:r>
          </a:p>
          <a:p>
            <a:pPr>
              <a:defRPr sz="1200" b="1"/>
            </a:pPr>
            <a:r>
              <a:rPr lang="en-GB" sz="1200" b="1"/>
              <a:t>(Selected LA vs. SE) </a:t>
            </a:r>
          </a:p>
        </c:rich>
      </c:tx>
      <c:layout>
        <c:manualLayout>
          <c:xMode val="edge"/>
          <c:yMode val="edge"/>
          <c:x val="0.23322357432593657"/>
          <c:y val="3.8613923259592556E-3"/>
        </c:manualLayout>
      </c:layout>
      <c:overlay val="0"/>
      <c:spPr>
        <a:noFill/>
        <a:ln w="25400">
          <a:noFill/>
        </a:ln>
      </c:spPr>
    </c:title>
    <c:autoTitleDeleted val="0"/>
    <c:plotArea>
      <c:layout>
        <c:manualLayout>
          <c:layoutTarget val="inner"/>
          <c:xMode val="edge"/>
          <c:yMode val="edge"/>
          <c:x val="7.9653166508924664E-2"/>
          <c:y val="0.23485876765404323"/>
          <c:w val="0.66871914468915705"/>
          <c:h val="0.55187326135131309"/>
        </c:manualLayout>
      </c:layout>
      <c:barChart>
        <c:barDir val="col"/>
        <c:grouping val="clustered"/>
        <c:varyColors val="0"/>
        <c:ser>
          <c:idx val="6"/>
          <c:order val="0"/>
          <c:tx>
            <c:strRef>
              <c:f>'Court Applications'!$Z$4</c:f>
              <c:strCache>
                <c:ptCount val="1"/>
                <c:pt idx="0">
                  <c:v>Selected LA- (none)</c:v>
                </c:pt>
              </c:strCache>
            </c:strRef>
          </c:tx>
          <c:spPr>
            <a:solidFill>
              <a:srgbClr val="66FF99"/>
            </a:solidFill>
            <a:ln>
              <a:solidFill>
                <a:schemeClr val="tx1">
                  <a:lumMod val="75000"/>
                  <a:lumOff val="25000"/>
                </a:schemeClr>
              </a:solidFill>
            </a:ln>
          </c:spPr>
          <c:invertIfNegative val="0"/>
          <c:cat>
            <c:strRef>
              <c:f>'Court Applications'!$Y$2:$AC$3</c:f>
              <c:strCache>
                <c:ptCount val="5"/>
                <c:pt idx="0">
                  <c:v>2019/20</c:v>
                </c:pt>
                <c:pt idx="1">
                  <c:v>2020/21</c:v>
                </c:pt>
                <c:pt idx="2">
                  <c:v>2021/22</c:v>
                </c:pt>
                <c:pt idx="3">
                  <c:v>2022/23</c:v>
                </c:pt>
                <c:pt idx="4">
                  <c:v>2023/24</c:v>
                </c:pt>
              </c:strCache>
            </c:strRef>
          </c:cat>
          <c:val>
            <c:numRef>
              <c:f>'Court Applications'!$AL$59:$AP$59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D1B0-4BEF-84F0-2586D0611132}"/>
            </c:ext>
          </c:extLst>
        </c:ser>
        <c:ser>
          <c:idx val="4"/>
          <c:order val="1"/>
          <c:tx>
            <c:strRef>
              <c:f>'Court Applications'!$B$30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'Court Applications'!$Y$2:$AC$3</c:f>
              <c:strCache>
                <c:ptCount val="5"/>
                <c:pt idx="0">
                  <c:v>2019/20</c:v>
                </c:pt>
                <c:pt idx="1">
                  <c:v>2020/21</c:v>
                </c:pt>
                <c:pt idx="2">
                  <c:v>2021/22</c:v>
                </c:pt>
                <c:pt idx="3">
                  <c:v>2022/23</c:v>
                </c:pt>
                <c:pt idx="4">
                  <c:v>2023/24</c:v>
                </c:pt>
              </c:strCache>
            </c:strRef>
          </c:cat>
          <c:val>
            <c:numRef>
              <c:f>'Court Applications'!$K$30:$O$30</c:f>
              <c:numCache>
                <c:formatCode>0.0</c:formatCode>
                <c:ptCount val="5"/>
                <c:pt idx="0">
                  <c:v>9.1403647742169092</c:v>
                </c:pt>
                <c:pt idx="1">
                  <c:v>9.3746876183165853</c:v>
                </c:pt>
                <c:pt idx="2">
                  <c:v>8.5602284656268335</c:v>
                </c:pt>
                <c:pt idx="3">
                  <c:v>7.9024512864508836</c:v>
                </c:pt>
                <c:pt idx="4">
                  <c:v>7.3055398809319785</c:v>
                </c:pt>
              </c:numCache>
            </c:numRef>
          </c:val>
          <c:extLst>
            <c:ext xmlns:c16="http://schemas.microsoft.com/office/drawing/2014/chart" uri="{C3380CC4-5D6E-409C-BE32-E72D297353CC}">
              <c16:uniqueId val="{00000001-D1B0-4BEF-84F0-2586D0611132}"/>
            </c:ext>
          </c:extLst>
        </c:ser>
        <c:ser>
          <c:idx val="0"/>
          <c:order val="2"/>
          <c:tx>
            <c:strRef>
              <c:f>'Court Applications'!$B$31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'Court Applications'!$Y$2:$AC$3</c:f>
              <c:strCache>
                <c:ptCount val="5"/>
                <c:pt idx="0">
                  <c:v>2019/20</c:v>
                </c:pt>
                <c:pt idx="1">
                  <c:v>2020/21</c:v>
                </c:pt>
                <c:pt idx="2">
                  <c:v>2021/22</c:v>
                </c:pt>
                <c:pt idx="3">
                  <c:v>2022/23</c:v>
                </c:pt>
                <c:pt idx="4">
                  <c:v>2023/24</c:v>
                </c:pt>
              </c:strCache>
            </c:strRef>
          </c:cat>
          <c:val>
            <c:numRef>
              <c:f>'Court Applications'!$K$31:$O$31</c:f>
              <c:numCache>
                <c:formatCode>0.0</c:formatCode>
                <c:ptCount val="5"/>
                <c:pt idx="0">
                  <c:v>11.097077204242197</c:v>
                </c:pt>
                <c:pt idx="1">
                  <c:v>10.84681323748956</c:v>
                </c:pt>
                <c:pt idx="2">
                  <c:v>10.116571811762395</c:v>
                </c:pt>
                <c:pt idx="3">
                  <c:v>10.047292611369762</c:v>
                </c:pt>
                <c:pt idx="4">
                  <c:v>9.5385762693557261</c:v>
                </c:pt>
              </c:numCache>
            </c:numRef>
          </c:val>
          <c:extLst>
            <c:ext xmlns:c16="http://schemas.microsoft.com/office/drawing/2014/chart" uri="{C3380CC4-5D6E-409C-BE32-E72D297353CC}">
              <c16:uniqueId val="{00000002-D1B0-4BEF-84F0-2586D0611132}"/>
            </c:ext>
          </c:extLst>
        </c:ser>
        <c:dLbls>
          <c:showLegendKey val="0"/>
          <c:showVal val="0"/>
          <c:showCatName val="0"/>
          <c:showSerName val="0"/>
          <c:showPercent val="0"/>
          <c:showBubbleSize val="0"/>
        </c:dLbls>
        <c:gapWidth val="100"/>
        <c:axId val="587724672"/>
        <c:axId val="587726208"/>
      </c:barChart>
      <c:catAx>
        <c:axId val="587724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87726208"/>
        <c:crosses val="autoZero"/>
        <c:auto val="1"/>
        <c:lblAlgn val="ctr"/>
        <c:lblOffset val="100"/>
        <c:noMultiLvlLbl val="0"/>
      </c:catAx>
      <c:valAx>
        <c:axId val="58772620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87724672"/>
        <c:crosses val="autoZero"/>
        <c:crossBetween val="between"/>
      </c:valAx>
      <c:spPr>
        <a:noFill/>
        <a:ln w="3175">
          <a:solidFill>
            <a:srgbClr val="000000"/>
          </a:solidFill>
          <a:prstDash val="solid"/>
        </a:ln>
      </c:spPr>
    </c:plotArea>
    <c:legend>
      <c:legendPos val="r"/>
      <c:layout>
        <c:manualLayout>
          <c:xMode val="edge"/>
          <c:yMode val="edge"/>
          <c:x val="0.75135591193756601"/>
          <c:y val="0.20334583177102863"/>
          <c:w val="0.24864408806243399"/>
          <c:h val="0.69347956505436825"/>
        </c:manualLayout>
      </c:layout>
      <c:overlay val="0"/>
      <c:spPr>
        <a:no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b="1" i="0" u="none" strike="noStrike" baseline="0">
                <a:solidFill>
                  <a:srgbClr val="000000"/>
                </a:solidFill>
                <a:latin typeface="Arial"/>
                <a:ea typeface="Arial"/>
                <a:cs typeface="Arial"/>
              </a:defRPr>
            </a:pPr>
            <a:r>
              <a:rPr lang="en-GB" sz="1100"/>
              <a:t>Distance from Expected Rate of Care Applications to Court</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26753493047411625"/>
          <c:y val="0.13754659323684476"/>
          <c:w val="0.6965077344055397"/>
          <c:h val="0.80483344421018621"/>
        </c:manualLayout>
      </c:layout>
      <c:barChart>
        <c:barDir val="bar"/>
        <c:grouping val="clustered"/>
        <c:varyColors val="0"/>
        <c:ser>
          <c:idx val="2"/>
          <c:order val="0"/>
          <c:tx>
            <c:strRef>
              <c:f>'Court Applications'!$T$10</c:f>
              <c:strCache>
                <c:ptCount val="1"/>
                <c:pt idx="0">
                  <c:v>Distance</c:v>
                </c:pt>
              </c:strCache>
            </c:strRef>
          </c:tx>
          <c:spPr>
            <a:solidFill>
              <a:srgbClr val="FB994F"/>
            </a:solidFill>
            <a:ln w="25400">
              <a:noFill/>
            </a:ln>
          </c:spPr>
          <c:invertIfNegative val="0"/>
          <c:cat>
            <c:strRef>
              <c:f>'Court Applications'!$X$72:$X$92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'Court Applications'!$T$11:$T$31</c:f>
              <c:numCache>
                <c:formatCode>0.0</c:formatCode>
                <c:ptCount val="21"/>
                <c:pt idx="0">
                  <c:v>-0.30773480064231951</c:v>
                </c:pt>
                <c:pt idx="1">
                  <c:v>-2.4714216297388347E-2</c:v>
                </c:pt>
                <c:pt idx="2">
                  <c:v>5.7920206710715405E-3</c:v>
                </c:pt>
                <c:pt idx="3">
                  <c:v>-3.3395524733953588</c:v>
                </c:pt>
                <c:pt idx="4">
                  <c:v>0.88848529041051005</c:v>
                </c:pt>
                <c:pt idx="5">
                  <c:v>2.1134706246944877</c:v>
                </c:pt>
                <c:pt idx="6">
                  <c:v>-4.0501496367107874</c:v>
                </c:pt>
                <c:pt idx="7">
                  <c:v>-1.5477131154459833</c:v>
                </c:pt>
                <c:pt idx="8">
                  <c:v>2.7186477255916728</c:v>
                </c:pt>
                <c:pt idx="9">
                  <c:v>-1.7041937675200591</c:v>
                </c:pt>
                <c:pt idx="10">
                  <c:v>2.3642971297855553</c:v>
                </c:pt>
                <c:pt idx="11">
                  <c:v>4.1947354315724148</c:v>
                </c:pt>
                <c:pt idx="12">
                  <c:v>-3.7722922065928239</c:v>
                </c:pt>
                <c:pt idx="13">
                  <c:v>-3.716228329606917</c:v>
                </c:pt>
                <c:pt idx="14">
                  <c:v>-1.6675169015642615</c:v>
                </c:pt>
                <c:pt idx="15">
                  <c:v>3.4899251732173813</c:v>
                </c:pt>
                <c:pt idx="16">
                  <c:v>0.1754756721880284</c:v>
                </c:pt>
                <c:pt idx="17">
                  <c:v>3.6867389745067261</c:v>
                </c:pt>
                <c:pt idx="18">
                  <c:v>2.2196176335158313</c:v>
                </c:pt>
                <c:pt idx="19">
                  <c:v>-0.79453328236928211</c:v>
                </c:pt>
                <c:pt idx="20">
                  <c:v>-1.0842597920140697</c:v>
                </c:pt>
              </c:numCache>
            </c:numRef>
          </c:val>
          <c:extLst>
            <c:ext xmlns:c16="http://schemas.microsoft.com/office/drawing/2014/chart" uri="{C3380CC4-5D6E-409C-BE32-E72D297353CC}">
              <c16:uniqueId val="{00000000-7528-4ADB-9F10-CC8FD474F48C}"/>
            </c:ext>
          </c:extLst>
        </c:ser>
        <c:ser>
          <c:idx val="0"/>
          <c:order val="1"/>
          <c:tx>
            <c:strRef>
              <c:f>'Court Applications'!$Z$4</c:f>
              <c:strCache>
                <c:ptCount val="1"/>
                <c:pt idx="0">
                  <c:v>Selected LA- (none)</c:v>
                </c:pt>
              </c:strCache>
            </c:strRef>
          </c:tx>
          <c:spPr>
            <a:solidFill>
              <a:srgbClr val="66FF99"/>
            </a:solidFill>
            <a:ln w="12700">
              <a:solidFill>
                <a:srgbClr val="000000"/>
              </a:solidFill>
              <a:prstDash val="solid"/>
            </a:ln>
          </c:spPr>
          <c:invertIfNegative val="0"/>
          <c:cat>
            <c:strRef>
              <c:f>'Court Applications'!$X$72:$X$92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'Court Applications'!$Z$72:$Z$92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7528-4ADB-9F10-CC8FD474F48C}"/>
            </c:ext>
          </c:extLst>
        </c:ser>
        <c:dLbls>
          <c:showLegendKey val="0"/>
          <c:showVal val="0"/>
          <c:showCatName val="0"/>
          <c:showSerName val="0"/>
          <c:showPercent val="0"/>
          <c:showBubbleSize val="0"/>
        </c:dLbls>
        <c:gapWidth val="40"/>
        <c:overlap val="100"/>
        <c:axId val="587412608"/>
        <c:axId val="587414144"/>
      </c:barChart>
      <c:catAx>
        <c:axId val="58741260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7414144"/>
        <c:crossesAt val="0"/>
        <c:auto val="1"/>
        <c:lblAlgn val="ctr"/>
        <c:lblOffset val="100"/>
        <c:noMultiLvlLbl val="0"/>
      </c:catAx>
      <c:valAx>
        <c:axId val="587414144"/>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7412608"/>
        <c:crosses val="max"/>
        <c:crossBetween val="between"/>
      </c:valAx>
      <c:spPr>
        <a:noFill/>
        <a:ln w="12700">
          <a:solidFill>
            <a:srgbClr val="000000"/>
          </a:solidFill>
          <a:prstDash val="solid"/>
        </a:ln>
      </c:spPr>
    </c:plotArea>
    <c:legend>
      <c:legendPos val="t"/>
      <c:layout>
        <c:manualLayout>
          <c:xMode val="edge"/>
          <c:yMode val="edge"/>
          <c:x val="0.15194404044601423"/>
          <c:y val="7.2490772111310081E-2"/>
          <c:w val="0.77265715538933921"/>
          <c:h val="4.089223042176466E-2"/>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'Court Applications'!$AK$5</c:f>
          <c:strCache>
            <c:ptCount val="1"/>
            <c:pt idx="0">
              <c:v>Average Annual Change in Number of Care Applications to Court during the year ending 31st March [SCB29]</c:v>
            </c:pt>
          </c:strCache>
        </c:strRef>
      </c:tx>
      <c:layout>
        <c:manualLayout>
          <c:xMode val="edge"/>
          <c:yMode val="edge"/>
          <c:x val="9.5785619809663491E-3"/>
          <c:y val="1.1152426478663088E-2"/>
        </c:manualLayout>
      </c:layout>
      <c:overlay val="0"/>
      <c:spPr>
        <a:noFill/>
        <a:ln w="25400">
          <a:noFill/>
        </a:ln>
      </c:spPr>
      <c:txPr>
        <a:bodyPr/>
        <a:lstStyle/>
        <a:p>
          <a:pPr algn="l">
            <a:defRPr sz="1100" b="1"/>
          </a:pPr>
          <a:endParaRPr lang="en-US"/>
        </a:p>
      </c:txPr>
    </c:title>
    <c:autoTitleDeleted val="0"/>
    <c:plotArea>
      <c:layout>
        <c:manualLayout>
          <c:layoutTarget val="inner"/>
          <c:xMode val="edge"/>
          <c:yMode val="edge"/>
          <c:x val="0.26583809159161659"/>
          <c:y val="0.13754659323684476"/>
          <c:w val="0.68840427716091512"/>
          <c:h val="0.80483344421018621"/>
        </c:manualLayout>
      </c:layout>
      <c:barChart>
        <c:barDir val="bar"/>
        <c:grouping val="clustered"/>
        <c:varyColors val="0"/>
        <c:ser>
          <c:idx val="0"/>
          <c:order val="0"/>
          <c:tx>
            <c:strRef>
              <c:f>'Court Applications'!$I$7</c:f>
              <c:strCache>
                <c:ptCount val="1"/>
                <c:pt idx="0">
                  <c:v>Average Annual Change </c:v>
                </c:pt>
              </c:strCache>
            </c:strRef>
          </c:tx>
          <c:spPr>
            <a:solidFill>
              <a:srgbClr val="FB994F"/>
            </a:solidFill>
            <a:ln w="25400">
              <a:noFill/>
            </a:ln>
          </c:spPr>
          <c:invertIfNegative val="0"/>
          <c:cat>
            <c:strRef>
              <c:f>'Court Applications'!$B$11:$B$31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'Court Applications'!$I$11:$I$31</c:f>
              <c:numCache>
                <c:formatCode>0.0%</c:formatCode>
                <c:ptCount val="21"/>
                <c:pt idx="0">
                  <c:v>-9.9286470486561237E-2</c:v>
                </c:pt>
                <c:pt idx="1">
                  <c:v>-9.2646139972797831E-2</c:v>
                </c:pt>
                <c:pt idx="2">
                  <c:v>-8.4505483951052979E-3</c:v>
                </c:pt>
                <c:pt idx="3">
                  <c:v>2.0869651091894304E-2</c:v>
                </c:pt>
                <c:pt idx="4">
                  <c:v>2.5539603791641399E-2</c:v>
                </c:pt>
                <c:pt idx="5">
                  <c:v>5.4220085470085472E-2</c:v>
                </c:pt>
                <c:pt idx="6">
                  <c:v>-5.7380435349122072E-2</c:v>
                </c:pt>
                <c:pt idx="7">
                  <c:v>-6.5410852683896459E-2</c:v>
                </c:pt>
                <c:pt idx="8">
                  <c:v>6.6170634920634921E-2</c:v>
                </c:pt>
                <c:pt idx="9">
                  <c:v>-0.13441337226714584</c:v>
                </c:pt>
                <c:pt idx="10">
                  <c:v>1.7674836684053265E-2</c:v>
                </c:pt>
                <c:pt idx="11">
                  <c:v>8.8065268065268057E-2</c:v>
                </c:pt>
                <c:pt idx="12">
                  <c:v>-0.11998102390180879</c:v>
                </c:pt>
                <c:pt idx="13">
                  <c:v>-0.17506791280125997</c:v>
                </c:pt>
                <c:pt idx="14">
                  <c:v>-4.4713108326267716E-2</c:v>
                </c:pt>
                <c:pt idx="15">
                  <c:v>0.13739267676767677</c:v>
                </c:pt>
                <c:pt idx="16">
                  <c:v>-5.4931150076350015E-2</c:v>
                </c:pt>
                <c:pt idx="17">
                  <c:v>2.1472894505128386E-2</c:v>
                </c:pt>
                <c:pt idx="18">
                  <c:v>3.0523389394357135E-2</c:v>
                </c:pt>
                <c:pt idx="19">
                  <c:v>-5.3404633465679918E-2</c:v>
                </c:pt>
                <c:pt idx="20">
                  <c:v>-3.2539714526982649E-2</c:v>
                </c:pt>
              </c:numCache>
            </c:numRef>
          </c:val>
          <c:extLst>
            <c:ext xmlns:c16="http://schemas.microsoft.com/office/drawing/2014/chart" uri="{C3380CC4-5D6E-409C-BE32-E72D297353CC}">
              <c16:uniqueId val="{00000000-B4FB-47CE-8C83-146711E743BE}"/>
            </c:ext>
          </c:extLst>
        </c:ser>
        <c:ser>
          <c:idx val="1"/>
          <c:order val="1"/>
          <c:tx>
            <c:strRef>
              <c:f>'Court Applications'!$Z$4</c:f>
              <c:strCache>
                <c:ptCount val="1"/>
                <c:pt idx="0">
                  <c:v>Selected LA- (none)</c:v>
                </c:pt>
              </c:strCache>
            </c:strRef>
          </c:tx>
          <c:spPr>
            <a:solidFill>
              <a:srgbClr val="66FF99"/>
            </a:solidFill>
            <a:ln w="12700">
              <a:solidFill>
                <a:srgbClr val="000000"/>
              </a:solidFill>
              <a:prstDash val="solid"/>
            </a:ln>
          </c:spPr>
          <c:invertIfNegative val="0"/>
          <c:cat>
            <c:strRef>
              <c:f>'Court Applications'!$B$11:$B$31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'Court Applications'!$Y$72:$Y$92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B4FB-47CE-8C83-146711E743BE}"/>
            </c:ext>
          </c:extLst>
        </c:ser>
        <c:dLbls>
          <c:showLegendKey val="0"/>
          <c:showVal val="0"/>
          <c:showCatName val="0"/>
          <c:showSerName val="0"/>
          <c:showPercent val="0"/>
          <c:showBubbleSize val="0"/>
        </c:dLbls>
        <c:gapWidth val="40"/>
        <c:overlap val="100"/>
        <c:axId val="585190784"/>
        <c:axId val="585208960"/>
      </c:barChart>
      <c:catAx>
        <c:axId val="58519078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585208960"/>
        <c:crosses val="autoZero"/>
        <c:auto val="1"/>
        <c:lblAlgn val="ctr"/>
        <c:lblOffset val="100"/>
        <c:noMultiLvlLbl val="0"/>
      </c:catAx>
      <c:valAx>
        <c:axId val="585208960"/>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85190784"/>
        <c:crosses val="max"/>
        <c:crossBetween val="between"/>
      </c:valAx>
      <c:spPr>
        <a:noFill/>
        <a:ln w="3175">
          <a:solidFill>
            <a:srgbClr val="000000"/>
          </a:solidFill>
          <a:prstDash val="solid"/>
        </a:ln>
      </c:spPr>
    </c:plotArea>
    <c:legend>
      <c:legendPos val="t"/>
      <c:layout>
        <c:manualLayout>
          <c:xMode val="edge"/>
          <c:yMode val="edge"/>
          <c:x val="0.25031989591044707"/>
          <c:y val="7.8066985350641618E-2"/>
          <c:w val="0.69938219261053902"/>
          <c:h val="4.089223042176466E-2"/>
        </c:manualLayout>
      </c:layout>
      <c:overlay val="0"/>
      <c:spPr>
        <a:noFill/>
        <a:ln w="12700">
          <a:noFill/>
          <a:prstDash val="solid"/>
        </a:ln>
      </c:spPr>
    </c:legend>
    <c:plotVisOnly val="0"/>
    <c:dispBlanksAs val="gap"/>
    <c:showDLblsOverMax val="0"/>
  </c:chart>
  <c:spPr>
    <a:solidFill>
      <a:srgbClr val="FFFFFF"/>
    </a:solidFill>
    <a:ln w="12700">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Arial"/>
                <a:ea typeface="Arial"/>
                <a:cs typeface="Arial"/>
              </a:defRPr>
            </a:pPr>
            <a:r>
              <a:rPr lang="en-GB"/>
              <a:t>% Referrals with prior Early Help Intervention</a:t>
            </a:r>
          </a:p>
          <a:p>
            <a:pPr>
              <a:defRPr sz="1000" b="1" i="0" u="none" strike="noStrike" baseline="0">
                <a:solidFill>
                  <a:srgbClr val="000000"/>
                </a:solidFill>
                <a:latin typeface="Arial"/>
                <a:ea typeface="Arial"/>
                <a:cs typeface="Arial"/>
              </a:defRPr>
            </a:pPr>
            <a:r>
              <a:rPr lang="en-GB"/>
              <a:t>(Selected LA</a:t>
            </a:r>
            <a:r>
              <a:rPr lang="en-GB" baseline="0"/>
              <a:t> vs. SE &amp; National)</a:t>
            </a:r>
            <a:r>
              <a:rPr lang="en-GB"/>
              <a:t> </a:t>
            </a:r>
          </a:p>
        </c:rich>
      </c:tx>
      <c:layout>
        <c:manualLayout>
          <c:xMode val="edge"/>
          <c:yMode val="edge"/>
          <c:x val="0.1195897435897436"/>
          <c:y val="3.8613923259592556E-3"/>
        </c:manualLayout>
      </c:layout>
      <c:overlay val="0"/>
      <c:spPr>
        <a:noFill/>
        <a:ln w="25400">
          <a:noFill/>
        </a:ln>
      </c:spPr>
    </c:title>
    <c:autoTitleDeleted val="0"/>
    <c:plotArea>
      <c:layout>
        <c:manualLayout>
          <c:layoutTarget val="inner"/>
          <c:xMode val="edge"/>
          <c:yMode val="edge"/>
          <c:x val="9.8666564984461691E-2"/>
          <c:y val="0.23145379554828374"/>
          <c:w val="0.64607416380644722"/>
          <c:h val="0.57068334105295659"/>
        </c:manualLayout>
      </c:layout>
      <c:barChart>
        <c:barDir val="col"/>
        <c:grouping val="clustered"/>
        <c:varyColors val="0"/>
        <c:ser>
          <c:idx val="6"/>
          <c:order val="0"/>
          <c:tx>
            <c:strRef>
              <c:f>Referrals!$Z$4</c:f>
              <c:strCache>
                <c:ptCount val="1"/>
                <c:pt idx="0">
                  <c:v>Selected LA- (none)</c:v>
                </c:pt>
              </c:strCache>
            </c:strRef>
          </c:tx>
          <c:spPr>
            <a:solidFill>
              <a:srgbClr val="66FF99"/>
            </a:solidFill>
            <a:ln>
              <a:solidFill>
                <a:schemeClr val="tx1">
                  <a:lumMod val="75000"/>
                  <a:lumOff val="25000"/>
                </a:schemeClr>
              </a:solidFill>
            </a:ln>
          </c:spPr>
          <c:invertIfNegative val="0"/>
          <c:cat>
            <c:strRef>
              <c:f>Referrals!$Y$2:$AC$3</c:f>
              <c:strCache>
                <c:ptCount val="5"/>
                <c:pt idx="0">
                  <c:v>2019/20</c:v>
                </c:pt>
                <c:pt idx="1">
                  <c:v>2020/21</c:v>
                </c:pt>
                <c:pt idx="2">
                  <c:v>2021/22</c:v>
                </c:pt>
                <c:pt idx="3">
                  <c:v>2022/23</c:v>
                </c:pt>
                <c:pt idx="4">
                  <c:v>2023/24</c:v>
                </c:pt>
              </c:strCache>
            </c:strRef>
          </c:cat>
          <c:val>
            <c:numRef>
              <c:f>Referrals!$AW$59:$BA$59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E310-4E7A-BF43-DCBBEF5359D8}"/>
            </c:ext>
          </c:extLst>
        </c:ser>
        <c:ser>
          <c:idx val="4"/>
          <c:order val="1"/>
          <c:tx>
            <c:strRef>
              <c:f>Referrals!$B$162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Referrals!$Y$2:$AC$3</c:f>
              <c:strCache>
                <c:ptCount val="5"/>
                <c:pt idx="0">
                  <c:v>2019/20</c:v>
                </c:pt>
                <c:pt idx="1">
                  <c:v>2020/21</c:v>
                </c:pt>
                <c:pt idx="2">
                  <c:v>2021/22</c:v>
                </c:pt>
                <c:pt idx="3">
                  <c:v>2022/23</c:v>
                </c:pt>
                <c:pt idx="4">
                  <c:v>2023/24</c:v>
                </c:pt>
              </c:strCache>
            </c:strRef>
          </c:cat>
          <c:val>
            <c:numRef>
              <c:f>Referrals!$D$128:$H$128</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E310-4E7A-BF43-DCBBEF5359D8}"/>
            </c:ext>
          </c:extLst>
        </c:ser>
        <c:ser>
          <c:idx val="0"/>
          <c:order val="2"/>
          <c:tx>
            <c:strRef>
              <c:f>Referrals!$B$163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Referrals!$Y$2:$AC$3</c:f>
              <c:strCache>
                <c:ptCount val="5"/>
                <c:pt idx="0">
                  <c:v>2019/20</c:v>
                </c:pt>
                <c:pt idx="1">
                  <c:v>2020/21</c:v>
                </c:pt>
                <c:pt idx="2">
                  <c:v>2021/22</c:v>
                </c:pt>
                <c:pt idx="3">
                  <c:v>2022/23</c:v>
                </c:pt>
                <c:pt idx="4">
                  <c:v>2023/24</c:v>
                </c:pt>
              </c:strCache>
            </c:strRef>
          </c:cat>
          <c:val>
            <c:numRef>
              <c:f>Referrals!$D$129:$H$129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2-E310-4E7A-BF43-DCBBEF5359D8}"/>
            </c:ext>
          </c:extLst>
        </c:ser>
        <c:dLbls>
          <c:showLegendKey val="0"/>
          <c:showVal val="0"/>
          <c:showCatName val="0"/>
          <c:showSerName val="0"/>
          <c:showPercent val="0"/>
          <c:showBubbleSize val="0"/>
        </c:dLbls>
        <c:gapWidth val="100"/>
        <c:axId val="529074816"/>
        <c:axId val="529084800"/>
      </c:barChart>
      <c:catAx>
        <c:axId val="529074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9084800"/>
        <c:crosses val="autoZero"/>
        <c:auto val="1"/>
        <c:lblAlgn val="ctr"/>
        <c:lblOffset val="100"/>
        <c:noMultiLvlLbl val="0"/>
      </c:catAx>
      <c:valAx>
        <c:axId val="529084800"/>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9074816"/>
        <c:crosses val="autoZero"/>
        <c:crossBetween val="between"/>
      </c:valAx>
      <c:spPr>
        <a:noFill/>
        <a:ln w="3175">
          <a:solidFill>
            <a:srgbClr val="000000"/>
          </a:solidFill>
          <a:prstDash val="solid"/>
        </a:ln>
      </c:spPr>
    </c:plotArea>
    <c:legend>
      <c:legendPos val="r"/>
      <c:layout>
        <c:manualLayout>
          <c:xMode val="edge"/>
          <c:yMode val="edge"/>
          <c:x val="0.77006568773497908"/>
          <c:y val="0.26323073252207113"/>
          <c:w val="0.22993431226502092"/>
          <c:h val="0.72941132358455196"/>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Care Applications</a:t>
            </a:r>
            <a:r>
              <a:rPr lang="en-GB" sz="1100" baseline="0"/>
              <a:t> to Court </a:t>
            </a:r>
            <a:r>
              <a:rPr lang="en-GB" sz="1100"/>
              <a:t>vs. IDACI</a:t>
            </a:r>
          </a:p>
        </c:rich>
      </c:tx>
      <c:layout>
        <c:manualLayout>
          <c:xMode val="edge"/>
          <c:yMode val="edge"/>
          <c:x val="0.16526729030666037"/>
          <c:y val="2.7076162990938353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'Court Applications'!$AQ$35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1A95-4540-99E3-4FFB3D7A9725}"/>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{ED5A3472-DA34-4E92-ABBB-2E7A03A674AA}</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1A95-4540-99E3-4FFB3D7A9725}"/>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{737DEF7E-03E4-47BF-BBB0-224D2DE8A9BB}</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1A95-4540-99E3-4FFB3D7A9725}"/>
                </c:ext>
              </c:extLst>
            </c:dLbl>
            <c:dLbl>
              <c:idx val="2"/>
              <c:layout>
                <c:manualLayout>
                  <c:x val="-0.20240047625271504"/>
                  <c:y val="0"/>
                </c:manualLayout>
              </c:layout>
              <c:tx>
                <c:strRef>
                  <c:f>ReportData!$K$6</c:f>
                  <c:strCache>
                    <c:ptCount val="1"/>
                    <c:pt idx="0">
                      <c:v>Buckinghamshire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{5DA936C6-5F8C-4432-9849-46888C425DFF}</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1A95-4540-99E3-4FFB3D7A9725}"/>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{AC86C913-A4D1-49DA-9822-83E8F7F81ABB}</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1A95-4540-99E3-4FFB3D7A9725}"/>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{94C7B297-9FCE-4BB2-ADF7-EA82C29516D7}</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5-1A95-4540-99E3-4FFB3D7A9725}"/>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{480604BF-6B9F-4CA8-A30A-61A9532B9571}</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1A95-4540-99E3-4FFB3D7A9725}"/>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{D17E8021-872A-4640-8110-B0C60684C4BE}</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7-1A95-4540-99E3-4FFB3D7A9725}"/>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{54561708-BAA2-4BB4-BDC6-FC4869059767}</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8-1A95-4540-99E3-4FFB3D7A9725}"/>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{97A8E565-392F-43DC-B9BB-32CFDD260D5D}</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1A95-4540-99E3-4FFB3D7A9725}"/>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{81AD94F3-E7AE-4DBE-8876-955AB8F88958}</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1A95-4540-99E3-4FFB3D7A9725}"/>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{D490C45E-5CC0-4003-A080-3DF51D70AE23}</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1A95-4540-99E3-4FFB3D7A9725}"/>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{D9D91171-65FD-4D57-A704-357CCD3149F4}</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C-1A95-4540-99E3-4FFB3D7A9725}"/>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{E147B0D6-B8BA-4A11-9186-96D5E8F9114A}</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0D-1A95-4540-99E3-4FFB3D7A9725}"/>
                </c:ext>
              </c:extLst>
            </c:dLbl>
            <c:dLbl>
              <c:idx val="13"/>
              <c:tx>
                <c:strRef>
                  <c:f>ReportData!$K$17</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{88BCFBFE-21F0-4079-A142-B3A143962EAB}</c15:txfldGUID>
                      <c15:f>ReportData!$K$17</c15:f>
                      <c15:dlblFieldTableCache>
                        <c:ptCount val="1"/>
                        <c:pt idx="0">
                          <c:v>Southampton</c:v>
                        </c:pt>
                      </c15:dlblFieldTableCache>
                    </c15:dlblFTEntry>
                  </c15:dlblFieldTable>
                  <c15:showDataLabelsRange val="0"/>
                </c:ext>
                <c:ext xmlns:c16="http://schemas.microsoft.com/office/drawing/2014/chart" uri="{C3380CC4-5D6E-409C-BE32-E72D297353CC}">
                  <c16:uniqueId val="{0000000E-1A95-4540-99E3-4FFB3D7A9725}"/>
                </c:ext>
              </c:extLst>
            </c:dLbl>
            <c:dLbl>
              <c:idx val="14"/>
              <c:layout>
                <c:manualLayout>
                  <c:x val="-0.10754226904491286"/>
                  <c:y val="0"/>
                </c:manualLayout>
              </c:layout>
              <c:tx>
                <c:strRef>
                  <c:f>ReportData!$K$18</c:f>
                  <c:strCache>
                    <c:ptCount val="1"/>
                    <c:pt idx="0">
                      <c:v>Surrey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{50F2480B-ABD8-4E99-B20C-64E082387F12}</c15:txfldGUID>
                      <c15:f>ReportData!$K$18</c15:f>
                      <c15:dlblFieldTableCache>
                        <c:ptCount val="1"/>
                        <c:pt idx="0">
                          <c:v>Surrey</c:v>
                        </c:pt>
                      </c15:dlblFieldTableCache>
                    </c15:dlblFTEntry>
                  </c15:dlblFieldTable>
                  <c15:showDataLabelsRange val="0"/>
                </c:ext>
                <c:ext xmlns:c16="http://schemas.microsoft.com/office/drawing/2014/chart" uri="{C3380CC4-5D6E-409C-BE32-E72D297353CC}">
                  <c16:uniqueId val="{0000000F-1A95-4540-99E3-4FFB3D7A9725}"/>
                </c:ext>
              </c:extLst>
            </c:dLbl>
            <c:dLbl>
              <c:idx val="15"/>
              <c:tx>
                <c:strRef>
                  <c:f>ReportData!$K$19</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{388B36F7-BBB3-4FA7-B2E7-4B6134A7F901}</c15:txfldGUID>
                      <c15:f>ReportData!$K$19</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1A95-4540-99E3-4FFB3D7A9725}"/>
                </c:ext>
              </c:extLst>
            </c:dLbl>
            <c:dLbl>
              <c:idx val="16"/>
              <c:tx>
                <c:strRef>
                  <c:f>ReportData!$K$20</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{1E109B4A-BD7C-40B0-BF6D-3482BC0F3ECD}</c15:txfldGUID>
                      <c15:f>ReportData!$K$20</c15:f>
                      <c15:dlblFieldTableCache>
                        <c:ptCount val="1"/>
                        <c:pt idx="0">
                          <c:v>West Sussex</c:v>
                        </c:pt>
                      </c15:dlblFieldTableCache>
                    </c15:dlblFTEntry>
                  </c15:dlblFieldTable>
                  <c15:showDataLabelsRange val="0"/>
                </c:ext>
                <c:ext xmlns:c16="http://schemas.microsoft.com/office/drawing/2014/chart" uri="{C3380CC4-5D6E-409C-BE32-E72D297353CC}">
                  <c16:uniqueId val="{00000011-1A95-4540-99E3-4FFB3D7A9725}"/>
                </c:ext>
              </c:extLst>
            </c:dLbl>
            <c:dLbl>
              <c:idx val="17"/>
              <c:layout>
                <c:manualLayout>
                  <c:x val="-2.1259329325208728E-2"/>
                  <c:y val="2.6923397436433155E-2"/>
                </c:manualLayout>
              </c:layout>
              <c:tx>
                <c:strRef>
                  <c:f>ReportData!$K$21</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{949F0055-1345-418E-A512-629D5CE34E98}</c15:txfldGUID>
                      <c15:f>ReportData!$K$21</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1A95-4540-99E3-4FFB3D7A9725}"/>
                </c:ext>
              </c:extLst>
            </c:dLbl>
            <c:dLbl>
              <c:idx val="18"/>
              <c:tx>
                <c:strRef>
                  <c:f>ReportData!$K$22</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{BD0F3303-FA2F-46B3-AF7D-3808ACFF21C7}</c15:txfldGUID>
                      <c15:f>ReportData!$K$22</c15:f>
                      <c15:dlblFieldTableCache>
                        <c:ptCount val="1"/>
                        <c:pt idx="0">
                          <c:v>Wokingham</c:v>
                        </c:pt>
                      </c15:dlblFieldTableCache>
                    </c15:dlblFTEntry>
                  </c15:dlblFieldTable>
                  <c15:showDataLabelsRange val="0"/>
                </c:ext>
                <c:ext xmlns:c16="http://schemas.microsoft.com/office/drawing/2014/chart" uri="{C3380CC4-5D6E-409C-BE32-E72D297353CC}">
                  <c16:uniqueId val="{00000013-1A95-4540-99E3-4FFB3D7A9725}"/>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('Court Applications'!$AQ$38:$AQ$50,'Court Applications'!$AQ$51:$AQ$52,'Court Applications'!$AQ$53:$AQ$56)</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('Court Applications'!$AP$38:$AP$50,'Court Applications'!$AP$51:$AP$52,'Court Applications'!$AP$53:$AP$56)</c:f>
              <c:numCache>
                <c:formatCode>0.0</c:formatCode>
                <c:ptCount val="19"/>
                <c:pt idx="0">
                  <c:v>5.9343037665375089</c:v>
                </c:pt>
                <c:pt idx="1">
                  <c:v>9.6429948999271424</c:v>
                </c:pt>
                <c:pt idx="2">
                  <c:v>6.0337261785356064</c:v>
                </c:pt>
                <c:pt idx="3">
                  <c:v>6.7563654614597608</c:v>
                </c:pt>
                <c:pt idx="4">
                  <c:v>7.7728370855362208</c:v>
                </c:pt>
                <c:pt idx="5">
                  <c:v>13.226384503797252</c:v>
                </c:pt>
                <c:pt idx="6">
                  <c:v>5.8851899911578611</c:v>
                </c:pt>
                <c:pt idx="7">
                  <c:v>10.046935684616193</c:v>
                </c:pt>
                <c:pt idx="8">
                  <c:v>12.225778534829733</c:v>
                </c:pt>
                <c:pt idx="9">
                  <c:v>5.1801580276056516</c:v>
                </c:pt>
                <c:pt idx="10">
                  <c:v>14.654785260122438</c:v>
                </c:pt>
                <c:pt idx="11">
                  <c:v>14.23712726409871</c:v>
                </c:pt>
                <c:pt idx="12">
                  <c:v>5.5742602956587666</c:v>
                </c:pt>
                <c:pt idx="13">
                  <c:v>8.7348381077164348</c:v>
                </c:pt>
                <c:pt idx="14">
                  <c:v>4.2533650516426267</c:v>
                </c:pt>
                <c:pt idx="15">
                  <c:v>9.624911535739562</c:v>
                </c:pt>
                <c:pt idx="16">
                  <c:v>7.5415623882731495</c:v>
                </c:pt>
                <c:pt idx="17">
                  <c:v>8.7512032904524375</c:v>
                </c:pt>
                <c:pt idx="18">
                  <c:v>6.6952948238444847</c:v>
                </c:pt>
              </c:numCache>
            </c:numRef>
          </c:yVal>
          <c:smooth val="0"/>
          <c:extLst>
            <c:ext xmlns:c16="http://schemas.microsoft.com/office/drawing/2014/chart" uri="{C3380CC4-5D6E-409C-BE32-E72D297353CC}">
              <c16:uniqueId val="{00000014-1A95-4540-99E3-4FFB3D7A9725}"/>
            </c:ext>
          </c:extLst>
        </c:ser>
        <c:ser>
          <c:idx val="1"/>
          <c:order val="1"/>
          <c:tx>
            <c:strRef>
              <c:f>'Court Applications'!$Z$4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'Court Applications'!$AQ$59</c:f>
              <c:numCache>
                <c:formatCode>0.0</c:formatCode>
                <c:ptCount val="1"/>
                <c:pt idx="0">
                  <c:v>#N/A</c:v>
                </c:pt>
              </c:numCache>
            </c:numRef>
          </c:xVal>
          <c:yVal>
            <c:numRef>
              <c:f>'Court Applications'!$AP$59</c:f>
              <c:numCache>
                <c:formatCode>0.0</c:formatCode>
                <c:ptCount val="1"/>
                <c:pt idx="0">
                  <c:v>#N/A</c:v>
                </c:pt>
              </c:numCache>
            </c:numRef>
          </c:yVal>
          <c:smooth val="0"/>
          <c:extLst>
            <c:ext xmlns:c16="http://schemas.microsoft.com/office/drawing/2014/chart" uri="{C3380CC4-5D6E-409C-BE32-E72D297353CC}">
              <c16:uniqueId val="{00000019-1A95-4540-99E3-4FFB3D7A9725}"/>
            </c:ext>
          </c:extLst>
        </c:ser>
        <c:ser>
          <c:idx val="4"/>
          <c:order val="2"/>
          <c:tx>
            <c:strRef>
              <c:f>'Court Applications'!$B$30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'Court Applications'!$AQ$57</c:f>
              <c:numCache>
                <c:formatCode>0.0</c:formatCode>
                <c:ptCount val="1"/>
                <c:pt idx="0">
                  <c:v>12.371268250968637</c:v>
                </c:pt>
              </c:numCache>
            </c:numRef>
          </c:xVal>
          <c:yVal>
            <c:numRef>
              <c:f>'Court Applications'!$O$30</c:f>
              <c:numCache>
                <c:formatCode>0.0</c:formatCode>
                <c:ptCount val="1"/>
                <c:pt idx="0">
                  <c:v>7.3055398809319785</c:v>
                </c:pt>
              </c:numCache>
            </c:numRef>
          </c:yVal>
          <c:smooth val="0"/>
          <c:extLst>
            <c:ext xmlns:c16="http://schemas.microsoft.com/office/drawing/2014/chart" uri="{C3380CC4-5D6E-409C-BE32-E72D297353CC}">
              <c16:uniqueId val="{0000001A-1A95-4540-99E3-4FFB3D7A9725}"/>
            </c:ext>
          </c:extLst>
        </c:ser>
        <c:ser>
          <c:idx val="2"/>
          <c:order val="3"/>
          <c:tx>
            <c:strRef>
              <c:f>'Court Applications'!$X$40</c:f>
              <c:strCache>
                <c:ptCount val="1"/>
                <c:pt idx="0">
                  <c:v>National Trend 2024</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B-1A95-4540-99E3-4FFB3D7A9725}"/>
                </c:ext>
              </c:extLst>
            </c:dLbl>
            <c:dLbl>
              <c:idx val="1"/>
              <c:layout>
                <c:manualLayout>
                  <c:x val="-6.3906470825762285E-2"/>
                  <c:y val="-2.7149321266968354E-2"/>
                </c:manualLayout>
              </c:layout>
              <c:tx>
                <c:strRef>
                  <c:f>'Court Applications'!$AC$40</c:f>
                  <c:strCache>
                    <c:ptCount val="1"/>
                    <c:pt idx="0">
                      <c:v>r² = 0.298</c:v>
                    </c:pt>
                  </c:strCache>
                </c:strRef>
              </c:tx>
              <c:spPr/>
              <c:txPr>
                <a:bodyPr/>
                <a:lstStyle/>
                <a:p>
                  <a:pPr>
                    <a:defRPr sz="900"/>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{CD12185E-068E-4C03-B929-E5B4308181F1}</c15:txfldGUID>
                      <c15:f>'Court Applications'!$AC$40</c15:f>
                      <c15:dlblFieldTableCache>
                        <c:ptCount val="1"/>
                        <c:pt idx="0">
                          <c:v>r² = 0.298</c:v>
                        </c:pt>
                      </c15:dlblFieldTableCache>
                    </c15:dlblFTEntry>
                  </c15:dlblFieldTable>
                  <c15:showDataLabelsRange val="0"/>
                </c:ext>
                <c:ext xmlns:c16="http://schemas.microsoft.com/office/drawing/2014/chart" uri="{C3380CC4-5D6E-409C-BE32-E72D297353CC}">
                  <c16:uniqueId val="{0000001C-1A95-4540-99E3-4FFB3D7A972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'Court Applications'!$AA$40:$AA$41</c:f>
              <c:numCache>
                <c:formatCode>General</c:formatCode>
                <c:ptCount val="2"/>
                <c:pt idx="0" formatCode="#,##0.0">
                  <c:v>3</c:v>
                </c:pt>
                <c:pt idx="1">
                  <c:v>22</c:v>
                </c:pt>
              </c:numCache>
            </c:numRef>
          </c:xVal>
          <c:yVal>
            <c:numRef>
              <c:f>'Court Applications'!$AB$40:$AB$41</c:f>
              <c:numCache>
                <c:formatCode>0.0</c:formatCode>
                <c:ptCount val="2"/>
                <c:pt idx="0">
                  <c:v>3.0839985297792434</c:v>
                </c:pt>
                <c:pt idx="1">
                  <c:v>13.253957972255703</c:v>
                </c:pt>
              </c:numCache>
            </c:numRef>
          </c:yVal>
          <c:smooth val="0"/>
          <c:extLst>
            <c:ext xmlns:c16="http://schemas.microsoft.com/office/drawing/2014/chart" uri="{C3380CC4-5D6E-409C-BE32-E72D297353CC}">
              <c16:uniqueId val="{0000001D-1A95-4540-99E3-4FFB3D7A9725}"/>
            </c:ext>
          </c:extLst>
        </c:ser>
        <c:ser>
          <c:idx val="5"/>
          <c:order val="4"/>
          <c:tx>
            <c:strRef>
              <c:f>'Court Applications'!$X$38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1A95-4540-99E3-4FFB3D7A9725}"/>
                </c:ext>
              </c:extLst>
            </c:dLbl>
            <c:dLbl>
              <c:idx val="1"/>
              <c:layout>
                <c:manualLayout>
                  <c:x val="-1.7210024227740765E-2"/>
                  <c:y val="-9.0497737556561094E-3"/>
                </c:manualLayout>
              </c:layout>
              <c:tx>
                <c:strRef>
                  <c:f>'Court Applications'!$AC$39</c:f>
                  <c:strCache>
                    <c:ptCount val="1"/>
                    <c:pt idx="0">
                      <c:v>r² = 0.321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{C3924DB5-261D-4DD0-A969-39B7BD50192E}</c15:txfldGUID>
                      <c15:f>'Court Applications'!$AC$39</c15:f>
                      <c15:dlblFieldTableCache>
                        <c:ptCount val="1"/>
                        <c:pt idx="0">
                          <c:v>r² = 0.321</c:v>
                        </c:pt>
                      </c15:dlblFieldTableCache>
                    </c15:dlblFTEntry>
                  </c15:dlblFieldTable>
                  <c15:showDataLabelsRange val="0"/>
                </c:ext>
                <c:ext xmlns:c16="http://schemas.microsoft.com/office/drawing/2014/chart" uri="{C3380CC4-5D6E-409C-BE32-E72D297353CC}">
                  <c16:uniqueId val="{0000001F-1A95-4540-99E3-4FFB3D7A9725}"/>
                </c:ext>
              </c:extLst>
            </c:dLbl>
            <c:spPr>
              <a:noFill/>
              <a:ln>
                <a:noFill/>
              </a:ln>
              <a:effectLst/>
            </c:spPr>
            <c:txPr>
              <a:bodyPr wrap="square" lIns="38100" tIns="19050" rIns="38100" bIns="19050" anchor="ctr">
                <a:spAutoFit/>
              </a:bodyPr>
              <a:lstStyle/>
              <a:p>
                <a:pPr>
                  <a:defRPr sz="9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'Court Applications'!$AA$38:$AA$39</c:f>
              <c:numCache>
                <c:formatCode>General</c:formatCode>
                <c:ptCount val="2"/>
                <c:pt idx="0" formatCode="#,##0.0">
                  <c:v>3</c:v>
                </c:pt>
                <c:pt idx="1">
                  <c:v>22</c:v>
                </c:pt>
              </c:numCache>
            </c:numRef>
          </c:xVal>
          <c:yVal>
            <c:numRef>
              <c:f>'Court Applications'!$AB$38:$AB$39</c:f>
              <c:numCache>
                <c:formatCode>0.0</c:formatCode>
                <c:ptCount val="2"/>
                <c:pt idx="0">
                  <c:v>4.7704995479162093</c:v>
                </c:pt>
                <c:pt idx="1">
                  <c:v>11.930991105292009</c:v>
                </c:pt>
              </c:numCache>
            </c:numRef>
          </c:yVal>
          <c:smooth val="0"/>
          <c:extLst>
            <c:ext xmlns:c16="http://schemas.microsoft.com/office/drawing/2014/chart" uri="{C3380CC4-5D6E-409C-BE32-E72D297353CC}">
              <c16:uniqueId val="{00000020-1A95-4540-99E3-4FFB3D7A9725}"/>
            </c:ext>
          </c:extLst>
        </c:ser>
        <c:dLbls>
          <c:showLegendKey val="0"/>
          <c:showVal val="0"/>
          <c:showCatName val="0"/>
          <c:showSerName val="0"/>
          <c:showPercent val="0"/>
          <c:showBubbleSize val="0"/>
        </c:dLbls>
        <c:axId val="587995392"/>
        <c:axId val="588013952"/>
      </c:scatterChart>
      <c:valAx>
        <c:axId val="587995392"/>
        <c:scaling>
          <c:orientation val="minMax"/>
          <c:max val="25"/>
          <c:min val="0"/>
        </c:scaling>
        <c:delete val="0"/>
        <c:axPos val="b"/>
        <c:title>
          <c:tx>
            <c:strRef>
              <c:f>ReportData!$C$5</c:f>
              <c:strCache>
                <c:ptCount val="1"/>
                <c:pt idx="0">
                  <c:v>Local Authority IDACI Score 2019</c:v>
                </c:pt>
              </c:strCache>
            </c:strRef>
          </c:tx>
          <c:layout>
            <c:manualLayout>
              <c:xMode val="edge"/>
              <c:yMode val="edge"/>
              <c:x val="0.28959746618211185"/>
              <c:y val="0.9192924074535932"/>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8013952"/>
        <c:crosses val="autoZero"/>
        <c:crossBetween val="midCat"/>
        <c:majorUnit val="5"/>
      </c:valAx>
      <c:valAx>
        <c:axId val="588013952"/>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a:t>Rate of Care Applications to Court per 10,000 0-17 year olds</a:t>
                </a:r>
              </a:p>
            </c:rich>
          </c:tx>
          <c:layout>
            <c:manualLayout>
              <c:xMode val="edge"/>
              <c:yMode val="edge"/>
              <c:x val="4.5467898243488791E-2"/>
              <c:y val="9.202931081578603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7995392"/>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Children subject</a:t>
            </a:r>
            <a:r>
              <a:rPr lang="en-GB" sz="1100" baseline="0"/>
              <a:t> to</a:t>
            </a:r>
            <a:r>
              <a:rPr lang="en-GB" sz="1100"/>
              <a:t> Care Applications to Court, per 10,000 0-17 year olds</a:t>
            </a:r>
          </a:p>
        </c:rich>
      </c:tx>
      <c:layout>
        <c:manualLayout>
          <c:xMode val="edge"/>
          <c:yMode val="edge"/>
          <c:x val="0.11894728783902012"/>
          <c:y val="1.2589354296580521E-2"/>
        </c:manualLayout>
      </c:layout>
      <c:overlay val="0"/>
      <c:spPr>
        <a:noFill/>
        <a:ln w="25400">
          <a:noFill/>
        </a:ln>
      </c:spPr>
    </c:title>
    <c:autoTitleDeleted val="0"/>
    <c:plotArea>
      <c:layout>
        <c:manualLayout>
          <c:layoutTarget val="inner"/>
          <c:xMode val="edge"/>
          <c:yMode val="edge"/>
          <c:x val="7.1224466506904033E-2"/>
          <c:y val="7.5616446156444389E-2"/>
          <c:w val="0.58082939198782513"/>
          <c:h val="0.86466476534538173"/>
        </c:manualLayout>
      </c:layout>
      <c:lineChart>
        <c:grouping val="standard"/>
        <c:varyColors val="0"/>
        <c:ser>
          <c:idx val="0"/>
          <c:order val="0"/>
          <c:tx>
            <c:strRef>
              <c:f>'Court Applications'!$AK$139</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AE45-4685-BE25-D10B72C4BE5F}"/>
              </c:ext>
            </c:extLst>
          </c:dPt>
          <c:cat>
            <c:strRef>
              <c:f>'Court Applications'!$Y$2:$AC$3</c:f>
              <c:strCache>
                <c:ptCount val="5"/>
                <c:pt idx="0">
                  <c:v>2019/20</c:v>
                </c:pt>
                <c:pt idx="1">
                  <c:v>2020/21</c:v>
                </c:pt>
                <c:pt idx="2">
                  <c:v>2021/22</c:v>
                </c:pt>
                <c:pt idx="3">
                  <c:v>2022/23</c:v>
                </c:pt>
                <c:pt idx="4">
                  <c:v>2023/24</c:v>
                </c:pt>
              </c:strCache>
            </c:strRef>
          </c:cat>
          <c:val>
            <c:numRef>
              <c:f>'Court Applications'!$AL$139:$AP$139</c:f>
              <c:numCache>
                <c:formatCode>0.0</c:formatCode>
                <c:ptCount val="5"/>
                <c:pt idx="0">
                  <c:v>16.484724155615794</c:v>
                </c:pt>
                <c:pt idx="1">
                  <c:v>8.6975429441182861</c:v>
                </c:pt>
                <c:pt idx="2">
                  <c:v>14.01718003090968</c:v>
                </c:pt>
                <c:pt idx="3">
                  <c:v>13.413342746205435</c:v>
                </c:pt>
                <c:pt idx="4">
                  <c:v>7.6796872272838339</c:v>
                </c:pt>
              </c:numCache>
            </c:numRef>
          </c:val>
          <c:smooth val="0"/>
          <c:extLst>
            <c:ext xmlns:c16="http://schemas.microsoft.com/office/drawing/2014/chart" uri="{C3380CC4-5D6E-409C-BE32-E72D297353CC}">
              <c16:uniqueId val="{00000001-AE45-4685-BE25-D10B72C4BE5F}"/>
            </c:ext>
          </c:extLst>
        </c:ser>
        <c:ser>
          <c:idx val="1"/>
          <c:order val="1"/>
          <c:tx>
            <c:strRef>
              <c:f>'Court Applications'!$AK$140</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Applications'!$AL$140:$AP$140</c:f>
              <c:numCache>
                <c:formatCode>0.0</c:formatCode>
                <c:ptCount val="5"/>
                <c:pt idx="0">
                  <c:v>26.238585182430477</c:v>
                </c:pt>
                <c:pt idx="1">
                  <c:v>18.764073054791094</c:v>
                </c:pt>
                <c:pt idx="2">
                  <c:v>21.007957559681699</c:v>
                </c:pt>
                <c:pt idx="3">
                  <c:v>10.606703436571914</c:v>
                </c:pt>
                <c:pt idx="4">
                  <c:v>18.000257146530664</c:v>
                </c:pt>
              </c:numCache>
            </c:numRef>
          </c:val>
          <c:smooth val="0"/>
          <c:extLst>
            <c:ext xmlns:c16="http://schemas.microsoft.com/office/drawing/2014/chart" uri="{C3380CC4-5D6E-409C-BE32-E72D297353CC}">
              <c16:uniqueId val="{00000002-AE45-4685-BE25-D10B72C4BE5F}"/>
            </c:ext>
          </c:extLst>
        </c:ser>
        <c:ser>
          <c:idx val="2"/>
          <c:order val="2"/>
          <c:tx>
            <c:strRef>
              <c:f>'Court Applications'!$AK$141</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Applications'!$AL$141:$AP$141</c:f>
              <c:numCache>
                <c:formatCode>0.0</c:formatCode>
                <c:ptCount val="5"/>
                <c:pt idx="0">
                  <c:v>11.380662698445187</c:v>
                </c:pt>
                <c:pt idx="1">
                  <c:v>12.245397771337606</c:v>
                </c:pt>
                <c:pt idx="2">
                  <c:v>10.363533317140313</c:v>
                </c:pt>
                <c:pt idx="3">
                  <c:v>6.671167057141723</c:v>
                </c:pt>
                <c:pt idx="4">
                  <c:v>10.265170511534604</c:v>
                </c:pt>
              </c:numCache>
            </c:numRef>
          </c:val>
          <c:smooth val="0"/>
          <c:extLst>
            <c:ext xmlns:c16="http://schemas.microsoft.com/office/drawing/2014/chart" uri="{C3380CC4-5D6E-409C-BE32-E72D297353CC}">
              <c16:uniqueId val="{00000003-AE45-4685-BE25-D10B72C4BE5F}"/>
            </c:ext>
          </c:extLst>
        </c:ser>
        <c:ser>
          <c:idx val="5"/>
          <c:order val="3"/>
          <c:tx>
            <c:strRef>
              <c:f>'Court Applications'!$AK$142</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Applications'!$AL$142:$AP$142</c:f>
              <c:numCache>
                <c:formatCode>0.0</c:formatCode>
                <c:ptCount val="5"/>
                <c:pt idx="0">
                  <c:v>10.396323393670874</c:v>
                </c:pt>
                <c:pt idx="1">
                  <c:v>13.083509895624836</c:v>
                </c:pt>
                <c:pt idx="2">
                  <c:v>10.396335782030031</c:v>
                </c:pt>
                <c:pt idx="3">
                  <c:v>12.253829321663019</c:v>
                </c:pt>
                <c:pt idx="4">
                  <c:v>11.77537980425844</c:v>
                </c:pt>
              </c:numCache>
            </c:numRef>
          </c:val>
          <c:smooth val="0"/>
          <c:extLst>
            <c:ext xmlns:c16="http://schemas.microsoft.com/office/drawing/2014/chart" uri="{C3380CC4-5D6E-409C-BE32-E72D297353CC}">
              <c16:uniqueId val="{00000004-AE45-4685-BE25-D10B72C4BE5F}"/>
            </c:ext>
          </c:extLst>
        </c:ser>
        <c:ser>
          <c:idx val="9"/>
          <c:order val="4"/>
          <c:tx>
            <c:strRef>
              <c:f>'Court Applications'!$AK$143</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Applications'!$AL$143:$AP$143</c:f>
              <c:numCache>
                <c:formatCode>0.0</c:formatCode>
                <c:ptCount val="5"/>
                <c:pt idx="0">
                  <c:v>11.741963198968998</c:v>
                </c:pt>
                <c:pt idx="1">
                  <c:v>15.564842777197327</c:v>
                </c:pt>
                <c:pt idx="2">
                  <c:v>13.953703604825417</c:v>
                </c:pt>
                <c:pt idx="3">
                  <c:v>13.439769724890382</c:v>
                </c:pt>
                <c:pt idx="4">
                  <c:v>12.954728475893702</c:v>
                </c:pt>
              </c:numCache>
            </c:numRef>
          </c:val>
          <c:smooth val="0"/>
          <c:extLst>
            <c:ext xmlns:c16="http://schemas.microsoft.com/office/drawing/2014/chart" uri="{C3380CC4-5D6E-409C-BE32-E72D297353CC}">
              <c16:uniqueId val="{00000005-AE45-4685-BE25-D10B72C4BE5F}"/>
            </c:ext>
          </c:extLst>
        </c:ser>
        <c:ser>
          <c:idx val="10"/>
          <c:order val="5"/>
          <c:tx>
            <c:strRef>
              <c:f>'Court Applications'!$AK$144</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Applications'!$AL$144:$AP$144</c:f>
              <c:numCache>
                <c:formatCode>0.0</c:formatCode>
                <c:ptCount val="5"/>
                <c:pt idx="0">
                  <c:v>18.517756470927122</c:v>
                </c:pt>
                <c:pt idx="1">
                  <c:v>23.438807969194709</c:v>
                </c:pt>
                <c:pt idx="2">
                  <c:v>28.346589947537655</c:v>
                </c:pt>
                <c:pt idx="3">
                  <c:v>29.744199881023199</c:v>
                </c:pt>
                <c:pt idx="4">
                  <c:v>22.186193361208293</c:v>
                </c:pt>
              </c:numCache>
            </c:numRef>
          </c:val>
          <c:smooth val="0"/>
          <c:extLst>
            <c:ext xmlns:c16="http://schemas.microsoft.com/office/drawing/2014/chart" uri="{C3380CC4-5D6E-409C-BE32-E72D297353CC}">
              <c16:uniqueId val="{00000006-AE45-4685-BE25-D10B72C4BE5F}"/>
            </c:ext>
          </c:extLst>
        </c:ser>
        <c:ser>
          <c:idx val="11"/>
          <c:order val="6"/>
          <c:tx>
            <c:strRef>
              <c:f>'Court Applications'!$AK$145</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Applications'!$AL$145:$AP$145</c:f>
              <c:numCache>
                <c:formatCode>0.0</c:formatCode>
                <c:ptCount val="5"/>
                <c:pt idx="0">
                  <c:v>13.679603291504545</c:v>
                </c:pt>
                <c:pt idx="1">
                  <c:v>11.213310049517977</c:v>
                </c:pt>
                <c:pt idx="2">
                  <c:v>12.228830882112286</c:v>
                </c:pt>
                <c:pt idx="3">
                  <c:v>13.358299937583491</c:v>
                </c:pt>
                <c:pt idx="4">
                  <c:v>9.1866380349781238</c:v>
                </c:pt>
              </c:numCache>
            </c:numRef>
          </c:val>
          <c:smooth val="0"/>
          <c:extLst>
            <c:ext xmlns:c16="http://schemas.microsoft.com/office/drawing/2014/chart" uri="{C3380CC4-5D6E-409C-BE32-E72D297353CC}">
              <c16:uniqueId val="{00000007-AE45-4685-BE25-D10B72C4BE5F}"/>
            </c:ext>
          </c:extLst>
        </c:ser>
        <c:ser>
          <c:idx val="12"/>
          <c:order val="7"/>
          <c:tx>
            <c:strRef>
              <c:f>'Court Applications'!$AK$146</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Applications'!$AL$146:$AP$146</c:f>
              <c:numCache>
                <c:formatCode>0.0</c:formatCode>
                <c:ptCount val="5"/>
                <c:pt idx="0">
                  <c:v>24.343510491267747</c:v>
                </c:pt>
                <c:pt idx="1">
                  <c:v>19.78177250961614</c:v>
                </c:pt>
                <c:pt idx="2">
                  <c:v>22.094426250058763</c:v>
                </c:pt>
                <c:pt idx="3">
                  <c:v>23.708721422523283</c:v>
                </c:pt>
                <c:pt idx="4">
                  <c:v>16.794877562343483</c:v>
                </c:pt>
              </c:numCache>
            </c:numRef>
          </c:val>
          <c:smooth val="0"/>
          <c:extLst>
            <c:ext xmlns:c16="http://schemas.microsoft.com/office/drawing/2014/chart" uri="{C3380CC4-5D6E-409C-BE32-E72D297353CC}">
              <c16:uniqueId val="{00000008-AE45-4685-BE25-D10B72C4BE5F}"/>
            </c:ext>
          </c:extLst>
        </c:ser>
        <c:ser>
          <c:idx val="13"/>
          <c:order val="8"/>
          <c:tx>
            <c:strRef>
              <c:f>'Court Applications'!$AK$147</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Applications'!$AL$147:$AP$147</c:f>
              <c:numCache>
                <c:formatCode>0.0</c:formatCode>
                <c:ptCount val="5"/>
                <c:pt idx="0">
                  <c:v>15.209235627272333</c:v>
                </c:pt>
                <c:pt idx="1">
                  <c:v>18.901955125892794</c:v>
                </c:pt>
                <c:pt idx="2">
                  <c:v>15.365836145616429</c:v>
                </c:pt>
                <c:pt idx="3">
                  <c:v>17.194965539597749</c:v>
                </c:pt>
                <c:pt idx="4">
                  <c:v>21.017349616055608</c:v>
                </c:pt>
              </c:numCache>
            </c:numRef>
          </c:val>
          <c:smooth val="0"/>
          <c:extLst>
            <c:ext xmlns:c16="http://schemas.microsoft.com/office/drawing/2014/chart" uri="{C3380CC4-5D6E-409C-BE32-E72D297353CC}">
              <c16:uniqueId val="{00000009-AE45-4685-BE25-D10B72C4BE5F}"/>
            </c:ext>
          </c:extLst>
        </c:ser>
        <c:ser>
          <c:idx val="15"/>
          <c:order val="9"/>
          <c:tx>
            <c:strRef>
              <c:f>'Court Applications'!$AK$148</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Applications'!$AL$148:$AP$148</c:f>
              <c:numCache>
                <c:formatCode>0.0</c:formatCode>
                <c:ptCount val="5"/>
                <c:pt idx="0">
                  <c:v>17.309543097300402</c:v>
                </c:pt>
                <c:pt idx="1">
                  <c:v>15.838147900756788</c:v>
                </c:pt>
                <c:pt idx="2">
                  <c:v>15.921499490922013</c:v>
                </c:pt>
                <c:pt idx="3">
                  <c:v>13.374526876111757</c:v>
                </c:pt>
                <c:pt idx="4">
                  <c:v>7.6718796105045737</c:v>
                </c:pt>
              </c:numCache>
            </c:numRef>
          </c:val>
          <c:smooth val="0"/>
          <c:extLst>
            <c:ext xmlns:c16="http://schemas.microsoft.com/office/drawing/2014/chart" uri="{C3380CC4-5D6E-409C-BE32-E72D297353CC}">
              <c16:uniqueId val="{0000000A-AE45-4685-BE25-D10B72C4BE5F}"/>
            </c:ext>
          </c:extLst>
        </c:ser>
        <c:ser>
          <c:idx val="16"/>
          <c:order val="10"/>
          <c:tx>
            <c:strRef>
              <c:f>'Court Applications'!$AK$149</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Applications'!$AL$149:$AP$149</c:f>
              <c:numCache>
                <c:formatCode>0.0</c:formatCode>
                <c:ptCount val="5"/>
                <c:pt idx="0">
                  <c:v>19.508481431256396</c:v>
                </c:pt>
                <c:pt idx="1">
                  <c:v>16.959273856443328</c:v>
                </c:pt>
                <c:pt idx="2">
                  <c:v>16.647767027770406</c:v>
                </c:pt>
                <c:pt idx="3">
                  <c:v>24.599364715435506</c:v>
                </c:pt>
                <c:pt idx="4">
                  <c:v>25.76405795731203</c:v>
                </c:pt>
              </c:numCache>
            </c:numRef>
          </c:val>
          <c:smooth val="0"/>
          <c:extLst>
            <c:ext xmlns:c16="http://schemas.microsoft.com/office/drawing/2014/chart" uri="{C3380CC4-5D6E-409C-BE32-E72D297353CC}">
              <c16:uniqueId val="{0000000B-AE45-4685-BE25-D10B72C4BE5F}"/>
            </c:ext>
          </c:extLst>
        </c:ser>
        <c:ser>
          <c:idx val="17"/>
          <c:order val="11"/>
          <c:tx>
            <c:strRef>
              <c:f>'Court Applications'!$AK$150</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Applications'!$AL$150:$AP$150</c:f>
              <c:numCache>
                <c:formatCode>0.0</c:formatCode>
                <c:ptCount val="5"/>
                <c:pt idx="0">
                  <c:v>20.523899540912772</c:v>
                </c:pt>
                <c:pt idx="1">
                  <c:v>18.122312082442996</c:v>
                </c:pt>
                <c:pt idx="2">
                  <c:v>9.9080750811911713</c:v>
                </c:pt>
                <c:pt idx="3">
                  <c:v>15.566290928609769</c:v>
                </c:pt>
                <c:pt idx="4">
                  <c:v>22.673943420601653</c:v>
                </c:pt>
              </c:numCache>
            </c:numRef>
          </c:val>
          <c:smooth val="0"/>
          <c:extLst>
            <c:ext xmlns:c16="http://schemas.microsoft.com/office/drawing/2014/chart" uri="{C3380CC4-5D6E-409C-BE32-E72D297353CC}">
              <c16:uniqueId val="{0000000C-AE45-4685-BE25-D10B72C4BE5F}"/>
            </c:ext>
          </c:extLst>
        </c:ser>
        <c:ser>
          <c:idx val="19"/>
          <c:order val="12"/>
          <c:tx>
            <c:strRef>
              <c:f>'Court Applications'!$AK$151</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Applications'!$AL$151:$AP$151</c:f>
              <c:numCache>
                <c:formatCode>0.0</c:formatCode>
                <c:ptCount val="5"/>
                <c:pt idx="0">
                  <c:v>18.62968329538398</c:v>
                </c:pt>
                <c:pt idx="1">
                  <c:v>23.462414578587698</c:v>
                </c:pt>
                <c:pt idx="2">
                  <c:v>14.17564076182637</c:v>
                </c:pt>
                <c:pt idx="3">
                  <c:v>15.819209039548022</c:v>
                </c:pt>
                <c:pt idx="4">
                  <c:v>8.2499052375749731</c:v>
                </c:pt>
              </c:numCache>
            </c:numRef>
          </c:val>
          <c:smooth val="0"/>
          <c:extLst>
            <c:ext xmlns:c16="http://schemas.microsoft.com/office/drawing/2014/chart" uri="{C3380CC4-5D6E-409C-BE32-E72D297353CC}">
              <c16:uniqueId val="{0000000D-AE45-4685-BE25-D10B72C4BE5F}"/>
            </c:ext>
          </c:extLst>
        </c:ser>
        <c:ser>
          <c:idx val="20"/>
          <c:order val="13"/>
          <c:tx>
            <c:strRef>
              <c:f>'Court Applications'!$AK$152</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Applications'!$AL$152:$AP$152</c:f>
              <c:numCache>
                <c:formatCode>0.0</c:formatCode>
                <c:ptCount val="5"/>
                <c:pt idx="0">
                  <c:v>31.862547390497699</c:v>
                </c:pt>
                <c:pt idx="1">
                  <c:v>30.76180710537427</c:v>
                </c:pt>
                <c:pt idx="2">
                  <c:v>34.016360249453307</c:v>
                </c:pt>
                <c:pt idx="3">
                  <c:v>23.460528162659664</c:v>
                </c:pt>
                <c:pt idx="4">
                  <c:v>14.293371448990529</c:v>
                </c:pt>
              </c:numCache>
            </c:numRef>
          </c:val>
          <c:smooth val="0"/>
          <c:extLst>
            <c:ext xmlns:c16="http://schemas.microsoft.com/office/drawing/2014/chart" uri="{C3380CC4-5D6E-409C-BE32-E72D297353CC}">
              <c16:uniqueId val="{0000000F-AE45-4685-BE25-D10B72C4BE5F}"/>
            </c:ext>
          </c:extLst>
        </c:ser>
        <c:ser>
          <c:idx val="22"/>
          <c:order val="14"/>
          <c:tx>
            <c:strRef>
              <c:f>'Court Applications'!$AK$153</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Applications'!$AL$153:$AP$153</c:f>
              <c:numCache>
                <c:formatCode>0.0</c:formatCode>
                <c:ptCount val="5"/>
                <c:pt idx="0">
                  <c:v>9.1844445736208797</c:v>
                </c:pt>
                <c:pt idx="1">
                  <c:v>13.035792340214838</c:v>
                </c:pt>
                <c:pt idx="2">
                  <c:v>10.289493155752867</c:v>
                </c:pt>
                <c:pt idx="3">
                  <c:v>7.8547739570605692</c:v>
                </c:pt>
                <c:pt idx="4">
                  <c:v>6.5870697702430068</c:v>
                </c:pt>
              </c:numCache>
            </c:numRef>
          </c:val>
          <c:smooth val="0"/>
          <c:extLst>
            <c:ext xmlns:c16="http://schemas.microsoft.com/office/drawing/2014/chart" uri="{C3380CC4-5D6E-409C-BE32-E72D297353CC}">
              <c16:uniqueId val="{00000010-AE45-4685-BE25-D10B72C4BE5F}"/>
            </c:ext>
          </c:extLst>
        </c:ser>
        <c:ser>
          <c:idx val="23"/>
          <c:order val="15"/>
          <c:tx>
            <c:strRef>
              <c:f>'Court Applications'!$AK$154</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Applications'!$AL$154:$AP$154</c:f>
              <c:numCache>
                <c:formatCode>0.0</c:formatCode>
                <c:ptCount val="5"/>
                <c:pt idx="0">
                  <c:v>11.693904908587889</c:v>
                </c:pt>
                <c:pt idx="1">
                  <c:v>7.7532736044107509</c:v>
                </c:pt>
                <c:pt idx="2">
                  <c:v>11.27330539095245</c:v>
                </c:pt>
                <c:pt idx="3">
                  <c:v>13.748854262144821</c:v>
                </c:pt>
                <c:pt idx="4">
                  <c:v>18.117480537862704</c:v>
                </c:pt>
              </c:numCache>
            </c:numRef>
          </c:val>
          <c:smooth val="0"/>
          <c:extLst>
            <c:ext xmlns:c16="http://schemas.microsoft.com/office/drawing/2014/chart" uri="{C3380CC4-5D6E-409C-BE32-E72D297353CC}">
              <c16:uniqueId val="{00000013-AE45-4685-BE25-D10B72C4BE5F}"/>
            </c:ext>
          </c:extLst>
        </c:ser>
        <c:ser>
          <c:idx val="24"/>
          <c:order val="16"/>
          <c:tx>
            <c:strRef>
              <c:f>'Court Applications'!$AK$155</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Applications'!$AL$155:$AP$155</c:f>
              <c:numCache>
                <c:formatCode>0.0</c:formatCode>
                <c:ptCount val="5"/>
                <c:pt idx="0">
                  <c:v>19.360303311418548</c:v>
                </c:pt>
                <c:pt idx="1">
                  <c:v>22.37265130296251</c:v>
                </c:pt>
                <c:pt idx="2">
                  <c:v>12.011393664847798</c:v>
                </c:pt>
                <c:pt idx="3">
                  <c:v>14.096498993509972</c:v>
                </c:pt>
                <c:pt idx="4">
                  <c:v>11.843046120843763</c:v>
                </c:pt>
              </c:numCache>
            </c:numRef>
          </c:val>
          <c:smooth val="0"/>
          <c:extLst>
            <c:ext xmlns:c16="http://schemas.microsoft.com/office/drawing/2014/chart" uri="{C3380CC4-5D6E-409C-BE32-E72D297353CC}">
              <c16:uniqueId val="{00000014-AE45-4685-BE25-D10B72C4BE5F}"/>
            </c:ext>
          </c:extLst>
        </c:ser>
        <c:ser>
          <c:idx val="25"/>
          <c:order val="17"/>
          <c:tx>
            <c:strRef>
              <c:f>'Court Applications'!$AK$156</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Applications'!$AL$156:$AP$156</c:f>
              <c:numCache>
                <c:formatCode>0.0</c:formatCode>
                <c:ptCount val="5"/>
                <c:pt idx="0">
                  <c:v>11.670654140164556</c:v>
                </c:pt>
                <c:pt idx="1">
                  <c:v>10.562450488513335</c:v>
                </c:pt>
                <c:pt idx="2">
                  <c:v>15.054906128232377</c:v>
                </c:pt>
                <c:pt idx="3">
                  <c:v>16.122885703397532</c:v>
                </c:pt>
                <c:pt idx="4">
                  <c:v>14.585338817420729</c:v>
                </c:pt>
              </c:numCache>
            </c:numRef>
          </c:val>
          <c:smooth val="0"/>
          <c:extLst>
            <c:ext xmlns:c16="http://schemas.microsoft.com/office/drawing/2014/chart" uri="{C3380CC4-5D6E-409C-BE32-E72D297353CC}">
              <c16:uniqueId val="{00000015-AE45-4685-BE25-D10B72C4BE5F}"/>
            </c:ext>
          </c:extLst>
        </c:ser>
        <c:ser>
          <c:idx val="26"/>
          <c:order val="18"/>
          <c:tx>
            <c:strRef>
              <c:f>'Court Applications'!$AK$157</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Applications'!$AL$157:$AP$157</c:f>
              <c:numCache>
                <c:formatCode>0.0</c:formatCode>
                <c:ptCount val="5"/>
                <c:pt idx="0">
                  <c:v>10.057326762546515</c:v>
                </c:pt>
                <c:pt idx="1">
                  <c:v>11.858879335902756</c:v>
                </c:pt>
                <c:pt idx="2">
                  <c:v>11.670597388703834</c:v>
                </c:pt>
                <c:pt idx="3">
                  <c:v>13.170272812793979</c:v>
                </c:pt>
                <c:pt idx="4">
                  <c:v>10.850995059334164</c:v>
                </c:pt>
              </c:numCache>
            </c:numRef>
          </c:val>
          <c:smooth val="0"/>
          <c:extLst>
            <c:ext xmlns:c16="http://schemas.microsoft.com/office/drawing/2014/chart" uri="{C3380CC4-5D6E-409C-BE32-E72D297353CC}">
              <c16:uniqueId val="{00000016-AE45-4685-BE25-D10B72C4BE5F}"/>
            </c:ext>
          </c:extLst>
        </c:ser>
        <c:ser>
          <c:idx val="4"/>
          <c:order val="19"/>
          <c:tx>
            <c:strRef>
              <c:f>'Court Applications'!$AK$158</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'Court Applications'!$Y$2:$AC$3</c:f>
              <c:strCache>
                <c:ptCount val="5"/>
                <c:pt idx="0">
                  <c:v>2019/20</c:v>
                </c:pt>
                <c:pt idx="1">
                  <c:v>2020/21</c:v>
                </c:pt>
                <c:pt idx="2">
                  <c:v>2021/22</c:v>
                </c:pt>
                <c:pt idx="3">
                  <c:v>2022/23</c:v>
                </c:pt>
                <c:pt idx="4">
                  <c:v>2023/24</c:v>
                </c:pt>
              </c:strCache>
            </c:strRef>
          </c:cat>
          <c:val>
            <c:numRef>
              <c:f>'Court Applications'!$AL$158:$AP$158</c:f>
              <c:numCache>
                <c:formatCode>0.0</c:formatCode>
                <c:ptCount val="5"/>
                <c:pt idx="0">
                  <c:v>14.773983471605991</c:v>
                </c:pt>
                <c:pt idx="1">
                  <c:v>15.444927335812187</c:v>
                </c:pt>
                <c:pt idx="2">
                  <c:v>13.808986535075755</c:v>
                </c:pt>
                <c:pt idx="3">
                  <c:v>13.469277884890849</c:v>
                </c:pt>
                <c:pt idx="4">
                  <c:v>11.739791911559898</c:v>
                </c:pt>
              </c:numCache>
            </c:numRef>
          </c:val>
          <c:smooth val="0"/>
          <c:extLst>
            <c:ext xmlns:c16="http://schemas.microsoft.com/office/drawing/2014/chart" uri="{C3380CC4-5D6E-409C-BE32-E72D297353CC}">
              <c16:uniqueId val="{00000017-AE45-4685-BE25-D10B72C4BE5F}"/>
            </c:ext>
          </c:extLst>
        </c:ser>
        <c:ser>
          <c:idx val="14"/>
          <c:order val="20"/>
          <c:tx>
            <c:strRef>
              <c:f>'Court Applications'!$AK$159</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'Court Applications'!$Y$2:$AC$3</c:f>
              <c:strCache>
                <c:ptCount val="5"/>
                <c:pt idx="0">
                  <c:v>2019/20</c:v>
                </c:pt>
                <c:pt idx="1">
                  <c:v>2020/21</c:v>
                </c:pt>
                <c:pt idx="2">
                  <c:v>2021/22</c:v>
                </c:pt>
                <c:pt idx="3">
                  <c:v>2022/23</c:v>
                </c:pt>
                <c:pt idx="4">
                  <c:v>2023/24</c:v>
                </c:pt>
              </c:strCache>
            </c:strRef>
          </c:cat>
          <c:val>
            <c:numRef>
              <c:f>'Court Applications'!$AL$159:$AP$159</c:f>
              <c:numCache>
                <c:formatCode>0.0</c:formatCode>
                <c:ptCount val="5"/>
                <c:pt idx="0">
                  <c:v>17.900016386084651</c:v>
                </c:pt>
                <c:pt idx="1">
                  <c:v>17.591926021102847</c:v>
                </c:pt>
                <c:pt idx="2">
                  <c:v>16.285130220682387</c:v>
                </c:pt>
                <c:pt idx="3">
                  <c:v>16.362397145027561</c:v>
                </c:pt>
                <c:pt idx="4">
                  <c:v>15.740942769709182</c:v>
                </c:pt>
              </c:numCache>
            </c:numRef>
          </c:val>
          <c:smooth val="0"/>
          <c:extLst>
            <c:ext xmlns:c16="http://schemas.microsoft.com/office/drawing/2014/chart" uri="{C3380CC4-5D6E-409C-BE32-E72D297353CC}">
              <c16:uniqueId val="{00000018-AE45-4685-BE25-D10B72C4BE5F}"/>
            </c:ext>
          </c:extLst>
        </c:ser>
        <c:ser>
          <c:idx val="6"/>
          <c:order val="21"/>
          <c:tx>
            <c:strRef>
              <c:f>'Court Applications'!$AK$160</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'Court Applications'!$Y$2:$AC$3</c:f>
              <c:strCache>
                <c:ptCount val="5"/>
                <c:pt idx="0">
                  <c:v>2019/20</c:v>
                </c:pt>
                <c:pt idx="1">
                  <c:v>2020/21</c:v>
                </c:pt>
                <c:pt idx="2">
                  <c:v>2021/22</c:v>
                </c:pt>
                <c:pt idx="3">
                  <c:v>2022/23</c:v>
                </c:pt>
                <c:pt idx="4">
                  <c:v>2023/24</c:v>
                </c:pt>
              </c:strCache>
            </c:strRef>
          </c:cat>
          <c:val>
            <c:numRef>
              <c:f>'Court Applications'!$AL$160:$AP$160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AE45-4685-BE25-D10B72C4BE5F}"/>
            </c:ext>
          </c:extLst>
        </c:ser>
        <c:dLbls>
          <c:showLegendKey val="0"/>
          <c:showVal val="0"/>
          <c:showCatName val="0"/>
          <c:showSerName val="0"/>
          <c:showPercent val="0"/>
          <c:showBubbleSize val="0"/>
        </c:dLbls>
        <c:marker val="1"/>
        <c:smooth val="0"/>
        <c:axId val="588111232"/>
        <c:axId val="588117504"/>
      </c:lineChart>
      <c:catAx>
        <c:axId val="588111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8117504"/>
        <c:crosses val="autoZero"/>
        <c:auto val="1"/>
        <c:lblAlgn val="ctr"/>
        <c:lblOffset val="100"/>
        <c:tickLblSkip val="1"/>
        <c:tickMarkSkip val="1"/>
        <c:noMultiLvlLbl val="0"/>
      </c:catAx>
      <c:valAx>
        <c:axId val="588117504"/>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8111232"/>
        <c:crosses val="autoZero"/>
        <c:crossBetween val="between"/>
      </c:valAx>
      <c:spPr>
        <a:noFill/>
        <a:ln w="3175">
          <a:solidFill>
            <a:srgbClr val="000000"/>
          </a:solidFill>
          <a:prstDash val="solid"/>
        </a:ln>
      </c:spPr>
    </c:plotArea>
    <c:legend>
      <c:legendPos val="r"/>
      <c:layout>
        <c:manualLayout>
          <c:xMode val="edge"/>
          <c:yMode val="edge"/>
          <c:x val="0.65959671906885675"/>
          <c:y val="7.5190870500600387E-2"/>
          <c:w val="0.33430182240515488"/>
          <c:h val="0.8960243129586503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Children subject to Care Applications to Court (Selected LA</a:t>
            </a:r>
            <a:r>
              <a:rPr lang="en-GB" sz="1100" baseline="0"/>
              <a:t> vs. SE)</a:t>
            </a:r>
            <a:r>
              <a:rPr lang="en-GB" sz="1100"/>
              <a:t> </a:t>
            </a:r>
          </a:p>
        </c:rich>
      </c:tx>
      <c:layout>
        <c:manualLayout>
          <c:xMode val="edge"/>
          <c:yMode val="edge"/>
          <c:x val="0.15536189833987599"/>
          <c:y val="3.8615291431766297E-3"/>
        </c:manualLayout>
      </c:layout>
      <c:overlay val="0"/>
      <c:spPr>
        <a:noFill/>
        <a:ln w="25400">
          <a:noFill/>
        </a:ln>
      </c:spPr>
    </c:title>
    <c:autoTitleDeleted val="0"/>
    <c:plotArea>
      <c:layout>
        <c:manualLayout>
          <c:layoutTarget val="inner"/>
          <c:xMode val="edge"/>
          <c:yMode val="edge"/>
          <c:x val="7.7177766936288292E-2"/>
          <c:y val="0.22682818493842116"/>
          <c:w val="0.67119427095841677"/>
          <c:h val="0.54327105561508948"/>
        </c:manualLayout>
      </c:layout>
      <c:barChart>
        <c:barDir val="col"/>
        <c:grouping val="clustered"/>
        <c:varyColors val="0"/>
        <c:ser>
          <c:idx val="6"/>
          <c:order val="0"/>
          <c:tx>
            <c:strRef>
              <c:f>'Court Applications'!$Z$4</c:f>
              <c:strCache>
                <c:ptCount val="1"/>
                <c:pt idx="0">
                  <c:v>Selected LA- (none)</c:v>
                </c:pt>
              </c:strCache>
            </c:strRef>
          </c:tx>
          <c:spPr>
            <a:solidFill>
              <a:srgbClr val="66FF99"/>
            </a:solidFill>
            <a:ln>
              <a:solidFill>
                <a:schemeClr val="tx1">
                  <a:lumMod val="75000"/>
                  <a:lumOff val="25000"/>
                </a:schemeClr>
              </a:solidFill>
            </a:ln>
          </c:spPr>
          <c:invertIfNegative val="0"/>
          <c:cat>
            <c:strRef>
              <c:f>'Court Applications'!$Y$2:$AC$3</c:f>
              <c:strCache>
                <c:ptCount val="5"/>
                <c:pt idx="0">
                  <c:v>2019/20</c:v>
                </c:pt>
                <c:pt idx="1">
                  <c:v>2020/21</c:v>
                </c:pt>
                <c:pt idx="2">
                  <c:v>2021/22</c:v>
                </c:pt>
                <c:pt idx="3">
                  <c:v>2022/23</c:v>
                </c:pt>
                <c:pt idx="4">
                  <c:v>2023/24</c:v>
                </c:pt>
              </c:strCache>
            </c:strRef>
          </c:cat>
          <c:val>
            <c:numRef>
              <c:f>'Court Applications'!$AL$160:$AP$160</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6023-43F8-A1D3-9112DD816B4F}"/>
            </c:ext>
          </c:extLst>
        </c:ser>
        <c:ser>
          <c:idx val="4"/>
          <c:order val="1"/>
          <c:tx>
            <c:strRef>
              <c:f>'Court Applications'!$B$133</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'Court Applications'!$Y$2:$AC$3</c:f>
              <c:strCache>
                <c:ptCount val="5"/>
                <c:pt idx="0">
                  <c:v>2019/20</c:v>
                </c:pt>
                <c:pt idx="1">
                  <c:v>2020/21</c:v>
                </c:pt>
                <c:pt idx="2">
                  <c:v>2021/22</c:v>
                </c:pt>
                <c:pt idx="3">
                  <c:v>2022/23</c:v>
                </c:pt>
                <c:pt idx="4">
                  <c:v>2023/24</c:v>
                </c:pt>
              </c:strCache>
            </c:strRef>
          </c:cat>
          <c:val>
            <c:numRef>
              <c:f>'Court Applications'!$K$133:$O$133</c:f>
              <c:numCache>
                <c:formatCode>0.0</c:formatCode>
                <c:ptCount val="5"/>
                <c:pt idx="0">
                  <c:v>14.773983471605991</c:v>
                </c:pt>
                <c:pt idx="1">
                  <c:v>15.444927335812187</c:v>
                </c:pt>
                <c:pt idx="2">
                  <c:v>13.808986535075755</c:v>
                </c:pt>
                <c:pt idx="3">
                  <c:v>13.469277884890849</c:v>
                </c:pt>
                <c:pt idx="4">
                  <c:v>11.739791911559898</c:v>
                </c:pt>
              </c:numCache>
            </c:numRef>
          </c:val>
          <c:extLst>
            <c:ext xmlns:c16="http://schemas.microsoft.com/office/drawing/2014/chart" uri="{C3380CC4-5D6E-409C-BE32-E72D297353CC}">
              <c16:uniqueId val="{00000001-6023-43F8-A1D3-9112DD816B4F}"/>
            </c:ext>
          </c:extLst>
        </c:ser>
        <c:ser>
          <c:idx val="0"/>
          <c:order val="2"/>
          <c:tx>
            <c:strRef>
              <c:f>'Court Applications'!$B$134</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'Court Applications'!$Y$2:$AC$3</c:f>
              <c:strCache>
                <c:ptCount val="5"/>
                <c:pt idx="0">
                  <c:v>2019/20</c:v>
                </c:pt>
                <c:pt idx="1">
                  <c:v>2020/21</c:v>
                </c:pt>
                <c:pt idx="2">
                  <c:v>2021/22</c:v>
                </c:pt>
                <c:pt idx="3">
                  <c:v>2022/23</c:v>
                </c:pt>
                <c:pt idx="4">
                  <c:v>2023/24</c:v>
                </c:pt>
              </c:strCache>
            </c:strRef>
          </c:cat>
          <c:val>
            <c:numRef>
              <c:f>'Court Applications'!$K$134:$O$134</c:f>
              <c:numCache>
                <c:formatCode>0.0</c:formatCode>
                <c:ptCount val="5"/>
                <c:pt idx="0">
                  <c:v>17.900016386084651</c:v>
                </c:pt>
                <c:pt idx="1">
                  <c:v>17.591926021102847</c:v>
                </c:pt>
                <c:pt idx="2">
                  <c:v>16.285130220682387</c:v>
                </c:pt>
                <c:pt idx="3">
                  <c:v>16.362397145027561</c:v>
                </c:pt>
                <c:pt idx="4">
                  <c:v>15.740942769709182</c:v>
                </c:pt>
              </c:numCache>
            </c:numRef>
          </c:val>
          <c:extLst>
            <c:ext xmlns:c16="http://schemas.microsoft.com/office/drawing/2014/chart" uri="{C3380CC4-5D6E-409C-BE32-E72D297353CC}">
              <c16:uniqueId val="{00000002-6023-43F8-A1D3-9112DD816B4F}"/>
            </c:ext>
          </c:extLst>
        </c:ser>
        <c:dLbls>
          <c:showLegendKey val="0"/>
          <c:showVal val="0"/>
          <c:showCatName val="0"/>
          <c:showSerName val="0"/>
          <c:showPercent val="0"/>
          <c:showBubbleSize val="0"/>
        </c:dLbls>
        <c:gapWidth val="100"/>
        <c:axId val="588217344"/>
        <c:axId val="588227328"/>
      </c:barChart>
      <c:catAx>
        <c:axId val="588217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8227328"/>
        <c:crosses val="autoZero"/>
        <c:auto val="1"/>
        <c:lblAlgn val="ctr"/>
        <c:lblOffset val="100"/>
        <c:noMultiLvlLbl val="0"/>
      </c:catAx>
      <c:valAx>
        <c:axId val="58822732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8217344"/>
        <c:crosses val="autoZero"/>
        <c:crossBetween val="between"/>
      </c:valAx>
      <c:spPr>
        <a:noFill/>
        <a:ln w="3175">
          <a:solidFill>
            <a:srgbClr val="000000"/>
          </a:solidFill>
          <a:prstDash val="solid"/>
        </a:ln>
      </c:spPr>
    </c:plotArea>
    <c:legend>
      <c:legendPos val="r"/>
      <c:layout>
        <c:manualLayout>
          <c:xMode val="edge"/>
          <c:yMode val="edge"/>
          <c:x val="0.74862729134362305"/>
          <c:y val="0.17953625619282793"/>
          <c:w val="0.24009715568770687"/>
          <c:h val="0.72578918759415423"/>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b="1" i="0" u="none" strike="noStrike" baseline="0">
                <a:solidFill>
                  <a:srgbClr val="000000"/>
                </a:solidFill>
                <a:latin typeface="Arial"/>
                <a:ea typeface="Arial"/>
                <a:cs typeface="Arial"/>
              </a:defRPr>
            </a:pPr>
            <a:r>
              <a:rPr lang="en-GB" sz="1100"/>
              <a:t>Distance from Expected Rate of Children subject to Care Applications to Court</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26753493047411625"/>
          <c:y val="0.13754659323684476"/>
          <c:w val="0.6965077344055397"/>
          <c:h val="0.80483344421018621"/>
        </c:manualLayout>
      </c:layout>
      <c:barChart>
        <c:barDir val="bar"/>
        <c:grouping val="clustered"/>
        <c:varyColors val="0"/>
        <c:ser>
          <c:idx val="2"/>
          <c:order val="0"/>
          <c:tx>
            <c:strRef>
              <c:f>'Court Applications'!$T$10</c:f>
              <c:strCache>
                <c:ptCount val="1"/>
                <c:pt idx="0">
                  <c:v>Distance</c:v>
                </c:pt>
              </c:strCache>
            </c:strRef>
          </c:tx>
          <c:spPr>
            <a:solidFill>
              <a:srgbClr val="FB994F"/>
            </a:solidFill>
            <a:ln w="25400">
              <a:noFill/>
            </a:ln>
          </c:spPr>
          <c:invertIfNegative val="0"/>
          <c:cat>
            <c:strRef>
              <c:f>'Court Applications'!$X$72:$X$92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'Court Applications'!$T$114:$T$134</c:f>
              <c:numCache>
                <c:formatCode>0.0</c:formatCode>
                <c:ptCount val="21"/>
                <c:pt idx="0">
                  <c:v>-2.4123216208726816</c:v>
                </c:pt>
                <c:pt idx="1">
                  <c:v>2.1468351963408274</c:v>
                </c:pt>
                <c:pt idx="2">
                  <c:v>0.53324998225517284</c:v>
                </c:pt>
                <c:pt idx="3">
                  <c:v>-4.7982187836855648</c:v>
                </c:pt>
                <c:pt idx="4">
                  <c:v>1.7824546711059384</c:v>
                </c:pt>
                <c:pt idx="5">
                  <c:v>3.9021752585981453</c:v>
                </c:pt>
                <c:pt idx="6">
                  <c:v>-7.1168943138080678</c:v>
                </c:pt>
                <c:pt idx="7">
                  <c:v>-2.2993392577400975</c:v>
                </c:pt>
                <c:pt idx="8">
                  <c:v>5.4339939050235824</c:v>
                </c:pt>
                <c:pt idx="9">
                  <c:v>-3.5003941942831904</c:v>
                </c:pt>
                <c:pt idx="10">
                  <c:v>5.4995541008779263</c:v>
                </c:pt>
                <c:pt idx="11">
                  <c:v>6.1903669123769198</c:v>
                </c:pt>
                <c:pt idx="12">
                  <c:v>-7.0633842342992406</c:v>
                </c:pt>
                <c:pt idx="13">
                  <c:v>-6.2411986466013847</c:v>
                </c:pt>
                <c:pt idx="14">
                  <c:v>-2.9648065995978836</c:v>
                </c:pt>
                <c:pt idx="15">
                  <c:v>8.2055158491447315</c:v>
                </c:pt>
                <c:pt idx="16">
                  <c:v>-0.13942640141743645</c:v>
                </c:pt>
                <c:pt idx="17">
                  <c:v>6.4738157230881672</c:v>
                </c:pt>
                <c:pt idx="18">
                  <c:v>3.7297148419135802</c:v>
                </c:pt>
                <c:pt idx="19">
                  <c:v>-1.4771248087533362</c:v>
                </c:pt>
                <c:pt idx="20">
                  <c:v>-1.7188452384775523</c:v>
                </c:pt>
              </c:numCache>
            </c:numRef>
          </c:val>
          <c:extLst>
            <c:ext xmlns:c16="http://schemas.microsoft.com/office/drawing/2014/chart" uri="{C3380CC4-5D6E-409C-BE32-E72D297353CC}">
              <c16:uniqueId val="{00000000-BDC6-4DF9-9FA7-56B8F71E5E18}"/>
            </c:ext>
          </c:extLst>
        </c:ser>
        <c:ser>
          <c:idx val="0"/>
          <c:order val="1"/>
          <c:tx>
            <c:strRef>
              <c:f>'Court Applications'!$Z$4</c:f>
              <c:strCache>
                <c:ptCount val="1"/>
                <c:pt idx="0">
                  <c:v>Selected LA- (none)</c:v>
                </c:pt>
              </c:strCache>
            </c:strRef>
          </c:tx>
          <c:spPr>
            <a:solidFill>
              <a:srgbClr val="66FF99"/>
            </a:solidFill>
            <a:ln w="12700">
              <a:solidFill>
                <a:srgbClr val="000000"/>
              </a:solidFill>
              <a:prstDash val="solid"/>
            </a:ln>
          </c:spPr>
          <c:invertIfNegative val="0"/>
          <c:cat>
            <c:strRef>
              <c:f>'Court Applications'!$X$72:$X$92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'Court Applications'!$Z$175:$Z$195</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BDC6-4DF9-9FA7-56B8F71E5E18}"/>
            </c:ext>
          </c:extLst>
        </c:ser>
        <c:dLbls>
          <c:showLegendKey val="0"/>
          <c:showVal val="0"/>
          <c:showCatName val="0"/>
          <c:showSerName val="0"/>
          <c:showPercent val="0"/>
          <c:showBubbleSize val="0"/>
        </c:dLbls>
        <c:gapWidth val="40"/>
        <c:overlap val="100"/>
        <c:axId val="588257536"/>
        <c:axId val="588259328"/>
      </c:barChart>
      <c:catAx>
        <c:axId val="588257536"/>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8259328"/>
        <c:crossesAt val="0"/>
        <c:auto val="1"/>
        <c:lblAlgn val="ctr"/>
        <c:lblOffset val="100"/>
        <c:noMultiLvlLbl val="0"/>
      </c:catAx>
      <c:valAx>
        <c:axId val="588259328"/>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8257536"/>
        <c:crosses val="max"/>
        <c:crossBetween val="between"/>
      </c:valAx>
      <c:spPr>
        <a:noFill/>
        <a:ln w="12700">
          <a:solidFill>
            <a:srgbClr val="000000"/>
          </a:solidFill>
          <a:prstDash val="solid"/>
        </a:ln>
      </c:spPr>
    </c:plotArea>
    <c:legend>
      <c:legendPos val="t"/>
      <c:layout>
        <c:manualLayout>
          <c:xMode val="edge"/>
          <c:yMode val="edge"/>
          <c:x val="0.13279192569631165"/>
          <c:y val="8.8951751401445192E-2"/>
          <c:w val="0.81500916237091325"/>
          <c:h val="4.089223042176466E-2"/>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'Court Applications'!$AK$106</c:f>
          <c:strCache>
            <c:ptCount val="1"/>
            <c:pt idx="0">
              <c:v>Average Annual Change in Number of Children subject to Care Applications to Court during the year ending 31st March [SCB30]</c:v>
            </c:pt>
          </c:strCache>
        </c:strRef>
      </c:tx>
      <c:layout>
        <c:manualLayout>
          <c:xMode val="edge"/>
          <c:yMode val="edge"/>
          <c:x val="9.5785619809663491E-3"/>
          <c:y val="1.1152426478663088E-2"/>
        </c:manualLayout>
      </c:layout>
      <c:overlay val="0"/>
      <c:spPr>
        <a:noFill/>
        <a:ln w="25400">
          <a:noFill/>
        </a:ln>
      </c:spPr>
      <c:txPr>
        <a:bodyPr/>
        <a:lstStyle/>
        <a:p>
          <a:pPr algn="l">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26583809159161659"/>
          <c:y val="0.13754659323684476"/>
          <c:w val="0.68840427716091512"/>
          <c:h val="0.80483344421018621"/>
        </c:manualLayout>
      </c:layout>
      <c:barChart>
        <c:barDir val="bar"/>
        <c:grouping val="clustered"/>
        <c:varyColors val="0"/>
        <c:ser>
          <c:idx val="0"/>
          <c:order val="0"/>
          <c:tx>
            <c:strRef>
              <c:f>'Court Applications'!$I$7</c:f>
              <c:strCache>
                <c:ptCount val="1"/>
                <c:pt idx="0">
                  <c:v>Average Annual Change </c:v>
                </c:pt>
              </c:strCache>
            </c:strRef>
          </c:tx>
          <c:spPr>
            <a:solidFill>
              <a:srgbClr val="FB994F"/>
            </a:solidFill>
            <a:ln w="25400">
              <a:noFill/>
            </a:ln>
          </c:spPr>
          <c:invertIfNegative val="0"/>
          <c:cat>
            <c:strRef>
              <c:f>'Court Applications'!$B$11:$B$31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'Court Applications'!$I$114:$I$134</c:f>
              <c:numCache>
                <c:formatCode>0.0%</c:formatCode>
                <c:ptCount val="21"/>
                <c:pt idx="0">
                  <c:v>-7.209008097165992E-2</c:v>
                </c:pt>
                <c:pt idx="1">
                  <c:v>-1.5720194066650706E-3</c:v>
                </c:pt>
                <c:pt idx="2">
                  <c:v>3.7060958376156222E-2</c:v>
                </c:pt>
                <c:pt idx="3">
                  <c:v>5.0078609563630236E-2</c:v>
                </c:pt>
                <c:pt idx="4">
                  <c:v>4.260908047914172E-2</c:v>
                </c:pt>
                <c:pt idx="5">
                  <c:v>5.7126569533285959E-2</c:v>
                </c:pt>
                <c:pt idx="6">
                  <c:v>-6.7146597867984589E-2</c:v>
                </c:pt>
                <c:pt idx="7">
                  <c:v>-6.2144461578229594E-2</c:v>
                </c:pt>
                <c:pt idx="8">
                  <c:v>0.1146745543231017</c:v>
                </c:pt>
                <c:pt idx="9">
                  <c:v>-0.155896855756671</c:v>
                </c:pt>
                <c:pt idx="10">
                  <c:v>9.7172673706237528E-2</c:v>
                </c:pt>
                <c:pt idx="11">
                  <c:v>0.12819052800125208</c:v>
                </c:pt>
                <c:pt idx="12">
                  <c:v>-0.11721240687990871</c:v>
                </c:pt>
                <c:pt idx="13">
                  <c:v>-0.15544829178019798</c:v>
                </c:pt>
                <c:pt idx="14">
                  <c:v>-4.1270669591346724E-2</c:v>
                </c:pt>
                <c:pt idx="15">
                  <c:v>0.16677089847821552</c:v>
                </c:pt>
                <c:pt idx="16">
                  <c:v>-6.5984988982739634E-2</c:v>
                </c:pt>
                <c:pt idx="17">
                  <c:v>7.6047237076648844E-2</c:v>
                </c:pt>
                <c:pt idx="18">
                  <c:v>5.1488095238095243E-2</c:v>
                </c:pt>
                <c:pt idx="19">
                  <c:v>-5.3377465943144534E-2</c:v>
                </c:pt>
                <c:pt idx="20">
                  <c:v>-2.6820012665019363E-2</c:v>
                </c:pt>
              </c:numCache>
            </c:numRef>
          </c:val>
          <c:extLst>
            <c:ext xmlns:c16="http://schemas.microsoft.com/office/drawing/2014/chart" uri="{C3380CC4-5D6E-409C-BE32-E72D297353CC}">
              <c16:uniqueId val="{00000000-1DED-42E3-89B6-808382E1FFD0}"/>
            </c:ext>
          </c:extLst>
        </c:ser>
        <c:ser>
          <c:idx val="1"/>
          <c:order val="1"/>
          <c:tx>
            <c:strRef>
              <c:f>'Court Applications'!$Z$4</c:f>
              <c:strCache>
                <c:ptCount val="1"/>
                <c:pt idx="0">
                  <c:v>Selected LA- (none)</c:v>
                </c:pt>
              </c:strCache>
            </c:strRef>
          </c:tx>
          <c:spPr>
            <a:solidFill>
              <a:srgbClr val="66FF99"/>
            </a:solidFill>
            <a:ln w="12700">
              <a:solidFill>
                <a:srgbClr val="000000"/>
              </a:solidFill>
              <a:prstDash val="solid"/>
            </a:ln>
          </c:spPr>
          <c:invertIfNegative val="0"/>
          <c:cat>
            <c:strRef>
              <c:f>'Court Applications'!$B$11:$B$31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'Court Applications'!$Y$175:$Y$195</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1DED-42E3-89B6-808382E1FFD0}"/>
            </c:ext>
          </c:extLst>
        </c:ser>
        <c:dLbls>
          <c:showLegendKey val="0"/>
          <c:showVal val="0"/>
          <c:showCatName val="0"/>
          <c:showSerName val="0"/>
          <c:showPercent val="0"/>
          <c:showBubbleSize val="0"/>
        </c:dLbls>
        <c:gapWidth val="40"/>
        <c:overlap val="100"/>
        <c:axId val="588288384"/>
        <c:axId val="588289920"/>
      </c:barChart>
      <c:catAx>
        <c:axId val="58828838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8289920"/>
        <c:crosses val="autoZero"/>
        <c:auto val="1"/>
        <c:lblAlgn val="ctr"/>
        <c:lblOffset val="100"/>
        <c:noMultiLvlLbl val="0"/>
      </c:catAx>
      <c:valAx>
        <c:axId val="588289920"/>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8288384"/>
        <c:crosses val="max"/>
        <c:crossBetween val="between"/>
      </c:valAx>
      <c:spPr>
        <a:noFill/>
        <a:ln w="3175">
          <a:solidFill>
            <a:srgbClr val="000000"/>
          </a:solidFill>
          <a:prstDash val="solid"/>
        </a:ln>
      </c:spPr>
    </c:plotArea>
    <c:legend>
      <c:legendPos val="t"/>
      <c:layout>
        <c:manualLayout>
          <c:xMode val="edge"/>
          <c:yMode val="edge"/>
          <c:x val="0.14125295898706303"/>
          <c:y val="9.247026991996371E-2"/>
          <c:w val="0.77768654004954585"/>
          <c:h val="4.089223042176466E-2"/>
        </c:manualLayout>
      </c:layout>
      <c:overlay val="0"/>
      <c:spPr>
        <a:noFill/>
        <a:ln w="12700">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Children subject to Care Applications</a:t>
            </a:r>
            <a:r>
              <a:rPr lang="en-GB" sz="1100" baseline="0"/>
              <a:t> to Court </a:t>
            </a:r>
            <a:r>
              <a:rPr lang="en-GB" sz="1100"/>
              <a:t>vs. IDACI</a:t>
            </a:r>
          </a:p>
        </c:rich>
      </c:tx>
      <c:layout>
        <c:manualLayout>
          <c:xMode val="edge"/>
          <c:yMode val="edge"/>
          <c:x val="0.13977883533789046"/>
          <c:y val="1.1993206731511502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'Court Applications'!$AQ$136</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D20F-4F09-B786-880E8B9DA090}"/>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{AC18837F-0E35-4C75-A962-A097D6A3655F}</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D20F-4F09-B786-880E8B9DA090}"/>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{2E419E8E-D96E-4AAE-B5DD-14DECF4CC96E}</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D20F-4F09-B786-880E8B9DA090}"/>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{46A4DC21-15CB-4F93-A76F-A629EE37496A}</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D20F-4F09-B786-880E8B9DA090}"/>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{C65ECAA8-1D6D-41E4-AB2E-0786223A432A}</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D20F-4F09-B786-880E8B9DA090}"/>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{CFA29F7F-5D2F-4F08-BD24-B81D264C9A7C}</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5-D20F-4F09-B786-880E8B9DA090}"/>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{6B18C5EA-F266-4D85-BF02-FDC67AF15CF7}</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D20F-4F09-B786-880E8B9DA090}"/>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{A978983F-938D-4AF0-A412-67E58875E8CF}</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7-D20F-4F09-B786-880E8B9DA090}"/>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{649A300E-BC56-4449-8DF2-3025A36E6391}</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8-D20F-4F09-B786-880E8B9DA090}"/>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{F9825AEC-36AA-4F15-BC2A-F01AE9D92C7B}</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D20F-4F09-B786-880E8B9DA090}"/>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{5BFAEABB-B5D1-47EF-AA45-9A15B6A98F2C}</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D20F-4F09-B786-880E8B9DA090}"/>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{A5E4DFB0-D077-4734-AAF7-B8D88543D877}</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D20F-4F09-B786-880E8B9DA090}"/>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{6575C6F1-DF38-447A-9747-1F233B845E27}</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C-D20F-4F09-B786-880E8B9DA090}"/>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{9522B368-B8C7-45C5-AB3A-D379E91C1A3F}</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0D-D20F-4F09-B786-880E8B9DA090}"/>
                </c:ext>
              </c:extLst>
            </c:dLbl>
            <c:dLbl>
              <c:idx val="13"/>
              <c:tx>
                <c:strRef>
                  <c:f>ReportData!$K$17</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{4FEACD95-0FD7-46FF-8035-484AFB23C55A}</c15:txfldGUID>
                      <c15:f>ReportData!$K$17</c15:f>
                      <c15:dlblFieldTableCache>
                        <c:ptCount val="1"/>
                        <c:pt idx="0">
                          <c:v>Southampton</c:v>
                        </c:pt>
                      </c15:dlblFieldTableCache>
                    </c15:dlblFTEntry>
                  </c15:dlblFieldTable>
                  <c15:showDataLabelsRange val="0"/>
                </c:ext>
                <c:ext xmlns:c16="http://schemas.microsoft.com/office/drawing/2014/chart" uri="{C3380CC4-5D6E-409C-BE32-E72D297353CC}">
                  <c16:uniqueId val="{0000000E-D20F-4F09-B786-880E8B9DA090}"/>
                </c:ext>
              </c:extLst>
            </c:dLbl>
            <c:dLbl>
              <c:idx val="14"/>
              <c:tx>
                <c:strRef>
                  <c:f>ReportData!$K$18</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{3982F9F0-8216-4088-A780-9E800A185584}</c15:txfldGUID>
                      <c15:f>ReportData!$K$18</c15:f>
                      <c15:dlblFieldTableCache>
                        <c:ptCount val="1"/>
                        <c:pt idx="0">
                          <c:v>Surrey</c:v>
                        </c:pt>
                      </c15:dlblFieldTableCache>
                    </c15:dlblFTEntry>
                  </c15:dlblFieldTable>
                  <c15:showDataLabelsRange val="0"/>
                </c:ext>
                <c:ext xmlns:c16="http://schemas.microsoft.com/office/drawing/2014/chart" uri="{C3380CC4-5D6E-409C-BE32-E72D297353CC}">
                  <c16:uniqueId val="{0000000F-D20F-4F09-B786-880E8B9DA090}"/>
                </c:ext>
              </c:extLst>
            </c:dLbl>
            <c:dLbl>
              <c:idx val="15"/>
              <c:tx>
                <c:strRef>
                  <c:f>ReportData!$K$19</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{0B12AD6D-E4A2-448B-B4B3-0D9186885BCE}</c15:txfldGUID>
                      <c15:f>ReportData!$K$19</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D20F-4F09-B786-880E8B9DA090}"/>
                </c:ext>
              </c:extLst>
            </c:dLbl>
            <c:dLbl>
              <c:idx val="16"/>
              <c:tx>
                <c:strRef>
                  <c:f>ReportData!$K$20</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{FCFB1247-3149-45CA-89F9-AFB367BB9FF2}</c15:txfldGUID>
                      <c15:f>ReportData!$K$20</c15:f>
                      <c15:dlblFieldTableCache>
                        <c:ptCount val="1"/>
                        <c:pt idx="0">
                          <c:v>West Sussex</c:v>
                        </c:pt>
                      </c15:dlblFieldTableCache>
                    </c15:dlblFTEntry>
                  </c15:dlblFieldTable>
                  <c15:showDataLabelsRange val="0"/>
                </c:ext>
                <c:ext xmlns:c16="http://schemas.microsoft.com/office/drawing/2014/chart" uri="{C3380CC4-5D6E-409C-BE32-E72D297353CC}">
                  <c16:uniqueId val="{00000011-D20F-4F09-B786-880E8B9DA090}"/>
                </c:ext>
              </c:extLst>
            </c:dLbl>
            <c:dLbl>
              <c:idx val="17"/>
              <c:layout>
                <c:manualLayout>
                  <c:x val="-2.1259252882280515E-2"/>
                  <c:y val="1.782607922639495E-2"/>
                </c:manualLayout>
              </c:layout>
              <c:tx>
                <c:strRef>
                  <c:f>ReportData!$K$21</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{FB61EA6A-2BDB-4912-938B-E02E6E524528}</c15:txfldGUID>
                      <c15:f>ReportData!$K$21</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D20F-4F09-B786-880E8B9DA090}"/>
                </c:ext>
              </c:extLst>
            </c:dLbl>
            <c:dLbl>
              <c:idx val="18"/>
              <c:tx>
                <c:strRef>
                  <c:f>ReportData!$K$22</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{E3D3064B-99AD-4D50-ADBE-D7657970BED5}</c15:txfldGUID>
                      <c15:f>ReportData!$K$22</c15:f>
                      <c15:dlblFieldTableCache>
                        <c:ptCount val="1"/>
                        <c:pt idx="0">
                          <c:v>Wokingham</c:v>
                        </c:pt>
                      </c15:dlblFieldTableCache>
                    </c15:dlblFTEntry>
                  </c15:dlblFieldTable>
                  <c15:showDataLabelsRange val="0"/>
                </c:ext>
                <c:ext xmlns:c16="http://schemas.microsoft.com/office/drawing/2014/chart" uri="{C3380CC4-5D6E-409C-BE32-E72D297353CC}">
                  <c16:uniqueId val="{00000013-D20F-4F09-B786-880E8B9DA090}"/>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('Court Applications'!$AQ$139:$AQ$151,'Court Applications'!$AQ$152:$AQ$153,'Court Applications'!$AQ$154:$AQ$157)</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('Court Applications'!$AP$139:$AP$151,'Court Applications'!$AP$152:$AP$153,'Court Applications'!$AP$154:$AP$157)</c:f>
              <c:numCache>
                <c:formatCode>0.0</c:formatCode>
                <c:ptCount val="19"/>
                <c:pt idx="0">
                  <c:v>7.6796872272838339</c:v>
                </c:pt>
                <c:pt idx="1">
                  <c:v>18.000257146530664</c:v>
                </c:pt>
                <c:pt idx="2">
                  <c:v>10.265170511534604</c:v>
                </c:pt>
                <c:pt idx="3">
                  <c:v>11.77537980425844</c:v>
                </c:pt>
                <c:pt idx="4">
                  <c:v>12.954728475893702</c:v>
                </c:pt>
                <c:pt idx="5">
                  <c:v>22.186193361208293</c:v>
                </c:pt>
                <c:pt idx="6">
                  <c:v>9.1866380349781238</c:v>
                </c:pt>
                <c:pt idx="7">
                  <c:v>16.794877562343483</c:v>
                </c:pt>
                <c:pt idx="8">
                  <c:v>21.017349616055608</c:v>
                </c:pt>
                <c:pt idx="9">
                  <c:v>7.6718796105045737</c:v>
                </c:pt>
                <c:pt idx="10">
                  <c:v>25.76405795731203</c:v>
                </c:pt>
                <c:pt idx="11">
                  <c:v>22.673943420601653</c:v>
                </c:pt>
                <c:pt idx="12">
                  <c:v>8.2499052375749731</c:v>
                </c:pt>
                <c:pt idx="13">
                  <c:v>14.293371448990529</c:v>
                </c:pt>
                <c:pt idx="14">
                  <c:v>6.5870697702430068</c:v>
                </c:pt>
                <c:pt idx="15">
                  <c:v>18.117480537862704</c:v>
                </c:pt>
                <c:pt idx="16">
                  <c:v>11.843046120843763</c:v>
                </c:pt>
                <c:pt idx="17">
                  <c:v>14.585338817420729</c:v>
                </c:pt>
                <c:pt idx="18">
                  <c:v>10.850995059334164</c:v>
                </c:pt>
              </c:numCache>
            </c:numRef>
          </c:yVal>
          <c:smooth val="0"/>
          <c:extLst>
            <c:ext xmlns:c16="http://schemas.microsoft.com/office/drawing/2014/chart" uri="{C3380CC4-5D6E-409C-BE32-E72D297353CC}">
              <c16:uniqueId val="{00000014-D20F-4F09-B786-880E8B9DA090}"/>
            </c:ext>
          </c:extLst>
        </c:ser>
        <c:ser>
          <c:idx val="1"/>
          <c:order val="1"/>
          <c:tx>
            <c:strRef>
              <c:f>'Court Applications'!$Z$4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'Court Applications'!$AQ$160</c:f>
              <c:numCache>
                <c:formatCode>0.0</c:formatCode>
                <c:ptCount val="1"/>
                <c:pt idx="0">
                  <c:v>#N/A</c:v>
                </c:pt>
              </c:numCache>
            </c:numRef>
          </c:xVal>
          <c:yVal>
            <c:numRef>
              <c:f>'Court Applications'!$AP$160</c:f>
              <c:numCache>
                <c:formatCode>0.0</c:formatCode>
                <c:ptCount val="1"/>
                <c:pt idx="0">
                  <c:v>#N/A</c:v>
                </c:pt>
              </c:numCache>
            </c:numRef>
          </c:yVal>
          <c:smooth val="0"/>
          <c:extLst>
            <c:ext xmlns:c16="http://schemas.microsoft.com/office/drawing/2014/chart" uri="{C3380CC4-5D6E-409C-BE32-E72D297353CC}">
              <c16:uniqueId val="{00000019-D20F-4F09-B786-880E8B9DA090}"/>
            </c:ext>
          </c:extLst>
        </c:ser>
        <c:ser>
          <c:idx val="4"/>
          <c:order val="2"/>
          <c:tx>
            <c:strRef>
              <c:f>'Court Applications'!$B$133</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'Court Applications'!$AQ$158</c:f>
              <c:numCache>
                <c:formatCode>0.0</c:formatCode>
                <c:ptCount val="1"/>
                <c:pt idx="0">
                  <c:v>12.371268250968637</c:v>
                </c:pt>
              </c:numCache>
            </c:numRef>
          </c:xVal>
          <c:yVal>
            <c:numRef>
              <c:f>'Court Applications'!$O$133</c:f>
              <c:numCache>
                <c:formatCode>0.0</c:formatCode>
                <c:ptCount val="1"/>
                <c:pt idx="0">
                  <c:v>11.739791911559898</c:v>
                </c:pt>
              </c:numCache>
            </c:numRef>
          </c:yVal>
          <c:smooth val="0"/>
          <c:extLst>
            <c:ext xmlns:c16="http://schemas.microsoft.com/office/drawing/2014/chart" uri="{C3380CC4-5D6E-409C-BE32-E72D297353CC}">
              <c16:uniqueId val="{0000001A-D20F-4F09-B786-880E8B9DA090}"/>
            </c:ext>
          </c:extLst>
        </c:ser>
        <c:ser>
          <c:idx val="2"/>
          <c:order val="3"/>
          <c:tx>
            <c:strRef>
              <c:f>'Court Applications'!$X$141</c:f>
              <c:strCache>
                <c:ptCount val="1"/>
                <c:pt idx="0">
                  <c:v>National Trend 2024</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B-D20F-4F09-B786-880E8B9DA090}"/>
                </c:ext>
              </c:extLst>
            </c:dLbl>
            <c:dLbl>
              <c:idx val="1"/>
              <c:layout>
                <c:manualLayout>
                  <c:x val="-4.7414115518858345E-2"/>
                  <c:y val="3.3033033033033031E-2"/>
                </c:manualLayout>
              </c:layout>
              <c:tx>
                <c:strRef>
                  <c:f>'Court Applications'!$AC$141</c:f>
                  <c:strCache>
                    <c:ptCount val="1"/>
                    <c:pt idx="0">
                      <c:v>r² = 0.294</c:v>
                    </c:pt>
                  </c:strCache>
                </c:strRef>
              </c:tx>
              <c:spPr/>
              <c:txPr>
                <a:bodyPr/>
                <a:lstStyle/>
                <a:p>
                  <a:pPr>
                    <a:defRPr sz="90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{0653D8DF-A583-470C-A9CF-4EDFBC322170}</c15:txfldGUID>
                      <c15:f>'Court Applications'!$AC$141</c15:f>
                      <c15:dlblFieldTableCache>
                        <c:ptCount val="1"/>
                        <c:pt idx="0">
                          <c:v>r² = 0.294</c:v>
                        </c:pt>
                      </c15:dlblFieldTableCache>
                    </c15:dlblFTEntry>
                  </c15:dlblFieldTable>
                  <c15:showDataLabelsRange val="0"/>
                </c:ext>
                <c:ext xmlns:c16="http://schemas.microsoft.com/office/drawing/2014/chart" uri="{C3380CC4-5D6E-409C-BE32-E72D297353CC}">
                  <c16:uniqueId val="{0000001C-D20F-4F09-B786-880E8B9DA09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'Court Applications'!$AA$141:$AA$142</c:f>
              <c:numCache>
                <c:formatCode>General</c:formatCode>
                <c:ptCount val="2"/>
                <c:pt idx="0" formatCode="#,##0.0">
                  <c:v>3</c:v>
                </c:pt>
                <c:pt idx="1">
                  <c:v>22</c:v>
                </c:pt>
              </c:numCache>
            </c:numRef>
          </c:xVal>
          <c:yVal>
            <c:numRef>
              <c:f>'Court Applications'!$AB$141:$AB$142</c:f>
              <c:numCache>
                <c:formatCode>0.0</c:formatCode>
                <c:ptCount val="2"/>
                <c:pt idx="0">
                  <c:v>4.7807061447195451</c:v>
                </c:pt>
                <c:pt idx="1">
                  <c:v>21.884901291380974</c:v>
                </c:pt>
              </c:numCache>
            </c:numRef>
          </c:yVal>
          <c:smooth val="0"/>
          <c:extLst>
            <c:ext xmlns:c16="http://schemas.microsoft.com/office/drawing/2014/chart" uri="{C3380CC4-5D6E-409C-BE32-E72D297353CC}">
              <c16:uniqueId val="{0000001D-D20F-4F09-B786-880E8B9DA090}"/>
            </c:ext>
          </c:extLst>
        </c:ser>
        <c:ser>
          <c:idx val="5"/>
          <c:order val="4"/>
          <c:tx>
            <c:strRef>
              <c:f>'Court Applications'!$X$139</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D20F-4F09-B786-880E8B9DA090}"/>
                </c:ext>
              </c:extLst>
            </c:dLbl>
            <c:dLbl>
              <c:idx val="1"/>
              <c:layout>
                <c:manualLayout>
                  <c:x val="-5.2631497172789976E-2"/>
                  <c:y val="-5.1051051051051052E-2"/>
                </c:manualLayout>
              </c:layout>
              <c:tx>
                <c:strRef>
                  <c:f>'Court Applications'!$AC$140</c:f>
                  <c:strCache>
                    <c:ptCount val="1"/>
                    <c:pt idx="0">
                      <c:v>r² = 0.303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{054D8F4B-0CCE-45C4-8897-968A7191CAEC}</c15:txfldGUID>
                      <c15:f>'Court Applications'!$AC$140</c15:f>
                      <c15:dlblFieldTableCache>
                        <c:ptCount val="1"/>
                        <c:pt idx="0">
                          <c:v>r² = 0.303</c:v>
                        </c:pt>
                      </c15:dlblFieldTableCache>
                    </c15:dlblFTEntry>
                  </c15:dlblFieldTable>
                  <c15:showDataLabelsRange val="0"/>
                </c:ext>
                <c:ext xmlns:c16="http://schemas.microsoft.com/office/drawing/2014/chart" uri="{C3380CC4-5D6E-409C-BE32-E72D297353CC}">
                  <c16:uniqueId val="{0000001F-D20F-4F09-B786-880E8B9DA090}"/>
                </c:ext>
              </c:extLst>
            </c:dLbl>
            <c:spPr>
              <a:noFill/>
              <a:ln>
                <a:noFill/>
              </a:ln>
              <a:effectLst/>
            </c:spPr>
            <c:txPr>
              <a:bodyPr/>
              <a:lstStyle/>
              <a:p>
                <a:pPr>
                  <a:defRPr sz="9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'Court Applications'!$AA$139:$AA$140</c:f>
              <c:numCache>
                <c:formatCode>General</c:formatCode>
                <c:ptCount val="2"/>
                <c:pt idx="0" formatCode="#,##0.0">
                  <c:v>3</c:v>
                </c:pt>
                <c:pt idx="1">
                  <c:v>22</c:v>
                </c:pt>
              </c:numCache>
            </c:numRef>
          </c:xVal>
          <c:yVal>
            <c:numRef>
              <c:f>'Court Applications'!$AB$139:$AB$140</c:f>
              <c:numCache>
                <c:formatCode>0.0</c:formatCode>
                <c:ptCount val="2"/>
                <c:pt idx="0">
                  <c:v>7.4694053635908482</c:v>
                </c:pt>
                <c:pt idx="1">
                  <c:v>20.233222962537695</c:v>
                </c:pt>
              </c:numCache>
            </c:numRef>
          </c:yVal>
          <c:smooth val="0"/>
          <c:extLst>
            <c:ext xmlns:c16="http://schemas.microsoft.com/office/drawing/2014/chart" uri="{C3380CC4-5D6E-409C-BE32-E72D297353CC}">
              <c16:uniqueId val="{00000020-D20F-4F09-B786-880E8B9DA090}"/>
            </c:ext>
          </c:extLst>
        </c:ser>
        <c:dLbls>
          <c:showLegendKey val="0"/>
          <c:showVal val="0"/>
          <c:showCatName val="0"/>
          <c:showSerName val="0"/>
          <c:showPercent val="0"/>
          <c:showBubbleSize val="0"/>
        </c:dLbls>
        <c:axId val="588385280"/>
        <c:axId val="588399744"/>
      </c:scatterChart>
      <c:valAx>
        <c:axId val="588385280"/>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4087952964064139"/>
              <c:y val="0.91929229487900843"/>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8399744"/>
        <c:crosses val="autoZero"/>
        <c:crossBetween val="midCat"/>
        <c:majorUnit val="5"/>
      </c:valAx>
      <c:valAx>
        <c:axId val="588399744"/>
        <c:scaling>
          <c:orientation val="minMax"/>
        </c:scaling>
        <c:delete val="0"/>
        <c:axPos val="l"/>
        <c:majorGridlines>
          <c:spPr>
            <a:ln w="12700">
              <a:solidFill>
                <a:schemeClr val="bg1">
                  <a:lumMod val="75000"/>
                </a:schemeClr>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a:t>Rate of Children subject</a:t>
                </a:r>
                <a:r>
                  <a:rPr lang="en-GB" sz="1000" baseline="0"/>
                  <a:t>  to</a:t>
                </a:r>
                <a:r>
                  <a:rPr lang="en-GB" sz="1000"/>
                  <a:t> Care Applications to Court </a:t>
                </a:r>
              </a:p>
              <a:p>
                <a:pPr>
                  <a:defRPr sz="1000" b="1" i="0" u="none" strike="noStrike" baseline="0">
                    <a:solidFill>
                      <a:srgbClr val="000000"/>
                    </a:solidFill>
                    <a:latin typeface="Arial"/>
                    <a:ea typeface="Arial"/>
                    <a:cs typeface="Arial"/>
                  </a:defRPr>
                </a:pPr>
                <a:r>
                  <a:rPr lang="en-GB" sz="1000"/>
                  <a:t>per 10,000 0-17 year olds</a:t>
                </a:r>
              </a:p>
            </c:rich>
          </c:tx>
          <c:layout>
            <c:manualLayout>
              <c:xMode val="edge"/>
              <c:yMode val="edge"/>
              <c:x val="2.8992359041800538E-2"/>
              <c:y val="8.937953701733229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8385280"/>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Looked After Children, per 10,000 0-17 year olds</a:t>
            </a:r>
          </a:p>
        </c:rich>
      </c:tx>
      <c:layout>
        <c:manualLayout>
          <c:xMode val="edge"/>
          <c:yMode val="edge"/>
          <c:x val="0.11028445817635051"/>
          <c:y val="8.474127292396114E-3"/>
        </c:manualLayout>
      </c:layout>
      <c:overlay val="0"/>
      <c:spPr>
        <a:noFill/>
        <a:ln w="25400">
          <a:noFill/>
        </a:ln>
      </c:spPr>
    </c:title>
    <c:autoTitleDeleted val="0"/>
    <c:plotArea>
      <c:layout>
        <c:manualLayout>
          <c:layoutTarget val="inner"/>
          <c:xMode val="edge"/>
          <c:yMode val="edge"/>
          <c:x val="8.9669774541780586E-2"/>
          <c:y val="7.5616524512562011E-2"/>
          <c:w val="0.56935995614881929"/>
          <c:h val="0.85849192483910519"/>
        </c:manualLayout>
      </c:layout>
      <c:lineChart>
        <c:grouping val="standard"/>
        <c:varyColors val="0"/>
        <c:ser>
          <c:idx val="0"/>
          <c:order val="0"/>
          <c:tx>
            <c:strRef>
              <c:f>'Looked After Children'!$AK$38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B56C-4478-A06D-94E279CDDBAB}"/>
              </c:ext>
            </c:extLst>
          </c:dPt>
          <c:cat>
            <c:strRef>
              <c:f>'Looked After Children'!$Y$2:$AC$3</c:f>
              <c:strCache>
                <c:ptCount val="5"/>
                <c:pt idx="0">
                  <c:v>2019/20</c:v>
                </c:pt>
                <c:pt idx="1">
                  <c:v>2020/21</c:v>
                </c:pt>
                <c:pt idx="2">
                  <c:v>2021/22</c:v>
                </c:pt>
                <c:pt idx="3">
                  <c:v>2022/23</c:v>
                </c:pt>
                <c:pt idx="4">
                  <c:v>2023/24</c:v>
                </c:pt>
              </c:strCache>
            </c:strRef>
          </c:cat>
          <c:val>
            <c:numRef>
              <c:f>'Looked After Children'!$AL$38:$AP$38</c:f>
              <c:numCache>
                <c:formatCode>0.0</c:formatCode>
                <c:ptCount val="5"/>
                <c:pt idx="0">
                  <c:v>52.018462891054291</c:v>
                </c:pt>
                <c:pt idx="1">
                  <c:v>52.910052910052904</c:v>
                </c:pt>
                <c:pt idx="2">
                  <c:v>49.239837544477595</c:v>
                </c:pt>
                <c:pt idx="3">
                  <c:v>55.418284504059301</c:v>
                </c:pt>
                <c:pt idx="4">
                  <c:v>48.870736900897121</c:v>
                </c:pt>
              </c:numCache>
            </c:numRef>
          </c:val>
          <c:smooth val="0"/>
          <c:extLst>
            <c:ext xmlns:c16="http://schemas.microsoft.com/office/drawing/2014/chart" uri="{C3380CC4-5D6E-409C-BE32-E72D297353CC}">
              <c16:uniqueId val="{00000001-B56C-4478-A06D-94E279CDDBAB}"/>
            </c:ext>
          </c:extLst>
        </c:ser>
        <c:ser>
          <c:idx val="1"/>
          <c:order val="1"/>
          <c:tx>
            <c:strRef>
              <c:f>'Looked After Children'!$AK$39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Children'!$AL$39:$AP$39</c:f>
              <c:numCache>
                <c:formatCode>0.0</c:formatCode>
                <c:ptCount val="5"/>
                <c:pt idx="0">
                  <c:v>76.649725217966193</c:v>
                </c:pt>
                <c:pt idx="1">
                  <c:v>77.766658327078645</c:v>
                </c:pt>
                <c:pt idx="2">
                  <c:v>82.546419098143232</c:v>
                </c:pt>
                <c:pt idx="3">
                  <c:v>73.1862537123462</c:v>
                </c:pt>
                <c:pt idx="4">
                  <c:v>75.858226546093519</c:v>
                </c:pt>
              </c:numCache>
            </c:numRef>
          </c:val>
          <c:smooth val="0"/>
          <c:extLst>
            <c:ext xmlns:c16="http://schemas.microsoft.com/office/drawing/2014/chart" uri="{C3380CC4-5D6E-409C-BE32-E72D297353CC}">
              <c16:uniqueId val="{00000002-B56C-4478-A06D-94E279CDDBAB}"/>
            </c:ext>
          </c:extLst>
        </c:ser>
        <c:ser>
          <c:idx val="2"/>
          <c:order val="2"/>
          <c:tx>
            <c:strRef>
              <c:f>'Looked After Children'!$AK$40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Children'!$AL$40:$AP$40</c:f>
              <c:numCache>
                <c:formatCode>0.0</c:formatCode>
                <c:ptCount val="5"/>
                <c:pt idx="0">
                  <c:v>39.627631266528567</c:v>
                </c:pt>
                <c:pt idx="1">
                  <c:v>41.634352422547856</c:v>
                </c:pt>
                <c:pt idx="2">
                  <c:v>40.64448222815966</c:v>
                </c:pt>
                <c:pt idx="3">
                  <c:v>39.471071754755194</c:v>
                </c:pt>
                <c:pt idx="4">
                  <c:v>40.98232196589769</c:v>
                </c:pt>
              </c:numCache>
            </c:numRef>
          </c:val>
          <c:smooth val="0"/>
          <c:extLst>
            <c:ext xmlns:c16="http://schemas.microsoft.com/office/drawing/2014/chart" uri="{C3380CC4-5D6E-409C-BE32-E72D297353CC}">
              <c16:uniqueId val="{00000003-B56C-4478-A06D-94E279CDDBAB}"/>
            </c:ext>
          </c:extLst>
        </c:ser>
        <c:ser>
          <c:idx val="5"/>
          <c:order val="3"/>
          <c:tx>
            <c:strRef>
              <c:f>'Looked After Children'!$AK$41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Children'!$AL$41:$AP$41</c:f>
              <c:numCache>
                <c:formatCode>0.0</c:formatCode>
                <c:ptCount val="5"/>
                <c:pt idx="0">
                  <c:v>56.353902507748657</c:v>
                </c:pt>
                <c:pt idx="1">
                  <c:v>59.65689959870727</c:v>
                </c:pt>
                <c:pt idx="2">
                  <c:v>61.593385576555278</c:v>
                </c:pt>
                <c:pt idx="3">
                  <c:v>64.283977631898864</c:v>
                </c:pt>
                <c:pt idx="4">
                  <c:v>63.413315831129474</c:v>
                </c:pt>
              </c:numCache>
            </c:numRef>
          </c:val>
          <c:smooth val="0"/>
          <c:extLst>
            <c:ext xmlns:c16="http://schemas.microsoft.com/office/drawing/2014/chart" uri="{C3380CC4-5D6E-409C-BE32-E72D297353CC}">
              <c16:uniqueId val="{00000004-B56C-4478-A06D-94E279CDDBAB}"/>
            </c:ext>
          </c:extLst>
        </c:ser>
        <c:ser>
          <c:idx val="9"/>
          <c:order val="4"/>
          <c:tx>
            <c:strRef>
              <c:f>'Looked After Children'!$AK$42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Children'!$AL$42:$AP$42</c:f>
              <c:numCache>
                <c:formatCode>0.0</c:formatCode>
                <c:ptCount val="5"/>
                <c:pt idx="0">
                  <c:v>57.313667931552949</c:v>
                </c:pt>
                <c:pt idx="1">
                  <c:v>59.432652535459219</c:v>
                </c:pt>
                <c:pt idx="2">
                  <c:v>61.367818915099541</c:v>
                </c:pt>
                <c:pt idx="3">
                  <c:v>65.364549344414385</c:v>
                </c:pt>
                <c:pt idx="4">
                  <c:v>67.119498616995202</c:v>
                </c:pt>
              </c:numCache>
            </c:numRef>
          </c:val>
          <c:smooth val="0"/>
          <c:extLst>
            <c:ext xmlns:c16="http://schemas.microsoft.com/office/drawing/2014/chart" uri="{C3380CC4-5D6E-409C-BE32-E72D297353CC}">
              <c16:uniqueId val="{00000005-B56C-4478-A06D-94E279CDDBAB}"/>
            </c:ext>
          </c:extLst>
        </c:ser>
        <c:ser>
          <c:idx val="10"/>
          <c:order val="5"/>
          <c:tx>
            <c:strRef>
              <c:f>'Looked After Children'!$AK$43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Children'!$AL$43:$AP$43</c:f>
              <c:numCache>
                <c:formatCode>0.0</c:formatCode>
                <c:ptCount val="5"/>
                <c:pt idx="0">
                  <c:v>108.22599893008518</c:v>
                </c:pt>
                <c:pt idx="1">
                  <c:v>113.00853842290307</c:v>
                </c:pt>
                <c:pt idx="2">
                  <c:v>116.34794381452024</c:v>
                </c:pt>
                <c:pt idx="3">
                  <c:v>122.3761366533526</c:v>
                </c:pt>
                <c:pt idx="4">
                  <c:v>119.03746053417527</c:v>
                </c:pt>
              </c:numCache>
            </c:numRef>
          </c:val>
          <c:smooth val="0"/>
          <c:extLst>
            <c:ext xmlns:c16="http://schemas.microsoft.com/office/drawing/2014/chart" uri="{C3380CC4-5D6E-409C-BE32-E72D297353CC}">
              <c16:uniqueId val="{00000006-B56C-4478-A06D-94E279CDDBAB}"/>
            </c:ext>
          </c:extLst>
        </c:ser>
        <c:ser>
          <c:idx val="11"/>
          <c:order val="6"/>
          <c:tx>
            <c:strRef>
              <c:f>'Looked After Children'!$AK$44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Children'!$AL$44:$AP$44</c:f>
              <c:numCache>
                <c:formatCode>0.0</c:formatCode>
                <c:ptCount val="5"/>
                <c:pt idx="0">
                  <c:v>54.178428825564055</c:v>
                </c:pt>
                <c:pt idx="1">
                  <c:v>49.697390139463671</c:v>
                </c:pt>
                <c:pt idx="2">
                  <c:v>52.872585103439249</c:v>
                </c:pt>
                <c:pt idx="3">
                  <c:v>56.641525062854015</c:v>
                </c:pt>
                <c:pt idx="4">
                  <c:v>56.268157964241013</c:v>
                </c:pt>
              </c:numCache>
            </c:numRef>
          </c:val>
          <c:smooth val="0"/>
          <c:extLst>
            <c:ext xmlns:c16="http://schemas.microsoft.com/office/drawing/2014/chart" uri="{C3380CC4-5D6E-409C-BE32-E72D297353CC}">
              <c16:uniqueId val="{00000007-B56C-4478-A06D-94E279CDDBAB}"/>
            </c:ext>
          </c:extLst>
        </c:ser>
        <c:ser>
          <c:idx val="12"/>
          <c:order val="7"/>
          <c:tx>
            <c:strRef>
              <c:f>'Looked After Children'!$AK$45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Children'!$AL$45:$AP$45</c:f>
              <c:numCache>
                <c:formatCode>0.0</c:formatCode>
                <c:ptCount val="5"/>
                <c:pt idx="0">
                  <c:v>66.90539012438748</c:v>
                </c:pt>
                <c:pt idx="1">
                  <c:v>69.079205589135725</c:v>
                </c:pt>
                <c:pt idx="2">
                  <c:v>69.417239920397392</c:v>
                </c:pt>
                <c:pt idx="3">
                  <c:v>71.588022477099528</c:v>
                </c:pt>
                <c:pt idx="4">
                  <c:v>71.378229639959812</c:v>
                </c:pt>
              </c:numCache>
            </c:numRef>
          </c:val>
          <c:smooth val="0"/>
          <c:extLst>
            <c:ext xmlns:c16="http://schemas.microsoft.com/office/drawing/2014/chart" uri="{C3380CC4-5D6E-409C-BE32-E72D297353CC}">
              <c16:uniqueId val="{00000008-B56C-4478-A06D-94E279CDDBAB}"/>
            </c:ext>
          </c:extLst>
        </c:ser>
        <c:ser>
          <c:idx val="13"/>
          <c:order val="8"/>
          <c:tx>
            <c:strRef>
              <c:f>'Looked After Children'!$AK$46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Children'!$AL$46:$AP$46</c:f>
              <c:numCache>
                <c:formatCode>0.0</c:formatCode>
                <c:ptCount val="5"/>
                <c:pt idx="0">
                  <c:v>58.374494836102379</c:v>
                </c:pt>
                <c:pt idx="1">
                  <c:v>56.994444845249262</c:v>
                </c:pt>
                <c:pt idx="2">
                  <c:v>51.841746248294683</c:v>
                </c:pt>
                <c:pt idx="3">
                  <c:v>49.893588532931176</c:v>
                </c:pt>
                <c:pt idx="4">
                  <c:v>56.321002239103265</c:v>
                </c:pt>
              </c:numCache>
            </c:numRef>
          </c:val>
          <c:smooth val="0"/>
          <c:extLst>
            <c:ext xmlns:c16="http://schemas.microsoft.com/office/drawing/2014/chart" uri="{C3380CC4-5D6E-409C-BE32-E72D297353CC}">
              <c16:uniqueId val="{00000009-B56C-4478-A06D-94E279CDDBAB}"/>
            </c:ext>
          </c:extLst>
        </c:ser>
        <c:ser>
          <c:idx val="15"/>
          <c:order val="9"/>
          <c:tx>
            <c:strRef>
              <c:f>'Looked After Children'!$AK$47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Children'!$AL$47:$AP$47</c:f>
              <c:numCache>
                <c:formatCode>0.0</c:formatCode>
                <c:ptCount val="5"/>
                <c:pt idx="0">
                  <c:v>53.105678222517639</c:v>
                </c:pt>
                <c:pt idx="1">
                  <c:v>53.987425887797052</c:v>
                </c:pt>
                <c:pt idx="2">
                  <c:v>58.356053928100422</c:v>
                </c:pt>
                <c:pt idx="3">
                  <c:v>58.91479088927229</c:v>
                </c:pt>
                <c:pt idx="4">
                  <c:v>50.490147864004456</c:v>
                </c:pt>
              </c:numCache>
            </c:numRef>
          </c:val>
          <c:smooth val="0"/>
          <c:extLst>
            <c:ext xmlns:c16="http://schemas.microsoft.com/office/drawing/2014/chart" uri="{C3380CC4-5D6E-409C-BE32-E72D297353CC}">
              <c16:uniqueId val="{0000000A-B56C-4478-A06D-94E279CDDBAB}"/>
            </c:ext>
          </c:extLst>
        </c:ser>
        <c:ser>
          <c:idx val="16"/>
          <c:order val="10"/>
          <c:tx>
            <c:strRef>
              <c:f>'Looked After Children'!$AK$48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Children'!$AL$48:$AP$48</c:f>
              <c:numCache>
                <c:formatCode>0.0</c:formatCode>
                <c:ptCount val="5"/>
                <c:pt idx="0">
                  <c:v>111.3410891442438</c:v>
                </c:pt>
                <c:pt idx="1">
                  <c:v>90.29021855965604</c:v>
                </c:pt>
                <c:pt idx="2">
                  <c:v>93.13098656115038</c:v>
                </c:pt>
                <c:pt idx="3">
                  <c:v>92.665568054261897</c:v>
                </c:pt>
                <c:pt idx="4">
                  <c:v>95.019736686600325</c:v>
                </c:pt>
              </c:numCache>
            </c:numRef>
          </c:val>
          <c:smooth val="0"/>
          <c:extLst>
            <c:ext xmlns:c16="http://schemas.microsoft.com/office/drawing/2014/chart" uri="{C3380CC4-5D6E-409C-BE32-E72D297353CC}">
              <c16:uniqueId val="{0000000B-B56C-4478-A06D-94E279CDDBAB}"/>
            </c:ext>
          </c:extLst>
        </c:ser>
        <c:ser>
          <c:idx val="17"/>
          <c:order val="11"/>
          <c:tx>
            <c:strRef>
              <c:f>'Looked After Children'!$AK$49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Children'!$AL$49:$AP$49</c:f>
              <c:numCache>
                <c:formatCode>0.0</c:formatCode>
                <c:ptCount val="5"/>
                <c:pt idx="0">
                  <c:v>74.804212800432083</c:v>
                </c:pt>
                <c:pt idx="1">
                  <c:v>73.030212869546403</c:v>
                </c:pt>
                <c:pt idx="2">
                  <c:v>64.402488027742606</c:v>
                </c:pt>
                <c:pt idx="3">
                  <c:v>67.632850241545896</c:v>
                </c:pt>
                <c:pt idx="4">
                  <c:v>70.131034300930679</c:v>
                </c:pt>
              </c:numCache>
            </c:numRef>
          </c:val>
          <c:smooth val="0"/>
          <c:extLst>
            <c:ext xmlns:c16="http://schemas.microsoft.com/office/drawing/2014/chart" uri="{C3380CC4-5D6E-409C-BE32-E72D297353CC}">
              <c16:uniqueId val="{0000000C-B56C-4478-A06D-94E279CDDBAB}"/>
            </c:ext>
          </c:extLst>
        </c:ser>
        <c:ser>
          <c:idx val="19"/>
          <c:order val="12"/>
          <c:tx>
            <c:strRef>
              <c:f>'Looked After Children'!$AK$50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Children'!$AL$50:$AP$50</c:f>
              <c:numCache>
                <c:formatCode>0.0</c:formatCode>
                <c:ptCount val="5"/>
                <c:pt idx="0">
                  <c:v>45.079233653027906</c:v>
                </c:pt>
                <c:pt idx="1">
                  <c:v>50.797266514806381</c:v>
                </c:pt>
                <c:pt idx="2">
                  <c:v>53.501611907538241</c:v>
                </c:pt>
                <c:pt idx="3">
                  <c:v>57.175141242937855</c:v>
                </c:pt>
                <c:pt idx="4">
                  <c:v>44.817052777096478</c:v>
                </c:pt>
              </c:numCache>
            </c:numRef>
          </c:val>
          <c:smooth val="0"/>
          <c:extLst>
            <c:ext xmlns:c16="http://schemas.microsoft.com/office/drawing/2014/chart" uri="{C3380CC4-5D6E-409C-BE32-E72D297353CC}">
              <c16:uniqueId val="{0000000D-B56C-4478-A06D-94E279CDDBAB}"/>
            </c:ext>
          </c:extLst>
        </c:ser>
        <c:ser>
          <c:idx val="20"/>
          <c:order val="13"/>
          <c:tx>
            <c:strRef>
              <c:f>'Looked After Children'!$AK$51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Children'!$AL$51:$AP$51</c:f>
              <c:numCache>
                <c:formatCode>0.0</c:formatCode>
                <c:ptCount val="5"/>
                <c:pt idx="0">
                  <c:v>98.007582479632177</c:v>
                </c:pt>
                <c:pt idx="1">
                  <c:v>99.92560870177131</c:v>
                </c:pt>
                <c:pt idx="2">
                  <c:v>113.59034583299587</c:v>
                </c:pt>
                <c:pt idx="3">
                  <c:v>107.87832608128973</c:v>
                </c:pt>
                <c:pt idx="4">
                  <c:v>96.877295376491375</c:v>
                </c:pt>
              </c:numCache>
            </c:numRef>
          </c:val>
          <c:smooth val="0"/>
          <c:extLst>
            <c:ext xmlns:c16="http://schemas.microsoft.com/office/drawing/2014/chart" uri="{C3380CC4-5D6E-409C-BE32-E72D297353CC}">
              <c16:uniqueId val="{0000000F-B56C-4478-A06D-94E279CDDBAB}"/>
            </c:ext>
          </c:extLst>
        </c:ser>
        <c:ser>
          <c:idx val="22"/>
          <c:order val="14"/>
          <c:tx>
            <c:strRef>
              <c:f>'Looked After Children'!$AK$52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Children'!$AL$52:$AP$52</c:f>
              <c:numCache>
                <c:formatCode>0.0</c:formatCode>
                <c:ptCount val="5"/>
                <c:pt idx="0">
                  <c:v>38.094130868646943</c:v>
                </c:pt>
                <c:pt idx="1">
                  <c:v>38.527148874937623</c:v>
                </c:pt>
                <c:pt idx="2">
                  <c:v>40.387224072018746</c:v>
                </c:pt>
                <c:pt idx="3">
                  <c:v>38.439062891315729</c:v>
                </c:pt>
                <c:pt idx="4">
                  <c:v>36.247703935680086</c:v>
                </c:pt>
              </c:numCache>
            </c:numRef>
          </c:val>
          <c:smooth val="0"/>
          <c:extLst>
            <c:ext xmlns:c16="http://schemas.microsoft.com/office/drawing/2014/chart" uri="{C3380CC4-5D6E-409C-BE32-E72D297353CC}">
              <c16:uniqueId val="{00000010-B56C-4478-A06D-94E279CDDBAB}"/>
            </c:ext>
          </c:extLst>
        </c:ser>
        <c:ser>
          <c:idx val="23"/>
          <c:order val="15"/>
          <c:tx>
            <c:strRef>
              <c:f>'Looked After Children'!$AK$53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Children'!$AL$53:$AP$53</c:f>
              <c:numCache>
                <c:formatCode>0.0</c:formatCode>
                <c:ptCount val="5"/>
                <c:pt idx="0">
                  <c:v>44.493882091212456</c:v>
                </c:pt>
                <c:pt idx="1">
                  <c:v>41.925109120147027</c:v>
                </c:pt>
                <c:pt idx="2">
                  <c:v>47.98381268969505</c:v>
                </c:pt>
                <c:pt idx="3">
                  <c:v>56.427589367552699</c:v>
                </c:pt>
                <c:pt idx="4">
                  <c:v>52.937013446567583</c:v>
                </c:pt>
              </c:numCache>
            </c:numRef>
          </c:val>
          <c:smooth val="0"/>
          <c:extLst>
            <c:ext xmlns:c16="http://schemas.microsoft.com/office/drawing/2014/chart" uri="{C3380CC4-5D6E-409C-BE32-E72D297353CC}">
              <c16:uniqueId val="{00000013-B56C-4478-A06D-94E279CDDBAB}"/>
            </c:ext>
          </c:extLst>
        </c:ser>
        <c:ser>
          <c:idx val="24"/>
          <c:order val="16"/>
          <c:tx>
            <c:strRef>
              <c:f>'Looked After Children'!$AK$54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Children'!$AL$54:$AP$54</c:f>
              <c:numCache>
                <c:formatCode>0.0</c:formatCode>
                <c:ptCount val="5"/>
                <c:pt idx="0">
                  <c:v>46.441679967271874</c:v>
                </c:pt>
                <c:pt idx="1">
                  <c:v>51.244298999844716</c:v>
                </c:pt>
                <c:pt idx="2">
                  <c:v>49.189516913186225</c:v>
                </c:pt>
                <c:pt idx="3">
                  <c:v>50.01437842897338</c:v>
                </c:pt>
                <c:pt idx="4">
                  <c:v>50.612263139077584</c:v>
                </c:pt>
              </c:numCache>
            </c:numRef>
          </c:val>
          <c:smooth val="0"/>
          <c:extLst>
            <c:ext xmlns:c16="http://schemas.microsoft.com/office/drawing/2014/chart" uri="{C3380CC4-5D6E-409C-BE32-E72D297353CC}">
              <c16:uniqueId val="{00000014-B56C-4478-A06D-94E279CDDBAB}"/>
            </c:ext>
          </c:extLst>
        </c:ser>
        <c:ser>
          <c:idx val="25"/>
          <c:order val="17"/>
          <c:tx>
            <c:strRef>
              <c:f>'Looked After Children'!$AK$55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Children'!$AL$55:$AP$55</c:f>
              <c:numCache>
                <c:formatCode>0.0</c:formatCode>
                <c:ptCount val="5"/>
                <c:pt idx="0">
                  <c:v>33.844897006477211</c:v>
                </c:pt>
                <c:pt idx="1">
                  <c:v>38.142182319631488</c:v>
                </c:pt>
                <c:pt idx="2">
                  <c:v>37.784862439485181</c:v>
                </c:pt>
                <c:pt idx="3">
                  <c:v>44.264649840236864</c:v>
                </c:pt>
                <c:pt idx="4">
                  <c:v>40.838948688778039</c:v>
                </c:pt>
              </c:numCache>
            </c:numRef>
          </c:val>
          <c:smooth val="0"/>
          <c:extLst>
            <c:ext xmlns:c16="http://schemas.microsoft.com/office/drawing/2014/chart" uri="{C3380CC4-5D6E-409C-BE32-E72D297353CC}">
              <c16:uniqueId val="{00000015-B56C-4478-A06D-94E279CDDBAB}"/>
            </c:ext>
          </c:extLst>
        </c:ser>
        <c:ser>
          <c:idx val="26"/>
          <c:order val="18"/>
          <c:tx>
            <c:strRef>
              <c:f>'Looked After Children'!$AK$56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Children'!$AL$56:$AP$56</c:f>
              <c:numCache>
                <c:formatCode>0.0</c:formatCode>
                <c:ptCount val="5"/>
                <c:pt idx="0">
                  <c:v>24.640450568238961</c:v>
                </c:pt>
                <c:pt idx="1">
                  <c:v>24.953058602628719</c:v>
                </c:pt>
                <c:pt idx="2">
                  <c:v>33.066692601327532</c:v>
                </c:pt>
                <c:pt idx="3">
                  <c:v>32.220131702728132</c:v>
                </c:pt>
                <c:pt idx="4">
                  <c:v>31.629496236782565</c:v>
                </c:pt>
              </c:numCache>
            </c:numRef>
          </c:val>
          <c:smooth val="0"/>
          <c:extLst>
            <c:ext xmlns:c16="http://schemas.microsoft.com/office/drawing/2014/chart" uri="{C3380CC4-5D6E-409C-BE32-E72D297353CC}">
              <c16:uniqueId val="{00000016-B56C-4478-A06D-94E279CDDBAB}"/>
            </c:ext>
          </c:extLst>
        </c:ser>
        <c:ser>
          <c:idx val="4"/>
          <c:order val="19"/>
          <c:tx>
            <c:strRef>
              <c:f>'Looked After Children'!$AK$57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Children'!$AL$57:$AP$57</c:f>
              <c:numCache>
                <c:formatCode>0.0</c:formatCode>
                <c:ptCount val="5"/>
                <c:pt idx="0">
                  <c:v>54.100376975203254</c:v>
                </c:pt>
                <c:pt idx="1">
                  <c:v>54.300676790293416</c:v>
                </c:pt>
                <c:pt idx="2">
                  <c:v>56.016027310073483</c:v>
                </c:pt>
                <c:pt idx="3">
                  <c:v>57.296588206978072</c:v>
                </c:pt>
                <c:pt idx="4">
                  <c:v>57.196033521582287</c:v>
                </c:pt>
              </c:numCache>
            </c:numRef>
          </c:val>
          <c:smooth val="0"/>
          <c:extLst>
            <c:ext xmlns:c16="http://schemas.microsoft.com/office/drawing/2014/chart" uri="{C3380CC4-5D6E-409C-BE32-E72D297353CC}">
              <c16:uniqueId val="{00000017-B56C-4478-A06D-94E279CDDBAB}"/>
            </c:ext>
          </c:extLst>
        </c:ser>
        <c:ser>
          <c:idx val="14"/>
          <c:order val="20"/>
          <c:tx>
            <c:strRef>
              <c:f>'Looked After Children'!$AK$58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'Looked After Children'!$Y$2:$AC$3</c:f>
              <c:strCache>
                <c:ptCount val="5"/>
                <c:pt idx="0">
                  <c:v>2019/20</c:v>
                </c:pt>
                <c:pt idx="1">
                  <c:v>2020/21</c:v>
                </c:pt>
                <c:pt idx="2">
                  <c:v>2021/22</c:v>
                </c:pt>
                <c:pt idx="3">
                  <c:v>2022/23</c:v>
                </c:pt>
                <c:pt idx="4">
                  <c:v>2023/24</c:v>
                </c:pt>
              </c:strCache>
            </c:strRef>
          </c:cat>
          <c:val>
            <c:numRef>
              <c:f>'Looked After Children'!$AL$58:$AP$58</c:f>
              <c:numCache>
                <c:formatCode>0.0</c:formatCode>
                <c:ptCount val="5"/>
                <c:pt idx="0">
                  <c:v>67.851282202642608</c:v>
                </c:pt>
                <c:pt idx="1">
                  <c:v>68.589593608439372</c:v>
                </c:pt>
                <c:pt idx="2">
                  <c:v>69.855353426261843</c:v>
                </c:pt>
                <c:pt idx="3">
                  <c:v>70.538018132410059</c:v>
                </c:pt>
                <c:pt idx="4">
                  <c:v>69.69953109709212</c:v>
                </c:pt>
              </c:numCache>
            </c:numRef>
          </c:val>
          <c:smooth val="0"/>
          <c:extLst>
            <c:ext xmlns:c16="http://schemas.microsoft.com/office/drawing/2014/chart" uri="{C3380CC4-5D6E-409C-BE32-E72D297353CC}">
              <c16:uniqueId val="{00000018-B56C-4478-A06D-94E279CDDBAB}"/>
            </c:ext>
          </c:extLst>
        </c:ser>
        <c:ser>
          <c:idx val="6"/>
          <c:order val="21"/>
          <c:tx>
            <c:strRef>
              <c:f>'Looked After Children'!$AK$59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'Looked After Children'!$Y$2:$AC$3</c:f>
              <c:strCache>
                <c:ptCount val="5"/>
                <c:pt idx="0">
                  <c:v>2019/20</c:v>
                </c:pt>
                <c:pt idx="1">
                  <c:v>2020/21</c:v>
                </c:pt>
                <c:pt idx="2">
                  <c:v>2021/22</c:v>
                </c:pt>
                <c:pt idx="3">
                  <c:v>2022/23</c:v>
                </c:pt>
                <c:pt idx="4">
                  <c:v>2023/24</c:v>
                </c:pt>
              </c:strCache>
            </c:strRef>
          </c:cat>
          <c:val>
            <c:numRef>
              <c:f>'Looked After Children'!$AL$59:$AP$59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B56C-4478-A06D-94E279CDDBAB}"/>
            </c:ext>
          </c:extLst>
        </c:ser>
        <c:dLbls>
          <c:showLegendKey val="0"/>
          <c:showVal val="0"/>
          <c:showCatName val="0"/>
          <c:showSerName val="0"/>
          <c:showPercent val="0"/>
          <c:showBubbleSize val="0"/>
        </c:dLbls>
        <c:marker val="1"/>
        <c:smooth val="0"/>
        <c:axId val="600614400"/>
        <c:axId val="600616320"/>
      </c:lineChart>
      <c:catAx>
        <c:axId val="600614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0616320"/>
        <c:crosses val="autoZero"/>
        <c:auto val="1"/>
        <c:lblAlgn val="ctr"/>
        <c:lblOffset val="100"/>
        <c:tickLblSkip val="1"/>
        <c:tickMarkSkip val="1"/>
        <c:noMultiLvlLbl val="0"/>
      </c:catAx>
      <c:valAx>
        <c:axId val="600616320"/>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0614400"/>
        <c:crosses val="autoZero"/>
        <c:crossBetween val="between"/>
      </c:valAx>
      <c:spPr>
        <a:noFill/>
        <a:ln w="3175">
          <a:solidFill>
            <a:srgbClr val="000000"/>
          </a:solidFill>
          <a:prstDash val="solid"/>
        </a:ln>
      </c:spPr>
    </c:plotArea>
    <c:legend>
      <c:legendPos val="r"/>
      <c:layout>
        <c:manualLayout>
          <c:xMode val="edge"/>
          <c:yMode val="edge"/>
          <c:x val="0.66250721784939515"/>
          <c:y val="7.5190870500600387E-2"/>
          <c:w val="0.33139115077583292"/>
          <c:h val="0.8960243129586503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Looked After Children (Selected LA vs. SE) </a:t>
            </a:r>
          </a:p>
        </c:rich>
      </c:tx>
      <c:layout>
        <c:manualLayout>
          <c:xMode val="edge"/>
          <c:yMode val="edge"/>
          <c:x val="0.13687547797784019"/>
          <c:y val="2.7670916135483066E-2"/>
        </c:manualLayout>
      </c:layout>
      <c:overlay val="0"/>
      <c:spPr>
        <a:noFill/>
        <a:ln w="25400">
          <a:noFill/>
        </a:ln>
      </c:spPr>
    </c:title>
    <c:autoTitleDeleted val="0"/>
    <c:plotArea>
      <c:layout>
        <c:manualLayout>
          <c:layoutTarget val="inner"/>
          <c:xMode val="edge"/>
          <c:yMode val="edge"/>
          <c:x val="8.1161865550278892E-2"/>
          <c:y val="0.17136670416197974"/>
          <c:w val="0.65146216862752293"/>
          <c:h val="0.59828958880139982"/>
        </c:manualLayout>
      </c:layout>
      <c:barChart>
        <c:barDir val="col"/>
        <c:grouping val="clustered"/>
        <c:varyColors val="0"/>
        <c:ser>
          <c:idx val="6"/>
          <c:order val="0"/>
          <c:tx>
            <c:strRef>
              <c:f>'Looked After Children'!$Z$4</c:f>
              <c:strCache>
                <c:ptCount val="1"/>
                <c:pt idx="0">
                  <c:v>Selected LA- (none)</c:v>
                </c:pt>
              </c:strCache>
            </c:strRef>
          </c:tx>
          <c:spPr>
            <a:solidFill>
              <a:srgbClr val="66FF99"/>
            </a:solidFill>
            <a:ln>
              <a:solidFill>
                <a:schemeClr val="tx1">
                  <a:lumMod val="75000"/>
                  <a:lumOff val="25000"/>
                </a:schemeClr>
              </a:solidFill>
            </a:ln>
          </c:spPr>
          <c:invertIfNegative val="0"/>
          <c:cat>
            <c:strRef>
              <c:f>'Looked After Children'!$Y$2:$AC$3</c:f>
              <c:strCache>
                <c:ptCount val="5"/>
                <c:pt idx="0">
                  <c:v>2019/20</c:v>
                </c:pt>
                <c:pt idx="1">
                  <c:v>2020/21</c:v>
                </c:pt>
                <c:pt idx="2">
                  <c:v>2021/22</c:v>
                </c:pt>
                <c:pt idx="3">
                  <c:v>2022/23</c:v>
                </c:pt>
                <c:pt idx="4">
                  <c:v>2023/24</c:v>
                </c:pt>
              </c:strCache>
            </c:strRef>
          </c:cat>
          <c:val>
            <c:numRef>
              <c:f>'Looked After Children'!$AL$59:$AP$59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4546-477D-BA92-0B69AA731907}"/>
            </c:ext>
          </c:extLst>
        </c:ser>
        <c:ser>
          <c:idx val="4"/>
          <c:order val="1"/>
          <c:tx>
            <c:strRef>
              <c:f>'Looked After Children'!$B$30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'Looked After Children'!$Y$2:$AC$3</c:f>
              <c:strCache>
                <c:ptCount val="5"/>
                <c:pt idx="0">
                  <c:v>2019/20</c:v>
                </c:pt>
                <c:pt idx="1">
                  <c:v>2020/21</c:v>
                </c:pt>
                <c:pt idx="2">
                  <c:v>2021/22</c:v>
                </c:pt>
                <c:pt idx="3">
                  <c:v>2022/23</c:v>
                </c:pt>
                <c:pt idx="4">
                  <c:v>2023/24</c:v>
                </c:pt>
              </c:strCache>
            </c:strRef>
          </c:cat>
          <c:val>
            <c:numRef>
              <c:f>'Looked After Children'!$K$30:$O$30</c:f>
              <c:numCache>
                <c:formatCode>0.0</c:formatCode>
                <c:ptCount val="5"/>
                <c:pt idx="0">
                  <c:v>54.100376975203254</c:v>
                </c:pt>
                <c:pt idx="1">
                  <c:v>54.300676790293416</c:v>
                </c:pt>
                <c:pt idx="2">
                  <c:v>56.016027310073483</c:v>
                </c:pt>
                <c:pt idx="3">
                  <c:v>57.296588206978072</c:v>
                </c:pt>
                <c:pt idx="4">
                  <c:v>57.196033521582287</c:v>
                </c:pt>
              </c:numCache>
            </c:numRef>
          </c:val>
          <c:extLst>
            <c:ext xmlns:c16="http://schemas.microsoft.com/office/drawing/2014/chart" uri="{C3380CC4-5D6E-409C-BE32-E72D297353CC}">
              <c16:uniqueId val="{00000001-4546-477D-BA92-0B69AA731907}"/>
            </c:ext>
          </c:extLst>
        </c:ser>
        <c:ser>
          <c:idx val="0"/>
          <c:order val="2"/>
          <c:tx>
            <c:strRef>
              <c:f>'Looked After Children'!$B$31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'Looked After Children'!$Y$2:$AC$3</c:f>
              <c:strCache>
                <c:ptCount val="5"/>
                <c:pt idx="0">
                  <c:v>2019/20</c:v>
                </c:pt>
                <c:pt idx="1">
                  <c:v>2020/21</c:v>
                </c:pt>
                <c:pt idx="2">
                  <c:v>2021/22</c:v>
                </c:pt>
                <c:pt idx="3">
                  <c:v>2022/23</c:v>
                </c:pt>
                <c:pt idx="4">
                  <c:v>2023/24</c:v>
                </c:pt>
              </c:strCache>
            </c:strRef>
          </c:cat>
          <c:val>
            <c:numRef>
              <c:f>'Looked After Children'!$K$31:$O$31</c:f>
              <c:numCache>
                <c:formatCode>0.0</c:formatCode>
                <c:ptCount val="5"/>
                <c:pt idx="0">
                  <c:v>67.851282202642608</c:v>
                </c:pt>
                <c:pt idx="1">
                  <c:v>68.589593608439372</c:v>
                </c:pt>
                <c:pt idx="2">
                  <c:v>69.855353426261843</c:v>
                </c:pt>
                <c:pt idx="3">
                  <c:v>70.538018132410059</c:v>
                </c:pt>
                <c:pt idx="4">
                  <c:v>69.69953109709212</c:v>
                </c:pt>
              </c:numCache>
            </c:numRef>
          </c:val>
          <c:extLst>
            <c:ext xmlns:c16="http://schemas.microsoft.com/office/drawing/2014/chart" uri="{C3380CC4-5D6E-409C-BE32-E72D297353CC}">
              <c16:uniqueId val="{00000002-4546-477D-BA92-0B69AA731907}"/>
            </c:ext>
          </c:extLst>
        </c:ser>
        <c:dLbls>
          <c:showLegendKey val="0"/>
          <c:showVal val="0"/>
          <c:showCatName val="0"/>
          <c:showSerName val="0"/>
          <c:showPercent val="0"/>
          <c:showBubbleSize val="0"/>
        </c:dLbls>
        <c:gapWidth val="100"/>
        <c:axId val="586998912"/>
        <c:axId val="587000448"/>
      </c:barChart>
      <c:catAx>
        <c:axId val="586998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87000448"/>
        <c:crosses val="autoZero"/>
        <c:auto val="1"/>
        <c:lblAlgn val="ctr"/>
        <c:lblOffset val="100"/>
        <c:noMultiLvlLbl val="0"/>
      </c:catAx>
      <c:valAx>
        <c:axId val="5870004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86998912"/>
        <c:crosses val="autoZero"/>
        <c:crossBetween val="between"/>
      </c:valAx>
      <c:spPr>
        <a:noFill/>
        <a:ln w="3175">
          <a:solidFill>
            <a:srgbClr val="000000"/>
          </a:solidFill>
          <a:prstDash val="solid"/>
        </a:ln>
      </c:spPr>
    </c:plotArea>
    <c:legend>
      <c:legendPos val="r"/>
      <c:layout>
        <c:manualLayout>
          <c:xMode val="edge"/>
          <c:yMode val="edge"/>
          <c:x val="0.73536368541887587"/>
          <c:y val="0.17953653819588342"/>
          <c:w val="0.26463631458112413"/>
          <c:h val="0.70935258092738407"/>
        </c:manualLayout>
      </c:layout>
      <c:overlay val="0"/>
      <c:spPr>
        <a:no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pPr>
            <a:r>
              <a:rPr lang="en-GB" sz="1100" b="1"/>
              <a:t>% CLA for 2.5+ Years in same placement for 2+ Years (Selected LA vs. SE &amp; National) </a:t>
            </a:r>
          </a:p>
        </c:rich>
      </c:tx>
      <c:layout>
        <c:manualLayout>
          <c:xMode val="edge"/>
          <c:yMode val="edge"/>
          <c:x val="0.10929914529914531"/>
          <c:y val="3.8616326805303181E-3"/>
        </c:manualLayout>
      </c:layout>
      <c:overlay val="0"/>
      <c:spPr>
        <a:noFill/>
        <a:ln w="25400">
          <a:noFill/>
        </a:ln>
      </c:spPr>
    </c:title>
    <c:autoTitleDeleted val="0"/>
    <c:plotArea>
      <c:layout>
        <c:manualLayout>
          <c:layoutTarget val="inner"/>
          <c:xMode val="edge"/>
          <c:yMode val="edge"/>
          <c:x val="9.8666614692965365E-2"/>
          <c:y val="0.24241532682666164"/>
          <c:w val="0.62206205659936087"/>
          <c:h val="0.53823628333883422"/>
        </c:manualLayout>
      </c:layout>
      <c:barChart>
        <c:barDir val="col"/>
        <c:grouping val="clustered"/>
        <c:varyColors val="0"/>
        <c:ser>
          <c:idx val="6"/>
          <c:order val="0"/>
          <c:tx>
            <c:strRef>
              <c:f>'Looked After Children'!$Z$4</c:f>
              <c:strCache>
                <c:ptCount val="1"/>
                <c:pt idx="0">
                  <c:v>Selected LA- (none)</c:v>
                </c:pt>
              </c:strCache>
            </c:strRef>
          </c:tx>
          <c:spPr>
            <a:solidFill>
              <a:srgbClr val="66FF99"/>
            </a:solidFill>
            <a:ln>
              <a:solidFill>
                <a:schemeClr val="tx1">
                  <a:lumMod val="75000"/>
                  <a:lumOff val="25000"/>
                </a:schemeClr>
              </a:solidFill>
            </a:ln>
          </c:spPr>
          <c:invertIfNegative val="0"/>
          <c:cat>
            <c:strRef>
              <c:f>'Looked After Children'!$Y$2:$AC$3</c:f>
              <c:strCache>
                <c:ptCount val="5"/>
                <c:pt idx="0">
                  <c:v>2019/20</c:v>
                </c:pt>
                <c:pt idx="1">
                  <c:v>2020/21</c:v>
                </c:pt>
                <c:pt idx="2">
                  <c:v>2021/22</c:v>
                </c:pt>
                <c:pt idx="3">
                  <c:v>2022/23</c:v>
                </c:pt>
                <c:pt idx="4">
                  <c:v>2023/24</c:v>
                </c:pt>
              </c:strCache>
            </c:strRef>
          </c:cat>
          <c:val>
            <c:numRef>
              <c:f>'Looked After Children'!$AW$59:$BA$59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FE6E-4F6A-A69C-4099082D6E4C}"/>
            </c:ext>
          </c:extLst>
        </c:ser>
        <c:ser>
          <c:idx val="4"/>
          <c:order val="1"/>
          <c:tx>
            <c:strRef>
              <c:f>'Looked After Children'!$B$161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'Looked After Children'!$Y$2:$AC$3</c:f>
              <c:strCache>
                <c:ptCount val="5"/>
                <c:pt idx="0">
                  <c:v>2019/20</c:v>
                </c:pt>
                <c:pt idx="1">
                  <c:v>2020/21</c:v>
                </c:pt>
                <c:pt idx="2">
                  <c:v>2021/22</c:v>
                </c:pt>
                <c:pt idx="3">
                  <c:v>2022/23</c:v>
                </c:pt>
                <c:pt idx="4">
                  <c:v>2023/24</c:v>
                </c:pt>
              </c:strCache>
            </c:strRef>
          </c:cat>
          <c:val>
            <c:numRef>
              <c:f>'Looked After Children'!$D$161:$H$161</c:f>
              <c:numCache>
                <c:formatCode>0%</c:formatCode>
                <c:ptCount val="5"/>
                <c:pt idx="0">
                  <c:v>0.52976014213799227</c:v>
                </c:pt>
                <c:pt idx="1">
                  <c:v>0.67558239861949954</c:v>
                </c:pt>
                <c:pt idx="2">
                  <c:v>0.69781757134862898</c:v>
                </c:pt>
                <c:pt idx="3">
                  <c:v>0.68258426966292129</c:v>
                </c:pt>
                <c:pt idx="4">
                  <c:v>0.65722379603399439</c:v>
                </c:pt>
              </c:numCache>
            </c:numRef>
          </c:val>
          <c:extLst>
            <c:ext xmlns:c16="http://schemas.microsoft.com/office/drawing/2014/chart" uri="{C3380CC4-5D6E-409C-BE32-E72D297353CC}">
              <c16:uniqueId val="{00000001-FE6E-4F6A-A69C-4099082D6E4C}"/>
            </c:ext>
          </c:extLst>
        </c:ser>
        <c:ser>
          <c:idx val="0"/>
          <c:order val="2"/>
          <c:tx>
            <c:strRef>
              <c:f>'Looked After Children'!$B$162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'Looked After Children'!$Y$2:$AC$3</c:f>
              <c:strCache>
                <c:ptCount val="5"/>
                <c:pt idx="0">
                  <c:v>2019/20</c:v>
                </c:pt>
                <c:pt idx="1">
                  <c:v>2020/21</c:v>
                </c:pt>
                <c:pt idx="2">
                  <c:v>2021/22</c:v>
                </c:pt>
                <c:pt idx="3">
                  <c:v>2022/23</c:v>
                </c:pt>
                <c:pt idx="4">
                  <c:v>2023/24</c:v>
                </c:pt>
              </c:strCache>
            </c:strRef>
          </c:cat>
          <c:val>
            <c:numRef>
              <c:f>'Looked After Children'!$D$162:$H$162</c:f>
              <c:numCache>
                <c:formatCode>0%</c:formatCode>
                <c:ptCount val="5"/>
                <c:pt idx="0">
                  <c:v>0.67832167832167833</c:v>
                </c:pt>
                <c:pt idx="1">
                  <c:v>0.70261780104712046</c:v>
                </c:pt>
                <c:pt idx="2">
                  <c:v>0.70998307952622675</c:v>
                </c:pt>
                <c:pt idx="3">
                  <c:v>0.68680391495106308</c:v>
                </c:pt>
                <c:pt idx="4">
                  <c:v>0.68103448275862066</c:v>
                </c:pt>
              </c:numCache>
            </c:numRef>
          </c:val>
          <c:extLst>
            <c:ext xmlns:c16="http://schemas.microsoft.com/office/drawing/2014/chart" uri="{C3380CC4-5D6E-409C-BE32-E72D297353CC}">
              <c16:uniqueId val="{00000002-FE6E-4F6A-A69C-4099082D6E4C}"/>
            </c:ext>
          </c:extLst>
        </c:ser>
        <c:dLbls>
          <c:showLegendKey val="0"/>
          <c:showVal val="0"/>
          <c:showCatName val="0"/>
          <c:showSerName val="0"/>
          <c:showPercent val="0"/>
          <c:showBubbleSize val="0"/>
        </c:dLbls>
        <c:gapWidth val="100"/>
        <c:axId val="587846016"/>
        <c:axId val="587847552"/>
      </c:barChart>
      <c:catAx>
        <c:axId val="587846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87847552"/>
        <c:crosses val="autoZero"/>
        <c:auto val="1"/>
        <c:lblAlgn val="ctr"/>
        <c:lblOffset val="100"/>
        <c:noMultiLvlLbl val="0"/>
      </c:catAx>
      <c:valAx>
        <c:axId val="587847552"/>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87846016"/>
        <c:crosses val="autoZero"/>
        <c:crossBetween val="between"/>
      </c:valAx>
      <c:spPr>
        <a:noFill/>
        <a:ln w="3175">
          <a:solidFill>
            <a:srgbClr val="000000"/>
          </a:solidFill>
          <a:prstDash val="solid"/>
        </a:ln>
      </c:spPr>
    </c:plotArea>
    <c:legend>
      <c:legendPos val="r"/>
      <c:layout>
        <c:manualLayout>
          <c:xMode val="edge"/>
          <c:yMode val="edge"/>
          <c:x val="0.72803565395909675"/>
          <c:y val="0.25120279126785799"/>
          <c:w val="0.27196434604090336"/>
          <c:h val="0.5943457965957849"/>
        </c:manualLayout>
      </c:layout>
      <c:overlay val="0"/>
      <c:spPr>
        <a:no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Children Looked After for at least 2.5 Years in same placement for at least 2 Years</a:t>
            </a:r>
          </a:p>
        </c:rich>
      </c:tx>
      <c:layout>
        <c:manualLayout>
          <c:xMode val="edge"/>
          <c:yMode val="edge"/>
          <c:x val="0.11860373868745022"/>
          <c:y val="6.1214799217111891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'Looked After Children'!$AK$38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16CF-4638-A8BC-26099D30A7C3}"/>
              </c:ext>
            </c:extLst>
          </c:dPt>
          <c:cat>
            <c:strRef>
              <c:f>'Looked After Children'!$Y$2:$AC$3</c:f>
              <c:strCache>
                <c:ptCount val="5"/>
                <c:pt idx="0">
                  <c:v>2019/20</c:v>
                </c:pt>
                <c:pt idx="1">
                  <c:v>2020/21</c:v>
                </c:pt>
                <c:pt idx="2">
                  <c:v>2021/22</c:v>
                </c:pt>
                <c:pt idx="3">
                  <c:v>2022/23</c:v>
                </c:pt>
                <c:pt idx="4">
                  <c:v>2023/24</c:v>
                </c:pt>
              </c:strCache>
            </c:strRef>
          </c:cat>
          <c:val>
            <c:numRef>
              <c:f>'Looked After Children'!$AW$38:$BA$38</c:f>
              <c:numCache>
                <c:formatCode>0.0%</c:formatCode>
                <c:ptCount val="5"/>
                <c:pt idx="0">
                  <c:v>0.51219512195121952</c:v>
                </c:pt>
                <c:pt idx="1">
                  <c:v>0.45283018867924529</c:v>
                </c:pt>
                <c:pt idx="2">
                  <c:v>0.54716981132075471</c:v>
                </c:pt>
                <c:pt idx="3">
                  <c:v>0.625</c:v>
                </c:pt>
                <c:pt idx="4">
                  <c:v>0.63888888888888884</c:v>
                </c:pt>
              </c:numCache>
            </c:numRef>
          </c:val>
          <c:smooth val="0"/>
          <c:extLst>
            <c:ext xmlns:c16="http://schemas.microsoft.com/office/drawing/2014/chart" uri="{C3380CC4-5D6E-409C-BE32-E72D297353CC}">
              <c16:uniqueId val="{00000001-16CF-4638-A8BC-26099D30A7C3}"/>
            </c:ext>
          </c:extLst>
        </c:ser>
        <c:ser>
          <c:idx val="1"/>
          <c:order val="1"/>
          <c:tx>
            <c:strRef>
              <c:f>'Looked After Children'!$AK$39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Children'!$AW$39:$BA$39</c:f>
              <c:numCache>
                <c:formatCode>0.0%</c:formatCode>
                <c:ptCount val="5"/>
                <c:pt idx="0">
                  <c:v>0.6386554621848739</c:v>
                </c:pt>
                <c:pt idx="1">
                  <c:v>0.63716814159292035</c:v>
                </c:pt>
                <c:pt idx="2">
                  <c:v>0.66666666666666663</c:v>
                </c:pt>
                <c:pt idx="3">
                  <c:v>0.74789915966386555</c:v>
                </c:pt>
                <c:pt idx="4">
                  <c:v>0.76271186440677963</c:v>
                </c:pt>
              </c:numCache>
            </c:numRef>
          </c:val>
          <c:smooth val="0"/>
          <c:extLst>
            <c:ext xmlns:c16="http://schemas.microsoft.com/office/drawing/2014/chart" uri="{C3380CC4-5D6E-409C-BE32-E72D297353CC}">
              <c16:uniqueId val="{00000002-16CF-4638-A8BC-26099D30A7C3}"/>
            </c:ext>
          </c:extLst>
        </c:ser>
        <c:ser>
          <c:idx val="2"/>
          <c:order val="2"/>
          <c:tx>
            <c:strRef>
              <c:f>'Looked After Children'!$AK$40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Children'!$AW$40:$BA$40</c:f>
              <c:numCache>
                <c:formatCode>0.0%</c:formatCode>
                <c:ptCount val="5"/>
                <c:pt idx="0">
                  <c:v>#N/A</c:v>
                </c:pt>
                <c:pt idx="1">
                  <c:v>0.76100628930817615</c:v>
                </c:pt>
                <c:pt idx="2">
                  <c:v>0.68456375838926176</c:v>
                </c:pt>
                <c:pt idx="3">
                  <c:v>0.61392405063291144</c:v>
                </c:pt>
                <c:pt idx="4">
                  <c:v>0.66666666666666663</c:v>
                </c:pt>
              </c:numCache>
            </c:numRef>
          </c:val>
          <c:smooth val="0"/>
          <c:extLst>
            <c:ext xmlns:c16="http://schemas.microsoft.com/office/drawing/2014/chart" uri="{C3380CC4-5D6E-409C-BE32-E72D297353CC}">
              <c16:uniqueId val="{00000003-16CF-4638-A8BC-26099D30A7C3}"/>
            </c:ext>
          </c:extLst>
        </c:ser>
        <c:ser>
          <c:idx val="5"/>
          <c:order val="3"/>
          <c:tx>
            <c:strRef>
              <c:f>'Looked After Children'!$AK$41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Children'!$AW$41:$BA$41</c:f>
              <c:numCache>
                <c:formatCode>0.0%</c:formatCode>
                <c:ptCount val="5"/>
                <c:pt idx="0">
                  <c:v>0.50210970464135019</c:v>
                </c:pt>
                <c:pt idx="1">
                  <c:v>0.63745019920318724</c:v>
                </c:pt>
                <c:pt idx="2">
                  <c:v>0.7385892116182573</c:v>
                </c:pt>
                <c:pt idx="3">
                  <c:v>0.7136929460580913</c:v>
                </c:pt>
                <c:pt idx="4">
                  <c:v>0.66942148760330578</c:v>
                </c:pt>
              </c:numCache>
            </c:numRef>
          </c:val>
          <c:smooth val="0"/>
          <c:extLst>
            <c:ext xmlns:c16="http://schemas.microsoft.com/office/drawing/2014/chart" uri="{C3380CC4-5D6E-409C-BE32-E72D297353CC}">
              <c16:uniqueId val="{00000004-16CF-4638-A8BC-26099D30A7C3}"/>
            </c:ext>
          </c:extLst>
        </c:ser>
        <c:ser>
          <c:idx val="9"/>
          <c:order val="4"/>
          <c:tx>
            <c:strRef>
              <c:f>'Looked After Children'!$AK$42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Children'!$AW$42:$BA$42</c:f>
              <c:numCache>
                <c:formatCode>0.0%</c:formatCode>
                <c:ptCount val="5"/>
                <c:pt idx="0">
                  <c:v>0.63237774030354132</c:v>
                </c:pt>
                <c:pt idx="1">
                  <c:v>0.7</c:v>
                </c:pt>
                <c:pt idx="2">
                  <c:v>0.6728395061728395</c:v>
                </c:pt>
                <c:pt idx="3">
                  <c:v>0.64308176100628933</c:v>
                </c:pt>
                <c:pt idx="4">
                  <c:v>0.56606606606606602</c:v>
                </c:pt>
              </c:numCache>
            </c:numRef>
          </c:val>
          <c:smooth val="0"/>
          <c:extLst>
            <c:ext xmlns:c16="http://schemas.microsoft.com/office/drawing/2014/chart" uri="{C3380CC4-5D6E-409C-BE32-E72D297353CC}">
              <c16:uniqueId val="{00000005-16CF-4638-A8BC-26099D30A7C3}"/>
            </c:ext>
          </c:extLst>
        </c:ser>
        <c:ser>
          <c:idx val="10"/>
          <c:order val="5"/>
          <c:tx>
            <c:strRef>
              <c:f>'Looked After Children'!$AK$43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Children'!$AW$43:$BA$43</c:f>
              <c:numCache>
                <c:formatCode>0.0%</c:formatCode>
                <c:ptCount val="5"/>
                <c:pt idx="0">
                  <c:v>0.69902912621359226</c:v>
                </c:pt>
                <c:pt idx="1">
                  <c:v>0.69421487603305787</c:v>
                </c:pt>
                <c:pt idx="2">
                  <c:v>0.63114754098360659</c:v>
                </c:pt>
                <c:pt idx="3">
                  <c:v>0.6454545454545455</c:v>
                </c:pt>
                <c:pt idx="4">
                  <c:v>0.72727272727272729</c:v>
                </c:pt>
              </c:numCache>
            </c:numRef>
          </c:val>
          <c:smooth val="0"/>
          <c:extLst>
            <c:ext xmlns:c16="http://schemas.microsoft.com/office/drawing/2014/chart" uri="{C3380CC4-5D6E-409C-BE32-E72D297353CC}">
              <c16:uniqueId val="{00000006-16CF-4638-A8BC-26099D30A7C3}"/>
            </c:ext>
          </c:extLst>
        </c:ser>
        <c:ser>
          <c:idx val="11"/>
          <c:order val="6"/>
          <c:tx>
            <c:strRef>
              <c:f>'Looked After Children'!$AK$44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Children'!$AW$44:$BA$44</c:f>
              <c:numCache>
                <c:formatCode>0.0%</c:formatCode>
                <c:ptCount val="5"/>
                <c:pt idx="0">
                  <c:v>0.71969696969696972</c:v>
                </c:pt>
                <c:pt idx="1">
                  <c:v>0.66937119675456391</c:v>
                </c:pt>
                <c:pt idx="2">
                  <c:v>0.74020618556701034</c:v>
                </c:pt>
                <c:pt idx="3">
                  <c:v>0.72052401746724892</c:v>
                </c:pt>
                <c:pt idx="4">
                  <c:v>0.6696428571428571</c:v>
                </c:pt>
              </c:numCache>
            </c:numRef>
          </c:val>
          <c:smooth val="0"/>
          <c:extLst>
            <c:ext xmlns:c16="http://schemas.microsoft.com/office/drawing/2014/chart" uri="{C3380CC4-5D6E-409C-BE32-E72D297353CC}">
              <c16:uniqueId val="{00000007-16CF-4638-A8BC-26099D30A7C3}"/>
            </c:ext>
          </c:extLst>
        </c:ser>
        <c:ser>
          <c:idx val="12"/>
          <c:order val="7"/>
          <c:tx>
            <c:strRef>
              <c:f>'Looked After Children'!$AK$45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Children'!$AW$45:$BA$45</c:f>
              <c:numCache>
                <c:formatCode>0.0%</c:formatCode>
                <c:ptCount val="5"/>
                <c:pt idx="0">
                  <c:v>0.69090909090909092</c:v>
                </c:pt>
                <c:pt idx="1">
                  <c:v>0.67096774193548392</c:v>
                </c:pt>
                <c:pt idx="2">
                  <c:v>0.70512820512820518</c:v>
                </c:pt>
                <c:pt idx="3">
                  <c:v>0.70857142857142852</c:v>
                </c:pt>
                <c:pt idx="4">
                  <c:v>0.62285714285714289</c:v>
                </c:pt>
              </c:numCache>
            </c:numRef>
          </c:val>
          <c:smooth val="0"/>
          <c:extLst>
            <c:ext xmlns:c16="http://schemas.microsoft.com/office/drawing/2014/chart" uri="{C3380CC4-5D6E-409C-BE32-E72D297353CC}">
              <c16:uniqueId val="{00000008-16CF-4638-A8BC-26099D30A7C3}"/>
            </c:ext>
          </c:extLst>
        </c:ser>
        <c:ser>
          <c:idx val="13"/>
          <c:order val="8"/>
          <c:tx>
            <c:strRef>
              <c:f>'Looked After Children'!$AK$46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Children'!$AW$46:$BA$46</c:f>
              <c:numCache>
                <c:formatCode>0.0%</c:formatCode>
                <c:ptCount val="5"/>
                <c:pt idx="0">
                  <c:v>#N/A</c:v>
                </c:pt>
                <c:pt idx="1">
                  <c:v>0.66433566433566438</c:v>
                </c:pt>
                <c:pt idx="2">
                  <c:v>0.6785714285714286</c:v>
                </c:pt>
                <c:pt idx="3">
                  <c:v>0.6310679611650486</c:v>
                </c:pt>
                <c:pt idx="4">
                  <c:v>0.6132075471698113</c:v>
                </c:pt>
              </c:numCache>
            </c:numRef>
          </c:val>
          <c:smooth val="0"/>
          <c:extLst>
            <c:ext xmlns:c16="http://schemas.microsoft.com/office/drawing/2014/chart" uri="{C3380CC4-5D6E-409C-BE32-E72D297353CC}">
              <c16:uniqueId val="{00000009-16CF-4638-A8BC-26099D30A7C3}"/>
            </c:ext>
          </c:extLst>
        </c:ser>
        <c:ser>
          <c:idx val="15"/>
          <c:order val="9"/>
          <c:tx>
            <c:strRef>
              <c:f>'Looked After Children'!$AK$47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Children'!$AW$47:$BA$47</c:f>
              <c:numCache>
                <c:formatCode>0.0%</c:formatCode>
                <c:ptCount val="5"/>
                <c:pt idx="0">
                  <c:v>0.65929203539823011</c:v>
                </c:pt>
                <c:pt idx="1">
                  <c:v>0.67843137254901964</c:v>
                </c:pt>
                <c:pt idx="2">
                  <c:v>0.75</c:v>
                </c:pt>
                <c:pt idx="3">
                  <c:v>0.68770764119601324</c:v>
                </c:pt>
                <c:pt idx="4">
                  <c:v>0.6811594202898551</c:v>
                </c:pt>
              </c:numCache>
            </c:numRef>
          </c:val>
          <c:smooth val="0"/>
          <c:extLst>
            <c:ext xmlns:c16="http://schemas.microsoft.com/office/drawing/2014/chart" uri="{C3380CC4-5D6E-409C-BE32-E72D297353CC}">
              <c16:uniqueId val="{0000000A-16CF-4638-A8BC-26099D30A7C3}"/>
            </c:ext>
          </c:extLst>
        </c:ser>
        <c:ser>
          <c:idx val="16"/>
          <c:order val="10"/>
          <c:tx>
            <c:strRef>
              <c:f>'Looked After Children'!$AK$48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Children'!$AW$48:$BA$48</c:f>
              <c:numCache>
                <c:formatCode>0.0%</c:formatCode>
                <c:ptCount val="5"/>
                <c:pt idx="0">
                  <c:v>#N/A</c:v>
                </c:pt>
                <c:pt idx="1">
                  <c:v>0.62658227848101267</c:v>
                </c:pt>
                <c:pt idx="2">
                  <c:v>0.72727272727272729</c:v>
                </c:pt>
                <c:pt idx="3">
                  <c:v>0.73103448275862071</c:v>
                </c:pt>
                <c:pt idx="4">
                  <c:v>0.75555555555555554</c:v>
                </c:pt>
              </c:numCache>
            </c:numRef>
          </c:val>
          <c:smooth val="0"/>
          <c:extLst>
            <c:ext xmlns:c16="http://schemas.microsoft.com/office/drawing/2014/chart" uri="{C3380CC4-5D6E-409C-BE32-E72D297353CC}">
              <c16:uniqueId val="{0000000B-16CF-4638-A8BC-26099D30A7C3}"/>
            </c:ext>
          </c:extLst>
        </c:ser>
        <c:ser>
          <c:idx val="17"/>
          <c:order val="11"/>
          <c:tx>
            <c:strRef>
              <c:f>'Looked After Children'!$AK$49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Children'!$AW$49:$BA$49</c:f>
              <c:numCache>
                <c:formatCode>0.0%</c:formatCode>
                <c:ptCount val="5"/>
                <c:pt idx="0">
                  <c:v>0.76</c:v>
                </c:pt>
                <c:pt idx="1">
                  <c:v>0.75510204081632648</c:v>
                </c:pt>
                <c:pt idx="2">
                  <c:v>0.74747474747474751</c:v>
                </c:pt>
                <c:pt idx="3">
                  <c:v>0.69607843137254899</c:v>
                </c:pt>
                <c:pt idx="4">
                  <c:v>0.7142857142857143</c:v>
                </c:pt>
              </c:numCache>
            </c:numRef>
          </c:val>
          <c:smooth val="0"/>
          <c:extLst>
            <c:ext xmlns:c16="http://schemas.microsoft.com/office/drawing/2014/chart" uri="{C3380CC4-5D6E-409C-BE32-E72D297353CC}">
              <c16:uniqueId val="{0000000C-16CF-4638-A8BC-26099D30A7C3}"/>
            </c:ext>
          </c:extLst>
        </c:ser>
        <c:ser>
          <c:idx val="19"/>
          <c:order val="12"/>
          <c:tx>
            <c:strRef>
              <c:f>'Looked After Children'!$AK$50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Children'!$AW$50:$BA$50</c:f>
              <c:numCache>
                <c:formatCode>0.0%</c:formatCode>
                <c:ptCount val="5"/>
                <c:pt idx="0">
                  <c:v>0.75</c:v>
                </c:pt>
                <c:pt idx="1">
                  <c:v>0.85185185185185186</c:v>
                </c:pt>
                <c:pt idx="2">
                  <c:v>0.69354838709677424</c:v>
                </c:pt>
                <c:pt idx="3">
                  <c:v>0.57999999999999996</c:v>
                </c:pt>
                <c:pt idx="4">
                  <c:v>0.67272727272727273</c:v>
                </c:pt>
              </c:numCache>
            </c:numRef>
          </c:val>
          <c:smooth val="0"/>
          <c:extLst>
            <c:ext xmlns:c16="http://schemas.microsoft.com/office/drawing/2014/chart" uri="{C3380CC4-5D6E-409C-BE32-E72D297353CC}">
              <c16:uniqueId val="{0000000D-16CF-4638-A8BC-26099D30A7C3}"/>
            </c:ext>
          </c:extLst>
        </c:ser>
        <c:ser>
          <c:idx val="20"/>
          <c:order val="13"/>
          <c:tx>
            <c:strRef>
              <c:f>'Looked After Children'!$AK$51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Children'!$AW$51:$BA$51</c:f>
              <c:numCache>
                <c:formatCode>0.0%</c:formatCode>
                <c:ptCount val="5"/>
                <c:pt idx="0">
                  <c:v>#N/A</c:v>
                </c:pt>
                <c:pt idx="1">
                  <c:v>0.72820512820512817</c:v>
                </c:pt>
                <c:pt idx="2">
                  <c:v>0.58499999999999996</c:v>
                </c:pt>
                <c:pt idx="3">
                  <c:v>0.67391304347826086</c:v>
                </c:pt>
                <c:pt idx="4">
                  <c:v>0.60732984293193715</c:v>
                </c:pt>
              </c:numCache>
            </c:numRef>
          </c:val>
          <c:smooth val="0"/>
          <c:extLst>
            <c:ext xmlns:c16="http://schemas.microsoft.com/office/drawing/2014/chart" uri="{C3380CC4-5D6E-409C-BE32-E72D297353CC}">
              <c16:uniqueId val="{0000000F-16CF-4638-A8BC-26099D30A7C3}"/>
            </c:ext>
          </c:extLst>
        </c:ser>
        <c:ser>
          <c:idx val="22"/>
          <c:order val="14"/>
          <c:tx>
            <c:strRef>
              <c:f>'Looked After Children'!$AK$52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Children'!$AW$52:$BA$52</c:f>
              <c:numCache>
                <c:formatCode>0.0%</c:formatCode>
                <c:ptCount val="5"/>
                <c:pt idx="0">
                  <c:v>0.66315789473684206</c:v>
                </c:pt>
                <c:pt idx="1">
                  <c:v>0.70769230769230773</c:v>
                </c:pt>
                <c:pt idx="2">
                  <c:v>0.75375375375375375</c:v>
                </c:pt>
                <c:pt idx="3">
                  <c:v>0.70588235294117652</c:v>
                </c:pt>
                <c:pt idx="4">
                  <c:v>0.71216617210682498</c:v>
                </c:pt>
              </c:numCache>
            </c:numRef>
          </c:val>
          <c:smooth val="0"/>
          <c:extLst>
            <c:ext xmlns:c16="http://schemas.microsoft.com/office/drawing/2014/chart" uri="{C3380CC4-5D6E-409C-BE32-E72D297353CC}">
              <c16:uniqueId val="{00000010-16CF-4638-A8BC-26099D30A7C3}"/>
            </c:ext>
          </c:extLst>
        </c:ser>
        <c:ser>
          <c:idx val="23"/>
          <c:order val="15"/>
          <c:tx>
            <c:strRef>
              <c:f>'Looked After Children'!$AK$53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Children'!$AW$53:$BA$53</c:f>
              <c:numCache>
                <c:formatCode>0.0%</c:formatCode>
                <c:ptCount val="5"/>
                <c:pt idx="0">
                  <c:v>0.82222222222222219</c:v>
                </c:pt>
                <c:pt idx="1">
                  <c:v>0.6</c:v>
                </c:pt>
                <c:pt idx="2">
                  <c:v>0.58823529411764708</c:v>
                </c:pt>
                <c:pt idx="3">
                  <c:v>0.72222222222222221</c:v>
                </c:pt>
                <c:pt idx="4">
                  <c:v>0.64</c:v>
                </c:pt>
              </c:numCache>
            </c:numRef>
          </c:val>
          <c:smooth val="0"/>
          <c:extLst>
            <c:ext xmlns:c16="http://schemas.microsoft.com/office/drawing/2014/chart" uri="{C3380CC4-5D6E-409C-BE32-E72D297353CC}">
              <c16:uniqueId val="{00000013-16CF-4638-A8BC-26099D30A7C3}"/>
            </c:ext>
          </c:extLst>
        </c:ser>
        <c:ser>
          <c:idx val="24"/>
          <c:order val="16"/>
          <c:tx>
            <c:strRef>
              <c:f>'Looked After Children'!$AK$54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Children'!$AW$54:$BA$54</c:f>
              <c:numCache>
                <c:formatCode>0.0%</c:formatCode>
                <c:ptCount val="5"/>
                <c:pt idx="0">
                  <c:v>0.62841530054644812</c:v>
                </c:pt>
                <c:pt idx="1">
                  <c:v>0.546875</c:v>
                </c:pt>
                <c:pt idx="2">
                  <c:v>0.68644067796610164</c:v>
                </c:pt>
                <c:pt idx="3">
                  <c:v>0.70181818181818179</c:v>
                </c:pt>
                <c:pt idx="4">
                  <c:v>0.68978102189781021</c:v>
                </c:pt>
              </c:numCache>
            </c:numRef>
          </c:val>
          <c:smooth val="0"/>
          <c:extLst>
            <c:ext xmlns:c16="http://schemas.microsoft.com/office/drawing/2014/chart" uri="{C3380CC4-5D6E-409C-BE32-E72D297353CC}">
              <c16:uniqueId val="{00000014-16CF-4638-A8BC-26099D30A7C3}"/>
            </c:ext>
          </c:extLst>
        </c:ser>
        <c:ser>
          <c:idx val="25"/>
          <c:order val="17"/>
          <c:tx>
            <c:strRef>
              <c:f>'Looked After Children'!$AK$55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Children'!$AW$55:$BA$55</c:f>
              <c:numCache>
                <c:formatCode>0.0%</c:formatCode>
                <c:ptCount val="5"/>
                <c:pt idx="0">
                  <c:v>0.56666666666666665</c:v>
                </c:pt>
                <c:pt idx="1">
                  <c:v>0.66666666666666663</c:v>
                </c:pt>
                <c:pt idx="2">
                  <c:v>0.7142857142857143</c:v>
                </c:pt>
                <c:pt idx="3">
                  <c:v>0.65714285714285714</c:v>
                </c:pt>
                <c:pt idx="4">
                  <c:v>0.60526315789473684</c:v>
                </c:pt>
              </c:numCache>
            </c:numRef>
          </c:val>
          <c:smooth val="0"/>
          <c:extLst>
            <c:ext xmlns:c16="http://schemas.microsoft.com/office/drawing/2014/chart" uri="{C3380CC4-5D6E-409C-BE32-E72D297353CC}">
              <c16:uniqueId val="{00000015-16CF-4638-A8BC-26099D30A7C3}"/>
            </c:ext>
          </c:extLst>
        </c:ser>
        <c:ser>
          <c:idx val="26"/>
          <c:order val="18"/>
          <c:tx>
            <c:strRef>
              <c:f>'Looked After Children'!$AK$56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Children'!$AW$56:$BA$56</c:f>
              <c:numCache>
                <c:formatCode>0.0%</c:formatCode>
                <c:ptCount val="5"/>
                <c:pt idx="0">
                  <c:v>0.58333333333333337</c:v>
                </c:pt>
                <c:pt idx="1">
                  <c:v>0.52941176470588236</c:v>
                </c:pt>
                <c:pt idx="2">
                  <c:v>0.53846153846153844</c:v>
                </c:pt>
                <c:pt idx="3">
                  <c:v>0.58620689655172409</c:v>
                </c:pt>
                <c:pt idx="4">
                  <c:v>0.58620689655172409</c:v>
                </c:pt>
              </c:numCache>
            </c:numRef>
          </c:val>
          <c:smooth val="0"/>
          <c:extLst>
            <c:ext xmlns:c16="http://schemas.microsoft.com/office/drawing/2014/chart" uri="{C3380CC4-5D6E-409C-BE32-E72D297353CC}">
              <c16:uniqueId val="{00000016-16CF-4638-A8BC-26099D30A7C3}"/>
            </c:ext>
          </c:extLst>
        </c:ser>
        <c:ser>
          <c:idx val="4"/>
          <c:order val="19"/>
          <c:tx>
            <c:strRef>
              <c:f>'Looked After Children'!$AK$57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Children'!$AW$57:$BA$57</c:f>
              <c:numCache>
                <c:formatCode>0.0%</c:formatCode>
                <c:ptCount val="5"/>
                <c:pt idx="0">
                  <c:v>0.52976014213799227</c:v>
                </c:pt>
                <c:pt idx="1">
                  <c:v>0.67558239861949954</c:v>
                </c:pt>
                <c:pt idx="2">
                  <c:v>0.69781757134862898</c:v>
                </c:pt>
                <c:pt idx="3">
                  <c:v>0.68258426966292129</c:v>
                </c:pt>
                <c:pt idx="4">
                  <c:v>0.65722379603399439</c:v>
                </c:pt>
              </c:numCache>
            </c:numRef>
          </c:val>
          <c:smooth val="0"/>
          <c:extLst>
            <c:ext xmlns:c16="http://schemas.microsoft.com/office/drawing/2014/chart" uri="{C3380CC4-5D6E-409C-BE32-E72D297353CC}">
              <c16:uniqueId val="{00000017-16CF-4638-A8BC-26099D30A7C3}"/>
            </c:ext>
          </c:extLst>
        </c:ser>
        <c:ser>
          <c:idx val="14"/>
          <c:order val="20"/>
          <c:tx>
            <c:strRef>
              <c:f>'Looked After Children'!$AK$58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'Looked After Children'!$Y$2:$AC$3</c:f>
              <c:strCache>
                <c:ptCount val="5"/>
                <c:pt idx="0">
                  <c:v>2019/20</c:v>
                </c:pt>
                <c:pt idx="1">
                  <c:v>2020/21</c:v>
                </c:pt>
                <c:pt idx="2">
                  <c:v>2021/22</c:v>
                </c:pt>
                <c:pt idx="3">
                  <c:v>2022/23</c:v>
                </c:pt>
                <c:pt idx="4">
                  <c:v>2023/24</c:v>
                </c:pt>
              </c:strCache>
            </c:strRef>
          </c:cat>
          <c:val>
            <c:numRef>
              <c:f>'Looked After Children'!$AW$58:$BA$58</c:f>
              <c:numCache>
                <c:formatCode>0.0%</c:formatCode>
                <c:ptCount val="5"/>
                <c:pt idx="0">
                  <c:v>0.67832167832167833</c:v>
                </c:pt>
                <c:pt idx="1">
                  <c:v>0.70261780104712046</c:v>
                </c:pt>
                <c:pt idx="2">
                  <c:v>0.70998307952622675</c:v>
                </c:pt>
                <c:pt idx="3">
                  <c:v>0.68680391495106308</c:v>
                </c:pt>
                <c:pt idx="4">
                  <c:v>0.68103448275862066</c:v>
                </c:pt>
              </c:numCache>
            </c:numRef>
          </c:val>
          <c:smooth val="0"/>
          <c:extLst>
            <c:ext xmlns:c16="http://schemas.microsoft.com/office/drawing/2014/chart" uri="{C3380CC4-5D6E-409C-BE32-E72D297353CC}">
              <c16:uniqueId val="{00000018-16CF-4638-A8BC-26099D30A7C3}"/>
            </c:ext>
          </c:extLst>
        </c:ser>
        <c:ser>
          <c:idx val="6"/>
          <c:order val="21"/>
          <c:tx>
            <c:strRef>
              <c:f>'Looked After Children'!$AK$59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'Looked After Children'!$Y$2:$AC$3</c:f>
              <c:strCache>
                <c:ptCount val="5"/>
                <c:pt idx="0">
                  <c:v>2019/20</c:v>
                </c:pt>
                <c:pt idx="1">
                  <c:v>2020/21</c:v>
                </c:pt>
                <c:pt idx="2">
                  <c:v>2021/22</c:v>
                </c:pt>
                <c:pt idx="3">
                  <c:v>2022/23</c:v>
                </c:pt>
                <c:pt idx="4">
                  <c:v>2023/24</c:v>
                </c:pt>
              </c:strCache>
            </c:strRef>
          </c:cat>
          <c:val>
            <c:numRef>
              <c:f>'Looked After Children'!$AW$59:$BA$59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16CF-4638-A8BC-26099D30A7C3}"/>
            </c:ext>
          </c:extLst>
        </c:ser>
        <c:dLbls>
          <c:showLegendKey val="0"/>
          <c:showVal val="0"/>
          <c:showCatName val="0"/>
          <c:showSerName val="0"/>
          <c:showPercent val="0"/>
          <c:showBubbleSize val="0"/>
        </c:dLbls>
        <c:marker val="1"/>
        <c:smooth val="0"/>
        <c:axId val="600908544"/>
        <c:axId val="600910464"/>
      </c:lineChart>
      <c:catAx>
        <c:axId val="600908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0910464"/>
        <c:crosses val="autoZero"/>
        <c:auto val="1"/>
        <c:lblAlgn val="ctr"/>
        <c:lblOffset val="100"/>
        <c:tickLblSkip val="1"/>
        <c:tickMarkSkip val="1"/>
        <c:noMultiLvlLbl val="0"/>
      </c:catAx>
      <c:valAx>
        <c:axId val="600910464"/>
        <c:scaling>
          <c:orientation val="minMax"/>
          <c:max val="1.02"/>
          <c:min val="0"/>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0908544"/>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87665204926307305"/>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Proportion of Referrals with prior Early Help Intervention</a:t>
            </a:r>
          </a:p>
        </c:rich>
      </c:tx>
      <c:layout>
        <c:manualLayout>
          <c:xMode val="edge"/>
          <c:yMode val="edge"/>
          <c:x val="0.11295666613101933"/>
          <c:y val="1.8729793519741571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Referrals!$AK$38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2B85-4100-AC78-383088F79047}"/>
              </c:ext>
            </c:extLst>
          </c:dPt>
          <c:cat>
            <c:strRef>
              <c:f>Referrals!$Y$2:$AC$3</c:f>
              <c:strCache>
                <c:ptCount val="5"/>
                <c:pt idx="0">
                  <c:v>2019/20</c:v>
                </c:pt>
                <c:pt idx="1">
                  <c:v>2020/21</c:v>
                </c:pt>
                <c:pt idx="2">
                  <c:v>2021/22</c:v>
                </c:pt>
                <c:pt idx="3">
                  <c:v>2022/23</c:v>
                </c:pt>
                <c:pt idx="4">
                  <c:v>2023/24</c:v>
                </c:pt>
              </c:strCache>
            </c:strRef>
          </c:cat>
          <c:val>
            <c:numRef>
              <c:f>Referrals!$AW$38:$BA$38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2B85-4100-AC78-383088F79047}"/>
            </c:ext>
          </c:extLst>
        </c:ser>
        <c:ser>
          <c:idx val="1"/>
          <c:order val="1"/>
          <c:tx>
            <c:strRef>
              <c:f>Referrals!$AK$39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Referrals!$Y$2:$AC$3</c:f>
              <c:strCache>
                <c:ptCount val="5"/>
                <c:pt idx="0">
                  <c:v>2019/20</c:v>
                </c:pt>
                <c:pt idx="1">
                  <c:v>2020/21</c:v>
                </c:pt>
                <c:pt idx="2">
                  <c:v>2021/22</c:v>
                </c:pt>
                <c:pt idx="3">
                  <c:v>2022/23</c:v>
                </c:pt>
                <c:pt idx="4">
                  <c:v>2023/24</c:v>
                </c:pt>
              </c:strCache>
            </c:strRef>
          </c:cat>
          <c:val>
            <c:numRef>
              <c:f>Referrals!$AW$39:$BA$39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2B85-4100-AC78-383088F79047}"/>
            </c:ext>
          </c:extLst>
        </c:ser>
        <c:ser>
          <c:idx val="2"/>
          <c:order val="2"/>
          <c:tx>
            <c:strRef>
              <c:f>Referrals!$AK$40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Referrals!$Y$2:$AC$3</c:f>
              <c:strCache>
                <c:ptCount val="5"/>
                <c:pt idx="0">
                  <c:v>2019/20</c:v>
                </c:pt>
                <c:pt idx="1">
                  <c:v>2020/21</c:v>
                </c:pt>
                <c:pt idx="2">
                  <c:v>2021/22</c:v>
                </c:pt>
                <c:pt idx="3">
                  <c:v>2022/23</c:v>
                </c:pt>
                <c:pt idx="4">
                  <c:v>2023/24</c:v>
                </c:pt>
              </c:strCache>
            </c:strRef>
          </c:cat>
          <c:val>
            <c:numRef>
              <c:f>Referrals!$AW$40:$BA$40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2B85-4100-AC78-383088F79047}"/>
            </c:ext>
          </c:extLst>
        </c:ser>
        <c:ser>
          <c:idx val="5"/>
          <c:order val="3"/>
          <c:tx>
            <c:strRef>
              <c:f>Referrals!$AK$41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Referrals!$Y$2:$AC$3</c:f>
              <c:strCache>
                <c:ptCount val="5"/>
                <c:pt idx="0">
                  <c:v>2019/20</c:v>
                </c:pt>
                <c:pt idx="1">
                  <c:v>2020/21</c:v>
                </c:pt>
                <c:pt idx="2">
                  <c:v>2021/22</c:v>
                </c:pt>
                <c:pt idx="3">
                  <c:v>2022/23</c:v>
                </c:pt>
                <c:pt idx="4">
                  <c:v>2023/24</c:v>
                </c:pt>
              </c:strCache>
            </c:strRef>
          </c:cat>
          <c:val>
            <c:numRef>
              <c:f>Referrals!$AW$41:$BA$41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2B85-4100-AC78-383088F79047}"/>
            </c:ext>
          </c:extLst>
        </c:ser>
        <c:ser>
          <c:idx val="9"/>
          <c:order val="4"/>
          <c:tx>
            <c:strRef>
              <c:f>Referrals!$AK$42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Referrals!$Y$2:$AC$3</c:f>
              <c:strCache>
                <c:ptCount val="5"/>
                <c:pt idx="0">
                  <c:v>2019/20</c:v>
                </c:pt>
                <c:pt idx="1">
                  <c:v>2020/21</c:v>
                </c:pt>
                <c:pt idx="2">
                  <c:v>2021/22</c:v>
                </c:pt>
                <c:pt idx="3">
                  <c:v>2022/23</c:v>
                </c:pt>
                <c:pt idx="4">
                  <c:v>2023/24</c:v>
                </c:pt>
              </c:strCache>
            </c:strRef>
          </c:cat>
          <c:val>
            <c:numRef>
              <c:f>Referrals!$AW$42:$BA$42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2B85-4100-AC78-383088F79047}"/>
            </c:ext>
          </c:extLst>
        </c:ser>
        <c:ser>
          <c:idx val="10"/>
          <c:order val="5"/>
          <c:tx>
            <c:strRef>
              <c:f>Referrals!$AK$43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Referrals!$Y$2:$AC$3</c:f>
              <c:strCache>
                <c:ptCount val="5"/>
                <c:pt idx="0">
                  <c:v>2019/20</c:v>
                </c:pt>
                <c:pt idx="1">
                  <c:v>2020/21</c:v>
                </c:pt>
                <c:pt idx="2">
                  <c:v>2021/22</c:v>
                </c:pt>
                <c:pt idx="3">
                  <c:v>2022/23</c:v>
                </c:pt>
                <c:pt idx="4">
                  <c:v>2023/24</c:v>
                </c:pt>
              </c:strCache>
            </c:strRef>
          </c:cat>
          <c:val>
            <c:numRef>
              <c:f>Referrals!$AW$43:$BA$43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2B85-4100-AC78-383088F79047}"/>
            </c:ext>
          </c:extLst>
        </c:ser>
        <c:ser>
          <c:idx val="11"/>
          <c:order val="6"/>
          <c:tx>
            <c:strRef>
              <c:f>Referrals!$AK$44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Referrals!$Y$2:$AC$3</c:f>
              <c:strCache>
                <c:ptCount val="5"/>
                <c:pt idx="0">
                  <c:v>2019/20</c:v>
                </c:pt>
                <c:pt idx="1">
                  <c:v>2020/21</c:v>
                </c:pt>
                <c:pt idx="2">
                  <c:v>2021/22</c:v>
                </c:pt>
                <c:pt idx="3">
                  <c:v>2022/23</c:v>
                </c:pt>
                <c:pt idx="4">
                  <c:v>2023/24</c:v>
                </c:pt>
              </c:strCache>
            </c:strRef>
          </c:cat>
          <c:val>
            <c:numRef>
              <c:f>Referrals!$AW$44:$BA$44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2B85-4100-AC78-383088F79047}"/>
            </c:ext>
          </c:extLst>
        </c:ser>
        <c:ser>
          <c:idx val="12"/>
          <c:order val="7"/>
          <c:tx>
            <c:strRef>
              <c:f>Referrals!$AK$45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Referrals!$Y$2:$AC$3</c:f>
              <c:strCache>
                <c:ptCount val="5"/>
                <c:pt idx="0">
                  <c:v>2019/20</c:v>
                </c:pt>
                <c:pt idx="1">
                  <c:v>2020/21</c:v>
                </c:pt>
                <c:pt idx="2">
                  <c:v>2021/22</c:v>
                </c:pt>
                <c:pt idx="3">
                  <c:v>2022/23</c:v>
                </c:pt>
                <c:pt idx="4">
                  <c:v>2023/24</c:v>
                </c:pt>
              </c:strCache>
            </c:strRef>
          </c:cat>
          <c:val>
            <c:numRef>
              <c:f>Referrals!$AW$45:$BA$45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2B85-4100-AC78-383088F79047}"/>
            </c:ext>
          </c:extLst>
        </c:ser>
        <c:ser>
          <c:idx val="13"/>
          <c:order val="8"/>
          <c:tx>
            <c:strRef>
              <c:f>Referrals!$AK$46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Referrals!$Y$2:$AC$3</c:f>
              <c:strCache>
                <c:ptCount val="5"/>
                <c:pt idx="0">
                  <c:v>2019/20</c:v>
                </c:pt>
                <c:pt idx="1">
                  <c:v>2020/21</c:v>
                </c:pt>
                <c:pt idx="2">
                  <c:v>2021/22</c:v>
                </c:pt>
                <c:pt idx="3">
                  <c:v>2022/23</c:v>
                </c:pt>
                <c:pt idx="4">
                  <c:v>2023/24</c:v>
                </c:pt>
              </c:strCache>
            </c:strRef>
          </c:cat>
          <c:val>
            <c:numRef>
              <c:f>Referrals!$AW$46:$BA$46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2B85-4100-AC78-383088F79047}"/>
            </c:ext>
          </c:extLst>
        </c:ser>
        <c:ser>
          <c:idx val="15"/>
          <c:order val="9"/>
          <c:tx>
            <c:strRef>
              <c:f>Referrals!$AK$47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Referrals!$Y$2:$AC$3</c:f>
              <c:strCache>
                <c:ptCount val="5"/>
                <c:pt idx="0">
                  <c:v>2019/20</c:v>
                </c:pt>
                <c:pt idx="1">
                  <c:v>2020/21</c:v>
                </c:pt>
                <c:pt idx="2">
                  <c:v>2021/22</c:v>
                </c:pt>
                <c:pt idx="3">
                  <c:v>2022/23</c:v>
                </c:pt>
                <c:pt idx="4">
                  <c:v>2023/24</c:v>
                </c:pt>
              </c:strCache>
            </c:strRef>
          </c:cat>
          <c:val>
            <c:numRef>
              <c:f>Referrals!$AW$47:$BA$47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2B85-4100-AC78-383088F79047}"/>
            </c:ext>
          </c:extLst>
        </c:ser>
        <c:ser>
          <c:idx val="16"/>
          <c:order val="10"/>
          <c:tx>
            <c:strRef>
              <c:f>Referrals!$AK$48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Referrals!$Y$2:$AC$3</c:f>
              <c:strCache>
                <c:ptCount val="5"/>
                <c:pt idx="0">
                  <c:v>2019/20</c:v>
                </c:pt>
                <c:pt idx="1">
                  <c:v>2020/21</c:v>
                </c:pt>
                <c:pt idx="2">
                  <c:v>2021/22</c:v>
                </c:pt>
                <c:pt idx="3">
                  <c:v>2022/23</c:v>
                </c:pt>
                <c:pt idx="4">
                  <c:v>2023/24</c:v>
                </c:pt>
              </c:strCache>
            </c:strRef>
          </c:cat>
          <c:val>
            <c:numRef>
              <c:f>Referrals!$AW$48:$BA$48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2B85-4100-AC78-383088F79047}"/>
            </c:ext>
          </c:extLst>
        </c:ser>
        <c:ser>
          <c:idx val="17"/>
          <c:order val="11"/>
          <c:tx>
            <c:strRef>
              <c:f>Referrals!$AK$49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Referrals!$Y$2:$AC$3</c:f>
              <c:strCache>
                <c:ptCount val="5"/>
                <c:pt idx="0">
                  <c:v>2019/20</c:v>
                </c:pt>
                <c:pt idx="1">
                  <c:v>2020/21</c:v>
                </c:pt>
                <c:pt idx="2">
                  <c:v>2021/22</c:v>
                </c:pt>
                <c:pt idx="3">
                  <c:v>2022/23</c:v>
                </c:pt>
                <c:pt idx="4">
                  <c:v>2023/24</c:v>
                </c:pt>
              </c:strCache>
            </c:strRef>
          </c:cat>
          <c:val>
            <c:numRef>
              <c:f>Referrals!$AW$49:$BA$49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2B85-4100-AC78-383088F79047}"/>
            </c:ext>
          </c:extLst>
        </c:ser>
        <c:ser>
          <c:idx val="19"/>
          <c:order val="12"/>
          <c:tx>
            <c:strRef>
              <c:f>Referrals!$AK$50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Referrals!$Y$2:$AC$3</c:f>
              <c:strCache>
                <c:ptCount val="5"/>
                <c:pt idx="0">
                  <c:v>2019/20</c:v>
                </c:pt>
                <c:pt idx="1">
                  <c:v>2020/21</c:v>
                </c:pt>
                <c:pt idx="2">
                  <c:v>2021/22</c:v>
                </c:pt>
                <c:pt idx="3">
                  <c:v>2022/23</c:v>
                </c:pt>
                <c:pt idx="4">
                  <c:v>2023/24</c:v>
                </c:pt>
              </c:strCache>
            </c:strRef>
          </c:cat>
          <c:val>
            <c:numRef>
              <c:f>Referrals!$AW$50:$BA$50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2B85-4100-AC78-383088F79047}"/>
            </c:ext>
          </c:extLst>
        </c:ser>
        <c:ser>
          <c:idx val="20"/>
          <c:order val="13"/>
          <c:tx>
            <c:strRef>
              <c:f>Referrals!$AK$51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Referrals!$Y$2:$AC$3</c:f>
              <c:strCache>
                <c:ptCount val="5"/>
                <c:pt idx="0">
                  <c:v>2019/20</c:v>
                </c:pt>
                <c:pt idx="1">
                  <c:v>2020/21</c:v>
                </c:pt>
                <c:pt idx="2">
                  <c:v>2021/22</c:v>
                </c:pt>
                <c:pt idx="3">
                  <c:v>2022/23</c:v>
                </c:pt>
                <c:pt idx="4">
                  <c:v>2023/24</c:v>
                </c:pt>
              </c:strCache>
            </c:strRef>
          </c:cat>
          <c:val>
            <c:numRef>
              <c:f>Referrals!$AW$51:$BA$51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2B85-4100-AC78-383088F79047}"/>
            </c:ext>
          </c:extLst>
        </c:ser>
        <c:ser>
          <c:idx val="22"/>
          <c:order val="14"/>
          <c:tx>
            <c:strRef>
              <c:f>Referrals!$AK$52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Referrals!$Y$2:$AC$3</c:f>
              <c:strCache>
                <c:ptCount val="5"/>
                <c:pt idx="0">
                  <c:v>2019/20</c:v>
                </c:pt>
                <c:pt idx="1">
                  <c:v>2020/21</c:v>
                </c:pt>
                <c:pt idx="2">
                  <c:v>2021/22</c:v>
                </c:pt>
                <c:pt idx="3">
                  <c:v>2022/23</c:v>
                </c:pt>
                <c:pt idx="4">
                  <c:v>2023/24</c:v>
                </c:pt>
              </c:strCache>
            </c:strRef>
          </c:cat>
          <c:val>
            <c:numRef>
              <c:f>Referrals!$AW$52:$BA$52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2B85-4100-AC78-383088F79047}"/>
            </c:ext>
          </c:extLst>
        </c:ser>
        <c:ser>
          <c:idx val="23"/>
          <c:order val="15"/>
          <c:tx>
            <c:strRef>
              <c:f>Referrals!$AK$53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Referrals!$Y$2:$AC$3</c:f>
              <c:strCache>
                <c:ptCount val="5"/>
                <c:pt idx="0">
                  <c:v>2019/20</c:v>
                </c:pt>
                <c:pt idx="1">
                  <c:v>2020/21</c:v>
                </c:pt>
                <c:pt idx="2">
                  <c:v>2021/22</c:v>
                </c:pt>
                <c:pt idx="3">
                  <c:v>2022/23</c:v>
                </c:pt>
                <c:pt idx="4">
                  <c:v>2023/24</c:v>
                </c:pt>
              </c:strCache>
            </c:strRef>
          </c:cat>
          <c:val>
            <c:numRef>
              <c:f>Referrals!$AW$53:$BA$53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2B85-4100-AC78-383088F79047}"/>
            </c:ext>
          </c:extLst>
        </c:ser>
        <c:ser>
          <c:idx val="24"/>
          <c:order val="16"/>
          <c:tx>
            <c:strRef>
              <c:f>Referrals!$AK$54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Referrals!$Y$2:$AC$3</c:f>
              <c:strCache>
                <c:ptCount val="5"/>
                <c:pt idx="0">
                  <c:v>2019/20</c:v>
                </c:pt>
                <c:pt idx="1">
                  <c:v>2020/21</c:v>
                </c:pt>
                <c:pt idx="2">
                  <c:v>2021/22</c:v>
                </c:pt>
                <c:pt idx="3">
                  <c:v>2022/23</c:v>
                </c:pt>
                <c:pt idx="4">
                  <c:v>2023/24</c:v>
                </c:pt>
              </c:strCache>
            </c:strRef>
          </c:cat>
          <c:val>
            <c:numRef>
              <c:f>Referrals!$AW$54:$BA$54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2B85-4100-AC78-383088F79047}"/>
            </c:ext>
          </c:extLst>
        </c:ser>
        <c:ser>
          <c:idx val="25"/>
          <c:order val="17"/>
          <c:tx>
            <c:strRef>
              <c:f>Referrals!$AK$55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Referrals!$Y$2:$AC$3</c:f>
              <c:strCache>
                <c:ptCount val="5"/>
                <c:pt idx="0">
                  <c:v>2019/20</c:v>
                </c:pt>
                <c:pt idx="1">
                  <c:v>2020/21</c:v>
                </c:pt>
                <c:pt idx="2">
                  <c:v>2021/22</c:v>
                </c:pt>
                <c:pt idx="3">
                  <c:v>2022/23</c:v>
                </c:pt>
                <c:pt idx="4">
                  <c:v>2023/24</c:v>
                </c:pt>
              </c:strCache>
            </c:strRef>
          </c:cat>
          <c:val>
            <c:numRef>
              <c:f>Referrals!$AW$55:$BA$55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2B85-4100-AC78-383088F79047}"/>
            </c:ext>
          </c:extLst>
        </c:ser>
        <c:ser>
          <c:idx val="26"/>
          <c:order val="18"/>
          <c:tx>
            <c:strRef>
              <c:f>Referrals!$AK$56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Referrals!$Y$2:$AC$3</c:f>
              <c:strCache>
                <c:ptCount val="5"/>
                <c:pt idx="0">
                  <c:v>2019/20</c:v>
                </c:pt>
                <c:pt idx="1">
                  <c:v>2020/21</c:v>
                </c:pt>
                <c:pt idx="2">
                  <c:v>2021/22</c:v>
                </c:pt>
                <c:pt idx="3">
                  <c:v>2022/23</c:v>
                </c:pt>
                <c:pt idx="4">
                  <c:v>2023/24</c:v>
                </c:pt>
              </c:strCache>
            </c:strRef>
          </c:cat>
          <c:val>
            <c:numRef>
              <c:f>Referrals!$AW$56:$BA$56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2B85-4100-AC78-383088F79047}"/>
            </c:ext>
          </c:extLst>
        </c:ser>
        <c:ser>
          <c:idx val="4"/>
          <c:order val="19"/>
          <c:tx>
            <c:strRef>
              <c:f>Referrals!$AK$57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Referrals!$Y$2:$AC$3</c:f>
              <c:strCache>
                <c:ptCount val="5"/>
                <c:pt idx="0">
                  <c:v>2019/20</c:v>
                </c:pt>
                <c:pt idx="1">
                  <c:v>2020/21</c:v>
                </c:pt>
                <c:pt idx="2">
                  <c:v>2021/22</c:v>
                </c:pt>
                <c:pt idx="3">
                  <c:v>2022/23</c:v>
                </c:pt>
                <c:pt idx="4">
                  <c:v>2023/24</c:v>
                </c:pt>
              </c:strCache>
            </c:strRef>
          </c:cat>
          <c:val>
            <c:numRef>
              <c:f>Referrals!$AW$57:$BA$57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2B85-4100-AC78-383088F79047}"/>
            </c:ext>
          </c:extLst>
        </c:ser>
        <c:ser>
          <c:idx val="14"/>
          <c:order val="20"/>
          <c:tx>
            <c:strRef>
              <c:f>Referrals!$AK$58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Referrals!$Y$2:$AC$3</c:f>
              <c:strCache>
                <c:ptCount val="5"/>
                <c:pt idx="0">
                  <c:v>2019/20</c:v>
                </c:pt>
                <c:pt idx="1">
                  <c:v>2020/21</c:v>
                </c:pt>
                <c:pt idx="2">
                  <c:v>2021/22</c:v>
                </c:pt>
                <c:pt idx="3">
                  <c:v>2022/23</c:v>
                </c:pt>
                <c:pt idx="4">
                  <c:v>2023/24</c:v>
                </c:pt>
              </c:strCache>
            </c:strRef>
          </c:cat>
          <c:val>
            <c:numRef>
              <c:f>Referrals!$AW$58:$BA$58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2B85-4100-AC78-383088F79047}"/>
            </c:ext>
          </c:extLst>
        </c:ser>
        <c:ser>
          <c:idx val="6"/>
          <c:order val="21"/>
          <c:tx>
            <c:strRef>
              <c:f>Referrals!$AK$59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Referrals!$Y$2:$AC$3</c:f>
              <c:strCache>
                <c:ptCount val="5"/>
                <c:pt idx="0">
                  <c:v>2019/20</c:v>
                </c:pt>
                <c:pt idx="1">
                  <c:v>2020/21</c:v>
                </c:pt>
                <c:pt idx="2">
                  <c:v>2021/22</c:v>
                </c:pt>
                <c:pt idx="3">
                  <c:v>2022/23</c:v>
                </c:pt>
                <c:pt idx="4">
                  <c:v>2023/24</c:v>
                </c:pt>
              </c:strCache>
            </c:strRef>
          </c:cat>
          <c:val>
            <c:numRef>
              <c:f>Referrals!$AW$59:$BA$59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2B85-4100-AC78-383088F79047}"/>
            </c:ext>
          </c:extLst>
        </c:ser>
        <c:dLbls>
          <c:showLegendKey val="0"/>
          <c:showVal val="0"/>
          <c:showCatName val="0"/>
          <c:showSerName val="0"/>
          <c:showPercent val="0"/>
          <c:showBubbleSize val="0"/>
        </c:dLbls>
        <c:marker val="1"/>
        <c:smooth val="0"/>
        <c:axId val="528702848"/>
        <c:axId val="528716928"/>
      </c:lineChart>
      <c:catAx>
        <c:axId val="528702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8716928"/>
        <c:crosses val="autoZero"/>
        <c:auto val="1"/>
        <c:lblAlgn val="ctr"/>
        <c:lblOffset val="100"/>
        <c:tickLblSkip val="1"/>
        <c:tickMarkSkip val="1"/>
        <c:noMultiLvlLbl val="0"/>
      </c:catAx>
      <c:valAx>
        <c:axId val="528716928"/>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8702848"/>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9187580807408454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b="1" i="0" u="none" strike="noStrike" baseline="0">
                <a:solidFill>
                  <a:srgbClr val="000000"/>
                </a:solidFill>
                <a:latin typeface="Arial"/>
                <a:ea typeface="Arial"/>
                <a:cs typeface="Arial"/>
              </a:defRPr>
            </a:pPr>
            <a:r>
              <a:rPr lang="en-GB" sz="1100"/>
              <a:t>Distance from Expected Rate of </a:t>
            </a:r>
            <a:r>
              <a:rPr lang="en-GB" sz="1100" b="1" i="0" u="none" strike="noStrike" baseline="0">
                <a:effectLst/>
              </a:rPr>
              <a:t>Looked After Children</a:t>
            </a:r>
            <a:endParaRPr lang="en-GB" sz="1100"/>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26753493047411625"/>
          <c:y val="0.13754659323684476"/>
          <c:w val="0.6965077344055397"/>
          <c:h val="0.80483344421018621"/>
        </c:manualLayout>
      </c:layout>
      <c:barChart>
        <c:barDir val="bar"/>
        <c:grouping val="clustered"/>
        <c:varyColors val="0"/>
        <c:ser>
          <c:idx val="2"/>
          <c:order val="0"/>
          <c:tx>
            <c:strRef>
              <c:f>'Looked After Children'!$S$7:$T$7</c:f>
              <c:strCache>
                <c:ptCount val="1"/>
                <c:pt idx="0">
                  <c:v>Distance from 2024 Expected Rate based on IDACI</c:v>
                </c:pt>
              </c:strCache>
            </c:strRef>
          </c:tx>
          <c:spPr>
            <a:solidFill>
              <a:srgbClr val="FB994F"/>
            </a:solidFill>
            <a:ln w="25400">
              <a:noFill/>
            </a:ln>
          </c:spPr>
          <c:invertIfNegative val="0"/>
          <c:cat>
            <c:strRef>
              <c:f>'Looked After Children'!$X$72:$X$92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Children'!$T$11:$T$31</c:f>
              <c:numCache>
                <c:formatCode>0.0</c:formatCode>
                <c:ptCount val="21"/>
                <c:pt idx="0">
                  <c:v>4.2294123662848833</c:v>
                </c:pt>
                <c:pt idx="1">
                  <c:v>8.7059786078451253</c:v>
                </c:pt>
                <c:pt idx="2">
                  <c:v>-2.252069855987294</c:v>
                </c:pt>
                <c:pt idx="3">
                  <c:v>-6.5527975325734573</c:v>
                </c:pt>
                <c:pt idx="4">
                  <c:v>18.257375944201172</c:v>
                </c:pt>
                <c:pt idx="5">
                  <c:v>42.388416785017853</c:v>
                </c:pt>
                <c:pt idx="6">
                  <c:v>-12.642755864916481</c:v>
                </c:pt>
                <c:pt idx="7">
                  <c:v>-8.4364127128339277</c:v>
                </c:pt>
                <c:pt idx="8">
                  <c:v>-9.7760461645996912</c:v>
                </c:pt>
                <c:pt idx="9">
                  <c:v>1.6280251912104262</c:v>
                </c:pt>
                <c:pt idx="10">
                  <c:v>10.632563017442962</c:v>
                </c:pt>
                <c:pt idx="11">
                  <c:v>0.51665411540956541</c:v>
                </c:pt>
                <c:pt idx="12">
                  <c:v>-20.224796092061041</c:v>
                </c:pt>
                <c:pt idx="13">
                  <c:v>11.434922172788575</c:v>
                </c:pt>
                <c:pt idx="14">
                  <c:v>-6.2832215298412635</c:v>
                </c:pt>
                <c:pt idx="15">
                  <c:v>8.9991552683189795</c:v>
                </c:pt>
                <c:pt idx="16">
                  <c:v>-1.4154581373527719</c:v>
                </c:pt>
                <c:pt idx="17">
                  <c:v>3.9357540741657289</c:v>
                </c:pt>
                <c:pt idx="18">
                  <c:v>-1.4046334178297784</c:v>
                </c:pt>
                <c:pt idx="19">
                  <c:v>0.34510684462175334</c:v>
                </c:pt>
                <c:pt idx="20">
                  <c:v>-3.7290908225684518</c:v>
                </c:pt>
              </c:numCache>
            </c:numRef>
          </c:val>
          <c:extLst>
            <c:ext xmlns:c16="http://schemas.microsoft.com/office/drawing/2014/chart" uri="{C3380CC4-5D6E-409C-BE32-E72D297353CC}">
              <c16:uniqueId val="{00000000-CE0F-4801-93A8-D55B052DDD79}"/>
            </c:ext>
          </c:extLst>
        </c:ser>
        <c:ser>
          <c:idx val="0"/>
          <c:order val="1"/>
          <c:tx>
            <c:strRef>
              <c:f>'Looked After Children'!$Z$4</c:f>
              <c:strCache>
                <c:ptCount val="1"/>
                <c:pt idx="0">
                  <c:v>Selected LA- (none)</c:v>
                </c:pt>
              </c:strCache>
            </c:strRef>
          </c:tx>
          <c:spPr>
            <a:solidFill>
              <a:srgbClr val="66FF99"/>
            </a:solidFill>
            <a:ln w="12700">
              <a:solidFill>
                <a:srgbClr val="000000"/>
              </a:solidFill>
              <a:prstDash val="solid"/>
            </a:ln>
          </c:spPr>
          <c:invertIfNegative val="0"/>
          <c:cat>
            <c:strRef>
              <c:f>'Looked After Children'!$X$72:$X$92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Children'!$Z$72:$Z$92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CE0F-4801-93A8-D55B052DDD79}"/>
            </c:ext>
          </c:extLst>
        </c:ser>
        <c:dLbls>
          <c:showLegendKey val="0"/>
          <c:showVal val="0"/>
          <c:showCatName val="0"/>
          <c:showSerName val="0"/>
          <c:showPercent val="0"/>
          <c:showBubbleSize val="0"/>
        </c:dLbls>
        <c:gapWidth val="40"/>
        <c:overlap val="100"/>
        <c:axId val="600957312"/>
        <c:axId val="600958848"/>
      </c:barChart>
      <c:catAx>
        <c:axId val="60095731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0958848"/>
        <c:crossesAt val="0"/>
        <c:auto val="1"/>
        <c:lblAlgn val="ctr"/>
        <c:lblOffset val="100"/>
        <c:noMultiLvlLbl val="0"/>
      </c:catAx>
      <c:valAx>
        <c:axId val="600958848"/>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0957312"/>
        <c:crosses val="max"/>
        <c:crossBetween val="between"/>
      </c:valAx>
      <c:spPr>
        <a:noFill/>
        <a:ln w="12700">
          <a:solidFill>
            <a:srgbClr val="000000"/>
          </a:solidFill>
          <a:prstDash val="solid"/>
        </a:ln>
      </c:spPr>
    </c:plotArea>
    <c:legend>
      <c:legendPos val="t"/>
      <c:layout>
        <c:manualLayout>
          <c:xMode val="edge"/>
          <c:yMode val="edge"/>
          <c:x val="0.10119040040740976"/>
          <c:y val="7.2490772111310081E-2"/>
          <c:w val="0.82341078362722009"/>
          <c:h val="4.089223042176466E-2"/>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'Looked After Children'!$AK$5</c:f>
          <c:strCache>
            <c:ptCount val="1"/>
            <c:pt idx="0">
              <c:v>Average Annual Change in Number of Looked After Children</c:v>
            </c:pt>
          </c:strCache>
        </c:strRef>
      </c:tx>
      <c:layout>
        <c:manualLayout>
          <c:xMode val="edge"/>
          <c:yMode val="edge"/>
          <c:x val="1.6088706346115263E-2"/>
          <c:y val="1.2345679012345678E-2"/>
        </c:manualLayout>
      </c:layout>
      <c:overlay val="1"/>
      <c:txPr>
        <a:bodyPr/>
        <a:lstStyle/>
        <a:p>
          <a:pPr algn="l">
            <a:defRPr sz="1100" b="1"/>
          </a:pPr>
          <a:endParaRPr lang="en-US"/>
        </a:p>
      </c:txPr>
    </c:title>
    <c:autoTitleDeleted val="0"/>
    <c:plotArea>
      <c:layout>
        <c:manualLayout>
          <c:layoutTarget val="inner"/>
          <c:xMode val="edge"/>
          <c:yMode val="edge"/>
          <c:x val="0.26583809159161659"/>
          <c:y val="0.13343135348822138"/>
          <c:w val="0.68840427716091512"/>
          <c:h val="0.80894867308253138"/>
        </c:manualLayout>
      </c:layout>
      <c:barChart>
        <c:barDir val="bar"/>
        <c:grouping val="clustered"/>
        <c:varyColors val="0"/>
        <c:ser>
          <c:idx val="0"/>
          <c:order val="0"/>
          <c:tx>
            <c:strRef>
              <c:f>'Looked After Children'!$I$7</c:f>
              <c:strCache>
                <c:ptCount val="1"/>
                <c:pt idx="0">
                  <c:v>Average Annual Change </c:v>
                </c:pt>
              </c:strCache>
            </c:strRef>
          </c:tx>
          <c:spPr>
            <a:solidFill>
              <a:srgbClr val="FB994F"/>
            </a:solidFill>
            <a:ln w="25400">
              <a:noFill/>
            </a:ln>
          </c:spPr>
          <c:invertIfNegative val="0"/>
          <c:cat>
            <c:strRef>
              <c:f>'Looked After Children'!$B$11:$B$31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Children'!$I$11:$I$31</c:f>
              <c:numCache>
                <c:formatCode>0.0%</c:formatCode>
                <c:ptCount val="21"/>
                <c:pt idx="0">
                  <c:v>1.0575812877131573E-3</c:v>
                </c:pt>
                <c:pt idx="1">
                  <c:v>-9.6843263463137659E-3</c:v>
                </c:pt>
                <c:pt idx="2">
                  <c:v>2.0096614422976972E-2</c:v>
                </c:pt>
                <c:pt idx="3">
                  <c:v>3.1941962483891265E-2</c:v>
                </c:pt>
                <c:pt idx="4">
                  <c:v>4.6192526938391633E-2</c:v>
                </c:pt>
                <c:pt idx="5">
                  <c:v>1.5289303843248711E-2</c:v>
                </c:pt>
                <c:pt idx="6">
                  <c:v>2.2895360376974698E-2</c:v>
                </c:pt>
                <c:pt idx="7">
                  <c:v>2.8249836277616847E-2</c:v>
                </c:pt>
                <c:pt idx="8">
                  <c:v>8.2186106714074794E-3</c:v>
                </c:pt>
                <c:pt idx="9">
                  <c:v>4.2681815471264026E-3</c:v>
                </c:pt>
                <c:pt idx="10">
                  <c:v>-3.2469962441651998E-2</c:v>
                </c:pt>
                <c:pt idx="11">
                  <c:v>-6.5313647443611331E-3</c:v>
                </c:pt>
                <c:pt idx="12">
                  <c:v>1.5686360164885636E-2</c:v>
                </c:pt>
                <c:pt idx="13">
                  <c:v>4.3678400570182595E-3</c:v>
                </c:pt>
                <c:pt idx="14">
                  <c:v>-4.3304077024233171E-3</c:v>
                </c:pt>
                <c:pt idx="15">
                  <c:v>5.2217325974827297E-2</c:v>
                </c:pt>
                <c:pt idx="16">
                  <c:v>3.0870639096374362E-2</c:v>
                </c:pt>
                <c:pt idx="17">
                  <c:v>5.3036214417148286E-2</c:v>
                </c:pt>
                <c:pt idx="18">
                  <c:v>9.6124959884944058E-2</c:v>
                </c:pt>
                <c:pt idx="19">
                  <c:v>1.4099464885754977E-2</c:v>
                </c:pt>
                <c:pt idx="20">
                  <c:v>1.1192584580240689E-2</c:v>
                </c:pt>
              </c:numCache>
            </c:numRef>
          </c:val>
          <c:extLst>
            <c:ext xmlns:c16="http://schemas.microsoft.com/office/drawing/2014/chart" uri="{C3380CC4-5D6E-409C-BE32-E72D297353CC}">
              <c16:uniqueId val="{00000000-E748-441B-9D77-7D7945685E57}"/>
            </c:ext>
          </c:extLst>
        </c:ser>
        <c:ser>
          <c:idx val="1"/>
          <c:order val="1"/>
          <c:tx>
            <c:strRef>
              <c:f>'Looked After Children'!$Z$4</c:f>
              <c:strCache>
                <c:ptCount val="1"/>
                <c:pt idx="0">
                  <c:v>Selected LA- (none)</c:v>
                </c:pt>
              </c:strCache>
            </c:strRef>
          </c:tx>
          <c:spPr>
            <a:solidFill>
              <a:srgbClr val="66FF99"/>
            </a:solidFill>
            <a:ln w="12700">
              <a:solidFill>
                <a:srgbClr val="000000"/>
              </a:solidFill>
              <a:prstDash val="solid"/>
            </a:ln>
          </c:spPr>
          <c:invertIfNegative val="0"/>
          <c:cat>
            <c:strRef>
              <c:f>'Looked After Children'!$B$11:$B$31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Children'!$Y$72:$Y$92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E748-441B-9D77-7D7945685E57}"/>
            </c:ext>
          </c:extLst>
        </c:ser>
        <c:dLbls>
          <c:showLegendKey val="0"/>
          <c:showVal val="0"/>
          <c:showCatName val="0"/>
          <c:showSerName val="0"/>
          <c:showPercent val="0"/>
          <c:showBubbleSize val="0"/>
        </c:dLbls>
        <c:gapWidth val="40"/>
        <c:overlap val="100"/>
        <c:axId val="601315968"/>
        <c:axId val="601321856"/>
      </c:barChart>
      <c:catAx>
        <c:axId val="60131596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1321856"/>
        <c:crosses val="autoZero"/>
        <c:auto val="1"/>
        <c:lblAlgn val="ctr"/>
        <c:lblOffset val="100"/>
        <c:noMultiLvlLbl val="0"/>
      </c:catAx>
      <c:valAx>
        <c:axId val="601321856"/>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1315968"/>
        <c:crosses val="max"/>
        <c:crossBetween val="between"/>
      </c:valAx>
      <c:spPr>
        <a:noFill/>
        <a:ln w="3175">
          <a:solidFill>
            <a:srgbClr val="000000"/>
          </a:solidFill>
          <a:prstDash val="solid"/>
        </a:ln>
      </c:spPr>
    </c:plotArea>
    <c:legend>
      <c:legendPos val="t"/>
      <c:layout>
        <c:manualLayout>
          <c:xMode val="edge"/>
          <c:yMode val="edge"/>
          <c:x val="9.1580378483871669E-2"/>
          <c:y val="7.8066985350641618E-2"/>
          <c:w val="0.85812183408986265"/>
          <c:h val="4.089223042176466E-2"/>
        </c:manualLayout>
      </c:layout>
      <c:overlay val="0"/>
      <c:spPr>
        <a:noFill/>
        <a:ln w="12700">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a:pPr>
            <a:r>
              <a:rPr lang="en-GB" sz="1200" b="1"/>
              <a:t>% Children Looked After for 2.5+yrs </a:t>
            </a:r>
          </a:p>
          <a:p>
            <a:pPr>
              <a:defRPr sz="1200" b="1"/>
            </a:pPr>
            <a:r>
              <a:rPr lang="en-GB" sz="1200" b="1"/>
              <a:t>(Selected LA vs. SE &amp; National) </a:t>
            </a:r>
          </a:p>
        </c:rich>
      </c:tx>
      <c:layout>
        <c:manualLayout>
          <c:xMode val="edge"/>
          <c:yMode val="edge"/>
          <c:x val="0.16851926924975963"/>
          <c:y val="3.8618801063195775E-3"/>
        </c:manualLayout>
      </c:layout>
      <c:overlay val="0"/>
      <c:spPr>
        <a:noFill/>
        <a:ln w="25400">
          <a:noFill/>
        </a:ln>
      </c:spPr>
    </c:title>
    <c:autoTitleDeleted val="0"/>
    <c:plotArea>
      <c:layout>
        <c:manualLayout>
          <c:layoutTarget val="inner"/>
          <c:xMode val="edge"/>
          <c:yMode val="edge"/>
          <c:x val="9.8666564984461691E-2"/>
          <c:y val="0.2413076380637276"/>
          <c:w val="0.61967152620773891"/>
          <c:h val="0.51833749437137167"/>
        </c:manualLayout>
      </c:layout>
      <c:barChart>
        <c:barDir val="col"/>
        <c:grouping val="clustered"/>
        <c:varyColors val="0"/>
        <c:ser>
          <c:idx val="6"/>
          <c:order val="0"/>
          <c:tx>
            <c:strRef>
              <c:f>'Looked After Children'!$Z$4</c:f>
              <c:strCache>
                <c:ptCount val="1"/>
                <c:pt idx="0">
                  <c:v>Selected LA- (none)</c:v>
                </c:pt>
              </c:strCache>
            </c:strRef>
          </c:tx>
          <c:spPr>
            <a:solidFill>
              <a:srgbClr val="66FF99"/>
            </a:solidFill>
            <a:ln>
              <a:solidFill>
                <a:schemeClr val="tx1">
                  <a:lumMod val="75000"/>
                  <a:lumOff val="25000"/>
                </a:schemeClr>
              </a:solidFill>
            </a:ln>
          </c:spPr>
          <c:invertIfNegative val="0"/>
          <c:cat>
            <c:strRef>
              <c:f>'Looked After Children'!$Y$2:$AC$3</c:f>
              <c:strCache>
                <c:ptCount val="5"/>
                <c:pt idx="0">
                  <c:v>2019/20</c:v>
                </c:pt>
                <c:pt idx="1">
                  <c:v>2020/21</c:v>
                </c:pt>
                <c:pt idx="2">
                  <c:v>2021/22</c:v>
                </c:pt>
                <c:pt idx="3">
                  <c:v>2022/23</c:v>
                </c:pt>
                <c:pt idx="4">
                  <c:v>2023/24</c:v>
                </c:pt>
              </c:strCache>
            </c:strRef>
          </c:cat>
          <c:val>
            <c:numRef>
              <c:f>'Looked After Children'!$AR$59:$AV$59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BEC0-437C-A80D-9EF66CFF0ECF}"/>
            </c:ext>
          </c:extLst>
        </c:ser>
        <c:ser>
          <c:idx val="4"/>
          <c:order val="1"/>
          <c:tx>
            <c:strRef>
              <c:f>'Looked After Children'!$B$161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'Looked After Children'!$Y$2:$AC$3</c:f>
              <c:strCache>
                <c:ptCount val="5"/>
                <c:pt idx="0">
                  <c:v>2019/20</c:v>
                </c:pt>
                <c:pt idx="1">
                  <c:v>2020/21</c:v>
                </c:pt>
                <c:pt idx="2">
                  <c:v>2021/22</c:v>
                </c:pt>
                <c:pt idx="3">
                  <c:v>2022/23</c:v>
                </c:pt>
                <c:pt idx="4">
                  <c:v>2023/24</c:v>
                </c:pt>
              </c:strCache>
            </c:strRef>
          </c:cat>
          <c:val>
            <c:numRef>
              <c:f>'Looked After Children'!$D$128:$H$128</c:f>
              <c:numCache>
                <c:formatCode>0%</c:formatCode>
                <c:ptCount val="5"/>
                <c:pt idx="0">
                  <c:v>0.45153095333600751</c:v>
                </c:pt>
                <c:pt idx="1">
                  <c:v>0.45474758043421398</c:v>
                </c:pt>
                <c:pt idx="2">
                  <c:v>0.45679959100204498</c:v>
                </c:pt>
                <c:pt idx="3">
                  <c:v>0.454661558109834</c:v>
                </c:pt>
                <c:pt idx="4">
                  <c:v>0.46631439894319682</c:v>
                </c:pt>
              </c:numCache>
            </c:numRef>
          </c:val>
          <c:extLst>
            <c:ext xmlns:c16="http://schemas.microsoft.com/office/drawing/2014/chart" uri="{C3380CC4-5D6E-409C-BE32-E72D297353CC}">
              <c16:uniqueId val="{00000001-BEC0-437C-A80D-9EF66CFF0ECF}"/>
            </c:ext>
          </c:extLst>
        </c:ser>
        <c:ser>
          <c:idx val="0"/>
          <c:order val="2"/>
          <c:tx>
            <c:strRef>
              <c:f>'Looked After Children'!$B$162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'Looked After Children'!$Y$2:$AC$3</c:f>
              <c:strCache>
                <c:ptCount val="5"/>
                <c:pt idx="0">
                  <c:v>2019/20</c:v>
                </c:pt>
                <c:pt idx="1">
                  <c:v>2020/21</c:v>
                </c:pt>
                <c:pt idx="2">
                  <c:v>2021/22</c:v>
                </c:pt>
                <c:pt idx="3">
                  <c:v>2022/23</c:v>
                </c:pt>
                <c:pt idx="4">
                  <c:v>2023/24</c:v>
                </c:pt>
              </c:strCache>
            </c:strRef>
          </c:cat>
          <c:val>
            <c:numRef>
              <c:f>'Looked After Children'!$D$129:$H$129</c:f>
              <c:numCache>
                <c:formatCode>0%</c:formatCode>
                <c:ptCount val="5"/>
                <c:pt idx="0">
                  <c:v>0.44504504504504505</c:v>
                </c:pt>
                <c:pt idx="1">
                  <c:v>0.46453935207705027</c:v>
                </c:pt>
                <c:pt idx="2">
                  <c:v>0.47730576643514777</c:v>
                </c:pt>
                <c:pt idx="3">
                  <c:v>0.4797603626943005</c:v>
                </c:pt>
                <c:pt idx="4">
                  <c:v>0.47533191280118015</c:v>
                </c:pt>
              </c:numCache>
            </c:numRef>
          </c:val>
          <c:extLst>
            <c:ext xmlns:c16="http://schemas.microsoft.com/office/drawing/2014/chart" uri="{C3380CC4-5D6E-409C-BE32-E72D297353CC}">
              <c16:uniqueId val="{00000002-BEC0-437C-A80D-9EF66CFF0ECF}"/>
            </c:ext>
          </c:extLst>
        </c:ser>
        <c:dLbls>
          <c:showLegendKey val="0"/>
          <c:showVal val="0"/>
          <c:showCatName val="0"/>
          <c:showSerName val="0"/>
          <c:showPercent val="0"/>
          <c:showBubbleSize val="0"/>
        </c:dLbls>
        <c:gapWidth val="100"/>
        <c:axId val="601359872"/>
        <c:axId val="601361408"/>
      </c:barChart>
      <c:catAx>
        <c:axId val="601359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01361408"/>
        <c:crosses val="autoZero"/>
        <c:auto val="1"/>
        <c:lblAlgn val="ctr"/>
        <c:lblOffset val="100"/>
        <c:noMultiLvlLbl val="0"/>
      </c:catAx>
      <c:valAx>
        <c:axId val="601361408"/>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01359872"/>
        <c:crosses val="autoZero"/>
        <c:crossBetween val="between"/>
      </c:valAx>
      <c:spPr>
        <a:noFill/>
        <a:ln w="3175">
          <a:solidFill>
            <a:srgbClr val="000000"/>
          </a:solidFill>
          <a:prstDash val="solid"/>
        </a:ln>
      </c:spPr>
    </c:plotArea>
    <c:legend>
      <c:legendPos val="r"/>
      <c:layout>
        <c:manualLayout>
          <c:xMode val="edge"/>
          <c:yMode val="edge"/>
          <c:x val="0.72924872014760533"/>
          <c:y val="0.23440399653846947"/>
          <c:w val="0.27075127985239467"/>
          <c:h val="0.66540338603711802"/>
        </c:manualLayout>
      </c:layout>
      <c:overlay val="0"/>
      <c:spPr>
        <a:no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 Children Looked After for at least 2.5 Years</a:t>
            </a:r>
          </a:p>
        </c:rich>
      </c:tx>
      <c:layout>
        <c:manualLayout>
          <c:xMode val="edge"/>
          <c:yMode val="edge"/>
          <c:x val="0.1560289423281549"/>
          <c:y val="2.284040889597724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106411522464565"/>
        </c:manualLayout>
      </c:layout>
      <c:lineChart>
        <c:grouping val="standard"/>
        <c:varyColors val="0"/>
        <c:ser>
          <c:idx val="0"/>
          <c:order val="0"/>
          <c:tx>
            <c:strRef>
              <c:f>'Looked After Children'!$AK$38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6813-47FE-A770-4162B1DAEEAD}"/>
              </c:ext>
            </c:extLst>
          </c:dPt>
          <c:cat>
            <c:strRef>
              <c:f>'Looked After Children'!$Y$2:$AC$3</c:f>
              <c:strCache>
                <c:ptCount val="5"/>
                <c:pt idx="0">
                  <c:v>2019/20</c:v>
                </c:pt>
                <c:pt idx="1">
                  <c:v>2020/21</c:v>
                </c:pt>
                <c:pt idx="2">
                  <c:v>2021/22</c:v>
                </c:pt>
                <c:pt idx="3">
                  <c:v>2022/23</c:v>
                </c:pt>
                <c:pt idx="4">
                  <c:v>2023/24</c:v>
                </c:pt>
              </c:strCache>
            </c:strRef>
          </c:cat>
          <c:val>
            <c:numRef>
              <c:f>'Looked After Children'!$AR$38:$AV$38</c:f>
              <c:numCache>
                <c:formatCode>0.0%</c:formatCode>
                <c:ptCount val="5"/>
                <c:pt idx="0">
                  <c:v>0.40594059405940597</c:v>
                </c:pt>
                <c:pt idx="1">
                  <c:v>0.5145631067961165</c:v>
                </c:pt>
                <c:pt idx="2">
                  <c:v>0.54639175257731953</c:v>
                </c:pt>
                <c:pt idx="3">
                  <c:v>0.40816326530612246</c:v>
                </c:pt>
                <c:pt idx="4">
                  <c:v>0.47368421052631576</c:v>
                </c:pt>
              </c:numCache>
            </c:numRef>
          </c:val>
          <c:smooth val="0"/>
          <c:extLst>
            <c:ext xmlns:c16="http://schemas.microsoft.com/office/drawing/2014/chart" uri="{C3380CC4-5D6E-409C-BE32-E72D297353CC}">
              <c16:uniqueId val="{00000001-6813-47FE-A770-4162B1DAEEAD}"/>
            </c:ext>
          </c:extLst>
        </c:ser>
        <c:ser>
          <c:idx val="1"/>
          <c:order val="1"/>
          <c:tx>
            <c:strRef>
              <c:f>'Looked After Children'!$AK$39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Children'!$AR$39:$AV$39</c:f>
              <c:numCache>
                <c:formatCode>0.0%</c:formatCode>
                <c:ptCount val="5"/>
                <c:pt idx="0">
                  <c:v>0.44736842105263158</c:v>
                </c:pt>
                <c:pt idx="1">
                  <c:v>0.43295019157088122</c:v>
                </c:pt>
                <c:pt idx="2">
                  <c:v>0.43010752688172044</c:v>
                </c:pt>
                <c:pt idx="3">
                  <c:v>0.5173913043478261</c:v>
                </c:pt>
                <c:pt idx="4">
                  <c:v>0.49789029535864981</c:v>
                </c:pt>
              </c:numCache>
            </c:numRef>
          </c:val>
          <c:smooth val="0"/>
          <c:extLst>
            <c:ext xmlns:c16="http://schemas.microsoft.com/office/drawing/2014/chart" uri="{C3380CC4-5D6E-409C-BE32-E72D297353CC}">
              <c16:uniqueId val="{00000002-6813-47FE-A770-4162B1DAEEAD}"/>
            </c:ext>
          </c:extLst>
        </c:ser>
        <c:ser>
          <c:idx val="2"/>
          <c:order val="2"/>
          <c:tx>
            <c:strRef>
              <c:f>'Looked After Children'!$AK$40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Children'!$AR$40:$AV$40</c:f>
              <c:numCache>
                <c:formatCode>0.0%</c:formatCode>
                <c:ptCount val="5"/>
                <c:pt idx="0">
                  <c:v>0.47457627118644069</c:v>
                </c:pt>
                <c:pt idx="1">
                  <c:v>0.4228723404255319</c:v>
                </c:pt>
                <c:pt idx="2">
                  <c:v>0.41160220994475138</c:v>
                </c:pt>
                <c:pt idx="3">
                  <c:v>0.49068322981366458</c:v>
                </c:pt>
                <c:pt idx="4">
                  <c:v>0.40793201133144474</c:v>
                </c:pt>
              </c:numCache>
            </c:numRef>
          </c:val>
          <c:smooth val="0"/>
          <c:extLst>
            <c:ext xmlns:c16="http://schemas.microsoft.com/office/drawing/2014/chart" uri="{C3380CC4-5D6E-409C-BE32-E72D297353CC}">
              <c16:uniqueId val="{00000003-6813-47FE-A770-4162B1DAEEAD}"/>
            </c:ext>
          </c:extLst>
        </c:ser>
        <c:ser>
          <c:idx val="5"/>
          <c:order val="3"/>
          <c:tx>
            <c:strRef>
              <c:f>'Looked After Children'!$AK$41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Children'!$AR$41:$AV$41</c:f>
              <c:numCache>
                <c:formatCode>0.0%</c:formatCode>
                <c:ptCount val="5"/>
                <c:pt idx="0">
                  <c:v>0.51298701298701299</c:v>
                </c:pt>
                <c:pt idx="1">
                  <c:v>0.55164835164835169</c:v>
                </c:pt>
                <c:pt idx="2">
                  <c:v>0.50418410041841</c:v>
                </c:pt>
                <c:pt idx="3">
                  <c:v>0.49690721649484537</c:v>
                </c:pt>
                <c:pt idx="4">
                  <c:v>0.50627615062761511</c:v>
                </c:pt>
              </c:numCache>
            </c:numRef>
          </c:val>
          <c:smooth val="0"/>
          <c:extLst>
            <c:ext xmlns:c16="http://schemas.microsoft.com/office/drawing/2014/chart" uri="{C3380CC4-5D6E-409C-BE32-E72D297353CC}">
              <c16:uniqueId val="{00000004-6813-47FE-A770-4162B1DAEEAD}"/>
            </c:ext>
          </c:extLst>
        </c:ser>
        <c:ser>
          <c:idx val="9"/>
          <c:order val="4"/>
          <c:tx>
            <c:strRef>
              <c:f>'Looked After Children'!$AK$42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Children'!$AR$42:$AV$42</c:f>
              <c:numCache>
                <c:formatCode>0.0%</c:formatCode>
                <c:ptCount val="5"/>
                <c:pt idx="0">
                  <c:v>0.47861178369652946</c:v>
                </c:pt>
                <c:pt idx="1">
                  <c:v>0.48324240062353857</c:v>
                </c:pt>
                <c:pt idx="2">
                  <c:v>0.48612153038259565</c:v>
                </c:pt>
                <c:pt idx="3">
                  <c:v>0.47216035634743875</c:v>
                </c:pt>
                <c:pt idx="4">
                  <c:v>0.50112866817155755</c:v>
                </c:pt>
              </c:numCache>
            </c:numRef>
          </c:val>
          <c:smooth val="0"/>
          <c:extLst>
            <c:ext xmlns:c16="http://schemas.microsoft.com/office/drawing/2014/chart" uri="{C3380CC4-5D6E-409C-BE32-E72D297353CC}">
              <c16:uniqueId val="{00000005-6813-47FE-A770-4162B1DAEEAD}"/>
            </c:ext>
          </c:extLst>
        </c:ser>
        <c:ser>
          <c:idx val="10"/>
          <c:order val="5"/>
          <c:tx>
            <c:strRef>
              <c:f>'Looked After Children'!$AK$43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Children'!$AR$43:$AV$43</c:f>
              <c:numCache>
                <c:formatCode>0.0%</c:formatCode>
                <c:ptCount val="5"/>
                <c:pt idx="0">
                  <c:v>0.47465437788018433</c:v>
                </c:pt>
                <c:pt idx="1">
                  <c:v>0.55000000000000004</c:v>
                </c:pt>
                <c:pt idx="2">
                  <c:v>0.55707762557077622</c:v>
                </c:pt>
                <c:pt idx="3">
                  <c:v>0.50691244239631339</c:v>
                </c:pt>
                <c:pt idx="4">
                  <c:v>0.52631578947368418</c:v>
                </c:pt>
              </c:numCache>
            </c:numRef>
          </c:val>
          <c:smooth val="0"/>
          <c:extLst>
            <c:ext xmlns:c16="http://schemas.microsoft.com/office/drawing/2014/chart" uri="{C3380CC4-5D6E-409C-BE32-E72D297353CC}">
              <c16:uniqueId val="{00000006-6813-47FE-A770-4162B1DAEEAD}"/>
            </c:ext>
          </c:extLst>
        </c:ser>
        <c:ser>
          <c:idx val="11"/>
          <c:order val="6"/>
          <c:tx>
            <c:strRef>
              <c:f>'Looked After Children'!$AK$44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Children'!$AR$44:$AV$44</c:f>
              <c:numCache>
                <c:formatCode>0.0%</c:formatCode>
                <c:ptCount val="5"/>
                <c:pt idx="0">
                  <c:v>0.48395967002749773</c:v>
                </c:pt>
                <c:pt idx="1">
                  <c:v>0.46421845574387949</c:v>
                </c:pt>
                <c:pt idx="2">
                  <c:v>0.42358078602620086</c:v>
                </c:pt>
                <c:pt idx="3">
                  <c:v>0.38879456706281834</c:v>
                </c:pt>
                <c:pt idx="4">
                  <c:v>0.39506172839506171</c:v>
                </c:pt>
              </c:numCache>
            </c:numRef>
          </c:val>
          <c:smooth val="0"/>
          <c:extLst>
            <c:ext xmlns:c16="http://schemas.microsoft.com/office/drawing/2014/chart" uri="{C3380CC4-5D6E-409C-BE32-E72D297353CC}">
              <c16:uniqueId val="{00000007-6813-47FE-A770-4162B1DAEEAD}"/>
            </c:ext>
          </c:extLst>
        </c:ser>
        <c:ser>
          <c:idx val="12"/>
          <c:order val="7"/>
          <c:tx>
            <c:strRef>
              <c:f>'Looked After Children'!$AK$45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Children'!$AR$45:$AV$45</c:f>
              <c:numCache>
                <c:formatCode>0.0%</c:formatCode>
                <c:ptCount val="5"/>
                <c:pt idx="0">
                  <c:v>0.48529411764705882</c:v>
                </c:pt>
                <c:pt idx="1">
                  <c:v>0.44797687861271679</c:v>
                </c:pt>
                <c:pt idx="2">
                  <c:v>0.45348837209302323</c:v>
                </c:pt>
                <c:pt idx="3">
                  <c:v>0.47169811320754718</c:v>
                </c:pt>
                <c:pt idx="4">
                  <c:v>0.47814207650273222</c:v>
                </c:pt>
              </c:numCache>
            </c:numRef>
          </c:val>
          <c:smooth val="0"/>
          <c:extLst>
            <c:ext xmlns:c16="http://schemas.microsoft.com/office/drawing/2014/chart" uri="{C3380CC4-5D6E-409C-BE32-E72D297353CC}">
              <c16:uniqueId val="{00000008-6813-47FE-A770-4162B1DAEEAD}"/>
            </c:ext>
          </c:extLst>
        </c:ser>
        <c:ser>
          <c:idx val="13"/>
          <c:order val="8"/>
          <c:tx>
            <c:strRef>
              <c:f>'Looked After Children'!$AK$46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Children'!$AR$46:$AV$46</c:f>
              <c:numCache>
                <c:formatCode>0.0%</c:formatCode>
                <c:ptCount val="5"/>
                <c:pt idx="0">
                  <c:v>0.45751633986928103</c:v>
                </c:pt>
                <c:pt idx="1">
                  <c:v>0.47194719471947194</c:v>
                </c:pt>
                <c:pt idx="2">
                  <c:v>0.42911877394636017</c:v>
                </c:pt>
                <c:pt idx="3">
                  <c:v>0.40392156862745099</c:v>
                </c:pt>
                <c:pt idx="4">
                  <c:v>0.34527687296416937</c:v>
                </c:pt>
              </c:numCache>
            </c:numRef>
          </c:val>
          <c:smooth val="0"/>
          <c:extLst>
            <c:ext xmlns:c16="http://schemas.microsoft.com/office/drawing/2014/chart" uri="{C3380CC4-5D6E-409C-BE32-E72D297353CC}">
              <c16:uniqueId val="{00000009-6813-47FE-A770-4162B1DAEEAD}"/>
            </c:ext>
          </c:extLst>
        </c:ser>
        <c:ser>
          <c:idx val="15"/>
          <c:order val="9"/>
          <c:tx>
            <c:strRef>
              <c:f>'Looked After Children'!$AK$47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Children'!$AR$47:$AV$47</c:f>
              <c:numCache>
                <c:formatCode>0.0%</c:formatCode>
                <c:ptCount val="5"/>
                <c:pt idx="0">
                  <c:v>0.40357142857142858</c:v>
                </c:pt>
                <c:pt idx="1">
                  <c:v>0.42499999999999999</c:v>
                </c:pt>
                <c:pt idx="2">
                  <c:v>0.44513137557959814</c:v>
                </c:pt>
                <c:pt idx="3">
                  <c:v>0.4777777777777778</c:v>
                </c:pt>
                <c:pt idx="4">
                  <c:v>0.54761904761904767</c:v>
                </c:pt>
              </c:numCache>
            </c:numRef>
          </c:val>
          <c:smooth val="0"/>
          <c:extLst>
            <c:ext xmlns:c16="http://schemas.microsoft.com/office/drawing/2014/chart" uri="{C3380CC4-5D6E-409C-BE32-E72D297353CC}">
              <c16:uniqueId val="{0000000A-6813-47FE-A770-4162B1DAEEAD}"/>
            </c:ext>
          </c:extLst>
        </c:ser>
        <c:ser>
          <c:idx val="16"/>
          <c:order val="10"/>
          <c:tx>
            <c:strRef>
              <c:f>'Looked After Children'!$AK$48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Children'!$AR$48:$AV$48</c:f>
              <c:numCache>
                <c:formatCode>0.0%</c:formatCode>
                <c:ptCount val="5"/>
                <c:pt idx="0">
                  <c:v>0.42857142857142855</c:v>
                </c:pt>
                <c:pt idx="1">
                  <c:v>0.57664233576642332</c:v>
                </c:pt>
                <c:pt idx="2">
                  <c:v>0.6</c:v>
                </c:pt>
                <c:pt idx="3">
                  <c:v>0.51056338028169013</c:v>
                </c:pt>
                <c:pt idx="4">
                  <c:v>0.45608108108108109</c:v>
                </c:pt>
              </c:numCache>
            </c:numRef>
          </c:val>
          <c:smooth val="0"/>
          <c:extLst>
            <c:ext xmlns:c16="http://schemas.microsoft.com/office/drawing/2014/chart" uri="{C3380CC4-5D6E-409C-BE32-E72D297353CC}">
              <c16:uniqueId val="{0000000B-6813-47FE-A770-4162B1DAEEAD}"/>
            </c:ext>
          </c:extLst>
        </c:ser>
        <c:ser>
          <c:idx val="17"/>
          <c:order val="11"/>
          <c:tx>
            <c:strRef>
              <c:f>'Looked After Children'!$AK$49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Children'!$AR$49:$AV$49</c:f>
              <c:numCache>
                <c:formatCode>0.0%</c:formatCode>
                <c:ptCount val="5"/>
                <c:pt idx="0">
                  <c:v>0.46728971962616822</c:v>
                </c:pt>
                <c:pt idx="1">
                  <c:v>0.5</c:v>
                </c:pt>
                <c:pt idx="2">
                  <c:v>0.6073619631901841</c:v>
                </c:pt>
                <c:pt idx="3">
                  <c:v>0.56666666666666665</c:v>
                </c:pt>
                <c:pt idx="4">
                  <c:v>0.50515463917525771</c:v>
                </c:pt>
              </c:numCache>
            </c:numRef>
          </c:val>
          <c:smooth val="0"/>
          <c:extLst>
            <c:ext xmlns:c16="http://schemas.microsoft.com/office/drawing/2014/chart" uri="{C3380CC4-5D6E-409C-BE32-E72D297353CC}">
              <c16:uniqueId val="{0000000C-6813-47FE-A770-4162B1DAEEAD}"/>
            </c:ext>
          </c:extLst>
        </c:ser>
        <c:ser>
          <c:idx val="19"/>
          <c:order val="12"/>
          <c:tx>
            <c:strRef>
              <c:f>'Looked After Children'!$AK$50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Children'!$AR$50:$AV$50</c:f>
              <c:numCache>
                <c:formatCode>0.0%</c:formatCode>
                <c:ptCount val="5"/>
                <c:pt idx="0">
                  <c:v>0.37086092715231789</c:v>
                </c:pt>
                <c:pt idx="1">
                  <c:v>0.33540372670807456</c:v>
                </c:pt>
                <c:pt idx="2">
                  <c:v>0.38271604938271603</c:v>
                </c:pt>
                <c:pt idx="3">
                  <c:v>0.31645569620253167</c:v>
                </c:pt>
                <c:pt idx="4">
                  <c:v>0.43307086614173229</c:v>
                </c:pt>
              </c:numCache>
            </c:numRef>
          </c:val>
          <c:smooth val="0"/>
          <c:extLst>
            <c:ext xmlns:c16="http://schemas.microsoft.com/office/drawing/2014/chart" uri="{C3380CC4-5D6E-409C-BE32-E72D297353CC}">
              <c16:uniqueId val="{0000000D-6813-47FE-A770-4162B1DAEEAD}"/>
            </c:ext>
          </c:extLst>
        </c:ser>
        <c:ser>
          <c:idx val="20"/>
          <c:order val="13"/>
          <c:tx>
            <c:strRef>
              <c:f>'Looked After Children'!$AK$51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Children'!$AR$51:$AV$51</c:f>
              <c:numCache>
                <c:formatCode>0.0%</c:formatCode>
                <c:ptCount val="5"/>
                <c:pt idx="0">
                  <c:v>0.53634085213032578</c:v>
                </c:pt>
                <c:pt idx="1">
                  <c:v>0.5</c:v>
                </c:pt>
                <c:pt idx="2">
                  <c:v>0.44444444444444442</c:v>
                </c:pt>
                <c:pt idx="3">
                  <c:v>0.44768856447688565</c:v>
                </c:pt>
                <c:pt idx="4">
                  <c:v>0.54415954415954415</c:v>
                </c:pt>
              </c:numCache>
            </c:numRef>
          </c:val>
          <c:smooth val="0"/>
          <c:extLst>
            <c:ext xmlns:c16="http://schemas.microsoft.com/office/drawing/2014/chart" uri="{C3380CC4-5D6E-409C-BE32-E72D297353CC}">
              <c16:uniqueId val="{0000000F-6813-47FE-A770-4162B1DAEEAD}"/>
            </c:ext>
          </c:extLst>
        </c:ser>
        <c:ser>
          <c:idx val="22"/>
          <c:order val="14"/>
          <c:tx>
            <c:strRef>
              <c:f>'Looked After Children'!$AK$52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Children'!$AR$52:$AV$52</c:f>
              <c:numCache>
                <c:formatCode>0.0%</c:formatCode>
                <c:ptCount val="5"/>
                <c:pt idx="0">
                  <c:v>0.41788856304985339</c:v>
                </c:pt>
                <c:pt idx="1">
                  <c:v>0.45454545454545453</c:v>
                </c:pt>
                <c:pt idx="2">
                  <c:v>0.46250000000000002</c:v>
                </c:pt>
                <c:pt idx="3">
                  <c:v>0.48226950354609927</c:v>
                </c:pt>
                <c:pt idx="4">
                  <c:v>0.51060606060606062</c:v>
                </c:pt>
              </c:numCache>
            </c:numRef>
          </c:val>
          <c:smooth val="0"/>
          <c:extLst>
            <c:ext xmlns:c16="http://schemas.microsoft.com/office/drawing/2014/chart" uri="{C3380CC4-5D6E-409C-BE32-E72D297353CC}">
              <c16:uniqueId val="{00000010-6813-47FE-A770-4162B1DAEEAD}"/>
            </c:ext>
          </c:extLst>
        </c:ser>
        <c:ser>
          <c:idx val="23"/>
          <c:order val="15"/>
          <c:tx>
            <c:strRef>
              <c:f>'Looked After Children'!$AK$53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Children'!$AR$53:$AV$53</c:f>
              <c:numCache>
                <c:formatCode>0.0%</c:formatCode>
                <c:ptCount val="5"/>
                <c:pt idx="0">
                  <c:v>0.44117647058823528</c:v>
                </c:pt>
                <c:pt idx="1">
                  <c:v>0.45454545454545453</c:v>
                </c:pt>
                <c:pt idx="2">
                  <c:v>0.43965517241379309</c:v>
                </c:pt>
                <c:pt idx="3">
                  <c:v>0.39130434782608697</c:v>
                </c:pt>
                <c:pt idx="4">
                  <c:v>0.38461538461538464</c:v>
                </c:pt>
              </c:numCache>
            </c:numRef>
          </c:val>
          <c:smooth val="0"/>
          <c:extLst>
            <c:ext xmlns:c16="http://schemas.microsoft.com/office/drawing/2014/chart" uri="{C3380CC4-5D6E-409C-BE32-E72D297353CC}">
              <c16:uniqueId val="{00000013-6813-47FE-A770-4162B1DAEEAD}"/>
            </c:ext>
          </c:extLst>
        </c:ser>
        <c:ser>
          <c:idx val="24"/>
          <c:order val="16"/>
          <c:tx>
            <c:strRef>
              <c:f>'Looked After Children'!$AK$54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Children'!$AR$54:$AV$54</c:f>
              <c:numCache>
                <c:formatCode>0.0%</c:formatCode>
                <c:ptCount val="5"/>
                <c:pt idx="0">
                  <c:v>0.31881533101045295</c:v>
                </c:pt>
                <c:pt idx="1">
                  <c:v>0.30331753554502372</c:v>
                </c:pt>
                <c:pt idx="2">
                  <c:v>0.39597315436241609</c:v>
                </c:pt>
                <c:pt idx="3">
                  <c:v>0.43035993740219092</c:v>
                </c:pt>
                <c:pt idx="4">
                  <c:v>0.43217665615141954</c:v>
                </c:pt>
              </c:numCache>
            </c:numRef>
          </c:val>
          <c:smooth val="0"/>
          <c:extLst>
            <c:ext xmlns:c16="http://schemas.microsoft.com/office/drawing/2014/chart" uri="{C3380CC4-5D6E-409C-BE32-E72D297353CC}">
              <c16:uniqueId val="{00000014-6813-47FE-A770-4162B1DAEEAD}"/>
            </c:ext>
          </c:extLst>
        </c:ser>
        <c:ser>
          <c:idx val="25"/>
          <c:order val="17"/>
          <c:tx>
            <c:strRef>
              <c:f>'Looked After Children'!$AK$55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Children'!$AR$55:$AV$55</c:f>
              <c:numCache>
                <c:formatCode>0.0%</c:formatCode>
                <c:ptCount val="5"/>
                <c:pt idx="0">
                  <c:v>0.46875</c:v>
                </c:pt>
                <c:pt idx="1">
                  <c:v>0.30612244897959184</c:v>
                </c:pt>
                <c:pt idx="2">
                  <c:v>0.32941176470588235</c:v>
                </c:pt>
                <c:pt idx="3">
                  <c:v>0.37634408602150538</c:v>
                </c:pt>
                <c:pt idx="4">
                  <c:v>0.37254901960784315</c:v>
                </c:pt>
              </c:numCache>
            </c:numRef>
          </c:val>
          <c:smooth val="0"/>
          <c:extLst>
            <c:ext xmlns:c16="http://schemas.microsoft.com/office/drawing/2014/chart" uri="{C3380CC4-5D6E-409C-BE32-E72D297353CC}">
              <c16:uniqueId val="{00000015-6813-47FE-A770-4162B1DAEEAD}"/>
            </c:ext>
          </c:extLst>
        </c:ser>
        <c:ser>
          <c:idx val="26"/>
          <c:order val="18"/>
          <c:tx>
            <c:strRef>
              <c:f>'Looked After Children'!$AK$56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Children'!$AR$56:$AV$56</c:f>
              <c:numCache>
                <c:formatCode>0.0%</c:formatCode>
                <c:ptCount val="5"/>
                <c:pt idx="0">
                  <c:v>0.24489795918367346</c:v>
                </c:pt>
                <c:pt idx="1">
                  <c:v>0.23943661971830985</c:v>
                </c:pt>
                <c:pt idx="2">
                  <c:v>0.28260869565217389</c:v>
                </c:pt>
                <c:pt idx="3">
                  <c:v>0.32222222222222224</c:v>
                </c:pt>
                <c:pt idx="4">
                  <c:v>0.35365853658536583</c:v>
                </c:pt>
              </c:numCache>
            </c:numRef>
          </c:val>
          <c:smooth val="0"/>
          <c:extLst>
            <c:ext xmlns:c16="http://schemas.microsoft.com/office/drawing/2014/chart" uri="{C3380CC4-5D6E-409C-BE32-E72D297353CC}">
              <c16:uniqueId val="{00000016-6813-47FE-A770-4162B1DAEEAD}"/>
            </c:ext>
          </c:extLst>
        </c:ser>
        <c:ser>
          <c:idx val="4"/>
          <c:order val="19"/>
          <c:tx>
            <c:strRef>
              <c:f>'Looked After Children'!$AK$57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Children'!$AR$57:$AV$57</c:f>
              <c:numCache>
                <c:formatCode>0.0%</c:formatCode>
                <c:ptCount val="5"/>
                <c:pt idx="0">
                  <c:v>0.45153095333600751</c:v>
                </c:pt>
                <c:pt idx="1">
                  <c:v>0.45474758043421398</c:v>
                </c:pt>
                <c:pt idx="2">
                  <c:v>0.45679959100204498</c:v>
                </c:pt>
                <c:pt idx="3">
                  <c:v>0.454661558109834</c:v>
                </c:pt>
                <c:pt idx="4">
                  <c:v>0.46631439894319682</c:v>
                </c:pt>
              </c:numCache>
            </c:numRef>
          </c:val>
          <c:smooth val="0"/>
          <c:extLst>
            <c:ext xmlns:c16="http://schemas.microsoft.com/office/drawing/2014/chart" uri="{C3380CC4-5D6E-409C-BE32-E72D297353CC}">
              <c16:uniqueId val="{00000017-6813-47FE-A770-4162B1DAEEAD}"/>
            </c:ext>
          </c:extLst>
        </c:ser>
        <c:ser>
          <c:idx val="14"/>
          <c:order val="20"/>
          <c:tx>
            <c:strRef>
              <c:f>'Looked After Children'!$AK$58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'Looked After Children'!$Y$2:$AC$3</c:f>
              <c:strCache>
                <c:ptCount val="5"/>
                <c:pt idx="0">
                  <c:v>2019/20</c:v>
                </c:pt>
                <c:pt idx="1">
                  <c:v>2020/21</c:v>
                </c:pt>
                <c:pt idx="2">
                  <c:v>2021/22</c:v>
                </c:pt>
                <c:pt idx="3">
                  <c:v>2022/23</c:v>
                </c:pt>
                <c:pt idx="4">
                  <c:v>2023/24</c:v>
                </c:pt>
              </c:strCache>
            </c:strRef>
          </c:cat>
          <c:val>
            <c:numRef>
              <c:f>'Looked After Children'!$AR$58:$AV$58</c:f>
              <c:numCache>
                <c:formatCode>0.0%</c:formatCode>
                <c:ptCount val="5"/>
                <c:pt idx="0">
                  <c:v>0.44504504504504505</c:v>
                </c:pt>
                <c:pt idx="1">
                  <c:v>0.46453935207705027</c:v>
                </c:pt>
                <c:pt idx="2">
                  <c:v>0.47730576643514777</c:v>
                </c:pt>
                <c:pt idx="3">
                  <c:v>0.4797603626943005</c:v>
                </c:pt>
                <c:pt idx="4">
                  <c:v>0.47533191280118015</c:v>
                </c:pt>
              </c:numCache>
            </c:numRef>
          </c:val>
          <c:smooth val="0"/>
          <c:extLst>
            <c:ext xmlns:c16="http://schemas.microsoft.com/office/drawing/2014/chart" uri="{C3380CC4-5D6E-409C-BE32-E72D297353CC}">
              <c16:uniqueId val="{00000018-6813-47FE-A770-4162B1DAEEAD}"/>
            </c:ext>
          </c:extLst>
        </c:ser>
        <c:ser>
          <c:idx val="6"/>
          <c:order val="21"/>
          <c:tx>
            <c:strRef>
              <c:f>'Looked After Children'!$AK$59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'Looked After Children'!$Y$2:$AC$3</c:f>
              <c:strCache>
                <c:ptCount val="5"/>
                <c:pt idx="0">
                  <c:v>2019/20</c:v>
                </c:pt>
                <c:pt idx="1">
                  <c:v>2020/21</c:v>
                </c:pt>
                <c:pt idx="2">
                  <c:v>2021/22</c:v>
                </c:pt>
                <c:pt idx="3">
                  <c:v>2022/23</c:v>
                </c:pt>
                <c:pt idx="4">
                  <c:v>2023/24</c:v>
                </c:pt>
              </c:strCache>
            </c:strRef>
          </c:cat>
          <c:val>
            <c:numRef>
              <c:f>'Looked After Children'!$AR$59:$AV$59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6813-47FE-A770-4162B1DAEEAD}"/>
            </c:ext>
          </c:extLst>
        </c:ser>
        <c:dLbls>
          <c:showLegendKey val="0"/>
          <c:showVal val="0"/>
          <c:showCatName val="0"/>
          <c:showSerName val="0"/>
          <c:showPercent val="0"/>
          <c:showBubbleSize val="0"/>
        </c:dLbls>
        <c:marker val="1"/>
        <c:smooth val="0"/>
        <c:axId val="601114496"/>
        <c:axId val="601128960"/>
      </c:lineChart>
      <c:catAx>
        <c:axId val="601114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01128960"/>
        <c:crosses val="autoZero"/>
        <c:auto val="1"/>
        <c:lblAlgn val="ctr"/>
        <c:lblOffset val="100"/>
        <c:tickLblSkip val="1"/>
        <c:tickMarkSkip val="1"/>
        <c:noMultiLvlLbl val="0"/>
      </c:catAx>
      <c:valAx>
        <c:axId val="60112896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01114496"/>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7109092691214423"/>
          <c:y val="7.5190870500600387E-2"/>
          <c:w val="0.31566325129860862"/>
          <c:h val="0.87051397465917679"/>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CLA</a:t>
            </a:r>
            <a:r>
              <a:rPr lang="en-GB" sz="1100" baseline="0"/>
              <a:t> </a:t>
            </a:r>
            <a:r>
              <a:rPr lang="en-GB" sz="1100"/>
              <a:t>at 31st March with 3+ placements in year (Selected LA</a:t>
            </a:r>
            <a:r>
              <a:rPr lang="en-GB" sz="1100" baseline="0"/>
              <a:t> vs. SE &amp; National)</a:t>
            </a:r>
            <a:r>
              <a:rPr lang="en-GB" sz="1100"/>
              <a:t> </a:t>
            </a:r>
          </a:p>
        </c:rich>
      </c:tx>
      <c:layout>
        <c:manualLayout>
          <c:xMode val="edge"/>
          <c:yMode val="edge"/>
          <c:x val="0.1230084977001637"/>
          <c:y val="3.8612538702123308E-3"/>
        </c:manualLayout>
      </c:layout>
      <c:overlay val="0"/>
      <c:spPr>
        <a:noFill/>
        <a:ln w="25400">
          <a:noFill/>
        </a:ln>
      </c:spPr>
    </c:title>
    <c:autoTitleDeleted val="0"/>
    <c:plotArea>
      <c:layout>
        <c:manualLayout>
          <c:layoutTarget val="inner"/>
          <c:xMode val="edge"/>
          <c:yMode val="edge"/>
          <c:x val="9.8666564984461691E-2"/>
          <c:y val="0.23443129489053388"/>
          <c:w val="0.61576466308048128"/>
          <c:h val="0.54722554890219566"/>
        </c:manualLayout>
      </c:layout>
      <c:barChart>
        <c:barDir val="col"/>
        <c:grouping val="clustered"/>
        <c:varyColors val="0"/>
        <c:ser>
          <c:idx val="6"/>
          <c:order val="0"/>
          <c:tx>
            <c:strRef>
              <c:f>'Looked After Children'!$Z$4</c:f>
              <c:strCache>
                <c:ptCount val="1"/>
                <c:pt idx="0">
                  <c:v>Selected LA- (none)</c:v>
                </c:pt>
              </c:strCache>
            </c:strRef>
          </c:tx>
          <c:spPr>
            <a:solidFill>
              <a:srgbClr val="66FF99"/>
            </a:solidFill>
            <a:ln>
              <a:solidFill>
                <a:schemeClr val="tx1">
                  <a:lumMod val="75000"/>
                  <a:lumOff val="25000"/>
                </a:schemeClr>
              </a:solidFill>
            </a:ln>
          </c:spPr>
          <c:invertIfNegative val="0"/>
          <c:cat>
            <c:strRef>
              <c:f>'Looked After Children'!$Y$2:$AC$3</c:f>
              <c:strCache>
                <c:ptCount val="5"/>
                <c:pt idx="0">
                  <c:v>2019/20</c:v>
                </c:pt>
                <c:pt idx="1">
                  <c:v>2020/21</c:v>
                </c:pt>
                <c:pt idx="2">
                  <c:v>2021/22</c:v>
                </c:pt>
                <c:pt idx="3">
                  <c:v>2022/23</c:v>
                </c:pt>
                <c:pt idx="4">
                  <c:v>2023/24</c:v>
                </c:pt>
              </c:strCache>
            </c:strRef>
          </c:cat>
          <c:val>
            <c:numRef>
              <c:f>'Looked After Children'!$BB$59:$BF$59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13D4-4273-9602-DB63146E628F}"/>
            </c:ext>
          </c:extLst>
        </c:ser>
        <c:ser>
          <c:idx val="4"/>
          <c:order val="1"/>
          <c:tx>
            <c:strRef>
              <c:f>'Looked After Children'!$B$161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'Looked After Children'!$Y$2:$AC$3</c:f>
              <c:strCache>
                <c:ptCount val="5"/>
                <c:pt idx="0">
                  <c:v>2019/20</c:v>
                </c:pt>
                <c:pt idx="1">
                  <c:v>2020/21</c:v>
                </c:pt>
                <c:pt idx="2">
                  <c:v>2021/22</c:v>
                </c:pt>
                <c:pt idx="3">
                  <c:v>2022/23</c:v>
                </c:pt>
                <c:pt idx="4">
                  <c:v>2023/24</c:v>
                </c:pt>
              </c:strCache>
            </c:strRef>
          </c:cat>
          <c:val>
            <c:numRef>
              <c:f>'Looked After Children'!$D$194:$H$194</c:f>
              <c:numCache>
                <c:formatCode>0%</c:formatCode>
                <c:ptCount val="5"/>
                <c:pt idx="0">
                  <c:v>0.13222744270783393</c:v>
                </c:pt>
                <c:pt idx="1">
                  <c:v>0.11379244563143838</c:v>
                </c:pt>
                <c:pt idx="2">
                  <c:v>0.11980079313843033</c:v>
                </c:pt>
                <c:pt idx="3">
                  <c:v>0.12434496846966871</c:v>
                </c:pt>
                <c:pt idx="4">
                  <c:v>0.12258410880458125</c:v>
                </c:pt>
              </c:numCache>
            </c:numRef>
          </c:val>
          <c:extLst>
            <c:ext xmlns:c16="http://schemas.microsoft.com/office/drawing/2014/chart" uri="{C3380CC4-5D6E-409C-BE32-E72D297353CC}">
              <c16:uniqueId val="{00000001-13D4-4273-9602-DB63146E628F}"/>
            </c:ext>
          </c:extLst>
        </c:ser>
        <c:ser>
          <c:idx val="0"/>
          <c:order val="2"/>
          <c:tx>
            <c:strRef>
              <c:f>'Looked After Children'!$B$162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'Looked After Children'!$Y$2:$AC$3</c:f>
              <c:strCache>
                <c:ptCount val="5"/>
                <c:pt idx="0">
                  <c:v>2019/20</c:v>
                </c:pt>
                <c:pt idx="1">
                  <c:v>2020/21</c:v>
                </c:pt>
                <c:pt idx="2">
                  <c:v>2021/22</c:v>
                </c:pt>
                <c:pt idx="3">
                  <c:v>2022/23</c:v>
                </c:pt>
                <c:pt idx="4">
                  <c:v>2023/24</c:v>
                </c:pt>
              </c:strCache>
            </c:strRef>
          </c:cat>
          <c:val>
            <c:numRef>
              <c:f>'Looked After Children'!$D$195:$H$195</c:f>
              <c:numCache>
                <c:formatCode>0%</c:formatCode>
                <c:ptCount val="5"/>
                <c:pt idx="0">
                  <c:v>0.108625</c:v>
                </c:pt>
                <c:pt idx="1">
                  <c:v>8.9422648790382434E-2</c:v>
                </c:pt>
                <c:pt idx="2">
                  <c:v>9.772423025435073E-2</c:v>
                </c:pt>
                <c:pt idx="3">
                  <c:v>0.10293416030534351</c:v>
                </c:pt>
                <c:pt idx="4">
                  <c:v>0.10391008011479134</c:v>
                </c:pt>
              </c:numCache>
            </c:numRef>
          </c:val>
          <c:extLst>
            <c:ext xmlns:c16="http://schemas.microsoft.com/office/drawing/2014/chart" uri="{C3380CC4-5D6E-409C-BE32-E72D297353CC}">
              <c16:uniqueId val="{00000002-13D4-4273-9602-DB63146E628F}"/>
            </c:ext>
          </c:extLst>
        </c:ser>
        <c:dLbls>
          <c:showLegendKey val="0"/>
          <c:showVal val="0"/>
          <c:showCatName val="0"/>
          <c:showSerName val="0"/>
          <c:showPercent val="0"/>
          <c:showBubbleSize val="0"/>
        </c:dLbls>
        <c:gapWidth val="100"/>
        <c:axId val="601400832"/>
        <c:axId val="601402368"/>
      </c:barChart>
      <c:catAx>
        <c:axId val="601400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1402368"/>
        <c:crosses val="autoZero"/>
        <c:auto val="1"/>
        <c:lblAlgn val="ctr"/>
        <c:lblOffset val="100"/>
        <c:noMultiLvlLbl val="0"/>
      </c:catAx>
      <c:valAx>
        <c:axId val="601402368"/>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1400832"/>
        <c:crosses val="autoZero"/>
        <c:crossBetween val="between"/>
      </c:valAx>
      <c:spPr>
        <a:noFill/>
        <a:ln w="3175">
          <a:solidFill>
            <a:srgbClr val="000000"/>
          </a:solidFill>
          <a:prstDash val="solid"/>
        </a:ln>
      </c:spPr>
    </c:plotArea>
    <c:legend>
      <c:legendPos val="r"/>
      <c:layout>
        <c:manualLayout>
          <c:xMode val="edge"/>
          <c:yMode val="edge"/>
          <c:x val="0.72143499389309007"/>
          <c:y val="0.21791880805318498"/>
          <c:w val="0.27856500610690993"/>
          <c:h val="0.65732472063746528"/>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Children Looked After with 3 or more placements in the year</a:t>
            </a:r>
          </a:p>
        </c:rich>
      </c:tx>
      <c:layout>
        <c:manualLayout>
          <c:xMode val="edge"/>
          <c:yMode val="edge"/>
          <c:x val="9.6729449699290718E-2"/>
          <c:y val="6.1214918668081849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'Looked After Children'!$AK$38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378B-4271-A050-984CFEDFB675}"/>
              </c:ext>
            </c:extLst>
          </c:dPt>
          <c:cat>
            <c:strRef>
              <c:f>'Looked After Children'!$Y$2:$AC$3</c:f>
              <c:strCache>
                <c:ptCount val="5"/>
                <c:pt idx="0">
                  <c:v>2019/20</c:v>
                </c:pt>
                <c:pt idx="1">
                  <c:v>2020/21</c:v>
                </c:pt>
                <c:pt idx="2">
                  <c:v>2021/22</c:v>
                </c:pt>
                <c:pt idx="3">
                  <c:v>2022/23</c:v>
                </c:pt>
                <c:pt idx="4">
                  <c:v>2023/24</c:v>
                </c:pt>
              </c:strCache>
            </c:strRef>
          </c:cat>
          <c:val>
            <c:numRef>
              <c:f>'Looked After Children'!$BB$38:$BF$38</c:f>
              <c:numCache>
                <c:formatCode>0.0%</c:formatCode>
                <c:ptCount val="5"/>
                <c:pt idx="0">
                  <c:v>0.15492957746478872</c:v>
                </c:pt>
                <c:pt idx="1">
                  <c:v>0.11643835616438356</c:v>
                </c:pt>
                <c:pt idx="2">
                  <c:v>0.15328467153284672</c:v>
                </c:pt>
                <c:pt idx="3">
                  <c:v>0.11464968152866242</c:v>
                </c:pt>
                <c:pt idx="4">
                  <c:v>0.10714285714285714</c:v>
                </c:pt>
              </c:numCache>
            </c:numRef>
          </c:val>
          <c:smooth val="0"/>
          <c:extLst>
            <c:ext xmlns:c16="http://schemas.microsoft.com/office/drawing/2014/chart" uri="{C3380CC4-5D6E-409C-BE32-E72D297353CC}">
              <c16:uniqueId val="{00000001-378B-4271-A050-984CFEDFB675}"/>
            </c:ext>
          </c:extLst>
        </c:ser>
        <c:ser>
          <c:idx val="1"/>
          <c:order val="1"/>
          <c:tx>
            <c:strRef>
              <c:f>'Looked After Children'!$AK$39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Children'!$BB$39:$BF$39</c:f>
              <c:numCache>
                <c:formatCode>0.0%</c:formatCode>
                <c:ptCount val="5"/>
                <c:pt idx="0">
                  <c:v>0.11051212938005391</c:v>
                </c:pt>
                <c:pt idx="1">
                  <c:v>0.10187667560321716</c:v>
                </c:pt>
                <c:pt idx="2">
                  <c:v>0.11311053984575835</c:v>
                </c:pt>
                <c:pt idx="3">
                  <c:v>0.10144927536231885</c:v>
                </c:pt>
                <c:pt idx="4">
                  <c:v>0.12429378531073447</c:v>
                </c:pt>
              </c:numCache>
            </c:numRef>
          </c:val>
          <c:smooth val="0"/>
          <c:extLst>
            <c:ext xmlns:c16="http://schemas.microsoft.com/office/drawing/2014/chart" uri="{C3380CC4-5D6E-409C-BE32-E72D297353CC}">
              <c16:uniqueId val="{00000002-378B-4271-A050-984CFEDFB675}"/>
            </c:ext>
          </c:extLst>
        </c:ser>
        <c:ser>
          <c:idx val="2"/>
          <c:order val="2"/>
          <c:tx>
            <c:strRef>
              <c:f>'Looked After Children'!$AK$40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Children'!$BB$40:$BF$40</c:f>
              <c:numCache>
                <c:formatCode>0.0%</c:formatCode>
                <c:ptCount val="5"/>
                <c:pt idx="0">
                  <c:v>0.10950413223140495</c:v>
                </c:pt>
                <c:pt idx="1">
                  <c:v>9.0196078431372548E-2</c:v>
                </c:pt>
                <c:pt idx="2">
                  <c:v>0.10557768924302789</c:v>
                </c:pt>
                <c:pt idx="3">
                  <c:v>0.12072434607645875</c:v>
                </c:pt>
                <c:pt idx="4">
                  <c:v>8.7954110898661564E-2</c:v>
                </c:pt>
              </c:numCache>
            </c:numRef>
          </c:val>
          <c:smooth val="0"/>
          <c:extLst>
            <c:ext xmlns:c16="http://schemas.microsoft.com/office/drawing/2014/chart" uri="{C3380CC4-5D6E-409C-BE32-E72D297353CC}">
              <c16:uniqueId val="{00000003-378B-4271-A050-984CFEDFB675}"/>
            </c:ext>
          </c:extLst>
        </c:ser>
        <c:ser>
          <c:idx val="5"/>
          <c:order val="3"/>
          <c:tx>
            <c:strRef>
              <c:f>'Looked After Children'!$AK$41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Children'!$BB$41:$BF$41</c:f>
              <c:numCache>
                <c:formatCode>0.0%</c:formatCode>
                <c:ptCount val="5"/>
                <c:pt idx="0">
                  <c:v>0.14482758620689656</c:v>
                </c:pt>
                <c:pt idx="1">
                  <c:v>0.132569558101473</c:v>
                </c:pt>
                <c:pt idx="2">
                  <c:v>0.1035031847133758</c:v>
                </c:pt>
                <c:pt idx="3">
                  <c:v>0.14977307110438728</c:v>
                </c:pt>
                <c:pt idx="4">
                  <c:v>0.14307458143074581</c:v>
                </c:pt>
              </c:numCache>
            </c:numRef>
          </c:val>
          <c:smooth val="0"/>
          <c:extLst>
            <c:ext xmlns:c16="http://schemas.microsoft.com/office/drawing/2014/chart" uri="{C3380CC4-5D6E-409C-BE32-E72D297353CC}">
              <c16:uniqueId val="{00000004-378B-4271-A050-984CFEDFB675}"/>
            </c:ext>
          </c:extLst>
        </c:ser>
        <c:ser>
          <c:idx val="9"/>
          <c:order val="4"/>
          <c:tx>
            <c:strRef>
              <c:f>'Looked After Children'!$AK$42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Children'!$BB$42:$BF$42</c:f>
              <c:numCache>
                <c:formatCode>0.0%</c:formatCode>
                <c:ptCount val="5"/>
                <c:pt idx="0">
                  <c:v>0.17613991255465333</c:v>
                </c:pt>
                <c:pt idx="1">
                  <c:v>0.13365442504515351</c:v>
                </c:pt>
                <c:pt idx="2">
                  <c:v>0.15139211136890951</c:v>
                </c:pt>
                <c:pt idx="3">
                  <c:v>0.16189962223421478</c:v>
                </c:pt>
                <c:pt idx="4">
                  <c:v>0.1210224308815858</c:v>
                </c:pt>
              </c:numCache>
            </c:numRef>
          </c:val>
          <c:smooth val="0"/>
          <c:extLst>
            <c:ext xmlns:c16="http://schemas.microsoft.com/office/drawing/2014/chart" uri="{C3380CC4-5D6E-409C-BE32-E72D297353CC}">
              <c16:uniqueId val="{00000005-378B-4271-A050-984CFEDFB675}"/>
            </c:ext>
          </c:extLst>
        </c:ser>
        <c:ser>
          <c:idx val="10"/>
          <c:order val="5"/>
          <c:tx>
            <c:strRef>
              <c:f>'Looked After Children'!$AK$43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Children'!$BB$43:$BF$43</c:f>
              <c:numCache>
                <c:formatCode>0.0%</c:formatCode>
                <c:ptCount val="5"/>
                <c:pt idx="0">
                  <c:v>0.13688212927756654</c:v>
                </c:pt>
                <c:pt idx="1">
                  <c:v>0.12592592592592591</c:v>
                </c:pt>
                <c:pt idx="2">
                  <c:v>0.13818181818181818</c:v>
                </c:pt>
                <c:pt idx="3">
                  <c:v>0.1076388888888889</c:v>
                </c:pt>
                <c:pt idx="4">
                  <c:v>0.11827956989247312</c:v>
                </c:pt>
              </c:numCache>
            </c:numRef>
          </c:val>
          <c:smooth val="0"/>
          <c:extLst>
            <c:ext xmlns:c16="http://schemas.microsoft.com/office/drawing/2014/chart" uri="{C3380CC4-5D6E-409C-BE32-E72D297353CC}">
              <c16:uniqueId val="{00000006-378B-4271-A050-984CFEDFB675}"/>
            </c:ext>
          </c:extLst>
        </c:ser>
        <c:ser>
          <c:idx val="11"/>
          <c:order val="6"/>
          <c:tx>
            <c:strRef>
              <c:f>'Looked After Children'!$AK$44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Children'!$BB$44:$BF$44</c:f>
              <c:numCache>
                <c:formatCode>0.0%</c:formatCode>
                <c:ptCount val="5"/>
                <c:pt idx="0">
                  <c:v>0.1124031007751938</c:v>
                </c:pt>
                <c:pt idx="1">
                  <c:v>0.1233453670276775</c:v>
                </c:pt>
                <c:pt idx="2">
                  <c:v>0.1305571187394485</c:v>
                </c:pt>
                <c:pt idx="3">
                  <c:v>0.12409886714727085</c:v>
                </c:pt>
                <c:pt idx="4">
                  <c:v>0.11275510204081633</c:v>
                </c:pt>
              </c:numCache>
            </c:numRef>
          </c:val>
          <c:smooth val="0"/>
          <c:extLst>
            <c:ext xmlns:c16="http://schemas.microsoft.com/office/drawing/2014/chart" uri="{C3380CC4-5D6E-409C-BE32-E72D297353CC}">
              <c16:uniqueId val="{00000007-378B-4271-A050-984CFEDFB675}"/>
            </c:ext>
          </c:extLst>
        </c:ser>
        <c:ser>
          <c:idx val="12"/>
          <c:order val="7"/>
          <c:tx>
            <c:strRef>
              <c:f>'Looked After Children'!$AK$45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Children'!$BB$45:$BF$45</c:f>
              <c:numCache>
                <c:formatCode>0.0%</c:formatCode>
                <c:ptCount val="5"/>
                <c:pt idx="0">
                  <c:v>0.10093896713615023</c:v>
                </c:pt>
                <c:pt idx="1">
                  <c:v>0.11363636363636363</c:v>
                </c:pt>
                <c:pt idx="2">
                  <c:v>0.11286681715575621</c:v>
                </c:pt>
                <c:pt idx="3">
                  <c:v>0.11827956989247312</c:v>
                </c:pt>
                <c:pt idx="4">
                  <c:v>0.13655462184873948</c:v>
                </c:pt>
              </c:numCache>
            </c:numRef>
          </c:val>
          <c:smooth val="0"/>
          <c:extLst>
            <c:ext xmlns:c16="http://schemas.microsoft.com/office/drawing/2014/chart" uri="{C3380CC4-5D6E-409C-BE32-E72D297353CC}">
              <c16:uniqueId val="{00000008-378B-4271-A050-984CFEDFB675}"/>
            </c:ext>
          </c:extLst>
        </c:ser>
        <c:ser>
          <c:idx val="13"/>
          <c:order val="8"/>
          <c:tx>
            <c:strRef>
              <c:f>'Looked After Children'!$AK$46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Children'!$BB$46:$BF$46</c:f>
              <c:numCache>
                <c:formatCode>0.0%</c:formatCode>
                <c:ptCount val="5"/>
                <c:pt idx="0">
                  <c:v>0.14888337468982629</c:v>
                </c:pt>
                <c:pt idx="1">
                  <c:v>0.12151898734177215</c:v>
                </c:pt>
                <c:pt idx="2">
                  <c:v>0.15512465373961218</c:v>
                </c:pt>
                <c:pt idx="3">
                  <c:v>0.15254237288135594</c:v>
                </c:pt>
                <c:pt idx="4">
                  <c:v>0.16341463414634147</c:v>
                </c:pt>
              </c:numCache>
            </c:numRef>
          </c:val>
          <c:smooth val="0"/>
          <c:extLst>
            <c:ext xmlns:c16="http://schemas.microsoft.com/office/drawing/2014/chart" uri="{C3380CC4-5D6E-409C-BE32-E72D297353CC}">
              <c16:uniqueId val="{00000009-378B-4271-A050-984CFEDFB675}"/>
            </c:ext>
          </c:extLst>
        </c:ser>
        <c:ser>
          <c:idx val="15"/>
          <c:order val="9"/>
          <c:tx>
            <c:strRef>
              <c:f>'Looked After Children'!$AK$47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Children'!$BB$47:$BF$47</c:f>
              <c:numCache>
                <c:formatCode>0.0%</c:formatCode>
                <c:ptCount val="5"/>
                <c:pt idx="0">
                  <c:v>0.11734028683181226</c:v>
                </c:pt>
                <c:pt idx="1">
                  <c:v>9.0561224489795922E-2</c:v>
                </c:pt>
                <c:pt idx="2">
                  <c:v>0.11007025761124122</c:v>
                </c:pt>
                <c:pt idx="3">
                  <c:v>0.12939841089670828</c:v>
                </c:pt>
                <c:pt idx="4">
                  <c:v>0.13116883116883116</c:v>
                </c:pt>
              </c:numCache>
            </c:numRef>
          </c:val>
          <c:smooth val="0"/>
          <c:extLst>
            <c:ext xmlns:c16="http://schemas.microsoft.com/office/drawing/2014/chart" uri="{C3380CC4-5D6E-409C-BE32-E72D297353CC}">
              <c16:uniqueId val="{0000000A-378B-4271-A050-984CFEDFB675}"/>
            </c:ext>
          </c:extLst>
        </c:ser>
        <c:ser>
          <c:idx val="16"/>
          <c:order val="10"/>
          <c:tx>
            <c:strRef>
              <c:f>'Looked After Children'!$AK$48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Children'!$BB$48:$BF$48</c:f>
              <c:numCache>
                <c:formatCode>0.0%</c:formatCode>
                <c:ptCount val="5"/>
                <c:pt idx="0">
                  <c:v>0.14957264957264957</c:v>
                </c:pt>
                <c:pt idx="1">
                  <c:v>6.3492063492063489E-2</c:v>
                </c:pt>
                <c:pt idx="2">
                  <c:v>8.549222797927461E-2</c:v>
                </c:pt>
                <c:pt idx="3">
                  <c:v>7.7319587628865982E-2</c:v>
                </c:pt>
                <c:pt idx="4">
                  <c:v>9.2039800995024873E-2</c:v>
                </c:pt>
              </c:numCache>
            </c:numRef>
          </c:val>
          <c:smooth val="0"/>
          <c:extLst>
            <c:ext xmlns:c16="http://schemas.microsoft.com/office/drawing/2014/chart" uri="{C3380CC4-5D6E-409C-BE32-E72D297353CC}">
              <c16:uniqueId val="{0000000B-378B-4271-A050-984CFEDFB675}"/>
            </c:ext>
          </c:extLst>
        </c:ser>
        <c:ser>
          <c:idx val="17"/>
          <c:order val="11"/>
          <c:tx>
            <c:strRef>
              <c:f>'Looked After Children'!$AK$49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Children'!$BB$49:$BF$49</c:f>
              <c:numCache>
                <c:formatCode>0.0%</c:formatCode>
                <c:ptCount val="5"/>
                <c:pt idx="0">
                  <c:v>0.14801444043321299</c:v>
                </c:pt>
                <c:pt idx="1">
                  <c:v>7.7777777777777779E-2</c:v>
                </c:pt>
                <c:pt idx="2">
                  <c:v>5.5555555555555552E-2</c:v>
                </c:pt>
                <c:pt idx="3">
                  <c:v>7.9365079365079361E-2</c:v>
                </c:pt>
                <c:pt idx="4">
                  <c:v>0.12030075187969924</c:v>
                </c:pt>
              </c:numCache>
            </c:numRef>
          </c:val>
          <c:smooth val="0"/>
          <c:extLst>
            <c:ext xmlns:c16="http://schemas.microsoft.com/office/drawing/2014/chart" uri="{C3380CC4-5D6E-409C-BE32-E72D297353CC}">
              <c16:uniqueId val="{0000000C-378B-4271-A050-984CFEDFB675}"/>
            </c:ext>
          </c:extLst>
        </c:ser>
        <c:ser>
          <c:idx val="19"/>
          <c:order val="12"/>
          <c:tx>
            <c:strRef>
              <c:f>'Looked After Children'!$AK$50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Children'!$BB$50:$BF$50</c:f>
              <c:numCache>
                <c:formatCode>0.0%</c:formatCode>
                <c:ptCount val="5"/>
                <c:pt idx="0">
                  <c:v>0.1683673469387755</c:v>
                </c:pt>
                <c:pt idx="1">
                  <c:v>0.1031390134529148</c:v>
                </c:pt>
                <c:pt idx="2">
                  <c:v>6.4102564102564097E-2</c:v>
                </c:pt>
                <c:pt idx="3">
                  <c:v>0.11067193675889328</c:v>
                </c:pt>
                <c:pt idx="4">
                  <c:v>0.13930348258706468</c:v>
                </c:pt>
              </c:numCache>
            </c:numRef>
          </c:val>
          <c:smooth val="0"/>
          <c:extLst>
            <c:ext xmlns:c16="http://schemas.microsoft.com/office/drawing/2014/chart" uri="{C3380CC4-5D6E-409C-BE32-E72D297353CC}">
              <c16:uniqueId val="{0000000D-378B-4271-A050-984CFEDFB675}"/>
            </c:ext>
          </c:extLst>
        </c:ser>
        <c:ser>
          <c:idx val="20"/>
          <c:order val="13"/>
          <c:tx>
            <c:strRef>
              <c:f>'Looked After Children'!$AK$51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Children'!$BB$51:$BF$51</c:f>
              <c:numCache>
                <c:formatCode>0.0%</c:formatCode>
                <c:ptCount val="5"/>
                <c:pt idx="0">
                  <c:v>0.16049382716049382</c:v>
                </c:pt>
                <c:pt idx="1">
                  <c:v>0.13883299798792756</c:v>
                </c:pt>
                <c:pt idx="2">
                  <c:v>0.15151515151515152</c:v>
                </c:pt>
                <c:pt idx="3">
                  <c:v>0.13382899628252787</c:v>
                </c:pt>
                <c:pt idx="4">
                  <c:v>0.18442622950819673</c:v>
                </c:pt>
              </c:numCache>
            </c:numRef>
          </c:val>
          <c:smooth val="0"/>
          <c:extLst>
            <c:ext xmlns:c16="http://schemas.microsoft.com/office/drawing/2014/chart" uri="{C3380CC4-5D6E-409C-BE32-E72D297353CC}">
              <c16:uniqueId val="{0000000F-378B-4271-A050-984CFEDFB675}"/>
            </c:ext>
          </c:extLst>
        </c:ser>
        <c:ser>
          <c:idx val="22"/>
          <c:order val="14"/>
          <c:tx>
            <c:strRef>
              <c:f>'Looked After Children'!$AK$52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Children'!$BB$52:$BF$52</c:f>
              <c:numCache>
                <c:formatCode>0.0%</c:formatCode>
                <c:ptCount val="5"/>
                <c:pt idx="0">
                  <c:v>9.1556459816887079E-2</c:v>
                </c:pt>
                <c:pt idx="1">
                  <c:v>8.5341365461847396E-2</c:v>
                </c:pt>
                <c:pt idx="2">
                  <c:v>9.0648854961832059E-2</c:v>
                </c:pt>
                <c:pt idx="3">
                  <c:v>8.6870681145113524E-2</c:v>
                </c:pt>
                <c:pt idx="4">
                  <c:v>0.11734164070612668</c:v>
                </c:pt>
              </c:numCache>
            </c:numRef>
          </c:val>
          <c:smooth val="0"/>
          <c:extLst>
            <c:ext xmlns:c16="http://schemas.microsoft.com/office/drawing/2014/chart" uri="{C3380CC4-5D6E-409C-BE32-E72D297353CC}">
              <c16:uniqueId val="{00000010-378B-4271-A050-984CFEDFB675}"/>
            </c:ext>
          </c:extLst>
        </c:ser>
        <c:ser>
          <c:idx val="23"/>
          <c:order val="15"/>
          <c:tx>
            <c:strRef>
              <c:f>'Looked After Children'!$AK$53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Children'!$BB$53:$BF$53</c:f>
              <c:numCache>
                <c:formatCode>0.0%</c:formatCode>
                <c:ptCount val="5"/>
                <c:pt idx="0">
                  <c:v>0.14102564102564102</c:v>
                </c:pt>
                <c:pt idx="1">
                  <c:v>0.11643835616438356</c:v>
                </c:pt>
                <c:pt idx="2">
                  <c:v>0.10240963855421686</c:v>
                </c:pt>
                <c:pt idx="3">
                  <c:v>0.1116751269035533</c:v>
                </c:pt>
                <c:pt idx="4">
                  <c:v>0.15508021390374332</c:v>
                </c:pt>
              </c:numCache>
            </c:numRef>
          </c:val>
          <c:smooth val="0"/>
          <c:extLst>
            <c:ext xmlns:c16="http://schemas.microsoft.com/office/drawing/2014/chart" uri="{C3380CC4-5D6E-409C-BE32-E72D297353CC}">
              <c16:uniqueId val="{00000013-378B-4271-A050-984CFEDFB675}"/>
            </c:ext>
          </c:extLst>
        </c:ser>
        <c:ser>
          <c:idx val="24"/>
          <c:order val="16"/>
          <c:tx>
            <c:strRef>
              <c:f>'Looked After Children'!$AK$54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Children'!$BB$54:$BF$54</c:f>
              <c:numCache>
                <c:formatCode>0.0%</c:formatCode>
                <c:ptCount val="5"/>
                <c:pt idx="0">
                  <c:v>0.11662531017369727</c:v>
                </c:pt>
                <c:pt idx="1">
                  <c:v>0.14141414141414141</c:v>
                </c:pt>
                <c:pt idx="2">
                  <c:v>0.11046511627906977</c:v>
                </c:pt>
                <c:pt idx="3">
                  <c:v>0.12401352874859076</c:v>
                </c:pt>
                <c:pt idx="4">
                  <c:v>0.10927152317880795</c:v>
                </c:pt>
              </c:numCache>
            </c:numRef>
          </c:val>
          <c:smooth val="0"/>
          <c:extLst>
            <c:ext xmlns:c16="http://schemas.microsoft.com/office/drawing/2014/chart" uri="{C3380CC4-5D6E-409C-BE32-E72D297353CC}">
              <c16:uniqueId val="{00000014-378B-4271-A050-984CFEDFB675}"/>
            </c:ext>
          </c:extLst>
        </c:ser>
        <c:ser>
          <c:idx val="25"/>
          <c:order val="17"/>
          <c:tx>
            <c:strRef>
              <c:f>'Looked After Children'!$AK$55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Children'!$BB$55:$BF$55</c:f>
              <c:numCache>
                <c:formatCode>0.0%</c:formatCode>
                <c:ptCount val="5"/>
                <c:pt idx="0">
                  <c:v>0.15517241379310345</c:v>
                </c:pt>
                <c:pt idx="1">
                  <c:v>5.3846153846153849E-2</c:v>
                </c:pt>
                <c:pt idx="2">
                  <c:v>0.1328125</c:v>
                </c:pt>
                <c:pt idx="3">
                  <c:v>0.10596026490066225</c:v>
                </c:pt>
                <c:pt idx="4">
                  <c:v>0.15714285714285714</c:v>
                </c:pt>
              </c:numCache>
            </c:numRef>
          </c:val>
          <c:smooth val="0"/>
          <c:extLst>
            <c:ext xmlns:c16="http://schemas.microsoft.com/office/drawing/2014/chart" uri="{C3380CC4-5D6E-409C-BE32-E72D297353CC}">
              <c16:uniqueId val="{00000015-378B-4271-A050-984CFEDFB675}"/>
            </c:ext>
          </c:extLst>
        </c:ser>
        <c:ser>
          <c:idx val="26"/>
          <c:order val="18"/>
          <c:tx>
            <c:strRef>
              <c:f>'Looked After Children'!$AK$56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Children'!$BB$56:$BF$56</c:f>
              <c:numCache>
                <c:formatCode>0.0%</c:formatCode>
                <c:ptCount val="5"/>
                <c:pt idx="0">
                  <c:v>0.19387755102040816</c:v>
                </c:pt>
                <c:pt idx="1">
                  <c:v>8.9108910891089105E-2</c:v>
                </c:pt>
                <c:pt idx="2">
                  <c:v>0.11029411764705882</c:v>
                </c:pt>
                <c:pt idx="3">
                  <c:v>8.0291970802919707E-2</c:v>
                </c:pt>
                <c:pt idx="4">
                  <c:v>0</c:v>
                </c:pt>
              </c:numCache>
            </c:numRef>
          </c:val>
          <c:smooth val="0"/>
          <c:extLst>
            <c:ext xmlns:c16="http://schemas.microsoft.com/office/drawing/2014/chart" uri="{C3380CC4-5D6E-409C-BE32-E72D297353CC}">
              <c16:uniqueId val="{00000016-378B-4271-A050-984CFEDFB675}"/>
            </c:ext>
          </c:extLst>
        </c:ser>
        <c:ser>
          <c:idx val="4"/>
          <c:order val="19"/>
          <c:tx>
            <c:strRef>
              <c:f>'Looked After Children'!$AK$57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'Looked After Children'!$Y$2:$AC$3</c:f>
              <c:strCache>
                <c:ptCount val="5"/>
                <c:pt idx="0">
                  <c:v>2019/20</c:v>
                </c:pt>
                <c:pt idx="1">
                  <c:v>2020/21</c:v>
                </c:pt>
                <c:pt idx="2">
                  <c:v>2021/22</c:v>
                </c:pt>
                <c:pt idx="3">
                  <c:v>2022/23</c:v>
                </c:pt>
                <c:pt idx="4">
                  <c:v>2023/24</c:v>
                </c:pt>
              </c:strCache>
            </c:strRef>
          </c:cat>
          <c:val>
            <c:numRef>
              <c:f>'Looked After Children'!$BB$57:$BF$57</c:f>
              <c:numCache>
                <c:formatCode>0.0%</c:formatCode>
                <c:ptCount val="5"/>
                <c:pt idx="0">
                  <c:v>0.13222744270783393</c:v>
                </c:pt>
                <c:pt idx="1">
                  <c:v>0.11379244563143838</c:v>
                </c:pt>
                <c:pt idx="2">
                  <c:v>0.11980079313843033</c:v>
                </c:pt>
                <c:pt idx="3">
                  <c:v>0.12434496846966871</c:v>
                </c:pt>
                <c:pt idx="4">
                  <c:v>0.12258410880458125</c:v>
                </c:pt>
              </c:numCache>
            </c:numRef>
          </c:val>
          <c:smooth val="0"/>
          <c:extLst>
            <c:ext xmlns:c16="http://schemas.microsoft.com/office/drawing/2014/chart" uri="{C3380CC4-5D6E-409C-BE32-E72D297353CC}">
              <c16:uniqueId val="{00000017-378B-4271-A050-984CFEDFB675}"/>
            </c:ext>
          </c:extLst>
        </c:ser>
        <c:ser>
          <c:idx val="14"/>
          <c:order val="20"/>
          <c:tx>
            <c:strRef>
              <c:f>'Looked After Children'!$AK$58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'Looked After Children'!$Y$2:$AC$3</c:f>
              <c:strCache>
                <c:ptCount val="5"/>
                <c:pt idx="0">
                  <c:v>2019/20</c:v>
                </c:pt>
                <c:pt idx="1">
                  <c:v>2020/21</c:v>
                </c:pt>
                <c:pt idx="2">
                  <c:v>2021/22</c:v>
                </c:pt>
                <c:pt idx="3">
                  <c:v>2022/23</c:v>
                </c:pt>
                <c:pt idx="4">
                  <c:v>2023/24</c:v>
                </c:pt>
              </c:strCache>
            </c:strRef>
          </c:cat>
          <c:val>
            <c:numRef>
              <c:f>'Looked After Children'!$BB$58:$BF$58</c:f>
              <c:numCache>
                <c:formatCode>0.0%</c:formatCode>
                <c:ptCount val="5"/>
                <c:pt idx="0">
                  <c:v>0.108625</c:v>
                </c:pt>
                <c:pt idx="1">
                  <c:v>8.9422648790382434E-2</c:v>
                </c:pt>
                <c:pt idx="2">
                  <c:v>9.772423025435073E-2</c:v>
                </c:pt>
                <c:pt idx="3">
                  <c:v>0.10293416030534351</c:v>
                </c:pt>
                <c:pt idx="4">
                  <c:v>0.10391008011479134</c:v>
                </c:pt>
              </c:numCache>
            </c:numRef>
          </c:val>
          <c:smooth val="0"/>
          <c:extLst>
            <c:ext xmlns:c16="http://schemas.microsoft.com/office/drawing/2014/chart" uri="{C3380CC4-5D6E-409C-BE32-E72D297353CC}">
              <c16:uniqueId val="{00000018-378B-4271-A050-984CFEDFB675}"/>
            </c:ext>
          </c:extLst>
        </c:ser>
        <c:ser>
          <c:idx val="6"/>
          <c:order val="21"/>
          <c:tx>
            <c:strRef>
              <c:f>'Looked After Children'!$AK$59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'Looked After Children'!$Y$2:$AC$3</c:f>
              <c:strCache>
                <c:ptCount val="5"/>
                <c:pt idx="0">
                  <c:v>2019/20</c:v>
                </c:pt>
                <c:pt idx="1">
                  <c:v>2020/21</c:v>
                </c:pt>
                <c:pt idx="2">
                  <c:v>2021/22</c:v>
                </c:pt>
                <c:pt idx="3">
                  <c:v>2022/23</c:v>
                </c:pt>
                <c:pt idx="4">
                  <c:v>2023/24</c:v>
                </c:pt>
              </c:strCache>
            </c:strRef>
          </c:cat>
          <c:val>
            <c:numRef>
              <c:f>'Looked After Children'!$BB$59:$BF$59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378B-4271-A050-984CFEDFB675}"/>
            </c:ext>
          </c:extLst>
        </c:ser>
        <c:dLbls>
          <c:showLegendKey val="0"/>
          <c:showVal val="0"/>
          <c:showCatName val="0"/>
          <c:showSerName val="0"/>
          <c:showPercent val="0"/>
          <c:showBubbleSize val="0"/>
        </c:dLbls>
        <c:marker val="1"/>
        <c:smooth val="0"/>
        <c:axId val="601511808"/>
        <c:axId val="601518080"/>
      </c:lineChart>
      <c:catAx>
        <c:axId val="601511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1518080"/>
        <c:crosses val="autoZero"/>
        <c:auto val="1"/>
        <c:lblAlgn val="ctr"/>
        <c:lblOffset val="100"/>
        <c:tickLblSkip val="1"/>
        <c:tickMarkSkip val="1"/>
        <c:noMultiLvlLbl val="0"/>
      </c:catAx>
      <c:valAx>
        <c:axId val="60151808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1511808"/>
        <c:crosses val="autoZero"/>
        <c:crossBetween val="between"/>
      </c:valAx>
      <c:spPr>
        <a:noFill/>
        <a:ln w="3175">
          <a:solidFill>
            <a:srgbClr val="000000"/>
          </a:solidFill>
          <a:prstDash val="solid"/>
        </a:ln>
      </c:spPr>
    </c:plotArea>
    <c:legend>
      <c:legendPos val="r"/>
      <c:layout>
        <c:manualLayout>
          <c:xMode val="edge"/>
          <c:yMode val="edge"/>
          <c:x val="0.66829561399164727"/>
          <c:y val="7.5190870500600387E-2"/>
          <c:w val="0.33170438600835273"/>
          <c:h val="0.8834904022577114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t>% LAC in each Age Group</a:t>
            </a:r>
          </a:p>
        </c:rich>
      </c:tx>
      <c:layout>
        <c:manualLayout>
          <c:xMode val="edge"/>
          <c:yMode val="edge"/>
          <c:x val="0.12064340823895754"/>
          <c:y val="1.9381271753309105E-2"/>
        </c:manualLayout>
      </c:layout>
      <c:overlay val="1"/>
    </c:title>
    <c:autoTitleDeleted val="0"/>
    <c:plotArea>
      <c:layout>
        <c:manualLayout>
          <c:layoutTarget val="inner"/>
          <c:xMode val="edge"/>
          <c:yMode val="edge"/>
          <c:x val="2.7777777777777776E-2"/>
          <c:y val="9.048510268503987E-2"/>
          <c:w val="0.94444444444444442"/>
          <c:h val="0.80560679839967786"/>
        </c:manualLayout>
      </c:layout>
      <c:barChart>
        <c:barDir val="bar"/>
        <c:grouping val="percentStacked"/>
        <c:varyColors val="0"/>
        <c:ser>
          <c:idx val="3"/>
          <c:order val="5"/>
          <c:tx>
            <c:strRef>
              <c:f>'Looked After Children'!$Z$4</c:f>
              <c:strCache>
                <c:ptCount val="1"/>
                <c:pt idx="0">
                  <c:v>Selected LA- (none)</c:v>
                </c:pt>
              </c:strCache>
            </c:strRef>
          </c:tx>
          <c:spPr>
            <a:solidFill>
              <a:srgbClr val="66FF99"/>
            </a:solidFill>
            <a:ln>
              <a:solidFill>
                <a:schemeClr val="tx1"/>
              </a:solidFill>
            </a:ln>
          </c:spPr>
          <c:invertIfNegative val="0"/>
          <c:cat>
            <c:strRef>
              <c:f>'Looked After Children'!$X$273:$X$293</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Children'!$AD$273:$AD$293</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0-6220-4A3B-8F19-BE63CFA696D6}"/>
            </c:ext>
          </c:extLst>
        </c:ser>
        <c:dLbls>
          <c:showLegendKey val="0"/>
          <c:showVal val="0"/>
          <c:showCatName val="0"/>
          <c:showSerName val="0"/>
          <c:showPercent val="0"/>
          <c:showBubbleSize val="0"/>
        </c:dLbls>
        <c:gapWidth val="0"/>
        <c:overlap val="100"/>
        <c:axId val="601903104"/>
        <c:axId val="601904640"/>
      </c:barChart>
      <c:barChart>
        <c:barDir val="bar"/>
        <c:grouping val="percentStacked"/>
        <c:varyColors val="0"/>
        <c:ser>
          <c:idx val="0"/>
          <c:order val="0"/>
          <c:tx>
            <c:strRef>
              <c:f>'Looked After Children'!$I$274</c:f>
              <c:strCache>
                <c:ptCount val="1"/>
                <c:pt idx="0">
                  <c:v> &lt;1</c:v>
                </c:pt>
              </c:strCache>
            </c:strRef>
          </c:tx>
          <c:spPr>
            <a:solidFill>
              <a:srgbClr val="BC3E7D"/>
            </a:solidFill>
            <a:ln w="12700">
              <a:solidFill>
                <a:srgbClr val="000000"/>
              </a:solidFill>
              <a:prstDash val="solid"/>
            </a:ln>
          </c:spPr>
          <c:invertIfNegative val="0"/>
          <c:cat>
            <c:strRef>
              <c:f>'Looked After Children'!$B$275:$B$295</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Children'!$I$275:$I$295</c:f>
              <c:numCache>
                <c:formatCode>0%</c:formatCode>
                <c:ptCount val="21"/>
                <c:pt idx="0">
                  <c:v>6.4285714285714279E-2</c:v>
                </c:pt>
                <c:pt idx="1">
                  <c:v>4.2372881355932202E-2</c:v>
                </c:pt>
                <c:pt idx="2">
                  <c:v>4.5889101338432124E-2</c:v>
                </c:pt>
                <c:pt idx="3">
                  <c:v>3.3485540334855401E-2</c:v>
                </c:pt>
                <c:pt idx="4">
                  <c:v>2.8690662493479395E-2</c:v>
                </c:pt>
                <c:pt idx="5">
                  <c:v>2.8673835125448029E-2</c:v>
                </c:pt>
                <c:pt idx="6">
                  <c:v>3.4183673469387756E-2</c:v>
                </c:pt>
                <c:pt idx="7">
                  <c:v>4.8319327731092439E-2</c:v>
                </c:pt>
                <c:pt idx="8">
                  <c:v>5.8536585365853662E-2</c:v>
                </c:pt>
                <c:pt idx="9">
                  <c:v>2.8571428571428571E-2</c:v>
                </c:pt>
                <c:pt idx="10">
                  <c:v>5.4726368159203981E-2</c:v>
                </c:pt>
                <c:pt idx="11">
                  <c:v>4.8872180451127817E-2</c:v>
                </c:pt>
                <c:pt idx="12">
                  <c:v>3.9800995024875621E-2</c:v>
                </c:pt>
                <c:pt idx="13">
                  <c:v>2.663934426229508E-2</c:v>
                </c:pt>
                <c:pt idx="14">
                  <c:v>2.8037383177570093E-2</c:v>
                </c:pt>
                <c:pt idx="15">
                  <c:v>4.2780748663101602E-2</c:v>
                </c:pt>
                <c:pt idx="16">
                  <c:v>3.6423841059602648E-2</c:v>
                </c:pt>
                <c:pt idx="17">
                  <c:v>5.7142857142857141E-2</c:v>
                </c:pt>
                <c:pt idx="18">
                  <c:v>5.8394160583941604E-2</c:v>
                </c:pt>
                <c:pt idx="19">
                  <c:v>3.6639857015192137E-2</c:v>
                </c:pt>
                <c:pt idx="20">
                  <c:v>4.4601219658017457E-2</c:v>
                </c:pt>
              </c:numCache>
            </c:numRef>
          </c:val>
          <c:extLst>
            <c:ext xmlns:c16="http://schemas.microsoft.com/office/drawing/2014/chart" uri="{C3380CC4-5D6E-409C-BE32-E72D297353CC}">
              <c16:uniqueId val="{00000001-6220-4A3B-8F19-BE63CFA696D6}"/>
            </c:ext>
          </c:extLst>
        </c:ser>
        <c:ser>
          <c:idx val="1"/>
          <c:order val="1"/>
          <c:tx>
            <c:strRef>
              <c:f>'Looked After Children'!$J$274</c:f>
              <c:strCache>
                <c:ptCount val="1"/>
                <c:pt idx="0">
                  <c:v> 1 - 4    </c:v>
                </c:pt>
              </c:strCache>
            </c:strRef>
          </c:tx>
          <c:spPr>
            <a:solidFill>
              <a:srgbClr val="FB994F"/>
            </a:solidFill>
            <a:ln w="12700">
              <a:solidFill>
                <a:srgbClr val="000000"/>
              </a:solidFill>
              <a:prstDash val="solid"/>
            </a:ln>
          </c:spPr>
          <c:invertIfNegative val="0"/>
          <c:cat>
            <c:strRef>
              <c:f>'Looked After Children'!$B$275:$B$295</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Children'!$J$275:$J$295</c:f>
              <c:numCache>
                <c:formatCode>0%</c:formatCode>
                <c:ptCount val="21"/>
                <c:pt idx="0">
                  <c:v>7.857142857142857E-2</c:v>
                </c:pt>
                <c:pt idx="1">
                  <c:v>9.03954802259887E-2</c:v>
                </c:pt>
                <c:pt idx="2">
                  <c:v>8.4130019120458893E-2</c:v>
                </c:pt>
                <c:pt idx="3">
                  <c:v>0.1050228310502283</c:v>
                </c:pt>
                <c:pt idx="4">
                  <c:v>9.1288471570161706E-2</c:v>
                </c:pt>
                <c:pt idx="5">
                  <c:v>0.11469534050179211</c:v>
                </c:pt>
                <c:pt idx="6">
                  <c:v>8.7755102040816324E-2</c:v>
                </c:pt>
                <c:pt idx="7">
                  <c:v>0.1134453781512605</c:v>
                </c:pt>
                <c:pt idx="8">
                  <c:v>0.14634146341463414</c:v>
                </c:pt>
                <c:pt idx="9">
                  <c:v>7.1428571428571425E-2</c:v>
                </c:pt>
                <c:pt idx="10">
                  <c:v>0.15422885572139303</c:v>
                </c:pt>
                <c:pt idx="11">
                  <c:v>0.10150375939849623</c:v>
                </c:pt>
                <c:pt idx="12">
                  <c:v>0.12437810945273632</c:v>
                </c:pt>
                <c:pt idx="13">
                  <c:v>7.9918032786885251E-2</c:v>
                </c:pt>
                <c:pt idx="14">
                  <c:v>0.10695742471443406</c:v>
                </c:pt>
                <c:pt idx="15">
                  <c:v>0.11764705882352941</c:v>
                </c:pt>
                <c:pt idx="16">
                  <c:v>0.11764705882352941</c:v>
                </c:pt>
                <c:pt idx="17">
                  <c:v>9.713024282560706E-2</c:v>
                </c:pt>
                <c:pt idx="18">
                  <c:v>0.11428571428571428</c:v>
                </c:pt>
                <c:pt idx="19">
                  <c:v>9.8302055406613048E-2</c:v>
                </c:pt>
                <c:pt idx="20">
                  <c:v>0.12937940930288175</c:v>
                </c:pt>
              </c:numCache>
            </c:numRef>
          </c:val>
          <c:extLst>
            <c:ext xmlns:c16="http://schemas.microsoft.com/office/drawing/2014/chart" uri="{C3380CC4-5D6E-409C-BE32-E72D297353CC}">
              <c16:uniqueId val="{00000002-6220-4A3B-8F19-BE63CFA696D6}"/>
            </c:ext>
          </c:extLst>
        </c:ser>
        <c:ser>
          <c:idx val="2"/>
          <c:order val="2"/>
          <c:tx>
            <c:strRef>
              <c:f>'Looked After Children'!$L$274</c:f>
              <c:strCache>
                <c:ptCount val="1"/>
                <c:pt idx="0">
                  <c:v> 5 - 9</c:v>
                </c:pt>
              </c:strCache>
            </c:strRef>
          </c:tx>
          <c:spPr>
            <a:solidFill>
              <a:srgbClr val="9999FF"/>
            </a:solidFill>
            <a:ln w="12700">
              <a:solidFill>
                <a:srgbClr val="000000"/>
              </a:solidFill>
              <a:prstDash val="solid"/>
            </a:ln>
          </c:spPr>
          <c:invertIfNegative val="0"/>
          <c:cat>
            <c:strRef>
              <c:f>'Looked After Children'!$B$275:$B$295</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Children'!$L$275:$L$295</c:f>
              <c:numCache>
                <c:formatCode>0%</c:formatCode>
                <c:ptCount val="21"/>
                <c:pt idx="0">
                  <c:v>0.1</c:v>
                </c:pt>
                <c:pt idx="1">
                  <c:v>0.1440677966101695</c:v>
                </c:pt>
                <c:pt idx="2">
                  <c:v>0.15678776290630975</c:v>
                </c:pt>
                <c:pt idx="3">
                  <c:v>0.15981735159817351</c:v>
                </c:pt>
                <c:pt idx="4">
                  <c:v>0.17944705268648931</c:v>
                </c:pt>
                <c:pt idx="5">
                  <c:v>0.2078853046594982</c:v>
                </c:pt>
                <c:pt idx="6">
                  <c:v>0.11887755102040816</c:v>
                </c:pt>
                <c:pt idx="7">
                  <c:v>0.17016806722689076</c:v>
                </c:pt>
                <c:pt idx="8">
                  <c:v>0.14146341463414633</c:v>
                </c:pt>
                <c:pt idx="9">
                  <c:v>0.12857142857142856</c:v>
                </c:pt>
                <c:pt idx="10">
                  <c:v>0.17661691542288557</c:v>
                </c:pt>
                <c:pt idx="11">
                  <c:v>0.14285714285714285</c:v>
                </c:pt>
                <c:pt idx="12">
                  <c:v>0.1691542288557214</c:v>
                </c:pt>
                <c:pt idx="13">
                  <c:v>0.18032786885245902</c:v>
                </c:pt>
                <c:pt idx="14">
                  <c:v>0.16095534787123572</c:v>
                </c:pt>
                <c:pt idx="15">
                  <c:v>0.22459893048128343</c:v>
                </c:pt>
                <c:pt idx="16">
                  <c:v>0.15562913907284767</c:v>
                </c:pt>
                <c:pt idx="17">
                  <c:v>0.17857142857142858</c:v>
                </c:pt>
                <c:pt idx="18">
                  <c:v>0.145985401459854</c:v>
                </c:pt>
                <c:pt idx="19">
                  <c:v>0.15549597855227881</c:v>
                </c:pt>
                <c:pt idx="20">
                  <c:v>0.17960062178644026</c:v>
                </c:pt>
              </c:numCache>
            </c:numRef>
          </c:val>
          <c:extLst>
            <c:ext xmlns:c16="http://schemas.microsoft.com/office/drawing/2014/chart" uri="{C3380CC4-5D6E-409C-BE32-E72D297353CC}">
              <c16:uniqueId val="{00000003-6220-4A3B-8F19-BE63CFA696D6}"/>
            </c:ext>
          </c:extLst>
        </c:ser>
        <c:ser>
          <c:idx val="5"/>
          <c:order val="3"/>
          <c:tx>
            <c:strRef>
              <c:f>'Looked After Children'!$M$274</c:f>
              <c:strCache>
                <c:ptCount val="1"/>
                <c:pt idx="0">
                  <c:v> 10 - 15  </c:v>
                </c:pt>
              </c:strCache>
            </c:strRef>
          </c:tx>
          <c:spPr>
            <a:solidFill>
              <a:srgbClr val="FF99CC"/>
            </a:solidFill>
            <a:ln w="12700">
              <a:solidFill>
                <a:srgbClr val="000000"/>
              </a:solidFill>
              <a:prstDash val="solid"/>
            </a:ln>
          </c:spPr>
          <c:invertIfNegative val="0"/>
          <c:cat>
            <c:strRef>
              <c:f>'Looked After Children'!$B$275:$B$295</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Children'!$M$275:$M$295</c:f>
              <c:numCache>
                <c:formatCode>0%</c:formatCode>
                <c:ptCount val="21"/>
                <c:pt idx="0">
                  <c:v>0.3</c:v>
                </c:pt>
                <c:pt idx="1">
                  <c:v>0.39265536723163841</c:v>
                </c:pt>
                <c:pt idx="2">
                  <c:v>0.3881453154875717</c:v>
                </c:pt>
                <c:pt idx="3">
                  <c:v>0.42922374429223742</c:v>
                </c:pt>
                <c:pt idx="4">
                  <c:v>0.39384454877412622</c:v>
                </c:pt>
                <c:pt idx="5">
                  <c:v>0.39784946236559138</c:v>
                </c:pt>
                <c:pt idx="6">
                  <c:v>0.33775510204081632</c:v>
                </c:pt>
                <c:pt idx="7">
                  <c:v>0.43697478991596639</c:v>
                </c:pt>
                <c:pt idx="8">
                  <c:v>0.40243902439024393</c:v>
                </c:pt>
                <c:pt idx="9">
                  <c:v>0.42597402597402595</c:v>
                </c:pt>
                <c:pt idx="10">
                  <c:v>0.35074626865671643</c:v>
                </c:pt>
                <c:pt idx="11">
                  <c:v>0.43609022556390975</c:v>
                </c:pt>
                <c:pt idx="12">
                  <c:v>0.29850746268656714</c:v>
                </c:pt>
                <c:pt idx="13">
                  <c:v>0.43237704918032788</c:v>
                </c:pt>
                <c:pt idx="14">
                  <c:v>0.38940809968847351</c:v>
                </c:pt>
                <c:pt idx="15">
                  <c:v>0.31016042780748665</c:v>
                </c:pt>
                <c:pt idx="16">
                  <c:v>0.41059602649006621</c:v>
                </c:pt>
                <c:pt idx="17">
                  <c:v>0.37857142857142856</c:v>
                </c:pt>
                <c:pt idx="18">
                  <c:v>0.32846715328467152</c:v>
                </c:pt>
                <c:pt idx="19">
                  <c:v>0.38695263628239501</c:v>
                </c:pt>
                <c:pt idx="20">
                  <c:v>0.37594164773406674</c:v>
                </c:pt>
              </c:numCache>
            </c:numRef>
          </c:val>
          <c:extLst>
            <c:ext xmlns:c16="http://schemas.microsoft.com/office/drawing/2014/chart" uri="{C3380CC4-5D6E-409C-BE32-E72D297353CC}">
              <c16:uniqueId val="{00000004-6220-4A3B-8F19-BE63CFA696D6}"/>
            </c:ext>
          </c:extLst>
        </c:ser>
        <c:ser>
          <c:idx val="9"/>
          <c:order val="4"/>
          <c:tx>
            <c:strRef>
              <c:f>'Looked After Children'!$N$274</c:f>
              <c:strCache>
                <c:ptCount val="1"/>
                <c:pt idx="0">
                  <c:v> 16 +</c:v>
                </c:pt>
              </c:strCache>
            </c:strRef>
          </c:tx>
          <c:spPr>
            <a:solidFill>
              <a:srgbClr val="9B4719"/>
            </a:solidFill>
            <a:ln w="12700">
              <a:solidFill>
                <a:srgbClr val="000000"/>
              </a:solidFill>
              <a:prstDash val="solid"/>
            </a:ln>
          </c:spPr>
          <c:invertIfNegative val="0"/>
          <c:cat>
            <c:strRef>
              <c:f>'Looked After Children'!$B$275:$B$295</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Children'!$N$275:$N$295</c:f>
              <c:numCache>
                <c:formatCode>0%</c:formatCode>
                <c:ptCount val="21"/>
                <c:pt idx="0">
                  <c:v>0.45714285714285713</c:v>
                </c:pt>
                <c:pt idx="1">
                  <c:v>0.33050847457627119</c:v>
                </c:pt>
                <c:pt idx="2">
                  <c:v>0.32504780114722753</c:v>
                </c:pt>
                <c:pt idx="3">
                  <c:v>0.27245053272450531</c:v>
                </c:pt>
                <c:pt idx="4">
                  <c:v>0.30672926447574334</c:v>
                </c:pt>
                <c:pt idx="5">
                  <c:v>0.25089605734767023</c:v>
                </c:pt>
                <c:pt idx="6">
                  <c:v>0.42142857142857143</c:v>
                </c:pt>
                <c:pt idx="7">
                  <c:v>0.23109243697478993</c:v>
                </c:pt>
                <c:pt idx="8">
                  <c:v>0.25121951219512195</c:v>
                </c:pt>
                <c:pt idx="9">
                  <c:v>0.34545454545454546</c:v>
                </c:pt>
                <c:pt idx="10">
                  <c:v>0.26368159203980102</c:v>
                </c:pt>
                <c:pt idx="11">
                  <c:v>0.27067669172932329</c:v>
                </c:pt>
                <c:pt idx="12">
                  <c:v>0.36815920398009949</c:v>
                </c:pt>
                <c:pt idx="13">
                  <c:v>0.28073770491803279</c:v>
                </c:pt>
                <c:pt idx="14">
                  <c:v>0.31464174454828658</c:v>
                </c:pt>
                <c:pt idx="15">
                  <c:v>0.30481283422459893</c:v>
                </c:pt>
                <c:pt idx="16">
                  <c:v>0.30022075055187636</c:v>
                </c:pt>
                <c:pt idx="17">
                  <c:v>0.27142857142857141</c:v>
                </c:pt>
                <c:pt idx="18">
                  <c:v>0.40145985401459855</c:v>
                </c:pt>
                <c:pt idx="19">
                  <c:v>0.32260947274352098</c:v>
                </c:pt>
                <c:pt idx="20">
                  <c:v>0.27047710151859383</c:v>
                </c:pt>
              </c:numCache>
            </c:numRef>
          </c:val>
          <c:extLst>
            <c:ext xmlns:c16="http://schemas.microsoft.com/office/drawing/2014/chart" uri="{C3380CC4-5D6E-409C-BE32-E72D297353CC}">
              <c16:uniqueId val="{00000005-6220-4A3B-8F19-BE63CFA696D6}"/>
            </c:ext>
          </c:extLst>
        </c:ser>
        <c:dLbls>
          <c:showLegendKey val="0"/>
          <c:showVal val="0"/>
          <c:showCatName val="0"/>
          <c:showSerName val="0"/>
          <c:showPercent val="0"/>
          <c:showBubbleSize val="0"/>
        </c:dLbls>
        <c:gapWidth val="50"/>
        <c:overlap val="100"/>
        <c:axId val="601907968"/>
        <c:axId val="601906176"/>
      </c:barChart>
      <c:catAx>
        <c:axId val="601903104"/>
        <c:scaling>
          <c:orientation val="maxMin"/>
        </c:scaling>
        <c:delete val="1"/>
        <c:axPos val="l"/>
        <c:majorGridlines>
          <c:spPr>
            <a:ln>
              <a:noFill/>
              <a:prstDash val="sysDash"/>
            </a:ln>
          </c:spPr>
        </c:majorGridlines>
        <c:numFmt formatCode="General" sourceLinked="1"/>
        <c:majorTickMark val="out"/>
        <c:minorTickMark val="none"/>
        <c:tickLblPos val="nextTo"/>
        <c:crossAx val="601904640"/>
        <c:crosses val="autoZero"/>
        <c:auto val="1"/>
        <c:lblAlgn val="ctr"/>
        <c:lblOffset val="100"/>
        <c:noMultiLvlLbl val="0"/>
      </c:catAx>
      <c:valAx>
        <c:axId val="601904640"/>
        <c:scaling>
          <c:orientation val="minMax"/>
          <c:max val="1"/>
        </c:scaling>
        <c:delete val="0"/>
        <c:axPos val="b"/>
        <c:majorGridlines>
          <c:spPr>
            <a:ln>
              <a:prstDash val="sysDash"/>
            </a:ln>
          </c:spPr>
        </c:majorGridlines>
        <c:numFmt formatCode="0%" sourceLinked="1"/>
        <c:majorTickMark val="out"/>
        <c:minorTickMark val="none"/>
        <c:tickLblPos val="nextTo"/>
        <c:txPr>
          <a:bodyPr rot="5400000" vert="horz"/>
          <a:lstStyle/>
          <a:p>
            <a:pPr>
              <a:defRPr sz="900"/>
            </a:pPr>
            <a:endParaRPr lang="en-US"/>
          </a:p>
        </c:txPr>
        <c:crossAx val="601903104"/>
        <c:crosses val="max"/>
        <c:crossBetween val="between"/>
        <c:majorUnit val="0.2"/>
      </c:valAx>
      <c:valAx>
        <c:axId val="601906176"/>
        <c:scaling>
          <c:orientation val="minMax"/>
        </c:scaling>
        <c:delete val="1"/>
        <c:axPos val="b"/>
        <c:numFmt formatCode="0%" sourceLinked="1"/>
        <c:majorTickMark val="out"/>
        <c:minorTickMark val="none"/>
        <c:tickLblPos val="nextTo"/>
        <c:crossAx val="601907968"/>
        <c:crosses val="max"/>
        <c:crossBetween val="between"/>
      </c:valAx>
      <c:catAx>
        <c:axId val="601907968"/>
        <c:scaling>
          <c:orientation val="maxMin"/>
        </c:scaling>
        <c:delete val="1"/>
        <c:axPos val="r"/>
        <c:majorGridlines/>
        <c:numFmt formatCode="General" sourceLinked="0"/>
        <c:majorTickMark val="out"/>
        <c:minorTickMark val="none"/>
        <c:tickLblPos val="nextTo"/>
        <c:crossAx val="601906176"/>
        <c:crosses val="max"/>
        <c:auto val="1"/>
        <c:lblAlgn val="ctr"/>
        <c:lblOffset val="100"/>
        <c:noMultiLvlLbl val="0"/>
      </c:catAx>
      <c:spPr>
        <a:noFill/>
        <a:ln w="3175">
          <a:solidFill>
            <a:schemeClr val="tx1">
              <a:lumMod val="50000"/>
              <a:lumOff val="50000"/>
            </a:schemeClr>
          </a:solidFill>
          <a:prstDash val="solid"/>
        </a:ln>
      </c:spPr>
    </c:plotArea>
    <c:plotVisOnly val="0"/>
    <c:dispBlanksAs val="zero"/>
    <c:showDLblsOverMax val="0"/>
  </c:chart>
  <c:spPr>
    <a:solidFill>
      <a:schemeClr val="bg1"/>
    </a:solidFill>
    <a:ln w="3175">
      <a:solidFill>
        <a:schemeClr val="tx1">
          <a:lumMod val="50000"/>
          <a:lumOff val="50000"/>
        </a:schemeClr>
      </a:solidFill>
      <a:prstDash val="solid"/>
    </a:ln>
  </c:spPr>
  <c:txPr>
    <a:bodyPr/>
    <a:lstStyle/>
    <a:p>
      <a:pPr>
        <a:defRPr>
          <a:latin typeface="Arial" panose="020B0604020202020204" pitchFamily="34" charset="0"/>
          <a:cs typeface="Arial" panose="020B0604020202020204" pitchFamily="34" charset="0"/>
        </a:defRPr>
      </a:pPr>
      <a:endParaRPr lang="en-US"/>
    </a:p>
  </c:txPr>
  <c:printSettings>
    <c:headerFooter alignWithMargins="0"/>
    <c:pageMargins b="1" l="0.750000000000004" r="0.750000000000004" t="1" header="0.5" footer="0.5"/>
    <c:pageSetup orientation="portrait"/>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n-GB" sz="900">
                <a:latin typeface="Arial" panose="020B0604020202020204" pitchFamily="34" charset="0"/>
                <a:cs typeface="Arial" panose="020B0604020202020204" pitchFamily="34" charset="0"/>
              </a:rPr>
              <a:t>Under 1</a:t>
            </a:r>
          </a:p>
        </c:rich>
      </c:tx>
      <c:layout>
        <c:manualLayout>
          <c:xMode val="edge"/>
          <c:yMode val="edge"/>
          <c:x val="0.25363547758284599"/>
          <c:y val="5.0793650793650794E-3"/>
        </c:manualLayout>
      </c:layout>
      <c:overlay val="1"/>
    </c:title>
    <c:autoTitleDeleted val="0"/>
    <c:plotArea>
      <c:layout>
        <c:manualLayout>
          <c:layoutTarget val="inner"/>
          <c:xMode val="edge"/>
          <c:yMode val="edge"/>
          <c:x val="7.4722072135237141E-2"/>
          <c:y val="4.3043419572553428E-2"/>
          <c:w val="0.85055585572952574"/>
          <c:h val="0.84236130483689542"/>
        </c:manualLayout>
      </c:layout>
      <c:barChart>
        <c:barDir val="bar"/>
        <c:grouping val="stacked"/>
        <c:varyColors val="0"/>
        <c:ser>
          <c:idx val="1"/>
          <c:order val="1"/>
          <c:tx>
            <c:strRef>
              <c:f>'Looked After Children'!$Z$4</c:f>
              <c:strCache>
                <c:ptCount val="1"/>
                <c:pt idx="0">
                  <c:v>Selected LA- (none)</c:v>
                </c:pt>
              </c:strCache>
            </c:strRef>
          </c:tx>
          <c:spPr>
            <a:solidFill>
              <a:srgbClr val="66FF99"/>
            </a:solidFill>
            <a:ln w="12700">
              <a:solidFill>
                <a:srgbClr val="808080"/>
              </a:solidFill>
              <a:prstDash val="solid"/>
            </a:ln>
          </c:spPr>
          <c:invertIfNegative val="0"/>
          <c:cat>
            <c:strRef>
              <c:f>'Looked After Children'!$B$308:$B$328</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Children'!$AD$306:$AD$326</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0-B908-41C1-9B39-0194F407F3CB}"/>
            </c:ext>
          </c:extLst>
        </c:ser>
        <c:dLbls>
          <c:showLegendKey val="0"/>
          <c:showVal val="0"/>
          <c:showCatName val="0"/>
          <c:showSerName val="0"/>
          <c:showPercent val="0"/>
          <c:showBubbleSize val="0"/>
        </c:dLbls>
        <c:gapWidth val="0"/>
        <c:overlap val="100"/>
        <c:axId val="601937024"/>
        <c:axId val="601938560"/>
      </c:barChart>
      <c:barChart>
        <c:barDir val="bar"/>
        <c:grouping val="clustered"/>
        <c:varyColors val="0"/>
        <c:ser>
          <c:idx val="0"/>
          <c:order val="0"/>
          <c:tx>
            <c:strRef>
              <c:f>'Looked After Children'!$D$307</c:f>
              <c:strCache>
                <c:ptCount val="1"/>
                <c:pt idx="0">
                  <c:v>Under 1</c:v>
                </c:pt>
              </c:strCache>
            </c:strRef>
          </c:tx>
          <c:spPr>
            <a:solidFill>
              <a:srgbClr val="BC3E7D"/>
            </a:solidFill>
            <a:ln w="12700">
              <a:solidFill>
                <a:srgbClr val="000000"/>
              </a:solidFill>
              <a:prstDash val="solid"/>
            </a:ln>
          </c:spPr>
          <c:invertIfNegative val="0"/>
          <c:cat>
            <c:strRef>
              <c:f>'Looked After Children'!$B$308:$B$328</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Children'!$D$308:$D$328</c:f>
              <c:numCache>
                <c:formatCode>0.0</c:formatCode>
                <c:ptCount val="21"/>
                <c:pt idx="0">
                  <c:v>65.359477124183002</c:v>
                </c:pt>
                <c:pt idx="1">
                  <c:v>54.545454545454547</c:v>
                </c:pt>
                <c:pt idx="2">
                  <c:v>40.49949375632805</c:v>
                </c:pt>
                <c:pt idx="3">
                  <c:v>43.486855109705473</c:v>
                </c:pt>
                <c:pt idx="4">
                  <c:v>39.179370280666767</c:v>
                </c:pt>
                <c:pt idx="5">
                  <c:v>66.115702479338836</c:v>
                </c:pt>
                <c:pt idx="6">
                  <c:v>38.413026029125099</c:v>
                </c:pt>
                <c:pt idx="7">
                  <c:v>63.013698630136986</c:v>
                </c:pt>
                <c:pt idx="8">
                  <c:v>66.796548844976343</c:v>
                </c:pt>
                <c:pt idx="9">
                  <c:v>29.259210001329961</c:v>
                </c:pt>
                <c:pt idx="10">
                  <c:v>88.745461879790241</c:v>
                </c:pt>
                <c:pt idx="11">
                  <c:v>52.824055262088585</c:v>
                </c:pt>
                <c:pt idx="12">
                  <c:v>31.286664059444661</c:v>
                </c:pt>
                <c:pt idx="13">
                  <c:v>41.296060991105463</c:v>
                </c:pt>
                <c:pt idx="14">
                  <c:v>20.565161093761901</c:v>
                </c:pt>
                <c:pt idx="15">
                  <c:v>47.761194029850749</c:v>
                </c:pt>
                <c:pt idx="16">
                  <c:v>37.572583399749519</c:v>
                </c:pt>
                <c:pt idx="17">
                  <c:v>47.225501770956313</c:v>
                </c:pt>
                <c:pt idx="18">
                  <c:v>45.019696117051211</c:v>
                </c:pt>
                <c:pt idx="19">
                  <c:v>40.890821506577439</c:v>
                </c:pt>
                <c:pt idx="20">
                  <c:v>57.080158600204754</c:v>
                </c:pt>
              </c:numCache>
            </c:numRef>
          </c:val>
          <c:extLst>
            <c:ext xmlns:c16="http://schemas.microsoft.com/office/drawing/2014/chart" uri="{C3380CC4-5D6E-409C-BE32-E72D297353CC}">
              <c16:uniqueId val="{00000001-B908-41C1-9B39-0194F407F3CB}"/>
            </c:ext>
          </c:extLst>
        </c:ser>
        <c:dLbls>
          <c:showLegendKey val="0"/>
          <c:showVal val="0"/>
          <c:showCatName val="0"/>
          <c:showSerName val="0"/>
          <c:showPercent val="0"/>
          <c:showBubbleSize val="0"/>
        </c:dLbls>
        <c:gapWidth val="40"/>
        <c:axId val="601940352"/>
        <c:axId val="601941888"/>
      </c:barChart>
      <c:catAx>
        <c:axId val="601937024"/>
        <c:scaling>
          <c:orientation val="maxMin"/>
        </c:scaling>
        <c:delete val="1"/>
        <c:axPos val="l"/>
        <c:majorGridlines/>
        <c:numFmt formatCode="General" sourceLinked="0"/>
        <c:majorTickMark val="out"/>
        <c:minorTickMark val="none"/>
        <c:tickLblPos val="nextTo"/>
        <c:crossAx val="601938560"/>
        <c:crosses val="autoZero"/>
        <c:auto val="1"/>
        <c:lblAlgn val="ctr"/>
        <c:lblOffset val="100"/>
        <c:noMultiLvlLbl val="0"/>
      </c:catAx>
      <c:valAx>
        <c:axId val="601938560"/>
        <c:scaling>
          <c:orientation val="minMax"/>
          <c:max val="150"/>
          <c:min val="0"/>
        </c:scaling>
        <c:delete val="0"/>
        <c:axPos val="b"/>
        <c:majorGridlines>
          <c:spPr>
            <a:ln>
              <a:prstDash val="sysDash"/>
            </a:ln>
          </c:spPr>
        </c:majorGridlines>
        <c:numFmt formatCode="General" sourceLinked="0"/>
        <c:majorTickMark val="cross"/>
        <c:minorTickMark val="none"/>
        <c:tickLblPos val="high"/>
        <c:txPr>
          <a:bodyPr rot="5400000" vert="horz"/>
          <a:lstStyle/>
          <a:p>
            <a:pPr>
              <a:defRPr sz="9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crossAx val="601937024"/>
        <c:crosses val="max"/>
        <c:crossBetween val="between"/>
      </c:valAx>
      <c:catAx>
        <c:axId val="601940352"/>
        <c:scaling>
          <c:orientation val="maxMin"/>
        </c:scaling>
        <c:delete val="1"/>
        <c:axPos val="l"/>
        <c:numFmt formatCode="General" sourceLinked="0"/>
        <c:majorTickMark val="out"/>
        <c:minorTickMark val="none"/>
        <c:tickLblPos val="nextTo"/>
        <c:crossAx val="601941888"/>
        <c:crosses val="autoZero"/>
        <c:auto val="1"/>
        <c:lblAlgn val="ctr"/>
        <c:lblOffset val="100"/>
        <c:noMultiLvlLbl val="0"/>
      </c:catAx>
      <c:valAx>
        <c:axId val="601941888"/>
        <c:scaling>
          <c:orientation val="minMax"/>
        </c:scaling>
        <c:delete val="1"/>
        <c:axPos val="t"/>
        <c:numFmt formatCode="0.0" sourceLinked="1"/>
        <c:majorTickMark val="out"/>
        <c:minorTickMark val="none"/>
        <c:tickLblPos val="nextTo"/>
        <c:crossAx val="601940352"/>
        <c:crosses val="autoZero"/>
        <c:crossBetween val="between"/>
      </c:valAx>
      <c:spPr>
        <a:noFill/>
        <a:ln w="15875">
          <a:solidFill>
            <a:schemeClr val="tx1">
              <a:lumMod val="50000"/>
              <a:lumOff val="50000"/>
            </a:schemeClr>
          </a:solidFill>
        </a:ln>
      </c:spPr>
    </c:plotArea>
    <c:plotVisOnly val="0"/>
    <c:dispBlanksAs val="zero"/>
    <c:showDLblsOverMax val="0"/>
  </c:chart>
  <c:spPr>
    <a:solidFill>
      <a:srgbClr val="FFFFFF"/>
    </a:solidFill>
    <a:ln w="3175">
      <a:solidFill>
        <a:srgbClr val="000000"/>
      </a:solidFill>
      <a:prstDash val="solid"/>
    </a:ln>
  </c:spPr>
  <c:printSettings>
    <c:headerFooter alignWithMargins="0"/>
    <c:pageMargins b="1" l="0.75000000000000488" r="0.75000000000000488" t="1" header="0.5" footer="0.5"/>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n-GB" sz="900">
                <a:latin typeface="Arial" panose="020B0604020202020204" pitchFamily="34" charset="0"/>
                <a:cs typeface="Arial" panose="020B0604020202020204" pitchFamily="34" charset="0"/>
              </a:rPr>
              <a:t>1-4</a:t>
            </a:r>
          </a:p>
        </c:rich>
      </c:tx>
      <c:layout>
        <c:manualLayout>
          <c:xMode val="edge"/>
          <c:yMode val="edge"/>
          <c:x val="0.38249220272904483"/>
          <c:y val="7.619047619047619E-3"/>
        </c:manualLayout>
      </c:layout>
      <c:overlay val="1"/>
    </c:title>
    <c:autoTitleDeleted val="0"/>
    <c:plotArea>
      <c:layout>
        <c:manualLayout>
          <c:layoutTarget val="inner"/>
          <c:xMode val="edge"/>
          <c:yMode val="edge"/>
          <c:x val="6.3291139240506333E-2"/>
          <c:y val="4.1265841769778773E-2"/>
          <c:w val="0.85337539650698635"/>
          <c:h val="0.84447384076990373"/>
        </c:manualLayout>
      </c:layout>
      <c:barChart>
        <c:barDir val="bar"/>
        <c:grouping val="stacked"/>
        <c:varyColors val="0"/>
        <c:ser>
          <c:idx val="1"/>
          <c:order val="1"/>
          <c:tx>
            <c:strRef>
              <c:f>'Looked After Children'!$Z$4</c:f>
              <c:strCache>
                <c:ptCount val="1"/>
                <c:pt idx="0">
                  <c:v>Selected LA- (none)</c:v>
                </c:pt>
              </c:strCache>
            </c:strRef>
          </c:tx>
          <c:spPr>
            <a:solidFill>
              <a:srgbClr val="66FF99"/>
            </a:solidFill>
            <a:ln w="12700">
              <a:solidFill>
                <a:srgbClr val="808080"/>
              </a:solidFill>
              <a:prstDash val="solid"/>
            </a:ln>
          </c:spPr>
          <c:invertIfNegative val="0"/>
          <c:cat>
            <c:strRef>
              <c:f>'Looked After Children'!$X$306:$X$326</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Children'!$AE$306:$AE$326</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0-C456-44A5-A1FF-F45087354034}"/>
            </c:ext>
          </c:extLst>
        </c:ser>
        <c:dLbls>
          <c:showLegendKey val="0"/>
          <c:showVal val="0"/>
          <c:showCatName val="0"/>
          <c:showSerName val="0"/>
          <c:showPercent val="0"/>
          <c:showBubbleSize val="0"/>
        </c:dLbls>
        <c:gapWidth val="0"/>
        <c:overlap val="100"/>
        <c:axId val="601980288"/>
        <c:axId val="601990272"/>
      </c:barChart>
      <c:barChart>
        <c:barDir val="bar"/>
        <c:grouping val="clustered"/>
        <c:varyColors val="0"/>
        <c:ser>
          <c:idx val="0"/>
          <c:order val="0"/>
          <c:tx>
            <c:strRef>
              <c:f>'Looked After Children'!$E$307</c:f>
              <c:strCache>
                <c:ptCount val="1"/>
                <c:pt idx="0">
                  <c:v>      1 - 4    </c:v>
                </c:pt>
              </c:strCache>
            </c:strRef>
          </c:tx>
          <c:spPr>
            <a:solidFill>
              <a:srgbClr val="FB994F"/>
            </a:solidFill>
            <a:ln w="12700">
              <a:solidFill>
                <a:srgbClr val="000000"/>
              </a:solidFill>
              <a:prstDash val="solid"/>
            </a:ln>
          </c:spPr>
          <c:invertIfNegative val="0"/>
          <c:cat>
            <c:strRef>
              <c:f>'Looked After Children'!$X$306:$X$326</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Children'!$E$308:$E$328</c:f>
              <c:numCache>
                <c:formatCode>0.0</c:formatCode>
                <c:ptCount val="21"/>
                <c:pt idx="0">
                  <c:v>18.098058571898651</c:v>
                </c:pt>
                <c:pt idx="1">
                  <c:v>28.055409433631425</c:v>
                </c:pt>
                <c:pt idx="2">
                  <c:v>16.489281966721631</c:v>
                </c:pt>
                <c:pt idx="3">
                  <c:v>30.756886868146562</c:v>
                </c:pt>
                <c:pt idx="4">
                  <c:v>28.39940929228672</c:v>
                </c:pt>
                <c:pt idx="5">
                  <c:v>59.22635572829909</c:v>
                </c:pt>
                <c:pt idx="6">
                  <c:v>23.256757304920427</c:v>
                </c:pt>
                <c:pt idx="7">
                  <c:v>36.202735317779563</c:v>
                </c:pt>
                <c:pt idx="8">
                  <c:v>38.020404283632217</c:v>
                </c:pt>
                <c:pt idx="9">
                  <c:v>17.179447134155865</c:v>
                </c:pt>
                <c:pt idx="10">
                  <c:v>58.237835806875822</c:v>
                </c:pt>
                <c:pt idx="11">
                  <c:v>27.915632754342429</c:v>
                </c:pt>
                <c:pt idx="12">
                  <c:v>23.8914373088685</c:v>
                </c:pt>
                <c:pt idx="13">
                  <c:v>30.270102452654456</c:v>
                </c:pt>
                <c:pt idx="14">
                  <c:v>17.792057487346909</c:v>
                </c:pt>
                <c:pt idx="15">
                  <c:v>29.451137884872825</c:v>
                </c:pt>
                <c:pt idx="16">
                  <c:v>22.910103876493714</c:v>
                </c:pt>
                <c:pt idx="17">
                  <c:v>22.698255071641366</c:v>
                </c:pt>
                <c:pt idx="18">
                  <c:v>11.010521164668461</c:v>
                </c:pt>
                <c:pt idx="19">
                  <c:v>25.406738791008788</c:v>
                </c:pt>
                <c:pt idx="20">
                  <c:v>39.61254392342844</c:v>
                </c:pt>
              </c:numCache>
            </c:numRef>
          </c:val>
          <c:extLst>
            <c:ext xmlns:c16="http://schemas.microsoft.com/office/drawing/2014/chart" uri="{C3380CC4-5D6E-409C-BE32-E72D297353CC}">
              <c16:uniqueId val="{00000001-C456-44A5-A1FF-F45087354034}"/>
            </c:ext>
          </c:extLst>
        </c:ser>
        <c:dLbls>
          <c:showLegendKey val="0"/>
          <c:showVal val="0"/>
          <c:showCatName val="0"/>
          <c:showSerName val="0"/>
          <c:showPercent val="0"/>
          <c:showBubbleSize val="0"/>
        </c:dLbls>
        <c:gapWidth val="40"/>
        <c:axId val="601991808"/>
        <c:axId val="601993600"/>
      </c:barChart>
      <c:catAx>
        <c:axId val="601980288"/>
        <c:scaling>
          <c:orientation val="maxMin"/>
        </c:scaling>
        <c:delete val="1"/>
        <c:axPos val="l"/>
        <c:majorGridlines/>
        <c:numFmt formatCode="General" sourceLinked="0"/>
        <c:majorTickMark val="out"/>
        <c:minorTickMark val="none"/>
        <c:tickLblPos val="nextTo"/>
        <c:crossAx val="601990272"/>
        <c:crosses val="autoZero"/>
        <c:auto val="1"/>
        <c:lblAlgn val="ctr"/>
        <c:lblOffset val="100"/>
        <c:noMultiLvlLbl val="0"/>
      </c:catAx>
      <c:valAx>
        <c:axId val="601990272"/>
        <c:scaling>
          <c:orientation val="minMax"/>
          <c:max val="100"/>
          <c:min val="0"/>
        </c:scaling>
        <c:delete val="0"/>
        <c:axPos val="b"/>
        <c:majorGridlines>
          <c:spPr>
            <a:ln>
              <a:prstDash val="sysDash"/>
            </a:ln>
          </c:spPr>
        </c:majorGridlines>
        <c:numFmt formatCode="General" sourceLinked="0"/>
        <c:majorTickMark val="cross"/>
        <c:minorTickMark val="none"/>
        <c:tickLblPos val="high"/>
        <c:txPr>
          <a:bodyPr rot="5400000" vert="horz"/>
          <a:lstStyle/>
          <a:p>
            <a:pPr>
              <a:defRPr sz="9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crossAx val="601980288"/>
        <c:crosses val="max"/>
        <c:crossBetween val="between"/>
      </c:valAx>
      <c:catAx>
        <c:axId val="601991808"/>
        <c:scaling>
          <c:orientation val="maxMin"/>
        </c:scaling>
        <c:delete val="1"/>
        <c:axPos val="l"/>
        <c:numFmt formatCode="General" sourceLinked="0"/>
        <c:majorTickMark val="out"/>
        <c:minorTickMark val="none"/>
        <c:tickLblPos val="nextTo"/>
        <c:crossAx val="601993600"/>
        <c:crosses val="autoZero"/>
        <c:auto val="1"/>
        <c:lblAlgn val="ctr"/>
        <c:lblOffset val="100"/>
        <c:noMultiLvlLbl val="0"/>
      </c:catAx>
      <c:valAx>
        <c:axId val="601993600"/>
        <c:scaling>
          <c:orientation val="minMax"/>
        </c:scaling>
        <c:delete val="1"/>
        <c:axPos val="t"/>
        <c:numFmt formatCode="0.0" sourceLinked="1"/>
        <c:majorTickMark val="out"/>
        <c:minorTickMark val="none"/>
        <c:tickLblPos val="nextTo"/>
        <c:crossAx val="601991808"/>
        <c:crosses val="autoZero"/>
        <c:crossBetween val="between"/>
      </c:valAx>
      <c:spPr>
        <a:noFill/>
        <a:ln w="15875">
          <a:solidFill>
            <a:schemeClr val="tx1">
              <a:lumMod val="50000"/>
              <a:lumOff val="50000"/>
            </a:schemeClr>
          </a:solidFill>
        </a:ln>
      </c:spPr>
    </c:plotArea>
    <c:plotVisOnly val="0"/>
    <c:dispBlanksAs val="zero"/>
    <c:showDLblsOverMax val="0"/>
  </c:chart>
  <c:spPr>
    <a:solidFill>
      <a:srgbClr val="FFFFFF"/>
    </a:solidFill>
    <a:ln w="3175">
      <a:solidFill>
        <a:srgbClr val="000000"/>
      </a:solidFill>
      <a:prstDash val="solid"/>
    </a:ln>
  </c:spPr>
  <c:printSettings>
    <c:headerFooter alignWithMargins="0"/>
    <c:pageMargins b="1" l="0.75000000000000488" r="0.75000000000000488" t="1" header="0.5" footer="0.5"/>
    <c:pageSetup orientation="portrait"/>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n-GB" sz="900">
                <a:latin typeface="Arial" panose="020B0604020202020204" pitchFamily="34" charset="0"/>
                <a:cs typeface="Arial" panose="020B0604020202020204" pitchFamily="34" charset="0"/>
              </a:rPr>
              <a:t>5-9</a:t>
            </a:r>
          </a:p>
        </c:rich>
      </c:tx>
      <c:layout>
        <c:manualLayout>
          <c:xMode val="edge"/>
          <c:yMode val="edge"/>
          <c:x val="0.4066686159844054"/>
          <c:y val="5.0793660951113304E-3"/>
        </c:manualLayout>
      </c:layout>
      <c:overlay val="1"/>
    </c:title>
    <c:autoTitleDeleted val="0"/>
    <c:plotArea>
      <c:layout>
        <c:manualLayout>
          <c:layoutTarget val="inner"/>
          <c:xMode val="edge"/>
          <c:yMode val="edge"/>
          <c:x val="6.3291139240506333E-2"/>
          <c:y val="4.1265850021917259E-2"/>
          <c:w val="0.85609092334103243"/>
          <c:h val="0.8441274528938788"/>
        </c:manualLayout>
      </c:layout>
      <c:barChart>
        <c:barDir val="bar"/>
        <c:grouping val="stacked"/>
        <c:varyColors val="0"/>
        <c:ser>
          <c:idx val="1"/>
          <c:order val="1"/>
          <c:tx>
            <c:strRef>
              <c:f>'Looked After Children'!$Z$4</c:f>
              <c:strCache>
                <c:ptCount val="1"/>
                <c:pt idx="0">
                  <c:v>Selected LA- (none)</c:v>
                </c:pt>
              </c:strCache>
            </c:strRef>
          </c:tx>
          <c:spPr>
            <a:solidFill>
              <a:srgbClr val="66FF99"/>
            </a:solidFill>
            <a:ln w="12700">
              <a:solidFill>
                <a:srgbClr val="808080"/>
              </a:solidFill>
              <a:prstDash val="solid"/>
            </a:ln>
          </c:spPr>
          <c:invertIfNegative val="0"/>
          <c:cat>
            <c:strRef>
              <c:f>'Looked After Children'!$X$306:$X$326</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Children'!$AF$306:$AF$326</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0-3AD9-49D8-AE93-529236BDFA19}"/>
            </c:ext>
          </c:extLst>
        </c:ser>
        <c:dLbls>
          <c:showLegendKey val="0"/>
          <c:showVal val="0"/>
          <c:showCatName val="0"/>
          <c:showSerName val="0"/>
          <c:showPercent val="0"/>
          <c:showBubbleSize val="0"/>
        </c:dLbls>
        <c:gapWidth val="0"/>
        <c:overlap val="100"/>
        <c:axId val="602023424"/>
        <c:axId val="602024960"/>
      </c:barChart>
      <c:barChart>
        <c:barDir val="bar"/>
        <c:grouping val="clustered"/>
        <c:varyColors val="0"/>
        <c:ser>
          <c:idx val="0"/>
          <c:order val="0"/>
          <c:tx>
            <c:strRef>
              <c:f>'Looked After Children'!$F$307</c:f>
              <c:strCache>
                <c:ptCount val="1"/>
                <c:pt idx="0">
                  <c:v>      5 - 9    </c:v>
                </c:pt>
              </c:strCache>
            </c:strRef>
          </c:tx>
          <c:spPr>
            <a:solidFill>
              <a:srgbClr val="9999FF"/>
            </a:solidFill>
            <a:ln w="12700">
              <a:solidFill>
                <a:srgbClr val="000000"/>
              </a:solidFill>
              <a:prstDash val="solid"/>
            </a:ln>
          </c:spPr>
          <c:invertIfNegative val="0"/>
          <c:cat>
            <c:strRef>
              <c:f>'Looked After Children'!$B$308:$B$328</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Children'!$F$308:$F$328</c:f>
              <c:numCache>
                <c:formatCode>0.0</c:formatCode>
                <c:ptCount val="21"/>
                <c:pt idx="0">
                  <c:v>16.491930733890918</c:v>
                </c:pt>
                <c:pt idx="1">
                  <c:v>34.487422234243979</c:v>
                </c:pt>
                <c:pt idx="2">
                  <c:v>22.373195820032198</c:v>
                </c:pt>
                <c:pt idx="3">
                  <c:v>33.791394458211307</c:v>
                </c:pt>
                <c:pt idx="4">
                  <c:v>41.108004110800408</c:v>
                </c:pt>
                <c:pt idx="5">
                  <c:v>83.094555873925501</c:v>
                </c:pt>
                <c:pt idx="6">
                  <c:v>23.617178710076324</c:v>
                </c:pt>
                <c:pt idx="7">
                  <c:v>43.529664660361128</c:v>
                </c:pt>
                <c:pt idx="8">
                  <c:v>27.301826398041801</c:v>
                </c:pt>
                <c:pt idx="9">
                  <c:v>23.268932449583978</c:v>
                </c:pt>
                <c:pt idx="10">
                  <c:v>53.824577363353804</c:v>
                </c:pt>
                <c:pt idx="11">
                  <c:v>33.958891867739055</c:v>
                </c:pt>
                <c:pt idx="12">
                  <c:v>26.389320086929526</c:v>
                </c:pt>
                <c:pt idx="13">
                  <c:v>57.735205353628132</c:v>
                </c:pt>
                <c:pt idx="14">
                  <c:v>19.947749765131334</c:v>
                </c:pt>
                <c:pt idx="15">
                  <c:v>40.156802753609334</c:v>
                </c:pt>
                <c:pt idx="16">
                  <c:v>27.179675000481907</c:v>
                </c:pt>
                <c:pt idx="17">
                  <c:v>25.247424762674207</c:v>
                </c:pt>
                <c:pt idx="18">
                  <c:v>16.715419974926871</c:v>
                </c:pt>
                <c:pt idx="19">
                  <c:v>30.149134252015571</c:v>
                </c:pt>
                <c:pt idx="20">
                  <c:v>42.946164038334736</c:v>
                </c:pt>
              </c:numCache>
            </c:numRef>
          </c:val>
          <c:extLst>
            <c:ext xmlns:c16="http://schemas.microsoft.com/office/drawing/2014/chart" uri="{C3380CC4-5D6E-409C-BE32-E72D297353CC}">
              <c16:uniqueId val="{00000001-3AD9-49D8-AE93-529236BDFA19}"/>
            </c:ext>
          </c:extLst>
        </c:ser>
        <c:dLbls>
          <c:showLegendKey val="0"/>
          <c:showVal val="0"/>
          <c:showCatName val="0"/>
          <c:showSerName val="0"/>
          <c:showPercent val="0"/>
          <c:showBubbleSize val="0"/>
        </c:dLbls>
        <c:gapWidth val="40"/>
        <c:axId val="602030848"/>
        <c:axId val="602032384"/>
      </c:barChart>
      <c:catAx>
        <c:axId val="602023424"/>
        <c:scaling>
          <c:orientation val="maxMin"/>
        </c:scaling>
        <c:delete val="1"/>
        <c:axPos val="l"/>
        <c:majorGridlines/>
        <c:numFmt formatCode="General" sourceLinked="0"/>
        <c:majorTickMark val="out"/>
        <c:minorTickMark val="none"/>
        <c:tickLblPos val="nextTo"/>
        <c:crossAx val="602024960"/>
        <c:crosses val="autoZero"/>
        <c:auto val="1"/>
        <c:lblAlgn val="ctr"/>
        <c:lblOffset val="100"/>
        <c:noMultiLvlLbl val="0"/>
      </c:catAx>
      <c:valAx>
        <c:axId val="602024960"/>
        <c:scaling>
          <c:orientation val="minMax"/>
          <c:max val="100"/>
          <c:min val="0"/>
        </c:scaling>
        <c:delete val="0"/>
        <c:axPos val="b"/>
        <c:majorGridlines>
          <c:spPr>
            <a:ln>
              <a:prstDash val="sysDash"/>
            </a:ln>
          </c:spPr>
        </c:majorGridlines>
        <c:numFmt formatCode="General" sourceLinked="0"/>
        <c:majorTickMark val="cross"/>
        <c:minorTickMark val="none"/>
        <c:tickLblPos val="high"/>
        <c:txPr>
          <a:bodyPr rot="5400000" vert="horz"/>
          <a:lstStyle/>
          <a:p>
            <a:pPr>
              <a:defRPr sz="9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crossAx val="602023424"/>
        <c:crosses val="max"/>
        <c:crossBetween val="between"/>
      </c:valAx>
      <c:catAx>
        <c:axId val="602030848"/>
        <c:scaling>
          <c:orientation val="maxMin"/>
        </c:scaling>
        <c:delete val="1"/>
        <c:axPos val="l"/>
        <c:numFmt formatCode="General" sourceLinked="0"/>
        <c:majorTickMark val="out"/>
        <c:minorTickMark val="none"/>
        <c:tickLblPos val="nextTo"/>
        <c:crossAx val="602032384"/>
        <c:crosses val="autoZero"/>
        <c:auto val="1"/>
        <c:lblAlgn val="ctr"/>
        <c:lblOffset val="100"/>
        <c:noMultiLvlLbl val="0"/>
      </c:catAx>
      <c:valAx>
        <c:axId val="602032384"/>
        <c:scaling>
          <c:orientation val="minMax"/>
        </c:scaling>
        <c:delete val="1"/>
        <c:axPos val="t"/>
        <c:numFmt formatCode="0.0" sourceLinked="1"/>
        <c:majorTickMark val="out"/>
        <c:minorTickMark val="none"/>
        <c:tickLblPos val="nextTo"/>
        <c:crossAx val="602030848"/>
        <c:crosses val="autoZero"/>
        <c:crossBetween val="between"/>
      </c:valAx>
      <c:spPr>
        <a:noFill/>
        <a:ln w="15875">
          <a:solidFill>
            <a:schemeClr val="tx1">
              <a:lumMod val="50000"/>
              <a:lumOff val="50000"/>
            </a:schemeClr>
          </a:solidFill>
        </a:ln>
      </c:spPr>
    </c:plotArea>
    <c:plotVisOnly val="0"/>
    <c:dispBlanksAs val="zero"/>
    <c:showDLblsOverMax val="0"/>
  </c:chart>
  <c:spPr>
    <a:solidFill>
      <a:srgbClr val="FFFFFF"/>
    </a:solidFill>
    <a:ln w="3175">
      <a:solidFill>
        <a:srgbClr val="000000"/>
      </a:solidFill>
      <a:prstDash val="solid"/>
    </a:ln>
  </c:spPr>
  <c:printSettings>
    <c:headerFooter alignWithMargins="0"/>
    <c:pageMargins b="1" l="0.75000000000000488" r="0.75000000000000488" t="1" header="0.5" footer="0.5"/>
    <c:pageSetup orientation="portrait"/>
  </c:printSettings>
</c:chartSpace>
</file>

<file path=xl/ctrlProps/ctrlProp1.xml><?xml version="1.0" encoding="utf-8"?>
<formControlPr xmlns="http://schemas.microsoft.com/office/spreadsheetml/2009/9/main" objectType="CheckBox" checked="Checked" fmlaLink="$AI38" lockText="1" noThreeD="1"/>
</file>

<file path=xl/ctrlProps/ctrlProp10.xml><?xml version="1.0" encoding="utf-8"?>
<formControlPr xmlns="http://schemas.microsoft.com/office/spreadsheetml/2009/9/main" objectType="CheckBox" checked="Checked" fmlaLink="$AI47" lockText="1" noThreeD="1"/>
</file>

<file path=xl/ctrlProps/ctrlProp100.xml><?xml version="1.0" encoding="utf-8"?>
<formControlPr xmlns="http://schemas.microsoft.com/office/spreadsheetml/2009/9/main" objectType="CheckBox" checked="Checked" fmlaLink="$AI$53" lockText="1" noThreeD="1"/>
</file>

<file path=xl/ctrlProps/ctrlProp101.xml><?xml version="1.0" encoding="utf-8"?>
<formControlPr xmlns="http://schemas.microsoft.com/office/spreadsheetml/2009/9/main" objectType="CheckBox" checked="Checked" fmlaLink="$AI$54" lockText="1" noThreeD="1"/>
</file>

<file path=xl/ctrlProps/ctrlProp102.xml><?xml version="1.0" encoding="utf-8"?>
<formControlPr xmlns="http://schemas.microsoft.com/office/spreadsheetml/2009/9/main" objectType="CheckBox" checked="Checked" fmlaLink="$AI$55" lockText="1" noThreeD="1"/>
</file>

<file path=xl/ctrlProps/ctrlProp103.xml><?xml version="1.0" encoding="utf-8"?>
<formControlPr xmlns="http://schemas.microsoft.com/office/spreadsheetml/2009/9/main" objectType="CheckBox" checked="Checked" fmlaLink="$AI$56" lockText="1" noThreeD="1"/>
</file>

<file path=xl/ctrlProps/ctrlProp104.xml><?xml version="1.0" encoding="utf-8"?>
<formControlPr xmlns="http://schemas.microsoft.com/office/spreadsheetml/2009/9/main" objectType="CheckBox" checked="Checked" fmlaLink="$AI$57" lockText="1" noThreeD="1"/>
</file>

<file path=xl/ctrlProps/ctrlProp105.xml><?xml version="1.0" encoding="utf-8"?>
<formControlPr xmlns="http://schemas.microsoft.com/office/spreadsheetml/2009/9/main" objectType="CheckBox" checked="Checked" fmlaLink="$AI$58" lockText="1" noThreeD="1"/>
</file>

<file path=xl/ctrlProps/ctrlProp106.xml><?xml version="1.0" encoding="utf-8"?>
<formControlPr xmlns="http://schemas.microsoft.com/office/spreadsheetml/2009/9/main" objectType="CheckBox" checked="Checked" fmlaLink="$AI38" lockText="1" noThreeD="1"/>
</file>

<file path=xl/ctrlProps/ctrlProp107.xml><?xml version="1.0" encoding="utf-8"?>
<formControlPr xmlns="http://schemas.microsoft.com/office/spreadsheetml/2009/9/main" objectType="CheckBox" checked="Checked" fmlaLink="$AI39" lockText="1" noThreeD="1"/>
</file>

<file path=xl/ctrlProps/ctrlProp108.xml><?xml version="1.0" encoding="utf-8"?>
<formControlPr xmlns="http://schemas.microsoft.com/office/spreadsheetml/2009/9/main" objectType="CheckBox" checked="Checked" fmlaLink="$AI40" lockText="1" noThreeD="1"/>
</file>

<file path=xl/ctrlProps/ctrlProp109.xml><?xml version="1.0" encoding="utf-8"?>
<formControlPr xmlns="http://schemas.microsoft.com/office/spreadsheetml/2009/9/main" objectType="CheckBox" checked="Checked" fmlaLink="$AI41" lockText="1" noThreeD="1"/>
</file>

<file path=xl/ctrlProps/ctrlProp11.xml><?xml version="1.0" encoding="utf-8"?>
<formControlPr xmlns="http://schemas.microsoft.com/office/spreadsheetml/2009/9/main" objectType="CheckBox" checked="Checked" fmlaLink="$AI48" lockText="1" noThreeD="1"/>
</file>

<file path=xl/ctrlProps/ctrlProp110.xml><?xml version="1.0" encoding="utf-8"?>
<formControlPr xmlns="http://schemas.microsoft.com/office/spreadsheetml/2009/9/main" objectType="CheckBox" checked="Checked" fmlaLink="$AI42" lockText="1" noThreeD="1"/>
</file>

<file path=xl/ctrlProps/ctrlProp111.xml><?xml version="1.0" encoding="utf-8"?>
<formControlPr xmlns="http://schemas.microsoft.com/office/spreadsheetml/2009/9/main" objectType="CheckBox" checked="Checked" fmlaLink="$AI43" lockText="1" noThreeD="1"/>
</file>

<file path=xl/ctrlProps/ctrlProp112.xml><?xml version="1.0" encoding="utf-8"?>
<formControlPr xmlns="http://schemas.microsoft.com/office/spreadsheetml/2009/9/main" objectType="CheckBox" checked="Checked" fmlaLink="$AI44" lockText="1" noThreeD="1"/>
</file>

<file path=xl/ctrlProps/ctrlProp113.xml><?xml version="1.0" encoding="utf-8"?>
<formControlPr xmlns="http://schemas.microsoft.com/office/spreadsheetml/2009/9/main" objectType="CheckBox" checked="Checked" fmlaLink="$AI45" lockText="1" noThreeD="1"/>
</file>

<file path=xl/ctrlProps/ctrlProp114.xml><?xml version="1.0" encoding="utf-8"?>
<formControlPr xmlns="http://schemas.microsoft.com/office/spreadsheetml/2009/9/main" objectType="CheckBox" checked="Checked" fmlaLink="$AI46" lockText="1" noThreeD="1"/>
</file>

<file path=xl/ctrlProps/ctrlProp115.xml><?xml version="1.0" encoding="utf-8"?>
<formControlPr xmlns="http://schemas.microsoft.com/office/spreadsheetml/2009/9/main" objectType="CheckBox" checked="Checked" fmlaLink="$AI47" lockText="1" noThreeD="1"/>
</file>

<file path=xl/ctrlProps/ctrlProp116.xml><?xml version="1.0" encoding="utf-8"?>
<formControlPr xmlns="http://schemas.microsoft.com/office/spreadsheetml/2009/9/main" objectType="CheckBox" checked="Checked" fmlaLink="$AI48" lockText="1" noThreeD="1"/>
</file>

<file path=xl/ctrlProps/ctrlProp117.xml><?xml version="1.0" encoding="utf-8"?>
<formControlPr xmlns="http://schemas.microsoft.com/office/spreadsheetml/2009/9/main" objectType="CheckBox" checked="Checked" fmlaLink="$AI49" lockText="1" noThreeD="1"/>
</file>

<file path=xl/ctrlProps/ctrlProp118.xml><?xml version="1.0" encoding="utf-8"?>
<formControlPr xmlns="http://schemas.microsoft.com/office/spreadsheetml/2009/9/main" objectType="CheckBox" checked="Checked" fmlaLink="$AI50" lockText="1" noThreeD="1"/>
</file>

<file path=xl/ctrlProps/ctrlProp119.xml><?xml version="1.0" encoding="utf-8"?>
<formControlPr xmlns="http://schemas.microsoft.com/office/spreadsheetml/2009/9/main" objectType="CheckBox" checked="Checked" fmlaLink="$AI51" lockText="1" noThreeD="1"/>
</file>

<file path=xl/ctrlProps/ctrlProp12.xml><?xml version="1.0" encoding="utf-8"?>
<formControlPr xmlns="http://schemas.microsoft.com/office/spreadsheetml/2009/9/main" objectType="CheckBox" checked="Checked" fmlaLink="$AI49" lockText="1" noThreeD="1"/>
</file>

<file path=xl/ctrlProps/ctrlProp120.xml><?xml version="1.0" encoding="utf-8"?>
<formControlPr xmlns="http://schemas.microsoft.com/office/spreadsheetml/2009/9/main" objectType="CheckBox" checked="Checked" fmlaLink="$AI$52" lockText="1" noThreeD="1"/>
</file>

<file path=xl/ctrlProps/ctrlProp121.xml><?xml version="1.0" encoding="utf-8"?>
<formControlPr xmlns="http://schemas.microsoft.com/office/spreadsheetml/2009/9/main" objectType="CheckBox" checked="Checked" fmlaLink="$AI$53" lockText="1" noThreeD="1"/>
</file>

<file path=xl/ctrlProps/ctrlProp122.xml><?xml version="1.0" encoding="utf-8"?>
<formControlPr xmlns="http://schemas.microsoft.com/office/spreadsheetml/2009/9/main" objectType="CheckBox" checked="Checked" fmlaLink="$AI$54" lockText="1" noThreeD="1"/>
</file>

<file path=xl/ctrlProps/ctrlProp123.xml><?xml version="1.0" encoding="utf-8"?>
<formControlPr xmlns="http://schemas.microsoft.com/office/spreadsheetml/2009/9/main" objectType="CheckBox" checked="Checked" fmlaLink="$AI$55" lockText="1" noThreeD="1"/>
</file>

<file path=xl/ctrlProps/ctrlProp124.xml><?xml version="1.0" encoding="utf-8"?>
<formControlPr xmlns="http://schemas.microsoft.com/office/spreadsheetml/2009/9/main" objectType="CheckBox" checked="Checked" fmlaLink="$AI$56" lockText="1" noThreeD="1"/>
</file>

<file path=xl/ctrlProps/ctrlProp125.xml><?xml version="1.0" encoding="utf-8"?>
<formControlPr xmlns="http://schemas.microsoft.com/office/spreadsheetml/2009/9/main" objectType="CheckBox" checked="Checked" fmlaLink="$AI$57" lockText="1" noThreeD="1"/>
</file>

<file path=xl/ctrlProps/ctrlProp126.xml><?xml version="1.0" encoding="utf-8"?>
<formControlPr xmlns="http://schemas.microsoft.com/office/spreadsheetml/2009/9/main" objectType="CheckBox" checked="Checked" fmlaLink="$AI$58" lockText="1" noThreeD="1"/>
</file>

<file path=xl/ctrlProps/ctrlProp127.xml><?xml version="1.0" encoding="utf-8"?>
<formControlPr xmlns="http://schemas.microsoft.com/office/spreadsheetml/2009/9/main" objectType="CheckBox" checked="Checked" fmlaLink="$AI38" lockText="1" noThreeD="1"/>
</file>

<file path=xl/ctrlProps/ctrlProp128.xml><?xml version="1.0" encoding="utf-8"?>
<formControlPr xmlns="http://schemas.microsoft.com/office/spreadsheetml/2009/9/main" objectType="CheckBox" checked="Checked" fmlaLink="$AI39" lockText="1" noThreeD="1"/>
</file>

<file path=xl/ctrlProps/ctrlProp129.xml><?xml version="1.0" encoding="utf-8"?>
<formControlPr xmlns="http://schemas.microsoft.com/office/spreadsheetml/2009/9/main" objectType="CheckBox" checked="Checked" fmlaLink="$AI40" lockText="1" noThreeD="1"/>
</file>

<file path=xl/ctrlProps/ctrlProp13.xml><?xml version="1.0" encoding="utf-8"?>
<formControlPr xmlns="http://schemas.microsoft.com/office/spreadsheetml/2009/9/main" objectType="CheckBox" checked="Checked" fmlaLink="$AI50" lockText="1" noThreeD="1"/>
</file>

<file path=xl/ctrlProps/ctrlProp130.xml><?xml version="1.0" encoding="utf-8"?>
<formControlPr xmlns="http://schemas.microsoft.com/office/spreadsheetml/2009/9/main" objectType="CheckBox" checked="Checked" fmlaLink="$AI41" lockText="1" noThreeD="1"/>
</file>

<file path=xl/ctrlProps/ctrlProp131.xml><?xml version="1.0" encoding="utf-8"?>
<formControlPr xmlns="http://schemas.microsoft.com/office/spreadsheetml/2009/9/main" objectType="CheckBox" checked="Checked" fmlaLink="$AI42" lockText="1" noThreeD="1"/>
</file>

<file path=xl/ctrlProps/ctrlProp132.xml><?xml version="1.0" encoding="utf-8"?>
<formControlPr xmlns="http://schemas.microsoft.com/office/spreadsheetml/2009/9/main" objectType="CheckBox" checked="Checked" fmlaLink="$AI43" lockText="1" noThreeD="1"/>
</file>

<file path=xl/ctrlProps/ctrlProp133.xml><?xml version="1.0" encoding="utf-8"?>
<formControlPr xmlns="http://schemas.microsoft.com/office/spreadsheetml/2009/9/main" objectType="CheckBox" checked="Checked" fmlaLink="$AI44" lockText="1" noThreeD="1"/>
</file>

<file path=xl/ctrlProps/ctrlProp134.xml><?xml version="1.0" encoding="utf-8"?>
<formControlPr xmlns="http://schemas.microsoft.com/office/spreadsheetml/2009/9/main" objectType="CheckBox" checked="Checked" fmlaLink="$AI45" lockText="1" noThreeD="1"/>
</file>

<file path=xl/ctrlProps/ctrlProp135.xml><?xml version="1.0" encoding="utf-8"?>
<formControlPr xmlns="http://schemas.microsoft.com/office/spreadsheetml/2009/9/main" objectType="CheckBox" checked="Checked" fmlaLink="$AI46" lockText="1" noThreeD="1"/>
</file>

<file path=xl/ctrlProps/ctrlProp136.xml><?xml version="1.0" encoding="utf-8"?>
<formControlPr xmlns="http://schemas.microsoft.com/office/spreadsheetml/2009/9/main" objectType="CheckBox" checked="Checked" fmlaLink="$AI47" lockText="1" noThreeD="1"/>
</file>

<file path=xl/ctrlProps/ctrlProp137.xml><?xml version="1.0" encoding="utf-8"?>
<formControlPr xmlns="http://schemas.microsoft.com/office/spreadsheetml/2009/9/main" objectType="CheckBox" checked="Checked" fmlaLink="$AI48" lockText="1" noThreeD="1"/>
</file>

<file path=xl/ctrlProps/ctrlProp138.xml><?xml version="1.0" encoding="utf-8"?>
<formControlPr xmlns="http://schemas.microsoft.com/office/spreadsheetml/2009/9/main" objectType="CheckBox" checked="Checked" fmlaLink="$AI49" lockText="1" noThreeD="1"/>
</file>

<file path=xl/ctrlProps/ctrlProp139.xml><?xml version="1.0" encoding="utf-8"?>
<formControlPr xmlns="http://schemas.microsoft.com/office/spreadsheetml/2009/9/main" objectType="CheckBox" checked="Checked" fmlaLink="$AI50" lockText="1" noThreeD="1"/>
</file>

<file path=xl/ctrlProps/ctrlProp14.xml><?xml version="1.0" encoding="utf-8"?>
<formControlPr xmlns="http://schemas.microsoft.com/office/spreadsheetml/2009/9/main" objectType="CheckBox" checked="Checked" fmlaLink="$AI51" lockText="1" noThreeD="1"/>
</file>

<file path=xl/ctrlProps/ctrlProp140.xml><?xml version="1.0" encoding="utf-8"?>
<formControlPr xmlns="http://schemas.microsoft.com/office/spreadsheetml/2009/9/main" objectType="CheckBox" checked="Checked" fmlaLink="$AI51" lockText="1" noThreeD="1"/>
</file>

<file path=xl/ctrlProps/ctrlProp141.xml><?xml version="1.0" encoding="utf-8"?>
<formControlPr xmlns="http://schemas.microsoft.com/office/spreadsheetml/2009/9/main" objectType="CheckBox" checked="Checked" fmlaLink="$AI$52" lockText="1" noThreeD="1"/>
</file>

<file path=xl/ctrlProps/ctrlProp142.xml><?xml version="1.0" encoding="utf-8"?>
<formControlPr xmlns="http://schemas.microsoft.com/office/spreadsheetml/2009/9/main" objectType="CheckBox" checked="Checked" fmlaLink="$AI$53" lockText="1" noThreeD="1"/>
</file>

<file path=xl/ctrlProps/ctrlProp143.xml><?xml version="1.0" encoding="utf-8"?>
<formControlPr xmlns="http://schemas.microsoft.com/office/spreadsheetml/2009/9/main" objectType="CheckBox" checked="Checked" fmlaLink="$AI$54" lockText="1" noThreeD="1"/>
</file>

<file path=xl/ctrlProps/ctrlProp144.xml><?xml version="1.0" encoding="utf-8"?>
<formControlPr xmlns="http://schemas.microsoft.com/office/spreadsheetml/2009/9/main" objectType="CheckBox" checked="Checked" fmlaLink="$AI$55" lockText="1" noThreeD="1"/>
</file>

<file path=xl/ctrlProps/ctrlProp145.xml><?xml version="1.0" encoding="utf-8"?>
<formControlPr xmlns="http://schemas.microsoft.com/office/spreadsheetml/2009/9/main" objectType="CheckBox" checked="Checked" fmlaLink="$AI$56" lockText="1" noThreeD="1"/>
</file>

<file path=xl/ctrlProps/ctrlProp146.xml><?xml version="1.0" encoding="utf-8"?>
<formControlPr xmlns="http://schemas.microsoft.com/office/spreadsheetml/2009/9/main" objectType="CheckBox" checked="Checked" fmlaLink="$AI$57" lockText="1" noThreeD="1"/>
</file>

<file path=xl/ctrlProps/ctrlProp147.xml><?xml version="1.0" encoding="utf-8"?>
<formControlPr xmlns="http://schemas.microsoft.com/office/spreadsheetml/2009/9/main" objectType="CheckBox" checked="Checked" fmlaLink="$AI$58" lockText="1" noThreeD="1"/>
</file>

<file path=xl/ctrlProps/ctrlProp148.xml><?xml version="1.0" encoding="utf-8"?>
<formControlPr xmlns="http://schemas.microsoft.com/office/spreadsheetml/2009/9/main" objectType="CheckBox" checked="Checked" fmlaLink="$AI38" lockText="1" noThreeD="1"/>
</file>

<file path=xl/ctrlProps/ctrlProp149.xml><?xml version="1.0" encoding="utf-8"?>
<formControlPr xmlns="http://schemas.microsoft.com/office/spreadsheetml/2009/9/main" objectType="CheckBox" checked="Checked" fmlaLink="$AI39" lockText="1" noThreeD="1"/>
</file>

<file path=xl/ctrlProps/ctrlProp15.xml><?xml version="1.0" encoding="utf-8"?>
<formControlPr xmlns="http://schemas.microsoft.com/office/spreadsheetml/2009/9/main" objectType="CheckBox" checked="Checked" fmlaLink="$AI$52" lockText="1" noThreeD="1"/>
</file>

<file path=xl/ctrlProps/ctrlProp150.xml><?xml version="1.0" encoding="utf-8"?>
<formControlPr xmlns="http://schemas.microsoft.com/office/spreadsheetml/2009/9/main" objectType="CheckBox" checked="Checked" fmlaLink="$AI40" lockText="1" noThreeD="1"/>
</file>

<file path=xl/ctrlProps/ctrlProp151.xml><?xml version="1.0" encoding="utf-8"?>
<formControlPr xmlns="http://schemas.microsoft.com/office/spreadsheetml/2009/9/main" objectType="CheckBox" checked="Checked" fmlaLink="$AI41" lockText="1" noThreeD="1"/>
</file>

<file path=xl/ctrlProps/ctrlProp152.xml><?xml version="1.0" encoding="utf-8"?>
<formControlPr xmlns="http://schemas.microsoft.com/office/spreadsheetml/2009/9/main" objectType="CheckBox" checked="Checked" fmlaLink="$AI42" lockText="1" noThreeD="1"/>
</file>

<file path=xl/ctrlProps/ctrlProp153.xml><?xml version="1.0" encoding="utf-8"?>
<formControlPr xmlns="http://schemas.microsoft.com/office/spreadsheetml/2009/9/main" objectType="CheckBox" checked="Checked" fmlaLink="$AI43" lockText="1" noThreeD="1"/>
</file>

<file path=xl/ctrlProps/ctrlProp154.xml><?xml version="1.0" encoding="utf-8"?>
<formControlPr xmlns="http://schemas.microsoft.com/office/spreadsheetml/2009/9/main" objectType="CheckBox" checked="Checked" fmlaLink="$AI44" lockText="1" noThreeD="1"/>
</file>

<file path=xl/ctrlProps/ctrlProp155.xml><?xml version="1.0" encoding="utf-8"?>
<formControlPr xmlns="http://schemas.microsoft.com/office/spreadsheetml/2009/9/main" objectType="CheckBox" checked="Checked" fmlaLink="$AI45" lockText="1" noThreeD="1"/>
</file>

<file path=xl/ctrlProps/ctrlProp156.xml><?xml version="1.0" encoding="utf-8"?>
<formControlPr xmlns="http://schemas.microsoft.com/office/spreadsheetml/2009/9/main" objectType="CheckBox" checked="Checked" fmlaLink="$AI46" lockText="1" noThreeD="1"/>
</file>

<file path=xl/ctrlProps/ctrlProp157.xml><?xml version="1.0" encoding="utf-8"?>
<formControlPr xmlns="http://schemas.microsoft.com/office/spreadsheetml/2009/9/main" objectType="CheckBox" checked="Checked" fmlaLink="$AI47" lockText="1" noThreeD="1"/>
</file>

<file path=xl/ctrlProps/ctrlProp158.xml><?xml version="1.0" encoding="utf-8"?>
<formControlPr xmlns="http://schemas.microsoft.com/office/spreadsheetml/2009/9/main" objectType="CheckBox" checked="Checked" fmlaLink="$AI48" lockText="1" noThreeD="1"/>
</file>

<file path=xl/ctrlProps/ctrlProp159.xml><?xml version="1.0" encoding="utf-8"?>
<formControlPr xmlns="http://schemas.microsoft.com/office/spreadsheetml/2009/9/main" objectType="CheckBox" checked="Checked" fmlaLink="$AI49" lockText="1" noThreeD="1"/>
</file>

<file path=xl/ctrlProps/ctrlProp16.xml><?xml version="1.0" encoding="utf-8"?>
<formControlPr xmlns="http://schemas.microsoft.com/office/spreadsheetml/2009/9/main" objectType="CheckBox" checked="Checked" fmlaLink="$AI$53" lockText="1" noThreeD="1"/>
</file>

<file path=xl/ctrlProps/ctrlProp160.xml><?xml version="1.0" encoding="utf-8"?>
<formControlPr xmlns="http://schemas.microsoft.com/office/spreadsheetml/2009/9/main" objectType="CheckBox" checked="Checked" fmlaLink="$AI50" lockText="1" noThreeD="1"/>
</file>

<file path=xl/ctrlProps/ctrlProp161.xml><?xml version="1.0" encoding="utf-8"?>
<formControlPr xmlns="http://schemas.microsoft.com/office/spreadsheetml/2009/9/main" objectType="CheckBox" checked="Checked" fmlaLink="$AI51" lockText="1" noThreeD="1"/>
</file>

<file path=xl/ctrlProps/ctrlProp162.xml><?xml version="1.0" encoding="utf-8"?>
<formControlPr xmlns="http://schemas.microsoft.com/office/spreadsheetml/2009/9/main" objectType="CheckBox" checked="Checked" fmlaLink="$AI$52" lockText="1" noThreeD="1"/>
</file>

<file path=xl/ctrlProps/ctrlProp163.xml><?xml version="1.0" encoding="utf-8"?>
<formControlPr xmlns="http://schemas.microsoft.com/office/spreadsheetml/2009/9/main" objectType="CheckBox" checked="Checked" fmlaLink="$AI$53" lockText="1" noThreeD="1"/>
</file>

<file path=xl/ctrlProps/ctrlProp164.xml><?xml version="1.0" encoding="utf-8"?>
<formControlPr xmlns="http://schemas.microsoft.com/office/spreadsheetml/2009/9/main" objectType="CheckBox" checked="Checked" fmlaLink="$AI$54" lockText="1" noThreeD="1"/>
</file>

<file path=xl/ctrlProps/ctrlProp165.xml><?xml version="1.0" encoding="utf-8"?>
<formControlPr xmlns="http://schemas.microsoft.com/office/spreadsheetml/2009/9/main" objectType="CheckBox" checked="Checked" fmlaLink="$AI$55" lockText="1" noThreeD="1"/>
</file>

<file path=xl/ctrlProps/ctrlProp166.xml><?xml version="1.0" encoding="utf-8"?>
<formControlPr xmlns="http://schemas.microsoft.com/office/spreadsheetml/2009/9/main" objectType="CheckBox" checked="Checked" fmlaLink="$AI$56" lockText="1" noThreeD="1"/>
</file>

<file path=xl/ctrlProps/ctrlProp167.xml><?xml version="1.0" encoding="utf-8"?>
<formControlPr xmlns="http://schemas.microsoft.com/office/spreadsheetml/2009/9/main" objectType="CheckBox" checked="Checked" fmlaLink="$AI$57" lockText="1" noThreeD="1"/>
</file>

<file path=xl/ctrlProps/ctrlProp168.xml><?xml version="1.0" encoding="utf-8"?>
<formControlPr xmlns="http://schemas.microsoft.com/office/spreadsheetml/2009/9/main" objectType="CheckBox" checked="Checked" fmlaLink="$AI$58" lockText="1" noThreeD="1"/>
</file>

<file path=xl/ctrlProps/ctrlProp169.xml><?xml version="1.0" encoding="utf-8"?>
<formControlPr xmlns="http://schemas.microsoft.com/office/spreadsheetml/2009/9/main" objectType="CheckBox" checked="Checked" fmlaLink="$AI38" lockText="1" noThreeD="1"/>
</file>

<file path=xl/ctrlProps/ctrlProp17.xml><?xml version="1.0" encoding="utf-8"?>
<formControlPr xmlns="http://schemas.microsoft.com/office/spreadsheetml/2009/9/main" objectType="CheckBox" checked="Checked" fmlaLink="$AI$54" lockText="1" noThreeD="1"/>
</file>

<file path=xl/ctrlProps/ctrlProp170.xml><?xml version="1.0" encoding="utf-8"?>
<formControlPr xmlns="http://schemas.microsoft.com/office/spreadsheetml/2009/9/main" objectType="CheckBox" checked="Checked" fmlaLink="$AI39" lockText="1" noThreeD="1"/>
</file>

<file path=xl/ctrlProps/ctrlProp171.xml><?xml version="1.0" encoding="utf-8"?>
<formControlPr xmlns="http://schemas.microsoft.com/office/spreadsheetml/2009/9/main" objectType="CheckBox" checked="Checked" fmlaLink="$AI40" lockText="1" noThreeD="1"/>
</file>

<file path=xl/ctrlProps/ctrlProp172.xml><?xml version="1.0" encoding="utf-8"?>
<formControlPr xmlns="http://schemas.microsoft.com/office/spreadsheetml/2009/9/main" objectType="CheckBox" checked="Checked" fmlaLink="$AI41" lockText="1" noThreeD="1"/>
</file>

<file path=xl/ctrlProps/ctrlProp173.xml><?xml version="1.0" encoding="utf-8"?>
<formControlPr xmlns="http://schemas.microsoft.com/office/spreadsheetml/2009/9/main" objectType="CheckBox" checked="Checked" fmlaLink="$AI42" lockText="1" noThreeD="1"/>
</file>

<file path=xl/ctrlProps/ctrlProp174.xml><?xml version="1.0" encoding="utf-8"?>
<formControlPr xmlns="http://schemas.microsoft.com/office/spreadsheetml/2009/9/main" objectType="CheckBox" checked="Checked" fmlaLink="$AI43" lockText="1" noThreeD="1"/>
</file>

<file path=xl/ctrlProps/ctrlProp175.xml><?xml version="1.0" encoding="utf-8"?>
<formControlPr xmlns="http://schemas.microsoft.com/office/spreadsheetml/2009/9/main" objectType="CheckBox" checked="Checked" fmlaLink="$AI44" lockText="1" noThreeD="1"/>
</file>

<file path=xl/ctrlProps/ctrlProp176.xml><?xml version="1.0" encoding="utf-8"?>
<formControlPr xmlns="http://schemas.microsoft.com/office/spreadsheetml/2009/9/main" objectType="CheckBox" checked="Checked" fmlaLink="$AI45" lockText="1" noThreeD="1"/>
</file>

<file path=xl/ctrlProps/ctrlProp177.xml><?xml version="1.0" encoding="utf-8"?>
<formControlPr xmlns="http://schemas.microsoft.com/office/spreadsheetml/2009/9/main" objectType="CheckBox" checked="Checked" fmlaLink="$AI46" lockText="1" noThreeD="1"/>
</file>

<file path=xl/ctrlProps/ctrlProp178.xml><?xml version="1.0" encoding="utf-8"?>
<formControlPr xmlns="http://schemas.microsoft.com/office/spreadsheetml/2009/9/main" objectType="CheckBox" checked="Checked" fmlaLink="$AI47" lockText="1" noThreeD="1"/>
</file>

<file path=xl/ctrlProps/ctrlProp179.xml><?xml version="1.0" encoding="utf-8"?>
<formControlPr xmlns="http://schemas.microsoft.com/office/spreadsheetml/2009/9/main" objectType="CheckBox" checked="Checked" fmlaLink="$AI48" lockText="1" noThreeD="1"/>
</file>

<file path=xl/ctrlProps/ctrlProp18.xml><?xml version="1.0" encoding="utf-8"?>
<formControlPr xmlns="http://schemas.microsoft.com/office/spreadsheetml/2009/9/main" objectType="CheckBox" checked="Checked" fmlaLink="$AI$55" lockText="1" noThreeD="1"/>
</file>

<file path=xl/ctrlProps/ctrlProp180.xml><?xml version="1.0" encoding="utf-8"?>
<formControlPr xmlns="http://schemas.microsoft.com/office/spreadsheetml/2009/9/main" objectType="CheckBox" checked="Checked" fmlaLink="$AI49" lockText="1" noThreeD="1"/>
</file>

<file path=xl/ctrlProps/ctrlProp181.xml><?xml version="1.0" encoding="utf-8"?>
<formControlPr xmlns="http://schemas.microsoft.com/office/spreadsheetml/2009/9/main" objectType="CheckBox" checked="Checked" fmlaLink="$AI50" lockText="1" noThreeD="1"/>
</file>

<file path=xl/ctrlProps/ctrlProp182.xml><?xml version="1.0" encoding="utf-8"?>
<formControlPr xmlns="http://schemas.microsoft.com/office/spreadsheetml/2009/9/main" objectType="CheckBox" checked="Checked" fmlaLink="$AI51" lockText="1" noThreeD="1"/>
</file>

<file path=xl/ctrlProps/ctrlProp183.xml><?xml version="1.0" encoding="utf-8"?>
<formControlPr xmlns="http://schemas.microsoft.com/office/spreadsheetml/2009/9/main" objectType="CheckBox" checked="Checked" fmlaLink="$AI$52" lockText="1" noThreeD="1"/>
</file>

<file path=xl/ctrlProps/ctrlProp184.xml><?xml version="1.0" encoding="utf-8"?>
<formControlPr xmlns="http://schemas.microsoft.com/office/spreadsheetml/2009/9/main" objectType="CheckBox" checked="Checked" fmlaLink="$AI$53" lockText="1" noThreeD="1"/>
</file>

<file path=xl/ctrlProps/ctrlProp185.xml><?xml version="1.0" encoding="utf-8"?>
<formControlPr xmlns="http://schemas.microsoft.com/office/spreadsheetml/2009/9/main" objectType="CheckBox" checked="Checked" fmlaLink="$AI$54" lockText="1" noThreeD="1"/>
</file>

<file path=xl/ctrlProps/ctrlProp186.xml><?xml version="1.0" encoding="utf-8"?>
<formControlPr xmlns="http://schemas.microsoft.com/office/spreadsheetml/2009/9/main" objectType="CheckBox" checked="Checked" fmlaLink="$AI$55" lockText="1" noThreeD="1"/>
</file>

<file path=xl/ctrlProps/ctrlProp187.xml><?xml version="1.0" encoding="utf-8"?>
<formControlPr xmlns="http://schemas.microsoft.com/office/spreadsheetml/2009/9/main" objectType="CheckBox" checked="Checked" fmlaLink="$AI$56" lockText="1" noThreeD="1"/>
</file>

<file path=xl/ctrlProps/ctrlProp188.xml><?xml version="1.0" encoding="utf-8"?>
<formControlPr xmlns="http://schemas.microsoft.com/office/spreadsheetml/2009/9/main" objectType="CheckBox" checked="Checked" fmlaLink="$AI$57" lockText="1" noThreeD="1"/>
</file>

<file path=xl/ctrlProps/ctrlProp189.xml><?xml version="1.0" encoding="utf-8"?>
<formControlPr xmlns="http://schemas.microsoft.com/office/spreadsheetml/2009/9/main" objectType="CheckBox" checked="Checked" fmlaLink="$AI$58" lockText="1" noThreeD="1"/>
</file>

<file path=xl/ctrlProps/ctrlProp19.xml><?xml version="1.0" encoding="utf-8"?>
<formControlPr xmlns="http://schemas.microsoft.com/office/spreadsheetml/2009/9/main" objectType="CheckBox" checked="Checked" fmlaLink="$AI$56" lockText="1" noThreeD="1"/>
</file>

<file path=xl/ctrlProps/ctrlProp190.xml><?xml version="1.0" encoding="utf-8"?>
<formControlPr xmlns="http://schemas.microsoft.com/office/spreadsheetml/2009/9/main" objectType="CheckBox" checked="Checked" fmlaLink="$AI41" lockText="1" noThreeD="1"/>
</file>

<file path=xl/ctrlProps/ctrlProp191.xml><?xml version="1.0" encoding="utf-8"?>
<formControlPr xmlns="http://schemas.microsoft.com/office/spreadsheetml/2009/9/main" objectType="CheckBox" checked="Checked" fmlaLink="$AI42" lockText="1" noThreeD="1"/>
</file>

<file path=xl/ctrlProps/ctrlProp192.xml><?xml version="1.0" encoding="utf-8"?>
<formControlPr xmlns="http://schemas.microsoft.com/office/spreadsheetml/2009/9/main" objectType="CheckBox" checked="Checked" fmlaLink="$AI43" lockText="1" noThreeD="1"/>
</file>

<file path=xl/ctrlProps/ctrlProp193.xml><?xml version="1.0" encoding="utf-8"?>
<formControlPr xmlns="http://schemas.microsoft.com/office/spreadsheetml/2009/9/main" objectType="CheckBox" checked="Checked" fmlaLink="$AI44" lockText="1" noThreeD="1"/>
</file>

<file path=xl/ctrlProps/ctrlProp194.xml><?xml version="1.0" encoding="utf-8"?>
<formControlPr xmlns="http://schemas.microsoft.com/office/spreadsheetml/2009/9/main" objectType="CheckBox" checked="Checked" fmlaLink="$AI45" lockText="1" noThreeD="1"/>
</file>

<file path=xl/ctrlProps/ctrlProp195.xml><?xml version="1.0" encoding="utf-8"?>
<formControlPr xmlns="http://schemas.microsoft.com/office/spreadsheetml/2009/9/main" objectType="CheckBox" checked="Checked" fmlaLink="$AI46" lockText="1" noThreeD="1"/>
</file>

<file path=xl/ctrlProps/ctrlProp196.xml><?xml version="1.0" encoding="utf-8"?>
<formControlPr xmlns="http://schemas.microsoft.com/office/spreadsheetml/2009/9/main" objectType="CheckBox" checked="Checked" fmlaLink="$AI47" lockText="1" noThreeD="1"/>
</file>

<file path=xl/ctrlProps/ctrlProp197.xml><?xml version="1.0" encoding="utf-8"?>
<formControlPr xmlns="http://schemas.microsoft.com/office/spreadsheetml/2009/9/main" objectType="CheckBox" checked="Checked" fmlaLink="$AI48" lockText="1" noThreeD="1"/>
</file>

<file path=xl/ctrlProps/ctrlProp198.xml><?xml version="1.0" encoding="utf-8"?>
<formControlPr xmlns="http://schemas.microsoft.com/office/spreadsheetml/2009/9/main" objectType="CheckBox" checked="Checked" fmlaLink="$AI49" lockText="1" noThreeD="1"/>
</file>

<file path=xl/ctrlProps/ctrlProp199.xml><?xml version="1.0" encoding="utf-8"?>
<formControlPr xmlns="http://schemas.microsoft.com/office/spreadsheetml/2009/9/main" objectType="CheckBox" checked="Checked" fmlaLink="$AI50" lockText="1" noThreeD="1"/>
</file>

<file path=xl/ctrlProps/ctrlProp2.xml><?xml version="1.0" encoding="utf-8"?>
<formControlPr xmlns="http://schemas.microsoft.com/office/spreadsheetml/2009/9/main" objectType="CheckBox" checked="Checked" fmlaLink="$AI39" lockText="1" noThreeD="1"/>
</file>

<file path=xl/ctrlProps/ctrlProp20.xml><?xml version="1.0" encoding="utf-8"?>
<formControlPr xmlns="http://schemas.microsoft.com/office/spreadsheetml/2009/9/main" objectType="CheckBox" checked="Checked" fmlaLink="$AI$57" lockText="1" noThreeD="1"/>
</file>

<file path=xl/ctrlProps/ctrlProp200.xml><?xml version="1.0" encoding="utf-8"?>
<formControlPr xmlns="http://schemas.microsoft.com/office/spreadsheetml/2009/9/main" objectType="CheckBox" checked="Checked" fmlaLink="$AI51" lockText="1" noThreeD="1"/>
</file>

<file path=xl/ctrlProps/ctrlProp201.xml><?xml version="1.0" encoding="utf-8"?>
<formControlPr xmlns="http://schemas.microsoft.com/office/spreadsheetml/2009/9/main" objectType="CheckBox" checked="Checked" fmlaLink="$AI$52" lockText="1" noThreeD="1"/>
</file>

<file path=xl/ctrlProps/ctrlProp202.xml><?xml version="1.0" encoding="utf-8"?>
<formControlPr xmlns="http://schemas.microsoft.com/office/spreadsheetml/2009/9/main" objectType="CheckBox" checked="Checked" fmlaLink="$AI$53" lockText="1" noThreeD="1"/>
</file>

<file path=xl/ctrlProps/ctrlProp203.xml><?xml version="1.0" encoding="utf-8"?>
<formControlPr xmlns="http://schemas.microsoft.com/office/spreadsheetml/2009/9/main" objectType="CheckBox" checked="Checked" fmlaLink="$AI$54" lockText="1" noThreeD="1"/>
</file>

<file path=xl/ctrlProps/ctrlProp204.xml><?xml version="1.0" encoding="utf-8"?>
<formControlPr xmlns="http://schemas.microsoft.com/office/spreadsheetml/2009/9/main" objectType="CheckBox" checked="Checked" fmlaLink="$AI$55" lockText="1" noThreeD="1"/>
</file>

<file path=xl/ctrlProps/ctrlProp205.xml><?xml version="1.0" encoding="utf-8"?>
<formControlPr xmlns="http://schemas.microsoft.com/office/spreadsheetml/2009/9/main" objectType="CheckBox" checked="Checked" fmlaLink="$AI$56" lockText="1" noThreeD="1"/>
</file>

<file path=xl/ctrlProps/ctrlProp206.xml><?xml version="1.0" encoding="utf-8"?>
<formControlPr xmlns="http://schemas.microsoft.com/office/spreadsheetml/2009/9/main" objectType="CheckBox" checked="Checked" fmlaLink="$AI$57" lockText="1" noThreeD="1"/>
</file>

<file path=xl/ctrlProps/ctrlProp207.xml><?xml version="1.0" encoding="utf-8"?>
<formControlPr xmlns="http://schemas.microsoft.com/office/spreadsheetml/2009/9/main" objectType="CheckBox" checked="Checked" fmlaLink="$AI$58" lockText="1" noThreeD="1"/>
</file>

<file path=xl/ctrlProps/ctrlProp208.xml><?xml version="1.0" encoding="utf-8"?>
<formControlPr xmlns="http://schemas.microsoft.com/office/spreadsheetml/2009/9/main" objectType="CheckBox" checked="Checked" fmlaLink="$AI38" lockText="1" noThreeD="1"/>
</file>

<file path=xl/ctrlProps/ctrlProp209.xml><?xml version="1.0" encoding="utf-8"?>
<formControlPr xmlns="http://schemas.microsoft.com/office/spreadsheetml/2009/9/main" objectType="CheckBox" checked="Checked" fmlaLink="$AI39" lockText="1" noThreeD="1"/>
</file>

<file path=xl/ctrlProps/ctrlProp21.xml><?xml version="1.0" encoding="utf-8"?>
<formControlPr xmlns="http://schemas.microsoft.com/office/spreadsheetml/2009/9/main" objectType="CheckBox" checked="Checked" fmlaLink="$AI$58" lockText="1" noThreeD="1"/>
</file>

<file path=xl/ctrlProps/ctrlProp210.xml><?xml version="1.0" encoding="utf-8"?>
<formControlPr xmlns="http://schemas.microsoft.com/office/spreadsheetml/2009/9/main" objectType="CheckBox" checked="Checked" fmlaLink="$AI40" lockText="1" noThreeD="1"/>
</file>

<file path=xl/ctrlProps/ctrlProp211.xml><?xml version="1.0" encoding="utf-8"?>
<formControlPr xmlns="http://schemas.microsoft.com/office/spreadsheetml/2009/9/main" objectType="CheckBox" checked="Checked" fmlaLink="$AJ38" lockText="1" noThreeD="1"/>
</file>

<file path=xl/ctrlProps/ctrlProp212.xml><?xml version="1.0" encoding="utf-8"?>
<formControlPr xmlns="http://schemas.microsoft.com/office/spreadsheetml/2009/9/main" objectType="CheckBox" checked="Checked" fmlaLink="$AJ39" lockText="1" noThreeD="1"/>
</file>

<file path=xl/ctrlProps/ctrlProp213.xml><?xml version="1.0" encoding="utf-8"?>
<formControlPr xmlns="http://schemas.microsoft.com/office/spreadsheetml/2009/9/main" objectType="CheckBox" checked="Checked" fmlaLink="$AJ40" lockText="1" noThreeD="1"/>
</file>

<file path=xl/ctrlProps/ctrlProp214.xml><?xml version="1.0" encoding="utf-8"?>
<formControlPr xmlns="http://schemas.microsoft.com/office/spreadsheetml/2009/9/main" objectType="CheckBox" checked="Checked" fmlaLink="$AJ41" lockText="1" noThreeD="1"/>
</file>

<file path=xl/ctrlProps/ctrlProp215.xml><?xml version="1.0" encoding="utf-8"?>
<formControlPr xmlns="http://schemas.microsoft.com/office/spreadsheetml/2009/9/main" objectType="CheckBox" checked="Checked" fmlaLink="$AJ42" lockText="1" noThreeD="1"/>
</file>

<file path=xl/ctrlProps/ctrlProp216.xml><?xml version="1.0" encoding="utf-8"?>
<formControlPr xmlns="http://schemas.microsoft.com/office/spreadsheetml/2009/9/main" objectType="CheckBox" checked="Checked" fmlaLink="$AJ43" lockText="1" noThreeD="1"/>
</file>

<file path=xl/ctrlProps/ctrlProp217.xml><?xml version="1.0" encoding="utf-8"?>
<formControlPr xmlns="http://schemas.microsoft.com/office/spreadsheetml/2009/9/main" objectType="CheckBox" checked="Checked" fmlaLink="$AJ44" lockText="1" noThreeD="1"/>
</file>

<file path=xl/ctrlProps/ctrlProp218.xml><?xml version="1.0" encoding="utf-8"?>
<formControlPr xmlns="http://schemas.microsoft.com/office/spreadsheetml/2009/9/main" objectType="CheckBox" checked="Checked" fmlaLink="$AJ45" lockText="1" noThreeD="1"/>
</file>

<file path=xl/ctrlProps/ctrlProp219.xml><?xml version="1.0" encoding="utf-8"?>
<formControlPr xmlns="http://schemas.microsoft.com/office/spreadsheetml/2009/9/main" objectType="CheckBox" checked="Checked" fmlaLink="$AJ46" lockText="1" noThreeD="1"/>
</file>

<file path=xl/ctrlProps/ctrlProp22.xml><?xml version="1.0" encoding="utf-8"?>
<formControlPr xmlns="http://schemas.microsoft.com/office/spreadsheetml/2009/9/main" objectType="CheckBox" checked="Checked" fmlaLink="$AI38" lockText="1" noThreeD="1"/>
</file>

<file path=xl/ctrlProps/ctrlProp220.xml><?xml version="1.0" encoding="utf-8"?>
<formControlPr xmlns="http://schemas.microsoft.com/office/spreadsheetml/2009/9/main" objectType="CheckBox" checked="Checked" fmlaLink="$AJ47" lockText="1" noThreeD="1"/>
</file>

<file path=xl/ctrlProps/ctrlProp221.xml><?xml version="1.0" encoding="utf-8"?>
<formControlPr xmlns="http://schemas.microsoft.com/office/spreadsheetml/2009/9/main" objectType="CheckBox" checked="Checked" fmlaLink="$AJ48" lockText="1" noThreeD="1"/>
</file>

<file path=xl/ctrlProps/ctrlProp222.xml><?xml version="1.0" encoding="utf-8"?>
<formControlPr xmlns="http://schemas.microsoft.com/office/spreadsheetml/2009/9/main" objectType="CheckBox" checked="Checked" fmlaLink="$AJ49" lockText="1" noThreeD="1"/>
</file>

<file path=xl/ctrlProps/ctrlProp223.xml><?xml version="1.0" encoding="utf-8"?>
<formControlPr xmlns="http://schemas.microsoft.com/office/spreadsheetml/2009/9/main" objectType="CheckBox" checked="Checked" fmlaLink="$AJ50" lockText="1" noThreeD="1"/>
</file>

<file path=xl/ctrlProps/ctrlProp224.xml><?xml version="1.0" encoding="utf-8"?>
<formControlPr xmlns="http://schemas.microsoft.com/office/spreadsheetml/2009/9/main" objectType="CheckBox" checked="Checked" fmlaLink="$AJ51" lockText="1" noThreeD="1"/>
</file>

<file path=xl/ctrlProps/ctrlProp225.xml><?xml version="1.0" encoding="utf-8"?>
<formControlPr xmlns="http://schemas.microsoft.com/office/spreadsheetml/2009/9/main" objectType="CheckBox" checked="Checked" fmlaLink="$AJ$52" lockText="1" noThreeD="1"/>
</file>

<file path=xl/ctrlProps/ctrlProp226.xml><?xml version="1.0" encoding="utf-8"?>
<formControlPr xmlns="http://schemas.microsoft.com/office/spreadsheetml/2009/9/main" objectType="CheckBox" checked="Checked" fmlaLink="$AJ$53" lockText="1" noThreeD="1"/>
</file>

<file path=xl/ctrlProps/ctrlProp227.xml><?xml version="1.0" encoding="utf-8"?>
<formControlPr xmlns="http://schemas.microsoft.com/office/spreadsheetml/2009/9/main" objectType="CheckBox" checked="Checked" fmlaLink="$AJ$54" lockText="1" noThreeD="1"/>
</file>

<file path=xl/ctrlProps/ctrlProp228.xml><?xml version="1.0" encoding="utf-8"?>
<formControlPr xmlns="http://schemas.microsoft.com/office/spreadsheetml/2009/9/main" objectType="CheckBox" checked="Checked" fmlaLink="$AJ$55" lockText="1" noThreeD="1"/>
</file>

<file path=xl/ctrlProps/ctrlProp229.xml><?xml version="1.0" encoding="utf-8"?>
<formControlPr xmlns="http://schemas.microsoft.com/office/spreadsheetml/2009/9/main" objectType="CheckBox" checked="Checked" fmlaLink="$AJ$56" lockText="1" noThreeD="1"/>
</file>

<file path=xl/ctrlProps/ctrlProp23.xml><?xml version="1.0" encoding="utf-8"?>
<formControlPr xmlns="http://schemas.microsoft.com/office/spreadsheetml/2009/9/main" objectType="CheckBox" checked="Checked" fmlaLink="$AI39" lockText="1" noThreeD="1"/>
</file>

<file path=xl/ctrlProps/ctrlProp230.xml><?xml version="1.0" encoding="utf-8"?>
<formControlPr xmlns="http://schemas.microsoft.com/office/spreadsheetml/2009/9/main" objectType="CheckBox" checked="Checked" fmlaLink="$AJ$57" lockText="1" noThreeD="1"/>
</file>

<file path=xl/ctrlProps/ctrlProp231.xml><?xml version="1.0" encoding="utf-8"?>
<formControlPr xmlns="http://schemas.microsoft.com/office/spreadsheetml/2009/9/main" objectType="CheckBox" checked="Checked" fmlaLink="$AJ$58" lockText="1" noThreeD="1"/>
</file>

<file path=xl/ctrlProps/ctrlProp232.xml><?xml version="1.0" encoding="utf-8"?>
<formControlPr xmlns="http://schemas.microsoft.com/office/spreadsheetml/2009/9/main" objectType="CheckBox" checked="Checked" fmlaLink="$AI38" lockText="1" noThreeD="1"/>
</file>

<file path=xl/ctrlProps/ctrlProp233.xml><?xml version="1.0" encoding="utf-8"?>
<formControlPr xmlns="http://schemas.microsoft.com/office/spreadsheetml/2009/9/main" objectType="CheckBox" checked="Checked" fmlaLink="$AI39" lockText="1" noThreeD="1"/>
</file>

<file path=xl/ctrlProps/ctrlProp234.xml><?xml version="1.0" encoding="utf-8"?>
<formControlPr xmlns="http://schemas.microsoft.com/office/spreadsheetml/2009/9/main" objectType="CheckBox" checked="Checked" fmlaLink="$AI40" lockText="1" noThreeD="1"/>
</file>

<file path=xl/ctrlProps/ctrlProp235.xml><?xml version="1.0" encoding="utf-8"?>
<formControlPr xmlns="http://schemas.microsoft.com/office/spreadsheetml/2009/9/main" objectType="CheckBox" checked="Checked" fmlaLink="$AI41" lockText="1" noThreeD="1"/>
</file>

<file path=xl/ctrlProps/ctrlProp236.xml><?xml version="1.0" encoding="utf-8"?>
<formControlPr xmlns="http://schemas.microsoft.com/office/spreadsheetml/2009/9/main" objectType="CheckBox" checked="Checked" fmlaLink="$AI42" lockText="1" noThreeD="1"/>
</file>

<file path=xl/ctrlProps/ctrlProp237.xml><?xml version="1.0" encoding="utf-8"?>
<formControlPr xmlns="http://schemas.microsoft.com/office/spreadsheetml/2009/9/main" objectType="CheckBox" checked="Checked" fmlaLink="$AI43" lockText="1" noThreeD="1"/>
</file>

<file path=xl/ctrlProps/ctrlProp238.xml><?xml version="1.0" encoding="utf-8"?>
<formControlPr xmlns="http://schemas.microsoft.com/office/spreadsheetml/2009/9/main" objectType="CheckBox" checked="Checked" fmlaLink="$AI44" lockText="1" noThreeD="1"/>
</file>

<file path=xl/ctrlProps/ctrlProp239.xml><?xml version="1.0" encoding="utf-8"?>
<formControlPr xmlns="http://schemas.microsoft.com/office/spreadsheetml/2009/9/main" objectType="CheckBox" checked="Checked" fmlaLink="$AI45" lockText="1" noThreeD="1"/>
</file>

<file path=xl/ctrlProps/ctrlProp24.xml><?xml version="1.0" encoding="utf-8"?>
<formControlPr xmlns="http://schemas.microsoft.com/office/spreadsheetml/2009/9/main" objectType="CheckBox" checked="Checked" fmlaLink="$AI40" lockText="1" noThreeD="1"/>
</file>

<file path=xl/ctrlProps/ctrlProp240.xml><?xml version="1.0" encoding="utf-8"?>
<formControlPr xmlns="http://schemas.microsoft.com/office/spreadsheetml/2009/9/main" objectType="CheckBox" checked="Checked" fmlaLink="$AI46" lockText="1" noThreeD="1"/>
</file>

<file path=xl/ctrlProps/ctrlProp241.xml><?xml version="1.0" encoding="utf-8"?>
<formControlPr xmlns="http://schemas.microsoft.com/office/spreadsheetml/2009/9/main" objectType="CheckBox" checked="Checked" fmlaLink="$AI47" lockText="1" noThreeD="1"/>
</file>

<file path=xl/ctrlProps/ctrlProp242.xml><?xml version="1.0" encoding="utf-8"?>
<formControlPr xmlns="http://schemas.microsoft.com/office/spreadsheetml/2009/9/main" objectType="CheckBox" checked="Checked" fmlaLink="$AI48" lockText="1" noThreeD="1"/>
</file>

<file path=xl/ctrlProps/ctrlProp243.xml><?xml version="1.0" encoding="utf-8"?>
<formControlPr xmlns="http://schemas.microsoft.com/office/spreadsheetml/2009/9/main" objectType="CheckBox" checked="Checked" fmlaLink="$AI49" lockText="1" noThreeD="1"/>
</file>

<file path=xl/ctrlProps/ctrlProp244.xml><?xml version="1.0" encoding="utf-8"?>
<formControlPr xmlns="http://schemas.microsoft.com/office/spreadsheetml/2009/9/main" objectType="CheckBox" checked="Checked" fmlaLink="$AI50" lockText="1" noThreeD="1"/>
</file>

<file path=xl/ctrlProps/ctrlProp245.xml><?xml version="1.0" encoding="utf-8"?>
<formControlPr xmlns="http://schemas.microsoft.com/office/spreadsheetml/2009/9/main" objectType="CheckBox" checked="Checked" fmlaLink="$AI51" lockText="1" noThreeD="1"/>
</file>

<file path=xl/ctrlProps/ctrlProp246.xml><?xml version="1.0" encoding="utf-8"?>
<formControlPr xmlns="http://schemas.microsoft.com/office/spreadsheetml/2009/9/main" objectType="CheckBox" checked="Checked" fmlaLink="$AI$52" lockText="1" noThreeD="1"/>
</file>

<file path=xl/ctrlProps/ctrlProp247.xml><?xml version="1.0" encoding="utf-8"?>
<formControlPr xmlns="http://schemas.microsoft.com/office/spreadsheetml/2009/9/main" objectType="CheckBox" checked="Checked" fmlaLink="$AI$53" lockText="1" noThreeD="1"/>
</file>

<file path=xl/ctrlProps/ctrlProp248.xml><?xml version="1.0" encoding="utf-8"?>
<formControlPr xmlns="http://schemas.microsoft.com/office/spreadsheetml/2009/9/main" objectType="CheckBox" checked="Checked" fmlaLink="$AI$54" lockText="1" noThreeD="1"/>
</file>

<file path=xl/ctrlProps/ctrlProp249.xml><?xml version="1.0" encoding="utf-8"?>
<formControlPr xmlns="http://schemas.microsoft.com/office/spreadsheetml/2009/9/main" objectType="CheckBox" checked="Checked" fmlaLink="$AI$55" lockText="1" noThreeD="1"/>
</file>

<file path=xl/ctrlProps/ctrlProp25.xml><?xml version="1.0" encoding="utf-8"?>
<formControlPr xmlns="http://schemas.microsoft.com/office/spreadsheetml/2009/9/main" objectType="CheckBox" checked="Checked" fmlaLink="$AI41" lockText="1" noThreeD="1"/>
</file>

<file path=xl/ctrlProps/ctrlProp250.xml><?xml version="1.0" encoding="utf-8"?>
<formControlPr xmlns="http://schemas.microsoft.com/office/spreadsheetml/2009/9/main" objectType="CheckBox" checked="Checked" fmlaLink="$AI$56" lockText="1" noThreeD="1"/>
</file>

<file path=xl/ctrlProps/ctrlProp251.xml><?xml version="1.0" encoding="utf-8"?>
<formControlPr xmlns="http://schemas.microsoft.com/office/spreadsheetml/2009/9/main" objectType="CheckBox" checked="Checked" fmlaLink="$AI$57" lockText="1" noThreeD="1"/>
</file>

<file path=xl/ctrlProps/ctrlProp252.xml><?xml version="1.0" encoding="utf-8"?>
<formControlPr xmlns="http://schemas.microsoft.com/office/spreadsheetml/2009/9/main" objectType="CheckBox" checked="Checked" fmlaLink="$AI40" lockText="1" noThreeD="1"/>
</file>

<file path=xl/ctrlProps/ctrlProp253.xml><?xml version="1.0" encoding="utf-8"?>
<formControlPr xmlns="http://schemas.microsoft.com/office/spreadsheetml/2009/9/main" objectType="CheckBox" checked="Checked" fmlaLink="$AI41" lockText="1" noThreeD="1"/>
</file>

<file path=xl/ctrlProps/ctrlProp254.xml><?xml version="1.0" encoding="utf-8"?>
<formControlPr xmlns="http://schemas.microsoft.com/office/spreadsheetml/2009/9/main" objectType="CheckBox" checked="Checked" fmlaLink="$AI42" lockText="1" noThreeD="1"/>
</file>

<file path=xl/ctrlProps/ctrlProp255.xml><?xml version="1.0" encoding="utf-8"?>
<formControlPr xmlns="http://schemas.microsoft.com/office/spreadsheetml/2009/9/main" objectType="CheckBox" checked="Checked" fmlaLink="$AI43" lockText="1" noThreeD="1"/>
</file>

<file path=xl/ctrlProps/ctrlProp256.xml><?xml version="1.0" encoding="utf-8"?>
<formControlPr xmlns="http://schemas.microsoft.com/office/spreadsheetml/2009/9/main" objectType="CheckBox" checked="Checked" fmlaLink="$AI44" lockText="1" noThreeD="1"/>
</file>

<file path=xl/ctrlProps/ctrlProp257.xml><?xml version="1.0" encoding="utf-8"?>
<formControlPr xmlns="http://schemas.microsoft.com/office/spreadsheetml/2009/9/main" objectType="CheckBox" checked="Checked" fmlaLink="$AI45" lockText="1" noThreeD="1"/>
</file>

<file path=xl/ctrlProps/ctrlProp258.xml><?xml version="1.0" encoding="utf-8"?>
<formControlPr xmlns="http://schemas.microsoft.com/office/spreadsheetml/2009/9/main" objectType="CheckBox" checked="Checked" fmlaLink="$AI46" lockText="1" noThreeD="1"/>
</file>

<file path=xl/ctrlProps/ctrlProp259.xml><?xml version="1.0" encoding="utf-8"?>
<formControlPr xmlns="http://schemas.microsoft.com/office/spreadsheetml/2009/9/main" objectType="CheckBox" checked="Checked" fmlaLink="$AI47" lockText="1" noThreeD="1"/>
</file>

<file path=xl/ctrlProps/ctrlProp26.xml><?xml version="1.0" encoding="utf-8"?>
<formControlPr xmlns="http://schemas.microsoft.com/office/spreadsheetml/2009/9/main" objectType="CheckBox" checked="Checked" fmlaLink="$AI42" lockText="1" noThreeD="1"/>
</file>

<file path=xl/ctrlProps/ctrlProp260.xml><?xml version="1.0" encoding="utf-8"?>
<formControlPr xmlns="http://schemas.microsoft.com/office/spreadsheetml/2009/9/main" objectType="CheckBox" checked="Checked" fmlaLink="$AI48" lockText="1" noThreeD="1"/>
</file>

<file path=xl/ctrlProps/ctrlProp261.xml><?xml version="1.0" encoding="utf-8"?>
<formControlPr xmlns="http://schemas.microsoft.com/office/spreadsheetml/2009/9/main" objectType="CheckBox" checked="Checked" fmlaLink="$AI49" lockText="1" noThreeD="1"/>
</file>

<file path=xl/ctrlProps/ctrlProp262.xml><?xml version="1.0" encoding="utf-8"?>
<formControlPr xmlns="http://schemas.microsoft.com/office/spreadsheetml/2009/9/main" objectType="CheckBox" checked="Checked" fmlaLink="$AI50" lockText="1" noThreeD="1"/>
</file>

<file path=xl/ctrlProps/ctrlProp263.xml><?xml version="1.0" encoding="utf-8"?>
<formControlPr xmlns="http://schemas.microsoft.com/office/spreadsheetml/2009/9/main" objectType="CheckBox" checked="Checked" fmlaLink="$AI51" lockText="1" noThreeD="1"/>
</file>

<file path=xl/ctrlProps/ctrlProp264.xml><?xml version="1.0" encoding="utf-8"?>
<formControlPr xmlns="http://schemas.microsoft.com/office/spreadsheetml/2009/9/main" objectType="CheckBox" checked="Checked" fmlaLink="$AI52" lockText="1" noThreeD="1"/>
</file>

<file path=xl/ctrlProps/ctrlProp265.xml><?xml version="1.0" encoding="utf-8"?>
<formControlPr xmlns="http://schemas.microsoft.com/office/spreadsheetml/2009/9/main" objectType="CheckBox" checked="Checked" fmlaLink="$AI53" lockText="1" noThreeD="1"/>
</file>

<file path=xl/ctrlProps/ctrlProp266.xml><?xml version="1.0" encoding="utf-8"?>
<formControlPr xmlns="http://schemas.microsoft.com/office/spreadsheetml/2009/9/main" objectType="CheckBox" checked="Checked" fmlaLink="$AI54" lockText="1" noThreeD="1"/>
</file>

<file path=xl/ctrlProps/ctrlProp267.xml><?xml version="1.0" encoding="utf-8"?>
<formControlPr xmlns="http://schemas.microsoft.com/office/spreadsheetml/2009/9/main" objectType="CheckBox" checked="Checked" fmlaLink="$AI$55" lockText="1" noThreeD="1"/>
</file>

<file path=xl/ctrlProps/ctrlProp268.xml><?xml version="1.0" encoding="utf-8"?>
<formControlPr xmlns="http://schemas.microsoft.com/office/spreadsheetml/2009/9/main" objectType="CheckBox" checked="Checked" fmlaLink="$AI$57" lockText="1" noThreeD="1"/>
</file>

<file path=xl/ctrlProps/ctrlProp269.xml><?xml version="1.0" encoding="utf-8"?>
<formControlPr xmlns="http://schemas.microsoft.com/office/spreadsheetml/2009/9/main" objectType="CheckBox" checked="Checked" fmlaLink="$AI$58" lockText="1" noThreeD="1"/>
</file>

<file path=xl/ctrlProps/ctrlProp27.xml><?xml version="1.0" encoding="utf-8"?>
<formControlPr xmlns="http://schemas.microsoft.com/office/spreadsheetml/2009/9/main" objectType="CheckBox" checked="Checked" fmlaLink="$AI43" lockText="1" noThreeD="1"/>
</file>

<file path=xl/ctrlProps/ctrlProp270.xml><?xml version="1.0" encoding="utf-8"?>
<formControlPr xmlns="http://schemas.microsoft.com/office/spreadsheetml/2009/9/main" objectType="CheckBox" checked="Checked" fmlaLink="$AI$59" lockText="1" noThreeD="1"/>
</file>

<file path=xl/ctrlProps/ctrlProp271.xml><?xml version="1.0" encoding="utf-8"?>
<formControlPr xmlns="http://schemas.microsoft.com/office/spreadsheetml/2009/9/main" objectType="CheckBox" checked="Checked" fmlaLink="$AI$60" lockText="1" noThreeD="1"/>
</file>

<file path=xl/ctrlProps/ctrlProp272.xml><?xml version="1.0" encoding="utf-8"?>
<formControlPr xmlns="http://schemas.microsoft.com/office/spreadsheetml/2009/9/main" objectType="CheckBox" checked="Checked" fmlaLink="$AI$61" lockText="1" noThreeD="1"/>
</file>

<file path=xl/ctrlProps/ctrlProp273.xml><?xml version="1.0" encoding="utf-8"?>
<formControlPr xmlns="http://schemas.microsoft.com/office/spreadsheetml/2009/9/main" objectType="CheckBox" checked="Checked" fmlaLink="$AI$56" lockText="1" noThreeD="1"/>
</file>

<file path=xl/ctrlProps/ctrlProp274.xml><?xml version="1.0" encoding="utf-8"?>
<formControlPr xmlns="http://schemas.microsoft.com/office/spreadsheetml/2009/9/main" objectType="CheckBox" checked="Checked" fmlaLink="$AI$62" lockText="1" noThreeD="1"/>
</file>

<file path=xl/ctrlProps/ctrlProp275.xml><?xml version="1.0" encoding="utf-8"?>
<formControlPr xmlns="http://schemas.microsoft.com/office/spreadsheetml/2009/9/main" objectType="CheckBox" checked="Checked" fmlaLink="$AI38" lockText="1" noThreeD="1"/>
</file>

<file path=xl/ctrlProps/ctrlProp276.xml><?xml version="1.0" encoding="utf-8"?>
<formControlPr xmlns="http://schemas.microsoft.com/office/spreadsheetml/2009/9/main" objectType="CheckBox" checked="Checked" fmlaLink="$AI39" lockText="1" noThreeD="1"/>
</file>

<file path=xl/ctrlProps/ctrlProp277.xml><?xml version="1.0" encoding="utf-8"?>
<formControlPr xmlns="http://schemas.microsoft.com/office/spreadsheetml/2009/9/main" objectType="CheckBox" checked="Checked" fmlaLink="$AI40" lockText="1" noThreeD="1"/>
</file>

<file path=xl/ctrlProps/ctrlProp278.xml><?xml version="1.0" encoding="utf-8"?>
<formControlPr xmlns="http://schemas.microsoft.com/office/spreadsheetml/2009/9/main" objectType="CheckBox" checked="Checked" fmlaLink="$AI41" lockText="1" noThreeD="1"/>
</file>

<file path=xl/ctrlProps/ctrlProp279.xml><?xml version="1.0" encoding="utf-8"?>
<formControlPr xmlns="http://schemas.microsoft.com/office/spreadsheetml/2009/9/main" objectType="CheckBox" checked="Checked" fmlaLink="$AI42" lockText="1" noThreeD="1"/>
</file>

<file path=xl/ctrlProps/ctrlProp28.xml><?xml version="1.0" encoding="utf-8"?>
<formControlPr xmlns="http://schemas.microsoft.com/office/spreadsheetml/2009/9/main" objectType="CheckBox" checked="Checked" fmlaLink="$AI44" lockText="1" noThreeD="1"/>
</file>

<file path=xl/ctrlProps/ctrlProp280.xml><?xml version="1.0" encoding="utf-8"?>
<formControlPr xmlns="http://schemas.microsoft.com/office/spreadsheetml/2009/9/main" objectType="CheckBox" checked="Checked" fmlaLink="$AI43" lockText="1" noThreeD="1"/>
</file>

<file path=xl/ctrlProps/ctrlProp281.xml><?xml version="1.0" encoding="utf-8"?>
<formControlPr xmlns="http://schemas.microsoft.com/office/spreadsheetml/2009/9/main" objectType="CheckBox" checked="Checked" fmlaLink="$AI44" lockText="1" noThreeD="1"/>
</file>

<file path=xl/ctrlProps/ctrlProp282.xml><?xml version="1.0" encoding="utf-8"?>
<formControlPr xmlns="http://schemas.microsoft.com/office/spreadsheetml/2009/9/main" objectType="CheckBox" checked="Checked" fmlaLink="$AI45" lockText="1" noThreeD="1"/>
</file>

<file path=xl/ctrlProps/ctrlProp283.xml><?xml version="1.0" encoding="utf-8"?>
<formControlPr xmlns="http://schemas.microsoft.com/office/spreadsheetml/2009/9/main" objectType="CheckBox" checked="Checked" fmlaLink="$AI46" lockText="1" noThreeD="1"/>
</file>

<file path=xl/ctrlProps/ctrlProp284.xml><?xml version="1.0" encoding="utf-8"?>
<formControlPr xmlns="http://schemas.microsoft.com/office/spreadsheetml/2009/9/main" objectType="CheckBox" checked="Checked" fmlaLink="$AI47" lockText="1" noThreeD="1"/>
</file>

<file path=xl/ctrlProps/ctrlProp285.xml><?xml version="1.0" encoding="utf-8"?>
<formControlPr xmlns="http://schemas.microsoft.com/office/spreadsheetml/2009/9/main" objectType="CheckBox" checked="Checked" fmlaLink="$AI48" lockText="1" noThreeD="1"/>
</file>

<file path=xl/ctrlProps/ctrlProp286.xml><?xml version="1.0" encoding="utf-8"?>
<formControlPr xmlns="http://schemas.microsoft.com/office/spreadsheetml/2009/9/main" objectType="CheckBox" checked="Checked" fmlaLink="$AI49" lockText="1" noThreeD="1"/>
</file>

<file path=xl/ctrlProps/ctrlProp287.xml><?xml version="1.0" encoding="utf-8"?>
<formControlPr xmlns="http://schemas.microsoft.com/office/spreadsheetml/2009/9/main" objectType="CheckBox" checked="Checked" fmlaLink="$AI50" lockText="1" noThreeD="1"/>
</file>

<file path=xl/ctrlProps/ctrlProp288.xml><?xml version="1.0" encoding="utf-8"?>
<formControlPr xmlns="http://schemas.microsoft.com/office/spreadsheetml/2009/9/main" objectType="CheckBox" checked="Checked" fmlaLink="$AI51" lockText="1" noThreeD="1"/>
</file>

<file path=xl/ctrlProps/ctrlProp289.xml><?xml version="1.0" encoding="utf-8"?>
<formControlPr xmlns="http://schemas.microsoft.com/office/spreadsheetml/2009/9/main" objectType="CheckBox" checked="Checked" fmlaLink="$AI$52" lockText="1" noThreeD="1"/>
</file>

<file path=xl/ctrlProps/ctrlProp29.xml><?xml version="1.0" encoding="utf-8"?>
<formControlPr xmlns="http://schemas.microsoft.com/office/spreadsheetml/2009/9/main" objectType="CheckBox" checked="Checked" fmlaLink="$AI45" lockText="1" noThreeD="1"/>
</file>

<file path=xl/ctrlProps/ctrlProp290.xml><?xml version="1.0" encoding="utf-8"?>
<formControlPr xmlns="http://schemas.microsoft.com/office/spreadsheetml/2009/9/main" objectType="CheckBox" checked="Checked" fmlaLink="$AI$53" lockText="1" noThreeD="1"/>
</file>

<file path=xl/ctrlProps/ctrlProp291.xml><?xml version="1.0" encoding="utf-8"?>
<formControlPr xmlns="http://schemas.microsoft.com/office/spreadsheetml/2009/9/main" objectType="CheckBox" checked="Checked" fmlaLink="$AI$54" lockText="1" noThreeD="1"/>
</file>

<file path=xl/ctrlProps/ctrlProp292.xml><?xml version="1.0" encoding="utf-8"?>
<formControlPr xmlns="http://schemas.microsoft.com/office/spreadsheetml/2009/9/main" objectType="CheckBox" checked="Checked" fmlaLink="$AI$55" lockText="1" noThreeD="1"/>
</file>

<file path=xl/ctrlProps/ctrlProp293.xml><?xml version="1.0" encoding="utf-8"?>
<formControlPr xmlns="http://schemas.microsoft.com/office/spreadsheetml/2009/9/main" objectType="CheckBox" checked="Checked" fmlaLink="$AI$56" lockText="1" noThreeD="1"/>
</file>

<file path=xl/ctrlProps/ctrlProp294.xml><?xml version="1.0" encoding="utf-8"?>
<formControlPr xmlns="http://schemas.microsoft.com/office/spreadsheetml/2009/9/main" objectType="CheckBox" checked="Checked" fmlaLink="$AI$57" lockText="1" noThreeD="1"/>
</file>

<file path=xl/ctrlProps/ctrlProp295.xml><?xml version="1.0" encoding="utf-8"?>
<formControlPr xmlns="http://schemas.microsoft.com/office/spreadsheetml/2009/9/main" objectType="CheckBox" checked="Checked" fmlaLink="$AI$58" lockText="1" noThreeD="1"/>
</file>

<file path=xl/ctrlProps/ctrlProp296.xml><?xml version="1.0" encoding="utf-8"?>
<formControlPr xmlns="http://schemas.microsoft.com/office/spreadsheetml/2009/9/main" objectType="CheckBox" checked="Checked" fmlaLink="$Z74" lockText="1" noThreeD="1"/>
</file>

<file path=xl/ctrlProps/ctrlProp297.xml><?xml version="1.0" encoding="utf-8"?>
<formControlPr xmlns="http://schemas.microsoft.com/office/spreadsheetml/2009/9/main" objectType="CheckBox" checked="Checked" fmlaLink="$Z75" lockText="1" noThreeD="1"/>
</file>

<file path=xl/ctrlProps/ctrlProp298.xml><?xml version="1.0" encoding="utf-8"?>
<formControlPr xmlns="http://schemas.microsoft.com/office/spreadsheetml/2009/9/main" objectType="CheckBox" checked="Checked" fmlaLink="$Z76" lockText="1" noThreeD="1"/>
</file>

<file path=xl/ctrlProps/ctrlProp299.xml><?xml version="1.0" encoding="utf-8"?>
<formControlPr xmlns="http://schemas.microsoft.com/office/spreadsheetml/2009/9/main" objectType="CheckBox" checked="Checked" fmlaLink="$Z77" lockText="1" noThreeD="1"/>
</file>

<file path=xl/ctrlProps/ctrlProp3.xml><?xml version="1.0" encoding="utf-8"?>
<formControlPr xmlns="http://schemas.microsoft.com/office/spreadsheetml/2009/9/main" objectType="CheckBox" checked="Checked" fmlaLink="$AI40" lockText="1" noThreeD="1"/>
</file>

<file path=xl/ctrlProps/ctrlProp30.xml><?xml version="1.0" encoding="utf-8"?>
<formControlPr xmlns="http://schemas.microsoft.com/office/spreadsheetml/2009/9/main" objectType="CheckBox" checked="Checked" fmlaLink="$AI46" lockText="1" noThreeD="1"/>
</file>

<file path=xl/ctrlProps/ctrlProp300.xml><?xml version="1.0" encoding="utf-8"?>
<formControlPr xmlns="http://schemas.microsoft.com/office/spreadsheetml/2009/9/main" objectType="CheckBox" checked="Checked" fmlaLink="$Z78" lockText="1" noThreeD="1"/>
</file>

<file path=xl/ctrlProps/ctrlProp301.xml><?xml version="1.0" encoding="utf-8"?>
<formControlPr xmlns="http://schemas.microsoft.com/office/spreadsheetml/2009/9/main" objectType="CheckBox" checked="Checked" fmlaLink="$Z79" lockText="1" noThreeD="1"/>
</file>

<file path=xl/ctrlProps/ctrlProp302.xml><?xml version="1.0" encoding="utf-8"?>
<formControlPr xmlns="http://schemas.microsoft.com/office/spreadsheetml/2009/9/main" objectType="CheckBox" checked="Checked" fmlaLink="$Z80" lockText="1" noThreeD="1"/>
</file>

<file path=xl/ctrlProps/ctrlProp303.xml><?xml version="1.0" encoding="utf-8"?>
<formControlPr xmlns="http://schemas.microsoft.com/office/spreadsheetml/2009/9/main" objectType="CheckBox" checked="Checked" fmlaLink="$Z81" lockText="1" noThreeD="1"/>
</file>

<file path=xl/ctrlProps/ctrlProp304.xml><?xml version="1.0" encoding="utf-8"?>
<formControlPr xmlns="http://schemas.microsoft.com/office/spreadsheetml/2009/9/main" objectType="CheckBox" checked="Checked" fmlaLink="$Z82" lockText="1" noThreeD="1"/>
</file>

<file path=xl/ctrlProps/ctrlProp305.xml><?xml version="1.0" encoding="utf-8"?>
<formControlPr xmlns="http://schemas.microsoft.com/office/spreadsheetml/2009/9/main" objectType="CheckBox" checked="Checked" fmlaLink="$Z83" lockText="1" noThreeD="1"/>
</file>

<file path=xl/ctrlProps/ctrlProp306.xml><?xml version="1.0" encoding="utf-8"?>
<formControlPr xmlns="http://schemas.microsoft.com/office/spreadsheetml/2009/9/main" objectType="CheckBox" checked="Checked" fmlaLink="$Z84" lockText="1" noThreeD="1"/>
</file>

<file path=xl/ctrlProps/ctrlProp307.xml><?xml version="1.0" encoding="utf-8"?>
<formControlPr xmlns="http://schemas.microsoft.com/office/spreadsheetml/2009/9/main" objectType="CheckBox" checked="Checked" fmlaLink="$Z85" lockText="1" noThreeD="1"/>
</file>

<file path=xl/ctrlProps/ctrlProp308.xml><?xml version="1.0" encoding="utf-8"?>
<formControlPr xmlns="http://schemas.microsoft.com/office/spreadsheetml/2009/9/main" objectType="CheckBox" checked="Checked" fmlaLink="$Z86" lockText="1" noThreeD="1"/>
</file>

<file path=xl/ctrlProps/ctrlProp309.xml><?xml version="1.0" encoding="utf-8"?>
<formControlPr xmlns="http://schemas.microsoft.com/office/spreadsheetml/2009/9/main" objectType="CheckBox" checked="Checked" fmlaLink="$Z87" lockText="1" noThreeD="1"/>
</file>

<file path=xl/ctrlProps/ctrlProp31.xml><?xml version="1.0" encoding="utf-8"?>
<formControlPr xmlns="http://schemas.microsoft.com/office/spreadsheetml/2009/9/main" objectType="CheckBox" checked="Checked" fmlaLink="$AI47" lockText="1" noThreeD="1"/>
</file>

<file path=xl/ctrlProps/ctrlProp310.xml><?xml version="1.0" encoding="utf-8"?>
<formControlPr xmlns="http://schemas.microsoft.com/office/spreadsheetml/2009/9/main" objectType="CheckBox" checked="Checked" fmlaLink="$Z$88" lockText="1" noThreeD="1"/>
</file>

<file path=xl/ctrlProps/ctrlProp311.xml><?xml version="1.0" encoding="utf-8"?>
<formControlPr xmlns="http://schemas.microsoft.com/office/spreadsheetml/2009/9/main" objectType="CheckBox" checked="Checked" fmlaLink="$Z$89" lockText="1" noThreeD="1"/>
</file>

<file path=xl/ctrlProps/ctrlProp312.xml><?xml version="1.0" encoding="utf-8"?>
<formControlPr xmlns="http://schemas.microsoft.com/office/spreadsheetml/2009/9/main" objectType="CheckBox" checked="Checked" fmlaLink="$Z$90" lockText="1" noThreeD="1"/>
</file>

<file path=xl/ctrlProps/ctrlProp313.xml><?xml version="1.0" encoding="utf-8"?>
<formControlPr xmlns="http://schemas.microsoft.com/office/spreadsheetml/2009/9/main" objectType="CheckBox" checked="Checked" fmlaLink="$Z$91" lockText="1" noThreeD="1"/>
</file>

<file path=xl/ctrlProps/ctrlProp314.xml><?xml version="1.0" encoding="utf-8"?>
<formControlPr xmlns="http://schemas.microsoft.com/office/spreadsheetml/2009/9/main" objectType="CheckBox" checked="Checked" fmlaLink="$Z$92" lockText="1" noThreeD="1"/>
</file>

<file path=xl/ctrlProps/ctrlProp315.xml><?xml version="1.0" encoding="utf-8"?>
<formControlPr xmlns="http://schemas.microsoft.com/office/spreadsheetml/2009/9/main" objectType="CheckBox" checked="Checked" fmlaLink="$Z$93" lockText="1" noThreeD="1"/>
</file>

<file path=xl/ctrlProps/ctrlProp316.xml><?xml version="1.0" encoding="utf-8"?>
<formControlPr xmlns="http://schemas.microsoft.com/office/spreadsheetml/2009/9/main" objectType="CheckBox" checked="Checked" fmlaLink="$Z$94" lockText="1" noThreeD="1"/>
</file>

<file path=xl/ctrlProps/ctrlProp32.xml><?xml version="1.0" encoding="utf-8"?>
<formControlPr xmlns="http://schemas.microsoft.com/office/spreadsheetml/2009/9/main" objectType="CheckBox" checked="Checked" fmlaLink="$AI48" lockText="1" noThreeD="1"/>
</file>

<file path=xl/ctrlProps/ctrlProp33.xml><?xml version="1.0" encoding="utf-8"?>
<formControlPr xmlns="http://schemas.microsoft.com/office/spreadsheetml/2009/9/main" objectType="CheckBox" checked="Checked" fmlaLink="$AI49" lockText="1" noThreeD="1"/>
</file>

<file path=xl/ctrlProps/ctrlProp34.xml><?xml version="1.0" encoding="utf-8"?>
<formControlPr xmlns="http://schemas.microsoft.com/office/spreadsheetml/2009/9/main" objectType="CheckBox" checked="Checked" fmlaLink="$AI50" lockText="1" noThreeD="1"/>
</file>

<file path=xl/ctrlProps/ctrlProp35.xml><?xml version="1.0" encoding="utf-8"?>
<formControlPr xmlns="http://schemas.microsoft.com/office/spreadsheetml/2009/9/main" objectType="CheckBox" checked="Checked" fmlaLink="$AI51" lockText="1" noThreeD="1"/>
</file>

<file path=xl/ctrlProps/ctrlProp36.xml><?xml version="1.0" encoding="utf-8"?>
<formControlPr xmlns="http://schemas.microsoft.com/office/spreadsheetml/2009/9/main" objectType="CheckBox" checked="Checked" fmlaLink="$AI$52" lockText="1" noThreeD="1"/>
</file>

<file path=xl/ctrlProps/ctrlProp37.xml><?xml version="1.0" encoding="utf-8"?>
<formControlPr xmlns="http://schemas.microsoft.com/office/spreadsheetml/2009/9/main" objectType="CheckBox" checked="Checked" fmlaLink="$AI$53" lockText="1" noThreeD="1"/>
</file>

<file path=xl/ctrlProps/ctrlProp38.xml><?xml version="1.0" encoding="utf-8"?>
<formControlPr xmlns="http://schemas.microsoft.com/office/spreadsheetml/2009/9/main" objectType="CheckBox" checked="Checked" fmlaLink="$AI$54" lockText="1" noThreeD="1"/>
</file>

<file path=xl/ctrlProps/ctrlProp39.xml><?xml version="1.0" encoding="utf-8"?>
<formControlPr xmlns="http://schemas.microsoft.com/office/spreadsheetml/2009/9/main" objectType="CheckBox" checked="Checked" fmlaLink="$AI$55" lockText="1" noThreeD="1"/>
</file>

<file path=xl/ctrlProps/ctrlProp4.xml><?xml version="1.0" encoding="utf-8"?>
<formControlPr xmlns="http://schemas.microsoft.com/office/spreadsheetml/2009/9/main" objectType="CheckBox" checked="Checked" fmlaLink="$AI41" lockText="1" noThreeD="1"/>
</file>

<file path=xl/ctrlProps/ctrlProp40.xml><?xml version="1.0" encoding="utf-8"?>
<formControlPr xmlns="http://schemas.microsoft.com/office/spreadsheetml/2009/9/main" objectType="CheckBox" checked="Checked" fmlaLink="$AI$56" lockText="1" noThreeD="1"/>
</file>

<file path=xl/ctrlProps/ctrlProp41.xml><?xml version="1.0" encoding="utf-8"?>
<formControlPr xmlns="http://schemas.microsoft.com/office/spreadsheetml/2009/9/main" objectType="CheckBox" checked="Checked" fmlaLink="$AI$57" lockText="1" noThreeD="1"/>
</file>

<file path=xl/ctrlProps/ctrlProp42.xml><?xml version="1.0" encoding="utf-8"?>
<formControlPr xmlns="http://schemas.microsoft.com/office/spreadsheetml/2009/9/main" objectType="CheckBox" checked="Checked" fmlaLink="$AI$58" lockText="1" noThreeD="1"/>
</file>

<file path=xl/ctrlProps/ctrlProp43.xml><?xml version="1.0" encoding="utf-8"?>
<formControlPr xmlns="http://schemas.microsoft.com/office/spreadsheetml/2009/9/main" objectType="CheckBox" checked="Checked" fmlaLink="$AI38" lockText="1" noThreeD="1"/>
</file>

<file path=xl/ctrlProps/ctrlProp44.xml><?xml version="1.0" encoding="utf-8"?>
<formControlPr xmlns="http://schemas.microsoft.com/office/spreadsheetml/2009/9/main" objectType="CheckBox" checked="Checked" fmlaLink="$AI39" lockText="1" noThreeD="1"/>
</file>

<file path=xl/ctrlProps/ctrlProp45.xml><?xml version="1.0" encoding="utf-8"?>
<formControlPr xmlns="http://schemas.microsoft.com/office/spreadsheetml/2009/9/main" objectType="CheckBox" checked="Checked" fmlaLink="$AI40" lockText="1" noThreeD="1"/>
</file>

<file path=xl/ctrlProps/ctrlProp46.xml><?xml version="1.0" encoding="utf-8"?>
<formControlPr xmlns="http://schemas.microsoft.com/office/spreadsheetml/2009/9/main" objectType="CheckBox" checked="Checked" fmlaLink="$AI41" lockText="1" noThreeD="1"/>
</file>

<file path=xl/ctrlProps/ctrlProp47.xml><?xml version="1.0" encoding="utf-8"?>
<formControlPr xmlns="http://schemas.microsoft.com/office/spreadsheetml/2009/9/main" objectType="CheckBox" checked="Checked" fmlaLink="$AI42" lockText="1" noThreeD="1"/>
</file>

<file path=xl/ctrlProps/ctrlProp48.xml><?xml version="1.0" encoding="utf-8"?>
<formControlPr xmlns="http://schemas.microsoft.com/office/spreadsheetml/2009/9/main" objectType="CheckBox" checked="Checked" fmlaLink="$AI43" lockText="1" noThreeD="1"/>
</file>

<file path=xl/ctrlProps/ctrlProp49.xml><?xml version="1.0" encoding="utf-8"?>
<formControlPr xmlns="http://schemas.microsoft.com/office/spreadsheetml/2009/9/main" objectType="CheckBox" checked="Checked" fmlaLink="$AI44" lockText="1" noThreeD="1"/>
</file>

<file path=xl/ctrlProps/ctrlProp5.xml><?xml version="1.0" encoding="utf-8"?>
<formControlPr xmlns="http://schemas.microsoft.com/office/spreadsheetml/2009/9/main" objectType="CheckBox" checked="Checked" fmlaLink="$AI42" lockText="1" noThreeD="1"/>
</file>

<file path=xl/ctrlProps/ctrlProp50.xml><?xml version="1.0" encoding="utf-8"?>
<formControlPr xmlns="http://schemas.microsoft.com/office/spreadsheetml/2009/9/main" objectType="CheckBox" checked="Checked" fmlaLink="$AI45" lockText="1" noThreeD="1"/>
</file>

<file path=xl/ctrlProps/ctrlProp51.xml><?xml version="1.0" encoding="utf-8"?>
<formControlPr xmlns="http://schemas.microsoft.com/office/spreadsheetml/2009/9/main" objectType="CheckBox" checked="Checked" fmlaLink="$AI46" lockText="1" noThreeD="1"/>
</file>

<file path=xl/ctrlProps/ctrlProp52.xml><?xml version="1.0" encoding="utf-8"?>
<formControlPr xmlns="http://schemas.microsoft.com/office/spreadsheetml/2009/9/main" objectType="CheckBox" checked="Checked" fmlaLink="$AI47" lockText="1" noThreeD="1"/>
</file>

<file path=xl/ctrlProps/ctrlProp53.xml><?xml version="1.0" encoding="utf-8"?>
<formControlPr xmlns="http://schemas.microsoft.com/office/spreadsheetml/2009/9/main" objectType="CheckBox" checked="Checked" fmlaLink="$AI48" lockText="1" noThreeD="1"/>
</file>

<file path=xl/ctrlProps/ctrlProp54.xml><?xml version="1.0" encoding="utf-8"?>
<formControlPr xmlns="http://schemas.microsoft.com/office/spreadsheetml/2009/9/main" objectType="CheckBox" checked="Checked" fmlaLink="$AI49" lockText="1" noThreeD="1"/>
</file>

<file path=xl/ctrlProps/ctrlProp55.xml><?xml version="1.0" encoding="utf-8"?>
<formControlPr xmlns="http://schemas.microsoft.com/office/spreadsheetml/2009/9/main" objectType="CheckBox" checked="Checked" fmlaLink="$AI50" lockText="1" noThreeD="1"/>
</file>

<file path=xl/ctrlProps/ctrlProp56.xml><?xml version="1.0" encoding="utf-8"?>
<formControlPr xmlns="http://schemas.microsoft.com/office/spreadsheetml/2009/9/main" objectType="CheckBox" checked="Checked" fmlaLink="$AI51" lockText="1" noThreeD="1"/>
</file>

<file path=xl/ctrlProps/ctrlProp57.xml><?xml version="1.0" encoding="utf-8"?>
<formControlPr xmlns="http://schemas.microsoft.com/office/spreadsheetml/2009/9/main" objectType="CheckBox" checked="Checked" fmlaLink="$AI$52" lockText="1" noThreeD="1"/>
</file>

<file path=xl/ctrlProps/ctrlProp58.xml><?xml version="1.0" encoding="utf-8"?>
<formControlPr xmlns="http://schemas.microsoft.com/office/spreadsheetml/2009/9/main" objectType="CheckBox" checked="Checked" fmlaLink="$AI$53" lockText="1" noThreeD="1"/>
</file>

<file path=xl/ctrlProps/ctrlProp59.xml><?xml version="1.0" encoding="utf-8"?>
<formControlPr xmlns="http://schemas.microsoft.com/office/spreadsheetml/2009/9/main" objectType="CheckBox" checked="Checked" fmlaLink="$AI$54" lockText="1" noThreeD="1"/>
</file>

<file path=xl/ctrlProps/ctrlProp6.xml><?xml version="1.0" encoding="utf-8"?>
<formControlPr xmlns="http://schemas.microsoft.com/office/spreadsheetml/2009/9/main" objectType="CheckBox" checked="Checked" fmlaLink="$AI43" lockText="1" noThreeD="1"/>
</file>

<file path=xl/ctrlProps/ctrlProp60.xml><?xml version="1.0" encoding="utf-8"?>
<formControlPr xmlns="http://schemas.microsoft.com/office/spreadsheetml/2009/9/main" objectType="CheckBox" checked="Checked" fmlaLink="$AI$55" lockText="1" noThreeD="1"/>
</file>

<file path=xl/ctrlProps/ctrlProp61.xml><?xml version="1.0" encoding="utf-8"?>
<formControlPr xmlns="http://schemas.microsoft.com/office/spreadsheetml/2009/9/main" objectType="CheckBox" checked="Checked" fmlaLink="$AI$56" lockText="1" noThreeD="1"/>
</file>

<file path=xl/ctrlProps/ctrlProp62.xml><?xml version="1.0" encoding="utf-8"?>
<formControlPr xmlns="http://schemas.microsoft.com/office/spreadsheetml/2009/9/main" objectType="CheckBox" checked="Checked" fmlaLink="$AI$57" lockText="1" noThreeD="1"/>
</file>

<file path=xl/ctrlProps/ctrlProp63.xml><?xml version="1.0" encoding="utf-8"?>
<formControlPr xmlns="http://schemas.microsoft.com/office/spreadsheetml/2009/9/main" objectType="CheckBox" checked="Checked" fmlaLink="$AI$58" lockText="1" noThreeD="1"/>
</file>

<file path=xl/ctrlProps/ctrlProp64.xml><?xml version="1.0" encoding="utf-8"?>
<formControlPr xmlns="http://schemas.microsoft.com/office/spreadsheetml/2009/9/main" objectType="CheckBox" checked="Checked" fmlaLink="$AI38" lockText="1" noThreeD="1"/>
</file>

<file path=xl/ctrlProps/ctrlProp65.xml><?xml version="1.0" encoding="utf-8"?>
<formControlPr xmlns="http://schemas.microsoft.com/office/spreadsheetml/2009/9/main" objectType="CheckBox" checked="Checked" fmlaLink="$AI39" lockText="1" noThreeD="1"/>
</file>

<file path=xl/ctrlProps/ctrlProp66.xml><?xml version="1.0" encoding="utf-8"?>
<formControlPr xmlns="http://schemas.microsoft.com/office/spreadsheetml/2009/9/main" objectType="CheckBox" checked="Checked" fmlaLink="$AI40" lockText="1" noThreeD="1"/>
</file>

<file path=xl/ctrlProps/ctrlProp67.xml><?xml version="1.0" encoding="utf-8"?>
<formControlPr xmlns="http://schemas.microsoft.com/office/spreadsheetml/2009/9/main" objectType="CheckBox" checked="Checked" fmlaLink="$AI41" lockText="1" noThreeD="1"/>
</file>

<file path=xl/ctrlProps/ctrlProp68.xml><?xml version="1.0" encoding="utf-8"?>
<formControlPr xmlns="http://schemas.microsoft.com/office/spreadsheetml/2009/9/main" objectType="CheckBox" checked="Checked" fmlaLink="$AI42" lockText="1" noThreeD="1"/>
</file>

<file path=xl/ctrlProps/ctrlProp69.xml><?xml version="1.0" encoding="utf-8"?>
<formControlPr xmlns="http://schemas.microsoft.com/office/spreadsheetml/2009/9/main" objectType="CheckBox" checked="Checked" fmlaLink="$AI43" lockText="1" noThreeD="1"/>
</file>

<file path=xl/ctrlProps/ctrlProp7.xml><?xml version="1.0" encoding="utf-8"?>
<formControlPr xmlns="http://schemas.microsoft.com/office/spreadsheetml/2009/9/main" objectType="CheckBox" checked="Checked" fmlaLink="$AI44" lockText="1" noThreeD="1"/>
</file>

<file path=xl/ctrlProps/ctrlProp70.xml><?xml version="1.0" encoding="utf-8"?>
<formControlPr xmlns="http://schemas.microsoft.com/office/spreadsheetml/2009/9/main" objectType="CheckBox" checked="Checked" fmlaLink="$AI44" lockText="1" noThreeD="1"/>
</file>

<file path=xl/ctrlProps/ctrlProp71.xml><?xml version="1.0" encoding="utf-8"?>
<formControlPr xmlns="http://schemas.microsoft.com/office/spreadsheetml/2009/9/main" objectType="CheckBox" checked="Checked" fmlaLink="$AI45" lockText="1" noThreeD="1"/>
</file>

<file path=xl/ctrlProps/ctrlProp72.xml><?xml version="1.0" encoding="utf-8"?>
<formControlPr xmlns="http://schemas.microsoft.com/office/spreadsheetml/2009/9/main" objectType="CheckBox" checked="Checked" fmlaLink="$AI46" lockText="1" noThreeD="1"/>
</file>

<file path=xl/ctrlProps/ctrlProp73.xml><?xml version="1.0" encoding="utf-8"?>
<formControlPr xmlns="http://schemas.microsoft.com/office/spreadsheetml/2009/9/main" objectType="CheckBox" checked="Checked" fmlaLink="$AI47" lockText="1" noThreeD="1"/>
</file>

<file path=xl/ctrlProps/ctrlProp74.xml><?xml version="1.0" encoding="utf-8"?>
<formControlPr xmlns="http://schemas.microsoft.com/office/spreadsheetml/2009/9/main" objectType="CheckBox" checked="Checked" fmlaLink="$AI48" lockText="1" noThreeD="1"/>
</file>

<file path=xl/ctrlProps/ctrlProp75.xml><?xml version="1.0" encoding="utf-8"?>
<formControlPr xmlns="http://schemas.microsoft.com/office/spreadsheetml/2009/9/main" objectType="CheckBox" checked="Checked" fmlaLink="$AI49" lockText="1" noThreeD="1"/>
</file>

<file path=xl/ctrlProps/ctrlProp76.xml><?xml version="1.0" encoding="utf-8"?>
<formControlPr xmlns="http://schemas.microsoft.com/office/spreadsheetml/2009/9/main" objectType="CheckBox" checked="Checked" fmlaLink="$AI50" lockText="1" noThreeD="1"/>
</file>

<file path=xl/ctrlProps/ctrlProp77.xml><?xml version="1.0" encoding="utf-8"?>
<formControlPr xmlns="http://schemas.microsoft.com/office/spreadsheetml/2009/9/main" objectType="CheckBox" checked="Checked" fmlaLink="$AI51" lockText="1" noThreeD="1"/>
</file>

<file path=xl/ctrlProps/ctrlProp78.xml><?xml version="1.0" encoding="utf-8"?>
<formControlPr xmlns="http://schemas.microsoft.com/office/spreadsheetml/2009/9/main" objectType="CheckBox" checked="Checked" fmlaLink="$AI$52" lockText="1" noThreeD="1"/>
</file>

<file path=xl/ctrlProps/ctrlProp79.xml><?xml version="1.0" encoding="utf-8"?>
<formControlPr xmlns="http://schemas.microsoft.com/office/spreadsheetml/2009/9/main" objectType="CheckBox" checked="Checked" fmlaLink="$AI$53" lockText="1" noThreeD="1"/>
</file>

<file path=xl/ctrlProps/ctrlProp8.xml><?xml version="1.0" encoding="utf-8"?>
<formControlPr xmlns="http://schemas.microsoft.com/office/spreadsheetml/2009/9/main" objectType="CheckBox" checked="Checked" fmlaLink="$AI45" lockText="1" noThreeD="1"/>
</file>

<file path=xl/ctrlProps/ctrlProp80.xml><?xml version="1.0" encoding="utf-8"?>
<formControlPr xmlns="http://schemas.microsoft.com/office/spreadsheetml/2009/9/main" objectType="CheckBox" checked="Checked" fmlaLink="$AI$54" lockText="1" noThreeD="1"/>
</file>

<file path=xl/ctrlProps/ctrlProp81.xml><?xml version="1.0" encoding="utf-8"?>
<formControlPr xmlns="http://schemas.microsoft.com/office/spreadsheetml/2009/9/main" objectType="CheckBox" checked="Checked" fmlaLink="$AI$55" lockText="1" noThreeD="1"/>
</file>

<file path=xl/ctrlProps/ctrlProp82.xml><?xml version="1.0" encoding="utf-8"?>
<formControlPr xmlns="http://schemas.microsoft.com/office/spreadsheetml/2009/9/main" objectType="CheckBox" checked="Checked" fmlaLink="$AI$56" lockText="1" noThreeD="1"/>
</file>

<file path=xl/ctrlProps/ctrlProp83.xml><?xml version="1.0" encoding="utf-8"?>
<formControlPr xmlns="http://schemas.microsoft.com/office/spreadsheetml/2009/9/main" objectType="CheckBox" checked="Checked" fmlaLink="$AI$57" lockText="1" noThreeD="1"/>
</file>

<file path=xl/ctrlProps/ctrlProp84.xml><?xml version="1.0" encoding="utf-8"?>
<formControlPr xmlns="http://schemas.microsoft.com/office/spreadsheetml/2009/9/main" objectType="CheckBox" checked="Checked" fmlaLink="$AI$58" lockText="1" noThreeD="1"/>
</file>

<file path=xl/ctrlProps/ctrlProp85.xml><?xml version="1.0" encoding="utf-8"?>
<formControlPr xmlns="http://schemas.microsoft.com/office/spreadsheetml/2009/9/main" objectType="CheckBox" checked="Checked" fmlaLink="$AI38" lockText="1" noThreeD="1"/>
</file>

<file path=xl/ctrlProps/ctrlProp86.xml><?xml version="1.0" encoding="utf-8"?>
<formControlPr xmlns="http://schemas.microsoft.com/office/spreadsheetml/2009/9/main" objectType="CheckBox" checked="Checked" fmlaLink="$AI39" lockText="1" noThreeD="1"/>
</file>

<file path=xl/ctrlProps/ctrlProp87.xml><?xml version="1.0" encoding="utf-8"?>
<formControlPr xmlns="http://schemas.microsoft.com/office/spreadsheetml/2009/9/main" objectType="CheckBox" checked="Checked" fmlaLink="$AI40" lockText="1" noThreeD="1"/>
</file>

<file path=xl/ctrlProps/ctrlProp88.xml><?xml version="1.0" encoding="utf-8"?>
<formControlPr xmlns="http://schemas.microsoft.com/office/spreadsheetml/2009/9/main" objectType="CheckBox" checked="Checked" fmlaLink="$AI41" lockText="1" noThreeD="1"/>
</file>

<file path=xl/ctrlProps/ctrlProp89.xml><?xml version="1.0" encoding="utf-8"?>
<formControlPr xmlns="http://schemas.microsoft.com/office/spreadsheetml/2009/9/main" objectType="CheckBox" checked="Checked" fmlaLink="$AI42" lockText="1" noThreeD="1"/>
</file>

<file path=xl/ctrlProps/ctrlProp9.xml><?xml version="1.0" encoding="utf-8"?>
<formControlPr xmlns="http://schemas.microsoft.com/office/spreadsheetml/2009/9/main" objectType="CheckBox" checked="Checked" fmlaLink="$AI46" lockText="1" noThreeD="1"/>
</file>

<file path=xl/ctrlProps/ctrlProp90.xml><?xml version="1.0" encoding="utf-8"?>
<formControlPr xmlns="http://schemas.microsoft.com/office/spreadsheetml/2009/9/main" objectType="CheckBox" checked="Checked" fmlaLink="$AI43" lockText="1" noThreeD="1"/>
</file>

<file path=xl/ctrlProps/ctrlProp91.xml><?xml version="1.0" encoding="utf-8"?>
<formControlPr xmlns="http://schemas.microsoft.com/office/spreadsheetml/2009/9/main" objectType="CheckBox" checked="Checked" fmlaLink="$AI44" lockText="1" noThreeD="1"/>
</file>

<file path=xl/ctrlProps/ctrlProp92.xml><?xml version="1.0" encoding="utf-8"?>
<formControlPr xmlns="http://schemas.microsoft.com/office/spreadsheetml/2009/9/main" objectType="CheckBox" checked="Checked" fmlaLink="$AI45" lockText="1" noThreeD="1"/>
</file>

<file path=xl/ctrlProps/ctrlProp93.xml><?xml version="1.0" encoding="utf-8"?>
<formControlPr xmlns="http://schemas.microsoft.com/office/spreadsheetml/2009/9/main" objectType="CheckBox" checked="Checked" fmlaLink="$AI46" lockText="1" noThreeD="1"/>
</file>

<file path=xl/ctrlProps/ctrlProp94.xml><?xml version="1.0" encoding="utf-8"?>
<formControlPr xmlns="http://schemas.microsoft.com/office/spreadsheetml/2009/9/main" objectType="CheckBox" checked="Checked" fmlaLink="$AI47" lockText="1" noThreeD="1"/>
</file>

<file path=xl/ctrlProps/ctrlProp95.xml><?xml version="1.0" encoding="utf-8"?>
<formControlPr xmlns="http://schemas.microsoft.com/office/spreadsheetml/2009/9/main" objectType="CheckBox" checked="Checked" fmlaLink="$AI48" lockText="1" noThreeD="1"/>
</file>

<file path=xl/ctrlProps/ctrlProp96.xml><?xml version="1.0" encoding="utf-8"?>
<formControlPr xmlns="http://schemas.microsoft.com/office/spreadsheetml/2009/9/main" objectType="CheckBox" checked="Checked" fmlaLink="$AI49" lockText="1" noThreeD="1"/>
</file>

<file path=xl/ctrlProps/ctrlProp97.xml><?xml version="1.0" encoding="utf-8"?>
<formControlPr xmlns="http://schemas.microsoft.com/office/spreadsheetml/2009/9/main" objectType="CheckBox" checked="Checked" fmlaLink="$AI50" lockText="1" noThreeD="1"/>
</file>

<file path=xl/ctrlProps/ctrlProp98.xml><?xml version="1.0" encoding="utf-8"?>
<formControlPr xmlns="http://schemas.microsoft.com/office/spreadsheetml/2009/9/main" objectType="CheckBox" checked="Checked" fmlaLink="$AI51" lockText="1" noThreeD="1"/>
</file>

<file path=xl/ctrlProps/ctrlProp99.xml><?xml version="1.0" encoding="utf-8"?>
<formControlPr xmlns="http://schemas.microsoft.com/office/spreadsheetml/2009/9/main" objectType="CheckBox" checked="Checked" fmlaLink="$AI$52" lockText="1" noThreeD="1"/>
</file>

<file path=xl/drawings/_rels/drawing1.xml.rels><?xml version="1.0" encoding="UTF-8" standalone="yes"?>
<Relationships xmlns="http://schemas.openxmlformats.org/package/2006/relationships"><Relationship Id="rId8" Type="http://schemas.openxmlformats.org/officeDocument/2006/relationships/hyperlink" Target="#Assessments!A1"/><Relationship Id="rId13" Type="http://schemas.openxmlformats.org/officeDocument/2006/relationships/hyperlink" Target="#'Initial CP Conferences'!A1"/><Relationship Id="rId18" Type="http://schemas.openxmlformats.org/officeDocument/2006/relationships/hyperlink" Target="#New_Ceased_LAC!A1"/><Relationship Id="rId3" Type="http://schemas.openxmlformats.org/officeDocument/2006/relationships/hyperlink" Target="#Indicators!A1"/><Relationship Id="rId21" Type="http://schemas.openxmlformats.org/officeDocument/2006/relationships/hyperlink" Target="#Care_Leavers!A1"/><Relationship Id="rId7" Type="http://schemas.openxmlformats.org/officeDocument/2006/relationships/hyperlink" Target="#'Re-referrals'!A1"/><Relationship Id="rId12" Type="http://schemas.openxmlformats.org/officeDocument/2006/relationships/hyperlink" Target="#'Section 47 Enquiries'!A1"/><Relationship Id="rId17" Type="http://schemas.openxmlformats.org/officeDocument/2006/relationships/hyperlink" Target="#'Child Protection Plans'!A1"/><Relationship Id="rId25" Type="http://schemas.openxmlformats.org/officeDocument/2006/relationships/hyperlink" Target="#Frontpage!A1"/><Relationship Id="rId2" Type="http://schemas.openxmlformats.org/officeDocument/2006/relationships/hyperlink" Target="#ParticipatingLA!A1"/><Relationship Id="rId16" Type="http://schemas.openxmlformats.org/officeDocument/2006/relationships/hyperlink" Target="#YouthJustice!A1"/><Relationship Id="rId20" Type="http://schemas.openxmlformats.org/officeDocument/2006/relationships/hyperlink" Target="#'Court Applications'!A1"/><Relationship Id="rId1" Type="http://schemas.openxmlformats.org/officeDocument/2006/relationships/hyperlink" Target="#Referrals!A1"/><Relationship Id="rId6" Type="http://schemas.openxmlformats.org/officeDocument/2006/relationships/hyperlink" Target="#Referral_Source!A1"/><Relationship Id="rId11" Type="http://schemas.openxmlformats.org/officeDocument/2006/relationships/image" Target="../media/image1.png"/><Relationship Id="rId24" Type="http://schemas.openxmlformats.org/officeDocument/2006/relationships/hyperlink" Target="#Nav!A1"/><Relationship Id="rId5" Type="http://schemas.openxmlformats.org/officeDocument/2006/relationships/hyperlink" Target="#Population!A1"/><Relationship Id="rId15" Type="http://schemas.openxmlformats.org/officeDocument/2006/relationships/hyperlink" Target="#Participation!A1"/><Relationship Id="rId23" Type="http://schemas.openxmlformats.org/officeDocument/2006/relationships/image" Target="../media/image3.svg"/><Relationship Id="rId10" Type="http://schemas.openxmlformats.org/officeDocument/2006/relationships/hyperlink" Target="#Home!A1"/><Relationship Id="rId19" Type="http://schemas.openxmlformats.org/officeDocument/2006/relationships/hyperlink" Target="#Permanence!A1"/><Relationship Id="rId4" Type="http://schemas.openxmlformats.org/officeDocument/2006/relationships/hyperlink" Target="#IDACI!A1"/><Relationship Id="rId9" Type="http://schemas.openxmlformats.org/officeDocument/2006/relationships/hyperlink" Target="#'Children in Need'!A1"/><Relationship Id="rId14" Type="http://schemas.openxmlformats.org/officeDocument/2006/relationships/hyperlink" Target="#'Looked After Children'!A1"/><Relationship Id="rId22"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3" Type="http://schemas.openxmlformats.org/officeDocument/2006/relationships/hyperlink" Target="#Indicators!A1"/><Relationship Id="rId18" Type="http://schemas.openxmlformats.org/officeDocument/2006/relationships/hyperlink" Target="#Assessments!A1"/><Relationship Id="rId26" Type="http://schemas.openxmlformats.org/officeDocument/2006/relationships/hyperlink" Target="#YouthJustice!A1"/><Relationship Id="rId3" Type="http://schemas.openxmlformats.org/officeDocument/2006/relationships/chart" Target="../charts/chart13.xml"/><Relationship Id="rId21" Type="http://schemas.openxmlformats.org/officeDocument/2006/relationships/image" Target="../media/image1.png"/><Relationship Id="rId34" Type="http://schemas.openxmlformats.org/officeDocument/2006/relationships/image" Target="../media/image3.svg"/><Relationship Id="rId7" Type="http://schemas.openxmlformats.org/officeDocument/2006/relationships/chart" Target="../charts/chart17.xml"/><Relationship Id="rId12" Type="http://schemas.openxmlformats.org/officeDocument/2006/relationships/hyperlink" Target="#Coverage!A1"/><Relationship Id="rId17" Type="http://schemas.openxmlformats.org/officeDocument/2006/relationships/hyperlink" Target="#'Re-referrals'!A1"/><Relationship Id="rId25" Type="http://schemas.openxmlformats.org/officeDocument/2006/relationships/hyperlink" Target="#NEET!A1"/><Relationship Id="rId33" Type="http://schemas.openxmlformats.org/officeDocument/2006/relationships/image" Target="../media/image2.png"/><Relationship Id="rId2" Type="http://schemas.openxmlformats.org/officeDocument/2006/relationships/chart" Target="../charts/chart12.xml"/><Relationship Id="rId16" Type="http://schemas.openxmlformats.org/officeDocument/2006/relationships/hyperlink" Target="#Referral_Source!A1"/><Relationship Id="rId20" Type="http://schemas.openxmlformats.org/officeDocument/2006/relationships/hyperlink" Target="#Home!A1"/><Relationship Id="rId29" Type="http://schemas.openxmlformats.org/officeDocument/2006/relationships/hyperlink" Target="#Permanence!A1"/><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hyperlink" Target="#Referrals!A1"/><Relationship Id="rId24" Type="http://schemas.openxmlformats.org/officeDocument/2006/relationships/hyperlink" Target="#'Looked After Children'!A1"/><Relationship Id="rId32" Type="http://schemas.openxmlformats.org/officeDocument/2006/relationships/hyperlink" Target="#Nav!A1"/><Relationship Id="rId5" Type="http://schemas.openxmlformats.org/officeDocument/2006/relationships/chart" Target="../charts/chart15.xml"/><Relationship Id="rId15" Type="http://schemas.openxmlformats.org/officeDocument/2006/relationships/hyperlink" Target="#Population!A1"/><Relationship Id="rId23" Type="http://schemas.openxmlformats.org/officeDocument/2006/relationships/hyperlink" Target="#'Initial CP Conferences'!A1"/><Relationship Id="rId28" Type="http://schemas.openxmlformats.org/officeDocument/2006/relationships/hyperlink" Target="#New_Ceased_LAC!A1"/><Relationship Id="rId10" Type="http://schemas.openxmlformats.org/officeDocument/2006/relationships/chart" Target="../charts/chart20.xml"/><Relationship Id="rId19" Type="http://schemas.openxmlformats.org/officeDocument/2006/relationships/hyperlink" Target="#'Children in Need'!A1"/><Relationship Id="rId31" Type="http://schemas.openxmlformats.org/officeDocument/2006/relationships/hyperlink" Target="#Care_Leavers!A1"/><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hyperlink" Target="#IDACI!A1"/><Relationship Id="rId22" Type="http://schemas.openxmlformats.org/officeDocument/2006/relationships/hyperlink" Target="#'Section 47 Enquiries'!A1"/><Relationship Id="rId27" Type="http://schemas.openxmlformats.org/officeDocument/2006/relationships/hyperlink" Target="#'Child Protection Plans'!A1"/><Relationship Id="rId30" Type="http://schemas.openxmlformats.org/officeDocument/2006/relationships/hyperlink" Target="#'Court Applications'!A1"/><Relationship Id="rId8"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8" Type="http://schemas.openxmlformats.org/officeDocument/2006/relationships/hyperlink" Target="#Referrals!A1"/><Relationship Id="rId13" Type="http://schemas.openxmlformats.org/officeDocument/2006/relationships/hyperlink" Target="#Referral_Source!A1"/><Relationship Id="rId18" Type="http://schemas.openxmlformats.org/officeDocument/2006/relationships/image" Target="../media/image1.png"/><Relationship Id="rId26" Type="http://schemas.openxmlformats.org/officeDocument/2006/relationships/hyperlink" Target="#Permanence!A1"/><Relationship Id="rId3" Type="http://schemas.openxmlformats.org/officeDocument/2006/relationships/chart" Target="../charts/chart23.xml"/><Relationship Id="rId21" Type="http://schemas.openxmlformats.org/officeDocument/2006/relationships/hyperlink" Target="#'Looked After Children'!A1"/><Relationship Id="rId7" Type="http://schemas.openxmlformats.org/officeDocument/2006/relationships/chart" Target="../charts/chart27.xml"/><Relationship Id="rId12" Type="http://schemas.openxmlformats.org/officeDocument/2006/relationships/hyperlink" Target="#Population!A1"/><Relationship Id="rId17" Type="http://schemas.openxmlformats.org/officeDocument/2006/relationships/hyperlink" Target="#Home!A1"/><Relationship Id="rId25" Type="http://schemas.openxmlformats.org/officeDocument/2006/relationships/hyperlink" Target="#New_Ceased_LAC!A1"/><Relationship Id="rId2" Type="http://schemas.openxmlformats.org/officeDocument/2006/relationships/chart" Target="../charts/chart22.xml"/><Relationship Id="rId16" Type="http://schemas.openxmlformats.org/officeDocument/2006/relationships/hyperlink" Target="#'Children in Need'!A1"/><Relationship Id="rId20" Type="http://schemas.openxmlformats.org/officeDocument/2006/relationships/hyperlink" Target="#'Initial CP Conferences'!A1"/><Relationship Id="rId29" Type="http://schemas.openxmlformats.org/officeDocument/2006/relationships/hyperlink" Target="#Nav!A1"/><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hyperlink" Target="#IDACI!A1"/><Relationship Id="rId24" Type="http://schemas.openxmlformats.org/officeDocument/2006/relationships/hyperlink" Target="#'Child Protection Plans'!A1"/><Relationship Id="rId5" Type="http://schemas.openxmlformats.org/officeDocument/2006/relationships/chart" Target="../charts/chart25.xml"/><Relationship Id="rId15" Type="http://schemas.openxmlformats.org/officeDocument/2006/relationships/hyperlink" Target="#Assessments!A1"/><Relationship Id="rId23" Type="http://schemas.openxmlformats.org/officeDocument/2006/relationships/hyperlink" Target="#YouthJustice!A1"/><Relationship Id="rId28" Type="http://schemas.openxmlformats.org/officeDocument/2006/relationships/hyperlink" Target="#Care_Leavers!A1"/><Relationship Id="rId10" Type="http://schemas.openxmlformats.org/officeDocument/2006/relationships/hyperlink" Target="#Indicators!A1"/><Relationship Id="rId19" Type="http://schemas.openxmlformats.org/officeDocument/2006/relationships/hyperlink" Target="#'Section 47 Enquiries'!A1"/><Relationship Id="rId31" Type="http://schemas.openxmlformats.org/officeDocument/2006/relationships/image" Target="../media/image3.svg"/><Relationship Id="rId4" Type="http://schemas.openxmlformats.org/officeDocument/2006/relationships/chart" Target="../charts/chart24.xml"/><Relationship Id="rId9" Type="http://schemas.openxmlformats.org/officeDocument/2006/relationships/hyperlink" Target="#Coverage!A1"/><Relationship Id="rId14" Type="http://schemas.openxmlformats.org/officeDocument/2006/relationships/hyperlink" Target="#'Re-referrals'!A1"/><Relationship Id="rId22" Type="http://schemas.openxmlformats.org/officeDocument/2006/relationships/hyperlink" Target="#NEET!A1"/><Relationship Id="rId27" Type="http://schemas.openxmlformats.org/officeDocument/2006/relationships/hyperlink" Target="#'Court Applications'!A1"/><Relationship Id="rId30"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3" Type="http://schemas.openxmlformats.org/officeDocument/2006/relationships/hyperlink" Target="#Referrals!A1"/><Relationship Id="rId18" Type="http://schemas.openxmlformats.org/officeDocument/2006/relationships/hyperlink" Target="#Referral_Source!A1"/><Relationship Id="rId26" Type="http://schemas.openxmlformats.org/officeDocument/2006/relationships/hyperlink" Target="#'Looked After Children'!A1"/><Relationship Id="rId3" Type="http://schemas.openxmlformats.org/officeDocument/2006/relationships/chart" Target="../charts/chart30.xml"/><Relationship Id="rId21" Type="http://schemas.openxmlformats.org/officeDocument/2006/relationships/hyperlink" Target="#'Children in Need'!A1"/><Relationship Id="rId34" Type="http://schemas.openxmlformats.org/officeDocument/2006/relationships/hyperlink" Target="#Nav!A1"/><Relationship Id="rId7" Type="http://schemas.openxmlformats.org/officeDocument/2006/relationships/chart" Target="../charts/chart34.xml"/><Relationship Id="rId12" Type="http://schemas.openxmlformats.org/officeDocument/2006/relationships/chart" Target="../charts/chart39.xml"/><Relationship Id="rId17" Type="http://schemas.openxmlformats.org/officeDocument/2006/relationships/hyperlink" Target="#Population!A1"/><Relationship Id="rId25" Type="http://schemas.openxmlformats.org/officeDocument/2006/relationships/hyperlink" Target="#'Initial CP Conferences'!A1"/><Relationship Id="rId33" Type="http://schemas.openxmlformats.org/officeDocument/2006/relationships/hyperlink" Target="#Care_Leavers!A1"/><Relationship Id="rId2" Type="http://schemas.openxmlformats.org/officeDocument/2006/relationships/chart" Target="../charts/chart29.xml"/><Relationship Id="rId16" Type="http://schemas.openxmlformats.org/officeDocument/2006/relationships/hyperlink" Target="#IDACI!A1"/><Relationship Id="rId20" Type="http://schemas.openxmlformats.org/officeDocument/2006/relationships/hyperlink" Target="#Assessments!A1"/><Relationship Id="rId29" Type="http://schemas.openxmlformats.org/officeDocument/2006/relationships/hyperlink" Target="#'Child Protection Plans'!A1"/><Relationship Id="rId1" Type="http://schemas.openxmlformats.org/officeDocument/2006/relationships/chart" Target="../charts/chart28.xml"/><Relationship Id="rId6" Type="http://schemas.openxmlformats.org/officeDocument/2006/relationships/chart" Target="../charts/chart33.xml"/><Relationship Id="rId11" Type="http://schemas.openxmlformats.org/officeDocument/2006/relationships/chart" Target="../charts/chart38.xml"/><Relationship Id="rId24" Type="http://schemas.openxmlformats.org/officeDocument/2006/relationships/hyperlink" Target="#'Section 47 Enquiries'!A1"/><Relationship Id="rId32" Type="http://schemas.openxmlformats.org/officeDocument/2006/relationships/hyperlink" Target="#'Court Applications'!A1"/><Relationship Id="rId5" Type="http://schemas.openxmlformats.org/officeDocument/2006/relationships/chart" Target="../charts/chart32.xml"/><Relationship Id="rId15" Type="http://schemas.openxmlformats.org/officeDocument/2006/relationships/hyperlink" Target="#Indicators!A1"/><Relationship Id="rId23" Type="http://schemas.openxmlformats.org/officeDocument/2006/relationships/image" Target="../media/image1.png"/><Relationship Id="rId28" Type="http://schemas.openxmlformats.org/officeDocument/2006/relationships/hyperlink" Target="#YouthJustice!A1"/><Relationship Id="rId36" Type="http://schemas.openxmlformats.org/officeDocument/2006/relationships/image" Target="../media/image3.svg"/><Relationship Id="rId10" Type="http://schemas.openxmlformats.org/officeDocument/2006/relationships/chart" Target="../charts/chart37.xml"/><Relationship Id="rId19" Type="http://schemas.openxmlformats.org/officeDocument/2006/relationships/hyperlink" Target="#'Re-referrals'!A1"/><Relationship Id="rId31" Type="http://schemas.openxmlformats.org/officeDocument/2006/relationships/hyperlink" Target="#Permanence!A1"/><Relationship Id="rId4" Type="http://schemas.openxmlformats.org/officeDocument/2006/relationships/chart" Target="../charts/chart31.xml"/><Relationship Id="rId9" Type="http://schemas.openxmlformats.org/officeDocument/2006/relationships/chart" Target="../charts/chart36.xml"/><Relationship Id="rId14" Type="http://schemas.openxmlformats.org/officeDocument/2006/relationships/hyperlink" Target="#Coverage!A1"/><Relationship Id="rId22" Type="http://schemas.openxmlformats.org/officeDocument/2006/relationships/hyperlink" Target="#Home!A1"/><Relationship Id="rId27" Type="http://schemas.openxmlformats.org/officeDocument/2006/relationships/hyperlink" Target="#NEET!A1"/><Relationship Id="rId30" Type="http://schemas.openxmlformats.org/officeDocument/2006/relationships/hyperlink" Target="#New_Ceased_LAC!A1"/><Relationship Id="rId35" Type="http://schemas.openxmlformats.org/officeDocument/2006/relationships/image" Target="../media/image2.png"/><Relationship Id="rId8" Type="http://schemas.openxmlformats.org/officeDocument/2006/relationships/chart" Target="../charts/chart35.xml"/></Relationships>
</file>

<file path=xl/drawings/_rels/drawing13.xml.rels><?xml version="1.0" encoding="UTF-8" standalone="yes"?>
<Relationships xmlns="http://schemas.openxmlformats.org/package/2006/relationships"><Relationship Id="rId8" Type="http://schemas.openxmlformats.org/officeDocument/2006/relationships/hyperlink" Target="#Indicators!A1"/><Relationship Id="rId13" Type="http://schemas.openxmlformats.org/officeDocument/2006/relationships/hyperlink" Target="#Assessments!A1"/><Relationship Id="rId18" Type="http://schemas.openxmlformats.org/officeDocument/2006/relationships/hyperlink" Target="#'Initial CP Conferences'!A1"/><Relationship Id="rId26" Type="http://schemas.openxmlformats.org/officeDocument/2006/relationships/hyperlink" Target="#Care_Leavers!A1"/><Relationship Id="rId3" Type="http://schemas.openxmlformats.org/officeDocument/2006/relationships/chart" Target="../charts/chart42.xml"/><Relationship Id="rId21" Type="http://schemas.openxmlformats.org/officeDocument/2006/relationships/hyperlink" Target="#YouthJustice!A1"/><Relationship Id="rId7" Type="http://schemas.openxmlformats.org/officeDocument/2006/relationships/hyperlink" Target="#Coverage!A1"/><Relationship Id="rId12" Type="http://schemas.openxmlformats.org/officeDocument/2006/relationships/hyperlink" Target="#'Re-referrals'!A1"/><Relationship Id="rId17" Type="http://schemas.openxmlformats.org/officeDocument/2006/relationships/hyperlink" Target="#'Section 47 Enquiries'!A1"/><Relationship Id="rId25" Type="http://schemas.openxmlformats.org/officeDocument/2006/relationships/hyperlink" Target="#'Court Applications'!A1"/><Relationship Id="rId2" Type="http://schemas.openxmlformats.org/officeDocument/2006/relationships/chart" Target="../charts/chart41.xml"/><Relationship Id="rId16" Type="http://schemas.openxmlformats.org/officeDocument/2006/relationships/image" Target="../media/image1.png"/><Relationship Id="rId20" Type="http://schemas.openxmlformats.org/officeDocument/2006/relationships/hyperlink" Target="#NEET!A1"/><Relationship Id="rId29" Type="http://schemas.openxmlformats.org/officeDocument/2006/relationships/image" Target="../media/image3.svg"/><Relationship Id="rId1" Type="http://schemas.openxmlformats.org/officeDocument/2006/relationships/chart" Target="../charts/chart40.xml"/><Relationship Id="rId6" Type="http://schemas.openxmlformats.org/officeDocument/2006/relationships/hyperlink" Target="#Referrals!A1"/><Relationship Id="rId11" Type="http://schemas.openxmlformats.org/officeDocument/2006/relationships/hyperlink" Target="#Referral_Source!A1"/><Relationship Id="rId24" Type="http://schemas.openxmlformats.org/officeDocument/2006/relationships/hyperlink" Target="#Permanence!A1"/><Relationship Id="rId5" Type="http://schemas.openxmlformats.org/officeDocument/2006/relationships/chart" Target="../charts/chart44.xml"/><Relationship Id="rId15" Type="http://schemas.openxmlformats.org/officeDocument/2006/relationships/hyperlink" Target="#Home!A1"/><Relationship Id="rId23" Type="http://schemas.openxmlformats.org/officeDocument/2006/relationships/hyperlink" Target="#New_Ceased_LAC!A1"/><Relationship Id="rId28" Type="http://schemas.openxmlformats.org/officeDocument/2006/relationships/image" Target="../media/image2.png"/><Relationship Id="rId10" Type="http://schemas.openxmlformats.org/officeDocument/2006/relationships/hyperlink" Target="#Population!A1"/><Relationship Id="rId19" Type="http://schemas.openxmlformats.org/officeDocument/2006/relationships/hyperlink" Target="#'Looked After Children'!A1"/><Relationship Id="rId4" Type="http://schemas.openxmlformats.org/officeDocument/2006/relationships/chart" Target="../charts/chart43.xml"/><Relationship Id="rId9" Type="http://schemas.openxmlformats.org/officeDocument/2006/relationships/hyperlink" Target="#IDACI!A1"/><Relationship Id="rId14" Type="http://schemas.openxmlformats.org/officeDocument/2006/relationships/hyperlink" Target="#'Children in Need'!A1"/><Relationship Id="rId22" Type="http://schemas.openxmlformats.org/officeDocument/2006/relationships/hyperlink" Target="#'Child Protection Plans'!A1"/><Relationship Id="rId27" Type="http://schemas.openxmlformats.org/officeDocument/2006/relationships/hyperlink" Target="#Nav!A1"/></Relationships>
</file>

<file path=xl/drawings/_rels/drawing14.xml.rels><?xml version="1.0" encoding="UTF-8" standalone="yes"?>
<Relationships xmlns="http://schemas.openxmlformats.org/package/2006/relationships"><Relationship Id="rId8" Type="http://schemas.openxmlformats.org/officeDocument/2006/relationships/hyperlink" Target="#Indicators!A1"/><Relationship Id="rId13" Type="http://schemas.openxmlformats.org/officeDocument/2006/relationships/hyperlink" Target="#Assessments!A1"/><Relationship Id="rId18" Type="http://schemas.openxmlformats.org/officeDocument/2006/relationships/hyperlink" Target="#'Initial CP Conferences'!A1"/><Relationship Id="rId26" Type="http://schemas.openxmlformats.org/officeDocument/2006/relationships/hyperlink" Target="#Care_Leavers!A1"/><Relationship Id="rId3" Type="http://schemas.openxmlformats.org/officeDocument/2006/relationships/chart" Target="../charts/chart47.xml"/><Relationship Id="rId21" Type="http://schemas.openxmlformats.org/officeDocument/2006/relationships/hyperlink" Target="#YouthJustice!A1"/><Relationship Id="rId7" Type="http://schemas.openxmlformats.org/officeDocument/2006/relationships/hyperlink" Target="#Coverage!A1"/><Relationship Id="rId12" Type="http://schemas.openxmlformats.org/officeDocument/2006/relationships/hyperlink" Target="#'Re-referrals'!A1"/><Relationship Id="rId17" Type="http://schemas.openxmlformats.org/officeDocument/2006/relationships/hyperlink" Target="#'Section 47 Enquiries'!A1"/><Relationship Id="rId25" Type="http://schemas.openxmlformats.org/officeDocument/2006/relationships/hyperlink" Target="#'Court Applications'!A1"/><Relationship Id="rId2" Type="http://schemas.openxmlformats.org/officeDocument/2006/relationships/chart" Target="../charts/chart46.xml"/><Relationship Id="rId16" Type="http://schemas.openxmlformats.org/officeDocument/2006/relationships/image" Target="../media/image1.png"/><Relationship Id="rId20" Type="http://schemas.openxmlformats.org/officeDocument/2006/relationships/hyperlink" Target="#NEET!A1"/><Relationship Id="rId29" Type="http://schemas.openxmlformats.org/officeDocument/2006/relationships/image" Target="../media/image3.svg"/><Relationship Id="rId1" Type="http://schemas.openxmlformats.org/officeDocument/2006/relationships/chart" Target="../charts/chart45.xml"/><Relationship Id="rId6" Type="http://schemas.openxmlformats.org/officeDocument/2006/relationships/hyperlink" Target="#Referrals!A1"/><Relationship Id="rId11" Type="http://schemas.openxmlformats.org/officeDocument/2006/relationships/hyperlink" Target="#Referral_Source!A1"/><Relationship Id="rId24" Type="http://schemas.openxmlformats.org/officeDocument/2006/relationships/hyperlink" Target="#Permanence!A1"/><Relationship Id="rId5" Type="http://schemas.openxmlformats.org/officeDocument/2006/relationships/chart" Target="../charts/chart49.xml"/><Relationship Id="rId15" Type="http://schemas.openxmlformats.org/officeDocument/2006/relationships/hyperlink" Target="#Home!A1"/><Relationship Id="rId23" Type="http://schemas.openxmlformats.org/officeDocument/2006/relationships/hyperlink" Target="#New_Ceased_LAC!A1"/><Relationship Id="rId28" Type="http://schemas.openxmlformats.org/officeDocument/2006/relationships/image" Target="../media/image2.png"/><Relationship Id="rId10" Type="http://schemas.openxmlformats.org/officeDocument/2006/relationships/hyperlink" Target="#Population!A1"/><Relationship Id="rId19" Type="http://schemas.openxmlformats.org/officeDocument/2006/relationships/hyperlink" Target="#'Looked After Children'!A1"/><Relationship Id="rId4" Type="http://schemas.openxmlformats.org/officeDocument/2006/relationships/chart" Target="../charts/chart48.xml"/><Relationship Id="rId9" Type="http://schemas.openxmlformats.org/officeDocument/2006/relationships/hyperlink" Target="#IDACI!A1"/><Relationship Id="rId14" Type="http://schemas.openxmlformats.org/officeDocument/2006/relationships/hyperlink" Target="#'Children in Need'!A1"/><Relationship Id="rId22" Type="http://schemas.openxmlformats.org/officeDocument/2006/relationships/hyperlink" Target="#'Child Protection Plans'!A1"/><Relationship Id="rId27" Type="http://schemas.openxmlformats.org/officeDocument/2006/relationships/hyperlink" Target="#Nav!A1"/></Relationships>
</file>

<file path=xl/drawings/_rels/drawing15.xml.rels><?xml version="1.0" encoding="UTF-8" standalone="yes"?>
<Relationships xmlns="http://schemas.openxmlformats.org/package/2006/relationships"><Relationship Id="rId13" Type="http://schemas.openxmlformats.org/officeDocument/2006/relationships/hyperlink" Target="#IDACI!A1"/><Relationship Id="rId18" Type="http://schemas.openxmlformats.org/officeDocument/2006/relationships/hyperlink" Target="#'Children in Need'!A1"/><Relationship Id="rId26" Type="http://schemas.openxmlformats.org/officeDocument/2006/relationships/hyperlink" Target="#'Child Protection Plans'!A1"/><Relationship Id="rId3" Type="http://schemas.openxmlformats.org/officeDocument/2006/relationships/chart" Target="../charts/chart52.xml"/><Relationship Id="rId21" Type="http://schemas.openxmlformats.org/officeDocument/2006/relationships/hyperlink" Target="#'Section 47 Enquiries'!A1"/><Relationship Id="rId7" Type="http://schemas.openxmlformats.org/officeDocument/2006/relationships/chart" Target="../charts/chart56.xml"/><Relationship Id="rId12" Type="http://schemas.openxmlformats.org/officeDocument/2006/relationships/hyperlink" Target="#Indicators!A1"/><Relationship Id="rId17" Type="http://schemas.openxmlformats.org/officeDocument/2006/relationships/hyperlink" Target="#Assessments!A1"/><Relationship Id="rId25" Type="http://schemas.openxmlformats.org/officeDocument/2006/relationships/hyperlink" Target="#YouthJustice!A1"/><Relationship Id="rId33" Type="http://schemas.openxmlformats.org/officeDocument/2006/relationships/image" Target="../media/image3.svg"/><Relationship Id="rId2" Type="http://schemas.openxmlformats.org/officeDocument/2006/relationships/chart" Target="../charts/chart51.xml"/><Relationship Id="rId16" Type="http://schemas.openxmlformats.org/officeDocument/2006/relationships/hyperlink" Target="#'Re-referrals'!A1"/><Relationship Id="rId20" Type="http://schemas.openxmlformats.org/officeDocument/2006/relationships/image" Target="../media/image1.png"/><Relationship Id="rId29" Type="http://schemas.openxmlformats.org/officeDocument/2006/relationships/hyperlink" Target="#'Court Applications'!A1"/><Relationship Id="rId1" Type="http://schemas.openxmlformats.org/officeDocument/2006/relationships/chart" Target="../charts/chart50.xml"/><Relationship Id="rId6" Type="http://schemas.openxmlformats.org/officeDocument/2006/relationships/chart" Target="../charts/chart55.xml"/><Relationship Id="rId11" Type="http://schemas.openxmlformats.org/officeDocument/2006/relationships/hyperlink" Target="#Coverage!A1"/><Relationship Id="rId24" Type="http://schemas.openxmlformats.org/officeDocument/2006/relationships/hyperlink" Target="#NEET!A1"/><Relationship Id="rId32" Type="http://schemas.openxmlformats.org/officeDocument/2006/relationships/image" Target="../media/image2.png"/><Relationship Id="rId5" Type="http://schemas.openxmlformats.org/officeDocument/2006/relationships/chart" Target="../charts/chart54.xml"/><Relationship Id="rId15" Type="http://schemas.openxmlformats.org/officeDocument/2006/relationships/hyperlink" Target="#Referral_Source!A1"/><Relationship Id="rId23" Type="http://schemas.openxmlformats.org/officeDocument/2006/relationships/hyperlink" Target="#'Looked After Children'!A1"/><Relationship Id="rId28" Type="http://schemas.openxmlformats.org/officeDocument/2006/relationships/hyperlink" Target="#Permanence!A1"/><Relationship Id="rId10" Type="http://schemas.openxmlformats.org/officeDocument/2006/relationships/hyperlink" Target="#Referrals!A1"/><Relationship Id="rId19" Type="http://schemas.openxmlformats.org/officeDocument/2006/relationships/hyperlink" Target="#Home!A1"/><Relationship Id="rId31" Type="http://schemas.openxmlformats.org/officeDocument/2006/relationships/hyperlink" Target="#Nav!A1"/><Relationship Id="rId4" Type="http://schemas.openxmlformats.org/officeDocument/2006/relationships/chart" Target="../charts/chart53.xml"/><Relationship Id="rId9" Type="http://schemas.openxmlformats.org/officeDocument/2006/relationships/chart" Target="../charts/chart58.xml"/><Relationship Id="rId14" Type="http://schemas.openxmlformats.org/officeDocument/2006/relationships/hyperlink" Target="#Population!A1"/><Relationship Id="rId22" Type="http://schemas.openxmlformats.org/officeDocument/2006/relationships/hyperlink" Target="#'Initial CP Conferences'!A1"/><Relationship Id="rId27" Type="http://schemas.openxmlformats.org/officeDocument/2006/relationships/hyperlink" Target="#New_Ceased_LAC!A1"/><Relationship Id="rId30" Type="http://schemas.openxmlformats.org/officeDocument/2006/relationships/hyperlink" Target="#Care_Leavers!A1"/><Relationship Id="rId8" Type="http://schemas.openxmlformats.org/officeDocument/2006/relationships/chart" Target="../charts/chart57.xml"/></Relationships>
</file>

<file path=xl/drawings/_rels/drawing16.xml.rels><?xml version="1.0" encoding="UTF-8" standalone="yes"?>
<Relationships xmlns="http://schemas.openxmlformats.org/package/2006/relationships"><Relationship Id="rId13" Type="http://schemas.openxmlformats.org/officeDocument/2006/relationships/chart" Target="../charts/chart71.xml"/><Relationship Id="rId18" Type="http://schemas.openxmlformats.org/officeDocument/2006/relationships/hyperlink" Target="#Referrals!A1"/><Relationship Id="rId26" Type="http://schemas.openxmlformats.org/officeDocument/2006/relationships/hyperlink" Target="#'Children in Need'!A1"/><Relationship Id="rId39" Type="http://schemas.openxmlformats.org/officeDocument/2006/relationships/hyperlink" Target="#Nav!A1"/><Relationship Id="rId21" Type="http://schemas.openxmlformats.org/officeDocument/2006/relationships/hyperlink" Target="#IDACI!A1"/><Relationship Id="rId34" Type="http://schemas.openxmlformats.org/officeDocument/2006/relationships/hyperlink" Target="#'Child Protection Plans'!A1"/><Relationship Id="rId7" Type="http://schemas.openxmlformats.org/officeDocument/2006/relationships/chart" Target="../charts/chart65.xml"/><Relationship Id="rId2" Type="http://schemas.openxmlformats.org/officeDocument/2006/relationships/chart" Target="../charts/chart60.xml"/><Relationship Id="rId16" Type="http://schemas.openxmlformats.org/officeDocument/2006/relationships/chart" Target="../charts/chart74.xml"/><Relationship Id="rId20" Type="http://schemas.openxmlformats.org/officeDocument/2006/relationships/hyperlink" Target="#Indicators!A1"/><Relationship Id="rId29" Type="http://schemas.openxmlformats.org/officeDocument/2006/relationships/hyperlink" Target="#'Section 47 Enquiries'!A1"/><Relationship Id="rId41" Type="http://schemas.openxmlformats.org/officeDocument/2006/relationships/image" Target="../media/image3.svg"/><Relationship Id="rId1" Type="http://schemas.openxmlformats.org/officeDocument/2006/relationships/chart" Target="../charts/chart59.xml"/><Relationship Id="rId6" Type="http://schemas.openxmlformats.org/officeDocument/2006/relationships/chart" Target="../charts/chart64.xml"/><Relationship Id="rId11" Type="http://schemas.openxmlformats.org/officeDocument/2006/relationships/chart" Target="../charts/chart69.xml"/><Relationship Id="rId24" Type="http://schemas.openxmlformats.org/officeDocument/2006/relationships/hyperlink" Target="#'Re-referrals'!A1"/><Relationship Id="rId32" Type="http://schemas.openxmlformats.org/officeDocument/2006/relationships/hyperlink" Target="#NEET!A1"/><Relationship Id="rId37" Type="http://schemas.openxmlformats.org/officeDocument/2006/relationships/hyperlink" Target="#'Court Applications'!A1"/><Relationship Id="rId40" Type="http://schemas.openxmlformats.org/officeDocument/2006/relationships/image" Target="../media/image2.png"/><Relationship Id="rId5" Type="http://schemas.openxmlformats.org/officeDocument/2006/relationships/chart" Target="../charts/chart63.xml"/><Relationship Id="rId15" Type="http://schemas.openxmlformats.org/officeDocument/2006/relationships/chart" Target="../charts/chart73.xml"/><Relationship Id="rId23" Type="http://schemas.openxmlformats.org/officeDocument/2006/relationships/hyperlink" Target="#Referral_Source!A1"/><Relationship Id="rId28" Type="http://schemas.openxmlformats.org/officeDocument/2006/relationships/image" Target="../media/image1.png"/><Relationship Id="rId36" Type="http://schemas.openxmlformats.org/officeDocument/2006/relationships/hyperlink" Target="#Permanence!A1"/><Relationship Id="rId10" Type="http://schemas.openxmlformats.org/officeDocument/2006/relationships/chart" Target="../charts/chart68.xml"/><Relationship Id="rId19" Type="http://schemas.openxmlformats.org/officeDocument/2006/relationships/hyperlink" Target="#Coverage!A1"/><Relationship Id="rId31" Type="http://schemas.openxmlformats.org/officeDocument/2006/relationships/hyperlink" Target="#'Looked After Children'!A1"/><Relationship Id="rId4" Type="http://schemas.openxmlformats.org/officeDocument/2006/relationships/chart" Target="../charts/chart62.xml"/><Relationship Id="rId9" Type="http://schemas.openxmlformats.org/officeDocument/2006/relationships/chart" Target="../charts/chart67.xml"/><Relationship Id="rId14" Type="http://schemas.openxmlformats.org/officeDocument/2006/relationships/chart" Target="../charts/chart72.xml"/><Relationship Id="rId22" Type="http://schemas.openxmlformats.org/officeDocument/2006/relationships/hyperlink" Target="#Population!A1"/><Relationship Id="rId27" Type="http://schemas.openxmlformats.org/officeDocument/2006/relationships/hyperlink" Target="#Home!A1"/><Relationship Id="rId30" Type="http://schemas.openxmlformats.org/officeDocument/2006/relationships/hyperlink" Target="#'Initial CP Conferences'!A1"/><Relationship Id="rId35" Type="http://schemas.openxmlformats.org/officeDocument/2006/relationships/hyperlink" Target="#New_Ceased_LAC!A1"/><Relationship Id="rId8" Type="http://schemas.openxmlformats.org/officeDocument/2006/relationships/chart" Target="../charts/chart66.xml"/><Relationship Id="rId3" Type="http://schemas.openxmlformats.org/officeDocument/2006/relationships/chart" Target="../charts/chart61.xml"/><Relationship Id="rId12" Type="http://schemas.openxmlformats.org/officeDocument/2006/relationships/chart" Target="../charts/chart70.xml"/><Relationship Id="rId17" Type="http://schemas.openxmlformats.org/officeDocument/2006/relationships/chart" Target="../charts/chart75.xml"/><Relationship Id="rId25" Type="http://schemas.openxmlformats.org/officeDocument/2006/relationships/hyperlink" Target="#Assessments!A1"/><Relationship Id="rId33" Type="http://schemas.openxmlformats.org/officeDocument/2006/relationships/hyperlink" Target="#YouthJustice!A1"/><Relationship Id="rId38" Type="http://schemas.openxmlformats.org/officeDocument/2006/relationships/hyperlink" Target="#Care_Leavers!A1"/></Relationships>
</file>

<file path=xl/drawings/_rels/drawing17.xml.rels><?xml version="1.0" encoding="UTF-8" standalone="yes"?>
<Relationships xmlns="http://schemas.openxmlformats.org/package/2006/relationships"><Relationship Id="rId13" Type="http://schemas.openxmlformats.org/officeDocument/2006/relationships/hyperlink" Target="#Indicators!A1"/><Relationship Id="rId18" Type="http://schemas.openxmlformats.org/officeDocument/2006/relationships/hyperlink" Target="#Assessments!A1"/><Relationship Id="rId26" Type="http://schemas.openxmlformats.org/officeDocument/2006/relationships/hyperlink" Target="#YouthJustice!A1"/><Relationship Id="rId3" Type="http://schemas.openxmlformats.org/officeDocument/2006/relationships/chart" Target="../charts/chart78.xml"/><Relationship Id="rId21" Type="http://schemas.openxmlformats.org/officeDocument/2006/relationships/image" Target="../media/image1.png"/><Relationship Id="rId34" Type="http://schemas.openxmlformats.org/officeDocument/2006/relationships/image" Target="../media/image3.svg"/><Relationship Id="rId7" Type="http://schemas.openxmlformats.org/officeDocument/2006/relationships/chart" Target="../charts/chart82.xml"/><Relationship Id="rId12" Type="http://schemas.openxmlformats.org/officeDocument/2006/relationships/hyperlink" Target="#Coverage!A1"/><Relationship Id="rId17" Type="http://schemas.openxmlformats.org/officeDocument/2006/relationships/hyperlink" Target="#'Re-referrals'!A1"/><Relationship Id="rId25" Type="http://schemas.openxmlformats.org/officeDocument/2006/relationships/hyperlink" Target="#NEET!A1"/><Relationship Id="rId33" Type="http://schemas.openxmlformats.org/officeDocument/2006/relationships/image" Target="../media/image2.png"/><Relationship Id="rId2" Type="http://schemas.openxmlformats.org/officeDocument/2006/relationships/chart" Target="../charts/chart77.xml"/><Relationship Id="rId16" Type="http://schemas.openxmlformats.org/officeDocument/2006/relationships/hyperlink" Target="#Referral_Source!A1"/><Relationship Id="rId20" Type="http://schemas.openxmlformats.org/officeDocument/2006/relationships/hyperlink" Target="#Home!A1"/><Relationship Id="rId29" Type="http://schemas.openxmlformats.org/officeDocument/2006/relationships/hyperlink" Target="#Permanence!A1"/><Relationship Id="rId1" Type="http://schemas.openxmlformats.org/officeDocument/2006/relationships/chart" Target="../charts/chart76.xml"/><Relationship Id="rId6" Type="http://schemas.openxmlformats.org/officeDocument/2006/relationships/chart" Target="../charts/chart81.xml"/><Relationship Id="rId11" Type="http://schemas.openxmlformats.org/officeDocument/2006/relationships/hyperlink" Target="#Referrals!A1"/><Relationship Id="rId24" Type="http://schemas.openxmlformats.org/officeDocument/2006/relationships/hyperlink" Target="#'Looked After Children'!A1"/><Relationship Id="rId32" Type="http://schemas.openxmlformats.org/officeDocument/2006/relationships/hyperlink" Target="#Nav!A1"/><Relationship Id="rId5" Type="http://schemas.openxmlformats.org/officeDocument/2006/relationships/chart" Target="../charts/chart80.xml"/><Relationship Id="rId15" Type="http://schemas.openxmlformats.org/officeDocument/2006/relationships/hyperlink" Target="#Population!A1"/><Relationship Id="rId23" Type="http://schemas.openxmlformats.org/officeDocument/2006/relationships/hyperlink" Target="#'Initial CP Conferences'!A1"/><Relationship Id="rId28" Type="http://schemas.openxmlformats.org/officeDocument/2006/relationships/hyperlink" Target="#New_Ceased_LAC!A1"/><Relationship Id="rId10" Type="http://schemas.openxmlformats.org/officeDocument/2006/relationships/chart" Target="../charts/chart85.xml"/><Relationship Id="rId19" Type="http://schemas.openxmlformats.org/officeDocument/2006/relationships/hyperlink" Target="#'Children in Need'!A1"/><Relationship Id="rId31" Type="http://schemas.openxmlformats.org/officeDocument/2006/relationships/hyperlink" Target="#Care_Leavers!A1"/><Relationship Id="rId4" Type="http://schemas.openxmlformats.org/officeDocument/2006/relationships/chart" Target="../charts/chart79.xml"/><Relationship Id="rId9" Type="http://schemas.openxmlformats.org/officeDocument/2006/relationships/chart" Target="../charts/chart84.xml"/><Relationship Id="rId14" Type="http://schemas.openxmlformats.org/officeDocument/2006/relationships/hyperlink" Target="#IDACI!A1"/><Relationship Id="rId22" Type="http://schemas.openxmlformats.org/officeDocument/2006/relationships/hyperlink" Target="#'Section 47 Enquiries'!A1"/><Relationship Id="rId27" Type="http://schemas.openxmlformats.org/officeDocument/2006/relationships/hyperlink" Target="#'Child Protection Plans'!A1"/><Relationship Id="rId30" Type="http://schemas.openxmlformats.org/officeDocument/2006/relationships/hyperlink" Target="#'Court Applications'!A1"/><Relationship Id="rId8"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13" Type="http://schemas.openxmlformats.org/officeDocument/2006/relationships/chart" Target="../charts/chart98.xml"/><Relationship Id="rId18" Type="http://schemas.openxmlformats.org/officeDocument/2006/relationships/chart" Target="../charts/chart103.xml"/><Relationship Id="rId26" Type="http://schemas.openxmlformats.org/officeDocument/2006/relationships/hyperlink" Target="#Population!A1"/><Relationship Id="rId39" Type="http://schemas.openxmlformats.org/officeDocument/2006/relationships/hyperlink" Target="#New_Ceased_LAC!A1"/><Relationship Id="rId21" Type="http://schemas.openxmlformats.org/officeDocument/2006/relationships/chart" Target="../charts/chart106.xml"/><Relationship Id="rId34" Type="http://schemas.openxmlformats.org/officeDocument/2006/relationships/hyperlink" Target="#'Initial CP Conferences'!A1"/><Relationship Id="rId42" Type="http://schemas.openxmlformats.org/officeDocument/2006/relationships/hyperlink" Target="#Care_Leavers!A1"/><Relationship Id="rId7" Type="http://schemas.openxmlformats.org/officeDocument/2006/relationships/chart" Target="../charts/chart92.xml"/><Relationship Id="rId2" Type="http://schemas.openxmlformats.org/officeDocument/2006/relationships/chart" Target="../charts/chart87.xml"/><Relationship Id="rId16" Type="http://schemas.openxmlformats.org/officeDocument/2006/relationships/chart" Target="../charts/chart101.xml"/><Relationship Id="rId29" Type="http://schemas.openxmlformats.org/officeDocument/2006/relationships/hyperlink" Target="#Assessments!A1"/><Relationship Id="rId1" Type="http://schemas.openxmlformats.org/officeDocument/2006/relationships/chart" Target="../charts/chart86.xml"/><Relationship Id="rId6" Type="http://schemas.openxmlformats.org/officeDocument/2006/relationships/chart" Target="../charts/chart91.xml"/><Relationship Id="rId11" Type="http://schemas.openxmlformats.org/officeDocument/2006/relationships/chart" Target="../charts/chart96.xml"/><Relationship Id="rId24" Type="http://schemas.openxmlformats.org/officeDocument/2006/relationships/hyperlink" Target="#Indicators!A1"/><Relationship Id="rId32" Type="http://schemas.openxmlformats.org/officeDocument/2006/relationships/image" Target="../media/image1.png"/><Relationship Id="rId37" Type="http://schemas.openxmlformats.org/officeDocument/2006/relationships/hyperlink" Target="#YouthJustice!A1"/><Relationship Id="rId40" Type="http://schemas.openxmlformats.org/officeDocument/2006/relationships/hyperlink" Target="#Permanence!A1"/><Relationship Id="rId45" Type="http://schemas.openxmlformats.org/officeDocument/2006/relationships/image" Target="../media/image3.svg"/><Relationship Id="rId5" Type="http://schemas.openxmlformats.org/officeDocument/2006/relationships/chart" Target="../charts/chart90.xml"/><Relationship Id="rId15" Type="http://schemas.openxmlformats.org/officeDocument/2006/relationships/chart" Target="../charts/chart100.xml"/><Relationship Id="rId23" Type="http://schemas.openxmlformats.org/officeDocument/2006/relationships/hyperlink" Target="#Coverage!A1"/><Relationship Id="rId28" Type="http://schemas.openxmlformats.org/officeDocument/2006/relationships/hyperlink" Target="#'Re-referrals'!A1"/><Relationship Id="rId36" Type="http://schemas.openxmlformats.org/officeDocument/2006/relationships/hyperlink" Target="#NEET!A1"/><Relationship Id="rId10" Type="http://schemas.openxmlformats.org/officeDocument/2006/relationships/chart" Target="../charts/chart95.xml"/><Relationship Id="rId19" Type="http://schemas.openxmlformats.org/officeDocument/2006/relationships/chart" Target="../charts/chart104.xml"/><Relationship Id="rId31" Type="http://schemas.openxmlformats.org/officeDocument/2006/relationships/hyperlink" Target="#Home!A1"/><Relationship Id="rId44" Type="http://schemas.openxmlformats.org/officeDocument/2006/relationships/image" Target="../media/image2.png"/><Relationship Id="rId4" Type="http://schemas.openxmlformats.org/officeDocument/2006/relationships/chart" Target="../charts/chart89.xml"/><Relationship Id="rId9" Type="http://schemas.openxmlformats.org/officeDocument/2006/relationships/chart" Target="../charts/chart94.xml"/><Relationship Id="rId14" Type="http://schemas.openxmlformats.org/officeDocument/2006/relationships/chart" Target="../charts/chart99.xml"/><Relationship Id="rId22" Type="http://schemas.openxmlformats.org/officeDocument/2006/relationships/hyperlink" Target="#Referrals!A1"/><Relationship Id="rId27" Type="http://schemas.openxmlformats.org/officeDocument/2006/relationships/hyperlink" Target="#Referral_Source!A1"/><Relationship Id="rId30" Type="http://schemas.openxmlformats.org/officeDocument/2006/relationships/hyperlink" Target="#'Children in Need'!A1"/><Relationship Id="rId35" Type="http://schemas.openxmlformats.org/officeDocument/2006/relationships/hyperlink" Target="#'Looked After Children'!A1"/><Relationship Id="rId43" Type="http://schemas.openxmlformats.org/officeDocument/2006/relationships/hyperlink" Target="#Nav!A1"/><Relationship Id="rId8" Type="http://schemas.openxmlformats.org/officeDocument/2006/relationships/chart" Target="../charts/chart93.xml"/><Relationship Id="rId3" Type="http://schemas.openxmlformats.org/officeDocument/2006/relationships/chart" Target="../charts/chart88.xml"/><Relationship Id="rId12" Type="http://schemas.openxmlformats.org/officeDocument/2006/relationships/chart" Target="../charts/chart97.xml"/><Relationship Id="rId17" Type="http://schemas.openxmlformats.org/officeDocument/2006/relationships/chart" Target="../charts/chart102.xml"/><Relationship Id="rId25" Type="http://schemas.openxmlformats.org/officeDocument/2006/relationships/hyperlink" Target="#IDACI!A1"/><Relationship Id="rId33" Type="http://schemas.openxmlformats.org/officeDocument/2006/relationships/hyperlink" Target="#'Section 47 Enquiries'!A1"/><Relationship Id="rId38" Type="http://schemas.openxmlformats.org/officeDocument/2006/relationships/hyperlink" Target="#'Child Protection Plans'!A1"/><Relationship Id="rId20" Type="http://schemas.openxmlformats.org/officeDocument/2006/relationships/chart" Target="../charts/chart105.xml"/><Relationship Id="rId41" Type="http://schemas.openxmlformats.org/officeDocument/2006/relationships/hyperlink" Target="#'Court Applications'!A1"/></Relationships>
</file>

<file path=xl/drawings/_rels/drawing19.xml.rels><?xml version="1.0" encoding="UTF-8" standalone="yes"?>
<Relationships xmlns="http://schemas.openxmlformats.org/package/2006/relationships"><Relationship Id="rId13" Type="http://schemas.openxmlformats.org/officeDocument/2006/relationships/chart" Target="../charts/chart119.xml"/><Relationship Id="rId18" Type="http://schemas.openxmlformats.org/officeDocument/2006/relationships/chart" Target="../charts/chart124.xml"/><Relationship Id="rId26" Type="http://schemas.openxmlformats.org/officeDocument/2006/relationships/hyperlink" Target="#'Re-referrals'!A1"/><Relationship Id="rId39" Type="http://schemas.openxmlformats.org/officeDocument/2006/relationships/hyperlink" Target="#'Court Applications'!A1"/><Relationship Id="rId21" Type="http://schemas.openxmlformats.org/officeDocument/2006/relationships/hyperlink" Target="#Coverage!A1"/><Relationship Id="rId34" Type="http://schemas.openxmlformats.org/officeDocument/2006/relationships/hyperlink" Target="#NEET!A1"/><Relationship Id="rId42" Type="http://schemas.openxmlformats.org/officeDocument/2006/relationships/image" Target="../media/image2.png"/><Relationship Id="rId7" Type="http://schemas.openxmlformats.org/officeDocument/2006/relationships/chart" Target="../charts/chart113.xml"/><Relationship Id="rId2" Type="http://schemas.openxmlformats.org/officeDocument/2006/relationships/chart" Target="../charts/chart108.xml"/><Relationship Id="rId16" Type="http://schemas.openxmlformats.org/officeDocument/2006/relationships/chart" Target="../charts/chart122.xml"/><Relationship Id="rId20" Type="http://schemas.openxmlformats.org/officeDocument/2006/relationships/hyperlink" Target="#Referrals!A1"/><Relationship Id="rId29" Type="http://schemas.openxmlformats.org/officeDocument/2006/relationships/hyperlink" Target="#Home!A1"/><Relationship Id="rId41" Type="http://schemas.openxmlformats.org/officeDocument/2006/relationships/hyperlink" Target="#Nav!A1"/><Relationship Id="rId1" Type="http://schemas.openxmlformats.org/officeDocument/2006/relationships/chart" Target="../charts/chart107.xml"/><Relationship Id="rId6" Type="http://schemas.openxmlformats.org/officeDocument/2006/relationships/chart" Target="../charts/chart112.xml"/><Relationship Id="rId11" Type="http://schemas.openxmlformats.org/officeDocument/2006/relationships/chart" Target="../charts/chart117.xml"/><Relationship Id="rId24" Type="http://schemas.openxmlformats.org/officeDocument/2006/relationships/hyperlink" Target="#Population!A1"/><Relationship Id="rId32" Type="http://schemas.openxmlformats.org/officeDocument/2006/relationships/hyperlink" Target="#'Initial CP Conferences'!A1"/><Relationship Id="rId37" Type="http://schemas.openxmlformats.org/officeDocument/2006/relationships/hyperlink" Target="#New_Ceased_LAC!A1"/><Relationship Id="rId40" Type="http://schemas.openxmlformats.org/officeDocument/2006/relationships/hyperlink" Target="#Care_Leavers!A1"/><Relationship Id="rId5" Type="http://schemas.openxmlformats.org/officeDocument/2006/relationships/chart" Target="../charts/chart111.xml"/><Relationship Id="rId15" Type="http://schemas.openxmlformats.org/officeDocument/2006/relationships/chart" Target="../charts/chart121.xml"/><Relationship Id="rId23" Type="http://schemas.openxmlformats.org/officeDocument/2006/relationships/hyperlink" Target="#IDACI!A1"/><Relationship Id="rId28" Type="http://schemas.openxmlformats.org/officeDocument/2006/relationships/hyperlink" Target="#'Children in Need'!A1"/><Relationship Id="rId36" Type="http://schemas.openxmlformats.org/officeDocument/2006/relationships/hyperlink" Target="#'Child Protection Plans'!A1"/><Relationship Id="rId10" Type="http://schemas.openxmlformats.org/officeDocument/2006/relationships/chart" Target="../charts/chart116.xml"/><Relationship Id="rId19" Type="http://schemas.openxmlformats.org/officeDocument/2006/relationships/chart" Target="../charts/chart125.xml"/><Relationship Id="rId31" Type="http://schemas.openxmlformats.org/officeDocument/2006/relationships/hyperlink" Target="#'Section 47 Enquiries'!A1"/><Relationship Id="rId4" Type="http://schemas.openxmlformats.org/officeDocument/2006/relationships/chart" Target="../charts/chart110.xml"/><Relationship Id="rId9" Type="http://schemas.openxmlformats.org/officeDocument/2006/relationships/chart" Target="../charts/chart115.xml"/><Relationship Id="rId14" Type="http://schemas.openxmlformats.org/officeDocument/2006/relationships/chart" Target="../charts/chart120.xml"/><Relationship Id="rId22" Type="http://schemas.openxmlformats.org/officeDocument/2006/relationships/hyperlink" Target="#Indicators!A1"/><Relationship Id="rId27" Type="http://schemas.openxmlformats.org/officeDocument/2006/relationships/hyperlink" Target="#Assessments!A1"/><Relationship Id="rId30" Type="http://schemas.openxmlformats.org/officeDocument/2006/relationships/image" Target="../media/image1.png"/><Relationship Id="rId35" Type="http://schemas.openxmlformats.org/officeDocument/2006/relationships/hyperlink" Target="#YouthJustice!A1"/><Relationship Id="rId43" Type="http://schemas.openxmlformats.org/officeDocument/2006/relationships/image" Target="../media/image3.svg"/><Relationship Id="rId8" Type="http://schemas.openxmlformats.org/officeDocument/2006/relationships/chart" Target="../charts/chart114.xml"/><Relationship Id="rId3" Type="http://schemas.openxmlformats.org/officeDocument/2006/relationships/chart" Target="../charts/chart109.xml"/><Relationship Id="rId12" Type="http://schemas.openxmlformats.org/officeDocument/2006/relationships/chart" Target="../charts/chart118.xml"/><Relationship Id="rId17" Type="http://schemas.openxmlformats.org/officeDocument/2006/relationships/chart" Target="../charts/chart123.xml"/><Relationship Id="rId25" Type="http://schemas.openxmlformats.org/officeDocument/2006/relationships/hyperlink" Target="#Referral_Source!A1"/><Relationship Id="rId33" Type="http://schemas.openxmlformats.org/officeDocument/2006/relationships/hyperlink" Target="#'Looked After Children'!A1"/><Relationship Id="rId38" Type="http://schemas.openxmlformats.org/officeDocument/2006/relationships/hyperlink" Target="#Permanence!A1"/></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Nav!A1"/><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13" Type="http://schemas.openxmlformats.org/officeDocument/2006/relationships/hyperlink" Target="#Indicators!A1"/><Relationship Id="rId18" Type="http://schemas.openxmlformats.org/officeDocument/2006/relationships/hyperlink" Target="#Assessments!A1"/><Relationship Id="rId26" Type="http://schemas.openxmlformats.org/officeDocument/2006/relationships/hyperlink" Target="#YouthJustice!A1"/><Relationship Id="rId3" Type="http://schemas.openxmlformats.org/officeDocument/2006/relationships/chart" Target="../charts/chart128.xml"/><Relationship Id="rId21" Type="http://schemas.openxmlformats.org/officeDocument/2006/relationships/image" Target="../media/image1.png"/><Relationship Id="rId34" Type="http://schemas.openxmlformats.org/officeDocument/2006/relationships/image" Target="../media/image3.svg"/><Relationship Id="rId7" Type="http://schemas.openxmlformats.org/officeDocument/2006/relationships/chart" Target="../charts/chart132.xml"/><Relationship Id="rId12" Type="http://schemas.openxmlformats.org/officeDocument/2006/relationships/hyperlink" Target="#Coverage!A1"/><Relationship Id="rId17" Type="http://schemas.openxmlformats.org/officeDocument/2006/relationships/hyperlink" Target="#'Re-referrals'!A1"/><Relationship Id="rId25" Type="http://schemas.openxmlformats.org/officeDocument/2006/relationships/hyperlink" Target="#NEET!A1"/><Relationship Id="rId33" Type="http://schemas.openxmlformats.org/officeDocument/2006/relationships/image" Target="../media/image2.png"/><Relationship Id="rId2" Type="http://schemas.openxmlformats.org/officeDocument/2006/relationships/chart" Target="../charts/chart127.xml"/><Relationship Id="rId16" Type="http://schemas.openxmlformats.org/officeDocument/2006/relationships/hyperlink" Target="#Referral_Source!A1"/><Relationship Id="rId20" Type="http://schemas.openxmlformats.org/officeDocument/2006/relationships/hyperlink" Target="#Home!A1"/><Relationship Id="rId29" Type="http://schemas.openxmlformats.org/officeDocument/2006/relationships/hyperlink" Target="#Permanence!A1"/><Relationship Id="rId1" Type="http://schemas.openxmlformats.org/officeDocument/2006/relationships/chart" Target="../charts/chart126.xml"/><Relationship Id="rId6" Type="http://schemas.openxmlformats.org/officeDocument/2006/relationships/chart" Target="../charts/chart131.xml"/><Relationship Id="rId11" Type="http://schemas.openxmlformats.org/officeDocument/2006/relationships/hyperlink" Target="#Referrals!A1"/><Relationship Id="rId24" Type="http://schemas.openxmlformats.org/officeDocument/2006/relationships/hyperlink" Target="#'Looked After Children'!A1"/><Relationship Id="rId32" Type="http://schemas.openxmlformats.org/officeDocument/2006/relationships/hyperlink" Target="#Nav!A1"/><Relationship Id="rId5" Type="http://schemas.openxmlformats.org/officeDocument/2006/relationships/chart" Target="../charts/chart130.xml"/><Relationship Id="rId15" Type="http://schemas.openxmlformats.org/officeDocument/2006/relationships/hyperlink" Target="#Population!A1"/><Relationship Id="rId23" Type="http://schemas.openxmlformats.org/officeDocument/2006/relationships/hyperlink" Target="#'Initial CP Conferences'!A1"/><Relationship Id="rId28" Type="http://schemas.openxmlformats.org/officeDocument/2006/relationships/hyperlink" Target="#New_Ceased_LAC!A1"/><Relationship Id="rId10" Type="http://schemas.openxmlformats.org/officeDocument/2006/relationships/chart" Target="../charts/chart135.xml"/><Relationship Id="rId19" Type="http://schemas.openxmlformats.org/officeDocument/2006/relationships/hyperlink" Target="#'Children in Need'!A1"/><Relationship Id="rId31" Type="http://schemas.openxmlformats.org/officeDocument/2006/relationships/hyperlink" Target="#Care_Leavers!A1"/><Relationship Id="rId4" Type="http://schemas.openxmlformats.org/officeDocument/2006/relationships/chart" Target="../charts/chart129.xml"/><Relationship Id="rId9" Type="http://schemas.openxmlformats.org/officeDocument/2006/relationships/chart" Target="../charts/chart134.xml"/><Relationship Id="rId14" Type="http://schemas.openxmlformats.org/officeDocument/2006/relationships/hyperlink" Target="#IDACI!A1"/><Relationship Id="rId22" Type="http://schemas.openxmlformats.org/officeDocument/2006/relationships/hyperlink" Target="#'Section 47 Enquiries'!A1"/><Relationship Id="rId27" Type="http://schemas.openxmlformats.org/officeDocument/2006/relationships/hyperlink" Target="#'Child Protection Plans'!A1"/><Relationship Id="rId30" Type="http://schemas.openxmlformats.org/officeDocument/2006/relationships/hyperlink" Target="#'Court Applications'!A1"/><Relationship Id="rId8" Type="http://schemas.openxmlformats.org/officeDocument/2006/relationships/chart" Target="../charts/chart133.xml"/></Relationships>
</file>

<file path=xl/drawings/_rels/drawing21.xml.rels><?xml version="1.0" encoding="UTF-8" standalone="yes"?>
<Relationships xmlns="http://schemas.openxmlformats.org/package/2006/relationships"><Relationship Id="rId13" Type="http://schemas.openxmlformats.org/officeDocument/2006/relationships/chart" Target="../charts/chart148.xml"/><Relationship Id="rId18" Type="http://schemas.openxmlformats.org/officeDocument/2006/relationships/hyperlink" Target="#Population!A1"/><Relationship Id="rId26" Type="http://schemas.openxmlformats.org/officeDocument/2006/relationships/hyperlink" Target="#'Initial CP Conferences'!A1"/><Relationship Id="rId21" Type="http://schemas.openxmlformats.org/officeDocument/2006/relationships/hyperlink" Target="#Assessments!A1"/><Relationship Id="rId34" Type="http://schemas.openxmlformats.org/officeDocument/2006/relationships/hyperlink" Target="#Care_Leavers!A1"/><Relationship Id="rId7" Type="http://schemas.openxmlformats.org/officeDocument/2006/relationships/chart" Target="../charts/chart142.xml"/><Relationship Id="rId12" Type="http://schemas.openxmlformats.org/officeDocument/2006/relationships/chart" Target="../charts/chart147.xml"/><Relationship Id="rId17" Type="http://schemas.openxmlformats.org/officeDocument/2006/relationships/hyperlink" Target="#IDACI!A1"/><Relationship Id="rId25" Type="http://schemas.openxmlformats.org/officeDocument/2006/relationships/hyperlink" Target="#'Section 47 Enquiries'!A1"/><Relationship Id="rId33" Type="http://schemas.openxmlformats.org/officeDocument/2006/relationships/hyperlink" Target="#'Court Applications'!A1"/><Relationship Id="rId2" Type="http://schemas.openxmlformats.org/officeDocument/2006/relationships/chart" Target="../charts/chart137.xml"/><Relationship Id="rId16" Type="http://schemas.openxmlformats.org/officeDocument/2006/relationships/hyperlink" Target="#Indicators!A1"/><Relationship Id="rId20" Type="http://schemas.openxmlformats.org/officeDocument/2006/relationships/hyperlink" Target="#'Re-referrals'!A1"/><Relationship Id="rId29" Type="http://schemas.openxmlformats.org/officeDocument/2006/relationships/hyperlink" Target="#YouthJustice!A1"/><Relationship Id="rId1" Type="http://schemas.openxmlformats.org/officeDocument/2006/relationships/chart" Target="../charts/chart136.xml"/><Relationship Id="rId6" Type="http://schemas.openxmlformats.org/officeDocument/2006/relationships/chart" Target="../charts/chart141.xml"/><Relationship Id="rId11" Type="http://schemas.openxmlformats.org/officeDocument/2006/relationships/chart" Target="../charts/chart146.xml"/><Relationship Id="rId24" Type="http://schemas.openxmlformats.org/officeDocument/2006/relationships/image" Target="../media/image1.png"/><Relationship Id="rId32" Type="http://schemas.openxmlformats.org/officeDocument/2006/relationships/hyperlink" Target="#Permanence!A1"/><Relationship Id="rId37" Type="http://schemas.openxmlformats.org/officeDocument/2006/relationships/image" Target="../media/image3.svg"/><Relationship Id="rId5" Type="http://schemas.openxmlformats.org/officeDocument/2006/relationships/chart" Target="../charts/chart140.xml"/><Relationship Id="rId15" Type="http://schemas.openxmlformats.org/officeDocument/2006/relationships/hyperlink" Target="#Coverage!A1"/><Relationship Id="rId23" Type="http://schemas.openxmlformats.org/officeDocument/2006/relationships/hyperlink" Target="#Home!A1"/><Relationship Id="rId28" Type="http://schemas.openxmlformats.org/officeDocument/2006/relationships/hyperlink" Target="#Participation!A1"/><Relationship Id="rId36" Type="http://schemas.openxmlformats.org/officeDocument/2006/relationships/image" Target="../media/image2.png"/><Relationship Id="rId10" Type="http://schemas.openxmlformats.org/officeDocument/2006/relationships/chart" Target="../charts/chart145.xml"/><Relationship Id="rId19" Type="http://schemas.openxmlformats.org/officeDocument/2006/relationships/hyperlink" Target="#Referral_Source!A1"/><Relationship Id="rId31" Type="http://schemas.openxmlformats.org/officeDocument/2006/relationships/hyperlink" Target="#New_Ceased_LAC!A1"/><Relationship Id="rId4" Type="http://schemas.openxmlformats.org/officeDocument/2006/relationships/chart" Target="../charts/chart139.xml"/><Relationship Id="rId9" Type="http://schemas.openxmlformats.org/officeDocument/2006/relationships/chart" Target="../charts/chart144.xml"/><Relationship Id="rId14" Type="http://schemas.openxmlformats.org/officeDocument/2006/relationships/hyperlink" Target="#Referrals!A1"/><Relationship Id="rId22" Type="http://schemas.openxmlformats.org/officeDocument/2006/relationships/hyperlink" Target="#'Children in Need'!A1"/><Relationship Id="rId27" Type="http://schemas.openxmlformats.org/officeDocument/2006/relationships/hyperlink" Target="#'Looked After Children'!A1"/><Relationship Id="rId30" Type="http://schemas.openxmlformats.org/officeDocument/2006/relationships/hyperlink" Target="#'Child Protection Plans'!A1"/><Relationship Id="rId35" Type="http://schemas.openxmlformats.org/officeDocument/2006/relationships/hyperlink" Target="#Nav!A1"/><Relationship Id="rId8" Type="http://schemas.openxmlformats.org/officeDocument/2006/relationships/chart" Target="../charts/chart143.xml"/><Relationship Id="rId3" Type="http://schemas.openxmlformats.org/officeDocument/2006/relationships/chart" Target="../charts/chart138.xml"/></Relationships>
</file>

<file path=xl/drawings/_rels/drawing22.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chart" Target="../charts/chart154.xml"/><Relationship Id="rId2" Type="http://schemas.openxmlformats.org/officeDocument/2006/relationships/chart" Target="../charts/chart150.xml"/><Relationship Id="rId1" Type="http://schemas.openxmlformats.org/officeDocument/2006/relationships/chart" Target="../charts/chart149.xml"/><Relationship Id="rId6" Type="http://schemas.openxmlformats.org/officeDocument/2006/relationships/chart" Target="../charts/chart153.xml"/><Relationship Id="rId5" Type="http://schemas.openxmlformats.org/officeDocument/2006/relationships/chart" Target="../charts/chart152.xml"/><Relationship Id="rId4" Type="http://schemas.openxmlformats.org/officeDocument/2006/relationships/chart" Target="../charts/chart151.xml"/></Relationships>
</file>

<file path=xl/drawings/_rels/drawing23.xml.rels><?xml version="1.0" encoding="UTF-8" standalone="yes"?>
<Relationships xmlns="http://schemas.openxmlformats.org/package/2006/relationships"><Relationship Id="rId8" Type="http://schemas.openxmlformats.org/officeDocument/2006/relationships/hyperlink" Target="#Referrals!A1"/><Relationship Id="rId13" Type="http://schemas.openxmlformats.org/officeDocument/2006/relationships/hyperlink" Target="#Referral_Source!A1"/><Relationship Id="rId18" Type="http://schemas.openxmlformats.org/officeDocument/2006/relationships/image" Target="../media/image1.png"/><Relationship Id="rId26" Type="http://schemas.openxmlformats.org/officeDocument/2006/relationships/hyperlink" Target="#Permanence!A1"/><Relationship Id="rId3" Type="http://schemas.openxmlformats.org/officeDocument/2006/relationships/chart" Target="../charts/chart157.xml"/><Relationship Id="rId21" Type="http://schemas.openxmlformats.org/officeDocument/2006/relationships/hyperlink" Target="#'Looked After Children'!A1"/><Relationship Id="rId7" Type="http://schemas.openxmlformats.org/officeDocument/2006/relationships/chart" Target="../charts/chart161.xml"/><Relationship Id="rId12" Type="http://schemas.openxmlformats.org/officeDocument/2006/relationships/hyperlink" Target="#Population!A1"/><Relationship Id="rId17" Type="http://schemas.openxmlformats.org/officeDocument/2006/relationships/hyperlink" Target="#Home!A1"/><Relationship Id="rId25" Type="http://schemas.openxmlformats.org/officeDocument/2006/relationships/hyperlink" Target="#New_Ceased_LAC!A1"/><Relationship Id="rId2" Type="http://schemas.openxmlformats.org/officeDocument/2006/relationships/chart" Target="../charts/chart156.xml"/><Relationship Id="rId16" Type="http://schemas.openxmlformats.org/officeDocument/2006/relationships/hyperlink" Target="#'Children in Need'!A1"/><Relationship Id="rId20" Type="http://schemas.openxmlformats.org/officeDocument/2006/relationships/hyperlink" Target="#'Initial CP Conferences'!A1"/><Relationship Id="rId29" Type="http://schemas.openxmlformats.org/officeDocument/2006/relationships/hyperlink" Target="#Nav!A1"/><Relationship Id="rId1" Type="http://schemas.openxmlformats.org/officeDocument/2006/relationships/chart" Target="../charts/chart155.xml"/><Relationship Id="rId6" Type="http://schemas.openxmlformats.org/officeDocument/2006/relationships/chart" Target="../charts/chart160.xml"/><Relationship Id="rId11" Type="http://schemas.openxmlformats.org/officeDocument/2006/relationships/hyperlink" Target="#IDACI!A1"/><Relationship Id="rId24" Type="http://schemas.openxmlformats.org/officeDocument/2006/relationships/hyperlink" Target="#'Child Protection Plans'!A1"/><Relationship Id="rId5" Type="http://schemas.openxmlformats.org/officeDocument/2006/relationships/chart" Target="../charts/chart159.xml"/><Relationship Id="rId15" Type="http://schemas.openxmlformats.org/officeDocument/2006/relationships/hyperlink" Target="#Assessments!A1"/><Relationship Id="rId23" Type="http://schemas.openxmlformats.org/officeDocument/2006/relationships/hyperlink" Target="#YouthJustice!A1"/><Relationship Id="rId28" Type="http://schemas.openxmlformats.org/officeDocument/2006/relationships/hyperlink" Target="#Care_Leavers!A1"/><Relationship Id="rId10" Type="http://schemas.openxmlformats.org/officeDocument/2006/relationships/hyperlink" Target="#Indicators!A1"/><Relationship Id="rId19" Type="http://schemas.openxmlformats.org/officeDocument/2006/relationships/hyperlink" Target="#'Section 47 Enquiries'!A1"/><Relationship Id="rId31" Type="http://schemas.openxmlformats.org/officeDocument/2006/relationships/image" Target="../media/image3.svg"/><Relationship Id="rId4" Type="http://schemas.openxmlformats.org/officeDocument/2006/relationships/chart" Target="../charts/chart158.xml"/><Relationship Id="rId9" Type="http://schemas.openxmlformats.org/officeDocument/2006/relationships/hyperlink" Target="#Coverage!A1"/><Relationship Id="rId14" Type="http://schemas.openxmlformats.org/officeDocument/2006/relationships/hyperlink" Target="#'Re-referrals'!A1"/><Relationship Id="rId22" Type="http://schemas.openxmlformats.org/officeDocument/2006/relationships/hyperlink" Target="#Participation!A1"/><Relationship Id="rId27" Type="http://schemas.openxmlformats.org/officeDocument/2006/relationships/hyperlink" Target="#'Court Applications'!A1"/><Relationship Id="rId30" Type="http://schemas.openxmlformats.org/officeDocument/2006/relationships/image" Target="../media/image2.png"/></Relationships>
</file>

<file path=xl/drawings/_rels/drawing24.xml.rels><?xml version="1.0" encoding="UTF-8" standalone="yes"?>
<Relationships xmlns="http://schemas.openxmlformats.org/package/2006/relationships"><Relationship Id="rId8" Type="http://schemas.openxmlformats.org/officeDocument/2006/relationships/hyperlink" Target="#Indicators!A1"/><Relationship Id="rId13" Type="http://schemas.openxmlformats.org/officeDocument/2006/relationships/hyperlink" Target="#Assessments!A1"/><Relationship Id="rId18" Type="http://schemas.openxmlformats.org/officeDocument/2006/relationships/hyperlink" Target="#'Initial CP Conferences'!A1"/><Relationship Id="rId26" Type="http://schemas.openxmlformats.org/officeDocument/2006/relationships/hyperlink" Target="#Care_Leavers!A1"/><Relationship Id="rId3" Type="http://schemas.openxmlformats.org/officeDocument/2006/relationships/chart" Target="../charts/chart164.xml"/><Relationship Id="rId21" Type="http://schemas.openxmlformats.org/officeDocument/2006/relationships/hyperlink" Target="#YouthJustice!A1"/><Relationship Id="rId7" Type="http://schemas.openxmlformats.org/officeDocument/2006/relationships/hyperlink" Target="#Coverage!A1"/><Relationship Id="rId12" Type="http://schemas.openxmlformats.org/officeDocument/2006/relationships/hyperlink" Target="#'Re-referrals'!A1"/><Relationship Id="rId17" Type="http://schemas.openxmlformats.org/officeDocument/2006/relationships/hyperlink" Target="#'Section 47 Enquiries'!A1"/><Relationship Id="rId25" Type="http://schemas.openxmlformats.org/officeDocument/2006/relationships/hyperlink" Target="#'Court Applications'!A1"/><Relationship Id="rId2" Type="http://schemas.openxmlformats.org/officeDocument/2006/relationships/chart" Target="../charts/chart163.xml"/><Relationship Id="rId16" Type="http://schemas.openxmlformats.org/officeDocument/2006/relationships/image" Target="../media/image1.png"/><Relationship Id="rId20" Type="http://schemas.openxmlformats.org/officeDocument/2006/relationships/hyperlink" Target="#NEET!A1"/><Relationship Id="rId29" Type="http://schemas.openxmlformats.org/officeDocument/2006/relationships/image" Target="../media/image3.svg"/><Relationship Id="rId1" Type="http://schemas.openxmlformats.org/officeDocument/2006/relationships/chart" Target="../charts/chart162.xml"/><Relationship Id="rId6" Type="http://schemas.openxmlformats.org/officeDocument/2006/relationships/hyperlink" Target="#Referrals!A1"/><Relationship Id="rId11" Type="http://schemas.openxmlformats.org/officeDocument/2006/relationships/hyperlink" Target="#Referral_Source!A1"/><Relationship Id="rId24" Type="http://schemas.openxmlformats.org/officeDocument/2006/relationships/hyperlink" Target="#Permanence!A1"/><Relationship Id="rId5" Type="http://schemas.openxmlformats.org/officeDocument/2006/relationships/chart" Target="../charts/chart166.xml"/><Relationship Id="rId15" Type="http://schemas.openxmlformats.org/officeDocument/2006/relationships/hyperlink" Target="#Home!A1"/><Relationship Id="rId23" Type="http://schemas.openxmlformats.org/officeDocument/2006/relationships/hyperlink" Target="#New_Ceased_LAC!A1"/><Relationship Id="rId28" Type="http://schemas.openxmlformats.org/officeDocument/2006/relationships/image" Target="../media/image2.png"/><Relationship Id="rId10" Type="http://schemas.openxmlformats.org/officeDocument/2006/relationships/hyperlink" Target="#Population!A1"/><Relationship Id="rId19" Type="http://schemas.openxmlformats.org/officeDocument/2006/relationships/hyperlink" Target="#'Looked After Children'!A1"/><Relationship Id="rId4" Type="http://schemas.openxmlformats.org/officeDocument/2006/relationships/chart" Target="../charts/chart165.xml"/><Relationship Id="rId9" Type="http://schemas.openxmlformats.org/officeDocument/2006/relationships/hyperlink" Target="#IDACI!A1"/><Relationship Id="rId14" Type="http://schemas.openxmlformats.org/officeDocument/2006/relationships/hyperlink" Target="#'Children in Need'!A1"/><Relationship Id="rId22" Type="http://schemas.openxmlformats.org/officeDocument/2006/relationships/hyperlink" Target="#'Child Protection Plans'!A1"/><Relationship Id="rId27" Type="http://schemas.openxmlformats.org/officeDocument/2006/relationships/hyperlink" Target="#Nav!A1"/><Relationship Id="rId30" Type="http://schemas.openxmlformats.org/officeDocument/2006/relationships/hyperlink" Target="#Participation!A1"/></Relationships>
</file>

<file path=xl/drawings/_rels/drawing3.xml.rels><?xml version="1.0" encoding="UTF-8" standalone="yes"?>
<Relationships xmlns="http://schemas.openxmlformats.org/package/2006/relationships"><Relationship Id="rId8" Type="http://schemas.openxmlformats.org/officeDocument/2006/relationships/hyperlink" Target="#Indicators!A1"/><Relationship Id="rId13" Type="http://schemas.openxmlformats.org/officeDocument/2006/relationships/hyperlink" Target="#Population!A1"/><Relationship Id="rId18" Type="http://schemas.openxmlformats.org/officeDocument/2006/relationships/hyperlink" Target="#'Section 47 Enquiries'!A1"/><Relationship Id="rId26" Type="http://schemas.openxmlformats.org/officeDocument/2006/relationships/hyperlink" Target="#'Court Applications'!A1"/><Relationship Id="rId3" Type="http://schemas.openxmlformats.org/officeDocument/2006/relationships/image" Target="../media/image7.png"/><Relationship Id="rId21" Type="http://schemas.openxmlformats.org/officeDocument/2006/relationships/hyperlink" Target="#NEET!A1"/><Relationship Id="rId7" Type="http://schemas.openxmlformats.org/officeDocument/2006/relationships/hyperlink" Target="#Frontpage!A1"/><Relationship Id="rId12" Type="http://schemas.openxmlformats.org/officeDocument/2006/relationships/hyperlink" Target="#IDACI!A1"/><Relationship Id="rId17" Type="http://schemas.openxmlformats.org/officeDocument/2006/relationships/hyperlink" Target="#'Children in Need'!A1"/><Relationship Id="rId25" Type="http://schemas.openxmlformats.org/officeDocument/2006/relationships/hyperlink" Target="#Permanence!A1"/><Relationship Id="rId2" Type="http://schemas.openxmlformats.org/officeDocument/2006/relationships/image" Target="../media/image6.png"/><Relationship Id="rId16" Type="http://schemas.openxmlformats.org/officeDocument/2006/relationships/hyperlink" Target="#Assessments!A1"/><Relationship Id="rId20" Type="http://schemas.openxmlformats.org/officeDocument/2006/relationships/hyperlink" Target="#'Looked After Children'!A1"/><Relationship Id="rId1" Type="http://schemas.openxmlformats.org/officeDocument/2006/relationships/hyperlink" Target="#Home!A1"/><Relationship Id="rId6" Type="http://schemas.openxmlformats.org/officeDocument/2006/relationships/image" Target="../media/image3.svg"/><Relationship Id="rId11" Type="http://schemas.openxmlformats.org/officeDocument/2006/relationships/hyperlink" Target="#Coverage!A1"/><Relationship Id="rId24" Type="http://schemas.openxmlformats.org/officeDocument/2006/relationships/hyperlink" Target="#New_Ceased_LAC!A1"/><Relationship Id="rId5" Type="http://schemas.openxmlformats.org/officeDocument/2006/relationships/image" Target="../media/image2.png"/><Relationship Id="rId15" Type="http://schemas.openxmlformats.org/officeDocument/2006/relationships/hyperlink" Target="#'Re-referrals'!A1"/><Relationship Id="rId23" Type="http://schemas.openxmlformats.org/officeDocument/2006/relationships/hyperlink" Target="#'Child Protection Plans'!A1"/><Relationship Id="rId10" Type="http://schemas.openxmlformats.org/officeDocument/2006/relationships/hyperlink" Target="#Referrals!A1"/><Relationship Id="rId19" Type="http://schemas.openxmlformats.org/officeDocument/2006/relationships/hyperlink" Target="#'Initial CP Conferences'!A1"/><Relationship Id="rId4" Type="http://schemas.openxmlformats.org/officeDocument/2006/relationships/hyperlink" Target="#Nav!A1"/><Relationship Id="rId9" Type="http://schemas.openxmlformats.org/officeDocument/2006/relationships/image" Target="../media/image1.png"/><Relationship Id="rId14" Type="http://schemas.openxmlformats.org/officeDocument/2006/relationships/hyperlink" Target="#Referral_Source!A1"/><Relationship Id="rId22" Type="http://schemas.openxmlformats.org/officeDocument/2006/relationships/hyperlink" Target="#YouthJustice!A1"/><Relationship Id="rId27" Type="http://schemas.openxmlformats.org/officeDocument/2006/relationships/hyperlink" Target="#Care_Leavers!A1"/></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hyperlink" Target="#Population!A1"/><Relationship Id="rId18" Type="http://schemas.openxmlformats.org/officeDocument/2006/relationships/hyperlink" Target="#'Section 47 Enquiries'!A1"/><Relationship Id="rId26" Type="http://schemas.openxmlformats.org/officeDocument/2006/relationships/hyperlink" Target="#'Court Applications'!A1"/><Relationship Id="rId3" Type="http://schemas.openxmlformats.org/officeDocument/2006/relationships/image" Target="../media/image2.png"/><Relationship Id="rId21" Type="http://schemas.openxmlformats.org/officeDocument/2006/relationships/hyperlink" Target="#NEET!A1"/><Relationship Id="rId7" Type="http://schemas.openxmlformats.org/officeDocument/2006/relationships/hyperlink" Target="#Indicators!A1"/><Relationship Id="rId12" Type="http://schemas.openxmlformats.org/officeDocument/2006/relationships/hyperlink" Target="#IDACI!A1"/><Relationship Id="rId17" Type="http://schemas.openxmlformats.org/officeDocument/2006/relationships/hyperlink" Target="#'Children in Need'!A1"/><Relationship Id="rId25" Type="http://schemas.openxmlformats.org/officeDocument/2006/relationships/hyperlink" Target="#Permanence!A1"/><Relationship Id="rId2" Type="http://schemas.openxmlformats.org/officeDocument/2006/relationships/hyperlink" Target="#Nav!A1"/><Relationship Id="rId16" Type="http://schemas.openxmlformats.org/officeDocument/2006/relationships/hyperlink" Target="#Assessments!A1"/><Relationship Id="rId20" Type="http://schemas.openxmlformats.org/officeDocument/2006/relationships/hyperlink" Target="#'Looked After Children'!A1"/><Relationship Id="rId1" Type="http://schemas.openxmlformats.org/officeDocument/2006/relationships/hyperlink" Target="#Home!A1"/><Relationship Id="rId6" Type="http://schemas.openxmlformats.org/officeDocument/2006/relationships/image" Target="../media/image1.png"/><Relationship Id="rId11" Type="http://schemas.openxmlformats.org/officeDocument/2006/relationships/hyperlink" Target="#Coverage!A1"/><Relationship Id="rId24" Type="http://schemas.openxmlformats.org/officeDocument/2006/relationships/hyperlink" Target="#New_Ceased_LAC!A1"/><Relationship Id="rId5" Type="http://schemas.openxmlformats.org/officeDocument/2006/relationships/hyperlink" Target="#ParticipatingLA!A1"/><Relationship Id="rId15" Type="http://schemas.openxmlformats.org/officeDocument/2006/relationships/hyperlink" Target="#'Re-referrals'!A1"/><Relationship Id="rId23" Type="http://schemas.openxmlformats.org/officeDocument/2006/relationships/hyperlink" Target="#'Child Protection Plans'!A1"/><Relationship Id="rId10" Type="http://schemas.openxmlformats.org/officeDocument/2006/relationships/hyperlink" Target="#Referrals!A1"/><Relationship Id="rId19" Type="http://schemas.openxmlformats.org/officeDocument/2006/relationships/hyperlink" Target="#'Initial CP Conferences'!A1"/><Relationship Id="rId4" Type="http://schemas.openxmlformats.org/officeDocument/2006/relationships/image" Target="../media/image3.svg"/><Relationship Id="rId9" Type="http://schemas.openxmlformats.org/officeDocument/2006/relationships/image" Target="../media/image9.svg"/><Relationship Id="rId14" Type="http://schemas.openxmlformats.org/officeDocument/2006/relationships/hyperlink" Target="#Referral_Source!A1"/><Relationship Id="rId22" Type="http://schemas.openxmlformats.org/officeDocument/2006/relationships/hyperlink" Target="#YouthJustice!A1"/><Relationship Id="rId27" Type="http://schemas.openxmlformats.org/officeDocument/2006/relationships/hyperlink" Target="#Care_Leavers!A1"/></Relationships>
</file>

<file path=xl/drawings/_rels/drawing5.xml.rels><?xml version="1.0" encoding="UTF-8" standalone="yes"?>
<Relationships xmlns="http://schemas.openxmlformats.org/package/2006/relationships"><Relationship Id="rId8" Type="http://schemas.openxmlformats.org/officeDocument/2006/relationships/hyperlink" Target="#Assessments!A1"/><Relationship Id="rId13" Type="http://schemas.openxmlformats.org/officeDocument/2006/relationships/hyperlink" Target="#'Initial CP Conferences'!A1"/><Relationship Id="rId18" Type="http://schemas.openxmlformats.org/officeDocument/2006/relationships/hyperlink" Target="#New_Ceased_LAC!A1"/><Relationship Id="rId3" Type="http://schemas.openxmlformats.org/officeDocument/2006/relationships/hyperlink" Target="#Indicators!A1"/><Relationship Id="rId21" Type="http://schemas.openxmlformats.org/officeDocument/2006/relationships/hyperlink" Target="#Adoption!A1"/><Relationship Id="rId7" Type="http://schemas.openxmlformats.org/officeDocument/2006/relationships/hyperlink" Target="#'Re-referrals'!A1"/><Relationship Id="rId12" Type="http://schemas.openxmlformats.org/officeDocument/2006/relationships/hyperlink" Target="#'Section 47 Enquiries'!A1"/><Relationship Id="rId17" Type="http://schemas.openxmlformats.org/officeDocument/2006/relationships/hyperlink" Target="#'Child Protection Plans'!A1"/><Relationship Id="rId2" Type="http://schemas.openxmlformats.org/officeDocument/2006/relationships/hyperlink" Target="#Coverage!A1"/><Relationship Id="rId16" Type="http://schemas.openxmlformats.org/officeDocument/2006/relationships/hyperlink" Target="#Offending!A1"/><Relationship Id="rId20" Type="http://schemas.openxmlformats.org/officeDocument/2006/relationships/hyperlink" Target="#'Court Applications'!A1"/><Relationship Id="rId1" Type="http://schemas.openxmlformats.org/officeDocument/2006/relationships/hyperlink" Target="#Referrals!A1"/><Relationship Id="rId6" Type="http://schemas.openxmlformats.org/officeDocument/2006/relationships/hyperlink" Target="#Referral_Source!A1"/><Relationship Id="rId11" Type="http://schemas.openxmlformats.org/officeDocument/2006/relationships/image" Target="../media/image1.png"/><Relationship Id="rId5" Type="http://schemas.openxmlformats.org/officeDocument/2006/relationships/hyperlink" Target="#Population!A1"/><Relationship Id="rId15" Type="http://schemas.openxmlformats.org/officeDocument/2006/relationships/hyperlink" Target="#NEET!A1"/><Relationship Id="rId10" Type="http://schemas.openxmlformats.org/officeDocument/2006/relationships/hyperlink" Target="#Home!A1"/><Relationship Id="rId19" Type="http://schemas.openxmlformats.org/officeDocument/2006/relationships/hyperlink" Target="#Care_Leavers!A1"/><Relationship Id="rId4" Type="http://schemas.openxmlformats.org/officeDocument/2006/relationships/hyperlink" Target="#IDACI!A1"/><Relationship Id="rId9" Type="http://schemas.openxmlformats.org/officeDocument/2006/relationships/hyperlink" Target="#'Children in Need'!A1"/><Relationship Id="rId14" Type="http://schemas.openxmlformats.org/officeDocument/2006/relationships/hyperlink" Target="#'Looked After Children'!A1"/></Relationships>
</file>

<file path=xl/drawings/_rels/drawing6.xml.rels><?xml version="1.0" encoding="UTF-8" standalone="yes"?>
<Relationships xmlns="http://schemas.openxmlformats.org/package/2006/relationships"><Relationship Id="rId8" Type="http://schemas.openxmlformats.org/officeDocument/2006/relationships/hyperlink" Target="#Assessments!A1"/><Relationship Id="rId13" Type="http://schemas.openxmlformats.org/officeDocument/2006/relationships/hyperlink" Target="#'Initial CP Conferences'!A1"/><Relationship Id="rId18" Type="http://schemas.openxmlformats.org/officeDocument/2006/relationships/hyperlink" Target="#New_Ceased_LAC!A1"/><Relationship Id="rId3" Type="http://schemas.openxmlformats.org/officeDocument/2006/relationships/hyperlink" Target="#Indicators!A1"/><Relationship Id="rId21" Type="http://schemas.openxmlformats.org/officeDocument/2006/relationships/hyperlink" Target="#Care_Leavers!A1"/><Relationship Id="rId7" Type="http://schemas.openxmlformats.org/officeDocument/2006/relationships/hyperlink" Target="#'Re-referrals'!A1"/><Relationship Id="rId12" Type="http://schemas.openxmlformats.org/officeDocument/2006/relationships/hyperlink" Target="#'Section 47 Enquiries'!A1"/><Relationship Id="rId17" Type="http://schemas.openxmlformats.org/officeDocument/2006/relationships/hyperlink" Target="#'Child Protection Plans'!A1"/><Relationship Id="rId25" Type="http://schemas.openxmlformats.org/officeDocument/2006/relationships/hyperlink" Target="#ParticipatingLA!A1"/><Relationship Id="rId2" Type="http://schemas.openxmlformats.org/officeDocument/2006/relationships/hyperlink" Target="#Coverage!A1"/><Relationship Id="rId16" Type="http://schemas.openxmlformats.org/officeDocument/2006/relationships/hyperlink" Target="#YouthJustice!A1"/><Relationship Id="rId20" Type="http://schemas.openxmlformats.org/officeDocument/2006/relationships/hyperlink" Target="#'Court Applications'!A1"/><Relationship Id="rId1" Type="http://schemas.openxmlformats.org/officeDocument/2006/relationships/hyperlink" Target="#Referrals!A1"/><Relationship Id="rId6" Type="http://schemas.openxmlformats.org/officeDocument/2006/relationships/hyperlink" Target="#Referral_Source!A1"/><Relationship Id="rId11" Type="http://schemas.openxmlformats.org/officeDocument/2006/relationships/image" Target="../media/image1.png"/><Relationship Id="rId24" Type="http://schemas.openxmlformats.org/officeDocument/2006/relationships/image" Target="../media/image3.svg"/><Relationship Id="rId5" Type="http://schemas.openxmlformats.org/officeDocument/2006/relationships/hyperlink" Target="#Population!A1"/><Relationship Id="rId15" Type="http://schemas.openxmlformats.org/officeDocument/2006/relationships/hyperlink" Target="#NEET!A1"/><Relationship Id="rId23" Type="http://schemas.openxmlformats.org/officeDocument/2006/relationships/image" Target="../media/image2.png"/><Relationship Id="rId10" Type="http://schemas.openxmlformats.org/officeDocument/2006/relationships/hyperlink" Target="#Home!A1"/><Relationship Id="rId19" Type="http://schemas.openxmlformats.org/officeDocument/2006/relationships/hyperlink" Target="#Permanence!A1"/><Relationship Id="rId4" Type="http://schemas.openxmlformats.org/officeDocument/2006/relationships/hyperlink" Target="#IDACI!A1"/><Relationship Id="rId9" Type="http://schemas.openxmlformats.org/officeDocument/2006/relationships/hyperlink" Target="#'Children in Need'!A1"/><Relationship Id="rId14" Type="http://schemas.openxmlformats.org/officeDocument/2006/relationships/hyperlink" Target="#'Looked After Children'!A1"/><Relationship Id="rId22" Type="http://schemas.openxmlformats.org/officeDocument/2006/relationships/hyperlink" Target="#Nav!A1"/></Relationships>
</file>

<file path=xl/drawings/_rels/drawing7.xml.rels><?xml version="1.0" encoding="UTF-8" standalone="yes"?>
<Relationships xmlns="http://schemas.openxmlformats.org/package/2006/relationships"><Relationship Id="rId8" Type="http://schemas.openxmlformats.org/officeDocument/2006/relationships/hyperlink" Target="#'Re-referrals'!A1"/><Relationship Id="rId13" Type="http://schemas.openxmlformats.org/officeDocument/2006/relationships/hyperlink" Target="#'Section 47 Enquiries'!A1"/><Relationship Id="rId18" Type="http://schemas.openxmlformats.org/officeDocument/2006/relationships/hyperlink" Target="#'Child Protection Plans'!A1"/><Relationship Id="rId26" Type="http://schemas.openxmlformats.org/officeDocument/2006/relationships/hyperlink" Target="#ParticipatingLA!A1"/><Relationship Id="rId3" Type="http://schemas.openxmlformats.org/officeDocument/2006/relationships/hyperlink" Target="#Coverage!A1"/><Relationship Id="rId21" Type="http://schemas.openxmlformats.org/officeDocument/2006/relationships/hyperlink" Target="#'Court Applications'!A1"/><Relationship Id="rId7" Type="http://schemas.openxmlformats.org/officeDocument/2006/relationships/hyperlink" Target="#Referral_Source!A1"/><Relationship Id="rId12" Type="http://schemas.openxmlformats.org/officeDocument/2006/relationships/image" Target="../media/image1.png"/><Relationship Id="rId17" Type="http://schemas.openxmlformats.org/officeDocument/2006/relationships/hyperlink" Target="#YouthJustice!A1"/><Relationship Id="rId25" Type="http://schemas.openxmlformats.org/officeDocument/2006/relationships/image" Target="../media/image3.svg"/><Relationship Id="rId2" Type="http://schemas.openxmlformats.org/officeDocument/2006/relationships/hyperlink" Target="#Referrals!A1"/><Relationship Id="rId16" Type="http://schemas.openxmlformats.org/officeDocument/2006/relationships/hyperlink" Target="#NEET!A1"/><Relationship Id="rId20" Type="http://schemas.openxmlformats.org/officeDocument/2006/relationships/hyperlink" Target="#Permanence!A1"/><Relationship Id="rId29" Type="http://schemas.openxmlformats.org/officeDocument/2006/relationships/image" Target="../media/image12.png"/><Relationship Id="rId1" Type="http://schemas.openxmlformats.org/officeDocument/2006/relationships/chart" Target="../charts/chart1.xml"/><Relationship Id="rId6" Type="http://schemas.openxmlformats.org/officeDocument/2006/relationships/hyperlink" Target="#Population!A1"/><Relationship Id="rId11" Type="http://schemas.openxmlformats.org/officeDocument/2006/relationships/hyperlink" Target="#Home!A1"/><Relationship Id="rId24" Type="http://schemas.openxmlformats.org/officeDocument/2006/relationships/image" Target="../media/image2.png"/><Relationship Id="rId5" Type="http://schemas.openxmlformats.org/officeDocument/2006/relationships/hyperlink" Target="#IDACI!A1"/><Relationship Id="rId15" Type="http://schemas.openxmlformats.org/officeDocument/2006/relationships/hyperlink" Target="#'Looked After Children'!A1"/><Relationship Id="rId23" Type="http://schemas.openxmlformats.org/officeDocument/2006/relationships/hyperlink" Target="#Nav!A1"/><Relationship Id="rId28" Type="http://schemas.openxmlformats.org/officeDocument/2006/relationships/image" Target="../media/image11.png"/><Relationship Id="rId10" Type="http://schemas.openxmlformats.org/officeDocument/2006/relationships/hyperlink" Target="#'Children in Need'!A1"/><Relationship Id="rId19" Type="http://schemas.openxmlformats.org/officeDocument/2006/relationships/hyperlink" Target="#New_Ceased_LAC!A1"/><Relationship Id="rId4" Type="http://schemas.openxmlformats.org/officeDocument/2006/relationships/hyperlink" Target="#Indicators!A1"/><Relationship Id="rId9" Type="http://schemas.openxmlformats.org/officeDocument/2006/relationships/hyperlink" Target="#Assessments!A1"/><Relationship Id="rId14" Type="http://schemas.openxmlformats.org/officeDocument/2006/relationships/hyperlink" Target="#'Initial CP Conferences'!A1"/><Relationship Id="rId22" Type="http://schemas.openxmlformats.org/officeDocument/2006/relationships/hyperlink" Target="#Care_Leavers!A1"/><Relationship Id="rId27" Type="http://schemas.openxmlformats.org/officeDocument/2006/relationships/image" Target="../media/image10.png"/></Relationships>
</file>

<file path=xl/drawings/_rels/drawing8.xml.rels><?xml version="1.0" encoding="UTF-8" standalone="yes"?>
<Relationships xmlns="http://schemas.openxmlformats.org/package/2006/relationships"><Relationship Id="rId8" Type="http://schemas.openxmlformats.org/officeDocument/2006/relationships/hyperlink" Target="#Assessments!A1"/><Relationship Id="rId13" Type="http://schemas.openxmlformats.org/officeDocument/2006/relationships/hyperlink" Target="#'Initial CP Conferences'!A1"/><Relationship Id="rId18" Type="http://schemas.openxmlformats.org/officeDocument/2006/relationships/hyperlink" Target="#New_Ceased_LAC!A1"/><Relationship Id="rId3" Type="http://schemas.openxmlformats.org/officeDocument/2006/relationships/hyperlink" Target="#Indicators!A1"/><Relationship Id="rId21" Type="http://schemas.openxmlformats.org/officeDocument/2006/relationships/hyperlink" Target="#Care_Leavers!A1"/><Relationship Id="rId7" Type="http://schemas.openxmlformats.org/officeDocument/2006/relationships/hyperlink" Target="#'Re-referrals'!A1"/><Relationship Id="rId12" Type="http://schemas.openxmlformats.org/officeDocument/2006/relationships/hyperlink" Target="#'Section 47 Enquiries'!A1"/><Relationship Id="rId17" Type="http://schemas.openxmlformats.org/officeDocument/2006/relationships/hyperlink" Target="#'Child Protection Plans'!A1"/><Relationship Id="rId2" Type="http://schemas.openxmlformats.org/officeDocument/2006/relationships/hyperlink" Target="#Coverage!A1"/><Relationship Id="rId16" Type="http://schemas.openxmlformats.org/officeDocument/2006/relationships/hyperlink" Target="#YouthJustice!A1"/><Relationship Id="rId20" Type="http://schemas.openxmlformats.org/officeDocument/2006/relationships/hyperlink" Target="#'Court Applications'!A1"/><Relationship Id="rId1" Type="http://schemas.openxmlformats.org/officeDocument/2006/relationships/hyperlink" Target="#Referrals!A1"/><Relationship Id="rId6" Type="http://schemas.openxmlformats.org/officeDocument/2006/relationships/hyperlink" Target="#Referral_Source!A1"/><Relationship Id="rId11" Type="http://schemas.openxmlformats.org/officeDocument/2006/relationships/image" Target="../media/image1.png"/><Relationship Id="rId24" Type="http://schemas.openxmlformats.org/officeDocument/2006/relationships/image" Target="../media/image3.svg"/><Relationship Id="rId5" Type="http://schemas.openxmlformats.org/officeDocument/2006/relationships/hyperlink" Target="#Population!A1"/><Relationship Id="rId15" Type="http://schemas.openxmlformats.org/officeDocument/2006/relationships/hyperlink" Target="#NEET!A1"/><Relationship Id="rId23" Type="http://schemas.openxmlformats.org/officeDocument/2006/relationships/image" Target="../media/image2.png"/><Relationship Id="rId10" Type="http://schemas.openxmlformats.org/officeDocument/2006/relationships/hyperlink" Target="#Home!A1"/><Relationship Id="rId19" Type="http://schemas.openxmlformats.org/officeDocument/2006/relationships/hyperlink" Target="#Permanence!A1"/><Relationship Id="rId4" Type="http://schemas.openxmlformats.org/officeDocument/2006/relationships/hyperlink" Target="#IDACI!A1"/><Relationship Id="rId9" Type="http://schemas.openxmlformats.org/officeDocument/2006/relationships/hyperlink" Target="#'Children in Need'!A1"/><Relationship Id="rId14" Type="http://schemas.openxmlformats.org/officeDocument/2006/relationships/hyperlink" Target="#'Looked After Children'!A1"/><Relationship Id="rId22" Type="http://schemas.openxmlformats.org/officeDocument/2006/relationships/hyperlink" Target="#Nav!A1"/></Relationships>
</file>

<file path=xl/drawings/_rels/drawing9.xml.rels><?xml version="1.0" encoding="UTF-8" standalone="yes"?>
<Relationships xmlns="http://schemas.openxmlformats.org/package/2006/relationships"><Relationship Id="rId13" Type="http://schemas.openxmlformats.org/officeDocument/2006/relationships/hyperlink" Target="#IDACI!A1"/><Relationship Id="rId18" Type="http://schemas.openxmlformats.org/officeDocument/2006/relationships/hyperlink" Target="#'Children in Need'!A1"/><Relationship Id="rId26" Type="http://schemas.openxmlformats.org/officeDocument/2006/relationships/hyperlink" Target="#'Child Protection Plans'!A1"/><Relationship Id="rId3" Type="http://schemas.openxmlformats.org/officeDocument/2006/relationships/chart" Target="../charts/chart4.xml"/><Relationship Id="rId21" Type="http://schemas.openxmlformats.org/officeDocument/2006/relationships/hyperlink" Target="#'Section 47 Enquiries'!A1"/><Relationship Id="rId7" Type="http://schemas.openxmlformats.org/officeDocument/2006/relationships/chart" Target="../charts/chart8.xml"/><Relationship Id="rId12" Type="http://schemas.openxmlformats.org/officeDocument/2006/relationships/hyperlink" Target="#Indicators!A1"/><Relationship Id="rId17" Type="http://schemas.openxmlformats.org/officeDocument/2006/relationships/hyperlink" Target="#Assessments!A1"/><Relationship Id="rId25" Type="http://schemas.openxmlformats.org/officeDocument/2006/relationships/hyperlink" Target="#YouthJustice!A1"/><Relationship Id="rId33" Type="http://schemas.openxmlformats.org/officeDocument/2006/relationships/image" Target="../media/image3.svg"/><Relationship Id="rId2" Type="http://schemas.openxmlformats.org/officeDocument/2006/relationships/chart" Target="../charts/chart3.xml"/><Relationship Id="rId16" Type="http://schemas.openxmlformats.org/officeDocument/2006/relationships/hyperlink" Target="#'Re-referrals'!A1"/><Relationship Id="rId20" Type="http://schemas.openxmlformats.org/officeDocument/2006/relationships/image" Target="../media/image1.png"/><Relationship Id="rId29" Type="http://schemas.openxmlformats.org/officeDocument/2006/relationships/hyperlink" Target="#'Court Applications'!A1"/><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hyperlink" Target="#Coverage!A1"/><Relationship Id="rId24" Type="http://schemas.openxmlformats.org/officeDocument/2006/relationships/hyperlink" Target="#NEET!A1"/><Relationship Id="rId32" Type="http://schemas.openxmlformats.org/officeDocument/2006/relationships/image" Target="../media/image2.png"/><Relationship Id="rId5" Type="http://schemas.openxmlformats.org/officeDocument/2006/relationships/chart" Target="../charts/chart6.xml"/><Relationship Id="rId15" Type="http://schemas.openxmlformats.org/officeDocument/2006/relationships/hyperlink" Target="#Referral_Source!A1"/><Relationship Id="rId23" Type="http://schemas.openxmlformats.org/officeDocument/2006/relationships/hyperlink" Target="#'Looked After Children'!A1"/><Relationship Id="rId28" Type="http://schemas.openxmlformats.org/officeDocument/2006/relationships/hyperlink" Target="#Permanence!A1"/><Relationship Id="rId10" Type="http://schemas.openxmlformats.org/officeDocument/2006/relationships/hyperlink" Target="#Referrals!A1"/><Relationship Id="rId19" Type="http://schemas.openxmlformats.org/officeDocument/2006/relationships/hyperlink" Target="#Home!A1"/><Relationship Id="rId31" Type="http://schemas.openxmlformats.org/officeDocument/2006/relationships/hyperlink" Target="#Nav!A1"/><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hyperlink" Target="#Population!A1"/><Relationship Id="rId22" Type="http://schemas.openxmlformats.org/officeDocument/2006/relationships/hyperlink" Target="#'Initial CP Conferences'!A1"/><Relationship Id="rId27" Type="http://schemas.openxmlformats.org/officeDocument/2006/relationships/hyperlink" Target="#New_Ceased_LAC!A1"/><Relationship Id="rId30" Type="http://schemas.openxmlformats.org/officeDocument/2006/relationships/hyperlink" Target="#Care_Leavers!A1"/><Relationship Id="rId8"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12</xdr:col>
      <xdr:colOff>142874</xdr:colOff>
      <xdr:row>0</xdr:row>
      <xdr:rowOff>85725</xdr:rowOff>
    </xdr:from>
    <xdr:to>
      <xdr:col>16</xdr:col>
      <xdr:colOff>64499</xdr:colOff>
      <xdr:row>2</xdr:row>
      <xdr:rowOff>149475</xdr:rowOff>
    </xdr:to>
    <xdr:sp macro="" textlink="">
      <xdr:nvSpPr>
        <xdr:cNvPr id="3" name="AutoShape 32">
          <a:extLst>
            <a:ext uri="{FF2B5EF4-FFF2-40B4-BE49-F238E27FC236}">
              <a16:creationId xmlns:a16="http://schemas.microsoft.com/office/drawing/2014/main" id="{EB0AAEFD-99B3-447B-B687-3BC235700C16}"/>
            </a:ext>
          </a:extLst>
        </xdr:cNvPr>
        <xdr:cNvSpPr>
          <a:spLocks noChangeArrowheads="1"/>
        </xdr:cNvSpPr>
      </xdr:nvSpPr>
      <xdr:spPr bwMode="auto">
        <a:xfrm>
          <a:off x="6953249"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editAs="oneCell">
    <xdr:from>
      <xdr:col>1</xdr:col>
      <xdr:colOff>28575</xdr:colOff>
      <xdr:row>5</xdr:row>
      <xdr:rowOff>47625</xdr:rowOff>
    </xdr:from>
    <xdr:to>
      <xdr:col>15</xdr:col>
      <xdr:colOff>180975</xdr:colOff>
      <xdr:row>28</xdr:row>
      <xdr:rowOff>47625</xdr:rowOff>
    </xdr:to>
    <xdr:grpSp>
      <xdr:nvGrpSpPr>
        <xdr:cNvPr id="32" name="Group 31">
          <a:extLst>
            <a:ext uri="{FF2B5EF4-FFF2-40B4-BE49-F238E27FC236}">
              <a16:creationId xmlns:a16="http://schemas.microsoft.com/office/drawing/2014/main" id="{9B5BD8CF-5990-4D9E-9D63-1D9B02015C9D}"/>
            </a:ext>
          </a:extLst>
        </xdr:cNvPr>
        <xdr:cNvGrpSpPr/>
      </xdr:nvGrpSpPr>
      <xdr:grpSpPr>
        <a:xfrm>
          <a:off x="171450" y="1143000"/>
          <a:ext cx="8505825" cy="5048250"/>
          <a:chOff x="95250" y="95250"/>
          <a:chExt cx="7534275" cy="5048250"/>
        </a:xfrm>
      </xdr:grpSpPr>
      <xdr:sp macro="" textlink="">
        <xdr:nvSpPr>
          <xdr:cNvPr id="33" name="Rectangle 32">
            <a:extLst>
              <a:ext uri="{FF2B5EF4-FFF2-40B4-BE49-F238E27FC236}">
                <a16:creationId xmlns:a16="http://schemas.microsoft.com/office/drawing/2014/main" id="{EA1BE963-BF4B-F1A6-9AF1-07ACD9047CA5}"/>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34" name="Rectangle: Rounded Corners 33">
            <a:hlinkClick xmlns:r="http://schemas.openxmlformats.org/officeDocument/2006/relationships" r:id="rId1"/>
            <a:extLst>
              <a:ext uri="{FF2B5EF4-FFF2-40B4-BE49-F238E27FC236}">
                <a16:creationId xmlns:a16="http://schemas.microsoft.com/office/drawing/2014/main" id="{B522E361-29F3-F502-36A8-831D66932F7F}"/>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35" name="Rectangle: Rounded Corners 34">
            <a:hlinkClick xmlns:r="http://schemas.openxmlformats.org/officeDocument/2006/relationships" r:id="rId2"/>
            <a:extLst>
              <a:ext uri="{FF2B5EF4-FFF2-40B4-BE49-F238E27FC236}">
                <a16:creationId xmlns:a16="http://schemas.microsoft.com/office/drawing/2014/main" id="{9368EE5D-4182-B763-5EBA-F831D3EA1FC8}"/>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36" name="Rectangle: Rounded Corners 35">
            <a:hlinkClick xmlns:r="http://schemas.openxmlformats.org/officeDocument/2006/relationships" r:id="rId3"/>
            <a:extLst>
              <a:ext uri="{FF2B5EF4-FFF2-40B4-BE49-F238E27FC236}">
                <a16:creationId xmlns:a16="http://schemas.microsoft.com/office/drawing/2014/main" id="{511CAABF-FB56-C6BE-8305-568240A4E842}"/>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37" name="Rectangle: Rounded Corners 36">
            <a:hlinkClick xmlns:r="http://schemas.openxmlformats.org/officeDocument/2006/relationships" r:id="rId4"/>
            <a:extLst>
              <a:ext uri="{FF2B5EF4-FFF2-40B4-BE49-F238E27FC236}">
                <a16:creationId xmlns:a16="http://schemas.microsoft.com/office/drawing/2014/main" id="{2F138B99-AF11-E621-CCB8-0AFD01EBE392}"/>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38" name="Rectangle: Rounded Corners 37">
            <a:hlinkClick xmlns:r="http://schemas.openxmlformats.org/officeDocument/2006/relationships" r:id="rId5"/>
            <a:extLst>
              <a:ext uri="{FF2B5EF4-FFF2-40B4-BE49-F238E27FC236}">
                <a16:creationId xmlns:a16="http://schemas.microsoft.com/office/drawing/2014/main" id="{A1BDFD7D-F5F9-B477-CE6A-CF97C0EAC27C}"/>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39" name="Rectangle: Rounded Corners 38">
            <a:hlinkClick xmlns:r="http://schemas.openxmlformats.org/officeDocument/2006/relationships" r:id="rId6"/>
            <a:extLst>
              <a:ext uri="{FF2B5EF4-FFF2-40B4-BE49-F238E27FC236}">
                <a16:creationId xmlns:a16="http://schemas.microsoft.com/office/drawing/2014/main" id="{A2DF6DFD-CCE7-5197-E6FF-78AD731B44A4}"/>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40" name="Rectangle: Rounded Corners 39">
            <a:hlinkClick xmlns:r="http://schemas.openxmlformats.org/officeDocument/2006/relationships" r:id="rId7"/>
            <a:extLst>
              <a:ext uri="{FF2B5EF4-FFF2-40B4-BE49-F238E27FC236}">
                <a16:creationId xmlns:a16="http://schemas.microsoft.com/office/drawing/2014/main" id="{C7CAC404-0777-4011-2930-5D104CAB844E}"/>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41" name="Rectangle: Rounded Corners 40">
            <a:hlinkClick xmlns:r="http://schemas.openxmlformats.org/officeDocument/2006/relationships" r:id="rId8"/>
            <a:extLst>
              <a:ext uri="{FF2B5EF4-FFF2-40B4-BE49-F238E27FC236}">
                <a16:creationId xmlns:a16="http://schemas.microsoft.com/office/drawing/2014/main" id="{92E23C57-093D-DC86-8FB4-67766F63AB40}"/>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42" name="Rectangle: Rounded Corners 41">
            <a:hlinkClick xmlns:r="http://schemas.openxmlformats.org/officeDocument/2006/relationships" r:id="rId9"/>
            <a:extLst>
              <a:ext uri="{FF2B5EF4-FFF2-40B4-BE49-F238E27FC236}">
                <a16:creationId xmlns:a16="http://schemas.microsoft.com/office/drawing/2014/main" id="{6041A431-7959-5649-D4AD-292024609978}"/>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43" name="Group 42">
            <a:hlinkClick xmlns:r="http://schemas.openxmlformats.org/officeDocument/2006/relationships" r:id="rId10"/>
            <a:extLst>
              <a:ext uri="{FF2B5EF4-FFF2-40B4-BE49-F238E27FC236}">
                <a16:creationId xmlns:a16="http://schemas.microsoft.com/office/drawing/2014/main" id="{A10D1089-B763-9F6A-599D-3E0E8C7C80F6}"/>
              </a:ext>
            </a:extLst>
          </xdr:cNvPr>
          <xdr:cNvGrpSpPr/>
        </xdr:nvGrpSpPr>
        <xdr:grpSpPr>
          <a:xfrm>
            <a:off x="190500" y="723900"/>
            <a:ext cx="1695450" cy="723900"/>
            <a:chOff x="190500" y="180975"/>
            <a:chExt cx="1800225" cy="723900"/>
          </a:xfrm>
        </xdr:grpSpPr>
        <xdr:sp macro="" textlink="">
          <xdr:nvSpPr>
            <xdr:cNvPr id="55" name="Rectangle: Rounded Corners 54">
              <a:hlinkClick xmlns:r="http://schemas.openxmlformats.org/officeDocument/2006/relationships" r:id="rId10"/>
              <a:extLst>
                <a:ext uri="{FF2B5EF4-FFF2-40B4-BE49-F238E27FC236}">
                  <a16:creationId xmlns:a16="http://schemas.microsoft.com/office/drawing/2014/main" id="{C90B0507-0874-8795-69AA-4D7B3B2C63ED}"/>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56" name="Picture 55">
              <a:extLst>
                <a:ext uri="{FF2B5EF4-FFF2-40B4-BE49-F238E27FC236}">
                  <a16:creationId xmlns:a16="http://schemas.microsoft.com/office/drawing/2014/main" id="{08114528-949B-5837-5301-3A0CC66ECA7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44" name="Rectangle: Rounded Corners 43">
            <a:hlinkClick xmlns:r="http://schemas.openxmlformats.org/officeDocument/2006/relationships" r:id="rId12"/>
            <a:extLst>
              <a:ext uri="{FF2B5EF4-FFF2-40B4-BE49-F238E27FC236}">
                <a16:creationId xmlns:a16="http://schemas.microsoft.com/office/drawing/2014/main" id="{40552786-191E-940D-10EC-87A94D24239A}"/>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45" name="Rectangle: Rounded Corners 44">
            <a:hlinkClick xmlns:r="http://schemas.openxmlformats.org/officeDocument/2006/relationships" r:id="rId13"/>
            <a:extLst>
              <a:ext uri="{FF2B5EF4-FFF2-40B4-BE49-F238E27FC236}">
                <a16:creationId xmlns:a16="http://schemas.microsoft.com/office/drawing/2014/main" id="{AF782E99-BB82-5F4E-4D89-0A4D6C0F47AA}"/>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46" name="Rectangle: Rounded Corners 45">
            <a:hlinkClick xmlns:r="http://schemas.openxmlformats.org/officeDocument/2006/relationships" r:id="rId14"/>
            <a:extLst>
              <a:ext uri="{FF2B5EF4-FFF2-40B4-BE49-F238E27FC236}">
                <a16:creationId xmlns:a16="http://schemas.microsoft.com/office/drawing/2014/main" id="{FD77D29E-71C2-F39B-6629-840CF0337BCB}"/>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47" name="Rectangle: Rounded Corners 46">
            <a:hlinkClick xmlns:r="http://schemas.openxmlformats.org/officeDocument/2006/relationships" r:id="rId15"/>
            <a:extLst>
              <a:ext uri="{FF2B5EF4-FFF2-40B4-BE49-F238E27FC236}">
                <a16:creationId xmlns:a16="http://schemas.microsoft.com/office/drawing/2014/main" id="{B3F917F3-18A8-7723-EDC4-6B433BEC918E}"/>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48" name="Rectangle: Rounded Corners 47">
            <a:hlinkClick xmlns:r="http://schemas.openxmlformats.org/officeDocument/2006/relationships" r:id="rId16"/>
            <a:extLst>
              <a:ext uri="{FF2B5EF4-FFF2-40B4-BE49-F238E27FC236}">
                <a16:creationId xmlns:a16="http://schemas.microsoft.com/office/drawing/2014/main" id="{DCD45679-9862-01F4-8A19-AEC4CF63CAB5}"/>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49" name="Rectangle: Rounded Corners 48">
            <a:hlinkClick xmlns:r="http://schemas.openxmlformats.org/officeDocument/2006/relationships" r:id="rId17"/>
            <a:extLst>
              <a:ext uri="{FF2B5EF4-FFF2-40B4-BE49-F238E27FC236}">
                <a16:creationId xmlns:a16="http://schemas.microsoft.com/office/drawing/2014/main" id="{C3D40930-426A-3026-8C33-6782A6763A0E}"/>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50" name="Rectangle: Rounded Corners 49">
            <a:hlinkClick xmlns:r="http://schemas.openxmlformats.org/officeDocument/2006/relationships" r:id="rId18"/>
            <a:extLst>
              <a:ext uri="{FF2B5EF4-FFF2-40B4-BE49-F238E27FC236}">
                <a16:creationId xmlns:a16="http://schemas.microsoft.com/office/drawing/2014/main" id="{5D85110B-1094-F113-0E52-056EE0094C71}"/>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51" name="Rectangle: Rounded Corners 50">
            <a:hlinkClick xmlns:r="http://schemas.openxmlformats.org/officeDocument/2006/relationships" r:id="rId19"/>
            <a:extLst>
              <a:ext uri="{FF2B5EF4-FFF2-40B4-BE49-F238E27FC236}">
                <a16:creationId xmlns:a16="http://schemas.microsoft.com/office/drawing/2014/main" id="{09DC253A-D9EF-D953-28E8-A0B1C69F2505}"/>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52" name="Rectangle: Rounded Corners 51">
            <a:hlinkClick xmlns:r="http://schemas.openxmlformats.org/officeDocument/2006/relationships" r:id="rId20"/>
            <a:extLst>
              <a:ext uri="{FF2B5EF4-FFF2-40B4-BE49-F238E27FC236}">
                <a16:creationId xmlns:a16="http://schemas.microsoft.com/office/drawing/2014/main" id="{8CDBED1F-A02A-9231-034D-A97164828C50}"/>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53" name="Rectangle: Rounded Corners 52">
            <a:hlinkClick xmlns:r="http://schemas.openxmlformats.org/officeDocument/2006/relationships" r:id="rId21"/>
            <a:extLst>
              <a:ext uri="{FF2B5EF4-FFF2-40B4-BE49-F238E27FC236}">
                <a16:creationId xmlns:a16="http://schemas.microsoft.com/office/drawing/2014/main" id="{58049942-94FE-5B82-EA1F-22FD6F71FEAF}"/>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grpSp>
    <xdr:clientData fPrintsWithSheet="0"/>
  </xdr:twoCellAnchor>
  <xdr:twoCellAnchor>
    <xdr:from>
      <xdr:col>1</xdr:col>
      <xdr:colOff>47625</xdr:colOff>
      <xdr:row>4</xdr:row>
      <xdr:rowOff>47625</xdr:rowOff>
    </xdr:from>
    <xdr:to>
      <xdr:col>15</xdr:col>
      <xdr:colOff>190500</xdr:colOff>
      <xdr:row>5</xdr:row>
      <xdr:rowOff>104775</xdr:rowOff>
    </xdr:to>
    <xdr:sp macro="" textlink="">
      <xdr:nvSpPr>
        <xdr:cNvPr id="58" name="TextBox 57">
          <a:extLst>
            <a:ext uri="{FF2B5EF4-FFF2-40B4-BE49-F238E27FC236}">
              <a16:creationId xmlns:a16="http://schemas.microsoft.com/office/drawing/2014/main" id="{BCEC0B1A-0EFF-C24D-FDBC-2BF6CC6FF263}"/>
            </a:ext>
          </a:extLst>
        </xdr:cNvPr>
        <xdr:cNvSpPr txBox="1"/>
      </xdr:nvSpPr>
      <xdr:spPr>
        <a:xfrm>
          <a:off x="190500" y="904875"/>
          <a:ext cx="84963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Arial" panose="020B0604020202020204" pitchFamily="34" charset="0"/>
              <a:cs typeface="Arial" panose="020B0604020202020204" pitchFamily="34" charset="0"/>
            </a:rPr>
            <a:t>Use the buttons</a:t>
          </a:r>
          <a:r>
            <a:rPr lang="en-GB" sz="1200" baseline="0">
              <a:latin typeface="Arial" panose="020B0604020202020204" pitchFamily="34" charset="0"/>
              <a:cs typeface="Arial" panose="020B0604020202020204" pitchFamily="34" charset="0"/>
            </a:rPr>
            <a:t> below to access the different sections of the report.</a:t>
          </a:r>
        </a:p>
      </xdr:txBody>
    </xdr:sp>
    <xdr:clientData/>
  </xdr:twoCellAnchor>
  <xdr:twoCellAnchor>
    <xdr:from>
      <xdr:col>1</xdr:col>
      <xdr:colOff>133350</xdr:colOff>
      <xdr:row>5</xdr:row>
      <xdr:rowOff>180975</xdr:rowOff>
    </xdr:from>
    <xdr:to>
      <xdr:col>1</xdr:col>
      <xdr:colOff>636597</xdr:colOff>
      <xdr:row>5</xdr:row>
      <xdr:rowOff>400050</xdr:rowOff>
    </xdr:to>
    <xdr:grpSp>
      <xdr:nvGrpSpPr>
        <xdr:cNvPr id="64" name="Group 63">
          <a:extLst>
            <a:ext uri="{FF2B5EF4-FFF2-40B4-BE49-F238E27FC236}">
              <a16:creationId xmlns:a16="http://schemas.microsoft.com/office/drawing/2014/main" id="{5DD37058-47E0-C4D4-0BD4-4FA9C8FC5C34}"/>
            </a:ext>
          </a:extLst>
        </xdr:cNvPr>
        <xdr:cNvGrpSpPr/>
      </xdr:nvGrpSpPr>
      <xdr:grpSpPr>
        <a:xfrm>
          <a:off x="276225" y="1276350"/>
          <a:ext cx="503247" cy="219075"/>
          <a:chOff x="1485900" y="1276350"/>
          <a:chExt cx="503247" cy="219075"/>
        </a:xfrm>
      </xdr:grpSpPr>
      <xdr:sp macro="" textlink="">
        <xdr:nvSpPr>
          <xdr:cNvPr id="59" name="Right Arrow 50">
            <a:extLst>
              <a:ext uri="{FF2B5EF4-FFF2-40B4-BE49-F238E27FC236}">
                <a16:creationId xmlns:a16="http://schemas.microsoft.com/office/drawing/2014/main" id="{5BDB0031-78E2-EA0F-F40F-BB084B0AAE88}"/>
              </a:ext>
            </a:extLst>
          </xdr:cNvPr>
          <xdr:cNvSpPr>
            <a:spLocks noChangeArrowheads="1"/>
          </xdr:cNvSpPr>
        </xdr:nvSpPr>
        <xdr:spPr bwMode="auto">
          <a:xfrm flipH="1">
            <a:off x="1485900" y="1276350"/>
            <a:ext cx="219074" cy="219075"/>
          </a:xfrm>
          <a:prstGeom prst="rightArrow">
            <a:avLst>
              <a:gd name="adj1" fmla="val 50000"/>
              <a:gd name="adj2" fmla="val 50001"/>
            </a:avLst>
          </a:prstGeom>
          <a:solidFill>
            <a:srgbClr val="993300"/>
          </a:solidFill>
          <a:ln w="25400" algn="ctr">
            <a:solidFill>
              <a:srgbClr val="FB994F"/>
            </a:solidFill>
            <a:miter lim="800000"/>
            <a:headEnd/>
            <a:tailEnd/>
          </a:ln>
        </xdr:spPr>
      </xdr:sp>
      <xdr:sp macro="" textlink="">
        <xdr:nvSpPr>
          <xdr:cNvPr id="60" name="Right Arrow 50">
            <a:extLst>
              <a:ext uri="{FF2B5EF4-FFF2-40B4-BE49-F238E27FC236}">
                <a16:creationId xmlns:a16="http://schemas.microsoft.com/office/drawing/2014/main" id="{F6C1D15D-3EB0-CB5B-700F-D77C7921322A}"/>
              </a:ext>
            </a:extLst>
          </xdr:cNvPr>
          <xdr:cNvSpPr>
            <a:spLocks noChangeArrowheads="1"/>
          </xdr:cNvSpPr>
        </xdr:nvSpPr>
        <xdr:spPr bwMode="auto">
          <a:xfrm>
            <a:off x="1771414" y="1276350"/>
            <a:ext cx="217733" cy="219075"/>
          </a:xfrm>
          <a:prstGeom prst="rightArrow">
            <a:avLst>
              <a:gd name="adj1" fmla="val 50000"/>
              <a:gd name="adj2" fmla="val 50001"/>
            </a:avLst>
          </a:prstGeom>
          <a:solidFill>
            <a:srgbClr val="993300"/>
          </a:solidFill>
          <a:ln w="25400" algn="ctr">
            <a:solidFill>
              <a:srgbClr val="FB994F"/>
            </a:solidFill>
            <a:miter lim="800000"/>
            <a:headEnd/>
            <a:tailEnd/>
          </a:ln>
        </xdr:spPr>
      </xdr:sp>
    </xdr:grpSp>
    <xdr:clientData/>
  </xdr:twoCellAnchor>
  <xdr:twoCellAnchor editAs="oneCell">
    <xdr:from>
      <xdr:col>1</xdr:col>
      <xdr:colOff>19048</xdr:colOff>
      <xdr:row>0</xdr:row>
      <xdr:rowOff>19049</xdr:rowOff>
    </xdr:from>
    <xdr:to>
      <xdr:col>1</xdr:col>
      <xdr:colOff>703048</xdr:colOff>
      <xdr:row>2</xdr:row>
      <xdr:rowOff>226799</xdr:rowOff>
    </xdr:to>
    <xdr:pic>
      <xdr:nvPicPr>
        <xdr:cNvPr id="62" name="Graphic 61" descr="Map compass with solid fill">
          <a:extLst>
            <a:ext uri="{FF2B5EF4-FFF2-40B4-BE49-F238E27FC236}">
              <a16:creationId xmlns:a16="http://schemas.microsoft.com/office/drawing/2014/main" id="{FBB37E8F-EA67-3903-57C2-1DBE917059D3}"/>
            </a:ext>
          </a:extLst>
        </xdr:cNvPr>
        <xdr:cNvPicPr>
          <a:picLocks noChangeAspect="1"/>
        </xdr:cNvPicPr>
      </xdr:nvPicPr>
      <xdr:blipFill>
        <a:blip xmlns:r="http://schemas.openxmlformats.org/officeDocument/2006/relationships" r:embed="rId22">
          <a:duotone>
            <a:schemeClr val="accent6">
              <a:shade val="45000"/>
              <a:satMod val="135000"/>
            </a:schemeClr>
            <a:prstClr val="white"/>
          </a:duotone>
          <a:extLst>
            <a:ext uri="{96DAC541-7B7A-43D3-8B79-37D633B846F1}">
              <asvg:svgBlip xmlns:asvg="http://schemas.microsoft.com/office/drawing/2016/SVG/main" r:embed="rId23"/>
            </a:ext>
          </a:extLst>
        </a:blip>
        <a:stretch>
          <a:fillRect/>
        </a:stretch>
      </xdr:blipFill>
      <xdr:spPr>
        <a:xfrm>
          <a:off x="161923" y="19049"/>
          <a:ext cx="684000" cy="684000"/>
        </a:xfrm>
        <a:prstGeom prst="rect">
          <a:avLst/>
        </a:prstGeom>
      </xdr:spPr>
    </xdr:pic>
    <xdr:clientData/>
  </xdr:twoCellAnchor>
  <xdr:twoCellAnchor>
    <xdr:from>
      <xdr:col>1</xdr:col>
      <xdr:colOff>647700</xdr:colOff>
      <xdr:row>5</xdr:row>
      <xdr:rowOff>95251</xdr:rowOff>
    </xdr:from>
    <xdr:to>
      <xdr:col>15</xdr:col>
      <xdr:colOff>390525</xdr:colOff>
      <xdr:row>5</xdr:row>
      <xdr:rowOff>542925</xdr:rowOff>
    </xdr:to>
    <xdr:sp macro="" textlink="">
      <xdr:nvSpPr>
        <xdr:cNvPr id="65" name="TextBox 64">
          <a:extLst>
            <a:ext uri="{FF2B5EF4-FFF2-40B4-BE49-F238E27FC236}">
              <a16:creationId xmlns:a16="http://schemas.microsoft.com/office/drawing/2014/main" id="{32813027-3FF7-4E22-80D6-302DFF373385}"/>
            </a:ext>
          </a:extLst>
        </xdr:cNvPr>
        <xdr:cNvSpPr txBox="1"/>
      </xdr:nvSpPr>
      <xdr:spPr>
        <a:xfrm>
          <a:off x="790575" y="1190626"/>
          <a:ext cx="8096250" cy="447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Arial" panose="020B0604020202020204" pitchFamily="34" charset="0"/>
              <a:cs typeface="Arial" panose="020B0604020202020204" pitchFamily="34" charset="0"/>
            </a:rPr>
            <a:t>You can click the arrows on the right hand side of each page to navigate through the document,</a:t>
          </a:r>
          <a:r>
            <a:rPr lang="en-GB" sz="1200" baseline="0">
              <a:latin typeface="Arial" panose="020B0604020202020204" pitchFamily="34" charset="0"/>
              <a:cs typeface="Arial" panose="020B0604020202020204" pitchFamily="34" charset="0"/>
            </a:rPr>
            <a:t> or use the compass icon to return to this page. The menu below is also included at the bottom of each section of the report.</a:t>
          </a:r>
          <a:endParaRPr lang="en-GB" sz="1200">
            <a:latin typeface="Arial" panose="020B0604020202020204" pitchFamily="34" charset="0"/>
            <a:cs typeface="Arial" panose="020B0604020202020204" pitchFamily="34" charset="0"/>
          </a:endParaRPr>
        </a:p>
      </xdr:txBody>
    </xdr:sp>
    <xdr:clientData/>
  </xdr:twoCellAnchor>
  <xdr:twoCellAnchor editAs="oneCell">
    <xdr:from>
      <xdr:col>17</xdr:col>
      <xdr:colOff>19050</xdr:colOff>
      <xdr:row>0</xdr:row>
      <xdr:rowOff>19050</xdr:rowOff>
    </xdr:from>
    <xdr:to>
      <xdr:col>17</xdr:col>
      <xdr:colOff>409575</xdr:colOff>
      <xdr:row>5</xdr:row>
      <xdr:rowOff>666750</xdr:rowOff>
    </xdr:to>
    <xdr:grpSp>
      <xdr:nvGrpSpPr>
        <xdr:cNvPr id="73" name="Group 72">
          <a:hlinkClick xmlns:r="http://schemas.openxmlformats.org/officeDocument/2006/relationships" r:id="rId10"/>
          <a:extLst>
            <a:ext uri="{FF2B5EF4-FFF2-40B4-BE49-F238E27FC236}">
              <a16:creationId xmlns:a16="http://schemas.microsoft.com/office/drawing/2014/main" id="{39F2E104-B5F4-D262-0687-CD0AAB3ED301}"/>
            </a:ext>
          </a:extLst>
        </xdr:cNvPr>
        <xdr:cNvGrpSpPr/>
      </xdr:nvGrpSpPr>
      <xdr:grpSpPr>
        <a:xfrm>
          <a:off x="9210675" y="19050"/>
          <a:ext cx="390525" cy="1743075"/>
          <a:chOff x="9210675" y="19050"/>
          <a:chExt cx="390525" cy="1743075"/>
        </a:xfrm>
      </xdr:grpSpPr>
      <xdr:pic>
        <xdr:nvPicPr>
          <xdr:cNvPr id="63" name="Graphic 62" descr="Map compass with solid fill">
            <a:hlinkClick xmlns:r="http://schemas.openxmlformats.org/officeDocument/2006/relationships" r:id="rId24"/>
            <a:extLst>
              <a:ext uri="{FF2B5EF4-FFF2-40B4-BE49-F238E27FC236}">
                <a16:creationId xmlns:a16="http://schemas.microsoft.com/office/drawing/2014/main" id="{B31FB412-8970-4F7F-B84A-8EF15AD6EF31}"/>
              </a:ext>
            </a:extLst>
          </xdr:cNvPr>
          <xdr:cNvPicPr>
            <a:picLocks noChangeAspect="1"/>
          </xdr:cNvPicPr>
        </xdr:nvPicPr>
        <xdr:blipFill>
          <a:blip xmlns:r="http://schemas.openxmlformats.org/officeDocument/2006/relationships" r:embed="rId22">
            <a:duotone>
              <a:schemeClr val="accent6">
                <a:shade val="45000"/>
                <a:satMod val="135000"/>
              </a:schemeClr>
              <a:prstClr val="white"/>
            </a:duotone>
            <a:extLst>
              <a:ext uri="{96DAC541-7B7A-43D3-8B79-37D633B846F1}">
                <asvg:svgBlip xmlns:asvg="http://schemas.microsoft.com/office/drawing/2016/SVG/main" r:embed="rId23"/>
              </a:ext>
            </a:extLst>
          </a:blip>
          <a:stretch>
            <a:fillRect/>
          </a:stretch>
        </xdr:blipFill>
        <xdr:spPr>
          <a:xfrm>
            <a:off x="9229725" y="38099"/>
            <a:ext cx="369675" cy="369675"/>
          </a:xfrm>
          <a:prstGeom prst="rect">
            <a:avLst/>
          </a:prstGeom>
        </xdr:spPr>
      </xdr:pic>
      <xdr:sp macro="" textlink="">
        <xdr:nvSpPr>
          <xdr:cNvPr id="68" name="Right Arrow 50">
            <a:hlinkClick xmlns:r="http://schemas.openxmlformats.org/officeDocument/2006/relationships" r:id="rId25"/>
            <a:extLst>
              <a:ext uri="{FF2B5EF4-FFF2-40B4-BE49-F238E27FC236}">
                <a16:creationId xmlns:a16="http://schemas.microsoft.com/office/drawing/2014/main" id="{99FFE07E-F74B-4365-8D7A-101B58CD4F51}"/>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69" name="Right Arrow 50">
            <a:hlinkClick xmlns:r="http://schemas.openxmlformats.org/officeDocument/2006/relationships" r:id="rId10"/>
            <a:extLst>
              <a:ext uri="{FF2B5EF4-FFF2-40B4-BE49-F238E27FC236}">
                <a16:creationId xmlns:a16="http://schemas.microsoft.com/office/drawing/2014/main" id="{C36D391A-E197-4A99-83DD-53930A92C04C}"/>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71" name="Picture 70">
            <a:hlinkClick xmlns:r="http://schemas.openxmlformats.org/officeDocument/2006/relationships" r:id="rId10"/>
            <a:extLst>
              <a:ext uri="{FF2B5EF4-FFF2-40B4-BE49-F238E27FC236}">
                <a16:creationId xmlns:a16="http://schemas.microsoft.com/office/drawing/2014/main" id="{49B7EDED-AF67-4B93-9D42-301B292B79C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72" name="Rectangle 71">
            <a:extLst>
              <a:ext uri="{FF2B5EF4-FFF2-40B4-BE49-F238E27FC236}">
                <a16:creationId xmlns:a16="http://schemas.microsoft.com/office/drawing/2014/main" id="{624C283D-C4B0-D840-CF61-429540626143}"/>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absolute">
    <xdr:from>
      <xdr:col>17</xdr:col>
      <xdr:colOff>346074</xdr:colOff>
      <xdr:row>0</xdr:row>
      <xdr:rowOff>85725</xdr:rowOff>
    </xdr:from>
    <xdr:to>
      <xdr:col>24</xdr:col>
      <xdr:colOff>64499</xdr:colOff>
      <xdr:row>2</xdr:row>
      <xdr:rowOff>149475</xdr:rowOff>
    </xdr:to>
    <xdr:sp macro="" textlink="">
      <xdr:nvSpPr>
        <xdr:cNvPr id="10" name="AutoShape 32">
          <a:extLst>
            <a:ext uri="{FF2B5EF4-FFF2-40B4-BE49-F238E27FC236}">
              <a16:creationId xmlns:a16="http://schemas.microsoft.com/office/drawing/2014/main" id="{00000000-0008-0000-0E00-00000A000000}"/>
            </a:ext>
          </a:extLst>
        </xdr:cNvPr>
        <xdr:cNvSpPr>
          <a:spLocks noChangeArrowheads="1"/>
        </xdr:cNvSpPr>
      </xdr:nvSpPr>
      <xdr:spPr bwMode="auto">
        <a:xfrm>
          <a:off x="6943724"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3</xdr:col>
      <xdr:colOff>9525</xdr:colOff>
      <xdr:row>68</xdr:row>
      <xdr:rowOff>0</xdr:rowOff>
    </xdr:from>
    <xdr:to>
      <xdr:col>5</xdr:col>
      <xdr:colOff>0</xdr:colOff>
      <xdr:row>89</xdr:row>
      <xdr:rowOff>0</xdr:rowOff>
    </xdr:to>
    <xdr:graphicFrame macro="">
      <xdr:nvGraphicFramePr>
        <xdr:cNvPr id="4" name="Chart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9525</xdr:colOff>
      <xdr:row>68</xdr:row>
      <xdr:rowOff>0</xdr:rowOff>
    </xdr:from>
    <xdr:to>
      <xdr:col>7</xdr:col>
      <xdr:colOff>0</xdr:colOff>
      <xdr:row>89</xdr:row>
      <xdr:rowOff>0</xdr:rowOff>
    </xdr:to>
    <xdr:graphicFrame macro="">
      <xdr:nvGraphicFramePr>
        <xdr:cNvPr id="41" name="Chart 40">
          <a:extLst>
            <a:ext uri="{FF2B5EF4-FFF2-40B4-BE49-F238E27FC236}">
              <a16:creationId xmlns:a16="http://schemas.microsoft.com/office/drawing/2014/main" id="{00000000-0008-0000-0E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9525</xdr:colOff>
      <xdr:row>68</xdr:row>
      <xdr:rowOff>0</xdr:rowOff>
    </xdr:from>
    <xdr:to>
      <xdr:col>9</xdr:col>
      <xdr:colOff>0</xdr:colOff>
      <xdr:row>89</xdr:row>
      <xdr:rowOff>0</xdr:rowOff>
    </xdr:to>
    <xdr:graphicFrame macro="">
      <xdr:nvGraphicFramePr>
        <xdr:cNvPr id="42" name="Chart 41">
          <a:extLst>
            <a:ext uri="{FF2B5EF4-FFF2-40B4-BE49-F238E27FC236}">
              <a16:creationId xmlns:a16="http://schemas.microsoft.com/office/drawing/2014/main" id="{00000000-0008-0000-0E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9525</xdr:colOff>
      <xdr:row>68</xdr:row>
      <xdr:rowOff>0</xdr:rowOff>
    </xdr:from>
    <xdr:to>
      <xdr:col>11</xdr:col>
      <xdr:colOff>9525</xdr:colOff>
      <xdr:row>89</xdr:row>
      <xdr:rowOff>0</xdr:rowOff>
    </xdr:to>
    <xdr:graphicFrame macro="">
      <xdr:nvGraphicFramePr>
        <xdr:cNvPr id="43" name="Chart 42">
          <a:extLst>
            <a:ext uri="{FF2B5EF4-FFF2-40B4-BE49-F238E27FC236}">
              <a16:creationId xmlns:a16="http://schemas.microsoft.com/office/drawing/2014/main" id="{00000000-0008-0000-0E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9525</xdr:colOff>
      <xdr:row>68</xdr:row>
      <xdr:rowOff>0</xdr:rowOff>
    </xdr:from>
    <xdr:to>
      <xdr:col>13</xdr:col>
      <xdr:colOff>0</xdr:colOff>
      <xdr:row>89</xdr:row>
      <xdr:rowOff>0</xdr:rowOff>
    </xdr:to>
    <xdr:graphicFrame macro="">
      <xdr:nvGraphicFramePr>
        <xdr:cNvPr id="44" name="Chart 43">
          <a:extLst>
            <a:ext uri="{FF2B5EF4-FFF2-40B4-BE49-F238E27FC236}">
              <a16:creationId xmlns:a16="http://schemas.microsoft.com/office/drawing/2014/main" id="{00000000-0008-0000-0E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9525</xdr:colOff>
      <xdr:row>68</xdr:row>
      <xdr:rowOff>0</xdr:rowOff>
    </xdr:from>
    <xdr:to>
      <xdr:col>15</xdr:col>
      <xdr:colOff>0</xdr:colOff>
      <xdr:row>89</xdr:row>
      <xdr:rowOff>0</xdr:rowOff>
    </xdr:to>
    <xdr:graphicFrame macro="">
      <xdr:nvGraphicFramePr>
        <xdr:cNvPr id="45" name="Chart 44">
          <a:extLst>
            <a:ext uri="{FF2B5EF4-FFF2-40B4-BE49-F238E27FC236}">
              <a16:creationId xmlns:a16="http://schemas.microsoft.com/office/drawing/2014/main" id="{00000000-0008-0000-0E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9525</xdr:colOff>
      <xdr:row>68</xdr:row>
      <xdr:rowOff>0</xdr:rowOff>
    </xdr:from>
    <xdr:to>
      <xdr:col>17</xdr:col>
      <xdr:colOff>9525</xdr:colOff>
      <xdr:row>89</xdr:row>
      <xdr:rowOff>0</xdr:rowOff>
    </xdr:to>
    <xdr:graphicFrame macro="">
      <xdr:nvGraphicFramePr>
        <xdr:cNvPr id="46" name="Chart 45">
          <a:extLst>
            <a:ext uri="{FF2B5EF4-FFF2-40B4-BE49-F238E27FC236}">
              <a16:creationId xmlns:a16="http://schemas.microsoft.com/office/drawing/2014/main" id="{00000000-0008-0000-0E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9525</xdr:colOff>
      <xdr:row>68</xdr:row>
      <xdr:rowOff>0</xdr:rowOff>
    </xdr:from>
    <xdr:to>
      <xdr:col>19</xdr:col>
      <xdr:colOff>0</xdr:colOff>
      <xdr:row>89</xdr:row>
      <xdr:rowOff>0</xdr:rowOff>
    </xdr:to>
    <xdr:graphicFrame macro="">
      <xdr:nvGraphicFramePr>
        <xdr:cNvPr id="47" name="Chart 46">
          <a:extLst>
            <a:ext uri="{FF2B5EF4-FFF2-40B4-BE49-F238E27FC236}">
              <a16:creationId xmlns:a16="http://schemas.microsoft.com/office/drawing/2014/main" id="{00000000-0008-0000-0E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9525</xdr:colOff>
      <xdr:row>68</xdr:row>
      <xdr:rowOff>0</xdr:rowOff>
    </xdr:from>
    <xdr:to>
      <xdr:col>21</xdr:col>
      <xdr:colOff>0</xdr:colOff>
      <xdr:row>89</xdr:row>
      <xdr:rowOff>0</xdr:rowOff>
    </xdr:to>
    <xdr:graphicFrame macro="">
      <xdr:nvGraphicFramePr>
        <xdr:cNvPr id="48" name="Chart 47">
          <a:extLst>
            <a:ext uri="{FF2B5EF4-FFF2-40B4-BE49-F238E27FC236}">
              <a16:creationId xmlns:a16="http://schemas.microsoft.com/office/drawing/2014/main" id="{00000000-0008-0000-0E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9525</xdr:colOff>
      <xdr:row>68</xdr:row>
      <xdr:rowOff>0</xdr:rowOff>
    </xdr:from>
    <xdr:to>
      <xdr:col>23</xdr:col>
      <xdr:colOff>9525</xdr:colOff>
      <xdr:row>89</xdr:row>
      <xdr:rowOff>0</xdr:rowOff>
    </xdr:to>
    <xdr:graphicFrame macro="">
      <xdr:nvGraphicFramePr>
        <xdr:cNvPr id="49" name="Chart 48">
          <a:extLst>
            <a:ext uri="{FF2B5EF4-FFF2-40B4-BE49-F238E27FC236}">
              <a16:creationId xmlns:a16="http://schemas.microsoft.com/office/drawing/2014/main" id="{00000000-0008-0000-0E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xdr:col>
      <xdr:colOff>0</xdr:colOff>
      <xdr:row>123</xdr:row>
      <xdr:rowOff>0</xdr:rowOff>
    </xdr:from>
    <xdr:to>
      <xdr:col>22</xdr:col>
      <xdr:colOff>238125</xdr:colOff>
      <xdr:row>158</xdr:row>
      <xdr:rowOff>47625</xdr:rowOff>
    </xdr:to>
    <xdr:grpSp>
      <xdr:nvGrpSpPr>
        <xdr:cNvPr id="69" name="Group 68">
          <a:extLst>
            <a:ext uri="{FF2B5EF4-FFF2-40B4-BE49-F238E27FC236}">
              <a16:creationId xmlns:a16="http://schemas.microsoft.com/office/drawing/2014/main" id="{E02AB6D3-F4F0-4B5B-B7B7-2389EC5CC550}"/>
            </a:ext>
          </a:extLst>
        </xdr:cNvPr>
        <xdr:cNvGrpSpPr/>
      </xdr:nvGrpSpPr>
      <xdr:grpSpPr>
        <a:xfrm>
          <a:off x="150876" y="19749516"/>
          <a:ext cx="8951976" cy="4899660"/>
          <a:chOff x="95250" y="95250"/>
          <a:chExt cx="7534275" cy="5048250"/>
        </a:xfrm>
      </xdr:grpSpPr>
      <xdr:sp macro="" textlink="">
        <xdr:nvSpPr>
          <xdr:cNvPr id="70" name="Rectangle 69">
            <a:extLst>
              <a:ext uri="{FF2B5EF4-FFF2-40B4-BE49-F238E27FC236}">
                <a16:creationId xmlns:a16="http://schemas.microsoft.com/office/drawing/2014/main" id="{BCD64551-82EC-C635-6826-F3D280151A18}"/>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71" name="Rectangle: Rounded Corners 70">
            <a:hlinkClick xmlns:r="http://schemas.openxmlformats.org/officeDocument/2006/relationships" r:id="rId11"/>
            <a:extLst>
              <a:ext uri="{FF2B5EF4-FFF2-40B4-BE49-F238E27FC236}">
                <a16:creationId xmlns:a16="http://schemas.microsoft.com/office/drawing/2014/main" id="{7A171923-530D-66FE-5EFE-0AE2EEEF7396}"/>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72" name="Rectangle: Rounded Corners 71">
            <a:hlinkClick xmlns:r="http://schemas.openxmlformats.org/officeDocument/2006/relationships" r:id="rId12"/>
            <a:extLst>
              <a:ext uri="{FF2B5EF4-FFF2-40B4-BE49-F238E27FC236}">
                <a16:creationId xmlns:a16="http://schemas.microsoft.com/office/drawing/2014/main" id="{8B18767E-10D5-7ABB-68DA-83FFB425B367}"/>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73" name="Rectangle: Rounded Corners 72">
            <a:hlinkClick xmlns:r="http://schemas.openxmlformats.org/officeDocument/2006/relationships" r:id="rId13"/>
            <a:extLst>
              <a:ext uri="{FF2B5EF4-FFF2-40B4-BE49-F238E27FC236}">
                <a16:creationId xmlns:a16="http://schemas.microsoft.com/office/drawing/2014/main" id="{F3AE7956-A0FB-6034-C14C-7C6C3F2B6B65}"/>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74" name="Rectangle: Rounded Corners 73">
            <a:hlinkClick xmlns:r="http://schemas.openxmlformats.org/officeDocument/2006/relationships" r:id="rId14"/>
            <a:extLst>
              <a:ext uri="{FF2B5EF4-FFF2-40B4-BE49-F238E27FC236}">
                <a16:creationId xmlns:a16="http://schemas.microsoft.com/office/drawing/2014/main" id="{A62C1383-07E0-DB09-5129-FBABAC31D465}"/>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75" name="Rectangle: Rounded Corners 74">
            <a:hlinkClick xmlns:r="http://schemas.openxmlformats.org/officeDocument/2006/relationships" r:id="rId15"/>
            <a:extLst>
              <a:ext uri="{FF2B5EF4-FFF2-40B4-BE49-F238E27FC236}">
                <a16:creationId xmlns:a16="http://schemas.microsoft.com/office/drawing/2014/main" id="{F4257E2E-EEE7-D86B-D71C-B40D760C426B}"/>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76" name="Rectangle: Rounded Corners 75">
            <a:hlinkClick xmlns:r="http://schemas.openxmlformats.org/officeDocument/2006/relationships" r:id="rId16"/>
            <a:extLst>
              <a:ext uri="{FF2B5EF4-FFF2-40B4-BE49-F238E27FC236}">
                <a16:creationId xmlns:a16="http://schemas.microsoft.com/office/drawing/2014/main" id="{9BFE88D9-5EB3-B593-C661-E637364C5A25}"/>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77" name="Rectangle: Rounded Corners 76">
            <a:hlinkClick xmlns:r="http://schemas.openxmlformats.org/officeDocument/2006/relationships" r:id="rId17"/>
            <a:extLst>
              <a:ext uri="{FF2B5EF4-FFF2-40B4-BE49-F238E27FC236}">
                <a16:creationId xmlns:a16="http://schemas.microsoft.com/office/drawing/2014/main" id="{FD3BC8B5-8EF8-E9B3-552D-77DB87617D04}"/>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78" name="Rectangle: Rounded Corners 77">
            <a:hlinkClick xmlns:r="http://schemas.openxmlformats.org/officeDocument/2006/relationships" r:id="rId18"/>
            <a:extLst>
              <a:ext uri="{FF2B5EF4-FFF2-40B4-BE49-F238E27FC236}">
                <a16:creationId xmlns:a16="http://schemas.microsoft.com/office/drawing/2014/main" id="{91C43810-0EE6-EF2E-3D6A-914606CD6668}"/>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79" name="Rectangle: Rounded Corners 78">
            <a:hlinkClick xmlns:r="http://schemas.openxmlformats.org/officeDocument/2006/relationships" r:id="rId19"/>
            <a:extLst>
              <a:ext uri="{FF2B5EF4-FFF2-40B4-BE49-F238E27FC236}">
                <a16:creationId xmlns:a16="http://schemas.microsoft.com/office/drawing/2014/main" id="{839641F6-CA6B-E308-D9B9-6524D7DBD019}"/>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80" name="Group 79">
            <a:hlinkClick xmlns:r="http://schemas.openxmlformats.org/officeDocument/2006/relationships" r:id="rId20"/>
            <a:extLst>
              <a:ext uri="{FF2B5EF4-FFF2-40B4-BE49-F238E27FC236}">
                <a16:creationId xmlns:a16="http://schemas.microsoft.com/office/drawing/2014/main" id="{638B0DC7-67AD-5B41-B897-B8984B92CC60}"/>
              </a:ext>
            </a:extLst>
          </xdr:cNvPr>
          <xdr:cNvGrpSpPr/>
        </xdr:nvGrpSpPr>
        <xdr:grpSpPr>
          <a:xfrm>
            <a:off x="190500" y="723900"/>
            <a:ext cx="1695450" cy="723900"/>
            <a:chOff x="190500" y="180975"/>
            <a:chExt cx="1800225" cy="723900"/>
          </a:xfrm>
        </xdr:grpSpPr>
        <xdr:sp macro="" textlink="">
          <xdr:nvSpPr>
            <xdr:cNvPr id="92" name="Rectangle: Rounded Corners 91">
              <a:hlinkClick xmlns:r="http://schemas.openxmlformats.org/officeDocument/2006/relationships" r:id="rId20"/>
              <a:extLst>
                <a:ext uri="{FF2B5EF4-FFF2-40B4-BE49-F238E27FC236}">
                  <a16:creationId xmlns:a16="http://schemas.microsoft.com/office/drawing/2014/main" id="{1007947B-662E-C8CE-0CB3-856A9B097F06}"/>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93" name="Picture 92">
              <a:extLst>
                <a:ext uri="{FF2B5EF4-FFF2-40B4-BE49-F238E27FC236}">
                  <a16:creationId xmlns:a16="http://schemas.microsoft.com/office/drawing/2014/main" id="{6635059E-6265-D67B-749B-F03E28B8CAE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81" name="Rectangle: Rounded Corners 80">
            <a:hlinkClick xmlns:r="http://schemas.openxmlformats.org/officeDocument/2006/relationships" r:id="rId22"/>
            <a:extLst>
              <a:ext uri="{FF2B5EF4-FFF2-40B4-BE49-F238E27FC236}">
                <a16:creationId xmlns:a16="http://schemas.microsoft.com/office/drawing/2014/main" id="{C8CECA72-4142-0668-CD22-AA7C764203F4}"/>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82" name="Rectangle: Rounded Corners 81">
            <a:hlinkClick xmlns:r="http://schemas.openxmlformats.org/officeDocument/2006/relationships" r:id="rId23"/>
            <a:extLst>
              <a:ext uri="{FF2B5EF4-FFF2-40B4-BE49-F238E27FC236}">
                <a16:creationId xmlns:a16="http://schemas.microsoft.com/office/drawing/2014/main" id="{65E85D61-2235-DB7F-A2FE-7CAF65EE0C0C}"/>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83" name="Rectangle: Rounded Corners 82">
            <a:hlinkClick xmlns:r="http://schemas.openxmlformats.org/officeDocument/2006/relationships" r:id="rId24"/>
            <a:extLst>
              <a:ext uri="{FF2B5EF4-FFF2-40B4-BE49-F238E27FC236}">
                <a16:creationId xmlns:a16="http://schemas.microsoft.com/office/drawing/2014/main" id="{1349F253-6439-0E75-9309-726B492A5AD7}"/>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84" name="Rectangle: Rounded Corners 83">
            <a:hlinkClick xmlns:r="http://schemas.openxmlformats.org/officeDocument/2006/relationships" r:id="rId25"/>
            <a:extLst>
              <a:ext uri="{FF2B5EF4-FFF2-40B4-BE49-F238E27FC236}">
                <a16:creationId xmlns:a16="http://schemas.microsoft.com/office/drawing/2014/main" id="{FBB81988-27A8-F943-B4D8-218867A6266F}"/>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85" name="Rectangle: Rounded Corners 84">
            <a:hlinkClick xmlns:r="http://schemas.openxmlformats.org/officeDocument/2006/relationships" r:id="rId26"/>
            <a:extLst>
              <a:ext uri="{FF2B5EF4-FFF2-40B4-BE49-F238E27FC236}">
                <a16:creationId xmlns:a16="http://schemas.microsoft.com/office/drawing/2014/main" id="{A53CD19E-C893-6DDD-111B-40B0EA411C00}"/>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86" name="Rectangle: Rounded Corners 85">
            <a:hlinkClick xmlns:r="http://schemas.openxmlformats.org/officeDocument/2006/relationships" r:id="rId27"/>
            <a:extLst>
              <a:ext uri="{FF2B5EF4-FFF2-40B4-BE49-F238E27FC236}">
                <a16:creationId xmlns:a16="http://schemas.microsoft.com/office/drawing/2014/main" id="{A3198C90-D215-3535-8E26-175CFBE3BFF9}"/>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87" name="Rectangle: Rounded Corners 86">
            <a:hlinkClick xmlns:r="http://schemas.openxmlformats.org/officeDocument/2006/relationships" r:id="rId28"/>
            <a:extLst>
              <a:ext uri="{FF2B5EF4-FFF2-40B4-BE49-F238E27FC236}">
                <a16:creationId xmlns:a16="http://schemas.microsoft.com/office/drawing/2014/main" id="{1FE9ED9C-121B-5FDC-267D-260204B1A0C9}"/>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88" name="Rectangle: Rounded Corners 87">
            <a:hlinkClick xmlns:r="http://schemas.openxmlformats.org/officeDocument/2006/relationships" r:id="rId29"/>
            <a:extLst>
              <a:ext uri="{FF2B5EF4-FFF2-40B4-BE49-F238E27FC236}">
                <a16:creationId xmlns:a16="http://schemas.microsoft.com/office/drawing/2014/main" id="{86B21002-53DF-E25C-103C-A0318CED565A}"/>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89" name="Rectangle: Rounded Corners 88">
            <a:hlinkClick xmlns:r="http://schemas.openxmlformats.org/officeDocument/2006/relationships" r:id="rId30"/>
            <a:extLst>
              <a:ext uri="{FF2B5EF4-FFF2-40B4-BE49-F238E27FC236}">
                <a16:creationId xmlns:a16="http://schemas.microsoft.com/office/drawing/2014/main" id="{1F2FD05E-63D1-E1DA-8AB6-A673B463E4D9}"/>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90" name="Rectangle: Rounded Corners 89">
            <a:hlinkClick xmlns:r="http://schemas.openxmlformats.org/officeDocument/2006/relationships" r:id="rId31"/>
            <a:extLst>
              <a:ext uri="{FF2B5EF4-FFF2-40B4-BE49-F238E27FC236}">
                <a16:creationId xmlns:a16="http://schemas.microsoft.com/office/drawing/2014/main" id="{0745D9CC-9A49-6EC2-80BA-646C273BBACA}"/>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91" name="TextBox 90">
            <a:extLst>
              <a:ext uri="{FF2B5EF4-FFF2-40B4-BE49-F238E27FC236}">
                <a16:creationId xmlns:a16="http://schemas.microsoft.com/office/drawing/2014/main" id="{BC2B02FF-1B4A-DE85-FFBE-605341A33607}"/>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25</xdr:col>
      <xdr:colOff>0</xdr:colOff>
      <xdr:row>0</xdr:row>
      <xdr:rowOff>0</xdr:rowOff>
    </xdr:from>
    <xdr:to>
      <xdr:col>25</xdr:col>
      <xdr:colOff>390525</xdr:colOff>
      <xdr:row>38</xdr:row>
      <xdr:rowOff>247650</xdr:rowOff>
    </xdr:to>
    <xdr:grpSp>
      <xdr:nvGrpSpPr>
        <xdr:cNvPr id="94" name="Group 93">
          <a:hlinkClick xmlns:r="http://schemas.openxmlformats.org/officeDocument/2006/relationships" r:id="rId20"/>
          <a:extLst>
            <a:ext uri="{FF2B5EF4-FFF2-40B4-BE49-F238E27FC236}">
              <a16:creationId xmlns:a16="http://schemas.microsoft.com/office/drawing/2014/main" id="{2AB52CCF-35B6-4371-B483-D66A658A5952}"/>
            </a:ext>
          </a:extLst>
        </xdr:cNvPr>
        <xdr:cNvGrpSpPr/>
      </xdr:nvGrpSpPr>
      <xdr:grpSpPr>
        <a:xfrm>
          <a:off x="9663684" y="0"/>
          <a:ext cx="409956" cy="1688592"/>
          <a:chOff x="9210675" y="19050"/>
          <a:chExt cx="390525" cy="1743075"/>
        </a:xfrm>
      </xdr:grpSpPr>
      <xdr:pic>
        <xdr:nvPicPr>
          <xdr:cNvPr id="95" name="Graphic 94" descr="Map compass with solid fill">
            <a:hlinkClick xmlns:r="http://schemas.openxmlformats.org/officeDocument/2006/relationships" r:id="rId32"/>
            <a:extLst>
              <a:ext uri="{FF2B5EF4-FFF2-40B4-BE49-F238E27FC236}">
                <a16:creationId xmlns:a16="http://schemas.microsoft.com/office/drawing/2014/main" id="{818ED9EB-23EC-FF08-40B4-B581BABE28D2}"/>
              </a:ext>
            </a:extLst>
          </xdr:cNvPr>
          <xdr:cNvPicPr>
            <a:picLocks noChangeAspect="1"/>
          </xdr:cNvPicPr>
        </xdr:nvPicPr>
        <xdr:blipFill>
          <a:blip xmlns:r="http://schemas.openxmlformats.org/officeDocument/2006/relationships" r:embed="rId33">
            <a:duotone>
              <a:schemeClr val="accent6">
                <a:shade val="45000"/>
                <a:satMod val="135000"/>
              </a:schemeClr>
              <a:prstClr val="white"/>
            </a:duotone>
            <a:extLst>
              <a:ext uri="{96DAC541-7B7A-43D3-8B79-37D633B846F1}">
                <asvg:svgBlip xmlns:asvg="http://schemas.microsoft.com/office/drawing/2016/SVG/main" r:embed="rId34"/>
              </a:ext>
            </a:extLst>
          </a:blip>
          <a:stretch>
            <a:fillRect/>
          </a:stretch>
        </xdr:blipFill>
        <xdr:spPr>
          <a:xfrm>
            <a:off x="9229725" y="38099"/>
            <a:ext cx="369675" cy="369675"/>
          </a:xfrm>
          <a:prstGeom prst="rect">
            <a:avLst/>
          </a:prstGeom>
        </xdr:spPr>
      </xdr:pic>
      <xdr:sp macro="" textlink="">
        <xdr:nvSpPr>
          <xdr:cNvPr id="96" name="Right Arrow 50">
            <a:hlinkClick xmlns:r="http://schemas.openxmlformats.org/officeDocument/2006/relationships" r:id="rId11"/>
            <a:extLst>
              <a:ext uri="{FF2B5EF4-FFF2-40B4-BE49-F238E27FC236}">
                <a16:creationId xmlns:a16="http://schemas.microsoft.com/office/drawing/2014/main" id="{E87A1FBC-5908-EA77-6D86-0B86572DB815}"/>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97" name="Right Arrow 50">
            <a:hlinkClick xmlns:r="http://schemas.openxmlformats.org/officeDocument/2006/relationships" r:id="rId17"/>
            <a:extLst>
              <a:ext uri="{FF2B5EF4-FFF2-40B4-BE49-F238E27FC236}">
                <a16:creationId xmlns:a16="http://schemas.microsoft.com/office/drawing/2014/main" id="{683F01F5-D322-D34E-10ED-7997863C2DA3}"/>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98" name="Picture 97">
            <a:hlinkClick xmlns:r="http://schemas.openxmlformats.org/officeDocument/2006/relationships" r:id="rId20"/>
            <a:extLst>
              <a:ext uri="{FF2B5EF4-FFF2-40B4-BE49-F238E27FC236}">
                <a16:creationId xmlns:a16="http://schemas.microsoft.com/office/drawing/2014/main" id="{CC554D44-D5C1-843A-4496-0B6571CD82D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99" name="Rectangle 98">
            <a:extLst>
              <a:ext uri="{FF2B5EF4-FFF2-40B4-BE49-F238E27FC236}">
                <a16:creationId xmlns:a16="http://schemas.microsoft.com/office/drawing/2014/main" id="{87381DF6-4643-EFAE-6C3B-AF97617823C9}"/>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25</xdr:col>
      <xdr:colOff>95249</xdr:colOff>
      <xdr:row>120</xdr:row>
      <xdr:rowOff>0</xdr:rowOff>
    </xdr:from>
    <xdr:ext cx="252000" cy="288000"/>
    <xdr:sp macro="" textlink="">
      <xdr:nvSpPr>
        <xdr:cNvPr id="2" name="Down Arrow 44">
          <a:hlinkClick xmlns:r="http://schemas.openxmlformats.org/officeDocument/2006/relationships" r:id="rId16"/>
          <a:extLst>
            <a:ext uri="{FF2B5EF4-FFF2-40B4-BE49-F238E27FC236}">
              <a16:creationId xmlns:a16="http://schemas.microsoft.com/office/drawing/2014/main" id="{0F722FBB-3A3F-47C0-B3C5-4A36C0320677}"/>
            </a:ext>
          </a:extLst>
        </xdr:cNvPr>
        <xdr:cNvSpPr>
          <a:spLocks noChangeArrowheads="1"/>
        </xdr:cNvSpPr>
      </xdr:nvSpPr>
      <xdr:spPr bwMode="auto">
        <a:xfrm flipV="1">
          <a:off x="9286874" y="64198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25</xdr:col>
      <xdr:colOff>95249</xdr:colOff>
      <xdr:row>90</xdr:row>
      <xdr:rowOff>38100</xdr:rowOff>
    </xdr:from>
    <xdr:ext cx="252000" cy="288000"/>
    <xdr:sp macro="" textlink="">
      <xdr:nvSpPr>
        <xdr:cNvPr id="3" name="Down Arrow 44">
          <a:hlinkClick xmlns:r="http://schemas.openxmlformats.org/officeDocument/2006/relationships" r:id="rId16"/>
          <a:extLst>
            <a:ext uri="{FF2B5EF4-FFF2-40B4-BE49-F238E27FC236}">
              <a16:creationId xmlns:a16="http://schemas.microsoft.com/office/drawing/2014/main" id="{DCC8D2C5-BCF8-4101-815D-E334D77AD4A4}"/>
            </a:ext>
          </a:extLst>
        </xdr:cNvPr>
        <xdr:cNvSpPr>
          <a:spLocks noChangeArrowheads="1"/>
        </xdr:cNvSpPr>
      </xdr:nvSpPr>
      <xdr:spPr bwMode="auto">
        <a:xfrm flipV="1">
          <a:off x="9277349" y="132111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25</xdr:col>
      <xdr:colOff>95249</xdr:colOff>
      <xdr:row>61</xdr:row>
      <xdr:rowOff>0</xdr:rowOff>
    </xdr:from>
    <xdr:ext cx="252000" cy="288000"/>
    <xdr:sp macro="" textlink="">
      <xdr:nvSpPr>
        <xdr:cNvPr id="5" name="Down Arrow 44">
          <a:hlinkClick xmlns:r="http://schemas.openxmlformats.org/officeDocument/2006/relationships" r:id="rId16"/>
          <a:extLst>
            <a:ext uri="{FF2B5EF4-FFF2-40B4-BE49-F238E27FC236}">
              <a16:creationId xmlns:a16="http://schemas.microsoft.com/office/drawing/2014/main" id="{B818405A-05F9-43AE-B7D2-5973A7D9D420}"/>
            </a:ext>
          </a:extLst>
        </xdr:cNvPr>
        <xdr:cNvSpPr>
          <a:spLocks noChangeArrowheads="1"/>
        </xdr:cNvSpPr>
      </xdr:nvSpPr>
      <xdr:spPr bwMode="auto">
        <a:xfrm flipV="1">
          <a:off x="9286874" y="64198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11.xml><?xml version="1.0" encoding="utf-8"?>
<xdr:wsDr xmlns:xdr="http://schemas.openxmlformats.org/drawingml/2006/spreadsheetDrawing" xmlns:a="http://schemas.openxmlformats.org/drawingml/2006/main">
  <xdr:twoCellAnchor>
    <xdr:from>
      <xdr:col>1</xdr:col>
      <xdr:colOff>1</xdr:colOff>
      <xdr:row>36</xdr:row>
      <xdr:rowOff>1</xdr:rowOff>
    </xdr:from>
    <xdr:to>
      <xdr:col>10</xdr:col>
      <xdr:colOff>0</xdr:colOff>
      <xdr:row>64</xdr:row>
      <xdr:rowOff>0</xdr:rowOff>
    </xdr:to>
    <xdr:graphicFrame macro="">
      <xdr:nvGraphicFramePr>
        <xdr:cNvPr id="6" name="Chart 13">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400048</xdr:colOff>
      <xdr:row>0</xdr:row>
      <xdr:rowOff>85725</xdr:rowOff>
    </xdr:from>
    <xdr:to>
      <xdr:col>20</xdr:col>
      <xdr:colOff>35923</xdr:colOff>
      <xdr:row>2</xdr:row>
      <xdr:rowOff>149475</xdr:rowOff>
    </xdr:to>
    <xdr:sp macro="" textlink="">
      <xdr:nvSpPr>
        <xdr:cNvPr id="10" name="AutoShape 32">
          <a:extLst>
            <a:ext uri="{FF2B5EF4-FFF2-40B4-BE49-F238E27FC236}">
              <a16:creationId xmlns:a16="http://schemas.microsoft.com/office/drawing/2014/main" id="{00000000-0008-0000-0F00-00000A000000}"/>
            </a:ext>
          </a:extLst>
        </xdr:cNvPr>
        <xdr:cNvSpPr>
          <a:spLocks noChangeArrowheads="1"/>
        </xdr:cNvSpPr>
      </xdr:nvSpPr>
      <xdr:spPr bwMode="auto">
        <a:xfrm>
          <a:off x="6953248"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1</xdr:colOff>
      <xdr:row>61</xdr:row>
      <xdr:rowOff>0</xdr:rowOff>
    </xdr:from>
    <xdr:to>
      <xdr:col>20</xdr:col>
      <xdr:colOff>2</xdr:colOff>
      <xdr:row>64</xdr:row>
      <xdr:rowOff>0</xdr:rowOff>
    </xdr:to>
    <xdr:graphicFrame macro="">
      <xdr:nvGraphicFramePr>
        <xdr:cNvPr id="11" name="Chart 13">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85725</xdr:colOff>
          <xdr:row>36</xdr:row>
          <xdr:rowOff>38100</xdr:rowOff>
        </xdr:from>
        <xdr:to>
          <xdr:col>35</xdr:col>
          <xdr:colOff>57150</xdr:colOff>
          <xdr:row>38</xdr:row>
          <xdr:rowOff>19050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11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37</xdr:row>
          <xdr:rowOff>161925</xdr:rowOff>
        </xdr:from>
        <xdr:to>
          <xdr:col>35</xdr:col>
          <xdr:colOff>57150</xdr:colOff>
          <xdr:row>39</xdr:row>
          <xdr:rowOff>19050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11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38</xdr:row>
          <xdr:rowOff>161925</xdr:rowOff>
        </xdr:from>
        <xdr:to>
          <xdr:col>35</xdr:col>
          <xdr:colOff>57150</xdr:colOff>
          <xdr:row>40</xdr:row>
          <xdr:rowOff>19050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11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39</xdr:row>
          <xdr:rowOff>161925</xdr:rowOff>
        </xdr:from>
        <xdr:to>
          <xdr:col>35</xdr:col>
          <xdr:colOff>57150</xdr:colOff>
          <xdr:row>41</xdr:row>
          <xdr:rowOff>19050</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11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40</xdr:row>
          <xdr:rowOff>161925</xdr:rowOff>
        </xdr:from>
        <xdr:to>
          <xdr:col>35</xdr:col>
          <xdr:colOff>57150</xdr:colOff>
          <xdr:row>42</xdr:row>
          <xdr:rowOff>19050</xdr:rowOff>
        </xdr:to>
        <xdr:sp macro="" textlink="">
          <xdr:nvSpPr>
            <xdr:cNvPr id="86021" name="Check Box 5" hidden="1">
              <a:extLst>
                <a:ext uri="{63B3BB69-23CF-44E3-9099-C40C66FF867C}">
                  <a14:compatExt spid="_x0000_s86021"/>
                </a:ext>
                <a:ext uri="{FF2B5EF4-FFF2-40B4-BE49-F238E27FC236}">
                  <a16:creationId xmlns:a16="http://schemas.microsoft.com/office/drawing/2014/main" id="{00000000-0008-0000-11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41</xdr:row>
          <xdr:rowOff>161925</xdr:rowOff>
        </xdr:from>
        <xdr:to>
          <xdr:col>35</xdr:col>
          <xdr:colOff>57150</xdr:colOff>
          <xdr:row>43</xdr:row>
          <xdr:rowOff>19050</xdr:rowOff>
        </xdr:to>
        <xdr:sp macro="" textlink="">
          <xdr:nvSpPr>
            <xdr:cNvPr id="86022" name="Check Box 6" hidden="1">
              <a:extLst>
                <a:ext uri="{63B3BB69-23CF-44E3-9099-C40C66FF867C}">
                  <a14:compatExt spid="_x0000_s86022"/>
                </a:ext>
                <a:ext uri="{FF2B5EF4-FFF2-40B4-BE49-F238E27FC236}">
                  <a16:creationId xmlns:a16="http://schemas.microsoft.com/office/drawing/2014/main" id="{00000000-0008-0000-1100-00000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42</xdr:row>
          <xdr:rowOff>161925</xdr:rowOff>
        </xdr:from>
        <xdr:to>
          <xdr:col>35</xdr:col>
          <xdr:colOff>57150</xdr:colOff>
          <xdr:row>44</xdr:row>
          <xdr:rowOff>19050</xdr:rowOff>
        </xdr:to>
        <xdr:sp macro="" textlink="">
          <xdr:nvSpPr>
            <xdr:cNvPr id="86023" name="Check Box 7" hidden="1">
              <a:extLst>
                <a:ext uri="{63B3BB69-23CF-44E3-9099-C40C66FF867C}">
                  <a14:compatExt spid="_x0000_s86023"/>
                </a:ext>
                <a:ext uri="{FF2B5EF4-FFF2-40B4-BE49-F238E27FC236}">
                  <a16:creationId xmlns:a16="http://schemas.microsoft.com/office/drawing/2014/main" id="{00000000-0008-0000-11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43</xdr:row>
          <xdr:rowOff>161925</xdr:rowOff>
        </xdr:from>
        <xdr:to>
          <xdr:col>35</xdr:col>
          <xdr:colOff>57150</xdr:colOff>
          <xdr:row>45</xdr:row>
          <xdr:rowOff>19050</xdr:rowOff>
        </xdr:to>
        <xdr:sp macro="" textlink="">
          <xdr:nvSpPr>
            <xdr:cNvPr id="86024" name="Check Box 8" hidden="1">
              <a:extLst>
                <a:ext uri="{63B3BB69-23CF-44E3-9099-C40C66FF867C}">
                  <a14:compatExt spid="_x0000_s86024"/>
                </a:ext>
                <a:ext uri="{FF2B5EF4-FFF2-40B4-BE49-F238E27FC236}">
                  <a16:creationId xmlns:a16="http://schemas.microsoft.com/office/drawing/2014/main" id="{00000000-0008-0000-11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44</xdr:row>
          <xdr:rowOff>161925</xdr:rowOff>
        </xdr:from>
        <xdr:to>
          <xdr:col>35</xdr:col>
          <xdr:colOff>57150</xdr:colOff>
          <xdr:row>46</xdr:row>
          <xdr:rowOff>19050</xdr:rowOff>
        </xdr:to>
        <xdr:sp macro="" textlink="">
          <xdr:nvSpPr>
            <xdr:cNvPr id="86025" name="Check Box 9" hidden="1">
              <a:extLst>
                <a:ext uri="{63B3BB69-23CF-44E3-9099-C40C66FF867C}">
                  <a14:compatExt spid="_x0000_s86025"/>
                </a:ext>
                <a:ext uri="{FF2B5EF4-FFF2-40B4-BE49-F238E27FC236}">
                  <a16:creationId xmlns:a16="http://schemas.microsoft.com/office/drawing/2014/main" id="{00000000-0008-0000-11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45</xdr:row>
          <xdr:rowOff>161925</xdr:rowOff>
        </xdr:from>
        <xdr:to>
          <xdr:col>35</xdr:col>
          <xdr:colOff>57150</xdr:colOff>
          <xdr:row>47</xdr:row>
          <xdr:rowOff>19050</xdr:rowOff>
        </xdr:to>
        <xdr:sp macro="" textlink="">
          <xdr:nvSpPr>
            <xdr:cNvPr id="86026" name="Check Box 10" hidden="1">
              <a:extLst>
                <a:ext uri="{63B3BB69-23CF-44E3-9099-C40C66FF867C}">
                  <a14:compatExt spid="_x0000_s86026"/>
                </a:ext>
                <a:ext uri="{FF2B5EF4-FFF2-40B4-BE49-F238E27FC236}">
                  <a16:creationId xmlns:a16="http://schemas.microsoft.com/office/drawing/2014/main" id="{00000000-0008-0000-11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46</xdr:row>
          <xdr:rowOff>161925</xdr:rowOff>
        </xdr:from>
        <xdr:to>
          <xdr:col>35</xdr:col>
          <xdr:colOff>57150</xdr:colOff>
          <xdr:row>48</xdr:row>
          <xdr:rowOff>19050</xdr:rowOff>
        </xdr:to>
        <xdr:sp macro="" textlink="">
          <xdr:nvSpPr>
            <xdr:cNvPr id="86027" name="Check Box 11" hidden="1">
              <a:extLst>
                <a:ext uri="{63B3BB69-23CF-44E3-9099-C40C66FF867C}">
                  <a14:compatExt spid="_x0000_s86027"/>
                </a:ext>
                <a:ext uri="{FF2B5EF4-FFF2-40B4-BE49-F238E27FC236}">
                  <a16:creationId xmlns:a16="http://schemas.microsoft.com/office/drawing/2014/main" id="{00000000-0008-0000-11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47</xdr:row>
          <xdr:rowOff>161925</xdr:rowOff>
        </xdr:from>
        <xdr:to>
          <xdr:col>35</xdr:col>
          <xdr:colOff>57150</xdr:colOff>
          <xdr:row>49</xdr:row>
          <xdr:rowOff>19050</xdr:rowOff>
        </xdr:to>
        <xdr:sp macro="" textlink="">
          <xdr:nvSpPr>
            <xdr:cNvPr id="86028" name="Check Box 12" hidden="1">
              <a:extLst>
                <a:ext uri="{63B3BB69-23CF-44E3-9099-C40C66FF867C}">
                  <a14:compatExt spid="_x0000_s86028"/>
                </a:ext>
                <a:ext uri="{FF2B5EF4-FFF2-40B4-BE49-F238E27FC236}">
                  <a16:creationId xmlns:a16="http://schemas.microsoft.com/office/drawing/2014/main" id="{00000000-0008-0000-11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48</xdr:row>
          <xdr:rowOff>161925</xdr:rowOff>
        </xdr:from>
        <xdr:to>
          <xdr:col>35</xdr:col>
          <xdr:colOff>57150</xdr:colOff>
          <xdr:row>50</xdr:row>
          <xdr:rowOff>19050</xdr:rowOff>
        </xdr:to>
        <xdr:sp macro="" textlink="">
          <xdr:nvSpPr>
            <xdr:cNvPr id="86029" name="Check Box 13" hidden="1">
              <a:extLst>
                <a:ext uri="{63B3BB69-23CF-44E3-9099-C40C66FF867C}">
                  <a14:compatExt spid="_x0000_s86029"/>
                </a:ext>
                <a:ext uri="{FF2B5EF4-FFF2-40B4-BE49-F238E27FC236}">
                  <a16:creationId xmlns:a16="http://schemas.microsoft.com/office/drawing/2014/main" id="{00000000-0008-0000-1100-00000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49</xdr:row>
          <xdr:rowOff>161925</xdr:rowOff>
        </xdr:from>
        <xdr:to>
          <xdr:col>35</xdr:col>
          <xdr:colOff>57150</xdr:colOff>
          <xdr:row>51</xdr:row>
          <xdr:rowOff>19050</xdr:rowOff>
        </xdr:to>
        <xdr:sp macro="" textlink="">
          <xdr:nvSpPr>
            <xdr:cNvPr id="86031" name="Check Box 15" hidden="1">
              <a:extLst>
                <a:ext uri="{63B3BB69-23CF-44E3-9099-C40C66FF867C}">
                  <a14:compatExt spid="_x0000_s86031"/>
                </a:ext>
                <a:ext uri="{FF2B5EF4-FFF2-40B4-BE49-F238E27FC236}">
                  <a16:creationId xmlns:a16="http://schemas.microsoft.com/office/drawing/2014/main" id="{00000000-0008-0000-1100-00000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50</xdr:row>
          <xdr:rowOff>161925</xdr:rowOff>
        </xdr:from>
        <xdr:to>
          <xdr:col>35</xdr:col>
          <xdr:colOff>57150</xdr:colOff>
          <xdr:row>52</xdr:row>
          <xdr:rowOff>19050</xdr:rowOff>
        </xdr:to>
        <xdr:sp macro="" textlink="">
          <xdr:nvSpPr>
            <xdr:cNvPr id="86032" name="Check Box 16" hidden="1">
              <a:extLst>
                <a:ext uri="{63B3BB69-23CF-44E3-9099-C40C66FF867C}">
                  <a14:compatExt spid="_x0000_s86032"/>
                </a:ext>
                <a:ext uri="{FF2B5EF4-FFF2-40B4-BE49-F238E27FC236}">
                  <a16:creationId xmlns:a16="http://schemas.microsoft.com/office/drawing/2014/main" id="{00000000-0008-0000-1100-00001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51</xdr:row>
          <xdr:rowOff>161925</xdr:rowOff>
        </xdr:from>
        <xdr:to>
          <xdr:col>35</xdr:col>
          <xdr:colOff>57150</xdr:colOff>
          <xdr:row>53</xdr:row>
          <xdr:rowOff>19050</xdr:rowOff>
        </xdr:to>
        <xdr:sp macro="" textlink="">
          <xdr:nvSpPr>
            <xdr:cNvPr id="86033" name="Check Box 17" hidden="1">
              <a:extLst>
                <a:ext uri="{63B3BB69-23CF-44E3-9099-C40C66FF867C}">
                  <a14:compatExt spid="_x0000_s86033"/>
                </a:ext>
                <a:ext uri="{FF2B5EF4-FFF2-40B4-BE49-F238E27FC236}">
                  <a16:creationId xmlns:a16="http://schemas.microsoft.com/office/drawing/2014/main" id="{00000000-0008-0000-1100-00001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52</xdr:row>
          <xdr:rowOff>161925</xdr:rowOff>
        </xdr:from>
        <xdr:to>
          <xdr:col>35</xdr:col>
          <xdr:colOff>57150</xdr:colOff>
          <xdr:row>54</xdr:row>
          <xdr:rowOff>19050</xdr:rowOff>
        </xdr:to>
        <xdr:sp macro="" textlink="">
          <xdr:nvSpPr>
            <xdr:cNvPr id="86034" name="Check Box 18" hidden="1">
              <a:extLst>
                <a:ext uri="{63B3BB69-23CF-44E3-9099-C40C66FF867C}">
                  <a14:compatExt spid="_x0000_s86034"/>
                </a:ext>
                <a:ext uri="{FF2B5EF4-FFF2-40B4-BE49-F238E27FC236}">
                  <a16:creationId xmlns:a16="http://schemas.microsoft.com/office/drawing/2014/main" id="{00000000-0008-0000-1100-00001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53</xdr:row>
          <xdr:rowOff>161925</xdr:rowOff>
        </xdr:from>
        <xdr:to>
          <xdr:col>35</xdr:col>
          <xdr:colOff>57150</xdr:colOff>
          <xdr:row>55</xdr:row>
          <xdr:rowOff>19050</xdr:rowOff>
        </xdr:to>
        <xdr:sp macro="" textlink="">
          <xdr:nvSpPr>
            <xdr:cNvPr id="86035" name="Check Box 19" hidden="1">
              <a:extLst>
                <a:ext uri="{63B3BB69-23CF-44E3-9099-C40C66FF867C}">
                  <a14:compatExt spid="_x0000_s86035"/>
                </a:ext>
                <a:ext uri="{FF2B5EF4-FFF2-40B4-BE49-F238E27FC236}">
                  <a16:creationId xmlns:a16="http://schemas.microsoft.com/office/drawing/2014/main" id="{00000000-0008-0000-1100-00001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54</xdr:row>
          <xdr:rowOff>161925</xdr:rowOff>
        </xdr:from>
        <xdr:to>
          <xdr:col>35</xdr:col>
          <xdr:colOff>57150</xdr:colOff>
          <xdr:row>56</xdr:row>
          <xdr:rowOff>19050</xdr:rowOff>
        </xdr:to>
        <xdr:sp macro="" textlink="">
          <xdr:nvSpPr>
            <xdr:cNvPr id="86036" name="Check Box 20" hidden="1">
              <a:extLst>
                <a:ext uri="{63B3BB69-23CF-44E3-9099-C40C66FF867C}">
                  <a14:compatExt spid="_x0000_s86036"/>
                </a:ext>
                <a:ext uri="{FF2B5EF4-FFF2-40B4-BE49-F238E27FC236}">
                  <a16:creationId xmlns:a16="http://schemas.microsoft.com/office/drawing/2014/main" id="{00000000-0008-0000-1100-00001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55</xdr:row>
          <xdr:rowOff>161925</xdr:rowOff>
        </xdr:from>
        <xdr:to>
          <xdr:col>35</xdr:col>
          <xdr:colOff>57150</xdr:colOff>
          <xdr:row>57</xdr:row>
          <xdr:rowOff>0</xdr:rowOff>
        </xdr:to>
        <xdr:sp macro="" textlink="">
          <xdr:nvSpPr>
            <xdr:cNvPr id="86037" name="Check Box 21" hidden="1">
              <a:extLst>
                <a:ext uri="{63B3BB69-23CF-44E3-9099-C40C66FF867C}">
                  <a14:compatExt spid="_x0000_s86037"/>
                </a:ext>
                <a:ext uri="{FF2B5EF4-FFF2-40B4-BE49-F238E27FC236}">
                  <a16:creationId xmlns:a16="http://schemas.microsoft.com/office/drawing/2014/main" id="{00000000-0008-0000-1100-00001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129</xdr:row>
      <xdr:rowOff>0</xdr:rowOff>
    </xdr:from>
    <xdr:to>
      <xdr:col>8</xdr:col>
      <xdr:colOff>0</xdr:colOff>
      <xdr:row>132</xdr:row>
      <xdr:rowOff>0</xdr:rowOff>
    </xdr:to>
    <xdr:graphicFrame macro="">
      <xdr:nvGraphicFramePr>
        <xdr:cNvPr id="34" name="Chart 13">
          <a:extLst>
            <a:ext uri="{FF2B5EF4-FFF2-40B4-BE49-F238E27FC236}">
              <a16:creationId xmlns:a16="http://schemas.microsoft.com/office/drawing/2014/main" id="{00000000-0008-0000-0F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254925</xdr:colOff>
      <xdr:row>103</xdr:row>
      <xdr:rowOff>0</xdr:rowOff>
    </xdr:from>
    <xdr:to>
      <xdr:col>20</xdr:col>
      <xdr:colOff>0</xdr:colOff>
      <xdr:row>132</xdr:row>
      <xdr:rowOff>0</xdr:rowOff>
    </xdr:to>
    <xdr:graphicFrame macro="">
      <xdr:nvGraphicFramePr>
        <xdr:cNvPr id="37" name="Chart 13">
          <a:extLst>
            <a:ext uri="{FF2B5EF4-FFF2-40B4-BE49-F238E27FC236}">
              <a16:creationId xmlns:a16="http://schemas.microsoft.com/office/drawing/2014/main" id="{00000000-0008-0000-0F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85725</xdr:colOff>
          <xdr:row>56</xdr:row>
          <xdr:rowOff>161925</xdr:rowOff>
        </xdr:from>
        <xdr:to>
          <xdr:col>35</xdr:col>
          <xdr:colOff>57150</xdr:colOff>
          <xdr:row>58</xdr:row>
          <xdr:rowOff>0</xdr:rowOff>
        </xdr:to>
        <xdr:sp macro="" textlink="">
          <xdr:nvSpPr>
            <xdr:cNvPr id="86040" name="Check Box 24" hidden="1">
              <a:extLst>
                <a:ext uri="{63B3BB69-23CF-44E3-9099-C40C66FF867C}">
                  <a14:compatExt spid="_x0000_s86040"/>
                </a:ext>
                <a:ext uri="{FF2B5EF4-FFF2-40B4-BE49-F238E27FC236}">
                  <a16:creationId xmlns:a16="http://schemas.microsoft.com/office/drawing/2014/main" id="{00000000-0008-0000-1100-00001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0</xdr:colOff>
      <xdr:row>68</xdr:row>
      <xdr:rowOff>0</xdr:rowOff>
    </xdr:from>
    <xdr:to>
      <xdr:col>20</xdr:col>
      <xdr:colOff>0</xdr:colOff>
      <xdr:row>99</xdr:row>
      <xdr:rowOff>0</xdr:rowOff>
    </xdr:to>
    <xdr:graphicFrame macro="">
      <xdr:nvGraphicFramePr>
        <xdr:cNvPr id="40" name="Chart 176">
          <a:extLst>
            <a:ext uri="{FF2B5EF4-FFF2-40B4-BE49-F238E27FC236}">
              <a16:creationId xmlns:a16="http://schemas.microsoft.com/office/drawing/2014/main" id="{00000000-0008-0000-0F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68</xdr:row>
      <xdr:rowOff>0</xdr:rowOff>
    </xdr:from>
    <xdr:to>
      <xdr:col>10</xdr:col>
      <xdr:colOff>0</xdr:colOff>
      <xdr:row>99</xdr:row>
      <xdr:rowOff>0</xdr:rowOff>
    </xdr:to>
    <xdr:graphicFrame macro="">
      <xdr:nvGraphicFramePr>
        <xdr:cNvPr id="41" name="Chart 764">
          <a:extLst>
            <a:ext uri="{FF2B5EF4-FFF2-40B4-BE49-F238E27FC236}">
              <a16:creationId xmlns:a16="http://schemas.microsoft.com/office/drawing/2014/main" id="{00000000-0008-0000-0F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xdr:colOff>
      <xdr:row>36</xdr:row>
      <xdr:rowOff>0</xdr:rowOff>
    </xdr:from>
    <xdr:to>
      <xdr:col>20</xdr:col>
      <xdr:colOff>2</xdr:colOff>
      <xdr:row>59</xdr:row>
      <xdr:rowOff>9526</xdr:rowOff>
    </xdr:to>
    <xdr:graphicFrame macro="">
      <xdr:nvGraphicFramePr>
        <xdr:cNvPr id="49" name="Chart 176">
          <a:extLst>
            <a:ext uri="{FF2B5EF4-FFF2-40B4-BE49-F238E27FC236}">
              <a16:creationId xmlns:a16="http://schemas.microsoft.com/office/drawing/2014/main" id="{00000000-0008-0000-0F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180975</xdr:colOff>
      <xdr:row>60</xdr:row>
      <xdr:rowOff>47625</xdr:rowOff>
    </xdr:from>
    <xdr:to>
      <xdr:col>10</xdr:col>
      <xdr:colOff>257175</xdr:colOff>
      <xdr:row>60</xdr:row>
      <xdr:rowOff>123825</xdr:rowOff>
    </xdr:to>
    <xdr:sp macro="" textlink="">
      <xdr:nvSpPr>
        <xdr:cNvPr id="48" name="Oval 2165">
          <a:extLst>
            <a:ext uri="{FF2B5EF4-FFF2-40B4-BE49-F238E27FC236}">
              <a16:creationId xmlns:a16="http://schemas.microsoft.com/office/drawing/2014/main" id="{00000000-0008-0000-0F00-000030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59</xdr:row>
      <xdr:rowOff>85725</xdr:rowOff>
    </xdr:from>
    <xdr:to>
      <xdr:col>10</xdr:col>
      <xdr:colOff>417150</xdr:colOff>
      <xdr:row>59</xdr:row>
      <xdr:rowOff>85725</xdr:rowOff>
    </xdr:to>
    <xdr:sp macro="" textlink="">
      <xdr:nvSpPr>
        <xdr:cNvPr id="50" name="Line 283">
          <a:extLst>
            <a:ext uri="{FF2B5EF4-FFF2-40B4-BE49-F238E27FC236}">
              <a16:creationId xmlns:a16="http://schemas.microsoft.com/office/drawing/2014/main" id="{00000000-0008-0000-0F00-000032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171450</xdr:colOff>
      <xdr:row>59</xdr:row>
      <xdr:rowOff>57150</xdr:rowOff>
    </xdr:from>
    <xdr:to>
      <xdr:col>15</xdr:col>
      <xdr:colOff>247650</xdr:colOff>
      <xdr:row>59</xdr:row>
      <xdr:rowOff>133350</xdr:rowOff>
    </xdr:to>
    <xdr:sp macro="" textlink="">
      <xdr:nvSpPr>
        <xdr:cNvPr id="51" name="Oval 2164">
          <a:extLst>
            <a:ext uri="{FF2B5EF4-FFF2-40B4-BE49-F238E27FC236}">
              <a16:creationId xmlns:a16="http://schemas.microsoft.com/office/drawing/2014/main" id="{00000000-0008-0000-0F00-000033000000}"/>
            </a:ext>
          </a:extLst>
        </xdr:cNvPr>
        <xdr:cNvSpPr>
          <a:spLocks noChangeArrowheads="1"/>
        </xdr:cNvSpPr>
      </xdr:nvSpPr>
      <xdr:spPr bwMode="auto">
        <a:xfrm>
          <a:off x="7200900" y="1098232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60</xdr:row>
      <xdr:rowOff>85724</xdr:rowOff>
    </xdr:from>
    <xdr:to>
      <xdr:col>15</xdr:col>
      <xdr:colOff>354675</xdr:colOff>
      <xdr:row>60</xdr:row>
      <xdr:rowOff>85724</xdr:rowOff>
    </xdr:to>
    <xdr:sp macro="" textlink="">
      <xdr:nvSpPr>
        <xdr:cNvPr id="52" name="Line 283">
          <a:extLst>
            <a:ext uri="{FF2B5EF4-FFF2-40B4-BE49-F238E27FC236}">
              <a16:creationId xmlns:a16="http://schemas.microsoft.com/office/drawing/2014/main" id="{00000000-0008-0000-0F00-000034000000}"/>
            </a:ext>
          </a:extLst>
        </xdr:cNvPr>
        <xdr:cNvSpPr>
          <a:spLocks noChangeShapeType="1"/>
        </xdr:cNvSpPr>
      </xdr:nvSpPr>
      <xdr:spPr bwMode="auto">
        <a:xfrm>
          <a:off x="7096125" y="11191874"/>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136</xdr:row>
      <xdr:rowOff>0</xdr:rowOff>
    </xdr:from>
    <xdr:to>
      <xdr:col>19</xdr:col>
      <xdr:colOff>95250</xdr:colOff>
      <xdr:row>171</xdr:row>
      <xdr:rowOff>47625</xdr:rowOff>
    </xdr:to>
    <xdr:grpSp>
      <xdr:nvGrpSpPr>
        <xdr:cNvPr id="8" name="Group 7">
          <a:extLst>
            <a:ext uri="{FF2B5EF4-FFF2-40B4-BE49-F238E27FC236}">
              <a16:creationId xmlns:a16="http://schemas.microsoft.com/office/drawing/2014/main" id="{81720E91-AB6B-4FC5-A873-5C2AB17C10FF}"/>
            </a:ext>
          </a:extLst>
        </xdr:cNvPr>
        <xdr:cNvGrpSpPr/>
      </xdr:nvGrpSpPr>
      <xdr:grpSpPr>
        <a:xfrm>
          <a:off x="120396" y="26289000"/>
          <a:ext cx="8950452" cy="4899660"/>
          <a:chOff x="95250" y="95250"/>
          <a:chExt cx="7534275" cy="5048250"/>
        </a:xfrm>
      </xdr:grpSpPr>
      <xdr:sp macro="" textlink="">
        <xdr:nvSpPr>
          <xdr:cNvPr id="9" name="Rectangle 8">
            <a:extLst>
              <a:ext uri="{FF2B5EF4-FFF2-40B4-BE49-F238E27FC236}">
                <a16:creationId xmlns:a16="http://schemas.microsoft.com/office/drawing/2014/main" id="{DA57EB53-86D9-68C6-BAD2-E0195D2D7A3D}"/>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12" name="Rectangle: Rounded Corners 11">
            <a:hlinkClick xmlns:r="http://schemas.openxmlformats.org/officeDocument/2006/relationships" r:id="rId8"/>
            <a:extLst>
              <a:ext uri="{FF2B5EF4-FFF2-40B4-BE49-F238E27FC236}">
                <a16:creationId xmlns:a16="http://schemas.microsoft.com/office/drawing/2014/main" id="{5E9C0FCD-8088-1EDB-18CB-242DA6B6ACE1}"/>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13" name="Rectangle: Rounded Corners 12">
            <a:hlinkClick xmlns:r="http://schemas.openxmlformats.org/officeDocument/2006/relationships" r:id="rId9"/>
            <a:extLst>
              <a:ext uri="{FF2B5EF4-FFF2-40B4-BE49-F238E27FC236}">
                <a16:creationId xmlns:a16="http://schemas.microsoft.com/office/drawing/2014/main" id="{54D29D96-50F1-9879-5885-32CB73085806}"/>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14" name="Rectangle: Rounded Corners 13">
            <a:hlinkClick xmlns:r="http://schemas.openxmlformats.org/officeDocument/2006/relationships" r:id="rId10"/>
            <a:extLst>
              <a:ext uri="{FF2B5EF4-FFF2-40B4-BE49-F238E27FC236}">
                <a16:creationId xmlns:a16="http://schemas.microsoft.com/office/drawing/2014/main" id="{127D89E4-8F64-3F6B-1F98-015F3AB95EE0}"/>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15" name="Rectangle: Rounded Corners 14">
            <a:hlinkClick xmlns:r="http://schemas.openxmlformats.org/officeDocument/2006/relationships" r:id="rId11"/>
            <a:extLst>
              <a:ext uri="{FF2B5EF4-FFF2-40B4-BE49-F238E27FC236}">
                <a16:creationId xmlns:a16="http://schemas.microsoft.com/office/drawing/2014/main" id="{55E0DF01-D5CF-152B-A8DE-F4F4609A5275}"/>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16" name="Rectangle: Rounded Corners 15">
            <a:hlinkClick xmlns:r="http://schemas.openxmlformats.org/officeDocument/2006/relationships" r:id="rId12"/>
            <a:extLst>
              <a:ext uri="{FF2B5EF4-FFF2-40B4-BE49-F238E27FC236}">
                <a16:creationId xmlns:a16="http://schemas.microsoft.com/office/drawing/2014/main" id="{BB7F85E2-3F06-7B75-69F0-A3D1F4B62D94}"/>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17" name="Rectangle: Rounded Corners 16">
            <a:hlinkClick xmlns:r="http://schemas.openxmlformats.org/officeDocument/2006/relationships" r:id="rId13"/>
            <a:extLst>
              <a:ext uri="{FF2B5EF4-FFF2-40B4-BE49-F238E27FC236}">
                <a16:creationId xmlns:a16="http://schemas.microsoft.com/office/drawing/2014/main" id="{52D0114C-280A-21A8-1299-BFA7ED25EAF9}"/>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18" name="Rectangle: Rounded Corners 17">
            <a:hlinkClick xmlns:r="http://schemas.openxmlformats.org/officeDocument/2006/relationships" r:id="rId14"/>
            <a:extLst>
              <a:ext uri="{FF2B5EF4-FFF2-40B4-BE49-F238E27FC236}">
                <a16:creationId xmlns:a16="http://schemas.microsoft.com/office/drawing/2014/main" id="{56B3C3FA-43D6-1ED0-17E9-2405C58C8AAE}"/>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19" name="Rectangle: Rounded Corners 18">
            <a:hlinkClick xmlns:r="http://schemas.openxmlformats.org/officeDocument/2006/relationships" r:id="rId15"/>
            <a:extLst>
              <a:ext uri="{FF2B5EF4-FFF2-40B4-BE49-F238E27FC236}">
                <a16:creationId xmlns:a16="http://schemas.microsoft.com/office/drawing/2014/main" id="{2D8FE73C-1236-9B84-7044-09FDA7813C59}"/>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20" name="Rectangle: Rounded Corners 19">
            <a:hlinkClick xmlns:r="http://schemas.openxmlformats.org/officeDocument/2006/relationships" r:id="rId16"/>
            <a:extLst>
              <a:ext uri="{FF2B5EF4-FFF2-40B4-BE49-F238E27FC236}">
                <a16:creationId xmlns:a16="http://schemas.microsoft.com/office/drawing/2014/main" id="{847E6F2E-B8F1-F42B-B9EC-F3AE4609A09D}"/>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21" name="Group 20">
            <a:hlinkClick xmlns:r="http://schemas.openxmlformats.org/officeDocument/2006/relationships" r:id="rId17"/>
            <a:extLst>
              <a:ext uri="{FF2B5EF4-FFF2-40B4-BE49-F238E27FC236}">
                <a16:creationId xmlns:a16="http://schemas.microsoft.com/office/drawing/2014/main" id="{08CF5A40-750E-F5B4-B7C0-FA9B18386EF2}"/>
              </a:ext>
            </a:extLst>
          </xdr:cNvPr>
          <xdr:cNvGrpSpPr/>
        </xdr:nvGrpSpPr>
        <xdr:grpSpPr>
          <a:xfrm>
            <a:off x="190500" y="723900"/>
            <a:ext cx="1695450" cy="723900"/>
            <a:chOff x="190500" y="180975"/>
            <a:chExt cx="1800225" cy="723900"/>
          </a:xfrm>
        </xdr:grpSpPr>
        <xdr:sp macro="" textlink="">
          <xdr:nvSpPr>
            <xdr:cNvPr id="35" name="Rectangle: Rounded Corners 34">
              <a:hlinkClick xmlns:r="http://schemas.openxmlformats.org/officeDocument/2006/relationships" r:id="rId17"/>
              <a:extLst>
                <a:ext uri="{FF2B5EF4-FFF2-40B4-BE49-F238E27FC236}">
                  <a16:creationId xmlns:a16="http://schemas.microsoft.com/office/drawing/2014/main" id="{8468521C-9A93-4241-21E3-06866516CF2E}"/>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36" name="Picture 35">
              <a:extLst>
                <a:ext uri="{FF2B5EF4-FFF2-40B4-BE49-F238E27FC236}">
                  <a16:creationId xmlns:a16="http://schemas.microsoft.com/office/drawing/2014/main" id="{5F938143-4130-AE77-2BF8-10B6792CD1A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22" name="Rectangle: Rounded Corners 21">
            <a:hlinkClick xmlns:r="http://schemas.openxmlformats.org/officeDocument/2006/relationships" r:id="rId19"/>
            <a:extLst>
              <a:ext uri="{FF2B5EF4-FFF2-40B4-BE49-F238E27FC236}">
                <a16:creationId xmlns:a16="http://schemas.microsoft.com/office/drawing/2014/main" id="{4CC4FF37-1879-EF83-FB57-5F74E72D2F97}"/>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23" name="Rectangle: Rounded Corners 22">
            <a:hlinkClick xmlns:r="http://schemas.openxmlformats.org/officeDocument/2006/relationships" r:id="rId20"/>
            <a:extLst>
              <a:ext uri="{FF2B5EF4-FFF2-40B4-BE49-F238E27FC236}">
                <a16:creationId xmlns:a16="http://schemas.microsoft.com/office/drawing/2014/main" id="{2C2766F0-B302-2CF2-D841-A4CCBA5609FA}"/>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24" name="Rectangle: Rounded Corners 23">
            <a:hlinkClick xmlns:r="http://schemas.openxmlformats.org/officeDocument/2006/relationships" r:id="rId21"/>
            <a:extLst>
              <a:ext uri="{FF2B5EF4-FFF2-40B4-BE49-F238E27FC236}">
                <a16:creationId xmlns:a16="http://schemas.microsoft.com/office/drawing/2014/main" id="{52B8B49B-463A-C2CD-1460-77619478B6A2}"/>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25" name="Rectangle: Rounded Corners 24">
            <a:hlinkClick xmlns:r="http://schemas.openxmlformats.org/officeDocument/2006/relationships" r:id="rId22"/>
            <a:extLst>
              <a:ext uri="{FF2B5EF4-FFF2-40B4-BE49-F238E27FC236}">
                <a16:creationId xmlns:a16="http://schemas.microsoft.com/office/drawing/2014/main" id="{E65E1C55-3712-7E74-72EB-41D3824F31D2}"/>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26" name="Rectangle: Rounded Corners 25">
            <a:hlinkClick xmlns:r="http://schemas.openxmlformats.org/officeDocument/2006/relationships" r:id="rId23"/>
            <a:extLst>
              <a:ext uri="{FF2B5EF4-FFF2-40B4-BE49-F238E27FC236}">
                <a16:creationId xmlns:a16="http://schemas.microsoft.com/office/drawing/2014/main" id="{504D8043-2657-C2E4-73B2-193AFE48ED9A}"/>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27" name="Rectangle: Rounded Corners 26">
            <a:hlinkClick xmlns:r="http://schemas.openxmlformats.org/officeDocument/2006/relationships" r:id="rId24"/>
            <a:extLst>
              <a:ext uri="{FF2B5EF4-FFF2-40B4-BE49-F238E27FC236}">
                <a16:creationId xmlns:a16="http://schemas.microsoft.com/office/drawing/2014/main" id="{C702153D-8D66-9058-03E0-6144DDE0FE1D}"/>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28" name="Rectangle: Rounded Corners 27">
            <a:hlinkClick xmlns:r="http://schemas.openxmlformats.org/officeDocument/2006/relationships" r:id="rId25"/>
            <a:extLst>
              <a:ext uri="{FF2B5EF4-FFF2-40B4-BE49-F238E27FC236}">
                <a16:creationId xmlns:a16="http://schemas.microsoft.com/office/drawing/2014/main" id="{9C104210-010A-9ED2-7739-1E79E7B5F29F}"/>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29" name="Rectangle: Rounded Corners 28">
            <a:hlinkClick xmlns:r="http://schemas.openxmlformats.org/officeDocument/2006/relationships" r:id="rId26"/>
            <a:extLst>
              <a:ext uri="{FF2B5EF4-FFF2-40B4-BE49-F238E27FC236}">
                <a16:creationId xmlns:a16="http://schemas.microsoft.com/office/drawing/2014/main" id="{98AB6368-01CF-DF0C-63EB-60A803E1E925}"/>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30" name="Rectangle: Rounded Corners 29">
            <a:hlinkClick xmlns:r="http://schemas.openxmlformats.org/officeDocument/2006/relationships" r:id="rId27"/>
            <a:extLst>
              <a:ext uri="{FF2B5EF4-FFF2-40B4-BE49-F238E27FC236}">
                <a16:creationId xmlns:a16="http://schemas.microsoft.com/office/drawing/2014/main" id="{030D53D2-25D5-B906-DBDA-1F83AEB72BBB}"/>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31" name="Rectangle: Rounded Corners 30">
            <a:hlinkClick xmlns:r="http://schemas.openxmlformats.org/officeDocument/2006/relationships" r:id="rId28"/>
            <a:extLst>
              <a:ext uri="{FF2B5EF4-FFF2-40B4-BE49-F238E27FC236}">
                <a16:creationId xmlns:a16="http://schemas.microsoft.com/office/drawing/2014/main" id="{D4D53ED8-3683-445A-CAF4-9D3959EB9666}"/>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32" name="TextBox 31">
            <a:extLst>
              <a:ext uri="{FF2B5EF4-FFF2-40B4-BE49-F238E27FC236}">
                <a16:creationId xmlns:a16="http://schemas.microsoft.com/office/drawing/2014/main" id="{616F1BD5-96C8-B93C-DB8D-89C64315F0E5}"/>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86050" name="Group 86049">
          <a:hlinkClick xmlns:r="http://schemas.openxmlformats.org/officeDocument/2006/relationships" r:id="rId17"/>
          <a:extLst>
            <a:ext uri="{FF2B5EF4-FFF2-40B4-BE49-F238E27FC236}">
              <a16:creationId xmlns:a16="http://schemas.microsoft.com/office/drawing/2014/main" id="{BFAD6D18-0F57-439D-AD81-6724B8F63566}"/>
            </a:ext>
          </a:extLst>
        </xdr:cNvPr>
        <xdr:cNvGrpSpPr/>
      </xdr:nvGrpSpPr>
      <xdr:grpSpPr>
        <a:xfrm>
          <a:off x="9691116" y="0"/>
          <a:ext cx="411480" cy="1685544"/>
          <a:chOff x="9210675" y="19050"/>
          <a:chExt cx="390525" cy="1743075"/>
        </a:xfrm>
      </xdr:grpSpPr>
      <xdr:pic>
        <xdr:nvPicPr>
          <xdr:cNvPr id="86051" name="Graphic 86050" descr="Map compass with solid fill">
            <a:hlinkClick xmlns:r="http://schemas.openxmlformats.org/officeDocument/2006/relationships" r:id="rId29"/>
            <a:extLst>
              <a:ext uri="{FF2B5EF4-FFF2-40B4-BE49-F238E27FC236}">
                <a16:creationId xmlns:a16="http://schemas.microsoft.com/office/drawing/2014/main" id="{C947F9CC-E2CE-EFCF-E82C-FE7E18870B1A}"/>
              </a:ext>
            </a:extLst>
          </xdr:cNvPr>
          <xdr:cNvPicPr>
            <a:picLocks noChangeAspect="1"/>
          </xdr:cNvPicPr>
        </xdr:nvPicPr>
        <xdr:blipFill>
          <a:blip xmlns:r="http://schemas.openxmlformats.org/officeDocument/2006/relationships" r:embed="rId30">
            <a:duotone>
              <a:schemeClr val="accent6">
                <a:shade val="45000"/>
                <a:satMod val="135000"/>
              </a:schemeClr>
              <a:prstClr val="white"/>
            </a:duotone>
            <a:extLst>
              <a:ext uri="{96DAC541-7B7A-43D3-8B79-37D633B846F1}">
                <asvg:svgBlip xmlns:asvg="http://schemas.microsoft.com/office/drawing/2016/SVG/main" r:embed="rId31"/>
              </a:ext>
            </a:extLst>
          </a:blip>
          <a:stretch>
            <a:fillRect/>
          </a:stretch>
        </xdr:blipFill>
        <xdr:spPr>
          <a:xfrm>
            <a:off x="9229725" y="38099"/>
            <a:ext cx="369675" cy="369675"/>
          </a:xfrm>
          <a:prstGeom prst="rect">
            <a:avLst/>
          </a:prstGeom>
        </xdr:spPr>
      </xdr:pic>
      <xdr:sp macro="" textlink="">
        <xdr:nvSpPr>
          <xdr:cNvPr id="86052" name="Right Arrow 50">
            <a:hlinkClick xmlns:r="http://schemas.openxmlformats.org/officeDocument/2006/relationships" r:id="rId13"/>
            <a:extLst>
              <a:ext uri="{FF2B5EF4-FFF2-40B4-BE49-F238E27FC236}">
                <a16:creationId xmlns:a16="http://schemas.microsoft.com/office/drawing/2014/main" id="{DBDCB5A4-78A3-1598-B9FA-A507BA2649EA}"/>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86053" name="Right Arrow 50">
            <a:hlinkClick xmlns:r="http://schemas.openxmlformats.org/officeDocument/2006/relationships" r:id="rId15"/>
            <a:extLst>
              <a:ext uri="{FF2B5EF4-FFF2-40B4-BE49-F238E27FC236}">
                <a16:creationId xmlns:a16="http://schemas.microsoft.com/office/drawing/2014/main" id="{7820ECC1-68FE-20D5-9C5A-70D726DC6659}"/>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86054" name="Picture 86053">
            <a:hlinkClick xmlns:r="http://schemas.openxmlformats.org/officeDocument/2006/relationships" r:id="rId17"/>
            <a:extLst>
              <a:ext uri="{FF2B5EF4-FFF2-40B4-BE49-F238E27FC236}">
                <a16:creationId xmlns:a16="http://schemas.microsoft.com/office/drawing/2014/main" id="{C9DF31FF-9008-80A6-50EF-3A6501EB93E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86055" name="Rectangle 86054">
            <a:extLst>
              <a:ext uri="{FF2B5EF4-FFF2-40B4-BE49-F238E27FC236}">
                <a16:creationId xmlns:a16="http://schemas.microsoft.com/office/drawing/2014/main" id="{8FC5087F-BB13-D1D3-CABB-633DDBCD0B4A}"/>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133</xdr:row>
      <xdr:rowOff>0</xdr:rowOff>
    </xdr:from>
    <xdr:ext cx="252000" cy="288000"/>
    <xdr:sp macro="" textlink="">
      <xdr:nvSpPr>
        <xdr:cNvPr id="4" name="Down Arrow 44">
          <a:hlinkClick xmlns:r="http://schemas.openxmlformats.org/officeDocument/2006/relationships" r:id="rId14"/>
          <a:extLst>
            <a:ext uri="{FF2B5EF4-FFF2-40B4-BE49-F238E27FC236}">
              <a16:creationId xmlns:a16="http://schemas.microsoft.com/office/drawing/2014/main" id="{6ADCA01C-16F2-4D29-B546-EB1C45401A91}"/>
            </a:ext>
          </a:extLst>
        </xdr:cNvPr>
        <xdr:cNvSpPr>
          <a:spLocks noChangeArrowheads="1"/>
        </xdr:cNvSpPr>
      </xdr:nvSpPr>
      <xdr:spPr bwMode="auto">
        <a:xfrm flipV="1">
          <a:off x="9286874" y="64198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100</xdr:row>
      <xdr:rowOff>0</xdr:rowOff>
    </xdr:from>
    <xdr:ext cx="252000" cy="288000"/>
    <xdr:sp macro="" textlink="">
      <xdr:nvSpPr>
        <xdr:cNvPr id="5" name="Down Arrow 44">
          <a:hlinkClick xmlns:r="http://schemas.openxmlformats.org/officeDocument/2006/relationships" r:id="rId14"/>
          <a:extLst>
            <a:ext uri="{FF2B5EF4-FFF2-40B4-BE49-F238E27FC236}">
              <a16:creationId xmlns:a16="http://schemas.microsoft.com/office/drawing/2014/main" id="{C1F5C155-F637-4C12-8AAE-178127C098CE}"/>
            </a:ext>
          </a:extLst>
        </xdr:cNvPr>
        <xdr:cNvSpPr>
          <a:spLocks noChangeArrowheads="1"/>
        </xdr:cNvSpPr>
      </xdr:nvSpPr>
      <xdr:spPr bwMode="auto">
        <a:xfrm flipV="1">
          <a:off x="9286874" y="64198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65</xdr:row>
      <xdr:rowOff>0</xdr:rowOff>
    </xdr:from>
    <xdr:ext cx="252000" cy="288000"/>
    <xdr:sp macro="" textlink="">
      <xdr:nvSpPr>
        <xdr:cNvPr id="7" name="Down Arrow 44">
          <a:hlinkClick xmlns:r="http://schemas.openxmlformats.org/officeDocument/2006/relationships" r:id="rId14"/>
          <a:extLst>
            <a:ext uri="{FF2B5EF4-FFF2-40B4-BE49-F238E27FC236}">
              <a16:creationId xmlns:a16="http://schemas.microsoft.com/office/drawing/2014/main" id="{11182028-12DC-4EE1-86B1-B371CFB63DAB}"/>
            </a:ext>
          </a:extLst>
        </xdr:cNvPr>
        <xdr:cNvSpPr>
          <a:spLocks noChangeArrowheads="1"/>
        </xdr:cNvSpPr>
      </xdr:nvSpPr>
      <xdr:spPr bwMode="auto">
        <a:xfrm flipV="1">
          <a:off x="9286874" y="64198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33</xdr:row>
      <xdr:rowOff>38100</xdr:rowOff>
    </xdr:from>
    <xdr:ext cx="252000" cy="288000"/>
    <xdr:sp macro="" textlink="">
      <xdr:nvSpPr>
        <xdr:cNvPr id="38" name="Down Arrow 44">
          <a:hlinkClick xmlns:r="http://schemas.openxmlformats.org/officeDocument/2006/relationships" r:id="rId14"/>
          <a:extLst>
            <a:ext uri="{FF2B5EF4-FFF2-40B4-BE49-F238E27FC236}">
              <a16:creationId xmlns:a16="http://schemas.microsoft.com/office/drawing/2014/main" id="{9EF6D5D8-C781-4C72-89C1-D12AEA0C579F}"/>
            </a:ext>
          </a:extLst>
        </xdr:cNvPr>
        <xdr:cNvSpPr>
          <a:spLocks noChangeArrowheads="1"/>
        </xdr:cNvSpPr>
      </xdr:nvSpPr>
      <xdr:spPr bwMode="auto">
        <a:xfrm flipV="1">
          <a:off x="9286874" y="64579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12.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65</xdr:row>
      <xdr:rowOff>0</xdr:rowOff>
    </xdr:to>
    <xdr:graphicFrame macro="">
      <xdr:nvGraphicFramePr>
        <xdr:cNvPr id="6" name="Chart 13">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400047</xdr:colOff>
      <xdr:row>0</xdr:row>
      <xdr:rowOff>85725</xdr:rowOff>
    </xdr:from>
    <xdr:to>
      <xdr:col>20</xdr:col>
      <xdr:colOff>35922</xdr:colOff>
      <xdr:row>2</xdr:row>
      <xdr:rowOff>149475</xdr:rowOff>
    </xdr:to>
    <xdr:sp macro="" textlink="">
      <xdr:nvSpPr>
        <xdr:cNvPr id="10" name="AutoShape 32">
          <a:extLst>
            <a:ext uri="{FF2B5EF4-FFF2-40B4-BE49-F238E27FC236}">
              <a16:creationId xmlns:a16="http://schemas.microsoft.com/office/drawing/2014/main" id="{00000000-0008-0000-1000-00000A000000}"/>
            </a:ext>
          </a:extLst>
        </xdr:cNvPr>
        <xdr:cNvSpPr>
          <a:spLocks noChangeArrowheads="1"/>
        </xdr:cNvSpPr>
      </xdr:nvSpPr>
      <xdr:spPr bwMode="auto">
        <a:xfrm>
          <a:off x="6953247"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1</xdr:colOff>
      <xdr:row>62</xdr:row>
      <xdr:rowOff>0</xdr:rowOff>
    </xdr:from>
    <xdr:to>
      <xdr:col>20</xdr:col>
      <xdr:colOff>2</xdr:colOff>
      <xdr:row>65</xdr:row>
      <xdr:rowOff>0</xdr:rowOff>
    </xdr:to>
    <xdr:graphicFrame macro="">
      <xdr:nvGraphicFramePr>
        <xdr:cNvPr id="11" name="Chart 13">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104775</xdr:colOff>
          <xdr:row>36</xdr:row>
          <xdr:rowOff>19050</xdr:rowOff>
        </xdr:from>
        <xdr:to>
          <xdr:col>35</xdr:col>
          <xdr:colOff>76200</xdr:colOff>
          <xdr:row>38</xdr:row>
          <xdr:rowOff>0</xdr:rowOff>
        </xdr:to>
        <xdr:sp macro="" textlink="">
          <xdr:nvSpPr>
            <xdr:cNvPr id="87041" name="Check Box 1" hidden="1">
              <a:extLst>
                <a:ext uri="{63B3BB69-23CF-44E3-9099-C40C66FF867C}">
                  <a14:compatExt spid="_x0000_s87041"/>
                </a:ext>
                <a:ext uri="{FF2B5EF4-FFF2-40B4-BE49-F238E27FC236}">
                  <a16:creationId xmlns:a16="http://schemas.microsoft.com/office/drawing/2014/main" id="{00000000-0008-0000-1200-00000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37</xdr:row>
          <xdr:rowOff>142875</xdr:rowOff>
        </xdr:from>
        <xdr:to>
          <xdr:col>35</xdr:col>
          <xdr:colOff>76200</xdr:colOff>
          <xdr:row>39</xdr:row>
          <xdr:rowOff>0</xdr:rowOff>
        </xdr:to>
        <xdr:sp macro="" textlink="">
          <xdr:nvSpPr>
            <xdr:cNvPr id="87042" name="Check Box 2" hidden="1">
              <a:extLst>
                <a:ext uri="{63B3BB69-23CF-44E3-9099-C40C66FF867C}">
                  <a14:compatExt spid="_x0000_s87042"/>
                </a:ext>
                <a:ext uri="{FF2B5EF4-FFF2-40B4-BE49-F238E27FC236}">
                  <a16:creationId xmlns:a16="http://schemas.microsoft.com/office/drawing/2014/main" id="{00000000-0008-0000-1200-00000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38</xdr:row>
          <xdr:rowOff>142875</xdr:rowOff>
        </xdr:from>
        <xdr:to>
          <xdr:col>35</xdr:col>
          <xdr:colOff>76200</xdr:colOff>
          <xdr:row>40</xdr:row>
          <xdr:rowOff>0</xdr:rowOff>
        </xdr:to>
        <xdr:sp macro="" textlink="">
          <xdr:nvSpPr>
            <xdr:cNvPr id="87043" name="Check Box 3" hidden="1">
              <a:extLst>
                <a:ext uri="{63B3BB69-23CF-44E3-9099-C40C66FF867C}">
                  <a14:compatExt spid="_x0000_s87043"/>
                </a:ext>
                <a:ext uri="{FF2B5EF4-FFF2-40B4-BE49-F238E27FC236}">
                  <a16:creationId xmlns:a16="http://schemas.microsoft.com/office/drawing/2014/main" id="{00000000-0008-0000-1200-00000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39</xdr:row>
          <xdr:rowOff>142875</xdr:rowOff>
        </xdr:from>
        <xdr:to>
          <xdr:col>35</xdr:col>
          <xdr:colOff>76200</xdr:colOff>
          <xdr:row>41</xdr:row>
          <xdr:rowOff>0</xdr:rowOff>
        </xdr:to>
        <xdr:sp macro="" textlink="">
          <xdr:nvSpPr>
            <xdr:cNvPr id="87044" name="Check Box 4" hidden="1">
              <a:extLst>
                <a:ext uri="{63B3BB69-23CF-44E3-9099-C40C66FF867C}">
                  <a14:compatExt spid="_x0000_s87044"/>
                </a:ext>
                <a:ext uri="{FF2B5EF4-FFF2-40B4-BE49-F238E27FC236}">
                  <a16:creationId xmlns:a16="http://schemas.microsoft.com/office/drawing/2014/main" id="{00000000-0008-0000-1200-00000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40</xdr:row>
          <xdr:rowOff>142875</xdr:rowOff>
        </xdr:from>
        <xdr:to>
          <xdr:col>35</xdr:col>
          <xdr:colOff>76200</xdr:colOff>
          <xdr:row>42</xdr:row>
          <xdr:rowOff>0</xdr:rowOff>
        </xdr:to>
        <xdr:sp macro="" textlink="">
          <xdr:nvSpPr>
            <xdr:cNvPr id="87045" name="Check Box 5" hidden="1">
              <a:extLst>
                <a:ext uri="{63B3BB69-23CF-44E3-9099-C40C66FF867C}">
                  <a14:compatExt spid="_x0000_s87045"/>
                </a:ext>
                <a:ext uri="{FF2B5EF4-FFF2-40B4-BE49-F238E27FC236}">
                  <a16:creationId xmlns:a16="http://schemas.microsoft.com/office/drawing/2014/main" id="{00000000-0008-0000-1200-00000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41</xdr:row>
          <xdr:rowOff>142875</xdr:rowOff>
        </xdr:from>
        <xdr:to>
          <xdr:col>35</xdr:col>
          <xdr:colOff>76200</xdr:colOff>
          <xdr:row>43</xdr:row>
          <xdr:rowOff>0</xdr:rowOff>
        </xdr:to>
        <xdr:sp macro="" textlink="">
          <xdr:nvSpPr>
            <xdr:cNvPr id="87046" name="Check Box 6" hidden="1">
              <a:extLst>
                <a:ext uri="{63B3BB69-23CF-44E3-9099-C40C66FF867C}">
                  <a14:compatExt spid="_x0000_s87046"/>
                </a:ext>
                <a:ext uri="{FF2B5EF4-FFF2-40B4-BE49-F238E27FC236}">
                  <a16:creationId xmlns:a16="http://schemas.microsoft.com/office/drawing/2014/main" id="{00000000-0008-0000-1200-00000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42</xdr:row>
          <xdr:rowOff>142875</xdr:rowOff>
        </xdr:from>
        <xdr:to>
          <xdr:col>35</xdr:col>
          <xdr:colOff>76200</xdr:colOff>
          <xdr:row>44</xdr:row>
          <xdr:rowOff>0</xdr:rowOff>
        </xdr:to>
        <xdr:sp macro="" textlink="">
          <xdr:nvSpPr>
            <xdr:cNvPr id="87047" name="Check Box 7" hidden="1">
              <a:extLst>
                <a:ext uri="{63B3BB69-23CF-44E3-9099-C40C66FF867C}">
                  <a14:compatExt spid="_x0000_s87047"/>
                </a:ext>
                <a:ext uri="{FF2B5EF4-FFF2-40B4-BE49-F238E27FC236}">
                  <a16:creationId xmlns:a16="http://schemas.microsoft.com/office/drawing/2014/main" id="{00000000-0008-0000-1200-00000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43</xdr:row>
          <xdr:rowOff>142875</xdr:rowOff>
        </xdr:from>
        <xdr:to>
          <xdr:col>35</xdr:col>
          <xdr:colOff>76200</xdr:colOff>
          <xdr:row>45</xdr:row>
          <xdr:rowOff>0</xdr:rowOff>
        </xdr:to>
        <xdr:sp macro="" textlink="">
          <xdr:nvSpPr>
            <xdr:cNvPr id="87048" name="Check Box 8" hidden="1">
              <a:extLst>
                <a:ext uri="{63B3BB69-23CF-44E3-9099-C40C66FF867C}">
                  <a14:compatExt spid="_x0000_s87048"/>
                </a:ext>
                <a:ext uri="{FF2B5EF4-FFF2-40B4-BE49-F238E27FC236}">
                  <a16:creationId xmlns:a16="http://schemas.microsoft.com/office/drawing/2014/main" id="{00000000-0008-0000-1200-00000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44</xdr:row>
          <xdr:rowOff>142875</xdr:rowOff>
        </xdr:from>
        <xdr:to>
          <xdr:col>35</xdr:col>
          <xdr:colOff>76200</xdr:colOff>
          <xdr:row>46</xdr:row>
          <xdr:rowOff>0</xdr:rowOff>
        </xdr:to>
        <xdr:sp macro="" textlink="">
          <xdr:nvSpPr>
            <xdr:cNvPr id="87049" name="Check Box 9" hidden="1">
              <a:extLst>
                <a:ext uri="{63B3BB69-23CF-44E3-9099-C40C66FF867C}">
                  <a14:compatExt spid="_x0000_s87049"/>
                </a:ext>
                <a:ext uri="{FF2B5EF4-FFF2-40B4-BE49-F238E27FC236}">
                  <a16:creationId xmlns:a16="http://schemas.microsoft.com/office/drawing/2014/main" id="{00000000-0008-0000-1200-000009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45</xdr:row>
          <xdr:rowOff>142875</xdr:rowOff>
        </xdr:from>
        <xdr:to>
          <xdr:col>35</xdr:col>
          <xdr:colOff>76200</xdr:colOff>
          <xdr:row>47</xdr:row>
          <xdr:rowOff>0</xdr:rowOff>
        </xdr:to>
        <xdr:sp macro="" textlink="">
          <xdr:nvSpPr>
            <xdr:cNvPr id="87050" name="Check Box 10" hidden="1">
              <a:extLst>
                <a:ext uri="{63B3BB69-23CF-44E3-9099-C40C66FF867C}">
                  <a14:compatExt spid="_x0000_s87050"/>
                </a:ext>
                <a:ext uri="{FF2B5EF4-FFF2-40B4-BE49-F238E27FC236}">
                  <a16:creationId xmlns:a16="http://schemas.microsoft.com/office/drawing/2014/main" id="{00000000-0008-0000-1200-00000A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46</xdr:row>
          <xdr:rowOff>142875</xdr:rowOff>
        </xdr:from>
        <xdr:to>
          <xdr:col>35</xdr:col>
          <xdr:colOff>76200</xdr:colOff>
          <xdr:row>48</xdr:row>
          <xdr:rowOff>0</xdr:rowOff>
        </xdr:to>
        <xdr:sp macro="" textlink="">
          <xdr:nvSpPr>
            <xdr:cNvPr id="87051" name="Check Box 11" hidden="1">
              <a:extLst>
                <a:ext uri="{63B3BB69-23CF-44E3-9099-C40C66FF867C}">
                  <a14:compatExt spid="_x0000_s87051"/>
                </a:ext>
                <a:ext uri="{FF2B5EF4-FFF2-40B4-BE49-F238E27FC236}">
                  <a16:creationId xmlns:a16="http://schemas.microsoft.com/office/drawing/2014/main" id="{00000000-0008-0000-1200-00000B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47</xdr:row>
          <xdr:rowOff>142875</xdr:rowOff>
        </xdr:from>
        <xdr:to>
          <xdr:col>35</xdr:col>
          <xdr:colOff>76200</xdr:colOff>
          <xdr:row>49</xdr:row>
          <xdr:rowOff>0</xdr:rowOff>
        </xdr:to>
        <xdr:sp macro="" textlink="">
          <xdr:nvSpPr>
            <xdr:cNvPr id="87052" name="Check Box 12" hidden="1">
              <a:extLst>
                <a:ext uri="{63B3BB69-23CF-44E3-9099-C40C66FF867C}">
                  <a14:compatExt spid="_x0000_s87052"/>
                </a:ext>
                <a:ext uri="{FF2B5EF4-FFF2-40B4-BE49-F238E27FC236}">
                  <a16:creationId xmlns:a16="http://schemas.microsoft.com/office/drawing/2014/main" id="{00000000-0008-0000-1200-00000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48</xdr:row>
          <xdr:rowOff>142875</xdr:rowOff>
        </xdr:from>
        <xdr:to>
          <xdr:col>35</xdr:col>
          <xdr:colOff>76200</xdr:colOff>
          <xdr:row>50</xdr:row>
          <xdr:rowOff>0</xdr:rowOff>
        </xdr:to>
        <xdr:sp macro="" textlink="">
          <xdr:nvSpPr>
            <xdr:cNvPr id="87053" name="Check Box 13" hidden="1">
              <a:extLst>
                <a:ext uri="{63B3BB69-23CF-44E3-9099-C40C66FF867C}">
                  <a14:compatExt spid="_x0000_s87053"/>
                </a:ext>
                <a:ext uri="{FF2B5EF4-FFF2-40B4-BE49-F238E27FC236}">
                  <a16:creationId xmlns:a16="http://schemas.microsoft.com/office/drawing/2014/main" id="{00000000-0008-0000-1200-00000D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49</xdr:row>
          <xdr:rowOff>142875</xdr:rowOff>
        </xdr:from>
        <xdr:to>
          <xdr:col>35</xdr:col>
          <xdr:colOff>76200</xdr:colOff>
          <xdr:row>51</xdr:row>
          <xdr:rowOff>0</xdr:rowOff>
        </xdr:to>
        <xdr:sp macro="" textlink="">
          <xdr:nvSpPr>
            <xdr:cNvPr id="87055" name="Check Box 15" hidden="1">
              <a:extLst>
                <a:ext uri="{63B3BB69-23CF-44E3-9099-C40C66FF867C}">
                  <a14:compatExt spid="_x0000_s87055"/>
                </a:ext>
                <a:ext uri="{FF2B5EF4-FFF2-40B4-BE49-F238E27FC236}">
                  <a16:creationId xmlns:a16="http://schemas.microsoft.com/office/drawing/2014/main" id="{00000000-0008-0000-1200-00000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50</xdr:row>
          <xdr:rowOff>142875</xdr:rowOff>
        </xdr:from>
        <xdr:to>
          <xdr:col>35</xdr:col>
          <xdr:colOff>76200</xdr:colOff>
          <xdr:row>52</xdr:row>
          <xdr:rowOff>0</xdr:rowOff>
        </xdr:to>
        <xdr:sp macro="" textlink="">
          <xdr:nvSpPr>
            <xdr:cNvPr id="87056" name="Check Box 16" hidden="1">
              <a:extLst>
                <a:ext uri="{63B3BB69-23CF-44E3-9099-C40C66FF867C}">
                  <a14:compatExt spid="_x0000_s87056"/>
                </a:ext>
                <a:ext uri="{FF2B5EF4-FFF2-40B4-BE49-F238E27FC236}">
                  <a16:creationId xmlns:a16="http://schemas.microsoft.com/office/drawing/2014/main" id="{00000000-0008-0000-1200-000010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51</xdr:row>
          <xdr:rowOff>142875</xdr:rowOff>
        </xdr:from>
        <xdr:to>
          <xdr:col>35</xdr:col>
          <xdr:colOff>76200</xdr:colOff>
          <xdr:row>53</xdr:row>
          <xdr:rowOff>0</xdr:rowOff>
        </xdr:to>
        <xdr:sp macro="" textlink="">
          <xdr:nvSpPr>
            <xdr:cNvPr id="87057" name="Check Box 17" hidden="1">
              <a:extLst>
                <a:ext uri="{63B3BB69-23CF-44E3-9099-C40C66FF867C}">
                  <a14:compatExt spid="_x0000_s87057"/>
                </a:ext>
                <a:ext uri="{FF2B5EF4-FFF2-40B4-BE49-F238E27FC236}">
                  <a16:creationId xmlns:a16="http://schemas.microsoft.com/office/drawing/2014/main" id="{00000000-0008-0000-1200-00001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52</xdr:row>
          <xdr:rowOff>152400</xdr:rowOff>
        </xdr:from>
        <xdr:to>
          <xdr:col>35</xdr:col>
          <xdr:colOff>76200</xdr:colOff>
          <xdr:row>54</xdr:row>
          <xdr:rowOff>9525</xdr:rowOff>
        </xdr:to>
        <xdr:sp macro="" textlink="">
          <xdr:nvSpPr>
            <xdr:cNvPr id="87058" name="Check Box 18" hidden="1">
              <a:extLst>
                <a:ext uri="{63B3BB69-23CF-44E3-9099-C40C66FF867C}">
                  <a14:compatExt spid="_x0000_s87058"/>
                </a:ext>
                <a:ext uri="{FF2B5EF4-FFF2-40B4-BE49-F238E27FC236}">
                  <a16:creationId xmlns:a16="http://schemas.microsoft.com/office/drawing/2014/main" id="{00000000-0008-0000-1200-00001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53</xdr:row>
          <xdr:rowOff>152400</xdr:rowOff>
        </xdr:from>
        <xdr:to>
          <xdr:col>35</xdr:col>
          <xdr:colOff>76200</xdr:colOff>
          <xdr:row>55</xdr:row>
          <xdr:rowOff>9525</xdr:rowOff>
        </xdr:to>
        <xdr:sp macro="" textlink="">
          <xdr:nvSpPr>
            <xdr:cNvPr id="87059" name="Check Box 19" hidden="1">
              <a:extLst>
                <a:ext uri="{63B3BB69-23CF-44E3-9099-C40C66FF867C}">
                  <a14:compatExt spid="_x0000_s87059"/>
                </a:ext>
                <a:ext uri="{FF2B5EF4-FFF2-40B4-BE49-F238E27FC236}">
                  <a16:creationId xmlns:a16="http://schemas.microsoft.com/office/drawing/2014/main" id="{00000000-0008-0000-1200-00001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54</xdr:row>
          <xdr:rowOff>152400</xdr:rowOff>
        </xdr:from>
        <xdr:to>
          <xdr:col>35</xdr:col>
          <xdr:colOff>76200</xdr:colOff>
          <xdr:row>56</xdr:row>
          <xdr:rowOff>9525</xdr:rowOff>
        </xdr:to>
        <xdr:sp macro="" textlink="">
          <xdr:nvSpPr>
            <xdr:cNvPr id="87060" name="Check Box 20" hidden="1">
              <a:extLst>
                <a:ext uri="{63B3BB69-23CF-44E3-9099-C40C66FF867C}">
                  <a14:compatExt spid="_x0000_s87060"/>
                </a:ext>
                <a:ext uri="{FF2B5EF4-FFF2-40B4-BE49-F238E27FC236}">
                  <a16:creationId xmlns:a16="http://schemas.microsoft.com/office/drawing/2014/main" id="{00000000-0008-0000-1200-00001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55</xdr:row>
          <xdr:rowOff>152400</xdr:rowOff>
        </xdr:from>
        <xdr:to>
          <xdr:col>35</xdr:col>
          <xdr:colOff>76200</xdr:colOff>
          <xdr:row>57</xdr:row>
          <xdr:rowOff>9525</xdr:rowOff>
        </xdr:to>
        <xdr:sp macro="" textlink="">
          <xdr:nvSpPr>
            <xdr:cNvPr id="87061" name="Check Box 21" hidden="1">
              <a:extLst>
                <a:ext uri="{63B3BB69-23CF-44E3-9099-C40C66FF867C}">
                  <a14:compatExt spid="_x0000_s87061"/>
                </a:ext>
                <a:ext uri="{FF2B5EF4-FFF2-40B4-BE49-F238E27FC236}">
                  <a16:creationId xmlns:a16="http://schemas.microsoft.com/office/drawing/2014/main" id="{00000000-0008-0000-1200-00001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56</xdr:row>
          <xdr:rowOff>152400</xdr:rowOff>
        </xdr:from>
        <xdr:to>
          <xdr:col>35</xdr:col>
          <xdr:colOff>76200</xdr:colOff>
          <xdr:row>58</xdr:row>
          <xdr:rowOff>9525</xdr:rowOff>
        </xdr:to>
        <xdr:sp macro="" textlink="">
          <xdr:nvSpPr>
            <xdr:cNvPr id="87064" name="Check Box 24" hidden="1">
              <a:extLst>
                <a:ext uri="{63B3BB69-23CF-44E3-9099-C40C66FF867C}">
                  <a14:compatExt spid="_x0000_s87064"/>
                </a:ext>
                <a:ext uri="{FF2B5EF4-FFF2-40B4-BE49-F238E27FC236}">
                  <a16:creationId xmlns:a16="http://schemas.microsoft.com/office/drawing/2014/main" id="{00000000-0008-0000-1200-00001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254925</xdr:colOff>
      <xdr:row>201</xdr:row>
      <xdr:rowOff>0</xdr:rowOff>
    </xdr:from>
    <xdr:to>
      <xdr:col>20</xdr:col>
      <xdr:colOff>0</xdr:colOff>
      <xdr:row>230</xdr:row>
      <xdr:rowOff>47625</xdr:rowOff>
    </xdr:to>
    <xdr:graphicFrame macro="">
      <xdr:nvGraphicFramePr>
        <xdr:cNvPr id="62" name="Chart 13">
          <a:extLst>
            <a:ext uri="{FF2B5EF4-FFF2-40B4-BE49-F238E27FC236}">
              <a16:creationId xmlns:a16="http://schemas.microsoft.com/office/drawing/2014/main" id="{00000000-0008-0000-10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254925</xdr:colOff>
      <xdr:row>104</xdr:row>
      <xdr:rowOff>0</xdr:rowOff>
    </xdr:from>
    <xdr:to>
      <xdr:col>20</xdr:col>
      <xdr:colOff>0</xdr:colOff>
      <xdr:row>133</xdr:row>
      <xdr:rowOff>0</xdr:rowOff>
    </xdr:to>
    <xdr:graphicFrame macro="">
      <xdr:nvGraphicFramePr>
        <xdr:cNvPr id="58" name="Chart 13">
          <a:extLst>
            <a:ext uri="{FF2B5EF4-FFF2-40B4-BE49-F238E27FC236}">
              <a16:creationId xmlns:a16="http://schemas.microsoft.com/office/drawing/2014/main" id="{00000000-0008-0000-10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69</xdr:row>
      <xdr:rowOff>0</xdr:rowOff>
    </xdr:from>
    <xdr:to>
      <xdr:col>20</xdr:col>
      <xdr:colOff>0</xdr:colOff>
      <xdr:row>100</xdr:row>
      <xdr:rowOff>0</xdr:rowOff>
    </xdr:to>
    <xdr:graphicFrame macro="">
      <xdr:nvGraphicFramePr>
        <xdr:cNvPr id="59" name="Chart 176">
          <a:extLst>
            <a:ext uri="{FF2B5EF4-FFF2-40B4-BE49-F238E27FC236}">
              <a16:creationId xmlns:a16="http://schemas.microsoft.com/office/drawing/2014/main" id="{00000000-0008-0000-1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69</xdr:row>
      <xdr:rowOff>0</xdr:rowOff>
    </xdr:from>
    <xdr:to>
      <xdr:col>10</xdr:col>
      <xdr:colOff>0</xdr:colOff>
      <xdr:row>100</xdr:row>
      <xdr:rowOff>0</xdr:rowOff>
    </xdr:to>
    <xdr:graphicFrame macro="">
      <xdr:nvGraphicFramePr>
        <xdr:cNvPr id="60" name="Chart 764">
          <a:extLst>
            <a:ext uri="{FF2B5EF4-FFF2-40B4-BE49-F238E27FC236}">
              <a16:creationId xmlns:a16="http://schemas.microsoft.com/office/drawing/2014/main" id="{00000000-0008-0000-10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114299</xdr:colOff>
      <xdr:row>130</xdr:row>
      <xdr:rowOff>0</xdr:rowOff>
    </xdr:from>
    <xdr:to>
      <xdr:col>8</xdr:col>
      <xdr:colOff>0</xdr:colOff>
      <xdr:row>133</xdr:row>
      <xdr:rowOff>0</xdr:rowOff>
    </xdr:to>
    <xdr:graphicFrame macro="">
      <xdr:nvGraphicFramePr>
        <xdr:cNvPr id="63" name="Chart 13">
          <a:extLst>
            <a:ext uri="{FF2B5EF4-FFF2-40B4-BE49-F238E27FC236}">
              <a16:creationId xmlns:a16="http://schemas.microsoft.com/office/drawing/2014/main" id="{00000000-0008-0000-10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254925</xdr:colOff>
      <xdr:row>168</xdr:row>
      <xdr:rowOff>0</xdr:rowOff>
    </xdr:from>
    <xdr:to>
      <xdr:col>20</xdr:col>
      <xdr:colOff>0</xdr:colOff>
      <xdr:row>197</xdr:row>
      <xdr:rowOff>0</xdr:rowOff>
    </xdr:to>
    <xdr:graphicFrame macro="">
      <xdr:nvGraphicFramePr>
        <xdr:cNvPr id="51" name="Chart 13">
          <a:extLst>
            <a:ext uri="{FF2B5EF4-FFF2-40B4-BE49-F238E27FC236}">
              <a16:creationId xmlns:a16="http://schemas.microsoft.com/office/drawing/2014/main" id="{00000000-0008-0000-10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194</xdr:row>
      <xdr:rowOff>0</xdr:rowOff>
    </xdr:from>
    <xdr:to>
      <xdr:col>8</xdr:col>
      <xdr:colOff>0</xdr:colOff>
      <xdr:row>197</xdr:row>
      <xdr:rowOff>0</xdr:rowOff>
    </xdr:to>
    <xdr:graphicFrame macro="">
      <xdr:nvGraphicFramePr>
        <xdr:cNvPr id="57" name="Chart 13">
          <a:extLst>
            <a:ext uri="{FF2B5EF4-FFF2-40B4-BE49-F238E27FC236}">
              <a16:creationId xmlns:a16="http://schemas.microsoft.com/office/drawing/2014/main" id="{00000000-0008-0000-10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227</xdr:row>
      <xdr:rowOff>0</xdr:rowOff>
    </xdr:from>
    <xdr:to>
      <xdr:col>8</xdr:col>
      <xdr:colOff>0</xdr:colOff>
      <xdr:row>230</xdr:row>
      <xdr:rowOff>0</xdr:rowOff>
    </xdr:to>
    <xdr:graphicFrame macro="">
      <xdr:nvGraphicFramePr>
        <xdr:cNvPr id="64" name="Chart 13">
          <a:extLst>
            <a:ext uri="{FF2B5EF4-FFF2-40B4-BE49-F238E27FC236}">
              <a16:creationId xmlns:a16="http://schemas.microsoft.com/office/drawing/2014/main" id="{00000000-0008-0000-10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254925</xdr:colOff>
      <xdr:row>137</xdr:row>
      <xdr:rowOff>0</xdr:rowOff>
    </xdr:from>
    <xdr:to>
      <xdr:col>20</xdr:col>
      <xdr:colOff>0</xdr:colOff>
      <xdr:row>166</xdr:row>
      <xdr:rowOff>0</xdr:rowOff>
    </xdr:to>
    <xdr:graphicFrame macro="">
      <xdr:nvGraphicFramePr>
        <xdr:cNvPr id="56" name="Chart 13">
          <a:extLst>
            <a:ext uri="{FF2B5EF4-FFF2-40B4-BE49-F238E27FC236}">
              <a16:creationId xmlns:a16="http://schemas.microsoft.com/office/drawing/2014/main" id="{00000000-0008-0000-10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36</xdr:row>
      <xdr:rowOff>0</xdr:rowOff>
    </xdr:from>
    <xdr:to>
      <xdr:col>20</xdr:col>
      <xdr:colOff>0</xdr:colOff>
      <xdr:row>60</xdr:row>
      <xdr:rowOff>0</xdr:rowOff>
    </xdr:to>
    <xdr:graphicFrame macro="">
      <xdr:nvGraphicFramePr>
        <xdr:cNvPr id="61" name="Chart 176">
          <a:extLst>
            <a:ext uri="{FF2B5EF4-FFF2-40B4-BE49-F238E27FC236}">
              <a16:creationId xmlns:a16="http://schemas.microsoft.com/office/drawing/2014/main" id="{00000000-0008-0000-10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69" name="Oval 2165">
          <a:extLst>
            <a:ext uri="{FF2B5EF4-FFF2-40B4-BE49-F238E27FC236}">
              <a16:creationId xmlns:a16="http://schemas.microsoft.com/office/drawing/2014/main" id="{00000000-0008-0000-1000-000045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60</xdr:row>
      <xdr:rowOff>85725</xdr:rowOff>
    </xdr:from>
    <xdr:to>
      <xdr:col>10</xdr:col>
      <xdr:colOff>417150</xdr:colOff>
      <xdr:row>60</xdr:row>
      <xdr:rowOff>85725</xdr:rowOff>
    </xdr:to>
    <xdr:sp macro="" textlink="">
      <xdr:nvSpPr>
        <xdr:cNvPr id="74" name="Line 283">
          <a:extLst>
            <a:ext uri="{FF2B5EF4-FFF2-40B4-BE49-F238E27FC236}">
              <a16:creationId xmlns:a16="http://schemas.microsoft.com/office/drawing/2014/main" id="{00000000-0008-0000-1000-00004A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152400</xdr:colOff>
      <xdr:row>60</xdr:row>
      <xdr:rowOff>57150</xdr:rowOff>
    </xdr:from>
    <xdr:to>
      <xdr:col>15</xdr:col>
      <xdr:colOff>228600</xdr:colOff>
      <xdr:row>60</xdr:row>
      <xdr:rowOff>133350</xdr:rowOff>
    </xdr:to>
    <xdr:sp macro="" textlink="">
      <xdr:nvSpPr>
        <xdr:cNvPr id="75" name="Oval 2164">
          <a:extLst>
            <a:ext uri="{FF2B5EF4-FFF2-40B4-BE49-F238E27FC236}">
              <a16:creationId xmlns:a16="http://schemas.microsoft.com/office/drawing/2014/main" id="{00000000-0008-0000-1000-00004B000000}"/>
            </a:ext>
          </a:extLst>
        </xdr:cNvPr>
        <xdr:cNvSpPr>
          <a:spLocks noChangeArrowheads="1"/>
        </xdr:cNvSpPr>
      </xdr:nvSpPr>
      <xdr:spPr bwMode="auto">
        <a:xfrm>
          <a:off x="7191375" y="1115377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61</xdr:row>
      <xdr:rowOff>85724</xdr:rowOff>
    </xdr:from>
    <xdr:to>
      <xdr:col>15</xdr:col>
      <xdr:colOff>354675</xdr:colOff>
      <xdr:row>61</xdr:row>
      <xdr:rowOff>85724</xdr:rowOff>
    </xdr:to>
    <xdr:sp macro="" textlink="">
      <xdr:nvSpPr>
        <xdr:cNvPr id="76" name="Line 283">
          <a:extLst>
            <a:ext uri="{FF2B5EF4-FFF2-40B4-BE49-F238E27FC236}">
              <a16:creationId xmlns:a16="http://schemas.microsoft.com/office/drawing/2014/main" id="{00000000-0008-0000-1000-00004C000000}"/>
            </a:ext>
          </a:extLst>
        </xdr:cNvPr>
        <xdr:cNvSpPr>
          <a:spLocks noChangeShapeType="1"/>
        </xdr:cNvSpPr>
      </xdr:nvSpPr>
      <xdr:spPr bwMode="auto">
        <a:xfrm>
          <a:off x="7105650" y="11363324"/>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234</xdr:row>
      <xdr:rowOff>0</xdr:rowOff>
    </xdr:from>
    <xdr:to>
      <xdr:col>19</xdr:col>
      <xdr:colOff>95250</xdr:colOff>
      <xdr:row>269</xdr:row>
      <xdr:rowOff>47625</xdr:rowOff>
    </xdr:to>
    <xdr:grpSp>
      <xdr:nvGrpSpPr>
        <xdr:cNvPr id="33" name="Group 32">
          <a:extLst>
            <a:ext uri="{FF2B5EF4-FFF2-40B4-BE49-F238E27FC236}">
              <a16:creationId xmlns:a16="http://schemas.microsoft.com/office/drawing/2014/main" id="{F7917988-5FC1-4951-9F3B-12EA8FB61E1A}"/>
            </a:ext>
          </a:extLst>
        </xdr:cNvPr>
        <xdr:cNvGrpSpPr/>
      </xdr:nvGrpSpPr>
      <xdr:grpSpPr>
        <a:xfrm>
          <a:off x="120396" y="32808672"/>
          <a:ext cx="8950452" cy="4899660"/>
          <a:chOff x="95250" y="95250"/>
          <a:chExt cx="7534275" cy="5048250"/>
        </a:xfrm>
      </xdr:grpSpPr>
      <xdr:sp macro="" textlink="">
        <xdr:nvSpPr>
          <xdr:cNvPr id="34" name="Rectangle 33">
            <a:extLst>
              <a:ext uri="{FF2B5EF4-FFF2-40B4-BE49-F238E27FC236}">
                <a16:creationId xmlns:a16="http://schemas.microsoft.com/office/drawing/2014/main" id="{C0DF271B-9F21-8207-74A0-D7339CD9E000}"/>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35" name="Rectangle: Rounded Corners 34">
            <a:hlinkClick xmlns:r="http://schemas.openxmlformats.org/officeDocument/2006/relationships" r:id="rId13"/>
            <a:extLst>
              <a:ext uri="{FF2B5EF4-FFF2-40B4-BE49-F238E27FC236}">
                <a16:creationId xmlns:a16="http://schemas.microsoft.com/office/drawing/2014/main" id="{84B378A7-00F1-6325-BF52-C76EF85442C9}"/>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36" name="Rectangle: Rounded Corners 35">
            <a:hlinkClick xmlns:r="http://schemas.openxmlformats.org/officeDocument/2006/relationships" r:id="rId14"/>
            <a:extLst>
              <a:ext uri="{FF2B5EF4-FFF2-40B4-BE49-F238E27FC236}">
                <a16:creationId xmlns:a16="http://schemas.microsoft.com/office/drawing/2014/main" id="{86D315F6-185D-994A-2C45-8F9A50285461}"/>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37" name="Rectangle: Rounded Corners 36">
            <a:hlinkClick xmlns:r="http://schemas.openxmlformats.org/officeDocument/2006/relationships" r:id="rId15"/>
            <a:extLst>
              <a:ext uri="{FF2B5EF4-FFF2-40B4-BE49-F238E27FC236}">
                <a16:creationId xmlns:a16="http://schemas.microsoft.com/office/drawing/2014/main" id="{054F2FCD-822C-D028-CFBA-1C8EE1D791F6}"/>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38" name="Rectangle: Rounded Corners 37">
            <a:hlinkClick xmlns:r="http://schemas.openxmlformats.org/officeDocument/2006/relationships" r:id="rId16"/>
            <a:extLst>
              <a:ext uri="{FF2B5EF4-FFF2-40B4-BE49-F238E27FC236}">
                <a16:creationId xmlns:a16="http://schemas.microsoft.com/office/drawing/2014/main" id="{2E2E1F5D-DB46-2476-C967-C31D8B6B079B}"/>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39" name="Rectangle: Rounded Corners 38">
            <a:hlinkClick xmlns:r="http://schemas.openxmlformats.org/officeDocument/2006/relationships" r:id="rId17"/>
            <a:extLst>
              <a:ext uri="{FF2B5EF4-FFF2-40B4-BE49-F238E27FC236}">
                <a16:creationId xmlns:a16="http://schemas.microsoft.com/office/drawing/2014/main" id="{36986E3D-CF97-940D-2802-028F4F917AC6}"/>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40" name="Rectangle: Rounded Corners 39">
            <a:hlinkClick xmlns:r="http://schemas.openxmlformats.org/officeDocument/2006/relationships" r:id="rId18"/>
            <a:extLst>
              <a:ext uri="{FF2B5EF4-FFF2-40B4-BE49-F238E27FC236}">
                <a16:creationId xmlns:a16="http://schemas.microsoft.com/office/drawing/2014/main" id="{F82DCE2D-AFB2-3D96-6306-122F0D5F61A9}"/>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41" name="Rectangle: Rounded Corners 40">
            <a:hlinkClick xmlns:r="http://schemas.openxmlformats.org/officeDocument/2006/relationships" r:id="rId19"/>
            <a:extLst>
              <a:ext uri="{FF2B5EF4-FFF2-40B4-BE49-F238E27FC236}">
                <a16:creationId xmlns:a16="http://schemas.microsoft.com/office/drawing/2014/main" id="{CAB872F4-43CB-A4EA-85EB-ED7BD3A234CD}"/>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42" name="Rectangle: Rounded Corners 41">
            <a:hlinkClick xmlns:r="http://schemas.openxmlformats.org/officeDocument/2006/relationships" r:id="rId20"/>
            <a:extLst>
              <a:ext uri="{FF2B5EF4-FFF2-40B4-BE49-F238E27FC236}">
                <a16:creationId xmlns:a16="http://schemas.microsoft.com/office/drawing/2014/main" id="{8DDB70A3-E5AB-FFB8-1B12-DD28A6C7DECC}"/>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43" name="Rectangle: Rounded Corners 42">
            <a:hlinkClick xmlns:r="http://schemas.openxmlformats.org/officeDocument/2006/relationships" r:id="rId21"/>
            <a:extLst>
              <a:ext uri="{FF2B5EF4-FFF2-40B4-BE49-F238E27FC236}">
                <a16:creationId xmlns:a16="http://schemas.microsoft.com/office/drawing/2014/main" id="{32D75CFC-BF69-A091-C51E-CA464835E1ED}"/>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44" name="Group 43">
            <a:hlinkClick xmlns:r="http://schemas.openxmlformats.org/officeDocument/2006/relationships" r:id="rId22"/>
            <a:extLst>
              <a:ext uri="{FF2B5EF4-FFF2-40B4-BE49-F238E27FC236}">
                <a16:creationId xmlns:a16="http://schemas.microsoft.com/office/drawing/2014/main" id="{C95D4A83-9A5B-F088-3ED5-D4AA7A718ECA}"/>
              </a:ext>
            </a:extLst>
          </xdr:cNvPr>
          <xdr:cNvGrpSpPr/>
        </xdr:nvGrpSpPr>
        <xdr:grpSpPr>
          <a:xfrm>
            <a:off x="190500" y="723900"/>
            <a:ext cx="1695450" cy="723900"/>
            <a:chOff x="190500" y="180975"/>
            <a:chExt cx="1800225" cy="723900"/>
          </a:xfrm>
        </xdr:grpSpPr>
        <xdr:sp macro="" textlink="">
          <xdr:nvSpPr>
            <xdr:cNvPr id="66" name="Rectangle: Rounded Corners 65">
              <a:hlinkClick xmlns:r="http://schemas.openxmlformats.org/officeDocument/2006/relationships" r:id="rId22"/>
              <a:extLst>
                <a:ext uri="{FF2B5EF4-FFF2-40B4-BE49-F238E27FC236}">
                  <a16:creationId xmlns:a16="http://schemas.microsoft.com/office/drawing/2014/main" id="{16F3E573-67E2-F0F6-E0E4-3D8EC6708775}"/>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73" name="Picture 72">
              <a:extLst>
                <a:ext uri="{FF2B5EF4-FFF2-40B4-BE49-F238E27FC236}">
                  <a16:creationId xmlns:a16="http://schemas.microsoft.com/office/drawing/2014/main" id="{287F2899-6F3F-6660-F030-F5A89DEA4DD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45" name="Rectangle: Rounded Corners 44">
            <a:hlinkClick xmlns:r="http://schemas.openxmlformats.org/officeDocument/2006/relationships" r:id="rId24"/>
            <a:extLst>
              <a:ext uri="{FF2B5EF4-FFF2-40B4-BE49-F238E27FC236}">
                <a16:creationId xmlns:a16="http://schemas.microsoft.com/office/drawing/2014/main" id="{651F2ED7-FBA6-47D7-4DE6-7F08619C0A85}"/>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46" name="Rectangle: Rounded Corners 45">
            <a:hlinkClick xmlns:r="http://schemas.openxmlformats.org/officeDocument/2006/relationships" r:id="rId25"/>
            <a:extLst>
              <a:ext uri="{FF2B5EF4-FFF2-40B4-BE49-F238E27FC236}">
                <a16:creationId xmlns:a16="http://schemas.microsoft.com/office/drawing/2014/main" id="{B717FF52-07D5-9A39-A8F8-BCCF4A61A3E9}"/>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47" name="Rectangle: Rounded Corners 46">
            <a:hlinkClick xmlns:r="http://schemas.openxmlformats.org/officeDocument/2006/relationships" r:id="rId26"/>
            <a:extLst>
              <a:ext uri="{FF2B5EF4-FFF2-40B4-BE49-F238E27FC236}">
                <a16:creationId xmlns:a16="http://schemas.microsoft.com/office/drawing/2014/main" id="{ADF69CE3-2C5F-5D18-FA08-8328B1EA3553}"/>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48" name="Rectangle: Rounded Corners 47">
            <a:hlinkClick xmlns:r="http://schemas.openxmlformats.org/officeDocument/2006/relationships" r:id="rId27"/>
            <a:extLst>
              <a:ext uri="{FF2B5EF4-FFF2-40B4-BE49-F238E27FC236}">
                <a16:creationId xmlns:a16="http://schemas.microsoft.com/office/drawing/2014/main" id="{B4ACC32D-30B1-8F48-AF85-CFCC26042B49}"/>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49" name="Rectangle: Rounded Corners 48">
            <a:hlinkClick xmlns:r="http://schemas.openxmlformats.org/officeDocument/2006/relationships" r:id="rId28"/>
            <a:extLst>
              <a:ext uri="{FF2B5EF4-FFF2-40B4-BE49-F238E27FC236}">
                <a16:creationId xmlns:a16="http://schemas.microsoft.com/office/drawing/2014/main" id="{5BE70A11-A266-84D9-BD7C-604A71F09FC6}"/>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50" name="Rectangle: Rounded Corners 49">
            <a:hlinkClick xmlns:r="http://schemas.openxmlformats.org/officeDocument/2006/relationships" r:id="rId29"/>
            <a:extLst>
              <a:ext uri="{FF2B5EF4-FFF2-40B4-BE49-F238E27FC236}">
                <a16:creationId xmlns:a16="http://schemas.microsoft.com/office/drawing/2014/main" id="{B59E9956-4C7E-6DD1-2B82-41218EE5DFFF}"/>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52" name="Rectangle: Rounded Corners 51">
            <a:hlinkClick xmlns:r="http://schemas.openxmlformats.org/officeDocument/2006/relationships" r:id="rId30"/>
            <a:extLst>
              <a:ext uri="{FF2B5EF4-FFF2-40B4-BE49-F238E27FC236}">
                <a16:creationId xmlns:a16="http://schemas.microsoft.com/office/drawing/2014/main" id="{70E991F6-A1F0-C219-7CF6-A94FAB89F93F}"/>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53" name="Rectangle: Rounded Corners 52">
            <a:hlinkClick xmlns:r="http://schemas.openxmlformats.org/officeDocument/2006/relationships" r:id="rId31"/>
            <a:extLst>
              <a:ext uri="{FF2B5EF4-FFF2-40B4-BE49-F238E27FC236}">
                <a16:creationId xmlns:a16="http://schemas.microsoft.com/office/drawing/2014/main" id="{DDD95367-2415-EF8C-6856-486D3933EE46}"/>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54" name="Rectangle: Rounded Corners 53">
            <a:hlinkClick xmlns:r="http://schemas.openxmlformats.org/officeDocument/2006/relationships" r:id="rId32"/>
            <a:extLst>
              <a:ext uri="{FF2B5EF4-FFF2-40B4-BE49-F238E27FC236}">
                <a16:creationId xmlns:a16="http://schemas.microsoft.com/office/drawing/2014/main" id="{2C84A41F-0400-21E8-0260-D107399A4D1D}"/>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55" name="Rectangle: Rounded Corners 54">
            <a:hlinkClick xmlns:r="http://schemas.openxmlformats.org/officeDocument/2006/relationships" r:id="rId33"/>
            <a:extLst>
              <a:ext uri="{FF2B5EF4-FFF2-40B4-BE49-F238E27FC236}">
                <a16:creationId xmlns:a16="http://schemas.microsoft.com/office/drawing/2014/main" id="{688E9A2F-3BAF-031C-5A29-F0AC8CCEFE94}"/>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65" name="TextBox 64">
            <a:extLst>
              <a:ext uri="{FF2B5EF4-FFF2-40B4-BE49-F238E27FC236}">
                <a16:creationId xmlns:a16="http://schemas.microsoft.com/office/drawing/2014/main" id="{0ED982E7-A62C-B70C-CECA-A740BFC2952B}"/>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77" name="Group 76">
          <a:hlinkClick xmlns:r="http://schemas.openxmlformats.org/officeDocument/2006/relationships" r:id="rId22"/>
          <a:extLst>
            <a:ext uri="{FF2B5EF4-FFF2-40B4-BE49-F238E27FC236}">
              <a16:creationId xmlns:a16="http://schemas.microsoft.com/office/drawing/2014/main" id="{80908EB6-BE85-434B-B804-8B45ADFD8B95}"/>
            </a:ext>
          </a:extLst>
        </xdr:cNvPr>
        <xdr:cNvGrpSpPr/>
      </xdr:nvGrpSpPr>
      <xdr:grpSpPr>
        <a:xfrm>
          <a:off x="9691116" y="0"/>
          <a:ext cx="411480" cy="1685544"/>
          <a:chOff x="9210675" y="19050"/>
          <a:chExt cx="390525" cy="1743075"/>
        </a:xfrm>
      </xdr:grpSpPr>
      <xdr:pic>
        <xdr:nvPicPr>
          <xdr:cNvPr id="78" name="Graphic 77" descr="Map compass with solid fill">
            <a:hlinkClick xmlns:r="http://schemas.openxmlformats.org/officeDocument/2006/relationships" r:id="rId34"/>
            <a:extLst>
              <a:ext uri="{FF2B5EF4-FFF2-40B4-BE49-F238E27FC236}">
                <a16:creationId xmlns:a16="http://schemas.microsoft.com/office/drawing/2014/main" id="{9B365AE1-B8B9-C921-94DB-4BCB536C3C99}"/>
              </a:ext>
            </a:extLst>
          </xdr:cNvPr>
          <xdr:cNvPicPr>
            <a:picLocks noChangeAspect="1"/>
          </xdr:cNvPicPr>
        </xdr:nvPicPr>
        <xdr:blipFill>
          <a:blip xmlns:r="http://schemas.openxmlformats.org/officeDocument/2006/relationships" r:embed="rId35">
            <a:duotone>
              <a:schemeClr val="accent6">
                <a:shade val="45000"/>
                <a:satMod val="135000"/>
              </a:schemeClr>
              <a:prstClr val="white"/>
            </a:duotone>
            <a:extLst>
              <a:ext uri="{96DAC541-7B7A-43D3-8B79-37D633B846F1}">
                <asvg:svgBlip xmlns:asvg="http://schemas.microsoft.com/office/drawing/2016/SVG/main" r:embed="rId36"/>
              </a:ext>
            </a:extLst>
          </a:blip>
          <a:stretch>
            <a:fillRect/>
          </a:stretch>
        </xdr:blipFill>
        <xdr:spPr>
          <a:xfrm>
            <a:off x="9229725" y="38099"/>
            <a:ext cx="369675" cy="369675"/>
          </a:xfrm>
          <a:prstGeom prst="rect">
            <a:avLst/>
          </a:prstGeom>
        </xdr:spPr>
      </xdr:pic>
      <xdr:sp macro="" textlink="">
        <xdr:nvSpPr>
          <xdr:cNvPr id="79" name="Right Arrow 50">
            <a:hlinkClick xmlns:r="http://schemas.openxmlformats.org/officeDocument/2006/relationships" r:id="rId19"/>
            <a:extLst>
              <a:ext uri="{FF2B5EF4-FFF2-40B4-BE49-F238E27FC236}">
                <a16:creationId xmlns:a16="http://schemas.microsoft.com/office/drawing/2014/main" id="{3ACB0F2A-80D6-D0D6-3E25-6B0F92830904}"/>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80" name="Right Arrow 50">
            <a:hlinkClick xmlns:r="http://schemas.openxmlformats.org/officeDocument/2006/relationships" r:id="rId21"/>
            <a:extLst>
              <a:ext uri="{FF2B5EF4-FFF2-40B4-BE49-F238E27FC236}">
                <a16:creationId xmlns:a16="http://schemas.microsoft.com/office/drawing/2014/main" id="{353F09FF-2E4C-E14E-AABA-ECFA3ACAA5E5}"/>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81" name="Picture 80">
            <a:hlinkClick xmlns:r="http://schemas.openxmlformats.org/officeDocument/2006/relationships" r:id="rId22"/>
            <a:extLst>
              <a:ext uri="{FF2B5EF4-FFF2-40B4-BE49-F238E27FC236}">
                <a16:creationId xmlns:a16="http://schemas.microsoft.com/office/drawing/2014/main" id="{45BA5FB9-3D96-DDB4-D37A-A4E542DDED59}"/>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82" name="Rectangle 81">
            <a:extLst>
              <a:ext uri="{FF2B5EF4-FFF2-40B4-BE49-F238E27FC236}">
                <a16:creationId xmlns:a16="http://schemas.microsoft.com/office/drawing/2014/main" id="{729E96D6-9320-8F0C-339F-98CBDF10632D}"/>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166</xdr:row>
      <xdr:rowOff>133350</xdr:rowOff>
    </xdr:from>
    <xdr:ext cx="252000" cy="288000"/>
    <xdr:sp macro="" textlink="">
      <xdr:nvSpPr>
        <xdr:cNvPr id="3" name="Down Arrow 44">
          <a:hlinkClick xmlns:r="http://schemas.openxmlformats.org/officeDocument/2006/relationships" r:id="rId20"/>
          <a:extLst>
            <a:ext uri="{FF2B5EF4-FFF2-40B4-BE49-F238E27FC236}">
              <a16:creationId xmlns:a16="http://schemas.microsoft.com/office/drawing/2014/main" id="{B3146E99-2B00-4BFA-A163-52840C9C261A}"/>
            </a:ext>
          </a:extLst>
        </xdr:cNvPr>
        <xdr:cNvSpPr>
          <a:spLocks noChangeArrowheads="1"/>
        </xdr:cNvSpPr>
      </xdr:nvSpPr>
      <xdr:spPr bwMode="auto">
        <a:xfrm flipV="1">
          <a:off x="9286874" y="334422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33</xdr:row>
      <xdr:rowOff>0</xdr:rowOff>
    </xdr:from>
    <xdr:ext cx="252000" cy="288000"/>
    <xdr:sp macro="" textlink="">
      <xdr:nvSpPr>
        <xdr:cNvPr id="5" name="Down Arrow 44">
          <a:hlinkClick xmlns:r="http://schemas.openxmlformats.org/officeDocument/2006/relationships" r:id="rId20"/>
          <a:extLst>
            <a:ext uri="{FF2B5EF4-FFF2-40B4-BE49-F238E27FC236}">
              <a16:creationId xmlns:a16="http://schemas.microsoft.com/office/drawing/2014/main" id="{0F903C59-A199-42F4-AB4E-F52785827C94}"/>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7" name="Down Arrow 44">
          <a:hlinkClick xmlns:r="http://schemas.openxmlformats.org/officeDocument/2006/relationships" r:id="rId20"/>
          <a:extLst>
            <a:ext uri="{FF2B5EF4-FFF2-40B4-BE49-F238E27FC236}">
              <a16:creationId xmlns:a16="http://schemas.microsoft.com/office/drawing/2014/main" id="{573F9BFD-9842-4B2C-907A-85F835E5DDAA}"/>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101</xdr:row>
      <xdr:rowOff>0</xdr:rowOff>
    </xdr:from>
    <xdr:ext cx="252000" cy="288000"/>
    <xdr:sp macro="" textlink="">
      <xdr:nvSpPr>
        <xdr:cNvPr id="8" name="Down Arrow 44">
          <a:hlinkClick xmlns:r="http://schemas.openxmlformats.org/officeDocument/2006/relationships" r:id="rId20"/>
          <a:extLst>
            <a:ext uri="{FF2B5EF4-FFF2-40B4-BE49-F238E27FC236}">
              <a16:creationId xmlns:a16="http://schemas.microsoft.com/office/drawing/2014/main" id="{6DCDEBCA-A82E-4E7A-A69B-4E390B2EC0D6}"/>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134</xdr:row>
      <xdr:rowOff>0</xdr:rowOff>
    </xdr:from>
    <xdr:ext cx="252000" cy="288000"/>
    <xdr:sp macro="" textlink="">
      <xdr:nvSpPr>
        <xdr:cNvPr id="9" name="Down Arrow 44">
          <a:hlinkClick xmlns:r="http://schemas.openxmlformats.org/officeDocument/2006/relationships" r:id="rId20"/>
          <a:extLst>
            <a:ext uri="{FF2B5EF4-FFF2-40B4-BE49-F238E27FC236}">
              <a16:creationId xmlns:a16="http://schemas.microsoft.com/office/drawing/2014/main" id="{BEE5BFD1-FE06-40B3-ACCB-7771A694FE71}"/>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13.xml><?xml version="1.0" encoding="utf-8"?>
<xdr:wsDr xmlns:xdr="http://schemas.openxmlformats.org/drawingml/2006/spreadsheetDrawing" xmlns:a="http://schemas.openxmlformats.org/drawingml/2006/main">
  <xdr:twoCellAnchor>
    <xdr:from>
      <xdr:col>1</xdr:col>
      <xdr:colOff>1</xdr:colOff>
      <xdr:row>36</xdr:row>
      <xdr:rowOff>1</xdr:rowOff>
    </xdr:from>
    <xdr:to>
      <xdr:col>9</xdr:col>
      <xdr:colOff>75301</xdr:colOff>
      <xdr:row>65</xdr:row>
      <xdr:rowOff>0</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400046</xdr:colOff>
      <xdr:row>0</xdr:row>
      <xdr:rowOff>85725</xdr:rowOff>
    </xdr:from>
    <xdr:to>
      <xdr:col>20</xdr:col>
      <xdr:colOff>35921</xdr:colOff>
      <xdr:row>2</xdr:row>
      <xdr:rowOff>149475</xdr:rowOff>
    </xdr:to>
    <xdr:sp macro="" textlink="">
      <xdr:nvSpPr>
        <xdr:cNvPr id="10" name="AutoShape 32">
          <a:extLst>
            <a:ext uri="{FF2B5EF4-FFF2-40B4-BE49-F238E27FC236}">
              <a16:creationId xmlns:a16="http://schemas.microsoft.com/office/drawing/2014/main" id="{00000000-0008-0000-1100-00000A000000}"/>
            </a:ext>
          </a:extLst>
        </xdr:cNvPr>
        <xdr:cNvSpPr>
          <a:spLocks noChangeArrowheads="1"/>
        </xdr:cNvSpPr>
      </xdr:nvSpPr>
      <xdr:spPr bwMode="auto">
        <a:xfrm>
          <a:off x="6953246"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1</xdr:colOff>
      <xdr:row>62</xdr:row>
      <xdr:rowOff>0</xdr:rowOff>
    </xdr:from>
    <xdr:to>
      <xdr:col>20</xdr:col>
      <xdr:colOff>2</xdr:colOff>
      <xdr:row>65</xdr:row>
      <xdr:rowOff>0</xdr:rowOff>
    </xdr:to>
    <xdr:graphicFrame macro="">
      <xdr:nvGraphicFramePr>
        <xdr:cNvPr id="11" name="Chart 13">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85725</xdr:colOff>
          <xdr:row>36</xdr:row>
          <xdr:rowOff>38100</xdr:rowOff>
        </xdr:from>
        <xdr:to>
          <xdr:col>35</xdr:col>
          <xdr:colOff>57150</xdr:colOff>
          <xdr:row>38</xdr:row>
          <xdr:rowOff>19050</xdr:rowOff>
        </xdr:to>
        <xdr:sp macro="" textlink="">
          <xdr:nvSpPr>
            <xdr:cNvPr id="96257" name="Check Box 1" hidden="1">
              <a:extLst>
                <a:ext uri="{63B3BB69-23CF-44E3-9099-C40C66FF867C}">
                  <a14:compatExt spid="_x0000_s96257"/>
                </a:ext>
                <a:ext uri="{FF2B5EF4-FFF2-40B4-BE49-F238E27FC236}">
                  <a16:creationId xmlns:a16="http://schemas.microsoft.com/office/drawing/2014/main" id="{00000000-0008-0000-1300-00000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37</xdr:row>
          <xdr:rowOff>161925</xdr:rowOff>
        </xdr:from>
        <xdr:to>
          <xdr:col>35</xdr:col>
          <xdr:colOff>57150</xdr:colOff>
          <xdr:row>39</xdr:row>
          <xdr:rowOff>19050</xdr:rowOff>
        </xdr:to>
        <xdr:sp macro="" textlink="">
          <xdr:nvSpPr>
            <xdr:cNvPr id="96258" name="Check Box 2" hidden="1">
              <a:extLst>
                <a:ext uri="{63B3BB69-23CF-44E3-9099-C40C66FF867C}">
                  <a14:compatExt spid="_x0000_s96258"/>
                </a:ext>
                <a:ext uri="{FF2B5EF4-FFF2-40B4-BE49-F238E27FC236}">
                  <a16:creationId xmlns:a16="http://schemas.microsoft.com/office/drawing/2014/main" id="{00000000-0008-0000-1300-00000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38</xdr:row>
          <xdr:rowOff>161925</xdr:rowOff>
        </xdr:from>
        <xdr:to>
          <xdr:col>35</xdr:col>
          <xdr:colOff>57150</xdr:colOff>
          <xdr:row>40</xdr:row>
          <xdr:rowOff>19050</xdr:rowOff>
        </xdr:to>
        <xdr:sp macro="" textlink="">
          <xdr:nvSpPr>
            <xdr:cNvPr id="96259" name="Check Box 3" hidden="1">
              <a:extLst>
                <a:ext uri="{63B3BB69-23CF-44E3-9099-C40C66FF867C}">
                  <a14:compatExt spid="_x0000_s96259"/>
                </a:ext>
                <a:ext uri="{FF2B5EF4-FFF2-40B4-BE49-F238E27FC236}">
                  <a16:creationId xmlns:a16="http://schemas.microsoft.com/office/drawing/2014/main" id="{00000000-0008-0000-1300-00000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39</xdr:row>
          <xdr:rowOff>161925</xdr:rowOff>
        </xdr:from>
        <xdr:to>
          <xdr:col>35</xdr:col>
          <xdr:colOff>57150</xdr:colOff>
          <xdr:row>41</xdr:row>
          <xdr:rowOff>19050</xdr:rowOff>
        </xdr:to>
        <xdr:sp macro="" textlink="">
          <xdr:nvSpPr>
            <xdr:cNvPr id="96260" name="Check Box 4" hidden="1">
              <a:extLst>
                <a:ext uri="{63B3BB69-23CF-44E3-9099-C40C66FF867C}">
                  <a14:compatExt spid="_x0000_s96260"/>
                </a:ext>
                <a:ext uri="{FF2B5EF4-FFF2-40B4-BE49-F238E27FC236}">
                  <a16:creationId xmlns:a16="http://schemas.microsoft.com/office/drawing/2014/main" id="{00000000-0008-0000-1300-00000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40</xdr:row>
          <xdr:rowOff>161925</xdr:rowOff>
        </xdr:from>
        <xdr:to>
          <xdr:col>35</xdr:col>
          <xdr:colOff>57150</xdr:colOff>
          <xdr:row>42</xdr:row>
          <xdr:rowOff>19050</xdr:rowOff>
        </xdr:to>
        <xdr:sp macro="" textlink="">
          <xdr:nvSpPr>
            <xdr:cNvPr id="96261" name="Check Box 5" hidden="1">
              <a:extLst>
                <a:ext uri="{63B3BB69-23CF-44E3-9099-C40C66FF867C}">
                  <a14:compatExt spid="_x0000_s96261"/>
                </a:ext>
                <a:ext uri="{FF2B5EF4-FFF2-40B4-BE49-F238E27FC236}">
                  <a16:creationId xmlns:a16="http://schemas.microsoft.com/office/drawing/2014/main" id="{00000000-0008-0000-1300-00000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41</xdr:row>
          <xdr:rowOff>161925</xdr:rowOff>
        </xdr:from>
        <xdr:to>
          <xdr:col>35</xdr:col>
          <xdr:colOff>57150</xdr:colOff>
          <xdr:row>43</xdr:row>
          <xdr:rowOff>19050</xdr:rowOff>
        </xdr:to>
        <xdr:sp macro="" textlink="">
          <xdr:nvSpPr>
            <xdr:cNvPr id="96262" name="Check Box 6" hidden="1">
              <a:extLst>
                <a:ext uri="{63B3BB69-23CF-44E3-9099-C40C66FF867C}">
                  <a14:compatExt spid="_x0000_s96262"/>
                </a:ext>
                <a:ext uri="{FF2B5EF4-FFF2-40B4-BE49-F238E27FC236}">
                  <a16:creationId xmlns:a16="http://schemas.microsoft.com/office/drawing/2014/main" id="{00000000-0008-0000-1300-00000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42</xdr:row>
          <xdr:rowOff>161925</xdr:rowOff>
        </xdr:from>
        <xdr:to>
          <xdr:col>35</xdr:col>
          <xdr:colOff>57150</xdr:colOff>
          <xdr:row>44</xdr:row>
          <xdr:rowOff>19050</xdr:rowOff>
        </xdr:to>
        <xdr:sp macro="" textlink="">
          <xdr:nvSpPr>
            <xdr:cNvPr id="96263" name="Check Box 7" hidden="1">
              <a:extLst>
                <a:ext uri="{63B3BB69-23CF-44E3-9099-C40C66FF867C}">
                  <a14:compatExt spid="_x0000_s96263"/>
                </a:ext>
                <a:ext uri="{FF2B5EF4-FFF2-40B4-BE49-F238E27FC236}">
                  <a16:creationId xmlns:a16="http://schemas.microsoft.com/office/drawing/2014/main" id="{00000000-0008-0000-1300-00000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43</xdr:row>
          <xdr:rowOff>161925</xdr:rowOff>
        </xdr:from>
        <xdr:to>
          <xdr:col>35</xdr:col>
          <xdr:colOff>57150</xdr:colOff>
          <xdr:row>45</xdr:row>
          <xdr:rowOff>19050</xdr:rowOff>
        </xdr:to>
        <xdr:sp macro="" textlink="">
          <xdr:nvSpPr>
            <xdr:cNvPr id="96264" name="Check Box 8" hidden="1">
              <a:extLst>
                <a:ext uri="{63B3BB69-23CF-44E3-9099-C40C66FF867C}">
                  <a14:compatExt spid="_x0000_s96264"/>
                </a:ext>
                <a:ext uri="{FF2B5EF4-FFF2-40B4-BE49-F238E27FC236}">
                  <a16:creationId xmlns:a16="http://schemas.microsoft.com/office/drawing/2014/main" id="{00000000-0008-0000-1300-00000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44</xdr:row>
          <xdr:rowOff>161925</xdr:rowOff>
        </xdr:from>
        <xdr:to>
          <xdr:col>35</xdr:col>
          <xdr:colOff>57150</xdr:colOff>
          <xdr:row>46</xdr:row>
          <xdr:rowOff>19050</xdr:rowOff>
        </xdr:to>
        <xdr:sp macro="" textlink="">
          <xdr:nvSpPr>
            <xdr:cNvPr id="96265" name="Check Box 9" hidden="1">
              <a:extLst>
                <a:ext uri="{63B3BB69-23CF-44E3-9099-C40C66FF867C}">
                  <a14:compatExt spid="_x0000_s96265"/>
                </a:ext>
                <a:ext uri="{FF2B5EF4-FFF2-40B4-BE49-F238E27FC236}">
                  <a16:creationId xmlns:a16="http://schemas.microsoft.com/office/drawing/2014/main" id="{00000000-0008-0000-1300-00000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45</xdr:row>
          <xdr:rowOff>161925</xdr:rowOff>
        </xdr:from>
        <xdr:to>
          <xdr:col>35</xdr:col>
          <xdr:colOff>57150</xdr:colOff>
          <xdr:row>47</xdr:row>
          <xdr:rowOff>19050</xdr:rowOff>
        </xdr:to>
        <xdr:sp macro="" textlink="">
          <xdr:nvSpPr>
            <xdr:cNvPr id="96266" name="Check Box 10" hidden="1">
              <a:extLst>
                <a:ext uri="{63B3BB69-23CF-44E3-9099-C40C66FF867C}">
                  <a14:compatExt spid="_x0000_s96266"/>
                </a:ext>
                <a:ext uri="{FF2B5EF4-FFF2-40B4-BE49-F238E27FC236}">
                  <a16:creationId xmlns:a16="http://schemas.microsoft.com/office/drawing/2014/main" id="{00000000-0008-0000-1300-00000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46</xdr:row>
          <xdr:rowOff>161925</xdr:rowOff>
        </xdr:from>
        <xdr:to>
          <xdr:col>35</xdr:col>
          <xdr:colOff>57150</xdr:colOff>
          <xdr:row>48</xdr:row>
          <xdr:rowOff>19050</xdr:rowOff>
        </xdr:to>
        <xdr:sp macro="" textlink="">
          <xdr:nvSpPr>
            <xdr:cNvPr id="96267" name="Check Box 11" hidden="1">
              <a:extLst>
                <a:ext uri="{63B3BB69-23CF-44E3-9099-C40C66FF867C}">
                  <a14:compatExt spid="_x0000_s96267"/>
                </a:ext>
                <a:ext uri="{FF2B5EF4-FFF2-40B4-BE49-F238E27FC236}">
                  <a16:creationId xmlns:a16="http://schemas.microsoft.com/office/drawing/2014/main" id="{00000000-0008-0000-1300-00000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47</xdr:row>
          <xdr:rowOff>161925</xdr:rowOff>
        </xdr:from>
        <xdr:to>
          <xdr:col>35</xdr:col>
          <xdr:colOff>57150</xdr:colOff>
          <xdr:row>49</xdr:row>
          <xdr:rowOff>19050</xdr:rowOff>
        </xdr:to>
        <xdr:sp macro="" textlink="">
          <xdr:nvSpPr>
            <xdr:cNvPr id="96268" name="Check Box 12" hidden="1">
              <a:extLst>
                <a:ext uri="{63B3BB69-23CF-44E3-9099-C40C66FF867C}">
                  <a14:compatExt spid="_x0000_s96268"/>
                </a:ext>
                <a:ext uri="{FF2B5EF4-FFF2-40B4-BE49-F238E27FC236}">
                  <a16:creationId xmlns:a16="http://schemas.microsoft.com/office/drawing/2014/main" id="{00000000-0008-0000-1300-00000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48</xdr:row>
          <xdr:rowOff>161925</xdr:rowOff>
        </xdr:from>
        <xdr:to>
          <xdr:col>35</xdr:col>
          <xdr:colOff>57150</xdr:colOff>
          <xdr:row>50</xdr:row>
          <xdr:rowOff>19050</xdr:rowOff>
        </xdr:to>
        <xdr:sp macro="" textlink="">
          <xdr:nvSpPr>
            <xdr:cNvPr id="96269" name="Check Box 13" hidden="1">
              <a:extLst>
                <a:ext uri="{63B3BB69-23CF-44E3-9099-C40C66FF867C}">
                  <a14:compatExt spid="_x0000_s96269"/>
                </a:ext>
                <a:ext uri="{FF2B5EF4-FFF2-40B4-BE49-F238E27FC236}">
                  <a16:creationId xmlns:a16="http://schemas.microsoft.com/office/drawing/2014/main" id="{00000000-0008-0000-1300-00000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49</xdr:row>
          <xdr:rowOff>171450</xdr:rowOff>
        </xdr:from>
        <xdr:to>
          <xdr:col>35</xdr:col>
          <xdr:colOff>57150</xdr:colOff>
          <xdr:row>51</xdr:row>
          <xdr:rowOff>28575</xdr:rowOff>
        </xdr:to>
        <xdr:sp macro="" textlink="">
          <xdr:nvSpPr>
            <xdr:cNvPr id="96271" name="Check Box 15" hidden="1">
              <a:extLst>
                <a:ext uri="{63B3BB69-23CF-44E3-9099-C40C66FF867C}">
                  <a14:compatExt spid="_x0000_s96271"/>
                </a:ext>
                <a:ext uri="{FF2B5EF4-FFF2-40B4-BE49-F238E27FC236}">
                  <a16:creationId xmlns:a16="http://schemas.microsoft.com/office/drawing/2014/main" id="{00000000-0008-0000-1300-00000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50</xdr:row>
          <xdr:rowOff>171450</xdr:rowOff>
        </xdr:from>
        <xdr:to>
          <xdr:col>35</xdr:col>
          <xdr:colOff>57150</xdr:colOff>
          <xdr:row>52</xdr:row>
          <xdr:rowOff>28575</xdr:rowOff>
        </xdr:to>
        <xdr:sp macro="" textlink="">
          <xdr:nvSpPr>
            <xdr:cNvPr id="96272" name="Check Box 16" hidden="1">
              <a:extLst>
                <a:ext uri="{63B3BB69-23CF-44E3-9099-C40C66FF867C}">
                  <a14:compatExt spid="_x0000_s96272"/>
                </a:ext>
                <a:ext uri="{FF2B5EF4-FFF2-40B4-BE49-F238E27FC236}">
                  <a16:creationId xmlns:a16="http://schemas.microsoft.com/office/drawing/2014/main" id="{00000000-0008-0000-1300-00001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51</xdr:row>
          <xdr:rowOff>171450</xdr:rowOff>
        </xdr:from>
        <xdr:to>
          <xdr:col>35</xdr:col>
          <xdr:colOff>57150</xdr:colOff>
          <xdr:row>53</xdr:row>
          <xdr:rowOff>28575</xdr:rowOff>
        </xdr:to>
        <xdr:sp macro="" textlink="">
          <xdr:nvSpPr>
            <xdr:cNvPr id="96273" name="Check Box 17" hidden="1">
              <a:extLst>
                <a:ext uri="{63B3BB69-23CF-44E3-9099-C40C66FF867C}">
                  <a14:compatExt spid="_x0000_s96273"/>
                </a:ext>
                <a:ext uri="{FF2B5EF4-FFF2-40B4-BE49-F238E27FC236}">
                  <a16:creationId xmlns:a16="http://schemas.microsoft.com/office/drawing/2014/main" id="{00000000-0008-0000-1300-00001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52</xdr:row>
          <xdr:rowOff>171450</xdr:rowOff>
        </xdr:from>
        <xdr:to>
          <xdr:col>35</xdr:col>
          <xdr:colOff>57150</xdr:colOff>
          <xdr:row>54</xdr:row>
          <xdr:rowOff>28575</xdr:rowOff>
        </xdr:to>
        <xdr:sp macro="" textlink="">
          <xdr:nvSpPr>
            <xdr:cNvPr id="96274" name="Check Box 18" hidden="1">
              <a:extLst>
                <a:ext uri="{63B3BB69-23CF-44E3-9099-C40C66FF867C}">
                  <a14:compatExt spid="_x0000_s96274"/>
                </a:ext>
                <a:ext uri="{FF2B5EF4-FFF2-40B4-BE49-F238E27FC236}">
                  <a16:creationId xmlns:a16="http://schemas.microsoft.com/office/drawing/2014/main" id="{00000000-0008-0000-1300-00001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53</xdr:row>
          <xdr:rowOff>171450</xdr:rowOff>
        </xdr:from>
        <xdr:to>
          <xdr:col>35</xdr:col>
          <xdr:colOff>57150</xdr:colOff>
          <xdr:row>55</xdr:row>
          <xdr:rowOff>28575</xdr:rowOff>
        </xdr:to>
        <xdr:sp macro="" textlink="">
          <xdr:nvSpPr>
            <xdr:cNvPr id="96275" name="Check Box 19" hidden="1">
              <a:extLst>
                <a:ext uri="{63B3BB69-23CF-44E3-9099-C40C66FF867C}">
                  <a14:compatExt spid="_x0000_s96275"/>
                </a:ext>
                <a:ext uri="{FF2B5EF4-FFF2-40B4-BE49-F238E27FC236}">
                  <a16:creationId xmlns:a16="http://schemas.microsoft.com/office/drawing/2014/main" id="{00000000-0008-0000-1300-00001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54</xdr:row>
          <xdr:rowOff>171450</xdr:rowOff>
        </xdr:from>
        <xdr:to>
          <xdr:col>35</xdr:col>
          <xdr:colOff>57150</xdr:colOff>
          <xdr:row>56</xdr:row>
          <xdr:rowOff>28575</xdr:rowOff>
        </xdr:to>
        <xdr:sp macro="" textlink="">
          <xdr:nvSpPr>
            <xdr:cNvPr id="96276" name="Check Box 20" hidden="1">
              <a:extLst>
                <a:ext uri="{63B3BB69-23CF-44E3-9099-C40C66FF867C}">
                  <a14:compatExt spid="_x0000_s96276"/>
                </a:ext>
                <a:ext uri="{FF2B5EF4-FFF2-40B4-BE49-F238E27FC236}">
                  <a16:creationId xmlns:a16="http://schemas.microsoft.com/office/drawing/2014/main" id="{00000000-0008-0000-1300-00001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55</xdr:row>
          <xdr:rowOff>171450</xdr:rowOff>
        </xdr:from>
        <xdr:to>
          <xdr:col>35</xdr:col>
          <xdr:colOff>57150</xdr:colOff>
          <xdr:row>57</xdr:row>
          <xdr:rowOff>28575</xdr:rowOff>
        </xdr:to>
        <xdr:sp macro="" textlink="">
          <xdr:nvSpPr>
            <xdr:cNvPr id="96277" name="Check Box 21" hidden="1">
              <a:extLst>
                <a:ext uri="{63B3BB69-23CF-44E3-9099-C40C66FF867C}">
                  <a14:compatExt spid="_x0000_s96277"/>
                </a:ext>
                <a:ext uri="{FF2B5EF4-FFF2-40B4-BE49-F238E27FC236}">
                  <a16:creationId xmlns:a16="http://schemas.microsoft.com/office/drawing/2014/main" id="{00000000-0008-0000-1300-00001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56</xdr:row>
          <xdr:rowOff>161925</xdr:rowOff>
        </xdr:from>
        <xdr:to>
          <xdr:col>35</xdr:col>
          <xdr:colOff>57150</xdr:colOff>
          <xdr:row>58</xdr:row>
          <xdr:rowOff>19050</xdr:rowOff>
        </xdr:to>
        <xdr:sp macro="" textlink="">
          <xdr:nvSpPr>
            <xdr:cNvPr id="96280" name="Check Box 24" hidden="1">
              <a:extLst>
                <a:ext uri="{63B3BB69-23CF-44E3-9099-C40C66FF867C}">
                  <a14:compatExt spid="_x0000_s96280"/>
                </a:ext>
                <a:ext uri="{FF2B5EF4-FFF2-40B4-BE49-F238E27FC236}">
                  <a16:creationId xmlns:a16="http://schemas.microsoft.com/office/drawing/2014/main" id="{00000000-0008-0000-1300-00001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0</xdr:colOff>
      <xdr:row>69</xdr:row>
      <xdr:rowOff>0</xdr:rowOff>
    </xdr:from>
    <xdr:to>
      <xdr:col>20</xdr:col>
      <xdr:colOff>0</xdr:colOff>
      <xdr:row>100</xdr:row>
      <xdr:rowOff>0</xdr:rowOff>
    </xdr:to>
    <xdr:graphicFrame macro="">
      <xdr:nvGraphicFramePr>
        <xdr:cNvPr id="40" name="Chart 176">
          <a:extLst>
            <a:ext uri="{FF2B5EF4-FFF2-40B4-BE49-F238E27FC236}">
              <a16:creationId xmlns:a16="http://schemas.microsoft.com/office/drawing/2014/main" id="{00000000-0008-0000-11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69</xdr:row>
      <xdr:rowOff>0</xdr:rowOff>
    </xdr:from>
    <xdr:to>
      <xdr:col>10</xdr:col>
      <xdr:colOff>0</xdr:colOff>
      <xdr:row>100</xdr:row>
      <xdr:rowOff>0</xdr:rowOff>
    </xdr:to>
    <xdr:graphicFrame macro="">
      <xdr:nvGraphicFramePr>
        <xdr:cNvPr id="41" name="Chart 764">
          <a:extLst>
            <a:ext uri="{FF2B5EF4-FFF2-40B4-BE49-F238E27FC236}">
              <a16:creationId xmlns:a16="http://schemas.microsoft.com/office/drawing/2014/main" id="{00000000-0008-0000-11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35</xdr:row>
      <xdr:rowOff>142874</xdr:rowOff>
    </xdr:from>
    <xdr:to>
      <xdr:col>20</xdr:col>
      <xdr:colOff>0</xdr:colOff>
      <xdr:row>59</xdr:row>
      <xdr:rowOff>180974</xdr:rowOff>
    </xdr:to>
    <xdr:graphicFrame macro="">
      <xdr:nvGraphicFramePr>
        <xdr:cNvPr id="48" name="Chart 176">
          <a:extLst>
            <a:ext uri="{FF2B5EF4-FFF2-40B4-BE49-F238E27FC236}">
              <a16:creationId xmlns:a16="http://schemas.microsoft.com/office/drawing/2014/main" id="{00000000-0008-0000-11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49" name="Oval 2165">
          <a:extLst>
            <a:ext uri="{FF2B5EF4-FFF2-40B4-BE49-F238E27FC236}">
              <a16:creationId xmlns:a16="http://schemas.microsoft.com/office/drawing/2014/main" id="{00000000-0008-0000-1100-000031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60</xdr:row>
      <xdr:rowOff>85725</xdr:rowOff>
    </xdr:from>
    <xdr:to>
      <xdr:col>10</xdr:col>
      <xdr:colOff>417150</xdr:colOff>
      <xdr:row>60</xdr:row>
      <xdr:rowOff>85725</xdr:rowOff>
    </xdr:to>
    <xdr:sp macro="" textlink="">
      <xdr:nvSpPr>
        <xdr:cNvPr id="50" name="Line 283">
          <a:extLst>
            <a:ext uri="{FF2B5EF4-FFF2-40B4-BE49-F238E27FC236}">
              <a16:creationId xmlns:a16="http://schemas.microsoft.com/office/drawing/2014/main" id="{00000000-0008-0000-1100-000032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161925</xdr:colOff>
      <xdr:row>60</xdr:row>
      <xdr:rowOff>57150</xdr:rowOff>
    </xdr:from>
    <xdr:to>
      <xdr:col>15</xdr:col>
      <xdr:colOff>238125</xdr:colOff>
      <xdr:row>60</xdr:row>
      <xdr:rowOff>133350</xdr:rowOff>
    </xdr:to>
    <xdr:sp macro="" textlink="">
      <xdr:nvSpPr>
        <xdr:cNvPr id="51" name="Oval 2164">
          <a:extLst>
            <a:ext uri="{FF2B5EF4-FFF2-40B4-BE49-F238E27FC236}">
              <a16:creationId xmlns:a16="http://schemas.microsoft.com/office/drawing/2014/main" id="{00000000-0008-0000-1100-000033000000}"/>
            </a:ext>
          </a:extLst>
        </xdr:cNvPr>
        <xdr:cNvSpPr>
          <a:spLocks noChangeArrowheads="1"/>
        </xdr:cNvSpPr>
      </xdr:nvSpPr>
      <xdr:spPr bwMode="auto">
        <a:xfrm>
          <a:off x="7200900" y="111633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61</xdr:row>
      <xdr:rowOff>85724</xdr:rowOff>
    </xdr:from>
    <xdr:to>
      <xdr:col>15</xdr:col>
      <xdr:colOff>354675</xdr:colOff>
      <xdr:row>61</xdr:row>
      <xdr:rowOff>85724</xdr:rowOff>
    </xdr:to>
    <xdr:sp macro="" textlink="">
      <xdr:nvSpPr>
        <xdr:cNvPr id="52" name="Line 283">
          <a:extLst>
            <a:ext uri="{FF2B5EF4-FFF2-40B4-BE49-F238E27FC236}">
              <a16:creationId xmlns:a16="http://schemas.microsoft.com/office/drawing/2014/main" id="{00000000-0008-0000-1100-000034000000}"/>
            </a:ext>
          </a:extLst>
        </xdr:cNvPr>
        <xdr:cNvSpPr>
          <a:spLocks noChangeShapeType="1"/>
        </xdr:cNvSpPr>
      </xdr:nvSpPr>
      <xdr:spPr bwMode="auto">
        <a:xfrm>
          <a:off x="7105650" y="11372849"/>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104</xdr:row>
      <xdr:rowOff>0</xdr:rowOff>
    </xdr:from>
    <xdr:to>
      <xdr:col>19</xdr:col>
      <xdr:colOff>95250</xdr:colOff>
      <xdr:row>139</xdr:row>
      <xdr:rowOff>47625</xdr:rowOff>
    </xdr:to>
    <xdr:grpSp>
      <xdr:nvGrpSpPr>
        <xdr:cNvPr id="35" name="Group 34">
          <a:extLst>
            <a:ext uri="{FF2B5EF4-FFF2-40B4-BE49-F238E27FC236}">
              <a16:creationId xmlns:a16="http://schemas.microsoft.com/office/drawing/2014/main" id="{FD4006FE-724F-4B1A-8F98-FA9EF408039E}"/>
            </a:ext>
          </a:extLst>
        </xdr:cNvPr>
        <xdr:cNvGrpSpPr/>
      </xdr:nvGrpSpPr>
      <xdr:grpSpPr>
        <a:xfrm>
          <a:off x="120396" y="19741896"/>
          <a:ext cx="8950452" cy="4899660"/>
          <a:chOff x="95250" y="95250"/>
          <a:chExt cx="7534275" cy="5048250"/>
        </a:xfrm>
      </xdr:grpSpPr>
      <xdr:sp macro="" textlink="">
        <xdr:nvSpPr>
          <xdr:cNvPr id="36" name="Rectangle 35">
            <a:extLst>
              <a:ext uri="{FF2B5EF4-FFF2-40B4-BE49-F238E27FC236}">
                <a16:creationId xmlns:a16="http://schemas.microsoft.com/office/drawing/2014/main" id="{91F7882A-275D-5F5E-C34F-A39379C14401}"/>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37" name="Rectangle: Rounded Corners 36">
            <a:hlinkClick xmlns:r="http://schemas.openxmlformats.org/officeDocument/2006/relationships" r:id="rId6"/>
            <a:extLst>
              <a:ext uri="{FF2B5EF4-FFF2-40B4-BE49-F238E27FC236}">
                <a16:creationId xmlns:a16="http://schemas.microsoft.com/office/drawing/2014/main" id="{1EB13BC6-7590-4038-F1B8-49261C1AC30F}"/>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38" name="Rectangle: Rounded Corners 37">
            <a:hlinkClick xmlns:r="http://schemas.openxmlformats.org/officeDocument/2006/relationships" r:id="rId7"/>
            <a:extLst>
              <a:ext uri="{FF2B5EF4-FFF2-40B4-BE49-F238E27FC236}">
                <a16:creationId xmlns:a16="http://schemas.microsoft.com/office/drawing/2014/main" id="{C01CDD8C-549F-0911-3B11-CFC0A2FE105D}"/>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42" name="Rectangle: Rounded Corners 41">
            <a:hlinkClick xmlns:r="http://schemas.openxmlformats.org/officeDocument/2006/relationships" r:id="rId8"/>
            <a:extLst>
              <a:ext uri="{FF2B5EF4-FFF2-40B4-BE49-F238E27FC236}">
                <a16:creationId xmlns:a16="http://schemas.microsoft.com/office/drawing/2014/main" id="{9FEE802E-5586-B4FF-997F-C9C6B704AF8D}"/>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43" name="Rectangle: Rounded Corners 42">
            <a:hlinkClick xmlns:r="http://schemas.openxmlformats.org/officeDocument/2006/relationships" r:id="rId9"/>
            <a:extLst>
              <a:ext uri="{FF2B5EF4-FFF2-40B4-BE49-F238E27FC236}">
                <a16:creationId xmlns:a16="http://schemas.microsoft.com/office/drawing/2014/main" id="{9E43DBD2-3A92-3440-D1CE-5196548A7D13}"/>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44" name="Rectangle: Rounded Corners 43">
            <a:hlinkClick xmlns:r="http://schemas.openxmlformats.org/officeDocument/2006/relationships" r:id="rId10"/>
            <a:extLst>
              <a:ext uri="{FF2B5EF4-FFF2-40B4-BE49-F238E27FC236}">
                <a16:creationId xmlns:a16="http://schemas.microsoft.com/office/drawing/2014/main" id="{A1906443-46B5-F8E2-9256-D310425E6D59}"/>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45" name="Rectangle: Rounded Corners 44">
            <a:hlinkClick xmlns:r="http://schemas.openxmlformats.org/officeDocument/2006/relationships" r:id="rId11"/>
            <a:extLst>
              <a:ext uri="{FF2B5EF4-FFF2-40B4-BE49-F238E27FC236}">
                <a16:creationId xmlns:a16="http://schemas.microsoft.com/office/drawing/2014/main" id="{D474B148-44FA-4BB7-4859-DA647D61460A}"/>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46" name="Rectangle: Rounded Corners 45">
            <a:hlinkClick xmlns:r="http://schemas.openxmlformats.org/officeDocument/2006/relationships" r:id="rId12"/>
            <a:extLst>
              <a:ext uri="{FF2B5EF4-FFF2-40B4-BE49-F238E27FC236}">
                <a16:creationId xmlns:a16="http://schemas.microsoft.com/office/drawing/2014/main" id="{F70A4726-D841-C27B-A128-16333C05A9B9}"/>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47" name="Rectangle: Rounded Corners 46">
            <a:hlinkClick xmlns:r="http://schemas.openxmlformats.org/officeDocument/2006/relationships" r:id="rId13"/>
            <a:extLst>
              <a:ext uri="{FF2B5EF4-FFF2-40B4-BE49-F238E27FC236}">
                <a16:creationId xmlns:a16="http://schemas.microsoft.com/office/drawing/2014/main" id="{03E71C7A-0DCC-7870-3918-97CBA0CBCA84}"/>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53" name="Rectangle: Rounded Corners 52">
            <a:hlinkClick xmlns:r="http://schemas.openxmlformats.org/officeDocument/2006/relationships" r:id="rId14"/>
            <a:extLst>
              <a:ext uri="{FF2B5EF4-FFF2-40B4-BE49-F238E27FC236}">
                <a16:creationId xmlns:a16="http://schemas.microsoft.com/office/drawing/2014/main" id="{6466BDC2-4D3F-AFBA-CCC7-E6C252E43482}"/>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54" name="Group 53">
            <a:hlinkClick xmlns:r="http://schemas.openxmlformats.org/officeDocument/2006/relationships" r:id="rId15"/>
            <a:extLst>
              <a:ext uri="{FF2B5EF4-FFF2-40B4-BE49-F238E27FC236}">
                <a16:creationId xmlns:a16="http://schemas.microsoft.com/office/drawing/2014/main" id="{036697FA-3253-5DA8-A578-0C0917EC7B12}"/>
              </a:ext>
            </a:extLst>
          </xdr:cNvPr>
          <xdr:cNvGrpSpPr/>
        </xdr:nvGrpSpPr>
        <xdr:grpSpPr>
          <a:xfrm>
            <a:off x="190500" y="723900"/>
            <a:ext cx="1695450" cy="723900"/>
            <a:chOff x="190500" y="180975"/>
            <a:chExt cx="1800225" cy="723900"/>
          </a:xfrm>
        </xdr:grpSpPr>
        <xdr:sp macro="" textlink="">
          <xdr:nvSpPr>
            <xdr:cNvPr id="96278" name="Rectangle: Rounded Corners 96277">
              <a:hlinkClick xmlns:r="http://schemas.openxmlformats.org/officeDocument/2006/relationships" r:id="rId15"/>
              <a:extLst>
                <a:ext uri="{FF2B5EF4-FFF2-40B4-BE49-F238E27FC236}">
                  <a16:creationId xmlns:a16="http://schemas.microsoft.com/office/drawing/2014/main" id="{0C92ED33-FFE9-D8EB-61DE-417C54598F13}"/>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96279" name="Picture 96278">
              <a:extLst>
                <a:ext uri="{FF2B5EF4-FFF2-40B4-BE49-F238E27FC236}">
                  <a16:creationId xmlns:a16="http://schemas.microsoft.com/office/drawing/2014/main" id="{A4A50FC3-84FB-F287-0822-E710A5F3317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55" name="Rectangle: Rounded Corners 54">
            <a:hlinkClick xmlns:r="http://schemas.openxmlformats.org/officeDocument/2006/relationships" r:id="rId17"/>
            <a:extLst>
              <a:ext uri="{FF2B5EF4-FFF2-40B4-BE49-F238E27FC236}">
                <a16:creationId xmlns:a16="http://schemas.microsoft.com/office/drawing/2014/main" id="{2EEE9E71-7721-AE4E-E82F-DA581F0B2C1C}"/>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56" name="Rectangle: Rounded Corners 55">
            <a:hlinkClick xmlns:r="http://schemas.openxmlformats.org/officeDocument/2006/relationships" r:id="rId18"/>
            <a:extLst>
              <a:ext uri="{FF2B5EF4-FFF2-40B4-BE49-F238E27FC236}">
                <a16:creationId xmlns:a16="http://schemas.microsoft.com/office/drawing/2014/main" id="{0CD192C5-5B4E-0FC4-3611-7288EAC1949C}"/>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57" name="Rectangle: Rounded Corners 56">
            <a:hlinkClick xmlns:r="http://schemas.openxmlformats.org/officeDocument/2006/relationships" r:id="rId19"/>
            <a:extLst>
              <a:ext uri="{FF2B5EF4-FFF2-40B4-BE49-F238E27FC236}">
                <a16:creationId xmlns:a16="http://schemas.microsoft.com/office/drawing/2014/main" id="{71773988-D12F-1817-FA9A-6B32F7C04F01}"/>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58" name="Rectangle: Rounded Corners 57">
            <a:hlinkClick xmlns:r="http://schemas.openxmlformats.org/officeDocument/2006/relationships" r:id="rId20"/>
            <a:extLst>
              <a:ext uri="{FF2B5EF4-FFF2-40B4-BE49-F238E27FC236}">
                <a16:creationId xmlns:a16="http://schemas.microsoft.com/office/drawing/2014/main" id="{017E7B1F-4F7C-A8CF-838D-F2D31859FFCE}"/>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59" name="Rectangle: Rounded Corners 58">
            <a:hlinkClick xmlns:r="http://schemas.openxmlformats.org/officeDocument/2006/relationships" r:id="rId21"/>
            <a:extLst>
              <a:ext uri="{FF2B5EF4-FFF2-40B4-BE49-F238E27FC236}">
                <a16:creationId xmlns:a16="http://schemas.microsoft.com/office/drawing/2014/main" id="{A37BDF13-1734-D715-A046-844BF2E788AD}"/>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60" name="Rectangle: Rounded Corners 59">
            <a:hlinkClick xmlns:r="http://schemas.openxmlformats.org/officeDocument/2006/relationships" r:id="rId22"/>
            <a:extLst>
              <a:ext uri="{FF2B5EF4-FFF2-40B4-BE49-F238E27FC236}">
                <a16:creationId xmlns:a16="http://schemas.microsoft.com/office/drawing/2014/main" id="{41967DA5-C33F-871C-9556-CB71D10D2431}"/>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61" name="Rectangle: Rounded Corners 60">
            <a:hlinkClick xmlns:r="http://schemas.openxmlformats.org/officeDocument/2006/relationships" r:id="rId23"/>
            <a:extLst>
              <a:ext uri="{FF2B5EF4-FFF2-40B4-BE49-F238E27FC236}">
                <a16:creationId xmlns:a16="http://schemas.microsoft.com/office/drawing/2014/main" id="{192CAA49-988B-645D-9B9F-FB2ADEB44E0D}"/>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62" name="Rectangle: Rounded Corners 61">
            <a:hlinkClick xmlns:r="http://schemas.openxmlformats.org/officeDocument/2006/relationships" r:id="rId24"/>
            <a:extLst>
              <a:ext uri="{FF2B5EF4-FFF2-40B4-BE49-F238E27FC236}">
                <a16:creationId xmlns:a16="http://schemas.microsoft.com/office/drawing/2014/main" id="{0106EE40-8CA9-CC46-D3F4-92A25AF77046}"/>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63" name="Rectangle: Rounded Corners 62">
            <a:hlinkClick xmlns:r="http://schemas.openxmlformats.org/officeDocument/2006/relationships" r:id="rId25"/>
            <a:extLst>
              <a:ext uri="{FF2B5EF4-FFF2-40B4-BE49-F238E27FC236}">
                <a16:creationId xmlns:a16="http://schemas.microsoft.com/office/drawing/2014/main" id="{A33E24E8-3537-F8C0-FFEB-C701D4445172}"/>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96256" name="Rectangle: Rounded Corners 96255">
            <a:hlinkClick xmlns:r="http://schemas.openxmlformats.org/officeDocument/2006/relationships" r:id="rId26"/>
            <a:extLst>
              <a:ext uri="{FF2B5EF4-FFF2-40B4-BE49-F238E27FC236}">
                <a16:creationId xmlns:a16="http://schemas.microsoft.com/office/drawing/2014/main" id="{5C97A4D5-EC0D-4280-FD22-5EE7EAA9548E}"/>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96270" name="TextBox 96269">
            <a:extLst>
              <a:ext uri="{FF2B5EF4-FFF2-40B4-BE49-F238E27FC236}">
                <a16:creationId xmlns:a16="http://schemas.microsoft.com/office/drawing/2014/main" id="{B175FD77-1DAC-E824-F437-620E093F5F78}"/>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96281" name="Group 96280">
          <a:hlinkClick xmlns:r="http://schemas.openxmlformats.org/officeDocument/2006/relationships" r:id="rId15"/>
          <a:extLst>
            <a:ext uri="{FF2B5EF4-FFF2-40B4-BE49-F238E27FC236}">
              <a16:creationId xmlns:a16="http://schemas.microsoft.com/office/drawing/2014/main" id="{C176B06D-9CEE-4378-86A5-FE147377EE52}"/>
            </a:ext>
          </a:extLst>
        </xdr:cNvPr>
        <xdr:cNvGrpSpPr/>
      </xdr:nvGrpSpPr>
      <xdr:grpSpPr>
        <a:xfrm>
          <a:off x="9691116" y="0"/>
          <a:ext cx="411480" cy="1685544"/>
          <a:chOff x="9210675" y="19050"/>
          <a:chExt cx="390525" cy="1743075"/>
        </a:xfrm>
      </xdr:grpSpPr>
      <xdr:pic>
        <xdr:nvPicPr>
          <xdr:cNvPr id="96282" name="Graphic 96281" descr="Map compass with solid fill">
            <a:hlinkClick xmlns:r="http://schemas.openxmlformats.org/officeDocument/2006/relationships" r:id="rId27"/>
            <a:extLst>
              <a:ext uri="{FF2B5EF4-FFF2-40B4-BE49-F238E27FC236}">
                <a16:creationId xmlns:a16="http://schemas.microsoft.com/office/drawing/2014/main" id="{540C52A4-054C-F021-E12E-B49505603D4B}"/>
              </a:ext>
            </a:extLst>
          </xdr:cNvPr>
          <xdr:cNvPicPr>
            <a:picLocks noChangeAspect="1"/>
          </xdr:cNvPicPr>
        </xdr:nvPicPr>
        <xdr:blipFill>
          <a:blip xmlns:r="http://schemas.openxmlformats.org/officeDocument/2006/relationships" r:embed="rId28">
            <a:duotone>
              <a:schemeClr val="accent6">
                <a:shade val="45000"/>
                <a:satMod val="135000"/>
              </a:schemeClr>
              <a:prstClr val="white"/>
            </a:duotone>
            <a:extLst>
              <a:ext uri="{96DAC541-7B7A-43D3-8B79-37D633B846F1}">
                <asvg:svgBlip xmlns:asvg="http://schemas.microsoft.com/office/drawing/2016/SVG/main" r:embed="rId29"/>
              </a:ext>
            </a:extLst>
          </a:blip>
          <a:stretch>
            <a:fillRect/>
          </a:stretch>
        </xdr:blipFill>
        <xdr:spPr>
          <a:xfrm>
            <a:off x="9229725" y="38099"/>
            <a:ext cx="369675" cy="369675"/>
          </a:xfrm>
          <a:prstGeom prst="rect">
            <a:avLst/>
          </a:prstGeom>
        </xdr:spPr>
      </xdr:pic>
      <xdr:sp macro="" textlink="">
        <xdr:nvSpPr>
          <xdr:cNvPr id="96283" name="Right Arrow 50">
            <a:hlinkClick xmlns:r="http://schemas.openxmlformats.org/officeDocument/2006/relationships" r:id="rId13"/>
            <a:extLst>
              <a:ext uri="{FF2B5EF4-FFF2-40B4-BE49-F238E27FC236}">
                <a16:creationId xmlns:a16="http://schemas.microsoft.com/office/drawing/2014/main" id="{6FCE4369-14D0-CAEF-7EF8-B914F898C560}"/>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96284" name="Right Arrow 50">
            <a:hlinkClick xmlns:r="http://schemas.openxmlformats.org/officeDocument/2006/relationships" r:id="rId17"/>
            <a:extLst>
              <a:ext uri="{FF2B5EF4-FFF2-40B4-BE49-F238E27FC236}">
                <a16:creationId xmlns:a16="http://schemas.microsoft.com/office/drawing/2014/main" id="{47A47A27-3FA0-9754-F299-BBF3D670CABC}"/>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96285" name="Picture 96284">
            <a:hlinkClick xmlns:r="http://schemas.openxmlformats.org/officeDocument/2006/relationships" r:id="rId15"/>
            <a:extLst>
              <a:ext uri="{FF2B5EF4-FFF2-40B4-BE49-F238E27FC236}">
                <a16:creationId xmlns:a16="http://schemas.microsoft.com/office/drawing/2014/main" id="{08B42A6D-AF11-9509-83FC-71CB7F208E8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96286" name="Rectangle 96285">
            <a:extLst>
              <a:ext uri="{FF2B5EF4-FFF2-40B4-BE49-F238E27FC236}">
                <a16:creationId xmlns:a16="http://schemas.microsoft.com/office/drawing/2014/main" id="{4695716B-1EC8-3050-2A25-1BDFCDD09BEC}"/>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5" name="Down Arrow 44">
          <a:hlinkClick xmlns:r="http://schemas.openxmlformats.org/officeDocument/2006/relationships" r:id="rId14"/>
          <a:extLst>
            <a:ext uri="{FF2B5EF4-FFF2-40B4-BE49-F238E27FC236}">
              <a16:creationId xmlns:a16="http://schemas.microsoft.com/office/drawing/2014/main" id="{8A7F8E6D-6F24-454D-BC3C-DE16067CC1CD}"/>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7" name="Down Arrow 44">
          <a:hlinkClick xmlns:r="http://schemas.openxmlformats.org/officeDocument/2006/relationships" r:id="rId14"/>
          <a:extLst>
            <a:ext uri="{FF2B5EF4-FFF2-40B4-BE49-F238E27FC236}">
              <a16:creationId xmlns:a16="http://schemas.microsoft.com/office/drawing/2014/main" id="{F8B2579D-8EBD-4C4B-9ECE-70C68D52B1E3}"/>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101</xdr:row>
      <xdr:rowOff>0</xdr:rowOff>
    </xdr:from>
    <xdr:ext cx="252000" cy="288000"/>
    <xdr:sp macro="" textlink="">
      <xdr:nvSpPr>
        <xdr:cNvPr id="8" name="Down Arrow 44">
          <a:hlinkClick xmlns:r="http://schemas.openxmlformats.org/officeDocument/2006/relationships" r:id="rId14"/>
          <a:extLst>
            <a:ext uri="{FF2B5EF4-FFF2-40B4-BE49-F238E27FC236}">
              <a16:creationId xmlns:a16="http://schemas.microsoft.com/office/drawing/2014/main" id="{6E308392-237C-44B8-AD2C-45E436A00F19}"/>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14.xml><?xml version="1.0" encoding="utf-8"?>
<xdr:wsDr xmlns:xdr="http://schemas.openxmlformats.org/drawingml/2006/spreadsheetDrawing" xmlns:a="http://schemas.openxmlformats.org/drawingml/2006/main">
  <xdr:twoCellAnchor>
    <xdr:from>
      <xdr:col>1</xdr:col>
      <xdr:colOff>1</xdr:colOff>
      <xdr:row>36</xdr:row>
      <xdr:rowOff>1</xdr:rowOff>
    </xdr:from>
    <xdr:to>
      <xdr:col>10</xdr:col>
      <xdr:colOff>0</xdr:colOff>
      <xdr:row>65</xdr:row>
      <xdr:rowOff>0</xdr:rowOff>
    </xdr:to>
    <xdr:graphicFrame macro="">
      <xdr:nvGraphicFramePr>
        <xdr:cNvPr id="6" name="Chart 13">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400048</xdr:colOff>
      <xdr:row>0</xdr:row>
      <xdr:rowOff>85725</xdr:rowOff>
    </xdr:from>
    <xdr:to>
      <xdr:col>20</xdr:col>
      <xdr:colOff>35923</xdr:colOff>
      <xdr:row>2</xdr:row>
      <xdr:rowOff>149475</xdr:rowOff>
    </xdr:to>
    <xdr:sp macro="" textlink="">
      <xdr:nvSpPr>
        <xdr:cNvPr id="8" name="AutoShape 32">
          <a:extLst>
            <a:ext uri="{FF2B5EF4-FFF2-40B4-BE49-F238E27FC236}">
              <a16:creationId xmlns:a16="http://schemas.microsoft.com/office/drawing/2014/main" id="{00000000-0008-0000-1200-000008000000}"/>
            </a:ext>
          </a:extLst>
        </xdr:cNvPr>
        <xdr:cNvSpPr>
          <a:spLocks noChangeArrowheads="1"/>
        </xdr:cNvSpPr>
      </xdr:nvSpPr>
      <xdr:spPr bwMode="auto">
        <a:xfrm>
          <a:off x="6953248"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1</xdr:colOff>
      <xdr:row>62</xdr:row>
      <xdr:rowOff>0</xdr:rowOff>
    </xdr:from>
    <xdr:to>
      <xdr:col>20</xdr:col>
      <xdr:colOff>2</xdr:colOff>
      <xdr:row>65</xdr:row>
      <xdr:rowOff>0</xdr:rowOff>
    </xdr:to>
    <xdr:graphicFrame macro="">
      <xdr:nvGraphicFramePr>
        <xdr:cNvPr id="9" name="Chart 13">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85725</xdr:colOff>
          <xdr:row>36</xdr:row>
          <xdr:rowOff>28575</xdr:rowOff>
        </xdr:from>
        <xdr:to>
          <xdr:col>35</xdr:col>
          <xdr:colOff>57150</xdr:colOff>
          <xdr:row>38</xdr:row>
          <xdr:rowOff>9525</xdr:rowOff>
        </xdr:to>
        <xdr:sp macro="" textlink="">
          <xdr:nvSpPr>
            <xdr:cNvPr id="97281" name="Check Box 1" hidden="1">
              <a:extLst>
                <a:ext uri="{63B3BB69-23CF-44E3-9099-C40C66FF867C}">
                  <a14:compatExt spid="_x0000_s97281"/>
                </a:ext>
                <a:ext uri="{FF2B5EF4-FFF2-40B4-BE49-F238E27FC236}">
                  <a16:creationId xmlns:a16="http://schemas.microsoft.com/office/drawing/2014/main" id="{00000000-0008-0000-1400-000001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37</xdr:row>
          <xdr:rowOff>152400</xdr:rowOff>
        </xdr:from>
        <xdr:to>
          <xdr:col>35</xdr:col>
          <xdr:colOff>57150</xdr:colOff>
          <xdr:row>39</xdr:row>
          <xdr:rowOff>9525</xdr:rowOff>
        </xdr:to>
        <xdr:sp macro="" textlink="">
          <xdr:nvSpPr>
            <xdr:cNvPr id="97282" name="Check Box 2" hidden="1">
              <a:extLst>
                <a:ext uri="{63B3BB69-23CF-44E3-9099-C40C66FF867C}">
                  <a14:compatExt spid="_x0000_s97282"/>
                </a:ext>
                <a:ext uri="{FF2B5EF4-FFF2-40B4-BE49-F238E27FC236}">
                  <a16:creationId xmlns:a16="http://schemas.microsoft.com/office/drawing/2014/main" id="{00000000-0008-0000-1400-000002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38</xdr:row>
          <xdr:rowOff>152400</xdr:rowOff>
        </xdr:from>
        <xdr:to>
          <xdr:col>35</xdr:col>
          <xdr:colOff>57150</xdr:colOff>
          <xdr:row>40</xdr:row>
          <xdr:rowOff>9525</xdr:rowOff>
        </xdr:to>
        <xdr:sp macro="" textlink="">
          <xdr:nvSpPr>
            <xdr:cNvPr id="97283" name="Check Box 3" hidden="1">
              <a:extLst>
                <a:ext uri="{63B3BB69-23CF-44E3-9099-C40C66FF867C}">
                  <a14:compatExt spid="_x0000_s97283"/>
                </a:ext>
                <a:ext uri="{FF2B5EF4-FFF2-40B4-BE49-F238E27FC236}">
                  <a16:creationId xmlns:a16="http://schemas.microsoft.com/office/drawing/2014/main" id="{00000000-0008-0000-1400-000003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39</xdr:row>
          <xdr:rowOff>152400</xdr:rowOff>
        </xdr:from>
        <xdr:to>
          <xdr:col>35</xdr:col>
          <xdr:colOff>57150</xdr:colOff>
          <xdr:row>41</xdr:row>
          <xdr:rowOff>9525</xdr:rowOff>
        </xdr:to>
        <xdr:sp macro="" textlink="">
          <xdr:nvSpPr>
            <xdr:cNvPr id="97284" name="Check Box 4" hidden="1">
              <a:extLst>
                <a:ext uri="{63B3BB69-23CF-44E3-9099-C40C66FF867C}">
                  <a14:compatExt spid="_x0000_s97284"/>
                </a:ext>
                <a:ext uri="{FF2B5EF4-FFF2-40B4-BE49-F238E27FC236}">
                  <a16:creationId xmlns:a16="http://schemas.microsoft.com/office/drawing/2014/main" id="{00000000-0008-0000-1400-000004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40</xdr:row>
          <xdr:rowOff>152400</xdr:rowOff>
        </xdr:from>
        <xdr:to>
          <xdr:col>35</xdr:col>
          <xdr:colOff>57150</xdr:colOff>
          <xdr:row>42</xdr:row>
          <xdr:rowOff>9525</xdr:rowOff>
        </xdr:to>
        <xdr:sp macro="" textlink="">
          <xdr:nvSpPr>
            <xdr:cNvPr id="97285" name="Check Box 5" hidden="1">
              <a:extLst>
                <a:ext uri="{63B3BB69-23CF-44E3-9099-C40C66FF867C}">
                  <a14:compatExt spid="_x0000_s97285"/>
                </a:ext>
                <a:ext uri="{FF2B5EF4-FFF2-40B4-BE49-F238E27FC236}">
                  <a16:creationId xmlns:a16="http://schemas.microsoft.com/office/drawing/2014/main" id="{00000000-0008-0000-1400-000005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41</xdr:row>
          <xdr:rowOff>152400</xdr:rowOff>
        </xdr:from>
        <xdr:to>
          <xdr:col>35</xdr:col>
          <xdr:colOff>57150</xdr:colOff>
          <xdr:row>43</xdr:row>
          <xdr:rowOff>9525</xdr:rowOff>
        </xdr:to>
        <xdr:sp macro="" textlink="">
          <xdr:nvSpPr>
            <xdr:cNvPr id="97286" name="Check Box 6" hidden="1">
              <a:extLst>
                <a:ext uri="{63B3BB69-23CF-44E3-9099-C40C66FF867C}">
                  <a14:compatExt spid="_x0000_s97286"/>
                </a:ext>
                <a:ext uri="{FF2B5EF4-FFF2-40B4-BE49-F238E27FC236}">
                  <a16:creationId xmlns:a16="http://schemas.microsoft.com/office/drawing/2014/main" id="{00000000-0008-0000-1400-000006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42</xdr:row>
          <xdr:rowOff>152400</xdr:rowOff>
        </xdr:from>
        <xdr:to>
          <xdr:col>35</xdr:col>
          <xdr:colOff>57150</xdr:colOff>
          <xdr:row>44</xdr:row>
          <xdr:rowOff>9525</xdr:rowOff>
        </xdr:to>
        <xdr:sp macro="" textlink="">
          <xdr:nvSpPr>
            <xdr:cNvPr id="97287" name="Check Box 7" hidden="1">
              <a:extLst>
                <a:ext uri="{63B3BB69-23CF-44E3-9099-C40C66FF867C}">
                  <a14:compatExt spid="_x0000_s97287"/>
                </a:ext>
                <a:ext uri="{FF2B5EF4-FFF2-40B4-BE49-F238E27FC236}">
                  <a16:creationId xmlns:a16="http://schemas.microsoft.com/office/drawing/2014/main" id="{00000000-0008-0000-1400-000007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43</xdr:row>
          <xdr:rowOff>152400</xdr:rowOff>
        </xdr:from>
        <xdr:to>
          <xdr:col>35</xdr:col>
          <xdr:colOff>57150</xdr:colOff>
          <xdr:row>45</xdr:row>
          <xdr:rowOff>9525</xdr:rowOff>
        </xdr:to>
        <xdr:sp macro="" textlink="">
          <xdr:nvSpPr>
            <xdr:cNvPr id="97288" name="Check Box 8" hidden="1">
              <a:extLst>
                <a:ext uri="{63B3BB69-23CF-44E3-9099-C40C66FF867C}">
                  <a14:compatExt spid="_x0000_s97288"/>
                </a:ext>
                <a:ext uri="{FF2B5EF4-FFF2-40B4-BE49-F238E27FC236}">
                  <a16:creationId xmlns:a16="http://schemas.microsoft.com/office/drawing/2014/main" id="{00000000-0008-0000-1400-000008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44</xdr:row>
          <xdr:rowOff>152400</xdr:rowOff>
        </xdr:from>
        <xdr:to>
          <xdr:col>35</xdr:col>
          <xdr:colOff>57150</xdr:colOff>
          <xdr:row>46</xdr:row>
          <xdr:rowOff>9525</xdr:rowOff>
        </xdr:to>
        <xdr:sp macro="" textlink="">
          <xdr:nvSpPr>
            <xdr:cNvPr id="97289" name="Check Box 9" hidden="1">
              <a:extLst>
                <a:ext uri="{63B3BB69-23CF-44E3-9099-C40C66FF867C}">
                  <a14:compatExt spid="_x0000_s97289"/>
                </a:ext>
                <a:ext uri="{FF2B5EF4-FFF2-40B4-BE49-F238E27FC236}">
                  <a16:creationId xmlns:a16="http://schemas.microsoft.com/office/drawing/2014/main" id="{00000000-0008-0000-1400-000009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45</xdr:row>
          <xdr:rowOff>152400</xdr:rowOff>
        </xdr:from>
        <xdr:to>
          <xdr:col>35</xdr:col>
          <xdr:colOff>57150</xdr:colOff>
          <xdr:row>47</xdr:row>
          <xdr:rowOff>9525</xdr:rowOff>
        </xdr:to>
        <xdr:sp macro="" textlink="">
          <xdr:nvSpPr>
            <xdr:cNvPr id="97290" name="Check Box 10" hidden="1">
              <a:extLst>
                <a:ext uri="{63B3BB69-23CF-44E3-9099-C40C66FF867C}">
                  <a14:compatExt spid="_x0000_s97290"/>
                </a:ext>
                <a:ext uri="{FF2B5EF4-FFF2-40B4-BE49-F238E27FC236}">
                  <a16:creationId xmlns:a16="http://schemas.microsoft.com/office/drawing/2014/main" id="{00000000-0008-0000-1400-00000A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46</xdr:row>
          <xdr:rowOff>152400</xdr:rowOff>
        </xdr:from>
        <xdr:to>
          <xdr:col>35</xdr:col>
          <xdr:colOff>57150</xdr:colOff>
          <xdr:row>48</xdr:row>
          <xdr:rowOff>9525</xdr:rowOff>
        </xdr:to>
        <xdr:sp macro="" textlink="">
          <xdr:nvSpPr>
            <xdr:cNvPr id="97291" name="Check Box 11" hidden="1">
              <a:extLst>
                <a:ext uri="{63B3BB69-23CF-44E3-9099-C40C66FF867C}">
                  <a14:compatExt spid="_x0000_s97291"/>
                </a:ext>
                <a:ext uri="{FF2B5EF4-FFF2-40B4-BE49-F238E27FC236}">
                  <a16:creationId xmlns:a16="http://schemas.microsoft.com/office/drawing/2014/main" id="{00000000-0008-0000-1400-00000B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47</xdr:row>
          <xdr:rowOff>152400</xdr:rowOff>
        </xdr:from>
        <xdr:to>
          <xdr:col>35</xdr:col>
          <xdr:colOff>57150</xdr:colOff>
          <xdr:row>49</xdr:row>
          <xdr:rowOff>9525</xdr:rowOff>
        </xdr:to>
        <xdr:sp macro="" textlink="">
          <xdr:nvSpPr>
            <xdr:cNvPr id="97292" name="Check Box 12" hidden="1">
              <a:extLst>
                <a:ext uri="{63B3BB69-23CF-44E3-9099-C40C66FF867C}">
                  <a14:compatExt spid="_x0000_s97292"/>
                </a:ext>
                <a:ext uri="{FF2B5EF4-FFF2-40B4-BE49-F238E27FC236}">
                  <a16:creationId xmlns:a16="http://schemas.microsoft.com/office/drawing/2014/main" id="{00000000-0008-0000-1400-00000C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48</xdr:row>
          <xdr:rowOff>152400</xdr:rowOff>
        </xdr:from>
        <xdr:to>
          <xdr:col>35</xdr:col>
          <xdr:colOff>57150</xdr:colOff>
          <xdr:row>50</xdr:row>
          <xdr:rowOff>9525</xdr:rowOff>
        </xdr:to>
        <xdr:sp macro="" textlink="">
          <xdr:nvSpPr>
            <xdr:cNvPr id="97293" name="Check Box 13" hidden="1">
              <a:extLst>
                <a:ext uri="{63B3BB69-23CF-44E3-9099-C40C66FF867C}">
                  <a14:compatExt spid="_x0000_s97293"/>
                </a:ext>
                <a:ext uri="{FF2B5EF4-FFF2-40B4-BE49-F238E27FC236}">
                  <a16:creationId xmlns:a16="http://schemas.microsoft.com/office/drawing/2014/main" id="{00000000-0008-0000-1400-00000D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49</xdr:row>
          <xdr:rowOff>152400</xdr:rowOff>
        </xdr:from>
        <xdr:to>
          <xdr:col>35</xdr:col>
          <xdr:colOff>57150</xdr:colOff>
          <xdr:row>51</xdr:row>
          <xdr:rowOff>9525</xdr:rowOff>
        </xdr:to>
        <xdr:sp macro="" textlink="">
          <xdr:nvSpPr>
            <xdr:cNvPr id="97295" name="Check Box 15" hidden="1">
              <a:extLst>
                <a:ext uri="{63B3BB69-23CF-44E3-9099-C40C66FF867C}">
                  <a14:compatExt spid="_x0000_s97295"/>
                </a:ext>
                <a:ext uri="{FF2B5EF4-FFF2-40B4-BE49-F238E27FC236}">
                  <a16:creationId xmlns:a16="http://schemas.microsoft.com/office/drawing/2014/main" id="{00000000-0008-0000-1400-00000F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50</xdr:row>
          <xdr:rowOff>152400</xdr:rowOff>
        </xdr:from>
        <xdr:to>
          <xdr:col>35</xdr:col>
          <xdr:colOff>57150</xdr:colOff>
          <xdr:row>52</xdr:row>
          <xdr:rowOff>9525</xdr:rowOff>
        </xdr:to>
        <xdr:sp macro="" textlink="">
          <xdr:nvSpPr>
            <xdr:cNvPr id="97296" name="Check Box 16" hidden="1">
              <a:extLst>
                <a:ext uri="{63B3BB69-23CF-44E3-9099-C40C66FF867C}">
                  <a14:compatExt spid="_x0000_s97296"/>
                </a:ext>
                <a:ext uri="{FF2B5EF4-FFF2-40B4-BE49-F238E27FC236}">
                  <a16:creationId xmlns:a16="http://schemas.microsoft.com/office/drawing/2014/main" id="{00000000-0008-0000-1400-000010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51</xdr:row>
          <xdr:rowOff>152400</xdr:rowOff>
        </xdr:from>
        <xdr:to>
          <xdr:col>35</xdr:col>
          <xdr:colOff>57150</xdr:colOff>
          <xdr:row>53</xdr:row>
          <xdr:rowOff>9525</xdr:rowOff>
        </xdr:to>
        <xdr:sp macro="" textlink="">
          <xdr:nvSpPr>
            <xdr:cNvPr id="97297" name="Check Box 17" hidden="1">
              <a:extLst>
                <a:ext uri="{63B3BB69-23CF-44E3-9099-C40C66FF867C}">
                  <a14:compatExt spid="_x0000_s97297"/>
                </a:ext>
                <a:ext uri="{FF2B5EF4-FFF2-40B4-BE49-F238E27FC236}">
                  <a16:creationId xmlns:a16="http://schemas.microsoft.com/office/drawing/2014/main" id="{00000000-0008-0000-1400-000011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52</xdr:row>
          <xdr:rowOff>152400</xdr:rowOff>
        </xdr:from>
        <xdr:to>
          <xdr:col>35</xdr:col>
          <xdr:colOff>57150</xdr:colOff>
          <xdr:row>54</xdr:row>
          <xdr:rowOff>9525</xdr:rowOff>
        </xdr:to>
        <xdr:sp macro="" textlink="">
          <xdr:nvSpPr>
            <xdr:cNvPr id="97298" name="Check Box 18" hidden="1">
              <a:extLst>
                <a:ext uri="{63B3BB69-23CF-44E3-9099-C40C66FF867C}">
                  <a14:compatExt spid="_x0000_s97298"/>
                </a:ext>
                <a:ext uri="{FF2B5EF4-FFF2-40B4-BE49-F238E27FC236}">
                  <a16:creationId xmlns:a16="http://schemas.microsoft.com/office/drawing/2014/main" id="{00000000-0008-0000-1400-000012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53</xdr:row>
          <xdr:rowOff>152400</xdr:rowOff>
        </xdr:from>
        <xdr:to>
          <xdr:col>35</xdr:col>
          <xdr:colOff>57150</xdr:colOff>
          <xdr:row>55</xdr:row>
          <xdr:rowOff>9525</xdr:rowOff>
        </xdr:to>
        <xdr:sp macro="" textlink="">
          <xdr:nvSpPr>
            <xdr:cNvPr id="97299" name="Check Box 19" hidden="1">
              <a:extLst>
                <a:ext uri="{63B3BB69-23CF-44E3-9099-C40C66FF867C}">
                  <a14:compatExt spid="_x0000_s97299"/>
                </a:ext>
                <a:ext uri="{FF2B5EF4-FFF2-40B4-BE49-F238E27FC236}">
                  <a16:creationId xmlns:a16="http://schemas.microsoft.com/office/drawing/2014/main" id="{00000000-0008-0000-1400-000013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54</xdr:row>
          <xdr:rowOff>152400</xdr:rowOff>
        </xdr:from>
        <xdr:to>
          <xdr:col>35</xdr:col>
          <xdr:colOff>57150</xdr:colOff>
          <xdr:row>56</xdr:row>
          <xdr:rowOff>9525</xdr:rowOff>
        </xdr:to>
        <xdr:sp macro="" textlink="">
          <xdr:nvSpPr>
            <xdr:cNvPr id="97300" name="Check Box 20" hidden="1">
              <a:extLst>
                <a:ext uri="{63B3BB69-23CF-44E3-9099-C40C66FF867C}">
                  <a14:compatExt spid="_x0000_s97300"/>
                </a:ext>
                <a:ext uri="{FF2B5EF4-FFF2-40B4-BE49-F238E27FC236}">
                  <a16:creationId xmlns:a16="http://schemas.microsoft.com/office/drawing/2014/main" id="{00000000-0008-0000-1400-000014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55</xdr:row>
          <xdr:rowOff>152400</xdr:rowOff>
        </xdr:from>
        <xdr:to>
          <xdr:col>35</xdr:col>
          <xdr:colOff>57150</xdr:colOff>
          <xdr:row>57</xdr:row>
          <xdr:rowOff>9525</xdr:rowOff>
        </xdr:to>
        <xdr:sp macro="" textlink="">
          <xdr:nvSpPr>
            <xdr:cNvPr id="97301" name="Check Box 21" hidden="1">
              <a:extLst>
                <a:ext uri="{63B3BB69-23CF-44E3-9099-C40C66FF867C}">
                  <a14:compatExt spid="_x0000_s97301"/>
                </a:ext>
                <a:ext uri="{FF2B5EF4-FFF2-40B4-BE49-F238E27FC236}">
                  <a16:creationId xmlns:a16="http://schemas.microsoft.com/office/drawing/2014/main" id="{00000000-0008-0000-1400-000015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56</xdr:row>
          <xdr:rowOff>152400</xdr:rowOff>
        </xdr:from>
        <xdr:to>
          <xdr:col>35</xdr:col>
          <xdr:colOff>57150</xdr:colOff>
          <xdr:row>58</xdr:row>
          <xdr:rowOff>9525</xdr:rowOff>
        </xdr:to>
        <xdr:sp macro="" textlink="">
          <xdr:nvSpPr>
            <xdr:cNvPr id="97304" name="Check Box 24" hidden="1">
              <a:extLst>
                <a:ext uri="{63B3BB69-23CF-44E3-9099-C40C66FF867C}">
                  <a14:compatExt spid="_x0000_s97304"/>
                </a:ext>
                <a:ext uri="{FF2B5EF4-FFF2-40B4-BE49-F238E27FC236}">
                  <a16:creationId xmlns:a16="http://schemas.microsoft.com/office/drawing/2014/main" id="{00000000-0008-0000-1400-000018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0</xdr:colOff>
      <xdr:row>69</xdr:row>
      <xdr:rowOff>0</xdr:rowOff>
    </xdr:from>
    <xdr:to>
      <xdr:col>20</xdr:col>
      <xdr:colOff>0</xdr:colOff>
      <xdr:row>100</xdr:row>
      <xdr:rowOff>0</xdr:rowOff>
    </xdr:to>
    <xdr:graphicFrame macro="">
      <xdr:nvGraphicFramePr>
        <xdr:cNvPr id="38" name="Chart 176">
          <a:extLst>
            <a:ext uri="{FF2B5EF4-FFF2-40B4-BE49-F238E27FC236}">
              <a16:creationId xmlns:a16="http://schemas.microsoft.com/office/drawing/2014/main" id="{00000000-0008-0000-12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69</xdr:row>
      <xdr:rowOff>0</xdr:rowOff>
    </xdr:from>
    <xdr:to>
      <xdr:col>10</xdr:col>
      <xdr:colOff>0</xdr:colOff>
      <xdr:row>100</xdr:row>
      <xdr:rowOff>0</xdr:rowOff>
    </xdr:to>
    <xdr:graphicFrame macro="">
      <xdr:nvGraphicFramePr>
        <xdr:cNvPr id="39" name="Chart 764">
          <a:extLst>
            <a:ext uri="{FF2B5EF4-FFF2-40B4-BE49-F238E27FC236}">
              <a16:creationId xmlns:a16="http://schemas.microsoft.com/office/drawing/2014/main" id="{00000000-0008-0000-12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35</xdr:row>
      <xdr:rowOff>142874</xdr:rowOff>
    </xdr:from>
    <xdr:to>
      <xdr:col>20</xdr:col>
      <xdr:colOff>0</xdr:colOff>
      <xdr:row>59</xdr:row>
      <xdr:rowOff>180974</xdr:rowOff>
    </xdr:to>
    <xdr:graphicFrame macro="">
      <xdr:nvGraphicFramePr>
        <xdr:cNvPr id="46" name="Chart 176">
          <a:extLst>
            <a:ext uri="{FF2B5EF4-FFF2-40B4-BE49-F238E27FC236}">
              <a16:creationId xmlns:a16="http://schemas.microsoft.com/office/drawing/2014/main" id="{00000000-0008-0000-12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47" name="Oval 2165">
          <a:extLst>
            <a:ext uri="{FF2B5EF4-FFF2-40B4-BE49-F238E27FC236}">
              <a16:creationId xmlns:a16="http://schemas.microsoft.com/office/drawing/2014/main" id="{00000000-0008-0000-1200-00002F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60</xdr:row>
      <xdr:rowOff>85725</xdr:rowOff>
    </xdr:from>
    <xdr:to>
      <xdr:col>10</xdr:col>
      <xdr:colOff>417150</xdr:colOff>
      <xdr:row>60</xdr:row>
      <xdr:rowOff>85725</xdr:rowOff>
    </xdr:to>
    <xdr:sp macro="" textlink="">
      <xdr:nvSpPr>
        <xdr:cNvPr id="48" name="Line 283">
          <a:extLst>
            <a:ext uri="{FF2B5EF4-FFF2-40B4-BE49-F238E27FC236}">
              <a16:creationId xmlns:a16="http://schemas.microsoft.com/office/drawing/2014/main" id="{00000000-0008-0000-1200-000030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161925</xdr:colOff>
      <xdr:row>60</xdr:row>
      <xdr:rowOff>47625</xdr:rowOff>
    </xdr:from>
    <xdr:to>
      <xdr:col>15</xdr:col>
      <xdr:colOff>238125</xdr:colOff>
      <xdr:row>60</xdr:row>
      <xdr:rowOff>123825</xdr:rowOff>
    </xdr:to>
    <xdr:sp macro="" textlink="">
      <xdr:nvSpPr>
        <xdr:cNvPr id="49" name="Oval 2164">
          <a:extLst>
            <a:ext uri="{FF2B5EF4-FFF2-40B4-BE49-F238E27FC236}">
              <a16:creationId xmlns:a16="http://schemas.microsoft.com/office/drawing/2014/main" id="{00000000-0008-0000-1200-000031000000}"/>
            </a:ext>
          </a:extLst>
        </xdr:cNvPr>
        <xdr:cNvSpPr>
          <a:spLocks noChangeArrowheads="1"/>
        </xdr:cNvSpPr>
      </xdr:nvSpPr>
      <xdr:spPr bwMode="auto">
        <a:xfrm>
          <a:off x="7200900" y="1115377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47625</xdr:colOff>
      <xdr:row>61</xdr:row>
      <xdr:rowOff>85724</xdr:rowOff>
    </xdr:from>
    <xdr:to>
      <xdr:col>15</xdr:col>
      <xdr:colOff>371625</xdr:colOff>
      <xdr:row>61</xdr:row>
      <xdr:rowOff>85724</xdr:rowOff>
    </xdr:to>
    <xdr:sp macro="" textlink="">
      <xdr:nvSpPr>
        <xdr:cNvPr id="50" name="Line 283">
          <a:extLst>
            <a:ext uri="{FF2B5EF4-FFF2-40B4-BE49-F238E27FC236}">
              <a16:creationId xmlns:a16="http://schemas.microsoft.com/office/drawing/2014/main" id="{00000000-0008-0000-1200-000032000000}"/>
            </a:ext>
          </a:extLst>
        </xdr:cNvPr>
        <xdr:cNvSpPr>
          <a:spLocks noChangeShapeType="1"/>
        </xdr:cNvSpPr>
      </xdr:nvSpPr>
      <xdr:spPr bwMode="auto">
        <a:xfrm>
          <a:off x="7086600" y="11372849"/>
          <a:ext cx="324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104</xdr:row>
      <xdr:rowOff>0</xdr:rowOff>
    </xdr:from>
    <xdr:to>
      <xdr:col>19</xdr:col>
      <xdr:colOff>95250</xdr:colOff>
      <xdr:row>139</xdr:row>
      <xdr:rowOff>47625</xdr:rowOff>
    </xdr:to>
    <xdr:grpSp>
      <xdr:nvGrpSpPr>
        <xdr:cNvPr id="35" name="Group 34">
          <a:extLst>
            <a:ext uri="{FF2B5EF4-FFF2-40B4-BE49-F238E27FC236}">
              <a16:creationId xmlns:a16="http://schemas.microsoft.com/office/drawing/2014/main" id="{7DBEF5A2-9BA0-4110-94C3-3C701B5B6729}"/>
            </a:ext>
          </a:extLst>
        </xdr:cNvPr>
        <xdr:cNvGrpSpPr/>
      </xdr:nvGrpSpPr>
      <xdr:grpSpPr>
        <a:xfrm>
          <a:off x="120396" y="19749516"/>
          <a:ext cx="8950452" cy="4899660"/>
          <a:chOff x="95250" y="95250"/>
          <a:chExt cx="7534275" cy="5048250"/>
        </a:xfrm>
      </xdr:grpSpPr>
      <xdr:sp macro="" textlink="">
        <xdr:nvSpPr>
          <xdr:cNvPr id="36" name="Rectangle 35">
            <a:extLst>
              <a:ext uri="{FF2B5EF4-FFF2-40B4-BE49-F238E27FC236}">
                <a16:creationId xmlns:a16="http://schemas.microsoft.com/office/drawing/2014/main" id="{19422035-8FC3-C7BB-CC73-0D051C0E052A}"/>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40" name="Rectangle: Rounded Corners 39">
            <a:hlinkClick xmlns:r="http://schemas.openxmlformats.org/officeDocument/2006/relationships" r:id="rId6"/>
            <a:extLst>
              <a:ext uri="{FF2B5EF4-FFF2-40B4-BE49-F238E27FC236}">
                <a16:creationId xmlns:a16="http://schemas.microsoft.com/office/drawing/2014/main" id="{F4C25455-85F5-F609-EBDE-40BE7156858F}"/>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41" name="Rectangle: Rounded Corners 40">
            <a:hlinkClick xmlns:r="http://schemas.openxmlformats.org/officeDocument/2006/relationships" r:id="rId7"/>
            <a:extLst>
              <a:ext uri="{FF2B5EF4-FFF2-40B4-BE49-F238E27FC236}">
                <a16:creationId xmlns:a16="http://schemas.microsoft.com/office/drawing/2014/main" id="{863363A9-0D98-9164-07ED-F5C90D60314B}"/>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42" name="Rectangle: Rounded Corners 41">
            <a:hlinkClick xmlns:r="http://schemas.openxmlformats.org/officeDocument/2006/relationships" r:id="rId8"/>
            <a:extLst>
              <a:ext uri="{FF2B5EF4-FFF2-40B4-BE49-F238E27FC236}">
                <a16:creationId xmlns:a16="http://schemas.microsoft.com/office/drawing/2014/main" id="{DA516D6A-CCEB-0B58-D758-231A07CDCC8B}"/>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43" name="Rectangle: Rounded Corners 42">
            <a:hlinkClick xmlns:r="http://schemas.openxmlformats.org/officeDocument/2006/relationships" r:id="rId9"/>
            <a:extLst>
              <a:ext uri="{FF2B5EF4-FFF2-40B4-BE49-F238E27FC236}">
                <a16:creationId xmlns:a16="http://schemas.microsoft.com/office/drawing/2014/main" id="{24D4AA6A-F0FE-7C66-151D-D6884FE3BA09}"/>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44" name="Rectangle: Rounded Corners 43">
            <a:hlinkClick xmlns:r="http://schemas.openxmlformats.org/officeDocument/2006/relationships" r:id="rId10"/>
            <a:extLst>
              <a:ext uri="{FF2B5EF4-FFF2-40B4-BE49-F238E27FC236}">
                <a16:creationId xmlns:a16="http://schemas.microsoft.com/office/drawing/2014/main" id="{F90C1566-3650-5E3E-FBAB-EE435CDB6D24}"/>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45" name="Rectangle: Rounded Corners 44">
            <a:hlinkClick xmlns:r="http://schemas.openxmlformats.org/officeDocument/2006/relationships" r:id="rId11"/>
            <a:extLst>
              <a:ext uri="{FF2B5EF4-FFF2-40B4-BE49-F238E27FC236}">
                <a16:creationId xmlns:a16="http://schemas.microsoft.com/office/drawing/2014/main" id="{C26CD0B0-A3C2-E788-B0B1-EB95C1878F1F}"/>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51" name="Rectangle: Rounded Corners 50">
            <a:hlinkClick xmlns:r="http://schemas.openxmlformats.org/officeDocument/2006/relationships" r:id="rId12"/>
            <a:extLst>
              <a:ext uri="{FF2B5EF4-FFF2-40B4-BE49-F238E27FC236}">
                <a16:creationId xmlns:a16="http://schemas.microsoft.com/office/drawing/2014/main" id="{ED06D9EB-D77C-05B2-69A3-0698B073B450}"/>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52" name="Rectangle: Rounded Corners 51">
            <a:hlinkClick xmlns:r="http://schemas.openxmlformats.org/officeDocument/2006/relationships" r:id="rId13"/>
            <a:extLst>
              <a:ext uri="{FF2B5EF4-FFF2-40B4-BE49-F238E27FC236}">
                <a16:creationId xmlns:a16="http://schemas.microsoft.com/office/drawing/2014/main" id="{FD63C686-575E-2E36-8E7B-60D4AF9264D7}"/>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53" name="Rectangle: Rounded Corners 52">
            <a:hlinkClick xmlns:r="http://schemas.openxmlformats.org/officeDocument/2006/relationships" r:id="rId14"/>
            <a:extLst>
              <a:ext uri="{FF2B5EF4-FFF2-40B4-BE49-F238E27FC236}">
                <a16:creationId xmlns:a16="http://schemas.microsoft.com/office/drawing/2014/main" id="{43ED9065-C089-44B4-BB79-9513DCD06DE2}"/>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54" name="Group 53">
            <a:hlinkClick xmlns:r="http://schemas.openxmlformats.org/officeDocument/2006/relationships" r:id="rId15"/>
            <a:extLst>
              <a:ext uri="{FF2B5EF4-FFF2-40B4-BE49-F238E27FC236}">
                <a16:creationId xmlns:a16="http://schemas.microsoft.com/office/drawing/2014/main" id="{019F68CE-73E8-D96B-B8FC-4A35DB7BD57D}"/>
              </a:ext>
            </a:extLst>
          </xdr:cNvPr>
          <xdr:cNvGrpSpPr/>
        </xdr:nvGrpSpPr>
        <xdr:grpSpPr>
          <a:xfrm>
            <a:off x="190500" y="723900"/>
            <a:ext cx="1695450" cy="723900"/>
            <a:chOff x="190500" y="180975"/>
            <a:chExt cx="1800225" cy="723900"/>
          </a:xfrm>
        </xdr:grpSpPr>
        <xdr:sp macro="" textlink="">
          <xdr:nvSpPr>
            <xdr:cNvPr id="97302" name="Rectangle: Rounded Corners 97301">
              <a:hlinkClick xmlns:r="http://schemas.openxmlformats.org/officeDocument/2006/relationships" r:id="rId15"/>
              <a:extLst>
                <a:ext uri="{FF2B5EF4-FFF2-40B4-BE49-F238E27FC236}">
                  <a16:creationId xmlns:a16="http://schemas.microsoft.com/office/drawing/2014/main" id="{2548361D-44FF-1420-98F9-50D030AD092B}"/>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97303" name="Picture 97302">
              <a:extLst>
                <a:ext uri="{FF2B5EF4-FFF2-40B4-BE49-F238E27FC236}">
                  <a16:creationId xmlns:a16="http://schemas.microsoft.com/office/drawing/2014/main" id="{E7CD7A1F-ED07-14B5-20BB-D8229B08144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55" name="Rectangle: Rounded Corners 54">
            <a:hlinkClick xmlns:r="http://schemas.openxmlformats.org/officeDocument/2006/relationships" r:id="rId17"/>
            <a:extLst>
              <a:ext uri="{FF2B5EF4-FFF2-40B4-BE49-F238E27FC236}">
                <a16:creationId xmlns:a16="http://schemas.microsoft.com/office/drawing/2014/main" id="{E3F9B6F5-66FF-431A-2713-F72E670D8D32}"/>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56" name="Rectangle: Rounded Corners 55">
            <a:hlinkClick xmlns:r="http://schemas.openxmlformats.org/officeDocument/2006/relationships" r:id="rId18"/>
            <a:extLst>
              <a:ext uri="{FF2B5EF4-FFF2-40B4-BE49-F238E27FC236}">
                <a16:creationId xmlns:a16="http://schemas.microsoft.com/office/drawing/2014/main" id="{DBFC6393-DD94-42F6-DE2C-2B6F57673E45}"/>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57" name="Rectangle: Rounded Corners 56">
            <a:hlinkClick xmlns:r="http://schemas.openxmlformats.org/officeDocument/2006/relationships" r:id="rId19"/>
            <a:extLst>
              <a:ext uri="{FF2B5EF4-FFF2-40B4-BE49-F238E27FC236}">
                <a16:creationId xmlns:a16="http://schemas.microsoft.com/office/drawing/2014/main" id="{0205A32C-92EB-EA6A-B051-50791E5E9850}"/>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58" name="Rectangle: Rounded Corners 57">
            <a:hlinkClick xmlns:r="http://schemas.openxmlformats.org/officeDocument/2006/relationships" r:id="rId20"/>
            <a:extLst>
              <a:ext uri="{FF2B5EF4-FFF2-40B4-BE49-F238E27FC236}">
                <a16:creationId xmlns:a16="http://schemas.microsoft.com/office/drawing/2014/main" id="{EA47CB36-2DD4-A7C8-677E-4CEBCF74B36C}"/>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59" name="Rectangle: Rounded Corners 58">
            <a:hlinkClick xmlns:r="http://schemas.openxmlformats.org/officeDocument/2006/relationships" r:id="rId21"/>
            <a:extLst>
              <a:ext uri="{FF2B5EF4-FFF2-40B4-BE49-F238E27FC236}">
                <a16:creationId xmlns:a16="http://schemas.microsoft.com/office/drawing/2014/main" id="{03A5CEFA-E40B-2C8F-CDB7-84553D047113}"/>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60" name="Rectangle: Rounded Corners 59">
            <a:hlinkClick xmlns:r="http://schemas.openxmlformats.org/officeDocument/2006/relationships" r:id="rId22"/>
            <a:extLst>
              <a:ext uri="{FF2B5EF4-FFF2-40B4-BE49-F238E27FC236}">
                <a16:creationId xmlns:a16="http://schemas.microsoft.com/office/drawing/2014/main" id="{44DA4642-BBBC-E8D6-EAA5-E7C2E2D01848}"/>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61" name="Rectangle: Rounded Corners 60">
            <a:hlinkClick xmlns:r="http://schemas.openxmlformats.org/officeDocument/2006/relationships" r:id="rId23"/>
            <a:extLst>
              <a:ext uri="{FF2B5EF4-FFF2-40B4-BE49-F238E27FC236}">
                <a16:creationId xmlns:a16="http://schemas.microsoft.com/office/drawing/2014/main" id="{66A10CEE-545E-C38E-B8F6-3F7E3839C869}"/>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62" name="Rectangle: Rounded Corners 61">
            <a:hlinkClick xmlns:r="http://schemas.openxmlformats.org/officeDocument/2006/relationships" r:id="rId24"/>
            <a:extLst>
              <a:ext uri="{FF2B5EF4-FFF2-40B4-BE49-F238E27FC236}">
                <a16:creationId xmlns:a16="http://schemas.microsoft.com/office/drawing/2014/main" id="{46DB9177-0273-2FAC-29B2-FD6465F7B20D}"/>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63" name="Rectangle: Rounded Corners 62">
            <a:hlinkClick xmlns:r="http://schemas.openxmlformats.org/officeDocument/2006/relationships" r:id="rId25"/>
            <a:extLst>
              <a:ext uri="{FF2B5EF4-FFF2-40B4-BE49-F238E27FC236}">
                <a16:creationId xmlns:a16="http://schemas.microsoft.com/office/drawing/2014/main" id="{612E3B7C-9F99-AEEB-06F2-66BC8C484377}"/>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97280" name="Rectangle: Rounded Corners 97279">
            <a:hlinkClick xmlns:r="http://schemas.openxmlformats.org/officeDocument/2006/relationships" r:id="rId26"/>
            <a:extLst>
              <a:ext uri="{FF2B5EF4-FFF2-40B4-BE49-F238E27FC236}">
                <a16:creationId xmlns:a16="http://schemas.microsoft.com/office/drawing/2014/main" id="{CA09F6A6-BF2D-8ED1-1D8A-D69C30E2C35E}"/>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97294" name="TextBox 97293">
            <a:extLst>
              <a:ext uri="{FF2B5EF4-FFF2-40B4-BE49-F238E27FC236}">
                <a16:creationId xmlns:a16="http://schemas.microsoft.com/office/drawing/2014/main" id="{300DAF12-E241-C767-A8AE-0E697891CB90}"/>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97311" name="Group 97310">
          <a:hlinkClick xmlns:r="http://schemas.openxmlformats.org/officeDocument/2006/relationships" r:id="rId15"/>
          <a:extLst>
            <a:ext uri="{FF2B5EF4-FFF2-40B4-BE49-F238E27FC236}">
              <a16:creationId xmlns:a16="http://schemas.microsoft.com/office/drawing/2014/main" id="{4499130F-1CA7-4B74-93DD-0DC05A55DDFD}"/>
            </a:ext>
          </a:extLst>
        </xdr:cNvPr>
        <xdr:cNvGrpSpPr/>
      </xdr:nvGrpSpPr>
      <xdr:grpSpPr>
        <a:xfrm>
          <a:off x="9691116" y="0"/>
          <a:ext cx="411480" cy="1685544"/>
          <a:chOff x="9210675" y="19050"/>
          <a:chExt cx="390525" cy="1743075"/>
        </a:xfrm>
      </xdr:grpSpPr>
      <xdr:pic>
        <xdr:nvPicPr>
          <xdr:cNvPr id="97312" name="Graphic 97311" descr="Map compass with solid fill">
            <a:hlinkClick xmlns:r="http://schemas.openxmlformats.org/officeDocument/2006/relationships" r:id="rId27"/>
            <a:extLst>
              <a:ext uri="{FF2B5EF4-FFF2-40B4-BE49-F238E27FC236}">
                <a16:creationId xmlns:a16="http://schemas.microsoft.com/office/drawing/2014/main" id="{5CB783DC-1CE6-87F7-D714-090334EFBC3E}"/>
              </a:ext>
            </a:extLst>
          </xdr:cNvPr>
          <xdr:cNvPicPr>
            <a:picLocks noChangeAspect="1"/>
          </xdr:cNvPicPr>
        </xdr:nvPicPr>
        <xdr:blipFill>
          <a:blip xmlns:r="http://schemas.openxmlformats.org/officeDocument/2006/relationships" r:embed="rId28">
            <a:duotone>
              <a:schemeClr val="accent6">
                <a:shade val="45000"/>
                <a:satMod val="135000"/>
              </a:schemeClr>
              <a:prstClr val="white"/>
            </a:duotone>
            <a:extLst>
              <a:ext uri="{96DAC541-7B7A-43D3-8B79-37D633B846F1}">
                <asvg:svgBlip xmlns:asvg="http://schemas.microsoft.com/office/drawing/2016/SVG/main" r:embed="rId29"/>
              </a:ext>
            </a:extLst>
          </a:blip>
          <a:stretch>
            <a:fillRect/>
          </a:stretch>
        </xdr:blipFill>
        <xdr:spPr>
          <a:xfrm>
            <a:off x="9229725" y="38099"/>
            <a:ext cx="369675" cy="369675"/>
          </a:xfrm>
          <a:prstGeom prst="rect">
            <a:avLst/>
          </a:prstGeom>
        </xdr:spPr>
      </xdr:pic>
      <xdr:sp macro="" textlink="">
        <xdr:nvSpPr>
          <xdr:cNvPr id="97313" name="Right Arrow 50">
            <a:hlinkClick xmlns:r="http://schemas.openxmlformats.org/officeDocument/2006/relationships" r:id="rId14"/>
            <a:extLst>
              <a:ext uri="{FF2B5EF4-FFF2-40B4-BE49-F238E27FC236}">
                <a16:creationId xmlns:a16="http://schemas.microsoft.com/office/drawing/2014/main" id="{D60C9BE5-84B6-007F-FE6B-C41F6E5F5D6D}"/>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97314" name="Right Arrow 50">
            <a:hlinkClick xmlns:r="http://schemas.openxmlformats.org/officeDocument/2006/relationships" r:id="rId18"/>
            <a:extLst>
              <a:ext uri="{FF2B5EF4-FFF2-40B4-BE49-F238E27FC236}">
                <a16:creationId xmlns:a16="http://schemas.microsoft.com/office/drawing/2014/main" id="{07FFEC51-579E-D5AB-D19C-26C58242C0A6}"/>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97315" name="Picture 97314">
            <a:hlinkClick xmlns:r="http://schemas.openxmlformats.org/officeDocument/2006/relationships" r:id="rId15"/>
            <a:extLst>
              <a:ext uri="{FF2B5EF4-FFF2-40B4-BE49-F238E27FC236}">
                <a16:creationId xmlns:a16="http://schemas.microsoft.com/office/drawing/2014/main" id="{BE45FCEC-C57B-80F8-6145-540CF9FE975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97316" name="Rectangle 97315">
            <a:extLst>
              <a:ext uri="{FF2B5EF4-FFF2-40B4-BE49-F238E27FC236}">
                <a16:creationId xmlns:a16="http://schemas.microsoft.com/office/drawing/2014/main" id="{003438E6-0102-7C5B-6E06-70E200E320E1}"/>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4" name="Down Arrow 44">
          <a:hlinkClick xmlns:r="http://schemas.openxmlformats.org/officeDocument/2006/relationships" r:id="rId17"/>
          <a:extLst>
            <a:ext uri="{FF2B5EF4-FFF2-40B4-BE49-F238E27FC236}">
              <a16:creationId xmlns:a16="http://schemas.microsoft.com/office/drawing/2014/main" id="{271B85FF-37D8-4B76-83E9-5DB9049AF12B}"/>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5" name="Down Arrow 44">
          <a:hlinkClick xmlns:r="http://schemas.openxmlformats.org/officeDocument/2006/relationships" r:id="rId17"/>
          <a:extLst>
            <a:ext uri="{FF2B5EF4-FFF2-40B4-BE49-F238E27FC236}">
              <a16:creationId xmlns:a16="http://schemas.microsoft.com/office/drawing/2014/main" id="{13E7BA27-7C3A-43D8-BD63-7BA1282BC6AD}"/>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101</xdr:row>
      <xdr:rowOff>0</xdr:rowOff>
    </xdr:from>
    <xdr:ext cx="252000" cy="288000"/>
    <xdr:sp macro="" textlink="">
      <xdr:nvSpPr>
        <xdr:cNvPr id="7" name="Down Arrow 44">
          <a:hlinkClick xmlns:r="http://schemas.openxmlformats.org/officeDocument/2006/relationships" r:id="rId17"/>
          <a:extLst>
            <a:ext uri="{FF2B5EF4-FFF2-40B4-BE49-F238E27FC236}">
              <a16:creationId xmlns:a16="http://schemas.microsoft.com/office/drawing/2014/main" id="{4BDC5886-BE37-4BBE-BF0E-0198C8B3767E}"/>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15.xml><?xml version="1.0" encoding="utf-8"?>
<xdr:wsDr xmlns:xdr="http://schemas.openxmlformats.org/drawingml/2006/spreadsheetDrawing" xmlns:a="http://schemas.openxmlformats.org/drawingml/2006/main">
  <xdr:twoCellAnchor>
    <xdr:from>
      <xdr:col>1</xdr:col>
      <xdr:colOff>1</xdr:colOff>
      <xdr:row>36</xdr:row>
      <xdr:rowOff>1</xdr:rowOff>
    </xdr:from>
    <xdr:to>
      <xdr:col>10</xdr:col>
      <xdr:colOff>0</xdr:colOff>
      <xdr:row>65</xdr:row>
      <xdr:rowOff>0</xdr:rowOff>
    </xdr:to>
    <xdr:graphicFrame macro="">
      <xdr:nvGraphicFramePr>
        <xdr:cNvPr id="6" name="Chart 13">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419099</xdr:colOff>
      <xdr:row>0</xdr:row>
      <xdr:rowOff>85725</xdr:rowOff>
    </xdr:from>
    <xdr:to>
      <xdr:col>20</xdr:col>
      <xdr:colOff>54974</xdr:colOff>
      <xdr:row>2</xdr:row>
      <xdr:rowOff>149475</xdr:rowOff>
    </xdr:to>
    <xdr:sp macro="" textlink="">
      <xdr:nvSpPr>
        <xdr:cNvPr id="8" name="AutoShape 32">
          <a:extLst>
            <a:ext uri="{FF2B5EF4-FFF2-40B4-BE49-F238E27FC236}">
              <a16:creationId xmlns:a16="http://schemas.microsoft.com/office/drawing/2014/main" id="{00000000-0008-0000-1300-000008000000}"/>
            </a:ext>
          </a:extLst>
        </xdr:cNvPr>
        <xdr:cNvSpPr>
          <a:spLocks noChangeArrowheads="1"/>
        </xdr:cNvSpPr>
      </xdr:nvSpPr>
      <xdr:spPr bwMode="auto">
        <a:xfrm>
          <a:off x="6953249"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0</xdr:colOff>
      <xdr:row>62</xdr:row>
      <xdr:rowOff>0</xdr:rowOff>
    </xdr:from>
    <xdr:to>
      <xdr:col>20</xdr:col>
      <xdr:colOff>2</xdr:colOff>
      <xdr:row>65</xdr:row>
      <xdr:rowOff>0</xdr:rowOff>
    </xdr:to>
    <xdr:graphicFrame macro="">
      <xdr:nvGraphicFramePr>
        <xdr:cNvPr id="9" name="Chart 13">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85725</xdr:colOff>
          <xdr:row>36</xdr:row>
          <xdr:rowOff>28575</xdr:rowOff>
        </xdr:from>
        <xdr:to>
          <xdr:col>35</xdr:col>
          <xdr:colOff>57150</xdr:colOff>
          <xdr:row>38</xdr:row>
          <xdr:rowOff>9525</xdr:rowOff>
        </xdr:to>
        <xdr:sp macro="" textlink="">
          <xdr:nvSpPr>
            <xdr:cNvPr id="98305" name="Check Box 1" hidden="1">
              <a:extLst>
                <a:ext uri="{63B3BB69-23CF-44E3-9099-C40C66FF867C}">
                  <a14:compatExt spid="_x0000_s98305"/>
                </a:ext>
                <a:ext uri="{FF2B5EF4-FFF2-40B4-BE49-F238E27FC236}">
                  <a16:creationId xmlns:a16="http://schemas.microsoft.com/office/drawing/2014/main" id="{00000000-0008-0000-1500-00000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37</xdr:row>
          <xdr:rowOff>152400</xdr:rowOff>
        </xdr:from>
        <xdr:to>
          <xdr:col>35</xdr:col>
          <xdr:colOff>57150</xdr:colOff>
          <xdr:row>39</xdr:row>
          <xdr:rowOff>9525</xdr:rowOff>
        </xdr:to>
        <xdr:sp macro="" textlink="">
          <xdr:nvSpPr>
            <xdr:cNvPr id="98306" name="Check Box 2" hidden="1">
              <a:extLst>
                <a:ext uri="{63B3BB69-23CF-44E3-9099-C40C66FF867C}">
                  <a14:compatExt spid="_x0000_s98306"/>
                </a:ext>
                <a:ext uri="{FF2B5EF4-FFF2-40B4-BE49-F238E27FC236}">
                  <a16:creationId xmlns:a16="http://schemas.microsoft.com/office/drawing/2014/main" id="{00000000-0008-0000-1500-00000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38</xdr:row>
          <xdr:rowOff>152400</xdr:rowOff>
        </xdr:from>
        <xdr:to>
          <xdr:col>35</xdr:col>
          <xdr:colOff>57150</xdr:colOff>
          <xdr:row>40</xdr:row>
          <xdr:rowOff>9525</xdr:rowOff>
        </xdr:to>
        <xdr:sp macro="" textlink="">
          <xdr:nvSpPr>
            <xdr:cNvPr id="98307" name="Check Box 3" hidden="1">
              <a:extLst>
                <a:ext uri="{63B3BB69-23CF-44E3-9099-C40C66FF867C}">
                  <a14:compatExt spid="_x0000_s98307"/>
                </a:ext>
                <a:ext uri="{FF2B5EF4-FFF2-40B4-BE49-F238E27FC236}">
                  <a16:creationId xmlns:a16="http://schemas.microsoft.com/office/drawing/2014/main" id="{00000000-0008-0000-1500-00000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39</xdr:row>
          <xdr:rowOff>152400</xdr:rowOff>
        </xdr:from>
        <xdr:to>
          <xdr:col>35</xdr:col>
          <xdr:colOff>57150</xdr:colOff>
          <xdr:row>41</xdr:row>
          <xdr:rowOff>9525</xdr:rowOff>
        </xdr:to>
        <xdr:sp macro="" textlink="">
          <xdr:nvSpPr>
            <xdr:cNvPr id="98308" name="Check Box 4" hidden="1">
              <a:extLst>
                <a:ext uri="{63B3BB69-23CF-44E3-9099-C40C66FF867C}">
                  <a14:compatExt spid="_x0000_s98308"/>
                </a:ext>
                <a:ext uri="{FF2B5EF4-FFF2-40B4-BE49-F238E27FC236}">
                  <a16:creationId xmlns:a16="http://schemas.microsoft.com/office/drawing/2014/main" id="{00000000-0008-0000-1500-00000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40</xdr:row>
          <xdr:rowOff>152400</xdr:rowOff>
        </xdr:from>
        <xdr:to>
          <xdr:col>35</xdr:col>
          <xdr:colOff>57150</xdr:colOff>
          <xdr:row>42</xdr:row>
          <xdr:rowOff>9525</xdr:rowOff>
        </xdr:to>
        <xdr:sp macro="" textlink="">
          <xdr:nvSpPr>
            <xdr:cNvPr id="98309" name="Check Box 5" hidden="1">
              <a:extLst>
                <a:ext uri="{63B3BB69-23CF-44E3-9099-C40C66FF867C}">
                  <a14:compatExt spid="_x0000_s98309"/>
                </a:ext>
                <a:ext uri="{FF2B5EF4-FFF2-40B4-BE49-F238E27FC236}">
                  <a16:creationId xmlns:a16="http://schemas.microsoft.com/office/drawing/2014/main" id="{00000000-0008-0000-1500-000005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41</xdr:row>
          <xdr:rowOff>152400</xdr:rowOff>
        </xdr:from>
        <xdr:to>
          <xdr:col>35</xdr:col>
          <xdr:colOff>57150</xdr:colOff>
          <xdr:row>43</xdr:row>
          <xdr:rowOff>9525</xdr:rowOff>
        </xdr:to>
        <xdr:sp macro="" textlink="">
          <xdr:nvSpPr>
            <xdr:cNvPr id="98310" name="Check Box 6" hidden="1">
              <a:extLst>
                <a:ext uri="{63B3BB69-23CF-44E3-9099-C40C66FF867C}">
                  <a14:compatExt spid="_x0000_s98310"/>
                </a:ext>
                <a:ext uri="{FF2B5EF4-FFF2-40B4-BE49-F238E27FC236}">
                  <a16:creationId xmlns:a16="http://schemas.microsoft.com/office/drawing/2014/main" id="{00000000-0008-0000-1500-000006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42</xdr:row>
          <xdr:rowOff>152400</xdr:rowOff>
        </xdr:from>
        <xdr:to>
          <xdr:col>35</xdr:col>
          <xdr:colOff>57150</xdr:colOff>
          <xdr:row>44</xdr:row>
          <xdr:rowOff>9525</xdr:rowOff>
        </xdr:to>
        <xdr:sp macro="" textlink="">
          <xdr:nvSpPr>
            <xdr:cNvPr id="98311" name="Check Box 7" hidden="1">
              <a:extLst>
                <a:ext uri="{63B3BB69-23CF-44E3-9099-C40C66FF867C}">
                  <a14:compatExt spid="_x0000_s98311"/>
                </a:ext>
                <a:ext uri="{FF2B5EF4-FFF2-40B4-BE49-F238E27FC236}">
                  <a16:creationId xmlns:a16="http://schemas.microsoft.com/office/drawing/2014/main" id="{00000000-0008-0000-1500-000007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43</xdr:row>
          <xdr:rowOff>152400</xdr:rowOff>
        </xdr:from>
        <xdr:to>
          <xdr:col>35</xdr:col>
          <xdr:colOff>57150</xdr:colOff>
          <xdr:row>45</xdr:row>
          <xdr:rowOff>9525</xdr:rowOff>
        </xdr:to>
        <xdr:sp macro="" textlink="">
          <xdr:nvSpPr>
            <xdr:cNvPr id="98312" name="Check Box 8" hidden="1">
              <a:extLst>
                <a:ext uri="{63B3BB69-23CF-44E3-9099-C40C66FF867C}">
                  <a14:compatExt spid="_x0000_s98312"/>
                </a:ext>
                <a:ext uri="{FF2B5EF4-FFF2-40B4-BE49-F238E27FC236}">
                  <a16:creationId xmlns:a16="http://schemas.microsoft.com/office/drawing/2014/main" id="{00000000-0008-0000-1500-000008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44</xdr:row>
          <xdr:rowOff>152400</xdr:rowOff>
        </xdr:from>
        <xdr:to>
          <xdr:col>35</xdr:col>
          <xdr:colOff>57150</xdr:colOff>
          <xdr:row>46</xdr:row>
          <xdr:rowOff>9525</xdr:rowOff>
        </xdr:to>
        <xdr:sp macro="" textlink="">
          <xdr:nvSpPr>
            <xdr:cNvPr id="98313" name="Check Box 9" hidden="1">
              <a:extLst>
                <a:ext uri="{63B3BB69-23CF-44E3-9099-C40C66FF867C}">
                  <a14:compatExt spid="_x0000_s98313"/>
                </a:ext>
                <a:ext uri="{FF2B5EF4-FFF2-40B4-BE49-F238E27FC236}">
                  <a16:creationId xmlns:a16="http://schemas.microsoft.com/office/drawing/2014/main" id="{00000000-0008-0000-1500-000009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45</xdr:row>
          <xdr:rowOff>152400</xdr:rowOff>
        </xdr:from>
        <xdr:to>
          <xdr:col>35</xdr:col>
          <xdr:colOff>57150</xdr:colOff>
          <xdr:row>47</xdr:row>
          <xdr:rowOff>9525</xdr:rowOff>
        </xdr:to>
        <xdr:sp macro="" textlink="">
          <xdr:nvSpPr>
            <xdr:cNvPr id="98314" name="Check Box 10" hidden="1">
              <a:extLst>
                <a:ext uri="{63B3BB69-23CF-44E3-9099-C40C66FF867C}">
                  <a14:compatExt spid="_x0000_s98314"/>
                </a:ext>
                <a:ext uri="{FF2B5EF4-FFF2-40B4-BE49-F238E27FC236}">
                  <a16:creationId xmlns:a16="http://schemas.microsoft.com/office/drawing/2014/main" id="{00000000-0008-0000-1500-00000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46</xdr:row>
          <xdr:rowOff>152400</xdr:rowOff>
        </xdr:from>
        <xdr:to>
          <xdr:col>35</xdr:col>
          <xdr:colOff>57150</xdr:colOff>
          <xdr:row>48</xdr:row>
          <xdr:rowOff>9525</xdr:rowOff>
        </xdr:to>
        <xdr:sp macro="" textlink="">
          <xdr:nvSpPr>
            <xdr:cNvPr id="98315" name="Check Box 11" hidden="1">
              <a:extLst>
                <a:ext uri="{63B3BB69-23CF-44E3-9099-C40C66FF867C}">
                  <a14:compatExt spid="_x0000_s98315"/>
                </a:ext>
                <a:ext uri="{FF2B5EF4-FFF2-40B4-BE49-F238E27FC236}">
                  <a16:creationId xmlns:a16="http://schemas.microsoft.com/office/drawing/2014/main" id="{00000000-0008-0000-1500-00000B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47</xdr:row>
          <xdr:rowOff>152400</xdr:rowOff>
        </xdr:from>
        <xdr:to>
          <xdr:col>35</xdr:col>
          <xdr:colOff>57150</xdr:colOff>
          <xdr:row>49</xdr:row>
          <xdr:rowOff>9525</xdr:rowOff>
        </xdr:to>
        <xdr:sp macro="" textlink="">
          <xdr:nvSpPr>
            <xdr:cNvPr id="98316" name="Check Box 12" hidden="1">
              <a:extLst>
                <a:ext uri="{63B3BB69-23CF-44E3-9099-C40C66FF867C}">
                  <a14:compatExt spid="_x0000_s98316"/>
                </a:ext>
                <a:ext uri="{FF2B5EF4-FFF2-40B4-BE49-F238E27FC236}">
                  <a16:creationId xmlns:a16="http://schemas.microsoft.com/office/drawing/2014/main" id="{00000000-0008-0000-1500-00000C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48</xdr:row>
          <xdr:rowOff>152400</xdr:rowOff>
        </xdr:from>
        <xdr:to>
          <xdr:col>35</xdr:col>
          <xdr:colOff>57150</xdr:colOff>
          <xdr:row>50</xdr:row>
          <xdr:rowOff>9525</xdr:rowOff>
        </xdr:to>
        <xdr:sp macro="" textlink="">
          <xdr:nvSpPr>
            <xdr:cNvPr id="98317" name="Check Box 13" hidden="1">
              <a:extLst>
                <a:ext uri="{63B3BB69-23CF-44E3-9099-C40C66FF867C}">
                  <a14:compatExt spid="_x0000_s98317"/>
                </a:ext>
                <a:ext uri="{FF2B5EF4-FFF2-40B4-BE49-F238E27FC236}">
                  <a16:creationId xmlns:a16="http://schemas.microsoft.com/office/drawing/2014/main" id="{00000000-0008-0000-1500-00000D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49</xdr:row>
          <xdr:rowOff>161925</xdr:rowOff>
        </xdr:from>
        <xdr:to>
          <xdr:col>35</xdr:col>
          <xdr:colOff>57150</xdr:colOff>
          <xdr:row>51</xdr:row>
          <xdr:rowOff>19050</xdr:rowOff>
        </xdr:to>
        <xdr:sp macro="" textlink="">
          <xdr:nvSpPr>
            <xdr:cNvPr id="98319" name="Check Box 15" hidden="1">
              <a:extLst>
                <a:ext uri="{63B3BB69-23CF-44E3-9099-C40C66FF867C}">
                  <a14:compatExt spid="_x0000_s98319"/>
                </a:ext>
                <a:ext uri="{FF2B5EF4-FFF2-40B4-BE49-F238E27FC236}">
                  <a16:creationId xmlns:a16="http://schemas.microsoft.com/office/drawing/2014/main" id="{00000000-0008-0000-1500-00000F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50</xdr:row>
          <xdr:rowOff>161925</xdr:rowOff>
        </xdr:from>
        <xdr:to>
          <xdr:col>35</xdr:col>
          <xdr:colOff>57150</xdr:colOff>
          <xdr:row>52</xdr:row>
          <xdr:rowOff>19050</xdr:rowOff>
        </xdr:to>
        <xdr:sp macro="" textlink="">
          <xdr:nvSpPr>
            <xdr:cNvPr id="98320" name="Check Box 16" hidden="1">
              <a:extLst>
                <a:ext uri="{63B3BB69-23CF-44E3-9099-C40C66FF867C}">
                  <a14:compatExt spid="_x0000_s98320"/>
                </a:ext>
                <a:ext uri="{FF2B5EF4-FFF2-40B4-BE49-F238E27FC236}">
                  <a16:creationId xmlns:a16="http://schemas.microsoft.com/office/drawing/2014/main" id="{00000000-0008-0000-1500-000010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51</xdr:row>
          <xdr:rowOff>171450</xdr:rowOff>
        </xdr:from>
        <xdr:to>
          <xdr:col>35</xdr:col>
          <xdr:colOff>57150</xdr:colOff>
          <xdr:row>53</xdr:row>
          <xdr:rowOff>28575</xdr:rowOff>
        </xdr:to>
        <xdr:sp macro="" textlink="">
          <xdr:nvSpPr>
            <xdr:cNvPr id="98321" name="Check Box 17" hidden="1">
              <a:extLst>
                <a:ext uri="{63B3BB69-23CF-44E3-9099-C40C66FF867C}">
                  <a14:compatExt spid="_x0000_s98321"/>
                </a:ext>
                <a:ext uri="{FF2B5EF4-FFF2-40B4-BE49-F238E27FC236}">
                  <a16:creationId xmlns:a16="http://schemas.microsoft.com/office/drawing/2014/main" id="{00000000-0008-0000-1500-00001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52</xdr:row>
          <xdr:rowOff>171450</xdr:rowOff>
        </xdr:from>
        <xdr:to>
          <xdr:col>35</xdr:col>
          <xdr:colOff>57150</xdr:colOff>
          <xdr:row>54</xdr:row>
          <xdr:rowOff>28575</xdr:rowOff>
        </xdr:to>
        <xdr:sp macro="" textlink="">
          <xdr:nvSpPr>
            <xdr:cNvPr id="98322" name="Check Box 18" hidden="1">
              <a:extLst>
                <a:ext uri="{63B3BB69-23CF-44E3-9099-C40C66FF867C}">
                  <a14:compatExt spid="_x0000_s98322"/>
                </a:ext>
                <a:ext uri="{FF2B5EF4-FFF2-40B4-BE49-F238E27FC236}">
                  <a16:creationId xmlns:a16="http://schemas.microsoft.com/office/drawing/2014/main" id="{00000000-0008-0000-1500-00001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53</xdr:row>
          <xdr:rowOff>171450</xdr:rowOff>
        </xdr:from>
        <xdr:to>
          <xdr:col>35</xdr:col>
          <xdr:colOff>57150</xdr:colOff>
          <xdr:row>55</xdr:row>
          <xdr:rowOff>28575</xdr:rowOff>
        </xdr:to>
        <xdr:sp macro="" textlink="">
          <xdr:nvSpPr>
            <xdr:cNvPr id="98323" name="Check Box 19" hidden="1">
              <a:extLst>
                <a:ext uri="{63B3BB69-23CF-44E3-9099-C40C66FF867C}">
                  <a14:compatExt spid="_x0000_s98323"/>
                </a:ext>
                <a:ext uri="{FF2B5EF4-FFF2-40B4-BE49-F238E27FC236}">
                  <a16:creationId xmlns:a16="http://schemas.microsoft.com/office/drawing/2014/main" id="{00000000-0008-0000-1500-00001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54</xdr:row>
          <xdr:rowOff>171450</xdr:rowOff>
        </xdr:from>
        <xdr:to>
          <xdr:col>35</xdr:col>
          <xdr:colOff>57150</xdr:colOff>
          <xdr:row>56</xdr:row>
          <xdr:rowOff>28575</xdr:rowOff>
        </xdr:to>
        <xdr:sp macro="" textlink="">
          <xdr:nvSpPr>
            <xdr:cNvPr id="98324" name="Check Box 20" hidden="1">
              <a:extLst>
                <a:ext uri="{63B3BB69-23CF-44E3-9099-C40C66FF867C}">
                  <a14:compatExt spid="_x0000_s98324"/>
                </a:ext>
                <a:ext uri="{FF2B5EF4-FFF2-40B4-BE49-F238E27FC236}">
                  <a16:creationId xmlns:a16="http://schemas.microsoft.com/office/drawing/2014/main" id="{00000000-0008-0000-1500-00001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55</xdr:row>
          <xdr:rowOff>171450</xdr:rowOff>
        </xdr:from>
        <xdr:to>
          <xdr:col>35</xdr:col>
          <xdr:colOff>57150</xdr:colOff>
          <xdr:row>57</xdr:row>
          <xdr:rowOff>28575</xdr:rowOff>
        </xdr:to>
        <xdr:sp macro="" textlink="">
          <xdr:nvSpPr>
            <xdr:cNvPr id="98325" name="Check Box 21" hidden="1">
              <a:extLst>
                <a:ext uri="{63B3BB69-23CF-44E3-9099-C40C66FF867C}">
                  <a14:compatExt spid="_x0000_s98325"/>
                </a:ext>
                <a:ext uri="{FF2B5EF4-FFF2-40B4-BE49-F238E27FC236}">
                  <a16:creationId xmlns:a16="http://schemas.microsoft.com/office/drawing/2014/main" id="{00000000-0008-0000-1500-000015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163</xdr:row>
      <xdr:rowOff>0</xdr:rowOff>
    </xdr:from>
    <xdr:to>
      <xdr:col>8</xdr:col>
      <xdr:colOff>0</xdr:colOff>
      <xdr:row>166</xdr:row>
      <xdr:rowOff>0</xdr:rowOff>
    </xdr:to>
    <xdr:graphicFrame macro="">
      <xdr:nvGraphicFramePr>
        <xdr:cNvPr id="32" name="Chart 13">
          <a:extLst>
            <a:ext uri="{FF2B5EF4-FFF2-40B4-BE49-F238E27FC236}">
              <a16:creationId xmlns:a16="http://schemas.microsoft.com/office/drawing/2014/main" id="{00000000-0008-0000-13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216825</xdr:colOff>
      <xdr:row>137</xdr:row>
      <xdr:rowOff>0</xdr:rowOff>
    </xdr:from>
    <xdr:to>
      <xdr:col>20</xdr:col>
      <xdr:colOff>0</xdr:colOff>
      <xdr:row>166</xdr:row>
      <xdr:rowOff>0</xdr:rowOff>
    </xdr:to>
    <xdr:graphicFrame macro="">
      <xdr:nvGraphicFramePr>
        <xdr:cNvPr id="35" name="Chart 13">
          <a:extLst>
            <a:ext uri="{FF2B5EF4-FFF2-40B4-BE49-F238E27FC236}">
              <a16:creationId xmlns:a16="http://schemas.microsoft.com/office/drawing/2014/main" id="{00000000-0008-0000-13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85725</xdr:colOff>
          <xdr:row>56</xdr:row>
          <xdr:rowOff>171450</xdr:rowOff>
        </xdr:from>
        <xdr:to>
          <xdr:col>35</xdr:col>
          <xdr:colOff>57150</xdr:colOff>
          <xdr:row>58</xdr:row>
          <xdr:rowOff>19050</xdr:rowOff>
        </xdr:to>
        <xdr:sp macro="" textlink="">
          <xdr:nvSpPr>
            <xdr:cNvPr id="98328" name="Check Box 24" hidden="1">
              <a:extLst>
                <a:ext uri="{63B3BB69-23CF-44E3-9099-C40C66FF867C}">
                  <a14:compatExt spid="_x0000_s98328"/>
                </a:ext>
                <a:ext uri="{FF2B5EF4-FFF2-40B4-BE49-F238E27FC236}">
                  <a16:creationId xmlns:a16="http://schemas.microsoft.com/office/drawing/2014/main" id="{00000000-0008-0000-1500-000018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0</xdr:colOff>
      <xdr:row>69</xdr:row>
      <xdr:rowOff>0</xdr:rowOff>
    </xdr:from>
    <xdr:to>
      <xdr:col>20</xdr:col>
      <xdr:colOff>0</xdr:colOff>
      <xdr:row>100</xdr:row>
      <xdr:rowOff>0</xdr:rowOff>
    </xdr:to>
    <xdr:graphicFrame macro="">
      <xdr:nvGraphicFramePr>
        <xdr:cNvPr id="38" name="Chart 176">
          <a:extLst>
            <a:ext uri="{FF2B5EF4-FFF2-40B4-BE49-F238E27FC236}">
              <a16:creationId xmlns:a16="http://schemas.microsoft.com/office/drawing/2014/main" id="{00000000-0008-0000-13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69</xdr:row>
      <xdr:rowOff>0</xdr:rowOff>
    </xdr:from>
    <xdr:to>
      <xdr:col>10</xdr:col>
      <xdr:colOff>0</xdr:colOff>
      <xdr:row>100</xdr:row>
      <xdr:rowOff>0</xdr:rowOff>
    </xdr:to>
    <xdr:graphicFrame macro="">
      <xdr:nvGraphicFramePr>
        <xdr:cNvPr id="39" name="Chart 764">
          <a:extLst>
            <a:ext uri="{FF2B5EF4-FFF2-40B4-BE49-F238E27FC236}">
              <a16:creationId xmlns:a16="http://schemas.microsoft.com/office/drawing/2014/main" id="{00000000-0008-0000-13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130</xdr:row>
      <xdr:rowOff>0</xdr:rowOff>
    </xdr:from>
    <xdr:to>
      <xdr:col>8</xdr:col>
      <xdr:colOff>0</xdr:colOff>
      <xdr:row>133</xdr:row>
      <xdr:rowOff>0</xdr:rowOff>
    </xdr:to>
    <xdr:graphicFrame macro="">
      <xdr:nvGraphicFramePr>
        <xdr:cNvPr id="43" name="Chart 13">
          <a:extLst>
            <a:ext uri="{FF2B5EF4-FFF2-40B4-BE49-F238E27FC236}">
              <a16:creationId xmlns:a16="http://schemas.microsoft.com/office/drawing/2014/main" id="{00000000-0008-0000-13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216825</xdr:colOff>
      <xdr:row>104</xdr:row>
      <xdr:rowOff>0</xdr:rowOff>
    </xdr:from>
    <xdr:to>
      <xdr:col>20</xdr:col>
      <xdr:colOff>0</xdr:colOff>
      <xdr:row>133</xdr:row>
      <xdr:rowOff>0</xdr:rowOff>
    </xdr:to>
    <xdr:graphicFrame macro="">
      <xdr:nvGraphicFramePr>
        <xdr:cNvPr id="44" name="Chart 13">
          <a:extLst>
            <a:ext uri="{FF2B5EF4-FFF2-40B4-BE49-F238E27FC236}">
              <a16:creationId xmlns:a16="http://schemas.microsoft.com/office/drawing/2014/main" id="{00000000-0008-0000-13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49" name="Oval 2165">
          <a:extLst>
            <a:ext uri="{FF2B5EF4-FFF2-40B4-BE49-F238E27FC236}">
              <a16:creationId xmlns:a16="http://schemas.microsoft.com/office/drawing/2014/main" id="{00000000-0008-0000-1300-000031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60</xdr:row>
      <xdr:rowOff>85725</xdr:rowOff>
    </xdr:from>
    <xdr:to>
      <xdr:col>10</xdr:col>
      <xdr:colOff>417150</xdr:colOff>
      <xdr:row>60</xdr:row>
      <xdr:rowOff>85725</xdr:rowOff>
    </xdr:to>
    <xdr:sp macro="" textlink="">
      <xdr:nvSpPr>
        <xdr:cNvPr id="50" name="Line 283">
          <a:extLst>
            <a:ext uri="{FF2B5EF4-FFF2-40B4-BE49-F238E27FC236}">
              <a16:creationId xmlns:a16="http://schemas.microsoft.com/office/drawing/2014/main" id="{00000000-0008-0000-1300-000032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171450</xdr:colOff>
      <xdr:row>60</xdr:row>
      <xdr:rowOff>47625</xdr:rowOff>
    </xdr:from>
    <xdr:to>
      <xdr:col>15</xdr:col>
      <xdr:colOff>247650</xdr:colOff>
      <xdr:row>60</xdr:row>
      <xdr:rowOff>123825</xdr:rowOff>
    </xdr:to>
    <xdr:sp macro="" textlink="">
      <xdr:nvSpPr>
        <xdr:cNvPr id="51" name="Oval 2164">
          <a:extLst>
            <a:ext uri="{FF2B5EF4-FFF2-40B4-BE49-F238E27FC236}">
              <a16:creationId xmlns:a16="http://schemas.microsoft.com/office/drawing/2014/main" id="{00000000-0008-0000-1300-000033000000}"/>
            </a:ext>
          </a:extLst>
        </xdr:cNvPr>
        <xdr:cNvSpPr>
          <a:spLocks noChangeArrowheads="1"/>
        </xdr:cNvSpPr>
      </xdr:nvSpPr>
      <xdr:spPr bwMode="auto">
        <a:xfrm>
          <a:off x="7191375" y="111633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61</xdr:row>
      <xdr:rowOff>85724</xdr:rowOff>
    </xdr:from>
    <xdr:to>
      <xdr:col>15</xdr:col>
      <xdr:colOff>354675</xdr:colOff>
      <xdr:row>61</xdr:row>
      <xdr:rowOff>85724</xdr:rowOff>
    </xdr:to>
    <xdr:sp macro="" textlink="">
      <xdr:nvSpPr>
        <xdr:cNvPr id="52" name="Line 283">
          <a:extLst>
            <a:ext uri="{FF2B5EF4-FFF2-40B4-BE49-F238E27FC236}">
              <a16:creationId xmlns:a16="http://schemas.microsoft.com/office/drawing/2014/main" id="{00000000-0008-0000-1300-000034000000}"/>
            </a:ext>
          </a:extLst>
        </xdr:cNvPr>
        <xdr:cNvSpPr>
          <a:spLocks noChangeShapeType="1"/>
        </xdr:cNvSpPr>
      </xdr:nvSpPr>
      <xdr:spPr bwMode="auto">
        <a:xfrm>
          <a:off x="7086600" y="11372849"/>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36</xdr:row>
      <xdr:rowOff>0</xdr:rowOff>
    </xdr:from>
    <xdr:to>
      <xdr:col>20</xdr:col>
      <xdr:colOff>0</xdr:colOff>
      <xdr:row>60</xdr:row>
      <xdr:rowOff>0</xdr:rowOff>
    </xdr:to>
    <xdr:graphicFrame macro="">
      <xdr:nvGraphicFramePr>
        <xdr:cNvPr id="53" name="Chart 176">
          <a:extLst>
            <a:ext uri="{FF2B5EF4-FFF2-40B4-BE49-F238E27FC236}">
              <a16:creationId xmlns:a16="http://schemas.microsoft.com/office/drawing/2014/main" id="{00000000-0008-0000-13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0</xdr:colOff>
      <xdr:row>170</xdr:row>
      <xdr:rowOff>0</xdr:rowOff>
    </xdr:from>
    <xdr:to>
      <xdr:col>19</xdr:col>
      <xdr:colOff>133350</xdr:colOff>
      <xdr:row>205</xdr:row>
      <xdr:rowOff>47625</xdr:rowOff>
    </xdr:to>
    <xdr:grpSp>
      <xdr:nvGrpSpPr>
        <xdr:cNvPr id="41" name="Group 40">
          <a:extLst>
            <a:ext uri="{FF2B5EF4-FFF2-40B4-BE49-F238E27FC236}">
              <a16:creationId xmlns:a16="http://schemas.microsoft.com/office/drawing/2014/main" id="{CE1CBF2C-8EA7-4DF3-AC13-6BE9983BA374}"/>
            </a:ext>
          </a:extLst>
        </xdr:cNvPr>
        <xdr:cNvGrpSpPr/>
      </xdr:nvGrpSpPr>
      <xdr:grpSpPr>
        <a:xfrm>
          <a:off x="140208" y="32822388"/>
          <a:ext cx="8950452" cy="4899660"/>
          <a:chOff x="95250" y="95250"/>
          <a:chExt cx="7534275" cy="5048250"/>
        </a:xfrm>
      </xdr:grpSpPr>
      <xdr:sp macro="" textlink="">
        <xdr:nvSpPr>
          <xdr:cNvPr id="45" name="Rectangle 44">
            <a:extLst>
              <a:ext uri="{FF2B5EF4-FFF2-40B4-BE49-F238E27FC236}">
                <a16:creationId xmlns:a16="http://schemas.microsoft.com/office/drawing/2014/main" id="{D9DFCD9E-1780-FC21-CAC7-D134B04CE363}"/>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46" name="Rectangle: Rounded Corners 45">
            <a:hlinkClick xmlns:r="http://schemas.openxmlformats.org/officeDocument/2006/relationships" r:id="rId10"/>
            <a:extLst>
              <a:ext uri="{FF2B5EF4-FFF2-40B4-BE49-F238E27FC236}">
                <a16:creationId xmlns:a16="http://schemas.microsoft.com/office/drawing/2014/main" id="{3386DE3A-DB97-C812-39CB-073E51F27F80}"/>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47" name="Rectangle: Rounded Corners 46">
            <a:hlinkClick xmlns:r="http://schemas.openxmlformats.org/officeDocument/2006/relationships" r:id="rId11"/>
            <a:extLst>
              <a:ext uri="{FF2B5EF4-FFF2-40B4-BE49-F238E27FC236}">
                <a16:creationId xmlns:a16="http://schemas.microsoft.com/office/drawing/2014/main" id="{B8D3CC4A-D448-6C3D-FB8F-5A007B5C3B4B}"/>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48" name="Rectangle: Rounded Corners 47">
            <a:hlinkClick xmlns:r="http://schemas.openxmlformats.org/officeDocument/2006/relationships" r:id="rId12"/>
            <a:extLst>
              <a:ext uri="{FF2B5EF4-FFF2-40B4-BE49-F238E27FC236}">
                <a16:creationId xmlns:a16="http://schemas.microsoft.com/office/drawing/2014/main" id="{DCFCCFDE-C58D-647A-30C6-B83BE329138B}"/>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54" name="Rectangle: Rounded Corners 53">
            <a:hlinkClick xmlns:r="http://schemas.openxmlformats.org/officeDocument/2006/relationships" r:id="rId13"/>
            <a:extLst>
              <a:ext uri="{FF2B5EF4-FFF2-40B4-BE49-F238E27FC236}">
                <a16:creationId xmlns:a16="http://schemas.microsoft.com/office/drawing/2014/main" id="{9FFB2275-974E-DFEB-D3DA-20E12E45B777}"/>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55" name="Rectangle: Rounded Corners 54">
            <a:hlinkClick xmlns:r="http://schemas.openxmlformats.org/officeDocument/2006/relationships" r:id="rId14"/>
            <a:extLst>
              <a:ext uri="{FF2B5EF4-FFF2-40B4-BE49-F238E27FC236}">
                <a16:creationId xmlns:a16="http://schemas.microsoft.com/office/drawing/2014/main" id="{4559E2B1-3B7F-A45D-2E72-26DD8B6E11D8}"/>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56" name="Rectangle: Rounded Corners 55">
            <a:hlinkClick xmlns:r="http://schemas.openxmlformats.org/officeDocument/2006/relationships" r:id="rId15"/>
            <a:extLst>
              <a:ext uri="{FF2B5EF4-FFF2-40B4-BE49-F238E27FC236}">
                <a16:creationId xmlns:a16="http://schemas.microsoft.com/office/drawing/2014/main" id="{CA27AAE7-CEA7-D610-EF9B-F7DE51774B4B}"/>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57" name="Rectangle: Rounded Corners 56">
            <a:hlinkClick xmlns:r="http://schemas.openxmlformats.org/officeDocument/2006/relationships" r:id="rId16"/>
            <a:extLst>
              <a:ext uri="{FF2B5EF4-FFF2-40B4-BE49-F238E27FC236}">
                <a16:creationId xmlns:a16="http://schemas.microsoft.com/office/drawing/2014/main" id="{C53ADA07-A66A-F8DE-20FF-AFDDB2EAA959}"/>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58" name="Rectangle: Rounded Corners 57">
            <a:hlinkClick xmlns:r="http://schemas.openxmlformats.org/officeDocument/2006/relationships" r:id="rId17"/>
            <a:extLst>
              <a:ext uri="{FF2B5EF4-FFF2-40B4-BE49-F238E27FC236}">
                <a16:creationId xmlns:a16="http://schemas.microsoft.com/office/drawing/2014/main" id="{8397C71B-8A81-FB82-D98B-CB60853AD15B}"/>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59" name="Rectangle: Rounded Corners 58">
            <a:hlinkClick xmlns:r="http://schemas.openxmlformats.org/officeDocument/2006/relationships" r:id="rId18"/>
            <a:extLst>
              <a:ext uri="{FF2B5EF4-FFF2-40B4-BE49-F238E27FC236}">
                <a16:creationId xmlns:a16="http://schemas.microsoft.com/office/drawing/2014/main" id="{B218C8E0-DD41-2E1A-94AD-BC089AEC3F88}"/>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60" name="Group 59">
            <a:hlinkClick xmlns:r="http://schemas.openxmlformats.org/officeDocument/2006/relationships" r:id="rId19"/>
            <a:extLst>
              <a:ext uri="{FF2B5EF4-FFF2-40B4-BE49-F238E27FC236}">
                <a16:creationId xmlns:a16="http://schemas.microsoft.com/office/drawing/2014/main" id="{6F27FAD9-303F-91A7-70F0-1A856DACAD1C}"/>
              </a:ext>
            </a:extLst>
          </xdr:cNvPr>
          <xdr:cNvGrpSpPr/>
        </xdr:nvGrpSpPr>
        <xdr:grpSpPr>
          <a:xfrm>
            <a:off x="190500" y="723900"/>
            <a:ext cx="1695450" cy="723900"/>
            <a:chOff x="190500" y="180975"/>
            <a:chExt cx="1800225" cy="723900"/>
          </a:xfrm>
        </xdr:grpSpPr>
        <xdr:sp macro="" textlink="">
          <xdr:nvSpPr>
            <xdr:cNvPr id="98333" name="Rectangle: Rounded Corners 98332">
              <a:hlinkClick xmlns:r="http://schemas.openxmlformats.org/officeDocument/2006/relationships" r:id="rId19"/>
              <a:extLst>
                <a:ext uri="{FF2B5EF4-FFF2-40B4-BE49-F238E27FC236}">
                  <a16:creationId xmlns:a16="http://schemas.microsoft.com/office/drawing/2014/main" id="{BB3BABD9-BE0B-3117-33C8-18C7DB4AF2F3}"/>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98334" name="Picture 98333">
              <a:extLst>
                <a:ext uri="{FF2B5EF4-FFF2-40B4-BE49-F238E27FC236}">
                  <a16:creationId xmlns:a16="http://schemas.microsoft.com/office/drawing/2014/main" id="{5BE14880-9EC5-3038-23CB-9A4B97283C0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61" name="Rectangle: Rounded Corners 60">
            <a:hlinkClick xmlns:r="http://schemas.openxmlformats.org/officeDocument/2006/relationships" r:id="rId21"/>
            <a:extLst>
              <a:ext uri="{FF2B5EF4-FFF2-40B4-BE49-F238E27FC236}">
                <a16:creationId xmlns:a16="http://schemas.microsoft.com/office/drawing/2014/main" id="{CE3AE712-30F2-E89B-0C85-424893D04D02}"/>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62" name="Rectangle: Rounded Corners 61">
            <a:hlinkClick xmlns:r="http://schemas.openxmlformats.org/officeDocument/2006/relationships" r:id="rId22"/>
            <a:extLst>
              <a:ext uri="{FF2B5EF4-FFF2-40B4-BE49-F238E27FC236}">
                <a16:creationId xmlns:a16="http://schemas.microsoft.com/office/drawing/2014/main" id="{75044A6A-80FE-D406-2F33-0C82A53C5FC1}"/>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63" name="Rectangle: Rounded Corners 62">
            <a:hlinkClick xmlns:r="http://schemas.openxmlformats.org/officeDocument/2006/relationships" r:id="rId23"/>
            <a:extLst>
              <a:ext uri="{FF2B5EF4-FFF2-40B4-BE49-F238E27FC236}">
                <a16:creationId xmlns:a16="http://schemas.microsoft.com/office/drawing/2014/main" id="{7EACE462-CB33-1036-CF4B-C979530F71D8}"/>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98304" name="Rectangle: Rounded Corners 98303">
            <a:hlinkClick xmlns:r="http://schemas.openxmlformats.org/officeDocument/2006/relationships" r:id="rId24"/>
            <a:extLst>
              <a:ext uri="{FF2B5EF4-FFF2-40B4-BE49-F238E27FC236}">
                <a16:creationId xmlns:a16="http://schemas.microsoft.com/office/drawing/2014/main" id="{3181BC21-3B64-90AA-9E58-A18059DB5209}"/>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98318" name="Rectangle: Rounded Corners 98317">
            <a:hlinkClick xmlns:r="http://schemas.openxmlformats.org/officeDocument/2006/relationships" r:id="rId25"/>
            <a:extLst>
              <a:ext uri="{FF2B5EF4-FFF2-40B4-BE49-F238E27FC236}">
                <a16:creationId xmlns:a16="http://schemas.microsoft.com/office/drawing/2014/main" id="{BFC77FFD-ADA6-7343-540A-C1A0DEF35634}"/>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98326" name="Rectangle: Rounded Corners 98325">
            <a:hlinkClick xmlns:r="http://schemas.openxmlformats.org/officeDocument/2006/relationships" r:id="rId26"/>
            <a:extLst>
              <a:ext uri="{FF2B5EF4-FFF2-40B4-BE49-F238E27FC236}">
                <a16:creationId xmlns:a16="http://schemas.microsoft.com/office/drawing/2014/main" id="{9FCA0AEA-C248-6380-1407-665C3789E2E0}"/>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98327" name="Rectangle: Rounded Corners 98326">
            <a:hlinkClick xmlns:r="http://schemas.openxmlformats.org/officeDocument/2006/relationships" r:id="rId27"/>
            <a:extLst>
              <a:ext uri="{FF2B5EF4-FFF2-40B4-BE49-F238E27FC236}">
                <a16:creationId xmlns:a16="http://schemas.microsoft.com/office/drawing/2014/main" id="{FBD6ADBC-205C-0A67-E6EB-4701060B7C87}"/>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98329" name="Rectangle: Rounded Corners 98328">
            <a:hlinkClick xmlns:r="http://schemas.openxmlformats.org/officeDocument/2006/relationships" r:id="rId28"/>
            <a:extLst>
              <a:ext uri="{FF2B5EF4-FFF2-40B4-BE49-F238E27FC236}">
                <a16:creationId xmlns:a16="http://schemas.microsoft.com/office/drawing/2014/main" id="{74298F8D-0696-54D4-2905-37A8E5C63451}"/>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98330" name="Rectangle: Rounded Corners 98329">
            <a:hlinkClick xmlns:r="http://schemas.openxmlformats.org/officeDocument/2006/relationships" r:id="rId29"/>
            <a:extLst>
              <a:ext uri="{FF2B5EF4-FFF2-40B4-BE49-F238E27FC236}">
                <a16:creationId xmlns:a16="http://schemas.microsoft.com/office/drawing/2014/main" id="{5E40D12E-7C7C-2541-3B9A-2C7819692C1C}"/>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98331" name="Rectangle: Rounded Corners 98330">
            <a:hlinkClick xmlns:r="http://schemas.openxmlformats.org/officeDocument/2006/relationships" r:id="rId30"/>
            <a:extLst>
              <a:ext uri="{FF2B5EF4-FFF2-40B4-BE49-F238E27FC236}">
                <a16:creationId xmlns:a16="http://schemas.microsoft.com/office/drawing/2014/main" id="{BE8973F6-1C4F-BFBE-F307-0FCBDCFB1213}"/>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98332" name="TextBox 98331">
            <a:extLst>
              <a:ext uri="{FF2B5EF4-FFF2-40B4-BE49-F238E27FC236}">
                <a16:creationId xmlns:a16="http://schemas.microsoft.com/office/drawing/2014/main" id="{54599809-44B9-5F47-1AAD-1CBE1EFE99C7}"/>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98335" name="Group 98334">
          <a:hlinkClick xmlns:r="http://schemas.openxmlformats.org/officeDocument/2006/relationships" r:id="rId19"/>
          <a:extLst>
            <a:ext uri="{FF2B5EF4-FFF2-40B4-BE49-F238E27FC236}">
              <a16:creationId xmlns:a16="http://schemas.microsoft.com/office/drawing/2014/main" id="{27C2FB10-4047-4109-8FCB-E6B9A9D792DC}"/>
            </a:ext>
          </a:extLst>
        </xdr:cNvPr>
        <xdr:cNvGrpSpPr/>
      </xdr:nvGrpSpPr>
      <xdr:grpSpPr>
        <a:xfrm>
          <a:off x="9691116" y="0"/>
          <a:ext cx="411480" cy="1685544"/>
          <a:chOff x="9210675" y="19050"/>
          <a:chExt cx="390525" cy="1743075"/>
        </a:xfrm>
      </xdr:grpSpPr>
      <xdr:pic>
        <xdr:nvPicPr>
          <xdr:cNvPr id="98336" name="Graphic 98335" descr="Map compass with solid fill">
            <a:hlinkClick xmlns:r="http://schemas.openxmlformats.org/officeDocument/2006/relationships" r:id="rId31"/>
            <a:extLst>
              <a:ext uri="{FF2B5EF4-FFF2-40B4-BE49-F238E27FC236}">
                <a16:creationId xmlns:a16="http://schemas.microsoft.com/office/drawing/2014/main" id="{AB737A1E-5F83-B463-3F18-A6EE8865E681}"/>
              </a:ext>
            </a:extLst>
          </xdr:cNvPr>
          <xdr:cNvPicPr>
            <a:picLocks noChangeAspect="1"/>
          </xdr:cNvPicPr>
        </xdr:nvPicPr>
        <xdr:blipFill>
          <a:blip xmlns:r="http://schemas.openxmlformats.org/officeDocument/2006/relationships" r:embed="rId32">
            <a:duotone>
              <a:schemeClr val="accent6">
                <a:shade val="45000"/>
                <a:satMod val="135000"/>
              </a:schemeClr>
              <a:prstClr val="white"/>
            </a:duotone>
            <a:extLst>
              <a:ext uri="{96DAC541-7B7A-43D3-8B79-37D633B846F1}">
                <asvg:svgBlip xmlns:asvg="http://schemas.microsoft.com/office/drawing/2016/SVG/main" r:embed="rId33"/>
              </a:ext>
            </a:extLst>
          </a:blip>
          <a:stretch>
            <a:fillRect/>
          </a:stretch>
        </xdr:blipFill>
        <xdr:spPr>
          <a:xfrm>
            <a:off x="9229725" y="38099"/>
            <a:ext cx="369675" cy="369675"/>
          </a:xfrm>
          <a:prstGeom prst="rect">
            <a:avLst/>
          </a:prstGeom>
        </xdr:spPr>
      </xdr:pic>
      <xdr:sp macro="" textlink="">
        <xdr:nvSpPr>
          <xdr:cNvPr id="98337" name="Right Arrow 50">
            <a:hlinkClick xmlns:r="http://schemas.openxmlformats.org/officeDocument/2006/relationships" r:id="rId21"/>
            <a:extLst>
              <a:ext uri="{FF2B5EF4-FFF2-40B4-BE49-F238E27FC236}">
                <a16:creationId xmlns:a16="http://schemas.microsoft.com/office/drawing/2014/main" id="{18790745-2FEE-334F-50F1-4F140BBB5733}"/>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98338" name="Right Arrow 50">
            <a:hlinkClick xmlns:r="http://schemas.openxmlformats.org/officeDocument/2006/relationships" r:id="rId26"/>
            <a:extLst>
              <a:ext uri="{FF2B5EF4-FFF2-40B4-BE49-F238E27FC236}">
                <a16:creationId xmlns:a16="http://schemas.microsoft.com/office/drawing/2014/main" id="{D3D75745-5A47-25CB-2E77-612B82BF48FF}"/>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98339" name="Picture 98338">
            <a:hlinkClick xmlns:r="http://schemas.openxmlformats.org/officeDocument/2006/relationships" r:id="rId19"/>
            <a:extLst>
              <a:ext uri="{FF2B5EF4-FFF2-40B4-BE49-F238E27FC236}">
                <a16:creationId xmlns:a16="http://schemas.microsoft.com/office/drawing/2014/main" id="{22ADBCCF-D5ED-63C7-DFD1-A8424F30FB6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98340" name="Rectangle 98339">
            <a:extLst>
              <a:ext uri="{FF2B5EF4-FFF2-40B4-BE49-F238E27FC236}">
                <a16:creationId xmlns:a16="http://schemas.microsoft.com/office/drawing/2014/main" id="{D97D7B17-C180-35FE-A896-1419EB7E0D96}"/>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4" name="Down Arrow 44">
          <a:hlinkClick xmlns:r="http://schemas.openxmlformats.org/officeDocument/2006/relationships" r:id="rId22"/>
          <a:extLst>
            <a:ext uri="{FF2B5EF4-FFF2-40B4-BE49-F238E27FC236}">
              <a16:creationId xmlns:a16="http://schemas.microsoft.com/office/drawing/2014/main" id="{645DFADC-918C-4C90-B002-3975D755F353}"/>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5" name="Down Arrow 44">
          <a:hlinkClick xmlns:r="http://schemas.openxmlformats.org/officeDocument/2006/relationships" r:id="rId22"/>
          <a:extLst>
            <a:ext uri="{FF2B5EF4-FFF2-40B4-BE49-F238E27FC236}">
              <a16:creationId xmlns:a16="http://schemas.microsoft.com/office/drawing/2014/main" id="{9F4B4F32-BA7E-4692-BD7A-41215DC42737}"/>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101</xdr:row>
      <xdr:rowOff>0</xdr:rowOff>
    </xdr:from>
    <xdr:ext cx="252000" cy="288000"/>
    <xdr:sp macro="" textlink="">
      <xdr:nvSpPr>
        <xdr:cNvPr id="7" name="Down Arrow 44">
          <a:hlinkClick xmlns:r="http://schemas.openxmlformats.org/officeDocument/2006/relationships" r:id="rId22"/>
          <a:extLst>
            <a:ext uri="{FF2B5EF4-FFF2-40B4-BE49-F238E27FC236}">
              <a16:creationId xmlns:a16="http://schemas.microsoft.com/office/drawing/2014/main" id="{F653C2CF-0597-4976-9900-2BF5B76B6961}"/>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134</xdr:row>
      <xdr:rowOff>0</xdr:rowOff>
    </xdr:from>
    <xdr:ext cx="252000" cy="288000"/>
    <xdr:sp macro="" textlink="">
      <xdr:nvSpPr>
        <xdr:cNvPr id="10" name="Down Arrow 44">
          <a:hlinkClick xmlns:r="http://schemas.openxmlformats.org/officeDocument/2006/relationships" r:id="rId22"/>
          <a:extLst>
            <a:ext uri="{FF2B5EF4-FFF2-40B4-BE49-F238E27FC236}">
              <a16:creationId xmlns:a16="http://schemas.microsoft.com/office/drawing/2014/main" id="{2AEBA9BB-507F-4161-9B90-B0851551F4AD}"/>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167</xdr:row>
      <xdr:rowOff>0</xdr:rowOff>
    </xdr:from>
    <xdr:ext cx="252000" cy="288000"/>
    <xdr:sp macro="" textlink="">
      <xdr:nvSpPr>
        <xdr:cNvPr id="11" name="Down Arrow 44">
          <a:hlinkClick xmlns:r="http://schemas.openxmlformats.org/officeDocument/2006/relationships" r:id="rId22"/>
          <a:extLst>
            <a:ext uri="{FF2B5EF4-FFF2-40B4-BE49-F238E27FC236}">
              <a16:creationId xmlns:a16="http://schemas.microsoft.com/office/drawing/2014/main" id="{4AEBB7D8-B4E3-4AA9-A2D0-1EE311AAAF9B}"/>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16.xml><?xml version="1.0" encoding="utf-8"?>
<xdr:wsDr xmlns:xdr="http://schemas.openxmlformats.org/drawingml/2006/spreadsheetDrawing" xmlns:a="http://schemas.openxmlformats.org/drawingml/2006/main">
  <xdr:twoCellAnchor>
    <xdr:from>
      <xdr:col>1</xdr:col>
      <xdr:colOff>1</xdr:colOff>
      <xdr:row>36</xdr:row>
      <xdr:rowOff>1</xdr:rowOff>
    </xdr:from>
    <xdr:to>
      <xdr:col>10</xdr:col>
      <xdr:colOff>0</xdr:colOff>
      <xdr:row>65</xdr:row>
      <xdr:rowOff>0</xdr:rowOff>
    </xdr:to>
    <xdr:graphicFrame macro="">
      <xdr:nvGraphicFramePr>
        <xdr:cNvPr id="6" name="Chart 13">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419096</xdr:colOff>
      <xdr:row>0</xdr:row>
      <xdr:rowOff>85725</xdr:rowOff>
    </xdr:from>
    <xdr:to>
      <xdr:col>20</xdr:col>
      <xdr:colOff>54971</xdr:colOff>
      <xdr:row>2</xdr:row>
      <xdr:rowOff>149475</xdr:rowOff>
    </xdr:to>
    <xdr:sp macro="" textlink="">
      <xdr:nvSpPr>
        <xdr:cNvPr id="8" name="AutoShape 32">
          <a:extLst>
            <a:ext uri="{FF2B5EF4-FFF2-40B4-BE49-F238E27FC236}">
              <a16:creationId xmlns:a16="http://schemas.microsoft.com/office/drawing/2014/main" id="{00000000-0008-0000-1400-000008000000}"/>
            </a:ext>
          </a:extLst>
        </xdr:cNvPr>
        <xdr:cNvSpPr>
          <a:spLocks noChangeArrowheads="1"/>
        </xdr:cNvSpPr>
      </xdr:nvSpPr>
      <xdr:spPr bwMode="auto">
        <a:xfrm>
          <a:off x="6953246"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0</xdr:colOff>
      <xdr:row>62</xdr:row>
      <xdr:rowOff>0</xdr:rowOff>
    </xdr:from>
    <xdr:to>
      <xdr:col>20</xdr:col>
      <xdr:colOff>1</xdr:colOff>
      <xdr:row>65</xdr:row>
      <xdr:rowOff>0</xdr:rowOff>
    </xdr:to>
    <xdr:graphicFrame macro="">
      <xdr:nvGraphicFramePr>
        <xdr:cNvPr id="9" name="Chart 13">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95250</xdr:colOff>
          <xdr:row>36</xdr:row>
          <xdr:rowOff>19050</xdr:rowOff>
        </xdr:from>
        <xdr:to>
          <xdr:col>35</xdr:col>
          <xdr:colOff>66675</xdr:colOff>
          <xdr:row>38</xdr:row>
          <xdr:rowOff>19050</xdr:rowOff>
        </xdr:to>
        <xdr:sp macro="" textlink="">
          <xdr:nvSpPr>
            <xdr:cNvPr id="99329" name="Check Box 1" hidden="1">
              <a:extLst>
                <a:ext uri="{63B3BB69-23CF-44E3-9099-C40C66FF867C}">
                  <a14:compatExt spid="_x0000_s99329"/>
                </a:ext>
                <a:ext uri="{FF2B5EF4-FFF2-40B4-BE49-F238E27FC236}">
                  <a16:creationId xmlns:a16="http://schemas.microsoft.com/office/drawing/2014/main" id="{00000000-0008-0000-1600-000001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37</xdr:row>
          <xdr:rowOff>152400</xdr:rowOff>
        </xdr:from>
        <xdr:to>
          <xdr:col>35</xdr:col>
          <xdr:colOff>66675</xdr:colOff>
          <xdr:row>39</xdr:row>
          <xdr:rowOff>19050</xdr:rowOff>
        </xdr:to>
        <xdr:sp macro="" textlink="">
          <xdr:nvSpPr>
            <xdr:cNvPr id="99330" name="Check Box 2" hidden="1">
              <a:extLst>
                <a:ext uri="{63B3BB69-23CF-44E3-9099-C40C66FF867C}">
                  <a14:compatExt spid="_x0000_s99330"/>
                </a:ext>
                <a:ext uri="{FF2B5EF4-FFF2-40B4-BE49-F238E27FC236}">
                  <a16:creationId xmlns:a16="http://schemas.microsoft.com/office/drawing/2014/main" id="{00000000-0008-0000-1600-00000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38</xdr:row>
          <xdr:rowOff>152400</xdr:rowOff>
        </xdr:from>
        <xdr:to>
          <xdr:col>35</xdr:col>
          <xdr:colOff>66675</xdr:colOff>
          <xdr:row>40</xdr:row>
          <xdr:rowOff>19050</xdr:rowOff>
        </xdr:to>
        <xdr:sp macro="" textlink="">
          <xdr:nvSpPr>
            <xdr:cNvPr id="99331" name="Check Box 3" hidden="1">
              <a:extLst>
                <a:ext uri="{63B3BB69-23CF-44E3-9099-C40C66FF867C}">
                  <a14:compatExt spid="_x0000_s99331"/>
                </a:ext>
                <a:ext uri="{FF2B5EF4-FFF2-40B4-BE49-F238E27FC236}">
                  <a16:creationId xmlns:a16="http://schemas.microsoft.com/office/drawing/2014/main" id="{00000000-0008-0000-1600-00000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39</xdr:row>
          <xdr:rowOff>152400</xdr:rowOff>
        </xdr:from>
        <xdr:to>
          <xdr:col>35</xdr:col>
          <xdr:colOff>66675</xdr:colOff>
          <xdr:row>41</xdr:row>
          <xdr:rowOff>19050</xdr:rowOff>
        </xdr:to>
        <xdr:sp macro="" textlink="">
          <xdr:nvSpPr>
            <xdr:cNvPr id="99332" name="Check Box 4" hidden="1">
              <a:extLst>
                <a:ext uri="{63B3BB69-23CF-44E3-9099-C40C66FF867C}">
                  <a14:compatExt spid="_x0000_s99332"/>
                </a:ext>
                <a:ext uri="{FF2B5EF4-FFF2-40B4-BE49-F238E27FC236}">
                  <a16:creationId xmlns:a16="http://schemas.microsoft.com/office/drawing/2014/main" id="{00000000-0008-0000-1600-00000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40</xdr:row>
          <xdr:rowOff>152400</xdr:rowOff>
        </xdr:from>
        <xdr:to>
          <xdr:col>35</xdr:col>
          <xdr:colOff>66675</xdr:colOff>
          <xdr:row>42</xdr:row>
          <xdr:rowOff>19050</xdr:rowOff>
        </xdr:to>
        <xdr:sp macro="" textlink="">
          <xdr:nvSpPr>
            <xdr:cNvPr id="99333" name="Check Box 5" hidden="1">
              <a:extLst>
                <a:ext uri="{63B3BB69-23CF-44E3-9099-C40C66FF867C}">
                  <a14:compatExt spid="_x0000_s99333"/>
                </a:ext>
                <a:ext uri="{FF2B5EF4-FFF2-40B4-BE49-F238E27FC236}">
                  <a16:creationId xmlns:a16="http://schemas.microsoft.com/office/drawing/2014/main" id="{00000000-0008-0000-1600-00000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41</xdr:row>
          <xdr:rowOff>152400</xdr:rowOff>
        </xdr:from>
        <xdr:to>
          <xdr:col>35</xdr:col>
          <xdr:colOff>66675</xdr:colOff>
          <xdr:row>43</xdr:row>
          <xdr:rowOff>19050</xdr:rowOff>
        </xdr:to>
        <xdr:sp macro="" textlink="">
          <xdr:nvSpPr>
            <xdr:cNvPr id="99334" name="Check Box 6" hidden="1">
              <a:extLst>
                <a:ext uri="{63B3BB69-23CF-44E3-9099-C40C66FF867C}">
                  <a14:compatExt spid="_x0000_s99334"/>
                </a:ext>
                <a:ext uri="{FF2B5EF4-FFF2-40B4-BE49-F238E27FC236}">
                  <a16:creationId xmlns:a16="http://schemas.microsoft.com/office/drawing/2014/main" id="{00000000-0008-0000-1600-00000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42</xdr:row>
          <xdr:rowOff>152400</xdr:rowOff>
        </xdr:from>
        <xdr:to>
          <xdr:col>35</xdr:col>
          <xdr:colOff>66675</xdr:colOff>
          <xdr:row>44</xdr:row>
          <xdr:rowOff>19050</xdr:rowOff>
        </xdr:to>
        <xdr:sp macro="" textlink="">
          <xdr:nvSpPr>
            <xdr:cNvPr id="99335" name="Check Box 7" hidden="1">
              <a:extLst>
                <a:ext uri="{63B3BB69-23CF-44E3-9099-C40C66FF867C}">
                  <a14:compatExt spid="_x0000_s99335"/>
                </a:ext>
                <a:ext uri="{FF2B5EF4-FFF2-40B4-BE49-F238E27FC236}">
                  <a16:creationId xmlns:a16="http://schemas.microsoft.com/office/drawing/2014/main" id="{00000000-0008-0000-1600-00000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43</xdr:row>
          <xdr:rowOff>152400</xdr:rowOff>
        </xdr:from>
        <xdr:to>
          <xdr:col>35</xdr:col>
          <xdr:colOff>66675</xdr:colOff>
          <xdr:row>45</xdr:row>
          <xdr:rowOff>19050</xdr:rowOff>
        </xdr:to>
        <xdr:sp macro="" textlink="">
          <xdr:nvSpPr>
            <xdr:cNvPr id="99336" name="Check Box 8" hidden="1">
              <a:extLst>
                <a:ext uri="{63B3BB69-23CF-44E3-9099-C40C66FF867C}">
                  <a14:compatExt spid="_x0000_s99336"/>
                </a:ext>
                <a:ext uri="{FF2B5EF4-FFF2-40B4-BE49-F238E27FC236}">
                  <a16:creationId xmlns:a16="http://schemas.microsoft.com/office/drawing/2014/main" id="{00000000-0008-0000-1600-00000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44</xdr:row>
          <xdr:rowOff>152400</xdr:rowOff>
        </xdr:from>
        <xdr:to>
          <xdr:col>35</xdr:col>
          <xdr:colOff>66675</xdr:colOff>
          <xdr:row>46</xdr:row>
          <xdr:rowOff>19050</xdr:rowOff>
        </xdr:to>
        <xdr:sp macro="" textlink="">
          <xdr:nvSpPr>
            <xdr:cNvPr id="99337" name="Check Box 9" hidden="1">
              <a:extLst>
                <a:ext uri="{63B3BB69-23CF-44E3-9099-C40C66FF867C}">
                  <a14:compatExt spid="_x0000_s99337"/>
                </a:ext>
                <a:ext uri="{FF2B5EF4-FFF2-40B4-BE49-F238E27FC236}">
                  <a16:creationId xmlns:a16="http://schemas.microsoft.com/office/drawing/2014/main" id="{00000000-0008-0000-1600-000009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45</xdr:row>
          <xdr:rowOff>152400</xdr:rowOff>
        </xdr:from>
        <xdr:to>
          <xdr:col>35</xdr:col>
          <xdr:colOff>66675</xdr:colOff>
          <xdr:row>47</xdr:row>
          <xdr:rowOff>19050</xdr:rowOff>
        </xdr:to>
        <xdr:sp macro="" textlink="">
          <xdr:nvSpPr>
            <xdr:cNvPr id="99338" name="Check Box 10" hidden="1">
              <a:extLst>
                <a:ext uri="{63B3BB69-23CF-44E3-9099-C40C66FF867C}">
                  <a14:compatExt spid="_x0000_s99338"/>
                </a:ext>
                <a:ext uri="{FF2B5EF4-FFF2-40B4-BE49-F238E27FC236}">
                  <a16:creationId xmlns:a16="http://schemas.microsoft.com/office/drawing/2014/main" id="{00000000-0008-0000-1600-00000A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46</xdr:row>
          <xdr:rowOff>152400</xdr:rowOff>
        </xdr:from>
        <xdr:to>
          <xdr:col>35</xdr:col>
          <xdr:colOff>66675</xdr:colOff>
          <xdr:row>48</xdr:row>
          <xdr:rowOff>19050</xdr:rowOff>
        </xdr:to>
        <xdr:sp macro="" textlink="">
          <xdr:nvSpPr>
            <xdr:cNvPr id="99339" name="Check Box 11" hidden="1">
              <a:extLst>
                <a:ext uri="{63B3BB69-23CF-44E3-9099-C40C66FF867C}">
                  <a14:compatExt spid="_x0000_s99339"/>
                </a:ext>
                <a:ext uri="{FF2B5EF4-FFF2-40B4-BE49-F238E27FC236}">
                  <a16:creationId xmlns:a16="http://schemas.microsoft.com/office/drawing/2014/main" id="{00000000-0008-0000-1600-00000B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47</xdr:row>
          <xdr:rowOff>152400</xdr:rowOff>
        </xdr:from>
        <xdr:to>
          <xdr:col>35</xdr:col>
          <xdr:colOff>66675</xdr:colOff>
          <xdr:row>49</xdr:row>
          <xdr:rowOff>19050</xdr:rowOff>
        </xdr:to>
        <xdr:sp macro="" textlink="">
          <xdr:nvSpPr>
            <xdr:cNvPr id="99340" name="Check Box 12" hidden="1">
              <a:extLst>
                <a:ext uri="{63B3BB69-23CF-44E3-9099-C40C66FF867C}">
                  <a14:compatExt spid="_x0000_s99340"/>
                </a:ext>
                <a:ext uri="{FF2B5EF4-FFF2-40B4-BE49-F238E27FC236}">
                  <a16:creationId xmlns:a16="http://schemas.microsoft.com/office/drawing/2014/main" id="{00000000-0008-0000-1600-00000C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48</xdr:row>
          <xdr:rowOff>152400</xdr:rowOff>
        </xdr:from>
        <xdr:to>
          <xdr:col>35</xdr:col>
          <xdr:colOff>66675</xdr:colOff>
          <xdr:row>50</xdr:row>
          <xdr:rowOff>19050</xdr:rowOff>
        </xdr:to>
        <xdr:sp macro="" textlink="">
          <xdr:nvSpPr>
            <xdr:cNvPr id="99341" name="Check Box 13" hidden="1">
              <a:extLst>
                <a:ext uri="{63B3BB69-23CF-44E3-9099-C40C66FF867C}">
                  <a14:compatExt spid="_x0000_s99341"/>
                </a:ext>
                <a:ext uri="{FF2B5EF4-FFF2-40B4-BE49-F238E27FC236}">
                  <a16:creationId xmlns:a16="http://schemas.microsoft.com/office/drawing/2014/main" id="{00000000-0008-0000-1600-00000D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49</xdr:row>
          <xdr:rowOff>152400</xdr:rowOff>
        </xdr:from>
        <xdr:to>
          <xdr:col>35</xdr:col>
          <xdr:colOff>66675</xdr:colOff>
          <xdr:row>51</xdr:row>
          <xdr:rowOff>19050</xdr:rowOff>
        </xdr:to>
        <xdr:sp macro="" textlink="">
          <xdr:nvSpPr>
            <xdr:cNvPr id="99343" name="Check Box 15" hidden="1">
              <a:extLst>
                <a:ext uri="{63B3BB69-23CF-44E3-9099-C40C66FF867C}">
                  <a14:compatExt spid="_x0000_s99343"/>
                </a:ext>
                <a:ext uri="{FF2B5EF4-FFF2-40B4-BE49-F238E27FC236}">
                  <a16:creationId xmlns:a16="http://schemas.microsoft.com/office/drawing/2014/main" id="{00000000-0008-0000-1600-00000F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50</xdr:row>
          <xdr:rowOff>152400</xdr:rowOff>
        </xdr:from>
        <xdr:to>
          <xdr:col>35</xdr:col>
          <xdr:colOff>66675</xdr:colOff>
          <xdr:row>52</xdr:row>
          <xdr:rowOff>19050</xdr:rowOff>
        </xdr:to>
        <xdr:sp macro="" textlink="">
          <xdr:nvSpPr>
            <xdr:cNvPr id="99344" name="Check Box 16" hidden="1">
              <a:extLst>
                <a:ext uri="{63B3BB69-23CF-44E3-9099-C40C66FF867C}">
                  <a14:compatExt spid="_x0000_s99344"/>
                </a:ext>
                <a:ext uri="{FF2B5EF4-FFF2-40B4-BE49-F238E27FC236}">
                  <a16:creationId xmlns:a16="http://schemas.microsoft.com/office/drawing/2014/main" id="{00000000-0008-0000-1600-00001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51</xdr:row>
          <xdr:rowOff>161925</xdr:rowOff>
        </xdr:from>
        <xdr:to>
          <xdr:col>35</xdr:col>
          <xdr:colOff>66675</xdr:colOff>
          <xdr:row>53</xdr:row>
          <xdr:rowOff>28575</xdr:rowOff>
        </xdr:to>
        <xdr:sp macro="" textlink="">
          <xdr:nvSpPr>
            <xdr:cNvPr id="99345" name="Check Box 17" hidden="1">
              <a:extLst>
                <a:ext uri="{63B3BB69-23CF-44E3-9099-C40C66FF867C}">
                  <a14:compatExt spid="_x0000_s99345"/>
                </a:ext>
                <a:ext uri="{FF2B5EF4-FFF2-40B4-BE49-F238E27FC236}">
                  <a16:creationId xmlns:a16="http://schemas.microsoft.com/office/drawing/2014/main" id="{00000000-0008-0000-1600-000011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52</xdr:row>
          <xdr:rowOff>161925</xdr:rowOff>
        </xdr:from>
        <xdr:to>
          <xdr:col>35</xdr:col>
          <xdr:colOff>66675</xdr:colOff>
          <xdr:row>54</xdr:row>
          <xdr:rowOff>28575</xdr:rowOff>
        </xdr:to>
        <xdr:sp macro="" textlink="">
          <xdr:nvSpPr>
            <xdr:cNvPr id="99346" name="Check Box 18" hidden="1">
              <a:extLst>
                <a:ext uri="{63B3BB69-23CF-44E3-9099-C40C66FF867C}">
                  <a14:compatExt spid="_x0000_s99346"/>
                </a:ext>
                <a:ext uri="{FF2B5EF4-FFF2-40B4-BE49-F238E27FC236}">
                  <a16:creationId xmlns:a16="http://schemas.microsoft.com/office/drawing/2014/main" id="{00000000-0008-0000-1600-00001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53</xdr:row>
          <xdr:rowOff>161925</xdr:rowOff>
        </xdr:from>
        <xdr:to>
          <xdr:col>35</xdr:col>
          <xdr:colOff>66675</xdr:colOff>
          <xdr:row>55</xdr:row>
          <xdr:rowOff>28575</xdr:rowOff>
        </xdr:to>
        <xdr:sp macro="" textlink="">
          <xdr:nvSpPr>
            <xdr:cNvPr id="99347" name="Check Box 19" hidden="1">
              <a:extLst>
                <a:ext uri="{63B3BB69-23CF-44E3-9099-C40C66FF867C}">
                  <a14:compatExt spid="_x0000_s99347"/>
                </a:ext>
                <a:ext uri="{FF2B5EF4-FFF2-40B4-BE49-F238E27FC236}">
                  <a16:creationId xmlns:a16="http://schemas.microsoft.com/office/drawing/2014/main" id="{00000000-0008-0000-1600-00001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54</xdr:row>
          <xdr:rowOff>161925</xdr:rowOff>
        </xdr:from>
        <xdr:to>
          <xdr:col>35</xdr:col>
          <xdr:colOff>66675</xdr:colOff>
          <xdr:row>56</xdr:row>
          <xdr:rowOff>28575</xdr:rowOff>
        </xdr:to>
        <xdr:sp macro="" textlink="">
          <xdr:nvSpPr>
            <xdr:cNvPr id="99348" name="Check Box 20" hidden="1">
              <a:extLst>
                <a:ext uri="{63B3BB69-23CF-44E3-9099-C40C66FF867C}">
                  <a14:compatExt spid="_x0000_s99348"/>
                </a:ext>
                <a:ext uri="{FF2B5EF4-FFF2-40B4-BE49-F238E27FC236}">
                  <a16:creationId xmlns:a16="http://schemas.microsoft.com/office/drawing/2014/main" id="{00000000-0008-0000-1600-00001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55</xdr:row>
          <xdr:rowOff>161925</xdr:rowOff>
        </xdr:from>
        <xdr:to>
          <xdr:col>35</xdr:col>
          <xdr:colOff>66675</xdr:colOff>
          <xdr:row>57</xdr:row>
          <xdr:rowOff>28575</xdr:rowOff>
        </xdr:to>
        <xdr:sp macro="" textlink="">
          <xdr:nvSpPr>
            <xdr:cNvPr id="99349" name="Check Box 21" hidden="1">
              <a:extLst>
                <a:ext uri="{63B3BB69-23CF-44E3-9099-C40C66FF867C}">
                  <a14:compatExt spid="_x0000_s99349"/>
                </a:ext>
                <a:ext uri="{FF2B5EF4-FFF2-40B4-BE49-F238E27FC236}">
                  <a16:creationId xmlns:a16="http://schemas.microsoft.com/office/drawing/2014/main" id="{00000000-0008-0000-1600-00001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264</xdr:row>
      <xdr:rowOff>0</xdr:rowOff>
    </xdr:from>
    <xdr:to>
      <xdr:col>8</xdr:col>
      <xdr:colOff>0</xdr:colOff>
      <xdr:row>267</xdr:row>
      <xdr:rowOff>0</xdr:rowOff>
    </xdr:to>
    <xdr:graphicFrame macro="">
      <xdr:nvGraphicFramePr>
        <xdr:cNvPr id="32" name="Chart 13">
          <a:extLst>
            <a:ext uri="{FF2B5EF4-FFF2-40B4-BE49-F238E27FC236}">
              <a16:creationId xmlns:a16="http://schemas.microsoft.com/office/drawing/2014/main" id="{00000000-0008-0000-1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188250</xdr:colOff>
      <xdr:row>238</xdr:row>
      <xdr:rowOff>0</xdr:rowOff>
    </xdr:from>
    <xdr:to>
      <xdr:col>20</xdr:col>
      <xdr:colOff>0</xdr:colOff>
      <xdr:row>267</xdr:row>
      <xdr:rowOff>0</xdr:rowOff>
    </xdr:to>
    <xdr:graphicFrame macro="">
      <xdr:nvGraphicFramePr>
        <xdr:cNvPr id="35" name="Chart 13">
          <a:extLst>
            <a:ext uri="{FF2B5EF4-FFF2-40B4-BE49-F238E27FC236}">
              <a16:creationId xmlns:a16="http://schemas.microsoft.com/office/drawing/2014/main" id="{00000000-0008-0000-14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95250</xdr:colOff>
          <xdr:row>56</xdr:row>
          <xdr:rowOff>161925</xdr:rowOff>
        </xdr:from>
        <xdr:to>
          <xdr:col>35</xdr:col>
          <xdr:colOff>66675</xdr:colOff>
          <xdr:row>58</xdr:row>
          <xdr:rowOff>28575</xdr:rowOff>
        </xdr:to>
        <xdr:sp macro="" textlink="">
          <xdr:nvSpPr>
            <xdr:cNvPr id="99352" name="Check Box 24" hidden="1">
              <a:extLst>
                <a:ext uri="{63B3BB69-23CF-44E3-9099-C40C66FF867C}">
                  <a14:compatExt spid="_x0000_s99352"/>
                </a:ext>
                <a:ext uri="{FF2B5EF4-FFF2-40B4-BE49-F238E27FC236}">
                  <a16:creationId xmlns:a16="http://schemas.microsoft.com/office/drawing/2014/main" id="{00000000-0008-0000-1600-00001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0</xdr:colOff>
      <xdr:row>69</xdr:row>
      <xdr:rowOff>0</xdr:rowOff>
    </xdr:from>
    <xdr:to>
      <xdr:col>20</xdr:col>
      <xdr:colOff>0</xdr:colOff>
      <xdr:row>100</xdr:row>
      <xdr:rowOff>0</xdr:rowOff>
    </xdr:to>
    <xdr:graphicFrame macro="">
      <xdr:nvGraphicFramePr>
        <xdr:cNvPr id="38" name="Chart 176">
          <a:extLst>
            <a:ext uri="{FF2B5EF4-FFF2-40B4-BE49-F238E27FC236}">
              <a16:creationId xmlns:a16="http://schemas.microsoft.com/office/drawing/2014/main" id="{00000000-0008-0000-14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69</xdr:row>
      <xdr:rowOff>0</xdr:rowOff>
    </xdr:from>
    <xdr:to>
      <xdr:col>10</xdr:col>
      <xdr:colOff>0</xdr:colOff>
      <xdr:row>100</xdr:row>
      <xdr:rowOff>0</xdr:rowOff>
    </xdr:to>
    <xdr:graphicFrame macro="">
      <xdr:nvGraphicFramePr>
        <xdr:cNvPr id="39" name="Chart 764">
          <a:extLst>
            <a:ext uri="{FF2B5EF4-FFF2-40B4-BE49-F238E27FC236}">
              <a16:creationId xmlns:a16="http://schemas.microsoft.com/office/drawing/2014/main" id="{00000000-0008-0000-14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231</xdr:row>
      <xdr:rowOff>0</xdr:rowOff>
    </xdr:from>
    <xdr:to>
      <xdr:col>8</xdr:col>
      <xdr:colOff>0</xdr:colOff>
      <xdr:row>234</xdr:row>
      <xdr:rowOff>0</xdr:rowOff>
    </xdr:to>
    <xdr:graphicFrame macro="">
      <xdr:nvGraphicFramePr>
        <xdr:cNvPr id="43" name="Chart 13">
          <a:extLst>
            <a:ext uri="{FF2B5EF4-FFF2-40B4-BE49-F238E27FC236}">
              <a16:creationId xmlns:a16="http://schemas.microsoft.com/office/drawing/2014/main" id="{00000000-0008-0000-14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188250</xdr:colOff>
      <xdr:row>205</xdr:row>
      <xdr:rowOff>0</xdr:rowOff>
    </xdr:from>
    <xdr:to>
      <xdr:col>20</xdr:col>
      <xdr:colOff>0</xdr:colOff>
      <xdr:row>234</xdr:row>
      <xdr:rowOff>0</xdr:rowOff>
    </xdr:to>
    <xdr:graphicFrame macro="">
      <xdr:nvGraphicFramePr>
        <xdr:cNvPr id="44" name="Chart 13">
          <a:extLst>
            <a:ext uri="{FF2B5EF4-FFF2-40B4-BE49-F238E27FC236}">
              <a16:creationId xmlns:a16="http://schemas.microsoft.com/office/drawing/2014/main" id="{00000000-0008-0000-14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198</xdr:row>
      <xdr:rowOff>0</xdr:rowOff>
    </xdr:from>
    <xdr:to>
      <xdr:col>8</xdr:col>
      <xdr:colOff>0</xdr:colOff>
      <xdr:row>201</xdr:row>
      <xdr:rowOff>0</xdr:rowOff>
    </xdr:to>
    <xdr:graphicFrame macro="">
      <xdr:nvGraphicFramePr>
        <xdr:cNvPr id="46" name="Chart 13">
          <a:extLst>
            <a:ext uri="{FF2B5EF4-FFF2-40B4-BE49-F238E27FC236}">
              <a16:creationId xmlns:a16="http://schemas.microsoft.com/office/drawing/2014/main" id="{00000000-0008-0000-14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188250</xdr:colOff>
      <xdr:row>172</xdr:row>
      <xdr:rowOff>0</xdr:rowOff>
    </xdr:from>
    <xdr:to>
      <xdr:col>20</xdr:col>
      <xdr:colOff>0</xdr:colOff>
      <xdr:row>201</xdr:row>
      <xdr:rowOff>0</xdr:rowOff>
    </xdr:to>
    <xdr:graphicFrame macro="">
      <xdr:nvGraphicFramePr>
        <xdr:cNvPr id="47" name="Chart 13">
          <a:extLst>
            <a:ext uri="{FF2B5EF4-FFF2-40B4-BE49-F238E27FC236}">
              <a16:creationId xmlns:a16="http://schemas.microsoft.com/office/drawing/2014/main" id="{00000000-0008-0000-14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188250</xdr:colOff>
      <xdr:row>271</xdr:row>
      <xdr:rowOff>0</xdr:rowOff>
    </xdr:from>
    <xdr:to>
      <xdr:col>20</xdr:col>
      <xdr:colOff>0</xdr:colOff>
      <xdr:row>300</xdr:row>
      <xdr:rowOff>0</xdr:rowOff>
    </xdr:to>
    <xdr:graphicFrame macro="">
      <xdr:nvGraphicFramePr>
        <xdr:cNvPr id="52" name="Chart 13">
          <a:extLst>
            <a:ext uri="{FF2B5EF4-FFF2-40B4-BE49-F238E27FC236}">
              <a16:creationId xmlns:a16="http://schemas.microsoft.com/office/drawing/2014/main" id="{00000000-0008-0000-1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297</xdr:row>
      <xdr:rowOff>0</xdr:rowOff>
    </xdr:from>
    <xdr:to>
      <xdr:col>8</xdr:col>
      <xdr:colOff>0</xdr:colOff>
      <xdr:row>300</xdr:row>
      <xdr:rowOff>0</xdr:rowOff>
    </xdr:to>
    <xdr:graphicFrame macro="">
      <xdr:nvGraphicFramePr>
        <xdr:cNvPr id="54" name="Chart 13">
          <a:extLst>
            <a:ext uri="{FF2B5EF4-FFF2-40B4-BE49-F238E27FC236}">
              <a16:creationId xmlns:a16="http://schemas.microsoft.com/office/drawing/2014/main" id="{00000000-0008-0000-14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165</xdr:row>
      <xdr:rowOff>0</xdr:rowOff>
    </xdr:from>
    <xdr:to>
      <xdr:col>8</xdr:col>
      <xdr:colOff>0</xdr:colOff>
      <xdr:row>168</xdr:row>
      <xdr:rowOff>0</xdr:rowOff>
    </xdr:to>
    <xdr:graphicFrame macro="">
      <xdr:nvGraphicFramePr>
        <xdr:cNvPr id="58" name="Chart 13">
          <a:extLst>
            <a:ext uri="{FF2B5EF4-FFF2-40B4-BE49-F238E27FC236}">
              <a16:creationId xmlns:a16="http://schemas.microsoft.com/office/drawing/2014/main" id="{00000000-0008-0000-14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495299</xdr:colOff>
      <xdr:row>137</xdr:row>
      <xdr:rowOff>95249</xdr:rowOff>
    </xdr:from>
    <xdr:to>
      <xdr:col>19</xdr:col>
      <xdr:colOff>504824</xdr:colOff>
      <xdr:row>167</xdr:row>
      <xdr:rowOff>628649</xdr:rowOff>
    </xdr:to>
    <xdr:graphicFrame macro="">
      <xdr:nvGraphicFramePr>
        <xdr:cNvPr id="59" name="Chart 13">
          <a:extLst>
            <a:ext uri="{FF2B5EF4-FFF2-40B4-BE49-F238E27FC236}">
              <a16:creationId xmlns:a16="http://schemas.microsoft.com/office/drawing/2014/main" id="{00000000-0008-0000-14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130</xdr:row>
      <xdr:rowOff>0</xdr:rowOff>
    </xdr:from>
    <xdr:to>
      <xdr:col>8</xdr:col>
      <xdr:colOff>0</xdr:colOff>
      <xdr:row>133</xdr:row>
      <xdr:rowOff>0</xdr:rowOff>
    </xdr:to>
    <xdr:graphicFrame macro="">
      <xdr:nvGraphicFramePr>
        <xdr:cNvPr id="61" name="Chart 13">
          <a:extLst>
            <a:ext uri="{FF2B5EF4-FFF2-40B4-BE49-F238E27FC236}">
              <a16:creationId xmlns:a16="http://schemas.microsoft.com/office/drawing/2014/main" id="{00000000-0008-0000-14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188250</xdr:colOff>
      <xdr:row>104</xdr:row>
      <xdr:rowOff>0</xdr:rowOff>
    </xdr:from>
    <xdr:to>
      <xdr:col>20</xdr:col>
      <xdr:colOff>0</xdr:colOff>
      <xdr:row>133</xdr:row>
      <xdr:rowOff>0</xdr:rowOff>
    </xdr:to>
    <xdr:graphicFrame macro="">
      <xdr:nvGraphicFramePr>
        <xdr:cNvPr id="62" name="Chart 13">
          <a:extLst>
            <a:ext uri="{FF2B5EF4-FFF2-40B4-BE49-F238E27FC236}">
              <a16:creationId xmlns:a16="http://schemas.microsoft.com/office/drawing/2014/main" id="{00000000-0008-0000-14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36</xdr:row>
      <xdr:rowOff>0</xdr:rowOff>
    </xdr:from>
    <xdr:to>
      <xdr:col>20</xdr:col>
      <xdr:colOff>0</xdr:colOff>
      <xdr:row>60</xdr:row>
      <xdr:rowOff>0</xdr:rowOff>
    </xdr:to>
    <xdr:graphicFrame macro="">
      <xdr:nvGraphicFramePr>
        <xdr:cNvPr id="63" name="Chart 176">
          <a:extLst>
            <a:ext uri="{FF2B5EF4-FFF2-40B4-BE49-F238E27FC236}">
              <a16:creationId xmlns:a16="http://schemas.microsoft.com/office/drawing/2014/main" id="{00000000-0008-0000-14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64" name="Oval 2165">
          <a:extLst>
            <a:ext uri="{FF2B5EF4-FFF2-40B4-BE49-F238E27FC236}">
              <a16:creationId xmlns:a16="http://schemas.microsoft.com/office/drawing/2014/main" id="{00000000-0008-0000-1400-000040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60</xdr:row>
      <xdr:rowOff>85725</xdr:rowOff>
    </xdr:from>
    <xdr:to>
      <xdr:col>10</xdr:col>
      <xdr:colOff>417150</xdr:colOff>
      <xdr:row>60</xdr:row>
      <xdr:rowOff>85725</xdr:rowOff>
    </xdr:to>
    <xdr:sp macro="" textlink="">
      <xdr:nvSpPr>
        <xdr:cNvPr id="65" name="Line 283">
          <a:extLst>
            <a:ext uri="{FF2B5EF4-FFF2-40B4-BE49-F238E27FC236}">
              <a16:creationId xmlns:a16="http://schemas.microsoft.com/office/drawing/2014/main" id="{00000000-0008-0000-1400-000041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171450</xdr:colOff>
      <xdr:row>60</xdr:row>
      <xdr:rowOff>57150</xdr:rowOff>
    </xdr:from>
    <xdr:to>
      <xdr:col>15</xdr:col>
      <xdr:colOff>247650</xdr:colOff>
      <xdr:row>60</xdr:row>
      <xdr:rowOff>133350</xdr:rowOff>
    </xdr:to>
    <xdr:sp macro="" textlink="">
      <xdr:nvSpPr>
        <xdr:cNvPr id="66" name="Oval 2164">
          <a:extLst>
            <a:ext uri="{FF2B5EF4-FFF2-40B4-BE49-F238E27FC236}">
              <a16:creationId xmlns:a16="http://schemas.microsoft.com/office/drawing/2014/main" id="{00000000-0008-0000-1400-000042000000}"/>
            </a:ext>
          </a:extLst>
        </xdr:cNvPr>
        <xdr:cNvSpPr>
          <a:spLocks noChangeArrowheads="1"/>
        </xdr:cNvSpPr>
      </xdr:nvSpPr>
      <xdr:spPr bwMode="auto">
        <a:xfrm>
          <a:off x="7210425" y="1102042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61</xdr:row>
      <xdr:rowOff>85724</xdr:rowOff>
    </xdr:from>
    <xdr:to>
      <xdr:col>15</xdr:col>
      <xdr:colOff>354675</xdr:colOff>
      <xdr:row>61</xdr:row>
      <xdr:rowOff>85724</xdr:rowOff>
    </xdr:to>
    <xdr:sp macro="" textlink="">
      <xdr:nvSpPr>
        <xdr:cNvPr id="67" name="Line 283">
          <a:extLst>
            <a:ext uri="{FF2B5EF4-FFF2-40B4-BE49-F238E27FC236}">
              <a16:creationId xmlns:a16="http://schemas.microsoft.com/office/drawing/2014/main" id="{00000000-0008-0000-1400-000043000000}"/>
            </a:ext>
          </a:extLst>
        </xdr:cNvPr>
        <xdr:cNvSpPr>
          <a:spLocks noChangeShapeType="1"/>
        </xdr:cNvSpPr>
      </xdr:nvSpPr>
      <xdr:spPr bwMode="auto">
        <a:xfrm>
          <a:off x="7105650" y="11229974"/>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304</xdr:row>
      <xdr:rowOff>0</xdr:rowOff>
    </xdr:from>
    <xdr:to>
      <xdr:col>19</xdr:col>
      <xdr:colOff>133350</xdr:colOff>
      <xdr:row>339</xdr:row>
      <xdr:rowOff>47625</xdr:rowOff>
    </xdr:to>
    <xdr:grpSp>
      <xdr:nvGrpSpPr>
        <xdr:cNvPr id="41" name="Group 40">
          <a:extLst>
            <a:ext uri="{FF2B5EF4-FFF2-40B4-BE49-F238E27FC236}">
              <a16:creationId xmlns:a16="http://schemas.microsoft.com/office/drawing/2014/main" id="{71187C33-9877-4C87-BE0F-BBDD7322D40F}"/>
            </a:ext>
          </a:extLst>
        </xdr:cNvPr>
        <xdr:cNvGrpSpPr/>
      </xdr:nvGrpSpPr>
      <xdr:grpSpPr>
        <a:xfrm>
          <a:off x="140208" y="45852588"/>
          <a:ext cx="8950452" cy="4899660"/>
          <a:chOff x="95250" y="95250"/>
          <a:chExt cx="7534275" cy="5048250"/>
        </a:xfrm>
      </xdr:grpSpPr>
      <xdr:sp macro="" textlink="">
        <xdr:nvSpPr>
          <xdr:cNvPr id="48" name="Rectangle 47">
            <a:extLst>
              <a:ext uri="{FF2B5EF4-FFF2-40B4-BE49-F238E27FC236}">
                <a16:creationId xmlns:a16="http://schemas.microsoft.com/office/drawing/2014/main" id="{0CACD715-5414-D1FE-7F45-C9077D87FFEB}"/>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49" name="Rectangle: Rounded Corners 48">
            <a:hlinkClick xmlns:r="http://schemas.openxmlformats.org/officeDocument/2006/relationships" r:id="rId18"/>
            <a:extLst>
              <a:ext uri="{FF2B5EF4-FFF2-40B4-BE49-F238E27FC236}">
                <a16:creationId xmlns:a16="http://schemas.microsoft.com/office/drawing/2014/main" id="{563A4ACA-88F3-D3AF-EE92-1B0A3CC92691}"/>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50" name="Rectangle: Rounded Corners 49">
            <a:hlinkClick xmlns:r="http://schemas.openxmlformats.org/officeDocument/2006/relationships" r:id="rId19"/>
            <a:extLst>
              <a:ext uri="{FF2B5EF4-FFF2-40B4-BE49-F238E27FC236}">
                <a16:creationId xmlns:a16="http://schemas.microsoft.com/office/drawing/2014/main" id="{AC4B5CA4-9B17-B949-9354-E7D9FCCB3EAF}"/>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51" name="Rectangle: Rounded Corners 50">
            <a:hlinkClick xmlns:r="http://schemas.openxmlformats.org/officeDocument/2006/relationships" r:id="rId20"/>
            <a:extLst>
              <a:ext uri="{FF2B5EF4-FFF2-40B4-BE49-F238E27FC236}">
                <a16:creationId xmlns:a16="http://schemas.microsoft.com/office/drawing/2014/main" id="{355B297D-5EBA-392C-3AC0-1BF52FC327DF}"/>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53" name="Rectangle: Rounded Corners 52">
            <a:hlinkClick xmlns:r="http://schemas.openxmlformats.org/officeDocument/2006/relationships" r:id="rId21"/>
            <a:extLst>
              <a:ext uri="{FF2B5EF4-FFF2-40B4-BE49-F238E27FC236}">
                <a16:creationId xmlns:a16="http://schemas.microsoft.com/office/drawing/2014/main" id="{1AF62E35-591D-4F41-A9A4-CA3C504C766C}"/>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55" name="Rectangle: Rounded Corners 54">
            <a:hlinkClick xmlns:r="http://schemas.openxmlformats.org/officeDocument/2006/relationships" r:id="rId22"/>
            <a:extLst>
              <a:ext uri="{FF2B5EF4-FFF2-40B4-BE49-F238E27FC236}">
                <a16:creationId xmlns:a16="http://schemas.microsoft.com/office/drawing/2014/main" id="{69F8DD7F-86C4-E655-B3F8-4BFBD9B10E98}"/>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56" name="Rectangle: Rounded Corners 55">
            <a:hlinkClick xmlns:r="http://schemas.openxmlformats.org/officeDocument/2006/relationships" r:id="rId23"/>
            <a:extLst>
              <a:ext uri="{FF2B5EF4-FFF2-40B4-BE49-F238E27FC236}">
                <a16:creationId xmlns:a16="http://schemas.microsoft.com/office/drawing/2014/main" id="{BA77E8CA-5F89-E9FA-24AD-F1C8A45A6786}"/>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57" name="Rectangle: Rounded Corners 56">
            <a:hlinkClick xmlns:r="http://schemas.openxmlformats.org/officeDocument/2006/relationships" r:id="rId24"/>
            <a:extLst>
              <a:ext uri="{FF2B5EF4-FFF2-40B4-BE49-F238E27FC236}">
                <a16:creationId xmlns:a16="http://schemas.microsoft.com/office/drawing/2014/main" id="{B9DB4F0E-DC22-4A2B-E7E7-F89442F5A084}"/>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68" name="Rectangle: Rounded Corners 67">
            <a:hlinkClick xmlns:r="http://schemas.openxmlformats.org/officeDocument/2006/relationships" r:id="rId25"/>
            <a:extLst>
              <a:ext uri="{FF2B5EF4-FFF2-40B4-BE49-F238E27FC236}">
                <a16:creationId xmlns:a16="http://schemas.microsoft.com/office/drawing/2014/main" id="{3E829A28-DFF4-64AF-183A-91096CDB489E}"/>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69" name="Rectangle: Rounded Corners 68">
            <a:hlinkClick xmlns:r="http://schemas.openxmlformats.org/officeDocument/2006/relationships" r:id="rId26"/>
            <a:extLst>
              <a:ext uri="{FF2B5EF4-FFF2-40B4-BE49-F238E27FC236}">
                <a16:creationId xmlns:a16="http://schemas.microsoft.com/office/drawing/2014/main" id="{7FCD9CBC-DF09-563D-B242-03C981B51186}"/>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70" name="Group 69">
            <a:hlinkClick xmlns:r="http://schemas.openxmlformats.org/officeDocument/2006/relationships" r:id="rId27"/>
            <a:extLst>
              <a:ext uri="{FF2B5EF4-FFF2-40B4-BE49-F238E27FC236}">
                <a16:creationId xmlns:a16="http://schemas.microsoft.com/office/drawing/2014/main" id="{424D5B2D-B58F-EBC9-2A7F-804E42E766A9}"/>
              </a:ext>
            </a:extLst>
          </xdr:cNvPr>
          <xdr:cNvGrpSpPr/>
        </xdr:nvGrpSpPr>
        <xdr:grpSpPr>
          <a:xfrm>
            <a:off x="190500" y="723900"/>
            <a:ext cx="1695450" cy="723900"/>
            <a:chOff x="190500" y="180975"/>
            <a:chExt cx="1800225" cy="723900"/>
          </a:xfrm>
        </xdr:grpSpPr>
        <xdr:sp macro="" textlink="">
          <xdr:nvSpPr>
            <xdr:cNvPr id="82" name="Rectangle: Rounded Corners 81">
              <a:hlinkClick xmlns:r="http://schemas.openxmlformats.org/officeDocument/2006/relationships" r:id="rId27"/>
              <a:extLst>
                <a:ext uri="{FF2B5EF4-FFF2-40B4-BE49-F238E27FC236}">
                  <a16:creationId xmlns:a16="http://schemas.microsoft.com/office/drawing/2014/main" id="{C59E18B4-1A99-4BFF-47C9-2C152B5798B7}"/>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83" name="Picture 82">
              <a:extLst>
                <a:ext uri="{FF2B5EF4-FFF2-40B4-BE49-F238E27FC236}">
                  <a16:creationId xmlns:a16="http://schemas.microsoft.com/office/drawing/2014/main" id="{D902A8BB-135E-5E62-B35F-DB9368A791A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71" name="Rectangle: Rounded Corners 70">
            <a:hlinkClick xmlns:r="http://schemas.openxmlformats.org/officeDocument/2006/relationships" r:id="rId29"/>
            <a:extLst>
              <a:ext uri="{FF2B5EF4-FFF2-40B4-BE49-F238E27FC236}">
                <a16:creationId xmlns:a16="http://schemas.microsoft.com/office/drawing/2014/main" id="{C5B88543-75B4-627F-D2D0-7E73DFA033B1}"/>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72" name="Rectangle: Rounded Corners 71">
            <a:hlinkClick xmlns:r="http://schemas.openxmlformats.org/officeDocument/2006/relationships" r:id="rId30"/>
            <a:extLst>
              <a:ext uri="{FF2B5EF4-FFF2-40B4-BE49-F238E27FC236}">
                <a16:creationId xmlns:a16="http://schemas.microsoft.com/office/drawing/2014/main" id="{C073F1F0-0BE8-8C8F-BADA-978CFC3D93C2}"/>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73" name="Rectangle: Rounded Corners 72">
            <a:hlinkClick xmlns:r="http://schemas.openxmlformats.org/officeDocument/2006/relationships" r:id="rId31"/>
            <a:extLst>
              <a:ext uri="{FF2B5EF4-FFF2-40B4-BE49-F238E27FC236}">
                <a16:creationId xmlns:a16="http://schemas.microsoft.com/office/drawing/2014/main" id="{3EF388A4-D38D-0D63-6751-8B6C30350FE1}"/>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74" name="Rectangle: Rounded Corners 73">
            <a:hlinkClick xmlns:r="http://schemas.openxmlformats.org/officeDocument/2006/relationships" r:id="rId32"/>
            <a:extLst>
              <a:ext uri="{FF2B5EF4-FFF2-40B4-BE49-F238E27FC236}">
                <a16:creationId xmlns:a16="http://schemas.microsoft.com/office/drawing/2014/main" id="{52CB24A6-0561-D08D-F4C4-506C426134EF}"/>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75" name="Rectangle: Rounded Corners 74">
            <a:hlinkClick xmlns:r="http://schemas.openxmlformats.org/officeDocument/2006/relationships" r:id="rId33"/>
            <a:extLst>
              <a:ext uri="{FF2B5EF4-FFF2-40B4-BE49-F238E27FC236}">
                <a16:creationId xmlns:a16="http://schemas.microsoft.com/office/drawing/2014/main" id="{3759BF7E-5B35-5C8D-586A-0D5B2504D129}"/>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76" name="Rectangle: Rounded Corners 75">
            <a:hlinkClick xmlns:r="http://schemas.openxmlformats.org/officeDocument/2006/relationships" r:id="rId34"/>
            <a:extLst>
              <a:ext uri="{FF2B5EF4-FFF2-40B4-BE49-F238E27FC236}">
                <a16:creationId xmlns:a16="http://schemas.microsoft.com/office/drawing/2014/main" id="{59AFC53D-6402-381A-48D4-41136FB53999}"/>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77" name="Rectangle: Rounded Corners 76">
            <a:hlinkClick xmlns:r="http://schemas.openxmlformats.org/officeDocument/2006/relationships" r:id="rId35"/>
            <a:extLst>
              <a:ext uri="{FF2B5EF4-FFF2-40B4-BE49-F238E27FC236}">
                <a16:creationId xmlns:a16="http://schemas.microsoft.com/office/drawing/2014/main" id="{16E27B56-1A18-574E-DB2B-738AB62D37DD}"/>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78" name="Rectangle: Rounded Corners 77">
            <a:hlinkClick xmlns:r="http://schemas.openxmlformats.org/officeDocument/2006/relationships" r:id="rId36"/>
            <a:extLst>
              <a:ext uri="{FF2B5EF4-FFF2-40B4-BE49-F238E27FC236}">
                <a16:creationId xmlns:a16="http://schemas.microsoft.com/office/drawing/2014/main" id="{7E48176B-907A-24E7-1712-5E8D585386B1}"/>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79" name="Rectangle: Rounded Corners 78">
            <a:hlinkClick xmlns:r="http://schemas.openxmlformats.org/officeDocument/2006/relationships" r:id="rId37"/>
            <a:extLst>
              <a:ext uri="{FF2B5EF4-FFF2-40B4-BE49-F238E27FC236}">
                <a16:creationId xmlns:a16="http://schemas.microsoft.com/office/drawing/2014/main" id="{EDB43D61-CD10-8867-A87A-CAECE8A34D61}"/>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80" name="Rectangle: Rounded Corners 79">
            <a:hlinkClick xmlns:r="http://schemas.openxmlformats.org/officeDocument/2006/relationships" r:id="rId38"/>
            <a:extLst>
              <a:ext uri="{FF2B5EF4-FFF2-40B4-BE49-F238E27FC236}">
                <a16:creationId xmlns:a16="http://schemas.microsoft.com/office/drawing/2014/main" id="{1419F45A-B361-07C3-61F4-5B00F191E655}"/>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81" name="TextBox 80">
            <a:extLst>
              <a:ext uri="{FF2B5EF4-FFF2-40B4-BE49-F238E27FC236}">
                <a16:creationId xmlns:a16="http://schemas.microsoft.com/office/drawing/2014/main" id="{92511AD8-E50D-2775-4207-22F45979E3B6}"/>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84" name="Group 83">
          <a:hlinkClick xmlns:r="http://schemas.openxmlformats.org/officeDocument/2006/relationships" r:id="rId27"/>
          <a:extLst>
            <a:ext uri="{FF2B5EF4-FFF2-40B4-BE49-F238E27FC236}">
              <a16:creationId xmlns:a16="http://schemas.microsoft.com/office/drawing/2014/main" id="{1B43324E-99BC-488A-8641-1194F0FFC671}"/>
            </a:ext>
          </a:extLst>
        </xdr:cNvPr>
        <xdr:cNvGrpSpPr/>
      </xdr:nvGrpSpPr>
      <xdr:grpSpPr>
        <a:xfrm>
          <a:off x="9691116" y="0"/>
          <a:ext cx="411480" cy="1685544"/>
          <a:chOff x="9210675" y="19050"/>
          <a:chExt cx="390525" cy="1743075"/>
        </a:xfrm>
      </xdr:grpSpPr>
      <xdr:pic>
        <xdr:nvPicPr>
          <xdr:cNvPr id="85" name="Graphic 84" descr="Map compass with solid fill">
            <a:hlinkClick xmlns:r="http://schemas.openxmlformats.org/officeDocument/2006/relationships" r:id="rId39"/>
            <a:extLst>
              <a:ext uri="{FF2B5EF4-FFF2-40B4-BE49-F238E27FC236}">
                <a16:creationId xmlns:a16="http://schemas.microsoft.com/office/drawing/2014/main" id="{3F23E443-5433-47ED-9FDC-283A00C1343D}"/>
              </a:ext>
            </a:extLst>
          </xdr:cNvPr>
          <xdr:cNvPicPr>
            <a:picLocks noChangeAspect="1"/>
          </xdr:cNvPicPr>
        </xdr:nvPicPr>
        <xdr:blipFill>
          <a:blip xmlns:r="http://schemas.openxmlformats.org/officeDocument/2006/relationships" r:embed="rId40">
            <a:duotone>
              <a:schemeClr val="accent6">
                <a:shade val="45000"/>
                <a:satMod val="135000"/>
              </a:schemeClr>
              <a:prstClr val="white"/>
            </a:duotone>
            <a:extLst>
              <a:ext uri="{96DAC541-7B7A-43D3-8B79-37D633B846F1}">
                <asvg:svgBlip xmlns:asvg="http://schemas.microsoft.com/office/drawing/2016/SVG/main" r:embed="rId41"/>
              </a:ext>
            </a:extLst>
          </a:blip>
          <a:stretch>
            <a:fillRect/>
          </a:stretch>
        </xdr:blipFill>
        <xdr:spPr>
          <a:xfrm>
            <a:off x="9229725" y="38099"/>
            <a:ext cx="369675" cy="369675"/>
          </a:xfrm>
          <a:prstGeom prst="rect">
            <a:avLst/>
          </a:prstGeom>
        </xdr:spPr>
      </xdr:pic>
      <xdr:sp macro="" textlink="">
        <xdr:nvSpPr>
          <xdr:cNvPr id="86" name="Right Arrow 50">
            <a:hlinkClick xmlns:r="http://schemas.openxmlformats.org/officeDocument/2006/relationships" r:id="rId30"/>
            <a:extLst>
              <a:ext uri="{FF2B5EF4-FFF2-40B4-BE49-F238E27FC236}">
                <a16:creationId xmlns:a16="http://schemas.microsoft.com/office/drawing/2014/main" id="{FEAD48EE-AF1D-73E0-F45E-D680885B83CE}"/>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87" name="Right Arrow 50">
            <a:hlinkClick xmlns:r="http://schemas.openxmlformats.org/officeDocument/2006/relationships" r:id="rId37"/>
            <a:extLst>
              <a:ext uri="{FF2B5EF4-FFF2-40B4-BE49-F238E27FC236}">
                <a16:creationId xmlns:a16="http://schemas.microsoft.com/office/drawing/2014/main" id="{49507EE9-E83B-C757-07EE-EF83BEF786AA}"/>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88" name="Picture 87">
            <a:hlinkClick xmlns:r="http://schemas.openxmlformats.org/officeDocument/2006/relationships" r:id="rId27"/>
            <a:extLst>
              <a:ext uri="{FF2B5EF4-FFF2-40B4-BE49-F238E27FC236}">
                <a16:creationId xmlns:a16="http://schemas.microsoft.com/office/drawing/2014/main" id="{D51FDC68-306B-C494-154A-0B0769BE65D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89" name="Rectangle 88">
            <a:extLst>
              <a:ext uri="{FF2B5EF4-FFF2-40B4-BE49-F238E27FC236}">
                <a16:creationId xmlns:a16="http://schemas.microsoft.com/office/drawing/2014/main" id="{F516AABA-0E49-12D7-1E0B-18C3C681A1B7}"/>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4" name="Down Arrow 44">
          <a:hlinkClick xmlns:r="http://schemas.openxmlformats.org/officeDocument/2006/relationships" r:id="rId34"/>
          <a:extLst>
            <a:ext uri="{FF2B5EF4-FFF2-40B4-BE49-F238E27FC236}">
              <a16:creationId xmlns:a16="http://schemas.microsoft.com/office/drawing/2014/main" id="{96299AC5-BD08-4558-B196-3DB5873D0019}"/>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5" name="Down Arrow 44">
          <a:hlinkClick xmlns:r="http://schemas.openxmlformats.org/officeDocument/2006/relationships" r:id="rId34"/>
          <a:extLst>
            <a:ext uri="{FF2B5EF4-FFF2-40B4-BE49-F238E27FC236}">
              <a16:creationId xmlns:a16="http://schemas.microsoft.com/office/drawing/2014/main" id="{EAB0242B-4005-495D-B070-58F3BCA4DEE0}"/>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101</xdr:row>
      <xdr:rowOff>0</xdr:rowOff>
    </xdr:from>
    <xdr:ext cx="252000" cy="288000"/>
    <xdr:sp macro="" textlink="">
      <xdr:nvSpPr>
        <xdr:cNvPr id="7" name="Down Arrow 44">
          <a:hlinkClick xmlns:r="http://schemas.openxmlformats.org/officeDocument/2006/relationships" r:id="rId34"/>
          <a:extLst>
            <a:ext uri="{FF2B5EF4-FFF2-40B4-BE49-F238E27FC236}">
              <a16:creationId xmlns:a16="http://schemas.microsoft.com/office/drawing/2014/main" id="{D39DD4F5-40BC-4DA4-A8CF-CE7BC269FD95}"/>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134</xdr:row>
      <xdr:rowOff>0</xdr:rowOff>
    </xdr:from>
    <xdr:ext cx="252000" cy="288000"/>
    <xdr:sp macro="" textlink="">
      <xdr:nvSpPr>
        <xdr:cNvPr id="10" name="Down Arrow 44">
          <a:hlinkClick xmlns:r="http://schemas.openxmlformats.org/officeDocument/2006/relationships" r:id="rId34"/>
          <a:extLst>
            <a:ext uri="{FF2B5EF4-FFF2-40B4-BE49-F238E27FC236}">
              <a16:creationId xmlns:a16="http://schemas.microsoft.com/office/drawing/2014/main" id="{2FFE0EF4-2E55-4CC6-AFDD-D787AECB70D4}"/>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202</xdr:row>
      <xdr:rowOff>0</xdr:rowOff>
    </xdr:from>
    <xdr:ext cx="252000" cy="288000"/>
    <xdr:sp macro="" textlink="">
      <xdr:nvSpPr>
        <xdr:cNvPr id="11" name="Down Arrow 44">
          <a:hlinkClick xmlns:r="http://schemas.openxmlformats.org/officeDocument/2006/relationships" r:id="rId34"/>
          <a:extLst>
            <a:ext uri="{FF2B5EF4-FFF2-40B4-BE49-F238E27FC236}">
              <a16:creationId xmlns:a16="http://schemas.microsoft.com/office/drawing/2014/main" id="{84265BA9-4266-4F6E-BA24-F60D6D1129F4}"/>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235</xdr:row>
      <xdr:rowOff>0</xdr:rowOff>
    </xdr:from>
    <xdr:ext cx="252000" cy="288000"/>
    <xdr:sp macro="" textlink="">
      <xdr:nvSpPr>
        <xdr:cNvPr id="12" name="Down Arrow 44">
          <a:hlinkClick xmlns:r="http://schemas.openxmlformats.org/officeDocument/2006/relationships" r:id="rId34"/>
          <a:extLst>
            <a:ext uri="{FF2B5EF4-FFF2-40B4-BE49-F238E27FC236}">
              <a16:creationId xmlns:a16="http://schemas.microsoft.com/office/drawing/2014/main" id="{735C8C17-AE3A-4EF0-9D48-180B82D49387}"/>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268</xdr:row>
      <xdr:rowOff>0</xdr:rowOff>
    </xdr:from>
    <xdr:ext cx="252000" cy="288000"/>
    <xdr:sp macro="" textlink="">
      <xdr:nvSpPr>
        <xdr:cNvPr id="13" name="Down Arrow 44">
          <a:hlinkClick xmlns:r="http://schemas.openxmlformats.org/officeDocument/2006/relationships" r:id="rId34"/>
          <a:extLst>
            <a:ext uri="{FF2B5EF4-FFF2-40B4-BE49-F238E27FC236}">
              <a16:creationId xmlns:a16="http://schemas.microsoft.com/office/drawing/2014/main" id="{47D1D3CA-E586-4D42-A94F-538E6C3EB099}"/>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17.xml><?xml version="1.0" encoding="utf-8"?>
<xdr:wsDr xmlns:xdr="http://schemas.openxmlformats.org/drawingml/2006/spreadsheetDrawing" xmlns:a="http://schemas.openxmlformats.org/drawingml/2006/main">
  <xdr:twoCellAnchor>
    <xdr:from>
      <xdr:col>1</xdr:col>
      <xdr:colOff>1</xdr:colOff>
      <xdr:row>36</xdr:row>
      <xdr:rowOff>1</xdr:rowOff>
    </xdr:from>
    <xdr:to>
      <xdr:col>10</xdr:col>
      <xdr:colOff>0</xdr:colOff>
      <xdr:row>65</xdr:row>
      <xdr:rowOff>0</xdr:rowOff>
    </xdr:to>
    <xdr:graphicFrame macro="">
      <xdr:nvGraphicFramePr>
        <xdr:cNvPr id="6" name="Chart 13">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419098</xdr:colOff>
      <xdr:row>0</xdr:row>
      <xdr:rowOff>85725</xdr:rowOff>
    </xdr:from>
    <xdr:to>
      <xdr:col>20</xdr:col>
      <xdr:colOff>54973</xdr:colOff>
      <xdr:row>2</xdr:row>
      <xdr:rowOff>149475</xdr:rowOff>
    </xdr:to>
    <xdr:sp macro="" textlink="">
      <xdr:nvSpPr>
        <xdr:cNvPr id="8" name="AutoShape 32">
          <a:extLst>
            <a:ext uri="{FF2B5EF4-FFF2-40B4-BE49-F238E27FC236}">
              <a16:creationId xmlns:a16="http://schemas.microsoft.com/office/drawing/2014/main" id="{00000000-0008-0000-1500-000008000000}"/>
            </a:ext>
          </a:extLst>
        </xdr:cNvPr>
        <xdr:cNvSpPr>
          <a:spLocks noChangeArrowheads="1"/>
        </xdr:cNvSpPr>
      </xdr:nvSpPr>
      <xdr:spPr bwMode="auto">
        <a:xfrm>
          <a:off x="6953248"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0</xdr:colOff>
      <xdr:row>62</xdr:row>
      <xdr:rowOff>0</xdr:rowOff>
    </xdr:from>
    <xdr:to>
      <xdr:col>20</xdr:col>
      <xdr:colOff>1</xdr:colOff>
      <xdr:row>65</xdr:row>
      <xdr:rowOff>0</xdr:rowOff>
    </xdr:to>
    <xdr:graphicFrame macro="">
      <xdr:nvGraphicFramePr>
        <xdr:cNvPr id="9" name="Chart 13">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95250</xdr:colOff>
          <xdr:row>36</xdr:row>
          <xdr:rowOff>9525</xdr:rowOff>
        </xdr:from>
        <xdr:to>
          <xdr:col>35</xdr:col>
          <xdr:colOff>66675</xdr:colOff>
          <xdr:row>37</xdr:row>
          <xdr:rowOff>171450</xdr:rowOff>
        </xdr:to>
        <xdr:sp macro="" textlink="">
          <xdr:nvSpPr>
            <xdr:cNvPr id="104449" name="Check Box 1" hidden="1">
              <a:extLst>
                <a:ext uri="{63B3BB69-23CF-44E3-9099-C40C66FF867C}">
                  <a14:compatExt spid="_x0000_s104449"/>
                </a:ext>
                <a:ext uri="{FF2B5EF4-FFF2-40B4-BE49-F238E27FC236}">
                  <a16:creationId xmlns:a16="http://schemas.microsoft.com/office/drawing/2014/main" id="{00000000-0008-0000-1700-000001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37</xdr:row>
          <xdr:rowOff>133350</xdr:rowOff>
        </xdr:from>
        <xdr:to>
          <xdr:col>35</xdr:col>
          <xdr:colOff>66675</xdr:colOff>
          <xdr:row>38</xdr:row>
          <xdr:rowOff>171450</xdr:rowOff>
        </xdr:to>
        <xdr:sp macro="" textlink="">
          <xdr:nvSpPr>
            <xdr:cNvPr id="104450" name="Check Box 2" hidden="1">
              <a:extLst>
                <a:ext uri="{63B3BB69-23CF-44E3-9099-C40C66FF867C}">
                  <a14:compatExt spid="_x0000_s104450"/>
                </a:ext>
                <a:ext uri="{FF2B5EF4-FFF2-40B4-BE49-F238E27FC236}">
                  <a16:creationId xmlns:a16="http://schemas.microsoft.com/office/drawing/2014/main" id="{00000000-0008-0000-1700-000002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38</xdr:row>
          <xdr:rowOff>133350</xdr:rowOff>
        </xdr:from>
        <xdr:to>
          <xdr:col>35</xdr:col>
          <xdr:colOff>66675</xdr:colOff>
          <xdr:row>39</xdr:row>
          <xdr:rowOff>171450</xdr:rowOff>
        </xdr:to>
        <xdr:sp macro="" textlink="">
          <xdr:nvSpPr>
            <xdr:cNvPr id="104451" name="Check Box 3" hidden="1">
              <a:extLst>
                <a:ext uri="{63B3BB69-23CF-44E3-9099-C40C66FF867C}">
                  <a14:compatExt spid="_x0000_s104451"/>
                </a:ext>
                <a:ext uri="{FF2B5EF4-FFF2-40B4-BE49-F238E27FC236}">
                  <a16:creationId xmlns:a16="http://schemas.microsoft.com/office/drawing/2014/main" id="{00000000-0008-0000-1700-000003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39</xdr:row>
          <xdr:rowOff>133350</xdr:rowOff>
        </xdr:from>
        <xdr:to>
          <xdr:col>35</xdr:col>
          <xdr:colOff>66675</xdr:colOff>
          <xdr:row>40</xdr:row>
          <xdr:rowOff>171450</xdr:rowOff>
        </xdr:to>
        <xdr:sp macro="" textlink="">
          <xdr:nvSpPr>
            <xdr:cNvPr id="104452" name="Check Box 4" hidden="1">
              <a:extLst>
                <a:ext uri="{63B3BB69-23CF-44E3-9099-C40C66FF867C}">
                  <a14:compatExt spid="_x0000_s104452"/>
                </a:ext>
                <a:ext uri="{FF2B5EF4-FFF2-40B4-BE49-F238E27FC236}">
                  <a16:creationId xmlns:a16="http://schemas.microsoft.com/office/drawing/2014/main" id="{00000000-0008-0000-1700-000004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40</xdr:row>
          <xdr:rowOff>133350</xdr:rowOff>
        </xdr:from>
        <xdr:to>
          <xdr:col>35</xdr:col>
          <xdr:colOff>66675</xdr:colOff>
          <xdr:row>41</xdr:row>
          <xdr:rowOff>171450</xdr:rowOff>
        </xdr:to>
        <xdr:sp macro="" textlink="">
          <xdr:nvSpPr>
            <xdr:cNvPr id="104453" name="Check Box 5" hidden="1">
              <a:extLst>
                <a:ext uri="{63B3BB69-23CF-44E3-9099-C40C66FF867C}">
                  <a14:compatExt spid="_x0000_s104453"/>
                </a:ext>
                <a:ext uri="{FF2B5EF4-FFF2-40B4-BE49-F238E27FC236}">
                  <a16:creationId xmlns:a16="http://schemas.microsoft.com/office/drawing/2014/main" id="{00000000-0008-0000-1700-000005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41</xdr:row>
          <xdr:rowOff>133350</xdr:rowOff>
        </xdr:from>
        <xdr:to>
          <xdr:col>35</xdr:col>
          <xdr:colOff>66675</xdr:colOff>
          <xdr:row>42</xdr:row>
          <xdr:rowOff>171450</xdr:rowOff>
        </xdr:to>
        <xdr:sp macro="" textlink="">
          <xdr:nvSpPr>
            <xdr:cNvPr id="104454" name="Check Box 6" hidden="1">
              <a:extLst>
                <a:ext uri="{63B3BB69-23CF-44E3-9099-C40C66FF867C}">
                  <a14:compatExt spid="_x0000_s104454"/>
                </a:ext>
                <a:ext uri="{FF2B5EF4-FFF2-40B4-BE49-F238E27FC236}">
                  <a16:creationId xmlns:a16="http://schemas.microsoft.com/office/drawing/2014/main" id="{00000000-0008-0000-1700-000006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42</xdr:row>
          <xdr:rowOff>133350</xdr:rowOff>
        </xdr:from>
        <xdr:to>
          <xdr:col>35</xdr:col>
          <xdr:colOff>66675</xdr:colOff>
          <xdr:row>43</xdr:row>
          <xdr:rowOff>171450</xdr:rowOff>
        </xdr:to>
        <xdr:sp macro="" textlink="">
          <xdr:nvSpPr>
            <xdr:cNvPr id="104455" name="Check Box 7" hidden="1">
              <a:extLst>
                <a:ext uri="{63B3BB69-23CF-44E3-9099-C40C66FF867C}">
                  <a14:compatExt spid="_x0000_s104455"/>
                </a:ext>
                <a:ext uri="{FF2B5EF4-FFF2-40B4-BE49-F238E27FC236}">
                  <a16:creationId xmlns:a16="http://schemas.microsoft.com/office/drawing/2014/main" id="{00000000-0008-0000-1700-000007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43</xdr:row>
          <xdr:rowOff>133350</xdr:rowOff>
        </xdr:from>
        <xdr:to>
          <xdr:col>35</xdr:col>
          <xdr:colOff>66675</xdr:colOff>
          <xdr:row>44</xdr:row>
          <xdr:rowOff>171450</xdr:rowOff>
        </xdr:to>
        <xdr:sp macro="" textlink="">
          <xdr:nvSpPr>
            <xdr:cNvPr id="104456" name="Check Box 8" hidden="1">
              <a:extLst>
                <a:ext uri="{63B3BB69-23CF-44E3-9099-C40C66FF867C}">
                  <a14:compatExt spid="_x0000_s104456"/>
                </a:ext>
                <a:ext uri="{FF2B5EF4-FFF2-40B4-BE49-F238E27FC236}">
                  <a16:creationId xmlns:a16="http://schemas.microsoft.com/office/drawing/2014/main" id="{00000000-0008-0000-1700-000008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44</xdr:row>
          <xdr:rowOff>133350</xdr:rowOff>
        </xdr:from>
        <xdr:to>
          <xdr:col>35</xdr:col>
          <xdr:colOff>66675</xdr:colOff>
          <xdr:row>45</xdr:row>
          <xdr:rowOff>171450</xdr:rowOff>
        </xdr:to>
        <xdr:sp macro="" textlink="">
          <xdr:nvSpPr>
            <xdr:cNvPr id="104457" name="Check Box 9" hidden="1">
              <a:extLst>
                <a:ext uri="{63B3BB69-23CF-44E3-9099-C40C66FF867C}">
                  <a14:compatExt spid="_x0000_s104457"/>
                </a:ext>
                <a:ext uri="{FF2B5EF4-FFF2-40B4-BE49-F238E27FC236}">
                  <a16:creationId xmlns:a16="http://schemas.microsoft.com/office/drawing/2014/main" id="{00000000-0008-0000-1700-000009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45</xdr:row>
          <xdr:rowOff>133350</xdr:rowOff>
        </xdr:from>
        <xdr:to>
          <xdr:col>35</xdr:col>
          <xdr:colOff>66675</xdr:colOff>
          <xdr:row>46</xdr:row>
          <xdr:rowOff>171450</xdr:rowOff>
        </xdr:to>
        <xdr:sp macro="" textlink="">
          <xdr:nvSpPr>
            <xdr:cNvPr id="104458" name="Check Box 10" hidden="1">
              <a:extLst>
                <a:ext uri="{63B3BB69-23CF-44E3-9099-C40C66FF867C}">
                  <a14:compatExt spid="_x0000_s104458"/>
                </a:ext>
                <a:ext uri="{FF2B5EF4-FFF2-40B4-BE49-F238E27FC236}">
                  <a16:creationId xmlns:a16="http://schemas.microsoft.com/office/drawing/2014/main" id="{00000000-0008-0000-1700-00000A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46</xdr:row>
          <xdr:rowOff>133350</xdr:rowOff>
        </xdr:from>
        <xdr:to>
          <xdr:col>35</xdr:col>
          <xdr:colOff>66675</xdr:colOff>
          <xdr:row>47</xdr:row>
          <xdr:rowOff>171450</xdr:rowOff>
        </xdr:to>
        <xdr:sp macro="" textlink="">
          <xdr:nvSpPr>
            <xdr:cNvPr id="104459" name="Check Box 11" hidden="1">
              <a:extLst>
                <a:ext uri="{63B3BB69-23CF-44E3-9099-C40C66FF867C}">
                  <a14:compatExt spid="_x0000_s104459"/>
                </a:ext>
                <a:ext uri="{FF2B5EF4-FFF2-40B4-BE49-F238E27FC236}">
                  <a16:creationId xmlns:a16="http://schemas.microsoft.com/office/drawing/2014/main" id="{00000000-0008-0000-1700-00000B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47</xdr:row>
          <xdr:rowOff>133350</xdr:rowOff>
        </xdr:from>
        <xdr:to>
          <xdr:col>35</xdr:col>
          <xdr:colOff>66675</xdr:colOff>
          <xdr:row>48</xdr:row>
          <xdr:rowOff>171450</xdr:rowOff>
        </xdr:to>
        <xdr:sp macro="" textlink="">
          <xdr:nvSpPr>
            <xdr:cNvPr id="104460" name="Check Box 12" hidden="1">
              <a:extLst>
                <a:ext uri="{63B3BB69-23CF-44E3-9099-C40C66FF867C}">
                  <a14:compatExt spid="_x0000_s104460"/>
                </a:ext>
                <a:ext uri="{FF2B5EF4-FFF2-40B4-BE49-F238E27FC236}">
                  <a16:creationId xmlns:a16="http://schemas.microsoft.com/office/drawing/2014/main" id="{00000000-0008-0000-1700-00000C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48</xdr:row>
          <xdr:rowOff>133350</xdr:rowOff>
        </xdr:from>
        <xdr:to>
          <xdr:col>35</xdr:col>
          <xdr:colOff>66675</xdr:colOff>
          <xdr:row>49</xdr:row>
          <xdr:rowOff>171450</xdr:rowOff>
        </xdr:to>
        <xdr:sp macro="" textlink="">
          <xdr:nvSpPr>
            <xdr:cNvPr id="104461" name="Check Box 13" hidden="1">
              <a:extLst>
                <a:ext uri="{63B3BB69-23CF-44E3-9099-C40C66FF867C}">
                  <a14:compatExt spid="_x0000_s104461"/>
                </a:ext>
                <a:ext uri="{FF2B5EF4-FFF2-40B4-BE49-F238E27FC236}">
                  <a16:creationId xmlns:a16="http://schemas.microsoft.com/office/drawing/2014/main" id="{00000000-0008-0000-1700-00000D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49</xdr:row>
          <xdr:rowOff>133350</xdr:rowOff>
        </xdr:from>
        <xdr:to>
          <xdr:col>35</xdr:col>
          <xdr:colOff>66675</xdr:colOff>
          <xdr:row>50</xdr:row>
          <xdr:rowOff>171450</xdr:rowOff>
        </xdr:to>
        <xdr:sp macro="" textlink="">
          <xdr:nvSpPr>
            <xdr:cNvPr id="104463" name="Check Box 15" hidden="1">
              <a:extLst>
                <a:ext uri="{63B3BB69-23CF-44E3-9099-C40C66FF867C}">
                  <a14:compatExt spid="_x0000_s104463"/>
                </a:ext>
                <a:ext uri="{FF2B5EF4-FFF2-40B4-BE49-F238E27FC236}">
                  <a16:creationId xmlns:a16="http://schemas.microsoft.com/office/drawing/2014/main" id="{00000000-0008-0000-1700-00000F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50</xdr:row>
          <xdr:rowOff>133350</xdr:rowOff>
        </xdr:from>
        <xdr:to>
          <xdr:col>35</xdr:col>
          <xdr:colOff>66675</xdr:colOff>
          <xdr:row>51</xdr:row>
          <xdr:rowOff>171450</xdr:rowOff>
        </xdr:to>
        <xdr:sp macro="" textlink="">
          <xdr:nvSpPr>
            <xdr:cNvPr id="104464" name="Check Box 16" hidden="1">
              <a:extLst>
                <a:ext uri="{63B3BB69-23CF-44E3-9099-C40C66FF867C}">
                  <a14:compatExt spid="_x0000_s104464"/>
                </a:ext>
                <a:ext uri="{FF2B5EF4-FFF2-40B4-BE49-F238E27FC236}">
                  <a16:creationId xmlns:a16="http://schemas.microsoft.com/office/drawing/2014/main" id="{00000000-0008-0000-1700-000010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51</xdr:row>
          <xdr:rowOff>142875</xdr:rowOff>
        </xdr:from>
        <xdr:to>
          <xdr:col>35</xdr:col>
          <xdr:colOff>66675</xdr:colOff>
          <xdr:row>53</xdr:row>
          <xdr:rowOff>0</xdr:rowOff>
        </xdr:to>
        <xdr:sp macro="" textlink="">
          <xdr:nvSpPr>
            <xdr:cNvPr id="104465" name="Check Box 17" hidden="1">
              <a:extLst>
                <a:ext uri="{63B3BB69-23CF-44E3-9099-C40C66FF867C}">
                  <a14:compatExt spid="_x0000_s104465"/>
                </a:ext>
                <a:ext uri="{FF2B5EF4-FFF2-40B4-BE49-F238E27FC236}">
                  <a16:creationId xmlns:a16="http://schemas.microsoft.com/office/drawing/2014/main" id="{00000000-0008-0000-1700-000011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52</xdr:row>
          <xdr:rowOff>142875</xdr:rowOff>
        </xdr:from>
        <xdr:to>
          <xdr:col>35</xdr:col>
          <xdr:colOff>66675</xdr:colOff>
          <xdr:row>54</xdr:row>
          <xdr:rowOff>0</xdr:rowOff>
        </xdr:to>
        <xdr:sp macro="" textlink="">
          <xdr:nvSpPr>
            <xdr:cNvPr id="104466" name="Check Box 18" hidden="1">
              <a:extLst>
                <a:ext uri="{63B3BB69-23CF-44E3-9099-C40C66FF867C}">
                  <a14:compatExt spid="_x0000_s104466"/>
                </a:ext>
                <a:ext uri="{FF2B5EF4-FFF2-40B4-BE49-F238E27FC236}">
                  <a16:creationId xmlns:a16="http://schemas.microsoft.com/office/drawing/2014/main" id="{00000000-0008-0000-1700-000012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53</xdr:row>
          <xdr:rowOff>142875</xdr:rowOff>
        </xdr:from>
        <xdr:to>
          <xdr:col>35</xdr:col>
          <xdr:colOff>66675</xdr:colOff>
          <xdr:row>55</xdr:row>
          <xdr:rowOff>0</xdr:rowOff>
        </xdr:to>
        <xdr:sp macro="" textlink="">
          <xdr:nvSpPr>
            <xdr:cNvPr id="104467" name="Check Box 19" hidden="1">
              <a:extLst>
                <a:ext uri="{63B3BB69-23CF-44E3-9099-C40C66FF867C}">
                  <a14:compatExt spid="_x0000_s104467"/>
                </a:ext>
                <a:ext uri="{FF2B5EF4-FFF2-40B4-BE49-F238E27FC236}">
                  <a16:creationId xmlns:a16="http://schemas.microsoft.com/office/drawing/2014/main" id="{00000000-0008-0000-1700-000013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54</xdr:row>
          <xdr:rowOff>142875</xdr:rowOff>
        </xdr:from>
        <xdr:to>
          <xdr:col>35</xdr:col>
          <xdr:colOff>66675</xdr:colOff>
          <xdr:row>56</xdr:row>
          <xdr:rowOff>0</xdr:rowOff>
        </xdr:to>
        <xdr:sp macro="" textlink="">
          <xdr:nvSpPr>
            <xdr:cNvPr id="104468" name="Check Box 20" hidden="1">
              <a:extLst>
                <a:ext uri="{63B3BB69-23CF-44E3-9099-C40C66FF867C}">
                  <a14:compatExt spid="_x0000_s104468"/>
                </a:ext>
                <a:ext uri="{FF2B5EF4-FFF2-40B4-BE49-F238E27FC236}">
                  <a16:creationId xmlns:a16="http://schemas.microsoft.com/office/drawing/2014/main" id="{00000000-0008-0000-1700-000014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55</xdr:row>
          <xdr:rowOff>142875</xdr:rowOff>
        </xdr:from>
        <xdr:to>
          <xdr:col>35</xdr:col>
          <xdr:colOff>66675</xdr:colOff>
          <xdr:row>57</xdr:row>
          <xdr:rowOff>0</xdr:rowOff>
        </xdr:to>
        <xdr:sp macro="" textlink="">
          <xdr:nvSpPr>
            <xdr:cNvPr id="104469" name="Check Box 21" hidden="1">
              <a:extLst>
                <a:ext uri="{63B3BB69-23CF-44E3-9099-C40C66FF867C}">
                  <a14:compatExt spid="_x0000_s104469"/>
                </a:ext>
                <a:ext uri="{FF2B5EF4-FFF2-40B4-BE49-F238E27FC236}">
                  <a16:creationId xmlns:a16="http://schemas.microsoft.com/office/drawing/2014/main" id="{00000000-0008-0000-1700-000015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56</xdr:row>
          <xdr:rowOff>152400</xdr:rowOff>
        </xdr:from>
        <xdr:to>
          <xdr:col>35</xdr:col>
          <xdr:colOff>66675</xdr:colOff>
          <xdr:row>58</xdr:row>
          <xdr:rowOff>9525</xdr:rowOff>
        </xdr:to>
        <xdr:sp macro="" textlink="">
          <xdr:nvSpPr>
            <xdr:cNvPr id="104472" name="Check Box 24" hidden="1">
              <a:extLst>
                <a:ext uri="{63B3BB69-23CF-44E3-9099-C40C66FF867C}">
                  <a14:compatExt spid="_x0000_s104472"/>
                </a:ext>
                <a:ext uri="{FF2B5EF4-FFF2-40B4-BE49-F238E27FC236}">
                  <a16:creationId xmlns:a16="http://schemas.microsoft.com/office/drawing/2014/main" id="{00000000-0008-0000-1700-000018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0</xdr:colOff>
      <xdr:row>69</xdr:row>
      <xdr:rowOff>0</xdr:rowOff>
    </xdr:from>
    <xdr:to>
      <xdr:col>20</xdr:col>
      <xdr:colOff>0</xdr:colOff>
      <xdr:row>100</xdr:row>
      <xdr:rowOff>0</xdr:rowOff>
    </xdr:to>
    <xdr:graphicFrame macro="">
      <xdr:nvGraphicFramePr>
        <xdr:cNvPr id="35" name="Chart 176">
          <a:extLst>
            <a:ext uri="{FF2B5EF4-FFF2-40B4-BE49-F238E27FC236}">
              <a16:creationId xmlns:a16="http://schemas.microsoft.com/office/drawing/2014/main" id="{00000000-0008-0000-15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69</xdr:row>
      <xdr:rowOff>0</xdr:rowOff>
    </xdr:from>
    <xdr:to>
      <xdr:col>10</xdr:col>
      <xdr:colOff>0</xdr:colOff>
      <xdr:row>100</xdr:row>
      <xdr:rowOff>0</xdr:rowOff>
    </xdr:to>
    <xdr:graphicFrame macro="">
      <xdr:nvGraphicFramePr>
        <xdr:cNvPr id="36" name="Chart 764">
          <a:extLst>
            <a:ext uri="{FF2B5EF4-FFF2-40B4-BE49-F238E27FC236}">
              <a16:creationId xmlns:a16="http://schemas.microsoft.com/office/drawing/2014/main" id="{00000000-0008-0000-15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36</xdr:row>
      <xdr:rowOff>1</xdr:rowOff>
    </xdr:from>
    <xdr:to>
      <xdr:col>20</xdr:col>
      <xdr:colOff>0</xdr:colOff>
      <xdr:row>60</xdr:row>
      <xdr:rowOff>1</xdr:rowOff>
    </xdr:to>
    <xdr:graphicFrame macro="">
      <xdr:nvGraphicFramePr>
        <xdr:cNvPr id="43" name="Chart 176">
          <a:extLst>
            <a:ext uri="{FF2B5EF4-FFF2-40B4-BE49-F238E27FC236}">
              <a16:creationId xmlns:a16="http://schemas.microsoft.com/office/drawing/2014/main" id="{00000000-0008-0000-15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44" name="Oval 2165">
          <a:extLst>
            <a:ext uri="{FF2B5EF4-FFF2-40B4-BE49-F238E27FC236}">
              <a16:creationId xmlns:a16="http://schemas.microsoft.com/office/drawing/2014/main" id="{00000000-0008-0000-1500-00002C000000}"/>
            </a:ext>
          </a:extLst>
        </xdr:cNvPr>
        <xdr:cNvSpPr>
          <a:spLocks noChangeArrowheads="1"/>
        </xdr:cNvSpPr>
      </xdr:nvSpPr>
      <xdr:spPr bwMode="auto">
        <a:xfrm>
          <a:off x="4895850" y="11382375"/>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60</xdr:row>
      <xdr:rowOff>85725</xdr:rowOff>
    </xdr:from>
    <xdr:to>
      <xdr:col>10</xdr:col>
      <xdr:colOff>417150</xdr:colOff>
      <xdr:row>60</xdr:row>
      <xdr:rowOff>85725</xdr:rowOff>
    </xdr:to>
    <xdr:sp macro="" textlink="">
      <xdr:nvSpPr>
        <xdr:cNvPr id="45" name="Line 283">
          <a:extLst>
            <a:ext uri="{FF2B5EF4-FFF2-40B4-BE49-F238E27FC236}">
              <a16:creationId xmlns:a16="http://schemas.microsoft.com/office/drawing/2014/main" id="{00000000-0008-0000-1500-00002D000000}"/>
            </a:ext>
          </a:extLst>
        </xdr:cNvPr>
        <xdr:cNvSpPr>
          <a:spLocks noChangeShapeType="1"/>
        </xdr:cNvSpPr>
      </xdr:nvSpPr>
      <xdr:spPr bwMode="auto">
        <a:xfrm>
          <a:off x="4772025" y="11249025"/>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171450</xdr:colOff>
      <xdr:row>60</xdr:row>
      <xdr:rowOff>57150</xdr:rowOff>
    </xdr:from>
    <xdr:to>
      <xdr:col>15</xdr:col>
      <xdr:colOff>247650</xdr:colOff>
      <xdr:row>60</xdr:row>
      <xdr:rowOff>133350</xdr:rowOff>
    </xdr:to>
    <xdr:sp macro="" textlink="">
      <xdr:nvSpPr>
        <xdr:cNvPr id="46" name="Oval 2164">
          <a:extLst>
            <a:ext uri="{FF2B5EF4-FFF2-40B4-BE49-F238E27FC236}">
              <a16:creationId xmlns:a16="http://schemas.microsoft.com/office/drawing/2014/main" id="{00000000-0008-0000-1500-00002E000000}"/>
            </a:ext>
          </a:extLst>
        </xdr:cNvPr>
        <xdr:cNvSpPr>
          <a:spLocks noChangeArrowheads="1"/>
        </xdr:cNvSpPr>
      </xdr:nvSpPr>
      <xdr:spPr bwMode="auto">
        <a:xfrm>
          <a:off x="7210425" y="1115377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61</xdr:row>
      <xdr:rowOff>85724</xdr:rowOff>
    </xdr:from>
    <xdr:to>
      <xdr:col>15</xdr:col>
      <xdr:colOff>354675</xdr:colOff>
      <xdr:row>61</xdr:row>
      <xdr:rowOff>85724</xdr:rowOff>
    </xdr:to>
    <xdr:sp macro="" textlink="">
      <xdr:nvSpPr>
        <xdr:cNvPr id="47" name="Line 283">
          <a:extLst>
            <a:ext uri="{FF2B5EF4-FFF2-40B4-BE49-F238E27FC236}">
              <a16:creationId xmlns:a16="http://schemas.microsoft.com/office/drawing/2014/main" id="{00000000-0008-0000-1500-00002F000000}"/>
            </a:ext>
          </a:extLst>
        </xdr:cNvPr>
        <xdr:cNvSpPr>
          <a:spLocks noChangeShapeType="1"/>
        </xdr:cNvSpPr>
      </xdr:nvSpPr>
      <xdr:spPr bwMode="auto">
        <a:xfrm>
          <a:off x="7105650" y="11363324"/>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xdr:colOff>
      <xdr:row>139</xdr:row>
      <xdr:rowOff>1</xdr:rowOff>
    </xdr:from>
    <xdr:to>
      <xdr:col>10</xdr:col>
      <xdr:colOff>0</xdr:colOff>
      <xdr:row>168</xdr:row>
      <xdr:rowOff>0</xdr:rowOff>
    </xdr:to>
    <xdr:graphicFrame macro="">
      <xdr:nvGraphicFramePr>
        <xdr:cNvPr id="50" name="Chart 13">
          <a:extLst>
            <a:ext uri="{FF2B5EF4-FFF2-40B4-BE49-F238E27FC236}">
              <a16:creationId xmlns:a16="http://schemas.microsoft.com/office/drawing/2014/main" id="{00000000-0008-0000-15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xdr:colOff>
      <xdr:row>165</xdr:row>
      <xdr:rowOff>0</xdr:rowOff>
    </xdr:from>
    <xdr:to>
      <xdr:col>20</xdr:col>
      <xdr:colOff>2</xdr:colOff>
      <xdr:row>168</xdr:row>
      <xdr:rowOff>0</xdr:rowOff>
    </xdr:to>
    <xdr:graphicFrame macro="">
      <xdr:nvGraphicFramePr>
        <xdr:cNvPr id="51" name="Chart 13">
          <a:extLst>
            <a:ext uri="{FF2B5EF4-FFF2-40B4-BE49-F238E27FC236}">
              <a16:creationId xmlns:a16="http://schemas.microsoft.com/office/drawing/2014/main" id="{00000000-0008-0000-15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126000</xdr:colOff>
      <xdr:row>172</xdr:row>
      <xdr:rowOff>0</xdr:rowOff>
    </xdr:from>
    <xdr:to>
      <xdr:col>20</xdr:col>
      <xdr:colOff>0</xdr:colOff>
      <xdr:row>203</xdr:row>
      <xdr:rowOff>0</xdr:rowOff>
    </xdr:to>
    <xdr:graphicFrame macro="">
      <xdr:nvGraphicFramePr>
        <xdr:cNvPr id="53" name="Chart 176">
          <a:extLst>
            <a:ext uri="{FF2B5EF4-FFF2-40B4-BE49-F238E27FC236}">
              <a16:creationId xmlns:a16="http://schemas.microsoft.com/office/drawing/2014/main" id="{00000000-0008-0000-15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172</xdr:row>
      <xdr:rowOff>0</xdr:rowOff>
    </xdr:from>
    <xdr:to>
      <xdr:col>10</xdr:col>
      <xdr:colOff>121650</xdr:colOff>
      <xdr:row>203</xdr:row>
      <xdr:rowOff>0</xdr:rowOff>
    </xdr:to>
    <xdr:graphicFrame macro="">
      <xdr:nvGraphicFramePr>
        <xdr:cNvPr id="54" name="Chart 764">
          <a:extLst>
            <a:ext uri="{FF2B5EF4-FFF2-40B4-BE49-F238E27FC236}">
              <a16:creationId xmlns:a16="http://schemas.microsoft.com/office/drawing/2014/main" id="{00000000-0008-0000-15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139</xdr:row>
      <xdr:rowOff>0</xdr:rowOff>
    </xdr:from>
    <xdr:to>
      <xdr:col>20</xdr:col>
      <xdr:colOff>0</xdr:colOff>
      <xdr:row>163</xdr:row>
      <xdr:rowOff>0</xdr:rowOff>
    </xdr:to>
    <xdr:graphicFrame macro="">
      <xdr:nvGraphicFramePr>
        <xdr:cNvPr id="57" name="Chart 176">
          <a:extLst>
            <a:ext uri="{FF2B5EF4-FFF2-40B4-BE49-F238E27FC236}">
              <a16:creationId xmlns:a16="http://schemas.microsoft.com/office/drawing/2014/main" id="{00000000-0008-0000-15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180975</xdr:colOff>
      <xdr:row>164</xdr:row>
      <xdr:rowOff>47625</xdr:rowOff>
    </xdr:from>
    <xdr:to>
      <xdr:col>10</xdr:col>
      <xdr:colOff>257175</xdr:colOff>
      <xdr:row>164</xdr:row>
      <xdr:rowOff>123825</xdr:rowOff>
    </xdr:to>
    <xdr:sp macro="" textlink="">
      <xdr:nvSpPr>
        <xdr:cNvPr id="58" name="Oval 2165">
          <a:extLst>
            <a:ext uri="{FF2B5EF4-FFF2-40B4-BE49-F238E27FC236}">
              <a16:creationId xmlns:a16="http://schemas.microsoft.com/office/drawing/2014/main" id="{00000000-0008-0000-1500-00003A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163</xdr:row>
      <xdr:rowOff>85725</xdr:rowOff>
    </xdr:from>
    <xdr:to>
      <xdr:col>10</xdr:col>
      <xdr:colOff>417150</xdr:colOff>
      <xdr:row>163</xdr:row>
      <xdr:rowOff>85725</xdr:rowOff>
    </xdr:to>
    <xdr:sp macro="" textlink="">
      <xdr:nvSpPr>
        <xdr:cNvPr id="59" name="Line 283">
          <a:extLst>
            <a:ext uri="{FF2B5EF4-FFF2-40B4-BE49-F238E27FC236}">
              <a16:creationId xmlns:a16="http://schemas.microsoft.com/office/drawing/2014/main" id="{00000000-0008-0000-1500-00003B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171450</xdr:colOff>
      <xdr:row>163</xdr:row>
      <xdr:rowOff>47625</xdr:rowOff>
    </xdr:from>
    <xdr:to>
      <xdr:col>15</xdr:col>
      <xdr:colOff>247650</xdr:colOff>
      <xdr:row>163</xdr:row>
      <xdr:rowOff>123825</xdr:rowOff>
    </xdr:to>
    <xdr:sp macro="" textlink="">
      <xdr:nvSpPr>
        <xdr:cNvPr id="60" name="Oval 2164">
          <a:extLst>
            <a:ext uri="{FF2B5EF4-FFF2-40B4-BE49-F238E27FC236}">
              <a16:creationId xmlns:a16="http://schemas.microsoft.com/office/drawing/2014/main" id="{00000000-0008-0000-1500-00003C000000}"/>
            </a:ext>
          </a:extLst>
        </xdr:cNvPr>
        <xdr:cNvSpPr>
          <a:spLocks noChangeArrowheads="1"/>
        </xdr:cNvSpPr>
      </xdr:nvSpPr>
      <xdr:spPr bwMode="auto">
        <a:xfrm>
          <a:off x="7191375" y="3138487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164</xdr:row>
      <xdr:rowOff>85724</xdr:rowOff>
    </xdr:from>
    <xdr:to>
      <xdr:col>15</xdr:col>
      <xdr:colOff>354675</xdr:colOff>
      <xdr:row>164</xdr:row>
      <xdr:rowOff>85724</xdr:rowOff>
    </xdr:to>
    <xdr:sp macro="" textlink="">
      <xdr:nvSpPr>
        <xdr:cNvPr id="61" name="Line 283">
          <a:extLst>
            <a:ext uri="{FF2B5EF4-FFF2-40B4-BE49-F238E27FC236}">
              <a16:creationId xmlns:a16="http://schemas.microsoft.com/office/drawing/2014/main" id="{00000000-0008-0000-1500-00003D000000}"/>
            </a:ext>
          </a:extLst>
        </xdr:cNvPr>
        <xdr:cNvSpPr>
          <a:spLocks noChangeShapeType="1"/>
        </xdr:cNvSpPr>
      </xdr:nvSpPr>
      <xdr:spPr bwMode="auto">
        <a:xfrm>
          <a:off x="7086600" y="31594424"/>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238123</xdr:colOff>
      <xdr:row>103</xdr:row>
      <xdr:rowOff>85725</xdr:rowOff>
    </xdr:from>
    <xdr:to>
      <xdr:col>20</xdr:col>
      <xdr:colOff>53998</xdr:colOff>
      <xdr:row>105</xdr:row>
      <xdr:rowOff>149475</xdr:rowOff>
    </xdr:to>
    <xdr:sp macro="" textlink="">
      <xdr:nvSpPr>
        <xdr:cNvPr id="62" name="AutoShape 32">
          <a:extLst>
            <a:ext uri="{FF2B5EF4-FFF2-40B4-BE49-F238E27FC236}">
              <a16:creationId xmlns:a16="http://schemas.microsoft.com/office/drawing/2014/main" id="{00000000-0008-0000-1500-00003E000000}"/>
            </a:ext>
          </a:extLst>
        </xdr:cNvPr>
        <xdr:cNvSpPr>
          <a:spLocks noChangeArrowheads="1"/>
        </xdr:cNvSpPr>
      </xdr:nvSpPr>
      <xdr:spPr bwMode="auto">
        <a:xfrm>
          <a:off x="6772273" y="20297775"/>
          <a:ext cx="234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editAs="oneCell">
    <xdr:from>
      <xdr:col>1</xdr:col>
      <xdr:colOff>0</xdr:colOff>
      <xdr:row>207</xdr:row>
      <xdr:rowOff>0</xdr:rowOff>
    </xdr:from>
    <xdr:to>
      <xdr:col>19</xdr:col>
      <xdr:colOff>133350</xdr:colOff>
      <xdr:row>242</xdr:row>
      <xdr:rowOff>47625</xdr:rowOff>
    </xdr:to>
    <xdr:grpSp>
      <xdr:nvGrpSpPr>
        <xdr:cNvPr id="38" name="Group 37">
          <a:extLst>
            <a:ext uri="{FF2B5EF4-FFF2-40B4-BE49-F238E27FC236}">
              <a16:creationId xmlns:a16="http://schemas.microsoft.com/office/drawing/2014/main" id="{39BF3994-62A8-47DF-81BD-25C653D612E2}"/>
            </a:ext>
          </a:extLst>
        </xdr:cNvPr>
        <xdr:cNvGrpSpPr/>
      </xdr:nvGrpSpPr>
      <xdr:grpSpPr>
        <a:xfrm>
          <a:off x="140208" y="39354252"/>
          <a:ext cx="8950452" cy="4899660"/>
          <a:chOff x="95250" y="95250"/>
          <a:chExt cx="7534275" cy="5048250"/>
        </a:xfrm>
      </xdr:grpSpPr>
      <xdr:sp macro="" textlink="">
        <xdr:nvSpPr>
          <xdr:cNvPr id="39" name="Rectangle 38">
            <a:extLst>
              <a:ext uri="{FF2B5EF4-FFF2-40B4-BE49-F238E27FC236}">
                <a16:creationId xmlns:a16="http://schemas.microsoft.com/office/drawing/2014/main" id="{070FE852-253D-921C-9B2C-DF0D48EFAD62}"/>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40" name="Rectangle: Rounded Corners 39">
            <a:hlinkClick xmlns:r="http://schemas.openxmlformats.org/officeDocument/2006/relationships" r:id="rId11"/>
            <a:extLst>
              <a:ext uri="{FF2B5EF4-FFF2-40B4-BE49-F238E27FC236}">
                <a16:creationId xmlns:a16="http://schemas.microsoft.com/office/drawing/2014/main" id="{B62C1198-BA3A-CE0E-E1A8-0FD85861CB38}"/>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41" name="Rectangle: Rounded Corners 40">
            <a:hlinkClick xmlns:r="http://schemas.openxmlformats.org/officeDocument/2006/relationships" r:id="rId12"/>
            <a:extLst>
              <a:ext uri="{FF2B5EF4-FFF2-40B4-BE49-F238E27FC236}">
                <a16:creationId xmlns:a16="http://schemas.microsoft.com/office/drawing/2014/main" id="{CDACE1EB-162C-1000-0236-96E3076E984B}"/>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42" name="Rectangle: Rounded Corners 41">
            <a:hlinkClick xmlns:r="http://schemas.openxmlformats.org/officeDocument/2006/relationships" r:id="rId13"/>
            <a:extLst>
              <a:ext uri="{FF2B5EF4-FFF2-40B4-BE49-F238E27FC236}">
                <a16:creationId xmlns:a16="http://schemas.microsoft.com/office/drawing/2014/main" id="{E7E854A8-B944-241B-20C5-17D14762E9EA}"/>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55" name="Rectangle: Rounded Corners 54">
            <a:hlinkClick xmlns:r="http://schemas.openxmlformats.org/officeDocument/2006/relationships" r:id="rId14"/>
            <a:extLst>
              <a:ext uri="{FF2B5EF4-FFF2-40B4-BE49-F238E27FC236}">
                <a16:creationId xmlns:a16="http://schemas.microsoft.com/office/drawing/2014/main" id="{F561A57C-CF8D-1480-A57D-26C6F7EFAADA}"/>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56" name="Rectangle: Rounded Corners 55">
            <a:hlinkClick xmlns:r="http://schemas.openxmlformats.org/officeDocument/2006/relationships" r:id="rId15"/>
            <a:extLst>
              <a:ext uri="{FF2B5EF4-FFF2-40B4-BE49-F238E27FC236}">
                <a16:creationId xmlns:a16="http://schemas.microsoft.com/office/drawing/2014/main" id="{DF05AC59-0EE9-0102-E78E-184F46B7BD68}"/>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63" name="Rectangle: Rounded Corners 62">
            <a:hlinkClick xmlns:r="http://schemas.openxmlformats.org/officeDocument/2006/relationships" r:id="rId16"/>
            <a:extLst>
              <a:ext uri="{FF2B5EF4-FFF2-40B4-BE49-F238E27FC236}">
                <a16:creationId xmlns:a16="http://schemas.microsoft.com/office/drawing/2014/main" id="{3F88C3FC-9E1B-36DF-7F27-AA0CD8BDA4C8}"/>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104448" name="Rectangle: Rounded Corners 104447">
            <a:hlinkClick xmlns:r="http://schemas.openxmlformats.org/officeDocument/2006/relationships" r:id="rId17"/>
            <a:extLst>
              <a:ext uri="{FF2B5EF4-FFF2-40B4-BE49-F238E27FC236}">
                <a16:creationId xmlns:a16="http://schemas.microsoft.com/office/drawing/2014/main" id="{404CFD23-ACCB-DED8-8F21-0111BA79301D}"/>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104462" name="Rectangle: Rounded Corners 104461">
            <a:hlinkClick xmlns:r="http://schemas.openxmlformats.org/officeDocument/2006/relationships" r:id="rId18"/>
            <a:extLst>
              <a:ext uri="{FF2B5EF4-FFF2-40B4-BE49-F238E27FC236}">
                <a16:creationId xmlns:a16="http://schemas.microsoft.com/office/drawing/2014/main" id="{38DBDB15-9220-63F6-5315-5E57E2830D62}"/>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104470" name="Rectangle: Rounded Corners 104469">
            <a:hlinkClick xmlns:r="http://schemas.openxmlformats.org/officeDocument/2006/relationships" r:id="rId19"/>
            <a:extLst>
              <a:ext uri="{FF2B5EF4-FFF2-40B4-BE49-F238E27FC236}">
                <a16:creationId xmlns:a16="http://schemas.microsoft.com/office/drawing/2014/main" id="{462CC807-600E-FB2D-A409-BE617C12CB67}"/>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104471" name="Group 104470">
            <a:hlinkClick xmlns:r="http://schemas.openxmlformats.org/officeDocument/2006/relationships" r:id="rId20"/>
            <a:extLst>
              <a:ext uri="{FF2B5EF4-FFF2-40B4-BE49-F238E27FC236}">
                <a16:creationId xmlns:a16="http://schemas.microsoft.com/office/drawing/2014/main" id="{1CDAE1BC-F544-15AB-1C63-4B9994C55DB2}"/>
              </a:ext>
            </a:extLst>
          </xdr:cNvPr>
          <xdr:cNvGrpSpPr/>
        </xdr:nvGrpSpPr>
        <xdr:grpSpPr>
          <a:xfrm>
            <a:off x="190500" y="723900"/>
            <a:ext cx="1695450" cy="723900"/>
            <a:chOff x="190500" y="180975"/>
            <a:chExt cx="1800225" cy="723900"/>
          </a:xfrm>
        </xdr:grpSpPr>
        <xdr:sp macro="" textlink="">
          <xdr:nvSpPr>
            <xdr:cNvPr id="104484" name="Rectangle: Rounded Corners 104483">
              <a:hlinkClick xmlns:r="http://schemas.openxmlformats.org/officeDocument/2006/relationships" r:id="rId20"/>
              <a:extLst>
                <a:ext uri="{FF2B5EF4-FFF2-40B4-BE49-F238E27FC236}">
                  <a16:creationId xmlns:a16="http://schemas.microsoft.com/office/drawing/2014/main" id="{1BE3DC81-9DE6-1D8B-2437-1935F1F91FAA}"/>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104485" name="Picture 104484">
              <a:extLst>
                <a:ext uri="{FF2B5EF4-FFF2-40B4-BE49-F238E27FC236}">
                  <a16:creationId xmlns:a16="http://schemas.microsoft.com/office/drawing/2014/main" id="{209655C7-7345-FF66-C9DE-6B714C089BD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104473" name="Rectangle: Rounded Corners 104472">
            <a:hlinkClick xmlns:r="http://schemas.openxmlformats.org/officeDocument/2006/relationships" r:id="rId22"/>
            <a:extLst>
              <a:ext uri="{FF2B5EF4-FFF2-40B4-BE49-F238E27FC236}">
                <a16:creationId xmlns:a16="http://schemas.microsoft.com/office/drawing/2014/main" id="{CDF1CD9B-5DF8-C2DF-6F85-437AE5384839}"/>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104474" name="Rectangle: Rounded Corners 104473">
            <a:hlinkClick xmlns:r="http://schemas.openxmlformats.org/officeDocument/2006/relationships" r:id="rId23"/>
            <a:extLst>
              <a:ext uri="{FF2B5EF4-FFF2-40B4-BE49-F238E27FC236}">
                <a16:creationId xmlns:a16="http://schemas.microsoft.com/office/drawing/2014/main" id="{0200DADF-6DE3-D203-5452-A8DCBDB225AE}"/>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104475" name="Rectangle: Rounded Corners 104474">
            <a:hlinkClick xmlns:r="http://schemas.openxmlformats.org/officeDocument/2006/relationships" r:id="rId24"/>
            <a:extLst>
              <a:ext uri="{FF2B5EF4-FFF2-40B4-BE49-F238E27FC236}">
                <a16:creationId xmlns:a16="http://schemas.microsoft.com/office/drawing/2014/main" id="{01935ED3-7B25-D581-F94F-60D3BDF3776F}"/>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104476" name="Rectangle: Rounded Corners 104475">
            <a:hlinkClick xmlns:r="http://schemas.openxmlformats.org/officeDocument/2006/relationships" r:id="rId25"/>
            <a:extLst>
              <a:ext uri="{FF2B5EF4-FFF2-40B4-BE49-F238E27FC236}">
                <a16:creationId xmlns:a16="http://schemas.microsoft.com/office/drawing/2014/main" id="{B48BE282-17AC-ECCB-D14C-71DBF1E05987}"/>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104477" name="Rectangle: Rounded Corners 104476">
            <a:hlinkClick xmlns:r="http://schemas.openxmlformats.org/officeDocument/2006/relationships" r:id="rId26"/>
            <a:extLst>
              <a:ext uri="{FF2B5EF4-FFF2-40B4-BE49-F238E27FC236}">
                <a16:creationId xmlns:a16="http://schemas.microsoft.com/office/drawing/2014/main" id="{D1D9F55B-E4DF-0255-AA96-6F0B225323E0}"/>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104478" name="Rectangle: Rounded Corners 104477">
            <a:hlinkClick xmlns:r="http://schemas.openxmlformats.org/officeDocument/2006/relationships" r:id="rId27"/>
            <a:extLst>
              <a:ext uri="{FF2B5EF4-FFF2-40B4-BE49-F238E27FC236}">
                <a16:creationId xmlns:a16="http://schemas.microsoft.com/office/drawing/2014/main" id="{CEFF3C6A-4666-7B21-B392-AC94422EF82F}"/>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104479" name="Rectangle: Rounded Corners 104478">
            <a:hlinkClick xmlns:r="http://schemas.openxmlformats.org/officeDocument/2006/relationships" r:id="rId28"/>
            <a:extLst>
              <a:ext uri="{FF2B5EF4-FFF2-40B4-BE49-F238E27FC236}">
                <a16:creationId xmlns:a16="http://schemas.microsoft.com/office/drawing/2014/main" id="{9083F7B3-3F2D-9777-0789-4B855D8427AE}"/>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104480" name="Rectangle: Rounded Corners 104479">
            <a:hlinkClick xmlns:r="http://schemas.openxmlformats.org/officeDocument/2006/relationships" r:id="rId29"/>
            <a:extLst>
              <a:ext uri="{FF2B5EF4-FFF2-40B4-BE49-F238E27FC236}">
                <a16:creationId xmlns:a16="http://schemas.microsoft.com/office/drawing/2014/main" id="{83BDC2BB-0533-CA07-BC25-E621FECBFCCC}"/>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104481" name="Rectangle: Rounded Corners 104480">
            <a:hlinkClick xmlns:r="http://schemas.openxmlformats.org/officeDocument/2006/relationships" r:id="rId30"/>
            <a:extLst>
              <a:ext uri="{FF2B5EF4-FFF2-40B4-BE49-F238E27FC236}">
                <a16:creationId xmlns:a16="http://schemas.microsoft.com/office/drawing/2014/main" id="{A10CECDD-D60E-D5BF-BA0E-23C288C5A3CB}"/>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104482" name="Rectangle: Rounded Corners 104481">
            <a:hlinkClick xmlns:r="http://schemas.openxmlformats.org/officeDocument/2006/relationships" r:id="rId31"/>
            <a:extLst>
              <a:ext uri="{FF2B5EF4-FFF2-40B4-BE49-F238E27FC236}">
                <a16:creationId xmlns:a16="http://schemas.microsoft.com/office/drawing/2014/main" id="{98627269-8E88-AC01-80D6-99B31B7C8BCA}"/>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104483" name="TextBox 104482">
            <a:extLst>
              <a:ext uri="{FF2B5EF4-FFF2-40B4-BE49-F238E27FC236}">
                <a16:creationId xmlns:a16="http://schemas.microsoft.com/office/drawing/2014/main" id="{FFFEA81C-96CD-CAA2-DD1A-53F0BE638001}"/>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104486" name="Group 104485">
          <a:hlinkClick xmlns:r="http://schemas.openxmlformats.org/officeDocument/2006/relationships" r:id="rId20"/>
          <a:extLst>
            <a:ext uri="{FF2B5EF4-FFF2-40B4-BE49-F238E27FC236}">
              <a16:creationId xmlns:a16="http://schemas.microsoft.com/office/drawing/2014/main" id="{96B0A5D9-AC61-449A-8291-E2F2FDB8DD8F}"/>
            </a:ext>
          </a:extLst>
        </xdr:cNvPr>
        <xdr:cNvGrpSpPr/>
      </xdr:nvGrpSpPr>
      <xdr:grpSpPr>
        <a:xfrm>
          <a:off x="9691116" y="0"/>
          <a:ext cx="411480" cy="1685544"/>
          <a:chOff x="9210675" y="19050"/>
          <a:chExt cx="390525" cy="1743075"/>
        </a:xfrm>
      </xdr:grpSpPr>
      <xdr:pic>
        <xdr:nvPicPr>
          <xdr:cNvPr id="104487" name="Graphic 104486" descr="Map compass with solid fill">
            <a:hlinkClick xmlns:r="http://schemas.openxmlformats.org/officeDocument/2006/relationships" r:id="rId32"/>
            <a:extLst>
              <a:ext uri="{FF2B5EF4-FFF2-40B4-BE49-F238E27FC236}">
                <a16:creationId xmlns:a16="http://schemas.microsoft.com/office/drawing/2014/main" id="{BABA6DB0-BC5F-87DF-32DB-4DDF0ACC55B1}"/>
              </a:ext>
            </a:extLst>
          </xdr:cNvPr>
          <xdr:cNvPicPr>
            <a:picLocks noChangeAspect="1"/>
          </xdr:cNvPicPr>
        </xdr:nvPicPr>
        <xdr:blipFill>
          <a:blip xmlns:r="http://schemas.openxmlformats.org/officeDocument/2006/relationships" r:embed="rId33">
            <a:duotone>
              <a:schemeClr val="accent6">
                <a:shade val="45000"/>
                <a:satMod val="135000"/>
              </a:schemeClr>
              <a:prstClr val="white"/>
            </a:duotone>
            <a:extLst>
              <a:ext uri="{96DAC541-7B7A-43D3-8B79-37D633B846F1}">
                <asvg:svgBlip xmlns:asvg="http://schemas.microsoft.com/office/drawing/2016/SVG/main" r:embed="rId34"/>
              </a:ext>
            </a:extLst>
          </a:blip>
          <a:stretch>
            <a:fillRect/>
          </a:stretch>
        </xdr:blipFill>
        <xdr:spPr>
          <a:xfrm>
            <a:off x="9229725" y="38099"/>
            <a:ext cx="369675" cy="369675"/>
          </a:xfrm>
          <a:prstGeom prst="rect">
            <a:avLst/>
          </a:prstGeom>
        </xdr:spPr>
      </xdr:pic>
      <xdr:sp macro="" textlink="">
        <xdr:nvSpPr>
          <xdr:cNvPr id="104488" name="Right Arrow 50">
            <a:hlinkClick xmlns:r="http://schemas.openxmlformats.org/officeDocument/2006/relationships" r:id="rId27"/>
            <a:extLst>
              <a:ext uri="{FF2B5EF4-FFF2-40B4-BE49-F238E27FC236}">
                <a16:creationId xmlns:a16="http://schemas.microsoft.com/office/drawing/2014/main" id="{461B00FA-47A6-D1D3-3727-7DDC0BBC1C3B}"/>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104489" name="Right Arrow 50">
            <a:hlinkClick xmlns:r="http://schemas.openxmlformats.org/officeDocument/2006/relationships" r:id="rId24"/>
            <a:extLst>
              <a:ext uri="{FF2B5EF4-FFF2-40B4-BE49-F238E27FC236}">
                <a16:creationId xmlns:a16="http://schemas.microsoft.com/office/drawing/2014/main" id="{3B2130B0-6785-7588-9234-0B6E0ADD0910}"/>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104490" name="Picture 104489">
            <a:hlinkClick xmlns:r="http://schemas.openxmlformats.org/officeDocument/2006/relationships" r:id="rId20"/>
            <a:extLst>
              <a:ext uri="{FF2B5EF4-FFF2-40B4-BE49-F238E27FC236}">
                <a16:creationId xmlns:a16="http://schemas.microsoft.com/office/drawing/2014/main" id="{FF4A4953-36A3-328D-124E-2931394A778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104491" name="Rectangle 104490">
            <a:extLst>
              <a:ext uri="{FF2B5EF4-FFF2-40B4-BE49-F238E27FC236}">
                <a16:creationId xmlns:a16="http://schemas.microsoft.com/office/drawing/2014/main" id="{6492E343-8AF4-3825-9DF6-0861D6AE82D8}"/>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4" name="Down Arrow 44">
          <a:hlinkClick xmlns:r="http://schemas.openxmlformats.org/officeDocument/2006/relationships" r:id="rId30"/>
          <a:extLst>
            <a:ext uri="{FF2B5EF4-FFF2-40B4-BE49-F238E27FC236}">
              <a16:creationId xmlns:a16="http://schemas.microsoft.com/office/drawing/2014/main" id="{28E39781-D538-4D61-B192-97FC26D40EFD}"/>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5" name="Down Arrow 44">
          <a:hlinkClick xmlns:r="http://schemas.openxmlformats.org/officeDocument/2006/relationships" r:id="rId30"/>
          <a:extLst>
            <a:ext uri="{FF2B5EF4-FFF2-40B4-BE49-F238E27FC236}">
              <a16:creationId xmlns:a16="http://schemas.microsoft.com/office/drawing/2014/main" id="{61AE4BDF-1618-4D47-BF4F-93C1E4BF37A1}"/>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101</xdr:row>
      <xdr:rowOff>0</xdr:rowOff>
    </xdr:from>
    <xdr:ext cx="252000" cy="288000"/>
    <xdr:sp macro="" textlink="">
      <xdr:nvSpPr>
        <xdr:cNvPr id="7" name="Down Arrow 44">
          <a:hlinkClick xmlns:r="http://schemas.openxmlformats.org/officeDocument/2006/relationships" r:id="rId30"/>
          <a:extLst>
            <a:ext uri="{FF2B5EF4-FFF2-40B4-BE49-F238E27FC236}">
              <a16:creationId xmlns:a16="http://schemas.microsoft.com/office/drawing/2014/main" id="{47F13944-BC35-43A0-935E-8A5B891D4BAB}"/>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136</xdr:row>
      <xdr:rowOff>0</xdr:rowOff>
    </xdr:from>
    <xdr:ext cx="252000" cy="288000"/>
    <xdr:sp macro="" textlink="">
      <xdr:nvSpPr>
        <xdr:cNvPr id="10" name="Down Arrow 44">
          <a:hlinkClick xmlns:r="http://schemas.openxmlformats.org/officeDocument/2006/relationships" r:id="rId30"/>
          <a:extLst>
            <a:ext uri="{FF2B5EF4-FFF2-40B4-BE49-F238E27FC236}">
              <a16:creationId xmlns:a16="http://schemas.microsoft.com/office/drawing/2014/main" id="{DF4EDD0D-2CCD-4A9E-BC06-B7F4D228BE4F}"/>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169</xdr:row>
      <xdr:rowOff>0</xdr:rowOff>
    </xdr:from>
    <xdr:ext cx="252000" cy="288000"/>
    <xdr:sp macro="" textlink="">
      <xdr:nvSpPr>
        <xdr:cNvPr id="11" name="Down Arrow 44">
          <a:hlinkClick xmlns:r="http://schemas.openxmlformats.org/officeDocument/2006/relationships" r:id="rId30"/>
          <a:extLst>
            <a:ext uri="{FF2B5EF4-FFF2-40B4-BE49-F238E27FC236}">
              <a16:creationId xmlns:a16="http://schemas.microsoft.com/office/drawing/2014/main" id="{222CD3C3-3000-4D6A-8530-51DB1654F817}"/>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204</xdr:row>
      <xdr:rowOff>0</xdr:rowOff>
    </xdr:from>
    <xdr:ext cx="252000" cy="288000"/>
    <xdr:sp macro="" textlink="">
      <xdr:nvSpPr>
        <xdr:cNvPr id="12" name="Down Arrow 44">
          <a:hlinkClick xmlns:r="http://schemas.openxmlformats.org/officeDocument/2006/relationships" r:id="rId30"/>
          <a:extLst>
            <a:ext uri="{FF2B5EF4-FFF2-40B4-BE49-F238E27FC236}">
              <a16:creationId xmlns:a16="http://schemas.microsoft.com/office/drawing/2014/main" id="{ED281AEA-65CD-49A5-93FD-0096ED970416}"/>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18.xml><?xml version="1.0" encoding="utf-8"?>
<xdr:wsDr xmlns:xdr="http://schemas.openxmlformats.org/drawingml/2006/spreadsheetDrawing" xmlns:a="http://schemas.openxmlformats.org/drawingml/2006/main">
  <xdr:twoCellAnchor>
    <xdr:from>
      <xdr:col>1</xdr:col>
      <xdr:colOff>1</xdr:colOff>
      <xdr:row>36</xdr:row>
      <xdr:rowOff>1</xdr:rowOff>
    </xdr:from>
    <xdr:to>
      <xdr:col>10</xdr:col>
      <xdr:colOff>0</xdr:colOff>
      <xdr:row>65</xdr:row>
      <xdr:rowOff>0</xdr:rowOff>
    </xdr:to>
    <xdr:graphicFrame macro="">
      <xdr:nvGraphicFramePr>
        <xdr:cNvPr id="6" name="Chart 13">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419099</xdr:colOff>
      <xdr:row>0</xdr:row>
      <xdr:rowOff>85725</xdr:rowOff>
    </xdr:from>
    <xdr:to>
      <xdr:col>20</xdr:col>
      <xdr:colOff>54974</xdr:colOff>
      <xdr:row>2</xdr:row>
      <xdr:rowOff>149475</xdr:rowOff>
    </xdr:to>
    <xdr:sp macro="" textlink="">
      <xdr:nvSpPr>
        <xdr:cNvPr id="8" name="AutoShape 32">
          <a:extLst>
            <a:ext uri="{FF2B5EF4-FFF2-40B4-BE49-F238E27FC236}">
              <a16:creationId xmlns:a16="http://schemas.microsoft.com/office/drawing/2014/main" id="{00000000-0008-0000-1600-000008000000}"/>
            </a:ext>
          </a:extLst>
        </xdr:cNvPr>
        <xdr:cNvSpPr>
          <a:spLocks noChangeArrowheads="1"/>
        </xdr:cNvSpPr>
      </xdr:nvSpPr>
      <xdr:spPr bwMode="auto">
        <a:xfrm>
          <a:off x="6953249"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0</xdr:colOff>
      <xdr:row>62</xdr:row>
      <xdr:rowOff>0</xdr:rowOff>
    </xdr:from>
    <xdr:to>
      <xdr:col>20</xdr:col>
      <xdr:colOff>1</xdr:colOff>
      <xdr:row>65</xdr:row>
      <xdr:rowOff>0</xdr:rowOff>
    </xdr:to>
    <xdr:graphicFrame macro="">
      <xdr:nvGraphicFramePr>
        <xdr:cNvPr id="9" name="Chart 13">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85725</xdr:colOff>
          <xdr:row>36</xdr:row>
          <xdr:rowOff>28575</xdr:rowOff>
        </xdr:from>
        <xdr:to>
          <xdr:col>35</xdr:col>
          <xdr:colOff>57150</xdr:colOff>
          <xdr:row>38</xdr:row>
          <xdr:rowOff>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18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37</xdr:row>
          <xdr:rowOff>142875</xdr:rowOff>
        </xdr:from>
        <xdr:to>
          <xdr:col>35</xdr:col>
          <xdr:colOff>57150</xdr:colOff>
          <xdr:row>39</xdr:row>
          <xdr:rowOff>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18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38</xdr:row>
          <xdr:rowOff>142875</xdr:rowOff>
        </xdr:from>
        <xdr:to>
          <xdr:col>35</xdr:col>
          <xdr:colOff>57150</xdr:colOff>
          <xdr:row>40</xdr:row>
          <xdr:rowOff>0</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18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39</xdr:row>
          <xdr:rowOff>142875</xdr:rowOff>
        </xdr:from>
        <xdr:to>
          <xdr:col>35</xdr:col>
          <xdr:colOff>57150</xdr:colOff>
          <xdr:row>41</xdr:row>
          <xdr:rowOff>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18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40</xdr:row>
          <xdr:rowOff>142875</xdr:rowOff>
        </xdr:from>
        <xdr:to>
          <xdr:col>35</xdr:col>
          <xdr:colOff>57150</xdr:colOff>
          <xdr:row>42</xdr:row>
          <xdr:rowOff>0</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18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41</xdr:row>
          <xdr:rowOff>142875</xdr:rowOff>
        </xdr:from>
        <xdr:to>
          <xdr:col>35</xdr:col>
          <xdr:colOff>57150</xdr:colOff>
          <xdr:row>43</xdr:row>
          <xdr:rowOff>0</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18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42</xdr:row>
          <xdr:rowOff>142875</xdr:rowOff>
        </xdr:from>
        <xdr:to>
          <xdr:col>35</xdr:col>
          <xdr:colOff>57150</xdr:colOff>
          <xdr:row>44</xdr:row>
          <xdr:rowOff>0</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18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43</xdr:row>
          <xdr:rowOff>142875</xdr:rowOff>
        </xdr:from>
        <xdr:to>
          <xdr:col>35</xdr:col>
          <xdr:colOff>57150</xdr:colOff>
          <xdr:row>45</xdr:row>
          <xdr:rowOff>0</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18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44</xdr:row>
          <xdr:rowOff>142875</xdr:rowOff>
        </xdr:from>
        <xdr:to>
          <xdr:col>35</xdr:col>
          <xdr:colOff>57150</xdr:colOff>
          <xdr:row>46</xdr:row>
          <xdr:rowOff>0</xdr:rowOff>
        </xdr:to>
        <xdr:sp macro="" textlink="">
          <xdr:nvSpPr>
            <xdr:cNvPr id="105481" name="Check Box 9" hidden="1">
              <a:extLst>
                <a:ext uri="{63B3BB69-23CF-44E3-9099-C40C66FF867C}">
                  <a14:compatExt spid="_x0000_s105481"/>
                </a:ext>
                <a:ext uri="{FF2B5EF4-FFF2-40B4-BE49-F238E27FC236}">
                  <a16:creationId xmlns:a16="http://schemas.microsoft.com/office/drawing/2014/main" id="{00000000-0008-0000-1800-00000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45</xdr:row>
          <xdr:rowOff>142875</xdr:rowOff>
        </xdr:from>
        <xdr:to>
          <xdr:col>35</xdr:col>
          <xdr:colOff>57150</xdr:colOff>
          <xdr:row>47</xdr:row>
          <xdr:rowOff>0</xdr:rowOff>
        </xdr:to>
        <xdr:sp macro="" textlink="">
          <xdr:nvSpPr>
            <xdr:cNvPr id="105482" name="Check Box 10" hidden="1">
              <a:extLst>
                <a:ext uri="{63B3BB69-23CF-44E3-9099-C40C66FF867C}">
                  <a14:compatExt spid="_x0000_s105482"/>
                </a:ext>
                <a:ext uri="{FF2B5EF4-FFF2-40B4-BE49-F238E27FC236}">
                  <a16:creationId xmlns:a16="http://schemas.microsoft.com/office/drawing/2014/main" id="{00000000-0008-0000-1800-00000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46</xdr:row>
          <xdr:rowOff>142875</xdr:rowOff>
        </xdr:from>
        <xdr:to>
          <xdr:col>35</xdr:col>
          <xdr:colOff>57150</xdr:colOff>
          <xdr:row>48</xdr:row>
          <xdr:rowOff>0</xdr:rowOff>
        </xdr:to>
        <xdr:sp macro="" textlink="">
          <xdr:nvSpPr>
            <xdr:cNvPr id="105483" name="Check Box 11" hidden="1">
              <a:extLst>
                <a:ext uri="{63B3BB69-23CF-44E3-9099-C40C66FF867C}">
                  <a14:compatExt spid="_x0000_s105483"/>
                </a:ext>
                <a:ext uri="{FF2B5EF4-FFF2-40B4-BE49-F238E27FC236}">
                  <a16:creationId xmlns:a16="http://schemas.microsoft.com/office/drawing/2014/main" id="{00000000-0008-0000-1800-00000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47</xdr:row>
          <xdr:rowOff>142875</xdr:rowOff>
        </xdr:from>
        <xdr:to>
          <xdr:col>35</xdr:col>
          <xdr:colOff>57150</xdr:colOff>
          <xdr:row>49</xdr:row>
          <xdr:rowOff>0</xdr:rowOff>
        </xdr:to>
        <xdr:sp macro="" textlink="">
          <xdr:nvSpPr>
            <xdr:cNvPr id="105484" name="Check Box 12" hidden="1">
              <a:extLst>
                <a:ext uri="{63B3BB69-23CF-44E3-9099-C40C66FF867C}">
                  <a14:compatExt spid="_x0000_s105484"/>
                </a:ext>
                <a:ext uri="{FF2B5EF4-FFF2-40B4-BE49-F238E27FC236}">
                  <a16:creationId xmlns:a16="http://schemas.microsoft.com/office/drawing/2014/main" id="{00000000-0008-0000-1800-00000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48</xdr:row>
          <xdr:rowOff>142875</xdr:rowOff>
        </xdr:from>
        <xdr:to>
          <xdr:col>35</xdr:col>
          <xdr:colOff>57150</xdr:colOff>
          <xdr:row>50</xdr:row>
          <xdr:rowOff>0</xdr:rowOff>
        </xdr:to>
        <xdr:sp macro="" textlink="">
          <xdr:nvSpPr>
            <xdr:cNvPr id="105485" name="Check Box 13" hidden="1">
              <a:extLst>
                <a:ext uri="{63B3BB69-23CF-44E3-9099-C40C66FF867C}">
                  <a14:compatExt spid="_x0000_s105485"/>
                </a:ext>
                <a:ext uri="{FF2B5EF4-FFF2-40B4-BE49-F238E27FC236}">
                  <a16:creationId xmlns:a16="http://schemas.microsoft.com/office/drawing/2014/main" id="{00000000-0008-0000-1800-00000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49</xdr:row>
          <xdr:rowOff>142875</xdr:rowOff>
        </xdr:from>
        <xdr:to>
          <xdr:col>35</xdr:col>
          <xdr:colOff>57150</xdr:colOff>
          <xdr:row>51</xdr:row>
          <xdr:rowOff>0</xdr:rowOff>
        </xdr:to>
        <xdr:sp macro="" textlink="">
          <xdr:nvSpPr>
            <xdr:cNvPr id="105487" name="Check Box 15" hidden="1">
              <a:extLst>
                <a:ext uri="{63B3BB69-23CF-44E3-9099-C40C66FF867C}">
                  <a14:compatExt spid="_x0000_s105487"/>
                </a:ext>
                <a:ext uri="{FF2B5EF4-FFF2-40B4-BE49-F238E27FC236}">
                  <a16:creationId xmlns:a16="http://schemas.microsoft.com/office/drawing/2014/main" id="{00000000-0008-0000-1800-00000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50</xdr:row>
          <xdr:rowOff>152400</xdr:rowOff>
        </xdr:from>
        <xdr:to>
          <xdr:col>35</xdr:col>
          <xdr:colOff>57150</xdr:colOff>
          <xdr:row>52</xdr:row>
          <xdr:rowOff>9525</xdr:rowOff>
        </xdr:to>
        <xdr:sp macro="" textlink="">
          <xdr:nvSpPr>
            <xdr:cNvPr id="105488" name="Check Box 16" hidden="1">
              <a:extLst>
                <a:ext uri="{63B3BB69-23CF-44E3-9099-C40C66FF867C}">
                  <a14:compatExt spid="_x0000_s105488"/>
                </a:ext>
                <a:ext uri="{FF2B5EF4-FFF2-40B4-BE49-F238E27FC236}">
                  <a16:creationId xmlns:a16="http://schemas.microsoft.com/office/drawing/2014/main" id="{00000000-0008-0000-1800-00001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51</xdr:row>
          <xdr:rowOff>161925</xdr:rowOff>
        </xdr:from>
        <xdr:to>
          <xdr:col>35</xdr:col>
          <xdr:colOff>57150</xdr:colOff>
          <xdr:row>53</xdr:row>
          <xdr:rowOff>19050</xdr:rowOff>
        </xdr:to>
        <xdr:sp macro="" textlink="">
          <xdr:nvSpPr>
            <xdr:cNvPr id="105489" name="Check Box 17" hidden="1">
              <a:extLst>
                <a:ext uri="{63B3BB69-23CF-44E3-9099-C40C66FF867C}">
                  <a14:compatExt spid="_x0000_s105489"/>
                </a:ext>
                <a:ext uri="{FF2B5EF4-FFF2-40B4-BE49-F238E27FC236}">
                  <a16:creationId xmlns:a16="http://schemas.microsoft.com/office/drawing/2014/main" id="{00000000-0008-0000-1800-00001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52</xdr:row>
          <xdr:rowOff>161925</xdr:rowOff>
        </xdr:from>
        <xdr:to>
          <xdr:col>35</xdr:col>
          <xdr:colOff>57150</xdr:colOff>
          <xdr:row>54</xdr:row>
          <xdr:rowOff>19050</xdr:rowOff>
        </xdr:to>
        <xdr:sp macro="" textlink="">
          <xdr:nvSpPr>
            <xdr:cNvPr id="105490" name="Check Box 18" hidden="1">
              <a:extLst>
                <a:ext uri="{63B3BB69-23CF-44E3-9099-C40C66FF867C}">
                  <a14:compatExt spid="_x0000_s105490"/>
                </a:ext>
                <a:ext uri="{FF2B5EF4-FFF2-40B4-BE49-F238E27FC236}">
                  <a16:creationId xmlns:a16="http://schemas.microsoft.com/office/drawing/2014/main" id="{00000000-0008-0000-1800-00001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53</xdr:row>
          <xdr:rowOff>161925</xdr:rowOff>
        </xdr:from>
        <xdr:to>
          <xdr:col>35</xdr:col>
          <xdr:colOff>57150</xdr:colOff>
          <xdr:row>55</xdr:row>
          <xdr:rowOff>19050</xdr:rowOff>
        </xdr:to>
        <xdr:sp macro="" textlink="">
          <xdr:nvSpPr>
            <xdr:cNvPr id="105491" name="Check Box 19" hidden="1">
              <a:extLst>
                <a:ext uri="{63B3BB69-23CF-44E3-9099-C40C66FF867C}">
                  <a14:compatExt spid="_x0000_s105491"/>
                </a:ext>
                <a:ext uri="{FF2B5EF4-FFF2-40B4-BE49-F238E27FC236}">
                  <a16:creationId xmlns:a16="http://schemas.microsoft.com/office/drawing/2014/main" id="{00000000-0008-0000-1800-00001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54</xdr:row>
          <xdr:rowOff>161925</xdr:rowOff>
        </xdr:from>
        <xdr:to>
          <xdr:col>35</xdr:col>
          <xdr:colOff>57150</xdr:colOff>
          <xdr:row>56</xdr:row>
          <xdr:rowOff>19050</xdr:rowOff>
        </xdr:to>
        <xdr:sp macro="" textlink="">
          <xdr:nvSpPr>
            <xdr:cNvPr id="105492" name="Check Box 20" hidden="1">
              <a:extLst>
                <a:ext uri="{63B3BB69-23CF-44E3-9099-C40C66FF867C}">
                  <a14:compatExt spid="_x0000_s105492"/>
                </a:ext>
                <a:ext uri="{FF2B5EF4-FFF2-40B4-BE49-F238E27FC236}">
                  <a16:creationId xmlns:a16="http://schemas.microsoft.com/office/drawing/2014/main" id="{00000000-0008-0000-1800-00001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55</xdr:row>
          <xdr:rowOff>161925</xdr:rowOff>
        </xdr:from>
        <xdr:to>
          <xdr:col>35</xdr:col>
          <xdr:colOff>57150</xdr:colOff>
          <xdr:row>57</xdr:row>
          <xdr:rowOff>19050</xdr:rowOff>
        </xdr:to>
        <xdr:sp macro="" textlink="">
          <xdr:nvSpPr>
            <xdr:cNvPr id="105493" name="Check Box 21" hidden="1">
              <a:extLst>
                <a:ext uri="{63B3BB69-23CF-44E3-9099-C40C66FF867C}">
                  <a14:compatExt spid="_x0000_s105493"/>
                </a:ext>
                <a:ext uri="{FF2B5EF4-FFF2-40B4-BE49-F238E27FC236}">
                  <a16:creationId xmlns:a16="http://schemas.microsoft.com/office/drawing/2014/main" id="{00000000-0008-0000-1800-00001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163</xdr:row>
      <xdr:rowOff>0</xdr:rowOff>
    </xdr:from>
    <xdr:to>
      <xdr:col>8</xdr:col>
      <xdr:colOff>0</xdr:colOff>
      <xdr:row>166</xdr:row>
      <xdr:rowOff>0</xdr:rowOff>
    </xdr:to>
    <xdr:graphicFrame macro="">
      <xdr:nvGraphicFramePr>
        <xdr:cNvPr id="32" name="Chart 13">
          <a:extLst>
            <a:ext uri="{FF2B5EF4-FFF2-40B4-BE49-F238E27FC236}">
              <a16:creationId xmlns:a16="http://schemas.microsoft.com/office/drawing/2014/main" id="{00000000-0008-0000-1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216825</xdr:colOff>
      <xdr:row>137</xdr:row>
      <xdr:rowOff>0</xdr:rowOff>
    </xdr:from>
    <xdr:to>
      <xdr:col>20</xdr:col>
      <xdr:colOff>0</xdr:colOff>
      <xdr:row>166</xdr:row>
      <xdr:rowOff>0</xdr:rowOff>
    </xdr:to>
    <xdr:graphicFrame macro="">
      <xdr:nvGraphicFramePr>
        <xdr:cNvPr id="35" name="Chart 13">
          <a:extLst>
            <a:ext uri="{FF2B5EF4-FFF2-40B4-BE49-F238E27FC236}">
              <a16:creationId xmlns:a16="http://schemas.microsoft.com/office/drawing/2014/main" id="{00000000-0008-0000-1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85725</xdr:colOff>
          <xdr:row>56</xdr:row>
          <xdr:rowOff>171450</xdr:rowOff>
        </xdr:from>
        <xdr:to>
          <xdr:col>35</xdr:col>
          <xdr:colOff>57150</xdr:colOff>
          <xdr:row>58</xdr:row>
          <xdr:rowOff>28575</xdr:rowOff>
        </xdr:to>
        <xdr:sp macro="" textlink="">
          <xdr:nvSpPr>
            <xdr:cNvPr id="105496" name="Check Box 24" hidden="1">
              <a:extLst>
                <a:ext uri="{63B3BB69-23CF-44E3-9099-C40C66FF867C}">
                  <a14:compatExt spid="_x0000_s105496"/>
                </a:ext>
                <a:ext uri="{FF2B5EF4-FFF2-40B4-BE49-F238E27FC236}">
                  <a16:creationId xmlns:a16="http://schemas.microsoft.com/office/drawing/2014/main" id="{00000000-0008-0000-1800-00001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0</xdr:colOff>
      <xdr:row>69</xdr:row>
      <xdr:rowOff>0</xdr:rowOff>
    </xdr:from>
    <xdr:to>
      <xdr:col>20</xdr:col>
      <xdr:colOff>0</xdr:colOff>
      <xdr:row>100</xdr:row>
      <xdr:rowOff>0</xdr:rowOff>
    </xdr:to>
    <xdr:graphicFrame macro="">
      <xdr:nvGraphicFramePr>
        <xdr:cNvPr id="38" name="Chart 176">
          <a:extLst>
            <a:ext uri="{FF2B5EF4-FFF2-40B4-BE49-F238E27FC236}">
              <a16:creationId xmlns:a16="http://schemas.microsoft.com/office/drawing/2014/main" id="{00000000-0008-0000-16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69</xdr:row>
      <xdr:rowOff>0</xdr:rowOff>
    </xdr:from>
    <xdr:to>
      <xdr:col>10</xdr:col>
      <xdr:colOff>0</xdr:colOff>
      <xdr:row>100</xdr:row>
      <xdr:rowOff>0</xdr:rowOff>
    </xdr:to>
    <xdr:graphicFrame macro="">
      <xdr:nvGraphicFramePr>
        <xdr:cNvPr id="39" name="Chart 764">
          <a:extLst>
            <a:ext uri="{FF2B5EF4-FFF2-40B4-BE49-F238E27FC236}">
              <a16:creationId xmlns:a16="http://schemas.microsoft.com/office/drawing/2014/main" id="{00000000-0008-0000-16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129</xdr:row>
      <xdr:rowOff>76199</xdr:rowOff>
    </xdr:from>
    <xdr:to>
      <xdr:col>8</xdr:col>
      <xdr:colOff>0</xdr:colOff>
      <xdr:row>133</xdr:row>
      <xdr:rowOff>0</xdr:rowOff>
    </xdr:to>
    <xdr:graphicFrame macro="">
      <xdr:nvGraphicFramePr>
        <xdr:cNvPr id="43" name="Chart 13">
          <a:extLst>
            <a:ext uri="{FF2B5EF4-FFF2-40B4-BE49-F238E27FC236}">
              <a16:creationId xmlns:a16="http://schemas.microsoft.com/office/drawing/2014/main" id="{00000000-0008-0000-16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216825</xdr:colOff>
      <xdr:row>104</xdr:row>
      <xdr:rowOff>0</xdr:rowOff>
    </xdr:from>
    <xdr:to>
      <xdr:col>20</xdr:col>
      <xdr:colOff>0</xdr:colOff>
      <xdr:row>133</xdr:row>
      <xdr:rowOff>0</xdr:rowOff>
    </xdr:to>
    <xdr:graphicFrame macro="">
      <xdr:nvGraphicFramePr>
        <xdr:cNvPr id="44" name="Chart 13">
          <a:extLst>
            <a:ext uri="{FF2B5EF4-FFF2-40B4-BE49-F238E27FC236}">
              <a16:creationId xmlns:a16="http://schemas.microsoft.com/office/drawing/2014/main" id="{00000000-0008-0000-16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196</xdr:row>
      <xdr:rowOff>1</xdr:rowOff>
    </xdr:from>
    <xdr:to>
      <xdr:col>8</xdr:col>
      <xdr:colOff>0</xdr:colOff>
      <xdr:row>199</xdr:row>
      <xdr:rowOff>1</xdr:rowOff>
    </xdr:to>
    <xdr:graphicFrame macro="">
      <xdr:nvGraphicFramePr>
        <xdr:cNvPr id="46" name="Chart 13">
          <a:extLst>
            <a:ext uri="{FF2B5EF4-FFF2-40B4-BE49-F238E27FC236}">
              <a16:creationId xmlns:a16="http://schemas.microsoft.com/office/drawing/2014/main" id="{00000000-0008-0000-16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216825</xdr:colOff>
      <xdr:row>170</xdr:row>
      <xdr:rowOff>0</xdr:rowOff>
    </xdr:from>
    <xdr:to>
      <xdr:col>20</xdr:col>
      <xdr:colOff>0</xdr:colOff>
      <xdr:row>199</xdr:row>
      <xdr:rowOff>0</xdr:rowOff>
    </xdr:to>
    <xdr:graphicFrame macro="">
      <xdr:nvGraphicFramePr>
        <xdr:cNvPr id="47" name="Chart 13">
          <a:extLst>
            <a:ext uri="{FF2B5EF4-FFF2-40B4-BE49-F238E27FC236}">
              <a16:creationId xmlns:a16="http://schemas.microsoft.com/office/drawing/2014/main" id="{00000000-0008-0000-16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3175</xdr:colOff>
      <xdr:row>272</xdr:row>
      <xdr:rowOff>0</xdr:rowOff>
    </xdr:from>
    <xdr:to>
      <xdr:col>20</xdr:col>
      <xdr:colOff>0</xdr:colOff>
      <xdr:row>297</xdr:row>
      <xdr:rowOff>190499</xdr:rowOff>
    </xdr:to>
    <xdr:graphicFrame macro="">
      <xdr:nvGraphicFramePr>
        <xdr:cNvPr id="54" name="Chart 170">
          <a:extLst>
            <a:ext uri="{FF2B5EF4-FFF2-40B4-BE49-F238E27FC236}">
              <a16:creationId xmlns:a16="http://schemas.microsoft.com/office/drawing/2014/main" id="{00000000-0008-0000-16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447675</xdr:colOff>
      <xdr:row>306</xdr:row>
      <xdr:rowOff>0</xdr:rowOff>
    </xdr:from>
    <xdr:to>
      <xdr:col>10</xdr:col>
      <xdr:colOff>406875</xdr:colOff>
      <xdr:row>331</xdr:row>
      <xdr:rowOff>0</xdr:rowOff>
    </xdr:to>
    <xdr:graphicFrame macro="">
      <xdr:nvGraphicFramePr>
        <xdr:cNvPr id="52" name="Chart 170">
          <a:extLst>
            <a:ext uri="{FF2B5EF4-FFF2-40B4-BE49-F238E27FC236}">
              <a16:creationId xmlns:a16="http://schemas.microsoft.com/office/drawing/2014/main" id="{00000000-0008-0000-16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400051</xdr:colOff>
      <xdr:row>306</xdr:row>
      <xdr:rowOff>0</xdr:rowOff>
    </xdr:from>
    <xdr:to>
      <xdr:col>12</xdr:col>
      <xdr:colOff>435451</xdr:colOff>
      <xdr:row>331</xdr:row>
      <xdr:rowOff>0</xdr:rowOff>
    </xdr:to>
    <xdr:graphicFrame macro="">
      <xdr:nvGraphicFramePr>
        <xdr:cNvPr id="53" name="Chart 170">
          <a:extLst>
            <a:ext uri="{FF2B5EF4-FFF2-40B4-BE49-F238E27FC236}">
              <a16:creationId xmlns:a16="http://schemas.microsoft.com/office/drawing/2014/main" id="{00000000-0008-0000-16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435219</xdr:colOff>
      <xdr:row>306</xdr:row>
      <xdr:rowOff>1</xdr:rowOff>
    </xdr:from>
    <xdr:to>
      <xdr:col>14</xdr:col>
      <xdr:colOff>470619</xdr:colOff>
      <xdr:row>331</xdr:row>
      <xdr:rowOff>0</xdr:rowOff>
    </xdr:to>
    <xdr:graphicFrame macro="">
      <xdr:nvGraphicFramePr>
        <xdr:cNvPr id="55" name="Chart 170">
          <a:extLst>
            <a:ext uri="{FF2B5EF4-FFF2-40B4-BE49-F238E27FC236}">
              <a16:creationId xmlns:a16="http://schemas.microsoft.com/office/drawing/2014/main" id="{00000000-0008-0000-16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464280</xdr:colOff>
      <xdr:row>306</xdr:row>
      <xdr:rowOff>0</xdr:rowOff>
    </xdr:from>
    <xdr:to>
      <xdr:col>18</xdr:col>
      <xdr:colOff>99630</xdr:colOff>
      <xdr:row>331</xdr:row>
      <xdr:rowOff>0</xdr:rowOff>
    </xdr:to>
    <xdr:graphicFrame macro="">
      <xdr:nvGraphicFramePr>
        <xdr:cNvPr id="56" name="Chart 170">
          <a:extLst>
            <a:ext uri="{FF2B5EF4-FFF2-40B4-BE49-F238E27FC236}">
              <a16:creationId xmlns:a16="http://schemas.microsoft.com/office/drawing/2014/main" id="{00000000-0008-0000-16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95250</xdr:colOff>
      <xdr:row>306</xdr:row>
      <xdr:rowOff>0</xdr:rowOff>
    </xdr:from>
    <xdr:to>
      <xdr:col>19</xdr:col>
      <xdr:colOff>540225</xdr:colOff>
      <xdr:row>331</xdr:row>
      <xdr:rowOff>0</xdr:rowOff>
    </xdr:to>
    <xdr:graphicFrame macro="">
      <xdr:nvGraphicFramePr>
        <xdr:cNvPr id="57" name="Chart 170">
          <a:extLst>
            <a:ext uri="{FF2B5EF4-FFF2-40B4-BE49-F238E27FC236}">
              <a16:creationId xmlns:a16="http://schemas.microsoft.com/office/drawing/2014/main" id="{00000000-0008-0000-16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263</xdr:row>
      <xdr:rowOff>76199</xdr:rowOff>
    </xdr:from>
    <xdr:to>
      <xdr:col>8</xdr:col>
      <xdr:colOff>0</xdr:colOff>
      <xdr:row>267</xdr:row>
      <xdr:rowOff>0</xdr:rowOff>
    </xdr:to>
    <xdr:graphicFrame macro="">
      <xdr:nvGraphicFramePr>
        <xdr:cNvPr id="59" name="Chart 13">
          <a:extLst>
            <a:ext uri="{FF2B5EF4-FFF2-40B4-BE49-F238E27FC236}">
              <a16:creationId xmlns:a16="http://schemas.microsoft.com/office/drawing/2014/main" id="{00000000-0008-0000-16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216825</xdr:colOff>
      <xdr:row>238</xdr:row>
      <xdr:rowOff>0</xdr:rowOff>
    </xdr:from>
    <xdr:to>
      <xdr:col>20</xdr:col>
      <xdr:colOff>0</xdr:colOff>
      <xdr:row>267</xdr:row>
      <xdr:rowOff>0</xdr:rowOff>
    </xdr:to>
    <xdr:graphicFrame macro="">
      <xdr:nvGraphicFramePr>
        <xdr:cNvPr id="60" name="Chart 13">
          <a:extLst>
            <a:ext uri="{FF2B5EF4-FFF2-40B4-BE49-F238E27FC236}">
              <a16:creationId xmlns:a16="http://schemas.microsoft.com/office/drawing/2014/main" id="{00000000-0008-0000-16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21</xdr:col>
      <xdr:colOff>95250</xdr:colOff>
      <xdr:row>235</xdr:row>
      <xdr:rowOff>33750</xdr:rowOff>
    </xdr:from>
    <xdr:to>
      <xdr:col>21</xdr:col>
      <xdr:colOff>347250</xdr:colOff>
      <xdr:row>236</xdr:row>
      <xdr:rowOff>95250</xdr:rowOff>
    </xdr:to>
    <xdr:sp macro="[0]!LAC" textlink="">
      <xdr:nvSpPr>
        <xdr:cNvPr id="61" name="Down Arrow 60">
          <a:extLst>
            <a:ext uri="{FF2B5EF4-FFF2-40B4-BE49-F238E27FC236}">
              <a16:creationId xmlns:a16="http://schemas.microsoft.com/office/drawing/2014/main" id="{00000000-0008-0000-1600-00003D000000}"/>
            </a:ext>
          </a:extLst>
        </xdr:cNvPr>
        <xdr:cNvSpPr>
          <a:spLocks noChangeArrowheads="1"/>
        </xdr:cNvSpPr>
      </xdr:nvSpPr>
      <xdr:spPr bwMode="auto">
        <a:xfrm flipV="1">
          <a:off x="9267825" y="469062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xdr:from>
      <xdr:col>1</xdr:col>
      <xdr:colOff>0</xdr:colOff>
      <xdr:row>230</xdr:row>
      <xdr:rowOff>76199</xdr:rowOff>
    </xdr:from>
    <xdr:to>
      <xdr:col>8</xdr:col>
      <xdr:colOff>0</xdr:colOff>
      <xdr:row>234</xdr:row>
      <xdr:rowOff>0</xdr:rowOff>
    </xdr:to>
    <xdr:graphicFrame macro="">
      <xdr:nvGraphicFramePr>
        <xdr:cNvPr id="62" name="Chart 13">
          <a:extLst>
            <a:ext uri="{FF2B5EF4-FFF2-40B4-BE49-F238E27FC236}">
              <a16:creationId xmlns:a16="http://schemas.microsoft.com/office/drawing/2014/main" id="{00000000-0008-0000-16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495299</xdr:colOff>
      <xdr:row>203</xdr:row>
      <xdr:rowOff>95250</xdr:rowOff>
    </xdr:from>
    <xdr:to>
      <xdr:col>19</xdr:col>
      <xdr:colOff>514349</xdr:colOff>
      <xdr:row>234</xdr:row>
      <xdr:rowOff>0</xdr:rowOff>
    </xdr:to>
    <xdr:graphicFrame macro="">
      <xdr:nvGraphicFramePr>
        <xdr:cNvPr id="63" name="Chart 13">
          <a:extLst>
            <a:ext uri="{FF2B5EF4-FFF2-40B4-BE49-F238E27FC236}">
              <a16:creationId xmlns:a16="http://schemas.microsoft.com/office/drawing/2014/main" id="{00000000-0008-0000-16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68" name="Oval 2165">
          <a:extLst>
            <a:ext uri="{FF2B5EF4-FFF2-40B4-BE49-F238E27FC236}">
              <a16:creationId xmlns:a16="http://schemas.microsoft.com/office/drawing/2014/main" id="{00000000-0008-0000-1600-000044000000}"/>
            </a:ext>
          </a:extLst>
        </xdr:cNvPr>
        <xdr:cNvSpPr>
          <a:spLocks noChangeArrowheads="1"/>
        </xdr:cNvSpPr>
      </xdr:nvSpPr>
      <xdr:spPr bwMode="auto">
        <a:xfrm>
          <a:off x="4895850" y="11382375"/>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60</xdr:row>
      <xdr:rowOff>85725</xdr:rowOff>
    </xdr:from>
    <xdr:to>
      <xdr:col>10</xdr:col>
      <xdr:colOff>417150</xdr:colOff>
      <xdr:row>60</xdr:row>
      <xdr:rowOff>85725</xdr:rowOff>
    </xdr:to>
    <xdr:sp macro="" textlink="">
      <xdr:nvSpPr>
        <xdr:cNvPr id="69" name="Line 283">
          <a:extLst>
            <a:ext uri="{FF2B5EF4-FFF2-40B4-BE49-F238E27FC236}">
              <a16:creationId xmlns:a16="http://schemas.microsoft.com/office/drawing/2014/main" id="{00000000-0008-0000-1600-000045000000}"/>
            </a:ext>
          </a:extLst>
        </xdr:cNvPr>
        <xdr:cNvSpPr>
          <a:spLocks noChangeShapeType="1"/>
        </xdr:cNvSpPr>
      </xdr:nvSpPr>
      <xdr:spPr bwMode="auto">
        <a:xfrm>
          <a:off x="4772025" y="11249025"/>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161925</xdr:colOff>
      <xdr:row>60</xdr:row>
      <xdr:rowOff>47625</xdr:rowOff>
    </xdr:from>
    <xdr:to>
      <xdr:col>15</xdr:col>
      <xdr:colOff>238125</xdr:colOff>
      <xdr:row>60</xdr:row>
      <xdr:rowOff>123825</xdr:rowOff>
    </xdr:to>
    <xdr:sp macro="" textlink="">
      <xdr:nvSpPr>
        <xdr:cNvPr id="70" name="Oval 2164">
          <a:extLst>
            <a:ext uri="{FF2B5EF4-FFF2-40B4-BE49-F238E27FC236}">
              <a16:creationId xmlns:a16="http://schemas.microsoft.com/office/drawing/2014/main" id="{00000000-0008-0000-1600-000046000000}"/>
            </a:ext>
          </a:extLst>
        </xdr:cNvPr>
        <xdr:cNvSpPr>
          <a:spLocks noChangeArrowheads="1"/>
        </xdr:cNvSpPr>
      </xdr:nvSpPr>
      <xdr:spPr bwMode="auto">
        <a:xfrm>
          <a:off x="7200900" y="110109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61</xdr:row>
      <xdr:rowOff>85724</xdr:rowOff>
    </xdr:from>
    <xdr:to>
      <xdr:col>15</xdr:col>
      <xdr:colOff>354675</xdr:colOff>
      <xdr:row>61</xdr:row>
      <xdr:rowOff>85724</xdr:rowOff>
    </xdr:to>
    <xdr:sp macro="" textlink="">
      <xdr:nvSpPr>
        <xdr:cNvPr id="71" name="Line 283">
          <a:extLst>
            <a:ext uri="{FF2B5EF4-FFF2-40B4-BE49-F238E27FC236}">
              <a16:creationId xmlns:a16="http://schemas.microsoft.com/office/drawing/2014/main" id="{00000000-0008-0000-1600-000047000000}"/>
            </a:ext>
          </a:extLst>
        </xdr:cNvPr>
        <xdr:cNvSpPr>
          <a:spLocks noChangeShapeType="1"/>
        </xdr:cNvSpPr>
      </xdr:nvSpPr>
      <xdr:spPr bwMode="auto">
        <a:xfrm>
          <a:off x="7105650" y="11229974"/>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36</xdr:row>
      <xdr:rowOff>0</xdr:rowOff>
    </xdr:from>
    <xdr:to>
      <xdr:col>20</xdr:col>
      <xdr:colOff>0</xdr:colOff>
      <xdr:row>60</xdr:row>
      <xdr:rowOff>0</xdr:rowOff>
    </xdr:to>
    <xdr:graphicFrame macro="">
      <xdr:nvGraphicFramePr>
        <xdr:cNvPr id="72" name="Chart 176">
          <a:extLst>
            <a:ext uri="{FF2B5EF4-FFF2-40B4-BE49-F238E27FC236}">
              <a16:creationId xmlns:a16="http://schemas.microsoft.com/office/drawing/2014/main" id="{00000000-0008-0000-16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1</xdr:col>
      <xdr:colOff>0</xdr:colOff>
      <xdr:row>337</xdr:row>
      <xdr:rowOff>0</xdr:rowOff>
    </xdr:from>
    <xdr:to>
      <xdr:col>19</xdr:col>
      <xdr:colOff>133350</xdr:colOff>
      <xdr:row>372</xdr:row>
      <xdr:rowOff>47625</xdr:rowOff>
    </xdr:to>
    <xdr:grpSp>
      <xdr:nvGrpSpPr>
        <xdr:cNvPr id="41" name="Group 40">
          <a:extLst>
            <a:ext uri="{FF2B5EF4-FFF2-40B4-BE49-F238E27FC236}">
              <a16:creationId xmlns:a16="http://schemas.microsoft.com/office/drawing/2014/main" id="{2DBCED41-3273-4ABE-9318-7BF3CA8836D3}"/>
            </a:ext>
          </a:extLst>
        </xdr:cNvPr>
        <xdr:cNvGrpSpPr/>
      </xdr:nvGrpSpPr>
      <xdr:grpSpPr>
        <a:xfrm>
          <a:off x="140208" y="58969656"/>
          <a:ext cx="8950452" cy="4899660"/>
          <a:chOff x="95250" y="95250"/>
          <a:chExt cx="7534275" cy="5048250"/>
        </a:xfrm>
      </xdr:grpSpPr>
      <xdr:sp macro="" textlink="">
        <xdr:nvSpPr>
          <xdr:cNvPr id="49" name="Rectangle 48">
            <a:extLst>
              <a:ext uri="{FF2B5EF4-FFF2-40B4-BE49-F238E27FC236}">
                <a16:creationId xmlns:a16="http://schemas.microsoft.com/office/drawing/2014/main" id="{A7F959A9-7987-E3E4-B4F4-35D7690B99BA}"/>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51" name="Rectangle: Rounded Corners 50">
            <a:hlinkClick xmlns:r="http://schemas.openxmlformats.org/officeDocument/2006/relationships" r:id="rId22"/>
            <a:extLst>
              <a:ext uri="{FF2B5EF4-FFF2-40B4-BE49-F238E27FC236}">
                <a16:creationId xmlns:a16="http://schemas.microsoft.com/office/drawing/2014/main" id="{935504A3-EF0D-8000-162A-D50F9A9432B1}"/>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64" name="Rectangle: Rounded Corners 63">
            <a:hlinkClick xmlns:r="http://schemas.openxmlformats.org/officeDocument/2006/relationships" r:id="rId23"/>
            <a:extLst>
              <a:ext uri="{FF2B5EF4-FFF2-40B4-BE49-F238E27FC236}">
                <a16:creationId xmlns:a16="http://schemas.microsoft.com/office/drawing/2014/main" id="{A4C581E2-4D77-B19E-2045-357CD71A6445}"/>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65" name="Rectangle: Rounded Corners 64">
            <a:hlinkClick xmlns:r="http://schemas.openxmlformats.org/officeDocument/2006/relationships" r:id="rId24"/>
            <a:extLst>
              <a:ext uri="{FF2B5EF4-FFF2-40B4-BE49-F238E27FC236}">
                <a16:creationId xmlns:a16="http://schemas.microsoft.com/office/drawing/2014/main" id="{60CB993E-A0B7-9C55-8DDD-8A195E9EAC21}"/>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66" name="Rectangle: Rounded Corners 65">
            <a:hlinkClick xmlns:r="http://schemas.openxmlformats.org/officeDocument/2006/relationships" r:id="rId25"/>
            <a:extLst>
              <a:ext uri="{FF2B5EF4-FFF2-40B4-BE49-F238E27FC236}">
                <a16:creationId xmlns:a16="http://schemas.microsoft.com/office/drawing/2014/main" id="{32BB34B5-EDB2-E9D6-207E-8260B6F2C091}"/>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67" name="Rectangle: Rounded Corners 66">
            <a:hlinkClick xmlns:r="http://schemas.openxmlformats.org/officeDocument/2006/relationships" r:id="rId26"/>
            <a:extLst>
              <a:ext uri="{FF2B5EF4-FFF2-40B4-BE49-F238E27FC236}">
                <a16:creationId xmlns:a16="http://schemas.microsoft.com/office/drawing/2014/main" id="{90DC9AE2-D59E-C634-5232-B1DE22E3E86B}"/>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73" name="Rectangle: Rounded Corners 72">
            <a:hlinkClick xmlns:r="http://schemas.openxmlformats.org/officeDocument/2006/relationships" r:id="rId27"/>
            <a:extLst>
              <a:ext uri="{FF2B5EF4-FFF2-40B4-BE49-F238E27FC236}">
                <a16:creationId xmlns:a16="http://schemas.microsoft.com/office/drawing/2014/main" id="{1ED9DEDB-E80F-8BE0-FBE3-9E11D1E5D792}"/>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74" name="Rectangle: Rounded Corners 73">
            <a:hlinkClick xmlns:r="http://schemas.openxmlformats.org/officeDocument/2006/relationships" r:id="rId28"/>
            <a:extLst>
              <a:ext uri="{FF2B5EF4-FFF2-40B4-BE49-F238E27FC236}">
                <a16:creationId xmlns:a16="http://schemas.microsoft.com/office/drawing/2014/main" id="{4C45331E-8C69-65A2-9A53-98AE1F051CCF}"/>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75" name="Rectangle: Rounded Corners 74">
            <a:hlinkClick xmlns:r="http://schemas.openxmlformats.org/officeDocument/2006/relationships" r:id="rId29"/>
            <a:extLst>
              <a:ext uri="{FF2B5EF4-FFF2-40B4-BE49-F238E27FC236}">
                <a16:creationId xmlns:a16="http://schemas.microsoft.com/office/drawing/2014/main" id="{26A92A29-CCF7-1052-0B60-119C2DC3F368}"/>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76" name="Rectangle: Rounded Corners 75">
            <a:hlinkClick xmlns:r="http://schemas.openxmlformats.org/officeDocument/2006/relationships" r:id="rId30"/>
            <a:extLst>
              <a:ext uri="{FF2B5EF4-FFF2-40B4-BE49-F238E27FC236}">
                <a16:creationId xmlns:a16="http://schemas.microsoft.com/office/drawing/2014/main" id="{6CB019DB-A601-3626-0FC3-9A5EFC772548}"/>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77" name="Group 76">
            <a:hlinkClick xmlns:r="http://schemas.openxmlformats.org/officeDocument/2006/relationships" r:id="rId31"/>
            <a:extLst>
              <a:ext uri="{FF2B5EF4-FFF2-40B4-BE49-F238E27FC236}">
                <a16:creationId xmlns:a16="http://schemas.microsoft.com/office/drawing/2014/main" id="{5A40D0B7-CE83-F22A-9065-158B092927FC}"/>
              </a:ext>
            </a:extLst>
          </xdr:cNvPr>
          <xdr:cNvGrpSpPr/>
        </xdr:nvGrpSpPr>
        <xdr:grpSpPr>
          <a:xfrm>
            <a:off x="190500" y="723900"/>
            <a:ext cx="1695450" cy="723900"/>
            <a:chOff x="190500" y="180975"/>
            <a:chExt cx="1800225" cy="723900"/>
          </a:xfrm>
        </xdr:grpSpPr>
        <xdr:sp macro="" textlink="">
          <xdr:nvSpPr>
            <xdr:cNvPr id="89" name="Rectangle: Rounded Corners 88">
              <a:hlinkClick xmlns:r="http://schemas.openxmlformats.org/officeDocument/2006/relationships" r:id="rId31"/>
              <a:extLst>
                <a:ext uri="{FF2B5EF4-FFF2-40B4-BE49-F238E27FC236}">
                  <a16:creationId xmlns:a16="http://schemas.microsoft.com/office/drawing/2014/main" id="{4F599375-2D38-5B23-3558-E0097C2EC86B}"/>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90" name="Picture 89">
              <a:extLst>
                <a:ext uri="{FF2B5EF4-FFF2-40B4-BE49-F238E27FC236}">
                  <a16:creationId xmlns:a16="http://schemas.microsoft.com/office/drawing/2014/main" id="{3DD4A63D-0052-0D98-2BE8-76B5451FAC7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78" name="Rectangle: Rounded Corners 77">
            <a:hlinkClick xmlns:r="http://schemas.openxmlformats.org/officeDocument/2006/relationships" r:id="rId33"/>
            <a:extLst>
              <a:ext uri="{FF2B5EF4-FFF2-40B4-BE49-F238E27FC236}">
                <a16:creationId xmlns:a16="http://schemas.microsoft.com/office/drawing/2014/main" id="{EE987004-31B9-7DF6-7725-55D626D63F06}"/>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79" name="Rectangle: Rounded Corners 78">
            <a:hlinkClick xmlns:r="http://schemas.openxmlformats.org/officeDocument/2006/relationships" r:id="rId34"/>
            <a:extLst>
              <a:ext uri="{FF2B5EF4-FFF2-40B4-BE49-F238E27FC236}">
                <a16:creationId xmlns:a16="http://schemas.microsoft.com/office/drawing/2014/main" id="{0DC0F9BB-7C58-E809-A6CA-5F665CC84BBB}"/>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80" name="Rectangle: Rounded Corners 79">
            <a:hlinkClick xmlns:r="http://schemas.openxmlformats.org/officeDocument/2006/relationships" r:id="rId35"/>
            <a:extLst>
              <a:ext uri="{FF2B5EF4-FFF2-40B4-BE49-F238E27FC236}">
                <a16:creationId xmlns:a16="http://schemas.microsoft.com/office/drawing/2014/main" id="{C10EE771-A1CD-139E-FF29-D4232BAD5AB5}"/>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81" name="Rectangle: Rounded Corners 80">
            <a:hlinkClick xmlns:r="http://schemas.openxmlformats.org/officeDocument/2006/relationships" r:id="rId36"/>
            <a:extLst>
              <a:ext uri="{FF2B5EF4-FFF2-40B4-BE49-F238E27FC236}">
                <a16:creationId xmlns:a16="http://schemas.microsoft.com/office/drawing/2014/main" id="{C2BC058C-08A4-2DF0-F9DA-4E583CA3BCCB}"/>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82" name="Rectangle: Rounded Corners 81">
            <a:hlinkClick xmlns:r="http://schemas.openxmlformats.org/officeDocument/2006/relationships" r:id="rId37"/>
            <a:extLst>
              <a:ext uri="{FF2B5EF4-FFF2-40B4-BE49-F238E27FC236}">
                <a16:creationId xmlns:a16="http://schemas.microsoft.com/office/drawing/2014/main" id="{679FF148-F4B3-F558-6CF7-9C5C17BF9DEB}"/>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83" name="Rectangle: Rounded Corners 82">
            <a:hlinkClick xmlns:r="http://schemas.openxmlformats.org/officeDocument/2006/relationships" r:id="rId38"/>
            <a:extLst>
              <a:ext uri="{FF2B5EF4-FFF2-40B4-BE49-F238E27FC236}">
                <a16:creationId xmlns:a16="http://schemas.microsoft.com/office/drawing/2014/main" id="{379B31B9-C94A-9362-9C73-2F49B6384483}"/>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84" name="Rectangle: Rounded Corners 83">
            <a:hlinkClick xmlns:r="http://schemas.openxmlformats.org/officeDocument/2006/relationships" r:id="rId39"/>
            <a:extLst>
              <a:ext uri="{FF2B5EF4-FFF2-40B4-BE49-F238E27FC236}">
                <a16:creationId xmlns:a16="http://schemas.microsoft.com/office/drawing/2014/main" id="{8EEADF80-45A3-48BA-E968-814FCC2CC4EF}"/>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85" name="Rectangle: Rounded Corners 84">
            <a:hlinkClick xmlns:r="http://schemas.openxmlformats.org/officeDocument/2006/relationships" r:id="rId40"/>
            <a:extLst>
              <a:ext uri="{FF2B5EF4-FFF2-40B4-BE49-F238E27FC236}">
                <a16:creationId xmlns:a16="http://schemas.microsoft.com/office/drawing/2014/main" id="{E7C2D896-1413-C001-7B9F-6A8DC346F542}"/>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86" name="Rectangle: Rounded Corners 85">
            <a:hlinkClick xmlns:r="http://schemas.openxmlformats.org/officeDocument/2006/relationships" r:id="rId41"/>
            <a:extLst>
              <a:ext uri="{FF2B5EF4-FFF2-40B4-BE49-F238E27FC236}">
                <a16:creationId xmlns:a16="http://schemas.microsoft.com/office/drawing/2014/main" id="{A1DF6FBB-DC1E-7D89-625E-FE5C2F1FC2E2}"/>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87" name="Rectangle: Rounded Corners 86">
            <a:hlinkClick xmlns:r="http://schemas.openxmlformats.org/officeDocument/2006/relationships" r:id="rId42"/>
            <a:extLst>
              <a:ext uri="{FF2B5EF4-FFF2-40B4-BE49-F238E27FC236}">
                <a16:creationId xmlns:a16="http://schemas.microsoft.com/office/drawing/2014/main" id="{32458F48-7C4D-D455-E24D-89FF19D099AD}"/>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88" name="TextBox 87">
            <a:extLst>
              <a:ext uri="{FF2B5EF4-FFF2-40B4-BE49-F238E27FC236}">
                <a16:creationId xmlns:a16="http://schemas.microsoft.com/office/drawing/2014/main" id="{5A95B451-DF07-0257-DD2E-462303DE051C}"/>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91" name="Group 90">
          <a:hlinkClick xmlns:r="http://schemas.openxmlformats.org/officeDocument/2006/relationships" r:id="rId31"/>
          <a:extLst>
            <a:ext uri="{FF2B5EF4-FFF2-40B4-BE49-F238E27FC236}">
              <a16:creationId xmlns:a16="http://schemas.microsoft.com/office/drawing/2014/main" id="{D3149EF2-A280-406A-8CFD-47447762F5B3}"/>
            </a:ext>
          </a:extLst>
        </xdr:cNvPr>
        <xdr:cNvGrpSpPr/>
      </xdr:nvGrpSpPr>
      <xdr:grpSpPr>
        <a:xfrm>
          <a:off x="9691116" y="0"/>
          <a:ext cx="411480" cy="1685544"/>
          <a:chOff x="9210675" y="19050"/>
          <a:chExt cx="390525" cy="1743075"/>
        </a:xfrm>
      </xdr:grpSpPr>
      <xdr:pic>
        <xdr:nvPicPr>
          <xdr:cNvPr id="92" name="Graphic 91" descr="Map compass with solid fill">
            <a:hlinkClick xmlns:r="http://schemas.openxmlformats.org/officeDocument/2006/relationships" r:id="rId43"/>
            <a:extLst>
              <a:ext uri="{FF2B5EF4-FFF2-40B4-BE49-F238E27FC236}">
                <a16:creationId xmlns:a16="http://schemas.microsoft.com/office/drawing/2014/main" id="{B9CB7E8A-5619-04EE-EC2D-BE799B12EA66}"/>
              </a:ext>
            </a:extLst>
          </xdr:cNvPr>
          <xdr:cNvPicPr>
            <a:picLocks noChangeAspect="1"/>
          </xdr:cNvPicPr>
        </xdr:nvPicPr>
        <xdr:blipFill>
          <a:blip xmlns:r="http://schemas.openxmlformats.org/officeDocument/2006/relationships" r:embed="rId44">
            <a:duotone>
              <a:schemeClr val="accent6">
                <a:shade val="45000"/>
                <a:satMod val="135000"/>
              </a:schemeClr>
              <a:prstClr val="white"/>
            </a:duotone>
            <a:extLst>
              <a:ext uri="{96DAC541-7B7A-43D3-8B79-37D633B846F1}">
                <asvg:svgBlip xmlns:asvg="http://schemas.microsoft.com/office/drawing/2016/SVG/main" r:embed="rId45"/>
              </a:ext>
            </a:extLst>
          </a:blip>
          <a:stretch>
            <a:fillRect/>
          </a:stretch>
        </xdr:blipFill>
        <xdr:spPr>
          <a:xfrm>
            <a:off x="9229725" y="38099"/>
            <a:ext cx="369675" cy="369675"/>
          </a:xfrm>
          <a:prstGeom prst="rect">
            <a:avLst/>
          </a:prstGeom>
        </xdr:spPr>
      </xdr:pic>
      <xdr:sp macro="" textlink="">
        <xdr:nvSpPr>
          <xdr:cNvPr id="93" name="Right Arrow 50">
            <a:hlinkClick xmlns:r="http://schemas.openxmlformats.org/officeDocument/2006/relationships" r:id="rId41"/>
            <a:extLst>
              <a:ext uri="{FF2B5EF4-FFF2-40B4-BE49-F238E27FC236}">
                <a16:creationId xmlns:a16="http://schemas.microsoft.com/office/drawing/2014/main" id="{5F20DAEF-7F08-4FA5-0FD7-4B9613743C22}"/>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94" name="Right Arrow 50">
            <a:hlinkClick xmlns:r="http://schemas.openxmlformats.org/officeDocument/2006/relationships" r:id="rId39"/>
            <a:extLst>
              <a:ext uri="{FF2B5EF4-FFF2-40B4-BE49-F238E27FC236}">
                <a16:creationId xmlns:a16="http://schemas.microsoft.com/office/drawing/2014/main" id="{379D5BDE-E997-FC31-6EE6-99E54AB59F4C}"/>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95" name="Picture 94">
            <a:hlinkClick xmlns:r="http://schemas.openxmlformats.org/officeDocument/2006/relationships" r:id="rId31"/>
            <a:extLst>
              <a:ext uri="{FF2B5EF4-FFF2-40B4-BE49-F238E27FC236}">
                <a16:creationId xmlns:a16="http://schemas.microsoft.com/office/drawing/2014/main" id="{E6E7089A-EFA0-4094-0C97-472DA93218B8}"/>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96" name="Rectangle 95">
            <a:extLst>
              <a:ext uri="{FF2B5EF4-FFF2-40B4-BE49-F238E27FC236}">
                <a16:creationId xmlns:a16="http://schemas.microsoft.com/office/drawing/2014/main" id="{202867BA-315F-9376-5E50-01347A421D00}"/>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4" name="Down Arrow 44">
          <a:hlinkClick xmlns:r="http://schemas.openxmlformats.org/officeDocument/2006/relationships" r:id="rId35"/>
          <a:extLst>
            <a:ext uri="{FF2B5EF4-FFF2-40B4-BE49-F238E27FC236}">
              <a16:creationId xmlns:a16="http://schemas.microsoft.com/office/drawing/2014/main" id="{3C011586-0452-4DA1-97DA-59453BCC72A3}"/>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5" name="Down Arrow 44">
          <a:hlinkClick xmlns:r="http://schemas.openxmlformats.org/officeDocument/2006/relationships" r:id="rId35"/>
          <a:extLst>
            <a:ext uri="{FF2B5EF4-FFF2-40B4-BE49-F238E27FC236}">
              <a16:creationId xmlns:a16="http://schemas.microsoft.com/office/drawing/2014/main" id="{B2C03B9E-1D39-47F7-B8CB-57791498465E}"/>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101</xdr:row>
      <xdr:rowOff>0</xdr:rowOff>
    </xdr:from>
    <xdr:ext cx="252000" cy="288000"/>
    <xdr:sp macro="" textlink="">
      <xdr:nvSpPr>
        <xdr:cNvPr id="7" name="Down Arrow 44">
          <a:hlinkClick xmlns:r="http://schemas.openxmlformats.org/officeDocument/2006/relationships" r:id="rId35"/>
          <a:extLst>
            <a:ext uri="{FF2B5EF4-FFF2-40B4-BE49-F238E27FC236}">
              <a16:creationId xmlns:a16="http://schemas.microsoft.com/office/drawing/2014/main" id="{CC46B1D8-E863-44AB-839F-BDC35B76A61D}"/>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134</xdr:row>
      <xdr:rowOff>0</xdr:rowOff>
    </xdr:from>
    <xdr:ext cx="252000" cy="288000"/>
    <xdr:sp macro="" textlink="">
      <xdr:nvSpPr>
        <xdr:cNvPr id="10" name="Down Arrow 44">
          <a:hlinkClick xmlns:r="http://schemas.openxmlformats.org/officeDocument/2006/relationships" r:id="rId35"/>
          <a:extLst>
            <a:ext uri="{FF2B5EF4-FFF2-40B4-BE49-F238E27FC236}">
              <a16:creationId xmlns:a16="http://schemas.microsoft.com/office/drawing/2014/main" id="{5D4E99F7-6B84-4074-BE84-C705E1B4B84F}"/>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167</xdr:row>
      <xdr:rowOff>0</xdr:rowOff>
    </xdr:from>
    <xdr:ext cx="252000" cy="288000"/>
    <xdr:sp macro="" textlink="">
      <xdr:nvSpPr>
        <xdr:cNvPr id="11" name="Down Arrow 44">
          <a:hlinkClick xmlns:r="http://schemas.openxmlformats.org/officeDocument/2006/relationships" r:id="rId35"/>
          <a:extLst>
            <a:ext uri="{FF2B5EF4-FFF2-40B4-BE49-F238E27FC236}">
              <a16:creationId xmlns:a16="http://schemas.microsoft.com/office/drawing/2014/main" id="{795130BA-B3D3-46CE-B967-48C8AE99C3C5}"/>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200</xdr:row>
      <xdr:rowOff>0</xdr:rowOff>
    </xdr:from>
    <xdr:ext cx="252000" cy="288000"/>
    <xdr:sp macro="" textlink="">
      <xdr:nvSpPr>
        <xdr:cNvPr id="12" name="Down Arrow 44">
          <a:hlinkClick xmlns:r="http://schemas.openxmlformats.org/officeDocument/2006/relationships" r:id="rId35"/>
          <a:extLst>
            <a:ext uri="{FF2B5EF4-FFF2-40B4-BE49-F238E27FC236}">
              <a16:creationId xmlns:a16="http://schemas.microsoft.com/office/drawing/2014/main" id="{F24CBAF5-53E9-4DFC-99DC-5D40234F4AE6}"/>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268</xdr:row>
      <xdr:rowOff>0</xdr:rowOff>
    </xdr:from>
    <xdr:ext cx="252000" cy="288000"/>
    <xdr:sp macro="" textlink="">
      <xdr:nvSpPr>
        <xdr:cNvPr id="13" name="Down Arrow 44">
          <a:hlinkClick xmlns:r="http://schemas.openxmlformats.org/officeDocument/2006/relationships" r:id="rId35"/>
          <a:extLst>
            <a:ext uri="{FF2B5EF4-FFF2-40B4-BE49-F238E27FC236}">
              <a16:creationId xmlns:a16="http://schemas.microsoft.com/office/drawing/2014/main" id="{9F97C902-3538-4661-87BB-E49A0EC484BE}"/>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301</xdr:row>
      <xdr:rowOff>0</xdr:rowOff>
    </xdr:from>
    <xdr:ext cx="252000" cy="288000"/>
    <xdr:sp macro="" textlink="">
      <xdr:nvSpPr>
        <xdr:cNvPr id="14" name="Down Arrow 44">
          <a:hlinkClick xmlns:r="http://schemas.openxmlformats.org/officeDocument/2006/relationships" r:id="rId35"/>
          <a:extLst>
            <a:ext uri="{FF2B5EF4-FFF2-40B4-BE49-F238E27FC236}">
              <a16:creationId xmlns:a16="http://schemas.microsoft.com/office/drawing/2014/main" id="{4A3C9657-AD4D-42AB-8D1F-69D68DD386C2}"/>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334</xdr:row>
      <xdr:rowOff>0</xdr:rowOff>
    </xdr:from>
    <xdr:ext cx="252000" cy="288000"/>
    <xdr:sp macro="" textlink="">
      <xdr:nvSpPr>
        <xdr:cNvPr id="15" name="Down Arrow 44">
          <a:hlinkClick xmlns:r="http://schemas.openxmlformats.org/officeDocument/2006/relationships" r:id="rId35"/>
          <a:extLst>
            <a:ext uri="{FF2B5EF4-FFF2-40B4-BE49-F238E27FC236}">
              <a16:creationId xmlns:a16="http://schemas.microsoft.com/office/drawing/2014/main" id="{53E506F5-7515-45AB-9677-9D2278AC449C}"/>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19.xml><?xml version="1.0" encoding="utf-8"?>
<xdr:wsDr xmlns:xdr="http://schemas.openxmlformats.org/drawingml/2006/spreadsheetDrawing" xmlns:a="http://schemas.openxmlformats.org/drawingml/2006/main">
  <xdr:twoCellAnchor>
    <xdr:from>
      <xdr:col>1</xdr:col>
      <xdr:colOff>1</xdr:colOff>
      <xdr:row>36</xdr:row>
      <xdr:rowOff>1</xdr:rowOff>
    </xdr:from>
    <xdr:to>
      <xdr:col>10</xdr:col>
      <xdr:colOff>0</xdr:colOff>
      <xdr:row>65</xdr:row>
      <xdr:rowOff>0</xdr:rowOff>
    </xdr:to>
    <xdr:graphicFrame macro="">
      <xdr:nvGraphicFramePr>
        <xdr:cNvPr id="5" name="Chart 13">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419098</xdr:colOff>
      <xdr:row>0</xdr:row>
      <xdr:rowOff>85725</xdr:rowOff>
    </xdr:from>
    <xdr:to>
      <xdr:col>20</xdr:col>
      <xdr:colOff>54973</xdr:colOff>
      <xdr:row>2</xdr:row>
      <xdr:rowOff>149475</xdr:rowOff>
    </xdr:to>
    <xdr:sp macro="" textlink="">
      <xdr:nvSpPr>
        <xdr:cNvPr id="7" name="AutoShape 32">
          <a:extLst>
            <a:ext uri="{FF2B5EF4-FFF2-40B4-BE49-F238E27FC236}">
              <a16:creationId xmlns:a16="http://schemas.microsoft.com/office/drawing/2014/main" id="{00000000-0008-0000-1700-000007000000}"/>
            </a:ext>
          </a:extLst>
        </xdr:cNvPr>
        <xdr:cNvSpPr>
          <a:spLocks noChangeArrowheads="1"/>
        </xdr:cNvSpPr>
      </xdr:nvSpPr>
      <xdr:spPr bwMode="auto">
        <a:xfrm>
          <a:off x="6953248"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mc:AlternateContent xmlns:mc="http://schemas.openxmlformats.org/markup-compatibility/2006">
    <mc:Choice xmlns:a14="http://schemas.microsoft.com/office/drawing/2010/main" Requires="a14">
      <xdr:twoCellAnchor editAs="absolute">
        <xdr:from>
          <xdr:col>22</xdr:col>
          <xdr:colOff>85725</xdr:colOff>
          <xdr:row>36</xdr:row>
          <xdr:rowOff>28575</xdr:rowOff>
        </xdr:from>
        <xdr:to>
          <xdr:col>35</xdr:col>
          <xdr:colOff>57150</xdr:colOff>
          <xdr:row>38</xdr:row>
          <xdr:rowOff>9525</xdr:rowOff>
        </xdr:to>
        <xdr:sp macro="" textlink="">
          <xdr:nvSpPr>
            <xdr:cNvPr id="167937" name="Check Box 1" hidden="1">
              <a:extLst>
                <a:ext uri="{63B3BB69-23CF-44E3-9099-C40C66FF867C}">
                  <a14:compatExt spid="_x0000_s167937"/>
                </a:ext>
                <a:ext uri="{FF2B5EF4-FFF2-40B4-BE49-F238E27FC236}">
                  <a16:creationId xmlns:a16="http://schemas.microsoft.com/office/drawing/2014/main" id="{00000000-0008-0000-1900-000001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37</xdr:row>
          <xdr:rowOff>152400</xdr:rowOff>
        </xdr:from>
        <xdr:to>
          <xdr:col>35</xdr:col>
          <xdr:colOff>57150</xdr:colOff>
          <xdr:row>39</xdr:row>
          <xdr:rowOff>9525</xdr:rowOff>
        </xdr:to>
        <xdr:sp macro="" textlink="">
          <xdr:nvSpPr>
            <xdr:cNvPr id="167938" name="Check Box 2" hidden="1">
              <a:extLst>
                <a:ext uri="{63B3BB69-23CF-44E3-9099-C40C66FF867C}">
                  <a14:compatExt spid="_x0000_s167938"/>
                </a:ext>
                <a:ext uri="{FF2B5EF4-FFF2-40B4-BE49-F238E27FC236}">
                  <a16:creationId xmlns:a16="http://schemas.microsoft.com/office/drawing/2014/main" id="{00000000-0008-0000-1900-000002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38</xdr:row>
          <xdr:rowOff>152400</xdr:rowOff>
        </xdr:from>
        <xdr:to>
          <xdr:col>35</xdr:col>
          <xdr:colOff>57150</xdr:colOff>
          <xdr:row>40</xdr:row>
          <xdr:rowOff>9525</xdr:rowOff>
        </xdr:to>
        <xdr:sp macro="" textlink="">
          <xdr:nvSpPr>
            <xdr:cNvPr id="167939" name="Check Box 3" hidden="1">
              <a:extLst>
                <a:ext uri="{63B3BB69-23CF-44E3-9099-C40C66FF867C}">
                  <a14:compatExt spid="_x0000_s167939"/>
                </a:ext>
                <a:ext uri="{FF2B5EF4-FFF2-40B4-BE49-F238E27FC236}">
                  <a16:creationId xmlns:a16="http://schemas.microsoft.com/office/drawing/2014/main" id="{00000000-0008-0000-1900-000003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39</xdr:row>
          <xdr:rowOff>152400</xdr:rowOff>
        </xdr:from>
        <xdr:to>
          <xdr:col>35</xdr:col>
          <xdr:colOff>57150</xdr:colOff>
          <xdr:row>41</xdr:row>
          <xdr:rowOff>9525</xdr:rowOff>
        </xdr:to>
        <xdr:sp macro="" textlink="">
          <xdr:nvSpPr>
            <xdr:cNvPr id="167940" name="Check Box 4" hidden="1">
              <a:extLst>
                <a:ext uri="{63B3BB69-23CF-44E3-9099-C40C66FF867C}">
                  <a14:compatExt spid="_x0000_s167940"/>
                </a:ext>
                <a:ext uri="{FF2B5EF4-FFF2-40B4-BE49-F238E27FC236}">
                  <a16:creationId xmlns:a16="http://schemas.microsoft.com/office/drawing/2014/main" id="{00000000-0008-0000-1900-000004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40</xdr:row>
          <xdr:rowOff>152400</xdr:rowOff>
        </xdr:from>
        <xdr:to>
          <xdr:col>35</xdr:col>
          <xdr:colOff>57150</xdr:colOff>
          <xdr:row>42</xdr:row>
          <xdr:rowOff>9525</xdr:rowOff>
        </xdr:to>
        <xdr:sp macro="" textlink="">
          <xdr:nvSpPr>
            <xdr:cNvPr id="167941" name="Check Box 5" hidden="1">
              <a:extLst>
                <a:ext uri="{63B3BB69-23CF-44E3-9099-C40C66FF867C}">
                  <a14:compatExt spid="_x0000_s167941"/>
                </a:ext>
                <a:ext uri="{FF2B5EF4-FFF2-40B4-BE49-F238E27FC236}">
                  <a16:creationId xmlns:a16="http://schemas.microsoft.com/office/drawing/2014/main" id="{00000000-0008-0000-1900-000005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41</xdr:row>
          <xdr:rowOff>152400</xdr:rowOff>
        </xdr:from>
        <xdr:to>
          <xdr:col>35</xdr:col>
          <xdr:colOff>57150</xdr:colOff>
          <xdr:row>43</xdr:row>
          <xdr:rowOff>9525</xdr:rowOff>
        </xdr:to>
        <xdr:sp macro="" textlink="">
          <xdr:nvSpPr>
            <xdr:cNvPr id="167942" name="Check Box 6" hidden="1">
              <a:extLst>
                <a:ext uri="{63B3BB69-23CF-44E3-9099-C40C66FF867C}">
                  <a14:compatExt spid="_x0000_s167942"/>
                </a:ext>
                <a:ext uri="{FF2B5EF4-FFF2-40B4-BE49-F238E27FC236}">
                  <a16:creationId xmlns:a16="http://schemas.microsoft.com/office/drawing/2014/main" id="{00000000-0008-0000-1900-000006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42</xdr:row>
          <xdr:rowOff>152400</xdr:rowOff>
        </xdr:from>
        <xdr:to>
          <xdr:col>35</xdr:col>
          <xdr:colOff>57150</xdr:colOff>
          <xdr:row>44</xdr:row>
          <xdr:rowOff>9525</xdr:rowOff>
        </xdr:to>
        <xdr:sp macro="" textlink="">
          <xdr:nvSpPr>
            <xdr:cNvPr id="167943" name="Check Box 7" hidden="1">
              <a:extLst>
                <a:ext uri="{63B3BB69-23CF-44E3-9099-C40C66FF867C}">
                  <a14:compatExt spid="_x0000_s167943"/>
                </a:ext>
                <a:ext uri="{FF2B5EF4-FFF2-40B4-BE49-F238E27FC236}">
                  <a16:creationId xmlns:a16="http://schemas.microsoft.com/office/drawing/2014/main" id="{00000000-0008-0000-1900-000007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43</xdr:row>
          <xdr:rowOff>152400</xdr:rowOff>
        </xdr:from>
        <xdr:to>
          <xdr:col>35</xdr:col>
          <xdr:colOff>57150</xdr:colOff>
          <xdr:row>45</xdr:row>
          <xdr:rowOff>9525</xdr:rowOff>
        </xdr:to>
        <xdr:sp macro="" textlink="">
          <xdr:nvSpPr>
            <xdr:cNvPr id="167944" name="Check Box 8" hidden="1">
              <a:extLst>
                <a:ext uri="{63B3BB69-23CF-44E3-9099-C40C66FF867C}">
                  <a14:compatExt spid="_x0000_s167944"/>
                </a:ext>
                <a:ext uri="{FF2B5EF4-FFF2-40B4-BE49-F238E27FC236}">
                  <a16:creationId xmlns:a16="http://schemas.microsoft.com/office/drawing/2014/main" id="{00000000-0008-0000-1900-000008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44</xdr:row>
          <xdr:rowOff>152400</xdr:rowOff>
        </xdr:from>
        <xdr:to>
          <xdr:col>35</xdr:col>
          <xdr:colOff>57150</xdr:colOff>
          <xdr:row>46</xdr:row>
          <xdr:rowOff>9525</xdr:rowOff>
        </xdr:to>
        <xdr:sp macro="" textlink="">
          <xdr:nvSpPr>
            <xdr:cNvPr id="167945" name="Check Box 9" hidden="1">
              <a:extLst>
                <a:ext uri="{63B3BB69-23CF-44E3-9099-C40C66FF867C}">
                  <a14:compatExt spid="_x0000_s167945"/>
                </a:ext>
                <a:ext uri="{FF2B5EF4-FFF2-40B4-BE49-F238E27FC236}">
                  <a16:creationId xmlns:a16="http://schemas.microsoft.com/office/drawing/2014/main" id="{00000000-0008-0000-1900-000009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45</xdr:row>
          <xdr:rowOff>152400</xdr:rowOff>
        </xdr:from>
        <xdr:to>
          <xdr:col>35</xdr:col>
          <xdr:colOff>57150</xdr:colOff>
          <xdr:row>47</xdr:row>
          <xdr:rowOff>9525</xdr:rowOff>
        </xdr:to>
        <xdr:sp macro="" textlink="">
          <xdr:nvSpPr>
            <xdr:cNvPr id="167946" name="Check Box 10" hidden="1">
              <a:extLst>
                <a:ext uri="{63B3BB69-23CF-44E3-9099-C40C66FF867C}">
                  <a14:compatExt spid="_x0000_s167946"/>
                </a:ext>
                <a:ext uri="{FF2B5EF4-FFF2-40B4-BE49-F238E27FC236}">
                  <a16:creationId xmlns:a16="http://schemas.microsoft.com/office/drawing/2014/main" id="{00000000-0008-0000-1900-00000A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46</xdr:row>
          <xdr:rowOff>152400</xdr:rowOff>
        </xdr:from>
        <xdr:to>
          <xdr:col>35</xdr:col>
          <xdr:colOff>57150</xdr:colOff>
          <xdr:row>48</xdr:row>
          <xdr:rowOff>9525</xdr:rowOff>
        </xdr:to>
        <xdr:sp macro="" textlink="">
          <xdr:nvSpPr>
            <xdr:cNvPr id="167947" name="Check Box 11" hidden="1">
              <a:extLst>
                <a:ext uri="{63B3BB69-23CF-44E3-9099-C40C66FF867C}">
                  <a14:compatExt spid="_x0000_s167947"/>
                </a:ext>
                <a:ext uri="{FF2B5EF4-FFF2-40B4-BE49-F238E27FC236}">
                  <a16:creationId xmlns:a16="http://schemas.microsoft.com/office/drawing/2014/main" id="{00000000-0008-0000-1900-00000B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47</xdr:row>
          <xdr:rowOff>152400</xdr:rowOff>
        </xdr:from>
        <xdr:to>
          <xdr:col>35</xdr:col>
          <xdr:colOff>57150</xdr:colOff>
          <xdr:row>49</xdr:row>
          <xdr:rowOff>9525</xdr:rowOff>
        </xdr:to>
        <xdr:sp macro="" textlink="">
          <xdr:nvSpPr>
            <xdr:cNvPr id="167948" name="Check Box 12" hidden="1">
              <a:extLst>
                <a:ext uri="{63B3BB69-23CF-44E3-9099-C40C66FF867C}">
                  <a14:compatExt spid="_x0000_s167948"/>
                </a:ext>
                <a:ext uri="{FF2B5EF4-FFF2-40B4-BE49-F238E27FC236}">
                  <a16:creationId xmlns:a16="http://schemas.microsoft.com/office/drawing/2014/main" id="{00000000-0008-0000-1900-00000C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48</xdr:row>
          <xdr:rowOff>152400</xdr:rowOff>
        </xdr:from>
        <xdr:to>
          <xdr:col>35</xdr:col>
          <xdr:colOff>57150</xdr:colOff>
          <xdr:row>50</xdr:row>
          <xdr:rowOff>9525</xdr:rowOff>
        </xdr:to>
        <xdr:sp macro="" textlink="">
          <xdr:nvSpPr>
            <xdr:cNvPr id="167949" name="Check Box 13" hidden="1">
              <a:extLst>
                <a:ext uri="{63B3BB69-23CF-44E3-9099-C40C66FF867C}">
                  <a14:compatExt spid="_x0000_s167949"/>
                </a:ext>
                <a:ext uri="{FF2B5EF4-FFF2-40B4-BE49-F238E27FC236}">
                  <a16:creationId xmlns:a16="http://schemas.microsoft.com/office/drawing/2014/main" id="{00000000-0008-0000-1900-00000D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49</xdr:row>
          <xdr:rowOff>161925</xdr:rowOff>
        </xdr:from>
        <xdr:to>
          <xdr:col>35</xdr:col>
          <xdr:colOff>57150</xdr:colOff>
          <xdr:row>51</xdr:row>
          <xdr:rowOff>19050</xdr:rowOff>
        </xdr:to>
        <xdr:sp macro="" textlink="">
          <xdr:nvSpPr>
            <xdr:cNvPr id="167951" name="Check Box 15" hidden="1">
              <a:extLst>
                <a:ext uri="{63B3BB69-23CF-44E3-9099-C40C66FF867C}">
                  <a14:compatExt spid="_x0000_s167951"/>
                </a:ext>
                <a:ext uri="{FF2B5EF4-FFF2-40B4-BE49-F238E27FC236}">
                  <a16:creationId xmlns:a16="http://schemas.microsoft.com/office/drawing/2014/main" id="{00000000-0008-0000-1900-00000F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50</xdr:row>
          <xdr:rowOff>161925</xdr:rowOff>
        </xdr:from>
        <xdr:to>
          <xdr:col>35</xdr:col>
          <xdr:colOff>57150</xdr:colOff>
          <xdr:row>52</xdr:row>
          <xdr:rowOff>19050</xdr:rowOff>
        </xdr:to>
        <xdr:sp macro="" textlink="">
          <xdr:nvSpPr>
            <xdr:cNvPr id="167952" name="Check Box 16" hidden="1">
              <a:extLst>
                <a:ext uri="{63B3BB69-23CF-44E3-9099-C40C66FF867C}">
                  <a14:compatExt spid="_x0000_s167952"/>
                </a:ext>
                <a:ext uri="{FF2B5EF4-FFF2-40B4-BE49-F238E27FC236}">
                  <a16:creationId xmlns:a16="http://schemas.microsoft.com/office/drawing/2014/main" id="{00000000-0008-0000-1900-000010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51</xdr:row>
          <xdr:rowOff>171450</xdr:rowOff>
        </xdr:from>
        <xdr:to>
          <xdr:col>35</xdr:col>
          <xdr:colOff>57150</xdr:colOff>
          <xdr:row>53</xdr:row>
          <xdr:rowOff>28575</xdr:rowOff>
        </xdr:to>
        <xdr:sp macro="" textlink="">
          <xdr:nvSpPr>
            <xdr:cNvPr id="167953" name="Check Box 17" hidden="1">
              <a:extLst>
                <a:ext uri="{63B3BB69-23CF-44E3-9099-C40C66FF867C}">
                  <a14:compatExt spid="_x0000_s167953"/>
                </a:ext>
                <a:ext uri="{FF2B5EF4-FFF2-40B4-BE49-F238E27FC236}">
                  <a16:creationId xmlns:a16="http://schemas.microsoft.com/office/drawing/2014/main" id="{00000000-0008-0000-1900-000011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52</xdr:row>
          <xdr:rowOff>171450</xdr:rowOff>
        </xdr:from>
        <xdr:to>
          <xdr:col>35</xdr:col>
          <xdr:colOff>57150</xdr:colOff>
          <xdr:row>54</xdr:row>
          <xdr:rowOff>28575</xdr:rowOff>
        </xdr:to>
        <xdr:sp macro="" textlink="">
          <xdr:nvSpPr>
            <xdr:cNvPr id="167954" name="Check Box 18" hidden="1">
              <a:extLst>
                <a:ext uri="{63B3BB69-23CF-44E3-9099-C40C66FF867C}">
                  <a14:compatExt spid="_x0000_s167954"/>
                </a:ext>
                <a:ext uri="{FF2B5EF4-FFF2-40B4-BE49-F238E27FC236}">
                  <a16:creationId xmlns:a16="http://schemas.microsoft.com/office/drawing/2014/main" id="{00000000-0008-0000-1900-000012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53</xdr:row>
          <xdr:rowOff>171450</xdr:rowOff>
        </xdr:from>
        <xdr:to>
          <xdr:col>35</xdr:col>
          <xdr:colOff>57150</xdr:colOff>
          <xdr:row>55</xdr:row>
          <xdr:rowOff>28575</xdr:rowOff>
        </xdr:to>
        <xdr:sp macro="" textlink="">
          <xdr:nvSpPr>
            <xdr:cNvPr id="167955" name="Check Box 19" hidden="1">
              <a:extLst>
                <a:ext uri="{63B3BB69-23CF-44E3-9099-C40C66FF867C}">
                  <a14:compatExt spid="_x0000_s167955"/>
                </a:ext>
                <a:ext uri="{FF2B5EF4-FFF2-40B4-BE49-F238E27FC236}">
                  <a16:creationId xmlns:a16="http://schemas.microsoft.com/office/drawing/2014/main" id="{00000000-0008-0000-1900-000013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54</xdr:row>
          <xdr:rowOff>171450</xdr:rowOff>
        </xdr:from>
        <xdr:to>
          <xdr:col>35</xdr:col>
          <xdr:colOff>57150</xdr:colOff>
          <xdr:row>56</xdr:row>
          <xdr:rowOff>28575</xdr:rowOff>
        </xdr:to>
        <xdr:sp macro="" textlink="">
          <xdr:nvSpPr>
            <xdr:cNvPr id="167956" name="Check Box 20" hidden="1">
              <a:extLst>
                <a:ext uri="{63B3BB69-23CF-44E3-9099-C40C66FF867C}">
                  <a14:compatExt spid="_x0000_s167956"/>
                </a:ext>
                <a:ext uri="{FF2B5EF4-FFF2-40B4-BE49-F238E27FC236}">
                  <a16:creationId xmlns:a16="http://schemas.microsoft.com/office/drawing/2014/main" id="{00000000-0008-0000-1900-000014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55</xdr:row>
          <xdr:rowOff>171450</xdr:rowOff>
        </xdr:from>
        <xdr:to>
          <xdr:col>35</xdr:col>
          <xdr:colOff>57150</xdr:colOff>
          <xdr:row>57</xdr:row>
          <xdr:rowOff>28575</xdr:rowOff>
        </xdr:to>
        <xdr:sp macro="" textlink="">
          <xdr:nvSpPr>
            <xdr:cNvPr id="167957" name="Check Box 21" hidden="1">
              <a:extLst>
                <a:ext uri="{63B3BB69-23CF-44E3-9099-C40C66FF867C}">
                  <a14:compatExt spid="_x0000_s167957"/>
                </a:ext>
                <a:ext uri="{FF2B5EF4-FFF2-40B4-BE49-F238E27FC236}">
                  <a16:creationId xmlns:a16="http://schemas.microsoft.com/office/drawing/2014/main" id="{00000000-0008-0000-1900-000015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163</xdr:row>
      <xdr:rowOff>0</xdr:rowOff>
    </xdr:from>
    <xdr:to>
      <xdr:col>8</xdr:col>
      <xdr:colOff>0</xdr:colOff>
      <xdr:row>166</xdr:row>
      <xdr:rowOff>0</xdr:rowOff>
    </xdr:to>
    <xdr:graphicFrame macro="">
      <xdr:nvGraphicFramePr>
        <xdr:cNvPr id="31" name="Chart 13">
          <a:extLst>
            <a:ext uri="{FF2B5EF4-FFF2-40B4-BE49-F238E27FC236}">
              <a16:creationId xmlns:a16="http://schemas.microsoft.com/office/drawing/2014/main" id="{00000000-0008-0000-17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216825</xdr:colOff>
      <xdr:row>137</xdr:row>
      <xdr:rowOff>0</xdr:rowOff>
    </xdr:from>
    <xdr:to>
      <xdr:col>20</xdr:col>
      <xdr:colOff>0</xdr:colOff>
      <xdr:row>165</xdr:row>
      <xdr:rowOff>523874</xdr:rowOff>
    </xdr:to>
    <xdr:graphicFrame macro="">
      <xdr:nvGraphicFramePr>
        <xdr:cNvPr id="34" name="Chart 13">
          <a:extLst>
            <a:ext uri="{FF2B5EF4-FFF2-40B4-BE49-F238E27FC236}">
              <a16:creationId xmlns:a16="http://schemas.microsoft.com/office/drawing/2014/main" id="{00000000-0008-0000-17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85725</xdr:colOff>
          <xdr:row>56</xdr:row>
          <xdr:rowOff>171450</xdr:rowOff>
        </xdr:from>
        <xdr:to>
          <xdr:col>35</xdr:col>
          <xdr:colOff>57150</xdr:colOff>
          <xdr:row>58</xdr:row>
          <xdr:rowOff>28575</xdr:rowOff>
        </xdr:to>
        <xdr:sp macro="" textlink="">
          <xdr:nvSpPr>
            <xdr:cNvPr id="167960" name="Check Box 24" hidden="1">
              <a:extLst>
                <a:ext uri="{63B3BB69-23CF-44E3-9099-C40C66FF867C}">
                  <a14:compatExt spid="_x0000_s167960"/>
                </a:ext>
                <a:ext uri="{FF2B5EF4-FFF2-40B4-BE49-F238E27FC236}">
                  <a16:creationId xmlns:a16="http://schemas.microsoft.com/office/drawing/2014/main" id="{00000000-0008-0000-1900-000018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129</xdr:row>
      <xdr:rowOff>76199</xdr:rowOff>
    </xdr:from>
    <xdr:to>
      <xdr:col>8</xdr:col>
      <xdr:colOff>0</xdr:colOff>
      <xdr:row>133</xdr:row>
      <xdr:rowOff>0</xdr:rowOff>
    </xdr:to>
    <xdr:graphicFrame macro="">
      <xdr:nvGraphicFramePr>
        <xdr:cNvPr id="42" name="Chart 13">
          <a:extLst>
            <a:ext uri="{FF2B5EF4-FFF2-40B4-BE49-F238E27FC236}">
              <a16:creationId xmlns:a16="http://schemas.microsoft.com/office/drawing/2014/main" id="{00000000-0008-0000-17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216825</xdr:colOff>
      <xdr:row>104</xdr:row>
      <xdr:rowOff>0</xdr:rowOff>
    </xdr:from>
    <xdr:to>
      <xdr:col>20</xdr:col>
      <xdr:colOff>0</xdr:colOff>
      <xdr:row>133</xdr:row>
      <xdr:rowOff>0</xdr:rowOff>
    </xdr:to>
    <xdr:graphicFrame macro="">
      <xdr:nvGraphicFramePr>
        <xdr:cNvPr id="43" name="Chart 13">
          <a:extLst>
            <a:ext uri="{FF2B5EF4-FFF2-40B4-BE49-F238E27FC236}">
              <a16:creationId xmlns:a16="http://schemas.microsoft.com/office/drawing/2014/main" id="{00000000-0008-0000-17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205</xdr:row>
      <xdr:rowOff>1</xdr:rowOff>
    </xdr:from>
    <xdr:to>
      <xdr:col>10</xdr:col>
      <xdr:colOff>0</xdr:colOff>
      <xdr:row>234</xdr:row>
      <xdr:rowOff>0</xdr:rowOff>
    </xdr:to>
    <xdr:graphicFrame macro="">
      <xdr:nvGraphicFramePr>
        <xdr:cNvPr id="68" name="Chart 13">
          <a:extLst>
            <a:ext uri="{FF2B5EF4-FFF2-40B4-BE49-F238E27FC236}">
              <a16:creationId xmlns:a16="http://schemas.microsoft.com/office/drawing/2014/main" id="{00000000-0008-0000-17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xdr:colOff>
      <xdr:row>231</xdr:row>
      <xdr:rowOff>0</xdr:rowOff>
    </xdr:from>
    <xdr:to>
      <xdr:col>20</xdr:col>
      <xdr:colOff>2</xdr:colOff>
      <xdr:row>234</xdr:row>
      <xdr:rowOff>0</xdr:rowOff>
    </xdr:to>
    <xdr:graphicFrame macro="">
      <xdr:nvGraphicFramePr>
        <xdr:cNvPr id="70" name="Chart 13">
          <a:extLst>
            <a:ext uri="{FF2B5EF4-FFF2-40B4-BE49-F238E27FC236}">
              <a16:creationId xmlns:a16="http://schemas.microsoft.com/office/drawing/2014/main" id="{00000000-0008-0000-17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36</xdr:row>
      <xdr:rowOff>0</xdr:rowOff>
    </xdr:from>
    <xdr:to>
      <xdr:col>20</xdr:col>
      <xdr:colOff>0</xdr:colOff>
      <xdr:row>60</xdr:row>
      <xdr:rowOff>0</xdr:rowOff>
    </xdr:to>
    <xdr:graphicFrame macro="">
      <xdr:nvGraphicFramePr>
        <xdr:cNvPr id="58" name="Chart 176">
          <a:extLst>
            <a:ext uri="{FF2B5EF4-FFF2-40B4-BE49-F238E27FC236}">
              <a16:creationId xmlns:a16="http://schemas.microsoft.com/office/drawing/2014/main" id="{00000000-0008-0000-17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59" name="Oval 2165">
          <a:extLst>
            <a:ext uri="{FF2B5EF4-FFF2-40B4-BE49-F238E27FC236}">
              <a16:creationId xmlns:a16="http://schemas.microsoft.com/office/drawing/2014/main" id="{00000000-0008-0000-1700-00003B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60</xdr:row>
      <xdr:rowOff>85725</xdr:rowOff>
    </xdr:from>
    <xdr:to>
      <xdr:col>10</xdr:col>
      <xdr:colOff>417150</xdr:colOff>
      <xdr:row>60</xdr:row>
      <xdr:rowOff>85725</xdr:rowOff>
    </xdr:to>
    <xdr:sp macro="" textlink="">
      <xdr:nvSpPr>
        <xdr:cNvPr id="60" name="Line 283">
          <a:extLst>
            <a:ext uri="{FF2B5EF4-FFF2-40B4-BE49-F238E27FC236}">
              <a16:creationId xmlns:a16="http://schemas.microsoft.com/office/drawing/2014/main" id="{00000000-0008-0000-1700-00003C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152400</xdr:colOff>
      <xdr:row>60</xdr:row>
      <xdr:rowOff>57150</xdr:rowOff>
    </xdr:from>
    <xdr:to>
      <xdr:col>15</xdr:col>
      <xdr:colOff>228600</xdr:colOff>
      <xdr:row>60</xdr:row>
      <xdr:rowOff>133350</xdr:rowOff>
    </xdr:to>
    <xdr:sp macro="" textlink="">
      <xdr:nvSpPr>
        <xdr:cNvPr id="74" name="Oval 2164">
          <a:extLst>
            <a:ext uri="{FF2B5EF4-FFF2-40B4-BE49-F238E27FC236}">
              <a16:creationId xmlns:a16="http://schemas.microsoft.com/office/drawing/2014/main" id="{00000000-0008-0000-1700-00004A000000}"/>
            </a:ext>
          </a:extLst>
        </xdr:cNvPr>
        <xdr:cNvSpPr>
          <a:spLocks noChangeArrowheads="1"/>
        </xdr:cNvSpPr>
      </xdr:nvSpPr>
      <xdr:spPr bwMode="auto">
        <a:xfrm>
          <a:off x="7172325" y="111633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61</xdr:row>
      <xdr:rowOff>95249</xdr:rowOff>
    </xdr:from>
    <xdr:to>
      <xdr:col>15</xdr:col>
      <xdr:colOff>354675</xdr:colOff>
      <xdr:row>61</xdr:row>
      <xdr:rowOff>95249</xdr:rowOff>
    </xdr:to>
    <xdr:sp macro="" textlink="">
      <xdr:nvSpPr>
        <xdr:cNvPr id="75" name="Line 283">
          <a:extLst>
            <a:ext uri="{FF2B5EF4-FFF2-40B4-BE49-F238E27FC236}">
              <a16:creationId xmlns:a16="http://schemas.microsoft.com/office/drawing/2014/main" id="{00000000-0008-0000-1700-00004B000000}"/>
            </a:ext>
          </a:extLst>
        </xdr:cNvPr>
        <xdr:cNvSpPr>
          <a:spLocks noChangeShapeType="1"/>
        </xdr:cNvSpPr>
      </xdr:nvSpPr>
      <xdr:spPr bwMode="auto">
        <a:xfrm>
          <a:off x="7086600" y="11382374"/>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180975</xdr:colOff>
      <xdr:row>230</xdr:row>
      <xdr:rowOff>47625</xdr:rowOff>
    </xdr:from>
    <xdr:to>
      <xdr:col>10</xdr:col>
      <xdr:colOff>257175</xdr:colOff>
      <xdr:row>230</xdr:row>
      <xdr:rowOff>123825</xdr:rowOff>
    </xdr:to>
    <xdr:sp macro="" textlink="">
      <xdr:nvSpPr>
        <xdr:cNvPr id="79" name="Oval 2165">
          <a:extLst>
            <a:ext uri="{FF2B5EF4-FFF2-40B4-BE49-F238E27FC236}">
              <a16:creationId xmlns:a16="http://schemas.microsoft.com/office/drawing/2014/main" id="{00000000-0008-0000-1700-00004F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229</xdr:row>
      <xdr:rowOff>85725</xdr:rowOff>
    </xdr:from>
    <xdr:to>
      <xdr:col>10</xdr:col>
      <xdr:colOff>417150</xdr:colOff>
      <xdr:row>229</xdr:row>
      <xdr:rowOff>85725</xdr:rowOff>
    </xdr:to>
    <xdr:sp macro="" textlink="">
      <xdr:nvSpPr>
        <xdr:cNvPr id="80" name="Line 283">
          <a:extLst>
            <a:ext uri="{FF2B5EF4-FFF2-40B4-BE49-F238E27FC236}">
              <a16:creationId xmlns:a16="http://schemas.microsoft.com/office/drawing/2014/main" id="{00000000-0008-0000-1700-000050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180975</xdr:colOff>
      <xdr:row>229</xdr:row>
      <xdr:rowOff>47625</xdr:rowOff>
    </xdr:from>
    <xdr:to>
      <xdr:col>15</xdr:col>
      <xdr:colOff>257175</xdr:colOff>
      <xdr:row>229</xdr:row>
      <xdr:rowOff>123825</xdr:rowOff>
    </xdr:to>
    <xdr:sp macro="" textlink="">
      <xdr:nvSpPr>
        <xdr:cNvPr id="81" name="Oval 2164">
          <a:extLst>
            <a:ext uri="{FF2B5EF4-FFF2-40B4-BE49-F238E27FC236}">
              <a16:creationId xmlns:a16="http://schemas.microsoft.com/office/drawing/2014/main" id="{00000000-0008-0000-1700-000051000000}"/>
            </a:ext>
          </a:extLst>
        </xdr:cNvPr>
        <xdr:cNvSpPr>
          <a:spLocks noChangeArrowheads="1"/>
        </xdr:cNvSpPr>
      </xdr:nvSpPr>
      <xdr:spPr bwMode="auto">
        <a:xfrm>
          <a:off x="7600950" y="3811905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230</xdr:row>
      <xdr:rowOff>85724</xdr:rowOff>
    </xdr:from>
    <xdr:to>
      <xdr:col>15</xdr:col>
      <xdr:colOff>354675</xdr:colOff>
      <xdr:row>230</xdr:row>
      <xdr:rowOff>85724</xdr:rowOff>
    </xdr:to>
    <xdr:sp macro="" textlink="">
      <xdr:nvSpPr>
        <xdr:cNvPr id="82" name="Line 283">
          <a:extLst>
            <a:ext uri="{FF2B5EF4-FFF2-40B4-BE49-F238E27FC236}">
              <a16:creationId xmlns:a16="http://schemas.microsoft.com/office/drawing/2014/main" id="{00000000-0008-0000-1700-000052000000}"/>
            </a:ext>
          </a:extLst>
        </xdr:cNvPr>
        <xdr:cNvSpPr>
          <a:spLocks noChangeShapeType="1"/>
        </xdr:cNvSpPr>
      </xdr:nvSpPr>
      <xdr:spPr bwMode="auto">
        <a:xfrm>
          <a:off x="7486650" y="38328599"/>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205</xdr:row>
      <xdr:rowOff>0</xdr:rowOff>
    </xdr:from>
    <xdr:to>
      <xdr:col>20</xdr:col>
      <xdr:colOff>0</xdr:colOff>
      <xdr:row>229</xdr:row>
      <xdr:rowOff>0</xdr:rowOff>
    </xdr:to>
    <xdr:graphicFrame macro="">
      <xdr:nvGraphicFramePr>
        <xdr:cNvPr id="83" name="Chart 176">
          <a:extLst>
            <a:ext uri="{FF2B5EF4-FFF2-40B4-BE49-F238E27FC236}">
              <a16:creationId xmlns:a16="http://schemas.microsoft.com/office/drawing/2014/main" id="{00000000-0008-0000-17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xdr:colOff>
      <xdr:row>339</xdr:row>
      <xdr:rowOff>1</xdr:rowOff>
    </xdr:from>
    <xdr:to>
      <xdr:col>10</xdr:col>
      <xdr:colOff>0</xdr:colOff>
      <xdr:row>368</xdr:row>
      <xdr:rowOff>0</xdr:rowOff>
    </xdr:to>
    <xdr:graphicFrame macro="">
      <xdr:nvGraphicFramePr>
        <xdr:cNvPr id="69" name="Chart 13">
          <a:extLst>
            <a:ext uri="{FF2B5EF4-FFF2-40B4-BE49-F238E27FC236}">
              <a16:creationId xmlns:a16="http://schemas.microsoft.com/office/drawing/2014/main" id="{00000000-0008-0000-17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xdr:colOff>
      <xdr:row>365</xdr:row>
      <xdr:rowOff>0</xdr:rowOff>
    </xdr:from>
    <xdr:to>
      <xdr:col>20</xdr:col>
      <xdr:colOff>2</xdr:colOff>
      <xdr:row>368</xdr:row>
      <xdr:rowOff>0</xdr:rowOff>
    </xdr:to>
    <xdr:graphicFrame macro="">
      <xdr:nvGraphicFramePr>
        <xdr:cNvPr id="71" name="Chart 13">
          <a:extLst>
            <a:ext uri="{FF2B5EF4-FFF2-40B4-BE49-F238E27FC236}">
              <a16:creationId xmlns:a16="http://schemas.microsoft.com/office/drawing/2014/main" id="{00000000-0008-0000-17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180975</xdr:colOff>
      <xdr:row>364</xdr:row>
      <xdr:rowOff>47625</xdr:rowOff>
    </xdr:from>
    <xdr:to>
      <xdr:col>10</xdr:col>
      <xdr:colOff>257175</xdr:colOff>
      <xdr:row>364</xdr:row>
      <xdr:rowOff>123825</xdr:rowOff>
    </xdr:to>
    <xdr:sp macro="" textlink="">
      <xdr:nvSpPr>
        <xdr:cNvPr id="72" name="Oval 2165">
          <a:extLst>
            <a:ext uri="{FF2B5EF4-FFF2-40B4-BE49-F238E27FC236}">
              <a16:creationId xmlns:a16="http://schemas.microsoft.com/office/drawing/2014/main" id="{00000000-0008-0000-1700-000048000000}"/>
            </a:ext>
          </a:extLst>
        </xdr:cNvPr>
        <xdr:cNvSpPr>
          <a:spLocks noChangeArrowheads="1"/>
        </xdr:cNvSpPr>
      </xdr:nvSpPr>
      <xdr:spPr bwMode="auto">
        <a:xfrm>
          <a:off x="4895850" y="383095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363</xdr:row>
      <xdr:rowOff>85725</xdr:rowOff>
    </xdr:from>
    <xdr:to>
      <xdr:col>10</xdr:col>
      <xdr:colOff>417150</xdr:colOff>
      <xdr:row>363</xdr:row>
      <xdr:rowOff>85725</xdr:rowOff>
    </xdr:to>
    <xdr:sp macro="" textlink="">
      <xdr:nvSpPr>
        <xdr:cNvPr id="73" name="Line 283">
          <a:extLst>
            <a:ext uri="{FF2B5EF4-FFF2-40B4-BE49-F238E27FC236}">
              <a16:creationId xmlns:a16="http://schemas.microsoft.com/office/drawing/2014/main" id="{00000000-0008-0000-1700-000049000000}"/>
            </a:ext>
          </a:extLst>
        </xdr:cNvPr>
        <xdr:cNvSpPr>
          <a:spLocks noChangeShapeType="1"/>
        </xdr:cNvSpPr>
      </xdr:nvSpPr>
      <xdr:spPr bwMode="auto">
        <a:xfrm>
          <a:off x="4772025" y="381762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171450</xdr:colOff>
      <xdr:row>363</xdr:row>
      <xdr:rowOff>47625</xdr:rowOff>
    </xdr:from>
    <xdr:to>
      <xdr:col>15</xdr:col>
      <xdr:colOff>247650</xdr:colOff>
      <xdr:row>363</xdr:row>
      <xdr:rowOff>123825</xdr:rowOff>
    </xdr:to>
    <xdr:sp macro="" textlink="">
      <xdr:nvSpPr>
        <xdr:cNvPr id="84" name="Oval 2164">
          <a:extLst>
            <a:ext uri="{FF2B5EF4-FFF2-40B4-BE49-F238E27FC236}">
              <a16:creationId xmlns:a16="http://schemas.microsoft.com/office/drawing/2014/main" id="{00000000-0008-0000-1700-000054000000}"/>
            </a:ext>
          </a:extLst>
        </xdr:cNvPr>
        <xdr:cNvSpPr>
          <a:spLocks noChangeArrowheads="1"/>
        </xdr:cNvSpPr>
      </xdr:nvSpPr>
      <xdr:spPr bwMode="auto">
        <a:xfrm>
          <a:off x="7191375" y="6514147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364</xdr:row>
      <xdr:rowOff>85724</xdr:rowOff>
    </xdr:from>
    <xdr:to>
      <xdr:col>15</xdr:col>
      <xdr:colOff>354675</xdr:colOff>
      <xdr:row>364</xdr:row>
      <xdr:rowOff>85724</xdr:rowOff>
    </xdr:to>
    <xdr:sp macro="" textlink="">
      <xdr:nvSpPr>
        <xdr:cNvPr id="85" name="Line 283">
          <a:extLst>
            <a:ext uri="{FF2B5EF4-FFF2-40B4-BE49-F238E27FC236}">
              <a16:creationId xmlns:a16="http://schemas.microsoft.com/office/drawing/2014/main" id="{00000000-0008-0000-1700-000055000000}"/>
            </a:ext>
          </a:extLst>
        </xdr:cNvPr>
        <xdr:cNvSpPr>
          <a:spLocks noChangeShapeType="1"/>
        </xdr:cNvSpPr>
      </xdr:nvSpPr>
      <xdr:spPr bwMode="auto">
        <a:xfrm>
          <a:off x="7086600" y="65360549"/>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339</xdr:row>
      <xdr:rowOff>0</xdr:rowOff>
    </xdr:from>
    <xdr:to>
      <xdr:col>20</xdr:col>
      <xdr:colOff>0</xdr:colOff>
      <xdr:row>363</xdr:row>
      <xdr:rowOff>0</xdr:rowOff>
    </xdr:to>
    <xdr:graphicFrame macro="">
      <xdr:nvGraphicFramePr>
        <xdr:cNvPr id="86" name="Chart 176">
          <a:extLst>
            <a:ext uri="{FF2B5EF4-FFF2-40B4-BE49-F238E27FC236}">
              <a16:creationId xmlns:a16="http://schemas.microsoft.com/office/drawing/2014/main" id="{00000000-0008-0000-17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238123</xdr:colOff>
      <xdr:row>169</xdr:row>
      <xdr:rowOff>85725</xdr:rowOff>
    </xdr:from>
    <xdr:to>
      <xdr:col>20</xdr:col>
      <xdr:colOff>53998</xdr:colOff>
      <xdr:row>171</xdr:row>
      <xdr:rowOff>149475</xdr:rowOff>
    </xdr:to>
    <xdr:sp macro="" textlink="">
      <xdr:nvSpPr>
        <xdr:cNvPr id="87" name="AutoShape 32">
          <a:extLst>
            <a:ext uri="{FF2B5EF4-FFF2-40B4-BE49-F238E27FC236}">
              <a16:creationId xmlns:a16="http://schemas.microsoft.com/office/drawing/2014/main" id="{00000000-0008-0000-1700-000057000000}"/>
            </a:ext>
          </a:extLst>
        </xdr:cNvPr>
        <xdr:cNvSpPr>
          <a:spLocks noChangeArrowheads="1"/>
        </xdr:cNvSpPr>
      </xdr:nvSpPr>
      <xdr:spPr bwMode="auto">
        <a:xfrm>
          <a:off x="6772273" y="27041475"/>
          <a:ext cx="234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14</xdr:col>
      <xdr:colOff>228598</xdr:colOff>
      <xdr:row>303</xdr:row>
      <xdr:rowOff>85725</xdr:rowOff>
    </xdr:from>
    <xdr:to>
      <xdr:col>20</xdr:col>
      <xdr:colOff>44473</xdr:colOff>
      <xdr:row>305</xdr:row>
      <xdr:rowOff>149475</xdr:rowOff>
    </xdr:to>
    <xdr:sp macro="" textlink="">
      <xdr:nvSpPr>
        <xdr:cNvPr id="89" name="AutoShape 32">
          <a:extLst>
            <a:ext uri="{FF2B5EF4-FFF2-40B4-BE49-F238E27FC236}">
              <a16:creationId xmlns:a16="http://schemas.microsoft.com/office/drawing/2014/main" id="{00000000-0008-0000-1700-000059000000}"/>
            </a:ext>
          </a:extLst>
        </xdr:cNvPr>
        <xdr:cNvSpPr>
          <a:spLocks noChangeArrowheads="1"/>
        </xdr:cNvSpPr>
      </xdr:nvSpPr>
      <xdr:spPr bwMode="auto">
        <a:xfrm>
          <a:off x="6762748" y="54035325"/>
          <a:ext cx="234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xdr:col>
      <xdr:colOff>0</xdr:colOff>
      <xdr:row>263</xdr:row>
      <xdr:rowOff>76199</xdr:rowOff>
    </xdr:from>
    <xdr:to>
      <xdr:col>8</xdr:col>
      <xdr:colOff>0</xdr:colOff>
      <xdr:row>267</xdr:row>
      <xdr:rowOff>0</xdr:rowOff>
    </xdr:to>
    <xdr:graphicFrame macro="">
      <xdr:nvGraphicFramePr>
        <xdr:cNvPr id="98" name="Chart 13">
          <a:extLst>
            <a:ext uri="{FF2B5EF4-FFF2-40B4-BE49-F238E27FC236}">
              <a16:creationId xmlns:a16="http://schemas.microsoft.com/office/drawing/2014/main" id="{00000000-0008-0000-17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216825</xdr:colOff>
      <xdr:row>238</xdr:row>
      <xdr:rowOff>0</xdr:rowOff>
    </xdr:from>
    <xdr:to>
      <xdr:col>20</xdr:col>
      <xdr:colOff>0</xdr:colOff>
      <xdr:row>267</xdr:row>
      <xdr:rowOff>0</xdr:rowOff>
    </xdr:to>
    <xdr:graphicFrame macro="">
      <xdr:nvGraphicFramePr>
        <xdr:cNvPr id="99" name="Chart 13">
          <a:extLst>
            <a:ext uri="{FF2B5EF4-FFF2-40B4-BE49-F238E27FC236}">
              <a16:creationId xmlns:a16="http://schemas.microsoft.com/office/drawing/2014/main" id="{00000000-0008-0000-17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296</xdr:row>
      <xdr:rowOff>76199</xdr:rowOff>
    </xdr:from>
    <xdr:to>
      <xdr:col>8</xdr:col>
      <xdr:colOff>0</xdr:colOff>
      <xdr:row>300</xdr:row>
      <xdr:rowOff>0</xdr:rowOff>
    </xdr:to>
    <xdr:graphicFrame macro="">
      <xdr:nvGraphicFramePr>
        <xdr:cNvPr id="100" name="Chart 13">
          <a:extLst>
            <a:ext uri="{FF2B5EF4-FFF2-40B4-BE49-F238E27FC236}">
              <a16:creationId xmlns:a16="http://schemas.microsoft.com/office/drawing/2014/main" id="{00000000-0008-0000-17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216825</xdr:colOff>
      <xdr:row>271</xdr:row>
      <xdr:rowOff>0</xdr:rowOff>
    </xdr:from>
    <xdr:to>
      <xdr:col>20</xdr:col>
      <xdr:colOff>0</xdr:colOff>
      <xdr:row>300</xdr:row>
      <xdr:rowOff>0</xdr:rowOff>
    </xdr:to>
    <xdr:graphicFrame macro="">
      <xdr:nvGraphicFramePr>
        <xdr:cNvPr id="101" name="Chart 13">
          <a:extLst>
            <a:ext uri="{FF2B5EF4-FFF2-40B4-BE49-F238E27FC236}">
              <a16:creationId xmlns:a16="http://schemas.microsoft.com/office/drawing/2014/main" id="{00000000-0008-0000-17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62</xdr:row>
      <xdr:rowOff>0</xdr:rowOff>
    </xdr:from>
    <xdr:to>
      <xdr:col>20</xdr:col>
      <xdr:colOff>0</xdr:colOff>
      <xdr:row>65</xdr:row>
      <xdr:rowOff>0</xdr:rowOff>
    </xdr:to>
    <xdr:graphicFrame macro="">
      <xdr:nvGraphicFramePr>
        <xdr:cNvPr id="4" name="Chart 13">
          <a:extLst>
            <a:ext uri="{FF2B5EF4-FFF2-40B4-BE49-F238E27FC236}">
              <a16:creationId xmlns:a16="http://schemas.microsoft.com/office/drawing/2014/main" id="{35B94804-FF38-5E34-13DB-16B9D64386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0</xdr:colOff>
      <xdr:row>69</xdr:row>
      <xdr:rowOff>0</xdr:rowOff>
    </xdr:from>
    <xdr:to>
      <xdr:col>20</xdr:col>
      <xdr:colOff>0</xdr:colOff>
      <xdr:row>100</xdr:row>
      <xdr:rowOff>0</xdr:rowOff>
    </xdr:to>
    <xdr:graphicFrame macro="">
      <xdr:nvGraphicFramePr>
        <xdr:cNvPr id="8" name="Chart 176">
          <a:extLst>
            <a:ext uri="{FF2B5EF4-FFF2-40B4-BE49-F238E27FC236}">
              <a16:creationId xmlns:a16="http://schemas.microsoft.com/office/drawing/2014/main" id="{EDF8D8DF-5AA8-4B74-9129-D0E69CCE3D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69</xdr:row>
      <xdr:rowOff>0</xdr:rowOff>
    </xdr:from>
    <xdr:to>
      <xdr:col>10</xdr:col>
      <xdr:colOff>0</xdr:colOff>
      <xdr:row>100</xdr:row>
      <xdr:rowOff>0</xdr:rowOff>
    </xdr:to>
    <xdr:graphicFrame macro="">
      <xdr:nvGraphicFramePr>
        <xdr:cNvPr id="9" name="Chart 764">
          <a:extLst>
            <a:ext uri="{FF2B5EF4-FFF2-40B4-BE49-F238E27FC236}">
              <a16:creationId xmlns:a16="http://schemas.microsoft.com/office/drawing/2014/main" id="{ECA75F76-DFD2-473A-853E-A013203252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xdr:col>
      <xdr:colOff>0</xdr:colOff>
      <xdr:row>372</xdr:row>
      <xdr:rowOff>0</xdr:rowOff>
    </xdr:from>
    <xdr:to>
      <xdr:col>19</xdr:col>
      <xdr:colOff>133350</xdr:colOff>
      <xdr:row>407</xdr:row>
      <xdr:rowOff>47625</xdr:rowOff>
    </xdr:to>
    <xdr:grpSp>
      <xdr:nvGrpSpPr>
        <xdr:cNvPr id="41" name="Group 40">
          <a:extLst>
            <a:ext uri="{FF2B5EF4-FFF2-40B4-BE49-F238E27FC236}">
              <a16:creationId xmlns:a16="http://schemas.microsoft.com/office/drawing/2014/main" id="{5489392D-5BED-40CD-A02D-C22CD9237BF9}"/>
            </a:ext>
          </a:extLst>
        </xdr:cNvPr>
        <xdr:cNvGrpSpPr/>
      </xdr:nvGrpSpPr>
      <xdr:grpSpPr>
        <a:xfrm>
          <a:off x="140208" y="65463420"/>
          <a:ext cx="8950452" cy="4899660"/>
          <a:chOff x="95250" y="95250"/>
          <a:chExt cx="7534275" cy="5048250"/>
        </a:xfrm>
      </xdr:grpSpPr>
      <xdr:sp macro="" textlink="">
        <xdr:nvSpPr>
          <xdr:cNvPr id="44" name="Rectangle 43">
            <a:extLst>
              <a:ext uri="{FF2B5EF4-FFF2-40B4-BE49-F238E27FC236}">
                <a16:creationId xmlns:a16="http://schemas.microsoft.com/office/drawing/2014/main" id="{3A8CD946-2D62-2F89-DC97-AECB5E5AA8EC}"/>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45" name="Rectangle: Rounded Corners 44">
            <a:hlinkClick xmlns:r="http://schemas.openxmlformats.org/officeDocument/2006/relationships" r:id="rId20"/>
            <a:extLst>
              <a:ext uri="{FF2B5EF4-FFF2-40B4-BE49-F238E27FC236}">
                <a16:creationId xmlns:a16="http://schemas.microsoft.com/office/drawing/2014/main" id="{70695A07-2A8E-9891-CAB6-29074B93501F}"/>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46" name="Rectangle: Rounded Corners 45">
            <a:hlinkClick xmlns:r="http://schemas.openxmlformats.org/officeDocument/2006/relationships" r:id="rId21"/>
            <a:extLst>
              <a:ext uri="{FF2B5EF4-FFF2-40B4-BE49-F238E27FC236}">
                <a16:creationId xmlns:a16="http://schemas.microsoft.com/office/drawing/2014/main" id="{5DD8B279-7EE3-57A1-1C75-9523C99E12C5}"/>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47" name="Rectangle: Rounded Corners 46">
            <a:hlinkClick xmlns:r="http://schemas.openxmlformats.org/officeDocument/2006/relationships" r:id="rId22"/>
            <a:extLst>
              <a:ext uri="{FF2B5EF4-FFF2-40B4-BE49-F238E27FC236}">
                <a16:creationId xmlns:a16="http://schemas.microsoft.com/office/drawing/2014/main" id="{EAF2E010-92D1-7949-1503-758D381E0F8D}"/>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48" name="Rectangle: Rounded Corners 47">
            <a:hlinkClick xmlns:r="http://schemas.openxmlformats.org/officeDocument/2006/relationships" r:id="rId23"/>
            <a:extLst>
              <a:ext uri="{FF2B5EF4-FFF2-40B4-BE49-F238E27FC236}">
                <a16:creationId xmlns:a16="http://schemas.microsoft.com/office/drawing/2014/main" id="{1933F92F-ECF8-43EF-1099-E35ED2F91F81}"/>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49" name="Rectangle: Rounded Corners 48">
            <a:hlinkClick xmlns:r="http://schemas.openxmlformats.org/officeDocument/2006/relationships" r:id="rId24"/>
            <a:extLst>
              <a:ext uri="{FF2B5EF4-FFF2-40B4-BE49-F238E27FC236}">
                <a16:creationId xmlns:a16="http://schemas.microsoft.com/office/drawing/2014/main" id="{DD133D03-C9CF-C9B8-CBA2-F6C2FD296E2B}"/>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50" name="Rectangle: Rounded Corners 49">
            <a:hlinkClick xmlns:r="http://schemas.openxmlformats.org/officeDocument/2006/relationships" r:id="rId25"/>
            <a:extLst>
              <a:ext uri="{FF2B5EF4-FFF2-40B4-BE49-F238E27FC236}">
                <a16:creationId xmlns:a16="http://schemas.microsoft.com/office/drawing/2014/main" id="{436ED421-F6D7-01B5-6C28-C5142BDFD6FF}"/>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51" name="Rectangle: Rounded Corners 50">
            <a:hlinkClick xmlns:r="http://schemas.openxmlformats.org/officeDocument/2006/relationships" r:id="rId26"/>
            <a:extLst>
              <a:ext uri="{FF2B5EF4-FFF2-40B4-BE49-F238E27FC236}">
                <a16:creationId xmlns:a16="http://schemas.microsoft.com/office/drawing/2014/main" id="{5F3C3485-ABCE-CC45-B163-0BAD9E87A61B}"/>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52" name="Rectangle: Rounded Corners 51">
            <a:hlinkClick xmlns:r="http://schemas.openxmlformats.org/officeDocument/2006/relationships" r:id="rId27"/>
            <a:extLst>
              <a:ext uri="{FF2B5EF4-FFF2-40B4-BE49-F238E27FC236}">
                <a16:creationId xmlns:a16="http://schemas.microsoft.com/office/drawing/2014/main" id="{11959BD0-7A3C-5A6E-AF01-1E83F744DEF4}"/>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53" name="Rectangle: Rounded Corners 52">
            <a:hlinkClick xmlns:r="http://schemas.openxmlformats.org/officeDocument/2006/relationships" r:id="rId28"/>
            <a:extLst>
              <a:ext uri="{FF2B5EF4-FFF2-40B4-BE49-F238E27FC236}">
                <a16:creationId xmlns:a16="http://schemas.microsoft.com/office/drawing/2014/main" id="{C2374702-BCE1-8637-BE64-7FE0F8605254}"/>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54" name="Group 53">
            <a:hlinkClick xmlns:r="http://schemas.openxmlformats.org/officeDocument/2006/relationships" r:id="rId29"/>
            <a:extLst>
              <a:ext uri="{FF2B5EF4-FFF2-40B4-BE49-F238E27FC236}">
                <a16:creationId xmlns:a16="http://schemas.microsoft.com/office/drawing/2014/main" id="{DA2ED5D2-1FA5-BEF9-A183-0E33B1E31E6E}"/>
              </a:ext>
            </a:extLst>
          </xdr:cNvPr>
          <xdr:cNvGrpSpPr/>
        </xdr:nvGrpSpPr>
        <xdr:grpSpPr>
          <a:xfrm>
            <a:off x="190500" y="723900"/>
            <a:ext cx="1695450" cy="723900"/>
            <a:chOff x="190500" y="180975"/>
            <a:chExt cx="1800225" cy="723900"/>
          </a:xfrm>
        </xdr:grpSpPr>
        <xdr:sp macro="" textlink="">
          <xdr:nvSpPr>
            <xdr:cNvPr id="91" name="Rectangle: Rounded Corners 90">
              <a:hlinkClick xmlns:r="http://schemas.openxmlformats.org/officeDocument/2006/relationships" r:id="rId29"/>
              <a:extLst>
                <a:ext uri="{FF2B5EF4-FFF2-40B4-BE49-F238E27FC236}">
                  <a16:creationId xmlns:a16="http://schemas.microsoft.com/office/drawing/2014/main" id="{5CAABB22-61C3-AA86-8C74-6830D0EF9825}"/>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92" name="Picture 91">
              <a:extLst>
                <a:ext uri="{FF2B5EF4-FFF2-40B4-BE49-F238E27FC236}">
                  <a16:creationId xmlns:a16="http://schemas.microsoft.com/office/drawing/2014/main" id="{B94779E5-B4C3-0D9E-CAA8-87974E8C5CB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55" name="Rectangle: Rounded Corners 54">
            <a:hlinkClick xmlns:r="http://schemas.openxmlformats.org/officeDocument/2006/relationships" r:id="rId31"/>
            <a:extLst>
              <a:ext uri="{FF2B5EF4-FFF2-40B4-BE49-F238E27FC236}">
                <a16:creationId xmlns:a16="http://schemas.microsoft.com/office/drawing/2014/main" id="{55F81937-B7C5-C0A2-6A9E-4C123AFC2CC0}"/>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56" name="Rectangle: Rounded Corners 55">
            <a:hlinkClick xmlns:r="http://schemas.openxmlformats.org/officeDocument/2006/relationships" r:id="rId32"/>
            <a:extLst>
              <a:ext uri="{FF2B5EF4-FFF2-40B4-BE49-F238E27FC236}">
                <a16:creationId xmlns:a16="http://schemas.microsoft.com/office/drawing/2014/main" id="{F81586C4-C015-2FE3-9028-D66073A0B3A3}"/>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57" name="Rectangle: Rounded Corners 56">
            <a:hlinkClick xmlns:r="http://schemas.openxmlformats.org/officeDocument/2006/relationships" r:id="rId33"/>
            <a:extLst>
              <a:ext uri="{FF2B5EF4-FFF2-40B4-BE49-F238E27FC236}">
                <a16:creationId xmlns:a16="http://schemas.microsoft.com/office/drawing/2014/main" id="{D9685ABC-E69A-682C-D72B-DE7DDA5B4E62}"/>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62" name="Rectangle: Rounded Corners 61">
            <a:hlinkClick xmlns:r="http://schemas.openxmlformats.org/officeDocument/2006/relationships" r:id="rId34"/>
            <a:extLst>
              <a:ext uri="{FF2B5EF4-FFF2-40B4-BE49-F238E27FC236}">
                <a16:creationId xmlns:a16="http://schemas.microsoft.com/office/drawing/2014/main" id="{6ACFDFEC-7E0D-304A-1C1D-BDEBD42DBBA1}"/>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63" name="Rectangle: Rounded Corners 62">
            <a:hlinkClick xmlns:r="http://schemas.openxmlformats.org/officeDocument/2006/relationships" r:id="rId35"/>
            <a:extLst>
              <a:ext uri="{FF2B5EF4-FFF2-40B4-BE49-F238E27FC236}">
                <a16:creationId xmlns:a16="http://schemas.microsoft.com/office/drawing/2014/main" id="{054F4656-59EC-BB4C-ECF3-7F5B6CF0B91D}"/>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64" name="Rectangle: Rounded Corners 63">
            <a:hlinkClick xmlns:r="http://schemas.openxmlformats.org/officeDocument/2006/relationships" r:id="rId36"/>
            <a:extLst>
              <a:ext uri="{FF2B5EF4-FFF2-40B4-BE49-F238E27FC236}">
                <a16:creationId xmlns:a16="http://schemas.microsoft.com/office/drawing/2014/main" id="{9C795591-E0F7-8ECD-C44F-01FA1C6F9A9D}"/>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76" name="Rectangle: Rounded Corners 75">
            <a:hlinkClick xmlns:r="http://schemas.openxmlformats.org/officeDocument/2006/relationships" r:id="rId37"/>
            <a:extLst>
              <a:ext uri="{FF2B5EF4-FFF2-40B4-BE49-F238E27FC236}">
                <a16:creationId xmlns:a16="http://schemas.microsoft.com/office/drawing/2014/main" id="{8AAFDB10-DA89-6B47-1C7D-07BAA80081B3}"/>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77" name="Rectangle: Rounded Corners 76">
            <a:hlinkClick xmlns:r="http://schemas.openxmlformats.org/officeDocument/2006/relationships" r:id="rId38"/>
            <a:extLst>
              <a:ext uri="{FF2B5EF4-FFF2-40B4-BE49-F238E27FC236}">
                <a16:creationId xmlns:a16="http://schemas.microsoft.com/office/drawing/2014/main" id="{8BD9D233-17B0-C185-1FB1-81FC4F863CDF}"/>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78" name="Rectangle: Rounded Corners 77">
            <a:hlinkClick xmlns:r="http://schemas.openxmlformats.org/officeDocument/2006/relationships" r:id="rId39"/>
            <a:extLst>
              <a:ext uri="{FF2B5EF4-FFF2-40B4-BE49-F238E27FC236}">
                <a16:creationId xmlns:a16="http://schemas.microsoft.com/office/drawing/2014/main" id="{87B46245-8206-2791-5FF9-89098F4539BD}"/>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88" name="Rectangle: Rounded Corners 87">
            <a:hlinkClick xmlns:r="http://schemas.openxmlformats.org/officeDocument/2006/relationships" r:id="rId40"/>
            <a:extLst>
              <a:ext uri="{FF2B5EF4-FFF2-40B4-BE49-F238E27FC236}">
                <a16:creationId xmlns:a16="http://schemas.microsoft.com/office/drawing/2014/main" id="{1BBE1C11-96B7-B8BD-8E83-9728909B1300}"/>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90" name="TextBox 89">
            <a:extLst>
              <a:ext uri="{FF2B5EF4-FFF2-40B4-BE49-F238E27FC236}">
                <a16:creationId xmlns:a16="http://schemas.microsoft.com/office/drawing/2014/main" id="{B94F6387-15CE-0E84-8628-0677448A3E78}"/>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93" name="Group 92">
          <a:hlinkClick xmlns:r="http://schemas.openxmlformats.org/officeDocument/2006/relationships" r:id="rId29"/>
          <a:extLst>
            <a:ext uri="{FF2B5EF4-FFF2-40B4-BE49-F238E27FC236}">
              <a16:creationId xmlns:a16="http://schemas.microsoft.com/office/drawing/2014/main" id="{BAF378D8-B929-49D4-B888-8F014C2A5DF9}"/>
            </a:ext>
          </a:extLst>
        </xdr:cNvPr>
        <xdr:cNvGrpSpPr/>
      </xdr:nvGrpSpPr>
      <xdr:grpSpPr>
        <a:xfrm>
          <a:off x="9691116" y="0"/>
          <a:ext cx="411480" cy="1685544"/>
          <a:chOff x="9210675" y="19050"/>
          <a:chExt cx="390525" cy="1743075"/>
        </a:xfrm>
      </xdr:grpSpPr>
      <xdr:pic>
        <xdr:nvPicPr>
          <xdr:cNvPr id="94" name="Graphic 93" descr="Map compass with solid fill">
            <a:hlinkClick xmlns:r="http://schemas.openxmlformats.org/officeDocument/2006/relationships" r:id="rId41"/>
            <a:extLst>
              <a:ext uri="{FF2B5EF4-FFF2-40B4-BE49-F238E27FC236}">
                <a16:creationId xmlns:a16="http://schemas.microsoft.com/office/drawing/2014/main" id="{AD9D99C4-B2EF-9E45-652F-EEC1607874DD}"/>
              </a:ext>
            </a:extLst>
          </xdr:cNvPr>
          <xdr:cNvPicPr>
            <a:picLocks noChangeAspect="1"/>
          </xdr:cNvPicPr>
        </xdr:nvPicPr>
        <xdr:blipFill>
          <a:blip xmlns:r="http://schemas.openxmlformats.org/officeDocument/2006/relationships" r:embed="rId42">
            <a:duotone>
              <a:schemeClr val="accent6">
                <a:shade val="45000"/>
                <a:satMod val="135000"/>
              </a:schemeClr>
              <a:prstClr val="white"/>
            </a:duotone>
            <a:extLst>
              <a:ext uri="{96DAC541-7B7A-43D3-8B79-37D633B846F1}">
                <asvg:svgBlip xmlns:asvg="http://schemas.microsoft.com/office/drawing/2016/SVG/main" r:embed="rId43"/>
              </a:ext>
            </a:extLst>
          </a:blip>
          <a:stretch>
            <a:fillRect/>
          </a:stretch>
        </xdr:blipFill>
        <xdr:spPr>
          <a:xfrm>
            <a:off x="9229725" y="38099"/>
            <a:ext cx="369675" cy="369675"/>
          </a:xfrm>
          <a:prstGeom prst="rect">
            <a:avLst/>
          </a:prstGeom>
        </xdr:spPr>
      </xdr:pic>
      <xdr:sp macro="" textlink="">
        <xdr:nvSpPr>
          <xdr:cNvPr id="95" name="Right Arrow 50">
            <a:hlinkClick xmlns:r="http://schemas.openxmlformats.org/officeDocument/2006/relationships" r:id="rId33"/>
            <a:extLst>
              <a:ext uri="{FF2B5EF4-FFF2-40B4-BE49-F238E27FC236}">
                <a16:creationId xmlns:a16="http://schemas.microsoft.com/office/drawing/2014/main" id="{0C5247E8-C668-C0BA-DBFB-F3990D34E124}"/>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96" name="Right Arrow 50">
            <a:hlinkClick xmlns:r="http://schemas.openxmlformats.org/officeDocument/2006/relationships" r:id="rId38"/>
            <a:extLst>
              <a:ext uri="{FF2B5EF4-FFF2-40B4-BE49-F238E27FC236}">
                <a16:creationId xmlns:a16="http://schemas.microsoft.com/office/drawing/2014/main" id="{F31E3396-FDC6-1393-DA71-61698DBBAF94}"/>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97" name="Picture 96">
            <a:hlinkClick xmlns:r="http://schemas.openxmlformats.org/officeDocument/2006/relationships" r:id="rId29"/>
            <a:extLst>
              <a:ext uri="{FF2B5EF4-FFF2-40B4-BE49-F238E27FC236}">
                <a16:creationId xmlns:a16="http://schemas.microsoft.com/office/drawing/2014/main" id="{530A5F5E-3227-5379-3052-0206CA1E608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102" name="Rectangle 101">
            <a:extLst>
              <a:ext uri="{FF2B5EF4-FFF2-40B4-BE49-F238E27FC236}">
                <a16:creationId xmlns:a16="http://schemas.microsoft.com/office/drawing/2014/main" id="{A5FF420A-FB07-265D-C858-5B57948F3113}"/>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10" name="Down Arrow 44">
          <a:hlinkClick xmlns:r="http://schemas.openxmlformats.org/officeDocument/2006/relationships" r:id="rId37"/>
          <a:extLst>
            <a:ext uri="{FF2B5EF4-FFF2-40B4-BE49-F238E27FC236}">
              <a16:creationId xmlns:a16="http://schemas.microsoft.com/office/drawing/2014/main" id="{E7762A75-4C7A-4FC8-8CD0-D7E267FC2A15}"/>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11" name="Down Arrow 44">
          <a:hlinkClick xmlns:r="http://schemas.openxmlformats.org/officeDocument/2006/relationships" r:id="rId37"/>
          <a:extLst>
            <a:ext uri="{FF2B5EF4-FFF2-40B4-BE49-F238E27FC236}">
              <a16:creationId xmlns:a16="http://schemas.microsoft.com/office/drawing/2014/main" id="{68A51069-7FC0-4462-99F6-03E5D01BBB4D}"/>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101</xdr:row>
      <xdr:rowOff>0</xdr:rowOff>
    </xdr:from>
    <xdr:ext cx="252000" cy="288000"/>
    <xdr:sp macro="" textlink="">
      <xdr:nvSpPr>
        <xdr:cNvPr id="12" name="Down Arrow 44">
          <a:hlinkClick xmlns:r="http://schemas.openxmlformats.org/officeDocument/2006/relationships" r:id="rId37"/>
          <a:extLst>
            <a:ext uri="{FF2B5EF4-FFF2-40B4-BE49-F238E27FC236}">
              <a16:creationId xmlns:a16="http://schemas.microsoft.com/office/drawing/2014/main" id="{3806008C-B1CE-4A9D-8884-3F0DB0F9E720}"/>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167</xdr:row>
      <xdr:rowOff>0</xdr:rowOff>
    </xdr:from>
    <xdr:ext cx="252000" cy="288000"/>
    <xdr:sp macro="" textlink="">
      <xdr:nvSpPr>
        <xdr:cNvPr id="14" name="Down Arrow 44">
          <a:hlinkClick xmlns:r="http://schemas.openxmlformats.org/officeDocument/2006/relationships" r:id="rId37"/>
          <a:extLst>
            <a:ext uri="{FF2B5EF4-FFF2-40B4-BE49-F238E27FC236}">
              <a16:creationId xmlns:a16="http://schemas.microsoft.com/office/drawing/2014/main" id="{9F2CAFAC-B802-47FF-9ABD-EB09D2E2A733}"/>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202</xdr:row>
      <xdr:rowOff>0</xdr:rowOff>
    </xdr:from>
    <xdr:ext cx="252000" cy="288000"/>
    <xdr:sp macro="" textlink="">
      <xdr:nvSpPr>
        <xdr:cNvPr id="15" name="Down Arrow 44">
          <a:hlinkClick xmlns:r="http://schemas.openxmlformats.org/officeDocument/2006/relationships" r:id="rId37"/>
          <a:extLst>
            <a:ext uri="{FF2B5EF4-FFF2-40B4-BE49-F238E27FC236}">
              <a16:creationId xmlns:a16="http://schemas.microsoft.com/office/drawing/2014/main" id="{5828D1B3-AAC6-497E-AE1C-D0F64B48CEA5}"/>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235</xdr:row>
      <xdr:rowOff>0</xdr:rowOff>
    </xdr:from>
    <xdr:ext cx="252000" cy="288000"/>
    <xdr:sp macro="" textlink="">
      <xdr:nvSpPr>
        <xdr:cNvPr id="16" name="Down Arrow 44">
          <a:hlinkClick xmlns:r="http://schemas.openxmlformats.org/officeDocument/2006/relationships" r:id="rId37"/>
          <a:extLst>
            <a:ext uri="{FF2B5EF4-FFF2-40B4-BE49-F238E27FC236}">
              <a16:creationId xmlns:a16="http://schemas.microsoft.com/office/drawing/2014/main" id="{7607B445-68E8-4C25-AAF2-94A4C5B1E52F}"/>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268</xdr:row>
      <xdr:rowOff>0</xdr:rowOff>
    </xdr:from>
    <xdr:ext cx="252000" cy="288000"/>
    <xdr:sp macro="" textlink="">
      <xdr:nvSpPr>
        <xdr:cNvPr id="17" name="Down Arrow 44">
          <a:hlinkClick xmlns:r="http://schemas.openxmlformats.org/officeDocument/2006/relationships" r:id="rId37"/>
          <a:extLst>
            <a:ext uri="{FF2B5EF4-FFF2-40B4-BE49-F238E27FC236}">
              <a16:creationId xmlns:a16="http://schemas.microsoft.com/office/drawing/2014/main" id="{1E7DFEAE-DF25-42A7-8422-33F59EFD3391}"/>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301</xdr:row>
      <xdr:rowOff>0</xdr:rowOff>
    </xdr:from>
    <xdr:ext cx="252000" cy="288000"/>
    <xdr:sp macro="" textlink="">
      <xdr:nvSpPr>
        <xdr:cNvPr id="18" name="Down Arrow 44">
          <a:hlinkClick xmlns:r="http://schemas.openxmlformats.org/officeDocument/2006/relationships" r:id="rId37"/>
          <a:extLst>
            <a:ext uri="{FF2B5EF4-FFF2-40B4-BE49-F238E27FC236}">
              <a16:creationId xmlns:a16="http://schemas.microsoft.com/office/drawing/2014/main" id="{F6A7F226-6480-41D5-9983-AB63431B464D}"/>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336</xdr:row>
      <xdr:rowOff>0</xdr:rowOff>
    </xdr:from>
    <xdr:ext cx="252000" cy="288000"/>
    <xdr:sp macro="" textlink="">
      <xdr:nvSpPr>
        <xdr:cNvPr id="19" name="Down Arrow 44">
          <a:hlinkClick xmlns:r="http://schemas.openxmlformats.org/officeDocument/2006/relationships" r:id="rId37"/>
          <a:extLst>
            <a:ext uri="{FF2B5EF4-FFF2-40B4-BE49-F238E27FC236}">
              <a16:creationId xmlns:a16="http://schemas.microsoft.com/office/drawing/2014/main" id="{76DFA4B4-2156-4278-A531-B392CD604EE4}"/>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369</xdr:row>
      <xdr:rowOff>0</xdr:rowOff>
    </xdr:from>
    <xdr:ext cx="252000" cy="288000"/>
    <xdr:sp macro="" textlink="">
      <xdr:nvSpPr>
        <xdr:cNvPr id="20" name="Down Arrow 44">
          <a:hlinkClick xmlns:r="http://schemas.openxmlformats.org/officeDocument/2006/relationships" r:id="rId37"/>
          <a:extLst>
            <a:ext uri="{FF2B5EF4-FFF2-40B4-BE49-F238E27FC236}">
              <a16:creationId xmlns:a16="http://schemas.microsoft.com/office/drawing/2014/main" id="{F3B9698E-7674-44ED-8F71-55F06AB2E337}"/>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133350</xdr:colOff>
      <xdr:row>6</xdr:row>
      <xdr:rowOff>0</xdr:rowOff>
    </xdr:to>
    <xdr:sp macro="" textlink="">
      <xdr:nvSpPr>
        <xdr:cNvPr id="2" name="AutoShape 2">
          <a:extLst>
            <a:ext uri="{FF2B5EF4-FFF2-40B4-BE49-F238E27FC236}">
              <a16:creationId xmlns:a16="http://schemas.microsoft.com/office/drawing/2014/main" id="{00000000-0008-0000-0700-000002000000}"/>
            </a:ext>
          </a:extLst>
        </xdr:cNvPr>
        <xdr:cNvSpPr>
          <a:spLocks noChangeArrowheads="1"/>
        </xdr:cNvSpPr>
      </xdr:nvSpPr>
      <xdr:spPr bwMode="auto">
        <a:xfrm>
          <a:off x="266700" y="266700"/>
          <a:ext cx="3581400" cy="1657350"/>
        </a:xfrm>
        <a:prstGeom prst="roundRect">
          <a:avLst>
            <a:gd name="adj" fmla="val 16667"/>
          </a:avLst>
        </a:prstGeom>
        <a:solidFill>
          <a:srgbClr val="C85100"/>
        </a:solidFill>
        <a:ln w="19050">
          <a:solidFill>
            <a:srgbClr val="C85100"/>
          </a:solidFill>
          <a:round/>
          <a:headEnd/>
          <a:tailEnd/>
        </a:ln>
      </xdr:spPr>
      <xdr:txBody>
        <a:bodyPr vertOverflow="clip" wrap="square" lIns="54864" tIns="41148" rIns="54864" bIns="41148" anchor="ctr" upright="1"/>
        <a:lstStyle/>
        <a:p>
          <a:pPr algn="ctr" rtl="0">
            <a:defRPr sz="1000"/>
          </a:pPr>
          <a:r>
            <a:rPr lang="en-GB" sz="2500" b="1" i="0" u="none" strike="noStrike" baseline="0">
              <a:solidFill>
                <a:srgbClr val="FFFFFF"/>
              </a:solidFill>
              <a:latin typeface="Arial"/>
              <a:cs typeface="Arial"/>
            </a:rPr>
            <a:t>Children's Social Care Benchmarking</a:t>
          </a:r>
        </a:p>
        <a:p>
          <a:pPr algn="ctr" rtl="0">
            <a:defRPr sz="1000"/>
          </a:pPr>
          <a:r>
            <a:rPr lang="en-GB" sz="2000" b="1" i="0" u="none" strike="noStrike" baseline="0">
              <a:solidFill>
                <a:srgbClr val="FFCC99"/>
              </a:solidFill>
              <a:latin typeface="Arial"/>
              <a:cs typeface="Arial"/>
            </a:rPr>
            <a:t>Sector-Led Improvement</a:t>
          </a:r>
        </a:p>
      </xdr:txBody>
    </xdr:sp>
    <xdr:clientData/>
  </xdr:twoCellAnchor>
  <xdr:twoCellAnchor>
    <xdr:from>
      <xdr:col>7</xdr:col>
      <xdr:colOff>259180</xdr:colOff>
      <xdr:row>25</xdr:row>
      <xdr:rowOff>0</xdr:rowOff>
    </xdr:from>
    <xdr:to>
      <xdr:col>10</xdr:col>
      <xdr:colOff>0</xdr:colOff>
      <xdr:row>30</xdr:row>
      <xdr:rowOff>163966</xdr:rowOff>
    </xdr:to>
    <xdr:pic>
      <xdr:nvPicPr>
        <xdr:cNvPr id="6265" name="Picture 3" descr="ESCC_logo_RGB">
          <a:extLst>
            <a:ext uri="{FF2B5EF4-FFF2-40B4-BE49-F238E27FC236}">
              <a16:creationId xmlns:a16="http://schemas.microsoft.com/office/drawing/2014/main" id="{00000000-0008-0000-0700-000079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12480" y="5667375"/>
          <a:ext cx="1350545" cy="916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23</xdr:row>
      <xdr:rowOff>0</xdr:rowOff>
    </xdr:from>
    <xdr:to>
      <xdr:col>4</xdr:col>
      <xdr:colOff>304800</xdr:colOff>
      <xdr:row>25</xdr:row>
      <xdr:rowOff>0</xdr:rowOff>
    </xdr:to>
    <xdr:sp macro="" textlink="">
      <xdr:nvSpPr>
        <xdr:cNvPr id="1025" name="0bDyKzIGauR6eM:" descr="Image result for house icon free">
          <a:extLst>
            <a:ext uri="{FF2B5EF4-FFF2-40B4-BE49-F238E27FC236}">
              <a16:creationId xmlns:a16="http://schemas.microsoft.com/office/drawing/2014/main" id="{00000000-0008-0000-0700-000001040000}"/>
            </a:ext>
          </a:extLst>
        </xdr:cNvPr>
        <xdr:cNvSpPr>
          <a:spLocks noChangeAspect="1" noChangeArrowheads="1"/>
        </xdr:cNvSpPr>
      </xdr:nvSpPr>
      <xdr:spPr bwMode="auto">
        <a:xfrm>
          <a:off x="3962400" y="547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32</xdr:row>
      <xdr:rowOff>0</xdr:rowOff>
    </xdr:from>
    <xdr:to>
      <xdr:col>6</xdr:col>
      <xdr:colOff>133350</xdr:colOff>
      <xdr:row>51</xdr:row>
      <xdr:rowOff>114300</xdr:rowOff>
    </xdr:to>
    <xdr:sp macro="" textlink="">
      <xdr:nvSpPr>
        <xdr:cNvPr id="1026" name="AutoShape 2" descr="Image result for house icon free">
          <a:extLst>
            <a:ext uri="{FF2B5EF4-FFF2-40B4-BE49-F238E27FC236}">
              <a16:creationId xmlns:a16="http://schemas.microsoft.com/office/drawing/2014/main" id="{00000000-0008-0000-0700-000002040000}"/>
            </a:ext>
          </a:extLst>
        </xdr:cNvPr>
        <xdr:cNvSpPr>
          <a:spLocks noChangeAspect="1" noChangeArrowheads="1"/>
        </xdr:cNvSpPr>
      </xdr:nvSpPr>
      <xdr:spPr bwMode="auto">
        <a:xfrm>
          <a:off x="3676650" y="7067550"/>
          <a:ext cx="3495675" cy="2828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581023</xdr:colOff>
      <xdr:row>19</xdr:row>
      <xdr:rowOff>400050</xdr:rowOff>
    </xdr:from>
    <xdr:to>
      <xdr:col>7</xdr:col>
      <xdr:colOff>619124</xdr:colOff>
      <xdr:row>21</xdr:row>
      <xdr:rowOff>419100</xdr:rowOff>
    </xdr:to>
    <xdr:sp macro="" textlink="">
      <xdr:nvSpPr>
        <xdr:cNvPr id="30" name="TextBox 29">
          <a:hlinkClick xmlns:r="http://schemas.openxmlformats.org/officeDocument/2006/relationships" r:id="rId2"/>
          <a:extLst>
            <a:ext uri="{FF2B5EF4-FFF2-40B4-BE49-F238E27FC236}">
              <a16:creationId xmlns:a16="http://schemas.microsoft.com/office/drawing/2014/main" id="{E2B5297D-A2A7-CC8D-2611-4CEF1B993D66}"/>
            </a:ext>
          </a:extLst>
        </xdr:cNvPr>
        <xdr:cNvSpPr txBox="1"/>
      </xdr:nvSpPr>
      <xdr:spPr>
        <a:xfrm>
          <a:off x="809623" y="4371975"/>
          <a:ext cx="7162801" cy="742950"/>
        </a:xfrm>
        <a:prstGeom prst="rect">
          <a:avLst/>
        </a:prstGeom>
        <a:solidFill>
          <a:srgbClr val="FFFF00"/>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a:latin typeface="Arial" panose="020B0604020202020204" pitchFamily="34" charset="0"/>
              <a:cs typeface="Arial" panose="020B0604020202020204" pitchFamily="34" charset="0"/>
            </a:rPr>
            <a:t>If you</a:t>
          </a:r>
          <a:r>
            <a:rPr lang="en-GB" sz="2000" b="1" baseline="0">
              <a:latin typeface="Arial" panose="020B0604020202020204" pitchFamily="34" charset="0"/>
              <a:cs typeface="Arial" panose="020B0604020202020204" pitchFamily="34" charset="0"/>
            </a:rPr>
            <a:t> are viewing the excel version of this report please click here to access full report navigation</a:t>
          </a:r>
          <a:endParaRPr lang="en-GB" sz="2000" b="1">
            <a:latin typeface="Arial" panose="020B0604020202020204" pitchFamily="34" charset="0"/>
            <a:cs typeface="Arial" panose="020B0604020202020204" pitchFamily="34" charset="0"/>
          </a:endParaRPr>
        </a:p>
      </xdr:txBody>
    </xdr:sp>
    <xdr:clientData fPrintsWithSheet="0"/>
  </xdr:twoCellAnchor>
  <xdr:twoCellAnchor editAs="oneCell">
    <xdr:from>
      <xdr:col>1</xdr:col>
      <xdr:colOff>0</xdr:colOff>
      <xdr:row>25</xdr:row>
      <xdr:rowOff>118168</xdr:rowOff>
    </xdr:from>
    <xdr:to>
      <xdr:col>2</xdr:col>
      <xdr:colOff>1171575</xdr:colOff>
      <xdr:row>31</xdr:row>
      <xdr:rowOff>0</xdr:rowOff>
    </xdr:to>
    <xdr:pic>
      <xdr:nvPicPr>
        <xdr:cNvPr id="34" name="Picture 33">
          <a:extLst>
            <a:ext uri="{FF2B5EF4-FFF2-40B4-BE49-F238E27FC236}">
              <a16:creationId xmlns:a16="http://schemas.microsoft.com/office/drawing/2014/main" id="{314AA0C2-9383-9711-E8F5-73CD58F64CFC}"/>
            </a:ext>
          </a:extLst>
        </xdr:cNvPr>
        <xdr:cNvPicPr>
          <a:picLocks noChangeAspect="1"/>
        </xdr:cNvPicPr>
      </xdr:nvPicPr>
      <xdr:blipFill>
        <a:blip xmlns:r="http://schemas.openxmlformats.org/officeDocument/2006/relationships" r:embed="rId3"/>
        <a:stretch>
          <a:fillRect/>
        </a:stretch>
      </xdr:blipFill>
      <xdr:spPr>
        <a:xfrm>
          <a:off x="228600" y="5785543"/>
          <a:ext cx="2314575" cy="805757"/>
        </a:xfrm>
        <a:prstGeom prst="rect">
          <a:avLst/>
        </a:prstGeom>
        <a:ln>
          <a:solidFill>
            <a:schemeClr val="tx1">
              <a:lumMod val="75000"/>
              <a:lumOff val="25000"/>
            </a:schemeClr>
          </a:solid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64</xdr:row>
      <xdr:rowOff>542924</xdr:rowOff>
    </xdr:to>
    <xdr:graphicFrame macro="">
      <xdr:nvGraphicFramePr>
        <xdr:cNvPr id="6" name="Chart 13">
          <a:extLst>
            <a:ext uri="{FF2B5EF4-FFF2-40B4-BE49-F238E27FC236}">
              <a16:creationId xmlns:a16="http://schemas.microsoft.com/office/drawing/2014/main" id="{00000000-0008-0000-1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200025</xdr:colOff>
      <xdr:row>61</xdr:row>
      <xdr:rowOff>57150</xdr:rowOff>
    </xdr:from>
    <xdr:to>
      <xdr:col>10</xdr:col>
      <xdr:colOff>276225</xdr:colOff>
      <xdr:row>61</xdr:row>
      <xdr:rowOff>133350</xdr:rowOff>
    </xdr:to>
    <xdr:sp macro="" textlink="">
      <xdr:nvSpPr>
        <xdr:cNvPr id="7" name="Oval 2165">
          <a:extLst>
            <a:ext uri="{FF2B5EF4-FFF2-40B4-BE49-F238E27FC236}">
              <a16:creationId xmlns:a16="http://schemas.microsoft.com/office/drawing/2014/main" id="{00000000-0008-0000-1900-000007000000}"/>
            </a:ext>
          </a:extLst>
        </xdr:cNvPr>
        <xdr:cNvSpPr>
          <a:spLocks noChangeArrowheads="1"/>
        </xdr:cNvSpPr>
      </xdr:nvSpPr>
      <xdr:spPr bwMode="auto">
        <a:xfrm>
          <a:off x="4733925" y="11344275"/>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editAs="absolute">
    <xdr:from>
      <xdr:col>14</xdr:col>
      <xdr:colOff>441321</xdr:colOff>
      <xdr:row>0</xdr:row>
      <xdr:rowOff>82550</xdr:rowOff>
    </xdr:from>
    <xdr:to>
      <xdr:col>19</xdr:col>
      <xdr:colOff>58146</xdr:colOff>
      <xdr:row>2</xdr:row>
      <xdr:rowOff>146300</xdr:rowOff>
    </xdr:to>
    <xdr:sp macro="" textlink="">
      <xdr:nvSpPr>
        <xdr:cNvPr id="8" name="AutoShape 32">
          <a:extLst>
            <a:ext uri="{FF2B5EF4-FFF2-40B4-BE49-F238E27FC236}">
              <a16:creationId xmlns:a16="http://schemas.microsoft.com/office/drawing/2014/main" id="{00000000-0008-0000-1900-000008000000}"/>
            </a:ext>
          </a:extLst>
        </xdr:cNvPr>
        <xdr:cNvSpPr>
          <a:spLocks noChangeArrowheads="1"/>
        </xdr:cNvSpPr>
      </xdr:nvSpPr>
      <xdr:spPr bwMode="auto">
        <a:xfrm>
          <a:off x="6956421" y="82550"/>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0</xdr:colOff>
      <xdr:row>62</xdr:row>
      <xdr:rowOff>0</xdr:rowOff>
    </xdr:from>
    <xdr:to>
      <xdr:col>19</xdr:col>
      <xdr:colOff>1</xdr:colOff>
      <xdr:row>65</xdr:row>
      <xdr:rowOff>0</xdr:rowOff>
    </xdr:to>
    <xdr:graphicFrame macro="">
      <xdr:nvGraphicFramePr>
        <xdr:cNvPr id="9" name="Chart 13">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21</xdr:col>
          <xdr:colOff>85725</xdr:colOff>
          <xdr:row>36</xdr:row>
          <xdr:rowOff>38100</xdr:rowOff>
        </xdr:from>
        <xdr:to>
          <xdr:col>38</xdr:col>
          <xdr:colOff>57150</xdr:colOff>
          <xdr:row>38</xdr:row>
          <xdr:rowOff>19050</xdr:rowOff>
        </xdr:to>
        <xdr:sp macro="" textlink="">
          <xdr:nvSpPr>
            <xdr:cNvPr id="108545" name="Check Box 1" hidden="1">
              <a:extLst>
                <a:ext uri="{63B3BB69-23CF-44E3-9099-C40C66FF867C}">
                  <a14:compatExt spid="_x0000_s108545"/>
                </a:ext>
                <a:ext uri="{FF2B5EF4-FFF2-40B4-BE49-F238E27FC236}">
                  <a16:creationId xmlns:a16="http://schemas.microsoft.com/office/drawing/2014/main" id="{00000000-0008-0000-1A00-00000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37</xdr:row>
          <xdr:rowOff>161925</xdr:rowOff>
        </xdr:from>
        <xdr:to>
          <xdr:col>38</xdr:col>
          <xdr:colOff>57150</xdr:colOff>
          <xdr:row>39</xdr:row>
          <xdr:rowOff>19050</xdr:rowOff>
        </xdr:to>
        <xdr:sp macro="" textlink="">
          <xdr:nvSpPr>
            <xdr:cNvPr id="108546" name="Check Box 2" hidden="1">
              <a:extLst>
                <a:ext uri="{63B3BB69-23CF-44E3-9099-C40C66FF867C}">
                  <a14:compatExt spid="_x0000_s108546"/>
                </a:ext>
                <a:ext uri="{FF2B5EF4-FFF2-40B4-BE49-F238E27FC236}">
                  <a16:creationId xmlns:a16="http://schemas.microsoft.com/office/drawing/2014/main" id="{00000000-0008-0000-1A00-00000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38</xdr:row>
          <xdr:rowOff>161925</xdr:rowOff>
        </xdr:from>
        <xdr:to>
          <xdr:col>38</xdr:col>
          <xdr:colOff>57150</xdr:colOff>
          <xdr:row>40</xdr:row>
          <xdr:rowOff>19050</xdr:rowOff>
        </xdr:to>
        <xdr:sp macro="" textlink="">
          <xdr:nvSpPr>
            <xdr:cNvPr id="108547" name="Check Box 3" hidden="1">
              <a:extLst>
                <a:ext uri="{63B3BB69-23CF-44E3-9099-C40C66FF867C}">
                  <a14:compatExt spid="_x0000_s108547"/>
                </a:ext>
                <a:ext uri="{FF2B5EF4-FFF2-40B4-BE49-F238E27FC236}">
                  <a16:creationId xmlns:a16="http://schemas.microsoft.com/office/drawing/2014/main" id="{00000000-0008-0000-1A00-00000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39</xdr:row>
          <xdr:rowOff>161925</xdr:rowOff>
        </xdr:from>
        <xdr:to>
          <xdr:col>38</xdr:col>
          <xdr:colOff>57150</xdr:colOff>
          <xdr:row>41</xdr:row>
          <xdr:rowOff>19050</xdr:rowOff>
        </xdr:to>
        <xdr:sp macro="" textlink="">
          <xdr:nvSpPr>
            <xdr:cNvPr id="108548" name="Check Box 4" hidden="1">
              <a:extLst>
                <a:ext uri="{63B3BB69-23CF-44E3-9099-C40C66FF867C}">
                  <a14:compatExt spid="_x0000_s108548"/>
                </a:ext>
                <a:ext uri="{FF2B5EF4-FFF2-40B4-BE49-F238E27FC236}">
                  <a16:creationId xmlns:a16="http://schemas.microsoft.com/office/drawing/2014/main" id="{00000000-0008-0000-1A00-00000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40</xdr:row>
          <xdr:rowOff>161925</xdr:rowOff>
        </xdr:from>
        <xdr:to>
          <xdr:col>38</xdr:col>
          <xdr:colOff>57150</xdr:colOff>
          <xdr:row>42</xdr:row>
          <xdr:rowOff>19050</xdr:rowOff>
        </xdr:to>
        <xdr:sp macro="" textlink="">
          <xdr:nvSpPr>
            <xdr:cNvPr id="108549" name="Check Box 5" hidden="1">
              <a:extLst>
                <a:ext uri="{63B3BB69-23CF-44E3-9099-C40C66FF867C}">
                  <a14:compatExt spid="_x0000_s108549"/>
                </a:ext>
                <a:ext uri="{FF2B5EF4-FFF2-40B4-BE49-F238E27FC236}">
                  <a16:creationId xmlns:a16="http://schemas.microsoft.com/office/drawing/2014/main" id="{00000000-0008-0000-1A00-00000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41</xdr:row>
          <xdr:rowOff>161925</xdr:rowOff>
        </xdr:from>
        <xdr:to>
          <xdr:col>38</xdr:col>
          <xdr:colOff>57150</xdr:colOff>
          <xdr:row>43</xdr:row>
          <xdr:rowOff>19050</xdr:rowOff>
        </xdr:to>
        <xdr:sp macro="" textlink="">
          <xdr:nvSpPr>
            <xdr:cNvPr id="108550" name="Check Box 6" hidden="1">
              <a:extLst>
                <a:ext uri="{63B3BB69-23CF-44E3-9099-C40C66FF867C}">
                  <a14:compatExt spid="_x0000_s108550"/>
                </a:ext>
                <a:ext uri="{FF2B5EF4-FFF2-40B4-BE49-F238E27FC236}">
                  <a16:creationId xmlns:a16="http://schemas.microsoft.com/office/drawing/2014/main" id="{00000000-0008-0000-1A00-00000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42</xdr:row>
          <xdr:rowOff>161925</xdr:rowOff>
        </xdr:from>
        <xdr:to>
          <xdr:col>38</xdr:col>
          <xdr:colOff>57150</xdr:colOff>
          <xdr:row>44</xdr:row>
          <xdr:rowOff>19050</xdr:rowOff>
        </xdr:to>
        <xdr:sp macro="" textlink="">
          <xdr:nvSpPr>
            <xdr:cNvPr id="108551" name="Check Box 7" hidden="1">
              <a:extLst>
                <a:ext uri="{63B3BB69-23CF-44E3-9099-C40C66FF867C}">
                  <a14:compatExt spid="_x0000_s108551"/>
                </a:ext>
                <a:ext uri="{FF2B5EF4-FFF2-40B4-BE49-F238E27FC236}">
                  <a16:creationId xmlns:a16="http://schemas.microsoft.com/office/drawing/2014/main" id="{00000000-0008-0000-1A00-00000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43</xdr:row>
          <xdr:rowOff>161925</xdr:rowOff>
        </xdr:from>
        <xdr:to>
          <xdr:col>38</xdr:col>
          <xdr:colOff>57150</xdr:colOff>
          <xdr:row>45</xdr:row>
          <xdr:rowOff>19050</xdr:rowOff>
        </xdr:to>
        <xdr:sp macro="" textlink="">
          <xdr:nvSpPr>
            <xdr:cNvPr id="108552" name="Check Box 8" hidden="1">
              <a:extLst>
                <a:ext uri="{63B3BB69-23CF-44E3-9099-C40C66FF867C}">
                  <a14:compatExt spid="_x0000_s108552"/>
                </a:ext>
                <a:ext uri="{FF2B5EF4-FFF2-40B4-BE49-F238E27FC236}">
                  <a16:creationId xmlns:a16="http://schemas.microsoft.com/office/drawing/2014/main" id="{00000000-0008-0000-1A00-00000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44</xdr:row>
          <xdr:rowOff>161925</xdr:rowOff>
        </xdr:from>
        <xdr:to>
          <xdr:col>38</xdr:col>
          <xdr:colOff>57150</xdr:colOff>
          <xdr:row>46</xdr:row>
          <xdr:rowOff>19050</xdr:rowOff>
        </xdr:to>
        <xdr:sp macro="" textlink="">
          <xdr:nvSpPr>
            <xdr:cNvPr id="108553" name="Check Box 9" hidden="1">
              <a:extLst>
                <a:ext uri="{63B3BB69-23CF-44E3-9099-C40C66FF867C}">
                  <a14:compatExt spid="_x0000_s108553"/>
                </a:ext>
                <a:ext uri="{FF2B5EF4-FFF2-40B4-BE49-F238E27FC236}">
                  <a16:creationId xmlns:a16="http://schemas.microsoft.com/office/drawing/2014/main" id="{00000000-0008-0000-1A00-00000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45</xdr:row>
          <xdr:rowOff>161925</xdr:rowOff>
        </xdr:from>
        <xdr:to>
          <xdr:col>38</xdr:col>
          <xdr:colOff>57150</xdr:colOff>
          <xdr:row>47</xdr:row>
          <xdr:rowOff>19050</xdr:rowOff>
        </xdr:to>
        <xdr:sp macro="" textlink="">
          <xdr:nvSpPr>
            <xdr:cNvPr id="108554" name="Check Box 10" hidden="1">
              <a:extLst>
                <a:ext uri="{63B3BB69-23CF-44E3-9099-C40C66FF867C}">
                  <a14:compatExt spid="_x0000_s108554"/>
                </a:ext>
                <a:ext uri="{FF2B5EF4-FFF2-40B4-BE49-F238E27FC236}">
                  <a16:creationId xmlns:a16="http://schemas.microsoft.com/office/drawing/2014/main" id="{00000000-0008-0000-1A00-00000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46</xdr:row>
          <xdr:rowOff>161925</xdr:rowOff>
        </xdr:from>
        <xdr:to>
          <xdr:col>38</xdr:col>
          <xdr:colOff>57150</xdr:colOff>
          <xdr:row>48</xdr:row>
          <xdr:rowOff>19050</xdr:rowOff>
        </xdr:to>
        <xdr:sp macro="" textlink="">
          <xdr:nvSpPr>
            <xdr:cNvPr id="108555" name="Check Box 11" hidden="1">
              <a:extLst>
                <a:ext uri="{63B3BB69-23CF-44E3-9099-C40C66FF867C}">
                  <a14:compatExt spid="_x0000_s108555"/>
                </a:ext>
                <a:ext uri="{FF2B5EF4-FFF2-40B4-BE49-F238E27FC236}">
                  <a16:creationId xmlns:a16="http://schemas.microsoft.com/office/drawing/2014/main" id="{00000000-0008-0000-1A00-00000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47</xdr:row>
          <xdr:rowOff>161925</xdr:rowOff>
        </xdr:from>
        <xdr:to>
          <xdr:col>38</xdr:col>
          <xdr:colOff>57150</xdr:colOff>
          <xdr:row>49</xdr:row>
          <xdr:rowOff>19050</xdr:rowOff>
        </xdr:to>
        <xdr:sp macro="" textlink="">
          <xdr:nvSpPr>
            <xdr:cNvPr id="108556" name="Check Box 12" hidden="1">
              <a:extLst>
                <a:ext uri="{63B3BB69-23CF-44E3-9099-C40C66FF867C}">
                  <a14:compatExt spid="_x0000_s108556"/>
                </a:ext>
                <a:ext uri="{FF2B5EF4-FFF2-40B4-BE49-F238E27FC236}">
                  <a16:creationId xmlns:a16="http://schemas.microsoft.com/office/drawing/2014/main" id="{00000000-0008-0000-1A00-00000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48</xdr:row>
          <xdr:rowOff>161925</xdr:rowOff>
        </xdr:from>
        <xdr:to>
          <xdr:col>38</xdr:col>
          <xdr:colOff>57150</xdr:colOff>
          <xdr:row>50</xdr:row>
          <xdr:rowOff>19050</xdr:rowOff>
        </xdr:to>
        <xdr:sp macro="" textlink="">
          <xdr:nvSpPr>
            <xdr:cNvPr id="108557" name="Check Box 13" hidden="1">
              <a:extLst>
                <a:ext uri="{63B3BB69-23CF-44E3-9099-C40C66FF867C}">
                  <a14:compatExt spid="_x0000_s108557"/>
                </a:ext>
                <a:ext uri="{FF2B5EF4-FFF2-40B4-BE49-F238E27FC236}">
                  <a16:creationId xmlns:a16="http://schemas.microsoft.com/office/drawing/2014/main" id="{00000000-0008-0000-1A00-00000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49</xdr:row>
          <xdr:rowOff>161925</xdr:rowOff>
        </xdr:from>
        <xdr:to>
          <xdr:col>38</xdr:col>
          <xdr:colOff>57150</xdr:colOff>
          <xdr:row>51</xdr:row>
          <xdr:rowOff>19050</xdr:rowOff>
        </xdr:to>
        <xdr:sp macro="" textlink="">
          <xdr:nvSpPr>
            <xdr:cNvPr id="108559" name="Check Box 15" hidden="1">
              <a:extLst>
                <a:ext uri="{63B3BB69-23CF-44E3-9099-C40C66FF867C}">
                  <a14:compatExt spid="_x0000_s108559"/>
                </a:ext>
                <a:ext uri="{FF2B5EF4-FFF2-40B4-BE49-F238E27FC236}">
                  <a16:creationId xmlns:a16="http://schemas.microsoft.com/office/drawing/2014/main" id="{00000000-0008-0000-1A00-00000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50</xdr:row>
          <xdr:rowOff>161925</xdr:rowOff>
        </xdr:from>
        <xdr:to>
          <xdr:col>38</xdr:col>
          <xdr:colOff>57150</xdr:colOff>
          <xdr:row>52</xdr:row>
          <xdr:rowOff>19050</xdr:rowOff>
        </xdr:to>
        <xdr:sp macro="" textlink="">
          <xdr:nvSpPr>
            <xdr:cNvPr id="108560" name="Check Box 16" hidden="1">
              <a:extLst>
                <a:ext uri="{63B3BB69-23CF-44E3-9099-C40C66FF867C}">
                  <a14:compatExt spid="_x0000_s108560"/>
                </a:ext>
                <a:ext uri="{FF2B5EF4-FFF2-40B4-BE49-F238E27FC236}">
                  <a16:creationId xmlns:a16="http://schemas.microsoft.com/office/drawing/2014/main" id="{00000000-0008-0000-1A00-00001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51</xdr:row>
          <xdr:rowOff>171450</xdr:rowOff>
        </xdr:from>
        <xdr:to>
          <xdr:col>38</xdr:col>
          <xdr:colOff>57150</xdr:colOff>
          <xdr:row>53</xdr:row>
          <xdr:rowOff>28575</xdr:rowOff>
        </xdr:to>
        <xdr:sp macro="" textlink="">
          <xdr:nvSpPr>
            <xdr:cNvPr id="108561" name="Check Box 17" hidden="1">
              <a:extLst>
                <a:ext uri="{63B3BB69-23CF-44E3-9099-C40C66FF867C}">
                  <a14:compatExt spid="_x0000_s108561"/>
                </a:ext>
                <a:ext uri="{FF2B5EF4-FFF2-40B4-BE49-F238E27FC236}">
                  <a16:creationId xmlns:a16="http://schemas.microsoft.com/office/drawing/2014/main" id="{00000000-0008-0000-1A00-00001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52</xdr:row>
          <xdr:rowOff>171450</xdr:rowOff>
        </xdr:from>
        <xdr:to>
          <xdr:col>38</xdr:col>
          <xdr:colOff>57150</xdr:colOff>
          <xdr:row>54</xdr:row>
          <xdr:rowOff>28575</xdr:rowOff>
        </xdr:to>
        <xdr:sp macro="" textlink="">
          <xdr:nvSpPr>
            <xdr:cNvPr id="108562" name="Check Box 18" hidden="1">
              <a:extLst>
                <a:ext uri="{63B3BB69-23CF-44E3-9099-C40C66FF867C}">
                  <a14:compatExt spid="_x0000_s108562"/>
                </a:ext>
                <a:ext uri="{FF2B5EF4-FFF2-40B4-BE49-F238E27FC236}">
                  <a16:creationId xmlns:a16="http://schemas.microsoft.com/office/drawing/2014/main" id="{00000000-0008-0000-1A00-00001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53</xdr:row>
          <xdr:rowOff>171450</xdr:rowOff>
        </xdr:from>
        <xdr:to>
          <xdr:col>38</xdr:col>
          <xdr:colOff>57150</xdr:colOff>
          <xdr:row>55</xdr:row>
          <xdr:rowOff>28575</xdr:rowOff>
        </xdr:to>
        <xdr:sp macro="" textlink="">
          <xdr:nvSpPr>
            <xdr:cNvPr id="108563" name="Check Box 19" hidden="1">
              <a:extLst>
                <a:ext uri="{63B3BB69-23CF-44E3-9099-C40C66FF867C}">
                  <a14:compatExt spid="_x0000_s108563"/>
                </a:ext>
                <a:ext uri="{FF2B5EF4-FFF2-40B4-BE49-F238E27FC236}">
                  <a16:creationId xmlns:a16="http://schemas.microsoft.com/office/drawing/2014/main" id="{00000000-0008-0000-1A00-00001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54</xdr:row>
          <xdr:rowOff>171450</xdr:rowOff>
        </xdr:from>
        <xdr:to>
          <xdr:col>38</xdr:col>
          <xdr:colOff>57150</xdr:colOff>
          <xdr:row>56</xdr:row>
          <xdr:rowOff>28575</xdr:rowOff>
        </xdr:to>
        <xdr:sp macro="" textlink="">
          <xdr:nvSpPr>
            <xdr:cNvPr id="108564" name="Check Box 20" hidden="1">
              <a:extLst>
                <a:ext uri="{63B3BB69-23CF-44E3-9099-C40C66FF867C}">
                  <a14:compatExt spid="_x0000_s108564"/>
                </a:ext>
                <a:ext uri="{FF2B5EF4-FFF2-40B4-BE49-F238E27FC236}">
                  <a16:creationId xmlns:a16="http://schemas.microsoft.com/office/drawing/2014/main" id="{00000000-0008-0000-1A00-00001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55</xdr:row>
          <xdr:rowOff>171450</xdr:rowOff>
        </xdr:from>
        <xdr:to>
          <xdr:col>38</xdr:col>
          <xdr:colOff>57150</xdr:colOff>
          <xdr:row>57</xdr:row>
          <xdr:rowOff>28575</xdr:rowOff>
        </xdr:to>
        <xdr:sp macro="" textlink="">
          <xdr:nvSpPr>
            <xdr:cNvPr id="108565" name="Check Box 21" hidden="1">
              <a:extLst>
                <a:ext uri="{63B3BB69-23CF-44E3-9099-C40C66FF867C}">
                  <a14:compatExt spid="_x0000_s108565"/>
                </a:ext>
                <a:ext uri="{FF2B5EF4-FFF2-40B4-BE49-F238E27FC236}">
                  <a16:creationId xmlns:a16="http://schemas.microsoft.com/office/drawing/2014/main" id="{00000000-0008-0000-1A00-00001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198</xdr:row>
      <xdr:rowOff>0</xdr:rowOff>
    </xdr:from>
    <xdr:to>
      <xdr:col>8</xdr:col>
      <xdr:colOff>0</xdr:colOff>
      <xdr:row>201</xdr:row>
      <xdr:rowOff>0</xdr:rowOff>
    </xdr:to>
    <xdr:graphicFrame macro="">
      <xdr:nvGraphicFramePr>
        <xdr:cNvPr id="32" name="Chart 13">
          <a:extLst>
            <a:ext uri="{FF2B5EF4-FFF2-40B4-BE49-F238E27FC236}">
              <a16:creationId xmlns:a16="http://schemas.microsoft.com/office/drawing/2014/main" id="{00000000-0008-0000-1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312075</xdr:colOff>
      <xdr:row>172</xdr:row>
      <xdr:rowOff>0</xdr:rowOff>
    </xdr:from>
    <xdr:to>
      <xdr:col>19</xdr:col>
      <xdr:colOff>0</xdr:colOff>
      <xdr:row>201</xdr:row>
      <xdr:rowOff>0</xdr:rowOff>
    </xdr:to>
    <xdr:graphicFrame macro="">
      <xdr:nvGraphicFramePr>
        <xdr:cNvPr id="35" name="Chart 13">
          <a:extLst>
            <a:ext uri="{FF2B5EF4-FFF2-40B4-BE49-F238E27FC236}">
              <a16:creationId xmlns:a16="http://schemas.microsoft.com/office/drawing/2014/main" id="{00000000-0008-0000-1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absolute">
        <xdr:from>
          <xdr:col>21</xdr:col>
          <xdr:colOff>85725</xdr:colOff>
          <xdr:row>56</xdr:row>
          <xdr:rowOff>161925</xdr:rowOff>
        </xdr:from>
        <xdr:to>
          <xdr:col>38</xdr:col>
          <xdr:colOff>57150</xdr:colOff>
          <xdr:row>58</xdr:row>
          <xdr:rowOff>19050</xdr:rowOff>
        </xdr:to>
        <xdr:sp macro="" textlink="">
          <xdr:nvSpPr>
            <xdr:cNvPr id="108568" name="Check Box 24" hidden="1">
              <a:extLst>
                <a:ext uri="{63B3BB69-23CF-44E3-9099-C40C66FF867C}">
                  <a14:compatExt spid="_x0000_s108568"/>
                </a:ext>
                <a:ext uri="{FF2B5EF4-FFF2-40B4-BE49-F238E27FC236}">
                  <a16:creationId xmlns:a16="http://schemas.microsoft.com/office/drawing/2014/main" id="{00000000-0008-0000-1A00-00001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57150</xdr:colOff>
      <xdr:row>60</xdr:row>
      <xdr:rowOff>85725</xdr:rowOff>
    </xdr:from>
    <xdr:to>
      <xdr:col>10</xdr:col>
      <xdr:colOff>428625</xdr:colOff>
      <xdr:row>60</xdr:row>
      <xdr:rowOff>85725</xdr:rowOff>
    </xdr:to>
    <xdr:sp macro="" textlink="">
      <xdr:nvSpPr>
        <xdr:cNvPr id="40" name="Line 283">
          <a:extLst>
            <a:ext uri="{FF2B5EF4-FFF2-40B4-BE49-F238E27FC236}">
              <a16:creationId xmlns:a16="http://schemas.microsoft.com/office/drawing/2014/main" id="{00000000-0008-0000-1900-000028000000}"/>
            </a:ext>
          </a:extLst>
        </xdr:cNvPr>
        <xdr:cNvSpPr>
          <a:spLocks noChangeShapeType="1"/>
        </xdr:cNvSpPr>
      </xdr:nvSpPr>
      <xdr:spPr bwMode="auto">
        <a:xfrm>
          <a:off x="4591050" y="11191875"/>
          <a:ext cx="371475"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228600</xdr:colOff>
      <xdr:row>60</xdr:row>
      <xdr:rowOff>47625</xdr:rowOff>
    </xdr:from>
    <xdr:to>
      <xdr:col>14</xdr:col>
      <xdr:colOff>304800</xdr:colOff>
      <xdr:row>60</xdr:row>
      <xdr:rowOff>123825</xdr:rowOff>
    </xdr:to>
    <xdr:sp macro="" textlink="">
      <xdr:nvSpPr>
        <xdr:cNvPr id="41" name="Oval 2164">
          <a:extLst>
            <a:ext uri="{FF2B5EF4-FFF2-40B4-BE49-F238E27FC236}">
              <a16:creationId xmlns:a16="http://schemas.microsoft.com/office/drawing/2014/main" id="{00000000-0008-0000-1900-000029000000}"/>
            </a:ext>
          </a:extLst>
        </xdr:cNvPr>
        <xdr:cNvSpPr>
          <a:spLocks noChangeArrowheads="1"/>
        </xdr:cNvSpPr>
      </xdr:nvSpPr>
      <xdr:spPr bwMode="auto">
        <a:xfrm>
          <a:off x="7048500" y="1114425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xdr:col>
      <xdr:colOff>0</xdr:colOff>
      <xdr:row>165</xdr:row>
      <xdr:rowOff>0</xdr:rowOff>
    </xdr:from>
    <xdr:to>
      <xdr:col>8</xdr:col>
      <xdr:colOff>0</xdr:colOff>
      <xdr:row>168</xdr:row>
      <xdr:rowOff>0</xdr:rowOff>
    </xdr:to>
    <xdr:graphicFrame macro="">
      <xdr:nvGraphicFramePr>
        <xdr:cNvPr id="43" name="Chart 13">
          <a:extLst>
            <a:ext uri="{FF2B5EF4-FFF2-40B4-BE49-F238E27FC236}">
              <a16:creationId xmlns:a16="http://schemas.microsoft.com/office/drawing/2014/main" id="{00000000-0008-0000-19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137</xdr:row>
      <xdr:rowOff>95250</xdr:rowOff>
    </xdr:from>
    <xdr:to>
      <xdr:col>19</xdr:col>
      <xdr:colOff>0</xdr:colOff>
      <xdr:row>168</xdr:row>
      <xdr:rowOff>0</xdr:rowOff>
    </xdr:to>
    <xdr:graphicFrame macro="">
      <xdr:nvGraphicFramePr>
        <xdr:cNvPr id="44" name="Chart 13">
          <a:extLst>
            <a:ext uri="{FF2B5EF4-FFF2-40B4-BE49-F238E27FC236}">
              <a16:creationId xmlns:a16="http://schemas.microsoft.com/office/drawing/2014/main" id="{00000000-0008-0000-19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104</xdr:row>
      <xdr:rowOff>0</xdr:rowOff>
    </xdr:from>
    <xdr:to>
      <xdr:col>10</xdr:col>
      <xdr:colOff>0</xdr:colOff>
      <xdr:row>133</xdr:row>
      <xdr:rowOff>0</xdr:rowOff>
    </xdr:to>
    <xdr:graphicFrame macro="">
      <xdr:nvGraphicFramePr>
        <xdr:cNvPr id="63" name="Chart 13">
          <a:extLst>
            <a:ext uri="{FF2B5EF4-FFF2-40B4-BE49-F238E27FC236}">
              <a16:creationId xmlns:a16="http://schemas.microsoft.com/office/drawing/2014/main" id="{00000000-0008-0000-19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130</xdr:row>
      <xdr:rowOff>0</xdr:rowOff>
    </xdr:from>
    <xdr:to>
      <xdr:col>19</xdr:col>
      <xdr:colOff>0</xdr:colOff>
      <xdr:row>133</xdr:row>
      <xdr:rowOff>0</xdr:rowOff>
    </xdr:to>
    <xdr:graphicFrame macro="">
      <xdr:nvGraphicFramePr>
        <xdr:cNvPr id="48" name="Chart 13">
          <a:extLst>
            <a:ext uri="{FF2B5EF4-FFF2-40B4-BE49-F238E27FC236}">
              <a16:creationId xmlns:a16="http://schemas.microsoft.com/office/drawing/2014/main" id="{00000000-0008-0000-19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36</xdr:row>
      <xdr:rowOff>0</xdr:rowOff>
    </xdr:from>
    <xdr:to>
      <xdr:col>19</xdr:col>
      <xdr:colOff>0</xdr:colOff>
      <xdr:row>60</xdr:row>
      <xdr:rowOff>0</xdr:rowOff>
    </xdr:to>
    <xdr:graphicFrame macro="">
      <xdr:nvGraphicFramePr>
        <xdr:cNvPr id="47" name="Chart 176">
          <a:extLst>
            <a:ext uri="{FF2B5EF4-FFF2-40B4-BE49-F238E27FC236}">
              <a16:creationId xmlns:a16="http://schemas.microsoft.com/office/drawing/2014/main" id="{00000000-0008-0000-19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104</xdr:row>
      <xdr:rowOff>0</xdr:rowOff>
    </xdr:from>
    <xdr:to>
      <xdr:col>19</xdr:col>
      <xdr:colOff>0</xdr:colOff>
      <xdr:row>128</xdr:row>
      <xdr:rowOff>0</xdr:rowOff>
    </xdr:to>
    <xdr:graphicFrame macro="">
      <xdr:nvGraphicFramePr>
        <xdr:cNvPr id="64" name="Chart 176">
          <a:extLst>
            <a:ext uri="{FF2B5EF4-FFF2-40B4-BE49-F238E27FC236}">
              <a16:creationId xmlns:a16="http://schemas.microsoft.com/office/drawing/2014/main" id="{00000000-0008-0000-19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228600</xdr:colOff>
      <xdr:row>128</xdr:row>
      <xdr:rowOff>47625</xdr:rowOff>
    </xdr:from>
    <xdr:to>
      <xdr:col>14</xdr:col>
      <xdr:colOff>304800</xdr:colOff>
      <xdr:row>128</xdr:row>
      <xdr:rowOff>123825</xdr:rowOff>
    </xdr:to>
    <xdr:sp macro="" textlink="">
      <xdr:nvSpPr>
        <xdr:cNvPr id="67" name="Oval 2164">
          <a:extLst>
            <a:ext uri="{FF2B5EF4-FFF2-40B4-BE49-F238E27FC236}">
              <a16:creationId xmlns:a16="http://schemas.microsoft.com/office/drawing/2014/main" id="{00000000-0008-0000-1900-000043000000}"/>
            </a:ext>
          </a:extLst>
        </xdr:cNvPr>
        <xdr:cNvSpPr>
          <a:spLocks noChangeArrowheads="1"/>
        </xdr:cNvSpPr>
      </xdr:nvSpPr>
      <xdr:spPr bwMode="auto">
        <a:xfrm>
          <a:off x="7048500" y="1114425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editAs="absolute">
    <xdr:from>
      <xdr:col>14</xdr:col>
      <xdr:colOff>53974</xdr:colOff>
      <xdr:row>68</xdr:row>
      <xdr:rowOff>82550</xdr:rowOff>
    </xdr:from>
    <xdr:to>
      <xdr:col>18</xdr:col>
      <xdr:colOff>441349</xdr:colOff>
      <xdr:row>70</xdr:row>
      <xdr:rowOff>146300</xdr:rowOff>
    </xdr:to>
    <xdr:sp macro="" textlink="">
      <xdr:nvSpPr>
        <xdr:cNvPr id="69" name="AutoShape 32">
          <a:extLst>
            <a:ext uri="{FF2B5EF4-FFF2-40B4-BE49-F238E27FC236}">
              <a16:creationId xmlns:a16="http://schemas.microsoft.com/office/drawing/2014/main" id="{00000000-0008-0000-1900-000045000000}"/>
            </a:ext>
          </a:extLst>
        </xdr:cNvPr>
        <xdr:cNvSpPr>
          <a:spLocks noChangeArrowheads="1"/>
        </xdr:cNvSpPr>
      </xdr:nvSpPr>
      <xdr:spPr bwMode="auto">
        <a:xfrm>
          <a:off x="6569074" y="13589000"/>
          <a:ext cx="234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10</xdr:col>
      <xdr:colOff>200025</xdr:colOff>
      <xdr:row>129</xdr:row>
      <xdr:rowOff>57150</xdr:rowOff>
    </xdr:from>
    <xdr:to>
      <xdr:col>10</xdr:col>
      <xdr:colOff>276225</xdr:colOff>
      <xdr:row>129</xdr:row>
      <xdr:rowOff>133350</xdr:rowOff>
    </xdr:to>
    <xdr:sp macro="" textlink="">
      <xdr:nvSpPr>
        <xdr:cNvPr id="4" name="Oval 2165">
          <a:extLst>
            <a:ext uri="{FF2B5EF4-FFF2-40B4-BE49-F238E27FC236}">
              <a16:creationId xmlns:a16="http://schemas.microsoft.com/office/drawing/2014/main" id="{581B9BCF-AB06-4E24-A401-479C6B5689C5}"/>
            </a:ext>
          </a:extLst>
        </xdr:cNvPr>
        <xdr:cNvSpPr>
          <a:spLocks noChangeArrowheads="1"/>
        </xdr:cNvSpPr>
      </xdr:nvSpPr>
      <xdr:spPr bwMode="auto">
        <a:xfrm>
          <a:off x="4733925" y="24850725"/>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128</xdr:row>
      <xdr:rowOff>85725</xdr:rowOff>
    </xdr:from>
    <xdr:to>
      <xdr:col>10</xdr:col>
      <xdr:colOff>428625</xdr:colOff>
      <xdr:row>128</xdr:row>
      <xdr:rowOff>85725</xdr:rowOff>
    </xdr:to>
    <xdr:sp macro="" textlink="">
      <xdr:nvSpPr>
        <xdr:cNvPr id="5" name="Line 283">
          <a:extLst>
            <a:ext uri="{FF2B5EF4-FFF2-40B4-BE49-F238E27FC236}">
              <a16:creationId xmlns:a16="http://schemas.microsoft.com/office/drawing/2014/main" id="{60C14F09-35AC-4FF5-88E5-968C5E301326}"/>
            </a:ext>
          </a:extLst>
        </xdr:cNvPr>
        <xdr:cNvSpPr>
          <a:spLocks noChangeShapeType="1"/>
        </xdr:cNvSpPr>
      </xdr:nvSpPr>
      <xdr:spPr bwMode="auto">
        <a:xfrm>
          <a:off x="4591050" y="24698325"/>
          <a:ext cx="371475"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205</xdr:row>
      <xdr:rowOff>0</xdr:rowOff>
    </xdr:from>
    <xdr:to>
      <xdr:col>18</xdr:col>
      <xdr:colOff>171450</xdr:colOff>
      <xdr:row>240</xdr:row>
      <xdr:rowOff>47625</xdr:rowOff>
    </xdr:to>
    <xdr:grpSp>
      <xdr:nvGrpSpPr>
        <xdr:cNvPr id="46" name="Group 45">
          <a:extLst>
            <a:ext uri="{FF2B5EF4-FFF2-40B4-BE49-F238E27FC236}">
              <a16:creationId xmlns:a16="http://schemas.microsoft.com/office/drawing/2014/main" id="{1248CE4D-10F1-4013-BB68-5D17FBA99D93}"/>
            </a:ext>
          </a:extLst>
        </xdr:cNvPr>
        <xdr:cNvGrpSpPr/>
      </xdr:nvGrpSpPr>
      <xdr:grpSpPr>
        <a:xfrm>
          <a:off x="140208" y="32822388"/>
          <a:ext cx="8950452" cy="4899660"/>
          <a:chOff x="95250" y="95250"/>
          <a:chExt cx="7534275" cy="5048250"/>
        </a:xfrm>
      </xdr:grpSpPr>
      <xdr:sp macro="" textlink="">
        <xdr:nvSpPr>
          <xdr:cNvPr id="49" name="Rectangle 48">
            <a:extLst>
              <a:ext uri="{FF2B5EF4-FFF2-40B4-BE49-F238E27FC236}">
                <a16:creationId xmlns:a16="http://schemas.microsoft.com/office/drawing/2014/main" id="{C8FD443E-9CB4-A534-BC1A-33BE21162F7C}"/>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50" name="Rectangle: Rounded Corners 49">
            <a:hlinkClick xmlns:r="http://schemas.openxmlformats.org/officeDocument/2006/relationships" r:id="rId11"/>
            <a:extLst>
              <a:ext uri="{FF2B5EF4-FFF2-40B4-BE49-F238E27FC236}">
                <a16:creationId xmlns:a16="http://schemas.microsoft.com/office/drawing/2014/main" id="{F17027B6-2CDE-6E66-0639-CB775AFC54CA}"/>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51" name="Rectangle: Rounded Corners 50">
            <a:hlinkClick xmlns:r="http://schemas.openxmlformats.org/officeDocument/2006/relationships" r:id="rId12"/>
            <a:extLst>
              <a:ext uri="{FF2B5EF4-FFF2-40B4-BE49-F238E27FC236}">
                <a16:creationId xmlns:a16="http://schemas.microsoft.com/office/drawing/2014/main" id="{8A67DC30-362C-007C-460B-C10709477213}"/>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52" name="Rectangle: Rounded Corners 51">
            <a:hlinkClick xmlns:r="http://schemas.openxmlformats.org/officeDocument/2006/relationships" r:id="rId13"/>
            <a:extLst>
              <a:ext uri="{FF2B5EF4-FFF2-40B4-BE49-F238E27FC236}">
                <a16:creationId xmlns:a16="http://schemas.microsoft.com/office/drawing/2014/main" id="{6830AF35-201F-2350-C64F-4A233730C6F8}"/>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53" name="Rectangle: Rounded Corners 52">
            <a:hlinkClick xmlns:r="http://schemas.openxmlformats.org/officeDocument/2006/relationships" r:id="rId14"/>
            <a:extLst>
              <a:ext uri="{FF2B5EF4-FFF2-40B4-BE49-F238E27FC236}">
                <a16:creationId xmlns:a16="http://schemas.microsoft.com/office/drawing/2014/main" id="{057C4391-11BD-EABA-3E32-833B282D876E}"/>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54" name="Rectangle: Rounded Corners 53">
            <a:hlinkClick xmlns:r="http://schemas.openxmlformats.org/officeDocument/2006/relationships" r:id="rId15"/>
            <a:extLst>
              <a:ext uri="{FF2B5EF4-FFF2-40B4-BE49-F238E27FC236}">
                <a16:creationId xmlns:a16="http://schemas.microsoft.com/office/drawing/2014/main" id="{7C4808B1-BDB2-ADD0-AED9-BAED3905866D}"/>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55" name="Rectangle: Rounded Corners 54">
            <a:hlinkClick xmlns:r="http://schemas.openxmlformats.org/officeDocument/2006/relationships" r:id="rId16"/>
            <a:extLst>
              <a:ext uri="{FF2B5EF4-FFF2-40B4-BE49-F238E27FC236}">
                <a16:creationId xmlns:a16="http://schemas.microsoft.com/office/drawing/2014/main" id="{7F9B15BC-4FB1-3C6F-5E36-D99E3CA5EE12}"/>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56" name="Rectangle: Rounded Corners 55">
            <a:hlinkClick xmlns:r="http://schemas.openxmlformats.org/officeDocument/2006/relationships" r:id="rId17"/>
            <a:extLst>
              <a:ext uri="{FF2B5EF4-FFF2-40B4-BE49-F238E27FC236}">
                <a16:creationId xmlns:a16="http://schemas.microsoft.com/office/drawing/2014/main" id="{A08AC53F-264B-7F2F-C8E6-832517E2A89E}"/>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58" name="Rectangle: Rounded Corners 57">
            <a:hlinkClick xmlns:r="http://schemas.openxmlformats.org/officeDocument/2006/relationships" r:id="rId18"/>
            <a:extLst>
              <a:ext uri="{FF2B5EF4-FFF2-40B4-BE49-F238E27FC236}">
                <a16:creationId xmlns:a16="http://schemas.microsoft.com/office/drawing/2014/main" id="{27EA8DB9-3DA9-EDBB-59EB-1AEA1A708142}"/>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59" name="Rectangle: Rounded Corners 58">
            <a:hlinkClick xmlns:r="http://schemas.openxmlformats.org/officeDocument/2006/relationships" r:id="rId19"/>
            <a:extLst>
              <a:ext uri="{FF2B5EF4-FFF2-40B4-BE49-F238E27FC236}">
                <a16:creationId xmlns:a16="http://schemas.microsoft.com/office/drawing/2014/main" id="{2FAF01FA-BA27-E4BB-3776-5C796F385656}"/>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60" name="Group 59">
            <a:hlinkClick xmlns:r="http://schemas.openxmlformats.org/officeDocument/2006/relationships" r:id="rId20"/>
            <a:extLst>
              <a:ext uri="{FF2B5EF4-FFF2-40B4-BE49-F238E27FC236}">
                <a16:creationId xmlns:a16="http://schemas.microsoft.com/office/drawing/2014/main" id="{4280AEE8-C1C8-59AF-6A87-44CE5BDEDD0D}"/>
              </a:ext>
            </a:extLst>
          </xdr:cNvPr>
          <xdr:cNvGrpSpPr/>
        </xdr:nvGrpSpPr>
        <xdr:grpSpPr>
          <a:xfrm>
            <a:off x="190500" y="723900"/>
            <a:ext cx="1695450" cy="723900"/>
            <a:chOff x="190500" y="180975"/>
            <a:chExt cx="1800225" cy="723900"/>
          </a:xfrm>
        </xdr:grpSpPr>
        <xdr:sp macro="" textlink="">
          <xdr:nvSpPr>
            <xdr:cNvPr id="76" name="Rectangle: Rounded Corners 75">
              <a:hlinkClick xmlns:r="http://schemas.openxmlformats.org/officeDocument/2006/relationships" r:id="rId20"/>
              <a:extLst>
                <a:ext uri="{FF2B5EF4-FFF2-40B4-BE49-F238E27FC236}">
                  <a16:creationId xmlns:a16="http://schemas.microsoft.com/office/drawing/2014/main" id="{078242B8-0DFB-C1A0-0523-DAC1B4CA7EFE}"/>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77" name="Picture 76">
              <a:extLst>
                <a:ext uri="{FF2B5EF4-FFF2-40B4-BE49-F238E27FC236}">
                  <a16:creationId xmlns:a16="http://schemas.microsoft.com/office/drawing/2014/main" id="{6500B8B6-7DD0-F9A1-E50D-D88151A1426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61" name="Rectangle: Rounded Corners 60">
            <a:hlinkClick xmlns:r="http://schemas.openxmlformats.org/officeDocument/2006/relationships" r:id="rId22"/>
            <a:extLst>
              <a:ext uri="{FF2B5EF4-FFF2-40B4-BE49-F238E27FC236}">
                <a16:creationId xmlns:a16="http://schemas.microsoft.com/office/drawing/2014/main" id="{AEE98F9E-D302-12DC-92CE-A059229909CC}"/>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62" name="Rectangle: Rounded Corners 61">
            <a:hlinkClick xmlns:r="http://schemas.openxmlformats.org/officeDocument/2006/relationships" r:id="rId23"/>
            <a:extLst>
              <a:ext uri="{FF2B5EF4-FFF2-40B4-BE49-F238E27FC236}">
                <a16:creationId xmlns:a16="http://schemas.microsoft.com/office/drawing/2014/main" id="{83C59C3D-D547-7078-2C6A-0A7EE21C721D}"/>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65" name="Rectangle: Rounded Corners 64">
            <a:hlinkClick xmlns:r="http://schemas.openxmlformats.org/officeDocument/2006/relationships" r:id="rId24"/>
            <a:extLst>
              <a:ext uri="{FF2B5EF4-FFF2-40B4-BE49-F238E27FC236}">
                <a16:creationId xmlns:a16="http://schemas.microsoft.com/office/drawing/2014/main" id="{9F2BA27B-2C89-7A13-4F51-E236621ACFFD}"/>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66" name="Rectangle: Rounded Corners 65">
            <a:hlinkClick xmlns:r="http://schemas.openxmlformats.org/officeDocument/2006/relationships" r:id="rId25"/>
            <a:extLst>
              <a:ext uri="{FF2B5EF4-FFF2-40B4-BE49-F238E27FC236}">
                <a16:creationId xmlns:a16="http://schemas.microsoft.com/office/drawing/2014/main" id="{9A4C9CF4-AA43-49D2-7116-93DB52A73534}"/>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68" name="Rectangle: Rounded Corners 67">
            <a:hlinkClick xmlns:r="http://schemas.openxmlformats.org/officeDocument/2006/relationships" r:id="rId26"/>
            <a:extLst>
              <a:ext uri="{FF2B5EF4-FFF2-40B4-BE49-F238E27FC236}">
                <a16:creationId xmlns:a16="http://schemas.microsoft.com/office/drawing/2014/main" id="{11006B20-8936-9B1E-963C-7B9806CEEEBF}"/>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70" name="Rectangle: Rounded Corners 69">
            <a:hlinkClick xmlns:r="http://schemas.openxmlformats.org/officeDocument/2006/relationships" r:id="rId27"/>
            <a:extLst>
              <a:ext uri="{FF2B5EF4-FFF2-40B4-BE49-F238E27FC236}">
                <a16:creationId xmlns:a16="http://schemas.microsoft.com/office/drawing/2014/main" id="{851889C1-A3F9-55B7-2F9D-F8E2584AAC59}"/>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71" name="Rectangle: Rounded Corners 70">
            <a:hlinkClick xmlns:r="http://schemas.openxmlformats.org/officeDocument/2006/relationships" r:id="rId28"/>
            <a:extLst>
              <a:ext uri="{FF2B5EF4-FFF2-40B4-BE49-F238E27FC236}">
                <a16:creationId xmlns:a16="http://schemas.microsoft.com/office/drawing/2014/main" id="{7A3D991B-744E-9B68-8711-1AA632179D74}"/>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72" name="Rectangle: Rounded Corners 71">
            <a:hlinkClick xmlns:r="http://schemas.openxmlformats.org/officeDocument/2006/relationships" r:id="rId29"/>
            <a:extLst>
              <a:ext uri="{FF2B5EF4-FFF2-40B4-BE49-F238E27FC236}">
                <a16:creationId xmlns:a16="http://schemas.microsoft.com/office/drawing/2014/main" id="{357E91F9-B24B-EA1E-459F-4C3CB502C0E4}"/>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73" name="Rectangle: Rounded Corners 72">
            <a:hlinkClick xmlns:r="http://schemas.openxmlformats.org/officeDocument/2006/relationships" r:id="rId30"/>
            <a:extLst>
              <a:ext uri="{FF2B5EF4-FFF2-40B4-BE49-F238E27FC236}">
                <a16:creationId xmlns:a16="http://schemas.microsoft.com/office/drawing/2014/main" id="{8C810DD3-FD08-EF20-ABB7-AD9C3C47E145}"/>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74" name="Rectangle: Rounded Corners 73">
            <a:hlinkClick xmlns:r="http://schemas.openxmlformats.org/officeDocument/2006/relationships" r:id="rId31"/>
            <a:extLst>
              <a:ext uri="{FF2B5EF4-FFF2-40B4-BE49-F238E27FC236}">
                <a16:creationId xmlns:a16="http://schemas.microsoft.com/office/drawing/2014/main" id="{38D200DD-533A-AAAD-0D4F-B7AE2DCE6B41}"/>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75" name="TextBox 74">
            <a:extLst>
              <a:ext uri="{FF2B5EF4-FFF2-40B4-BE49-F238E27FC236}">
                <a16:creationId xmlns:a16="http://schemas.microsoft.com/office/drawing/2014/main" id="{BE7D6AB6-CEF0-DBC3-6E31-3F1285A6662B}"/>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20</xdr:col>
      <xdr:colOff>19050</xdr:colOff>
      <xdr:row>0</xdr:row>
      <xdr:rowOff>0</xdr:rowOff>
    </xdr:from>
    <xdr:to>
      <xdr:col>20</xdr:col>
      <xdr:colOff>409575</xdr:colOff>
      <xdr:row>8</xdr:row>
      <xdr:rowOff>66675</xdr:rowOff>
    </xdr:to>
    <xdr:grpSp>
      <xdr:nvGrpSpPr>
        <xdr:cNvPr id="78" name="Group 77">
          <a:hlinkClick xmlns:r="http://schemas.openxmlformats.org/officeDocument/2006/relationships" r:id="rId20"/>
          <a:extLst>
            <a:ext uri="{FF2B5EF4-FFF2-40B4-BE49-F238E27FC236}">
              <a16:creationId xmlns:a16="http://schemas.microsoft.com/office/drawing/2014/main" id="{CD41A88B-E65B-4072-A98A-E839BC70060B}"/>
            </a:ext>
          </a:extLst>
        </xdr:cNvPr>
        <xdr:cNvGrpSpPr/>
      </xdr:nvGrpSpPr>
      <xdr:grpSpPr>
        <a:xfrm>
          <a:off x="9691116" y="0"/>
          <a:ext cx="411480" cy="1685544"/>
          <a:chOff x="9210675" y="19050"/>
          <a:chExt cx="390525" cy="1743075"/>
        </a:xfrm>
      </xdr:grpSpPr>
      <xdr:pic>
        <xdr:nvPicPr>
          <xdr:cNvPr id="79" name="Graphic 78" descr="Map compass with solid fill">
            <a:hlinkClick xmlns:r="http://schemas.openxmlformats.org/officeDocument/2006/relationships" r:id="rId32"/>
            <a:extLst>
              <a:ext uri="{FF2B5EF4-FFF2-40B4-BE49-F238E27FC236}">
                <a16:creationId xmlns:a16="http://schemas.microsoft.com/office/drawing/2014/main" id="{2271F95D-E855-B657-230C-A9AFC953B4DD}"/>
              </a:ext>
            </a:extLst>
          </xdr:cNvPr>
          <xdr:cNvPicPr>
            <a:picLocks noChangeAspect="1"/>
          </xdr:cNvPicPr>
        </xdr:nvPicPr>
        <xdr:blipFill>
          <a:blip xmlns:r="http://schemas.openxmlformats.org/officeDocument/2006/relationships" r:embed="rId33">
            <a:duotone>
              <a:schemeClr val="accent6">
                <a:shade val="45000"/>
                <a:satMod val="135000"/>
              </a:schemeClr>
              <a:prstClr val="white"/>
            </a:duotone>
            <a:extLst>
              <a:ext uri="{96DAC541-7B7A-43D3-8B79-37D633B846F1}">
                <asvg:svgBlip xmlns:asvg="http://schemas.microsoft.com/office/drawing/2016/SVG/main" r:embed="rId34"/>
              </a:ext>
            </a:extLst>
          </a:blip>
          <a:stretch>
            <a:fillRect/>
          </a:stretch>
        </xdr:blipFill>
        <xdr:spPr>
          <a:xfrm>
            <a:off x="9229725" y="38099"/>
            <a:ext cx="369675" cy="369675"/>
          </a:xfrm>
          <a:prstGeom prst="rect">
            <a:avLst/>
          </a:prstGeom>
        </xdr:spPr>
      </xdr:pic>
      <xdr:sp macro="" textlink="">
        <xdr:nvSpPr>
          <xdr:cNvPr id="80" name="Right Arrow 50">
            <a:hlinkClick xmlns:r="http://schemas.openxmlformats.org/officeDocument/2006/relationships" r:id="rId28"/>
            <a:extLst>
              <a:ext uri="{FF2B5EF4-FFF2-40B4-BE49-F238E27FC236}">
                <a16:creationId xmlns:a16="http://schemas.microsoft.com/office/drawing/2014/main" id="{573A2770-1138-109F-7110-975214A23C79}"/>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81" name="Right Arrow 50">
            <a:hlinkClick xmlns:r="http://schemas.openxmlformats.org/officeDocument/2006/relationships" r:id="rId31"/>
            <a:extLst>
              <a:ext uri="{FF2B5EF4-FFF2-40B4-BE49-F238E27FC236}">
                <a16:creationId xmlns:a16="http://schemas.microsoft.com/office/drawing/2014/main" id="{D57193E7-6AF7-D296-E596-6B7215F1FBEF}"/>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82" name="Picture 81">
            <a:hlinkClick xmlns:r="http://schemas.openxmlformats.org/officeDocument/2006/relationships" r:id="rId20"/>
            <a:extLst>
              <a:ext uri="{FF2B5EF4-FFF2-40B4-BE49-F238E27FC236}">
                <a16:creationId xmlns:a16="http://schemas.microsoft.com/office/drawing/2014/main" id="{7DCFD9C5-5977-9177-00ED-73020962F50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83" name="Rectangle 82">
            <a:extLst>
              <a:ext uri="{FF2B5EF4-FFF2-40B4-BE49-F238E27FC236}">
                <a16:creationId xmlns:a16="http://schemas.microsoft.com/office/drawing/2014/main" id="{FC95D613-5935-A35B-6091-70B12F428028}"/>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20</xdr:col>
      <xdr:colOff>95249</xdr:colOff>
      <xdr:row>33</xdr:row>
      <xdr:rowOff>0</xdr:rowOff>
    </xdr:from>
    <xdr:ext cx="252000" cy="288000"/>
    <xdr:sp macro="" textlink="">
      <xdr:nvSpPr>
        <xdr:cNvPr id="10" name="Down Arrow 44">
          <a:hlinkClick xmlns:r="http://schemas.openxmlformats.org/officeDocument/2006/relationships" r:id="rId29"/>
          <a:extLst>
            <a:ext uri="{FF2B5EF4-FFF2-40B4-BE49-F238E27FC236}">
              <a16:creationId xmlns:a16="http://schemas.microsoft.com/office/drawing/2014/main" id="{FFCDFA37-CB36-4CCD-A4A7-F3112088A22E}"/>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20</xdr:col>
      <xdr:colOff>95249</xdr:colOff>
      <xdr:row>66</xdr:row>
      <xdr:rowOff>0</xdr:rowOff>
    </xdr:from>
    <xdr:ext cx="252000" cy="288000"/>
    <xdr:sp macro="" textlink="">
      <xdr:nvSpPr>
        <xdr:cNvPr id="11" name="Down Arrow 44">
          <a:hlinkClick xmlns:r="http://schemas.openxmlformats.org/officeDocument/2006/relationships" r:id="rId29"/>
          <a:extLst>
            <a:ext uri="{FF2B5EF4-FFF2-40B4-BE49-F238E27FC236}">
              <a16:creationId xmlns:a16="http://schemas.microsoft.com/office/drawing/2014/main" id="{C47F1DD1-8C26-4426-BF6C-E49EEEAE784F}"/>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20</xdr:col>
      <xdr:colOff>95249</xdr:colOff>
      <xdr:row>101</xdr:row>
      <xdr:rowOff>0</xdr:rowOff>
    </xdr:from>
    <xdr:ext cx="252000" cy="288000"/>
    <xdr:sp macro="" textlink="">
      <xdr:nvSpPr>
        <xdr:cNvPr id="13" name="Down Arrow 44">
          <a:hlinkClick xmlns:r="http://schemas.openxmlformats.org/officeDocument/2006/relationships" r:id="rId29"/>
          <a:extLst>
            <a:ext uri="{FF2B5EF4-FFF2-40B4-BE49-F238E27FC236}">
              <a16:creationId xmlns:a16="http://schemas.microsoft.com/office/drawing/2014/main" id="{8955DD83-6FBE-45C3-80D6-82962FCF53D6}"/>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20</xdr:col>
      <xdr:colOff>95249</xdr:colOff>
      <xdr:row>134</xdr:row>
      <xdr:rowOff>0</xdr:rowOff>
    </xdr:from>
    <xdr:ext cx="252000" cy="288000"/>
    <xdr:sp macro="" textlink="">
      <xdr:nvSpPr>
        <xdr:cNvPr id="14" name="Down Arrow 44">
          <a:hlinkClick xmlns:r="http://schemas.openxmlformats.org/officeDocument/2006/relationships" r:id="rId29"/>
          <a:extLst>
            <a:ext uri="{FF2B5EF4-FFF2-40B4-BE49-F238E27FC236}">
              <a16:creationId xmlns:a16="http://schemas.microsoft.com/office/drawing/2014/main" id="{B522E31F-84A5-4291-897B-9255CB9CC5FE}"/>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20</xdr:col>
      <xdr:colOff>95249</xdr:colOff>
      <xdr:row>202</xdr:row>
      <xdr:rowOff>0</xdr:rowOff>
    </xdr:from>
    <xdr:ext cx="252000" cy="288000"/>
    <xdr:sp macro="" textlink="">
      <xdr:nvSpPr>
        <xdr:cNvPr id="15" name="Down Arrow 44">
          <a:hlinkClick xmlns:r="http://schemas.openxmlformats.org/officeDocument/2006/relationships" r:id="rId29"/>
          <a:extLst>
            <a:ext uri="{FF2B5EF4-FFF2-40B4-BE49-F238E27FC236}">
              <a16:creationId xmlns:a16="http://schemas.microsoft.com/office/drawing/2014/main" id="{A94429E9-6658-4C2A-81B5-E5E3F30BFAF3}"/>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21.xml><?xml version="1.0" encoding="utf-8"?>
<xdr:wsDr xmlns:xdr="http://schemas.openxmlformats.org/drawingml/2006/spreadsheetDrawing" xmlns:a="http://schemas.openxmlformats.org/drawingml/2006/main">
  <xdr:twoCellAnchor>
    <xdr:from>
      <xdr:col>1</xdr:col>
      <xdr:colOff>1</xdr:colOff>
      <xdr:row>36</xdr:row>
      <xdr:rowOff>1</xdr:rowOff>
    </xdr:from>
    <xdr:to>
      <xdr:col>10</xdr:col>
      <xdr:colOff>0</xdr:colOff>
      <xdr:row>65</xdr:row>
      <xdr:rowOff>0</xdr:rowOff>
    </xdr:to>
    <xdr:graphicFrame macro="">
      <xdr:nvGraphicFramePr>
        <xdr:cNvPr id="5" name="Chart 13">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419098</xdr:colOff>
      <xdr:row>0</xdr:row>
      <xdr:rowOff>85725</xdr:rowOff>
    </xdr:from>
    <xdr:to>
      <xdr:col>20</xdr:col>
      <xdr:colOff>54973</xdr:colOff>
      <xdr:row>2</xdr:row>
      <xdr:rowOff>149475</xdr:rowOff>
    </xdr:to>
    <xdr:sp macro="" textlink="">
      <xdr:nvSpPr>
        <xdr:cNvPr id="7" name="AutoShape 32">
          <a:extLst>
            <a:ext uri="{FF2B5EF4-FFF2-40B4-BE49-F238E27FC236}">
              <a16:creationId xmlns:a16="http://schemas.microsoft.com/office/drawing/2014/main" id="{00000000-0008-0000-1800-000007000000}"/>
            </a:ext>
          </a:extLst>
        </xdr:cNvPr>
        <xdr:cNvSpPr>
          <a:spLocks noChangeArrowheads="1"/>
        </xdr:cNvSpPr>
      </xdr:nvSpPr>
      <xdr:spPr bwMode="auto">
        <a:xfrm>
          <a:off x="6953248"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0</xdr:colOff>
      <xdr:row>62</xdr:row>
      <xdr:rowOff>0</xdr:rowOff>
    </xdr:from>
    <xdr:to>
      <xdr:col>20</xdr:col>
      <xdr:colOff>1</xdr:colOff>
      <xdr:row>65</xdr:row>
      <xdr:rowOff>0</xdr:rowOff>
    </xdr:to>
    <xdr:graphicFrame macro="">
      <xdr:nvGraphicFramePr>
        <xdr:cNvPr id="8" name="Chart 13">
          <a:extLst>
            <a:ext uri="{FF2B5EF4-FFF2-40B4-BE49-F238E27FC236}">
              <a16:creationId xmlns:a16="http://schemas.microsoft.com/office/drawing/2014/main" id="{00000000-0008-0000-1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85725</xdr:colOff>
          <xdr:row>36</xdr:row>
          <xdr:rowOff>19050</xdr:rowOff>
        </xdr:from>
        <xdr:to>
          <xdr:col>35</xdr:col>
          <xdr:colOff>57150</xdr:colOff>
          <xdr:row>38</xdr:row>
          <xdr:rowOff>9525</xdr:rowOff>
        </xdr:to>
        <xdr:sp macro="" textlink="">
          <xdr:nvSpPr>
            <xdr:cNvPr id="168961" name="Check Box 1" hidden="1">
              <a:extLst>
                <a:ext uri="{63B3BB69-23CF-44E3-9099-C40C66FF867C}">
                  <a14:compatExt spid="_x0000_s168961"/>
                </a:ext>
                <a:ext uri="{FF2B5EF4-FFF2-40B4-BE49-F238E27FC236}">
                  <a16:creationId xmlns:a16="http://schemas.microsoft.com/office/drawing/2014/main" id="{00000000-0008-0000-1B00-000001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37</xdr:row>
          <xdr:rowOff>142875</xdr:rowOff>
        </xdr:from>
        <xdr:to>
          <xdr:col>35</xdr:col>
          <xdr:colOff>57150</xdr:colOff>
          <xdr:row>39</xdr:row>
          <xdr:rowOff>9525</xdr:rowOff>
        </xdr:to>
        <xdr:sp macro="" textlink="">
          <xdr:nvSpPr>
            <xdr:cNvPr id="168962" name="Check Box 2" hidden="1">
              <a:extLst>
                <a:ext uri="{63B3BB69-23CF-44E3-9099-C40C66FF867C}">
                  <a14:compatExt spid="_x0000_s168962"/>
                </a:ext>
                <a:ext uri="{FF2B5EF4-FFF2-40B4-BE49-F238E27FC236}">
                  <a16:creationId xmlns:a16="http://schemas.microsoft.com/office/drawing/2014/main" id="{00000000-0008-0000-1B00-000002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38</xdr:row>
          <xdr:rowOff>142875</xdr:rowOff>
        </xdr:from>
        <xdr:to>
          <xdr:col>35</xdr:col>
          <xdr:colOff>57150</xdr:colOff>
          <xdr:row>40</xdr:row>
          <xdr:rowOff>9525</xdr:rowOff>
        </xdr:to>
        <xdr:sp macro="" textlink="">
          <xdr:nvSpPr>
            <xdr:cNvPr id="168963" name="Check Box 3" hidden="1">
              <a:extLst>
                <a:ext uri="{63B3BB69-23CF-44E3-9099-C40C66FF867C}">
                  <a14:compatExt spid="_x0000_s168963"/>
                </a:ext>
                <a:ext uri="{FF2B5EF4-FFF2-40B4-BE49-F238E27FC236}">
                  <a16:creationId xmlns:a16="http://schemas.microsoft.com/office/drawing/2014/main" id="{00000000-0008-0000-1B00-000003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39</xdr:row>
          <xdr:rowOff>142875</xdr:rowOff>
        </xdr:from>
        <xdr:to>
          <xdr:col>35</xdr:col>
          <xdr:colOff>57150</xdr:colOff>
          <xdr:row>41</xdr:row>
          <xdr:rowOff>9525</xdr:rowOff>
        </xdr:to>
        <xdr:sp macro="" textlink="">
          <xdr:nvSpPr>
            <xdr:cNvPr id="168964" name="Check Box 4" hidden="1">
              <a:extLst>
                <a:ext uri="{63B3BB69-23CF-44E3-9099-C40C66FF867C}">
                  <a14:compatExt spid="_x0000_s168964"/>
                </a:ext>
                <a:ext uri="{FF2B5EF4-FFF2-40B4-BE49-F238E27FC236}">
                  <a16:creationId xmlns:a16="http://schemas.microsoft.com/office/drawing/2014/main" id="{00000000-0008-0000-1B00-000004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40</xdr:row>
          <xdr:rowOff>142875</xdr:rowOff>
        </xdr:from>
        <xdr:to>
          <xdr:col>35</xdr:col>
          <xdr:colOff>57150</xdr:colOff>
          <xdr:row>42</xdr:row>
          <xdr:rowOff>9525</xdr:rowOff>
        </xdr:to>
        <xdr:sp macro="" textlink="">
          <xdr:nvSpPr>
            <xdr:cNvPr id="168965" name="Check Box 5" hidden="1">
              <a:extLst>
                <a:ext uri="{63B3BB69-23CF-44E3-9099-C40C66FF867C}">
                  <a14:compatExt spid="_x0000_s168965"/>
                </a:ext>
                <a:ext uri="{FF2B5EF4-FFF2-40B4-BE49-F238E27FC236}">
                  <a16:creationId xmlns:a16="http://schemas.microsoft.com/office/drawing/2014/main" id="{00000000-0008-0000-1B00-000005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41</xdr:row>
          <xdr:rowOff>142875</xdr:rowOff>
        </xdr:from>
        <xdr:to>
          <xdr:col>35</xdr:col>
          <xdr:colOff>57150</xdr:colOff>
          <xdr:row>43</xdr:row>
          <xdr:rowOff>9525</xdr:rowOff>
        </xdr:to>
        <xdr:sp macro="" textlink="">
          <xdr:nvSpPr>
            <xdr:cNvPr id="168966" name="Check Box 6" hidden="1">
              <a:extLst>
                <a:ext uri="{63B3BB69-23CF-44E3-9099-C40C66FF867C}">
                  <a14:compatExt spid="_x0000_s168966"/>
                </a:ext>
                <a:ext uri="{FF2B5EF4-FFF2-40B4-BE49-F238E27FC236}">
                  <a16:creationId xmlns:a16="http://schemas.microsoft.com/office/drawing/2014/main" id="{00000000-0008-0000-1B00-000006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42</xdr:row>
          <xdr:rowOff>142875</xdr:rowOff>
        </xdr:from>
        <xdr:to>
          <xdr:col>35</xdr:col>
          <xdr:colOff>57150</xdr:colOff>
          <xdr:row>44</xdr:row>
          <xdr:rowOff>9525</xdr:rowOff>
        </xdr:to>
        <xdr:sp macro="" textlink="">
          <xdr:nvSpPr>
            <xdr:cNvPr id="168967" name="Check Box 7" hidden="1">
              <a:extLst>
                <a:ext uri="{63B3BB69-23CF-44E3-9099-C40C66FF867C}">
                  <a14:compatExt spid="_x0000_s168967"/>
                </a:ext>
                <a:ext uri="{FF2B5EF4-FFF2-40B4-BE49-F238E27FC236}">
                  <a16:creationId xmlns:a16="http://schemas.microsoft.com/office/drawing/2014/main" id="{00000000-0008-0000-1B00-000007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43</xdr:row>
          <xdr:rowOff>142875</xdr:rowOff>
        </xdr:from>
        <xdr:to>
          <xdr:col>35</xdr:col>
          <xdr:colOff>57150</xdr:colOff>
          <xdr:row>45</xdr:row>
          <xdr:rowOff>9525</xdr:rowOff>
        </xdr:to>
        <xdr:sp macro="" textlink="">
          <xdr:nvSpPr>
            <xdr:cNvPr id="168968" name="Check Box 8" hidden="1">
              <a:extLst>
                <a:ext uri="{63B3BB69-23CF-44E3-9099-C40C66FF867C}">
                  <a14:compatExt spid="_x0000_s168968"/>
                </a:ext>
                <a:ext uri="{FF2B5EF4-FFF2-40B4-BE49-F238E27FC236}">
                  <a16:creationId xmlns:a16="http://schemas.microsoft.com/office/drawing/2014/main" id="{00000000-0008-0000-1B00-000008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44</xdr:row>
          <xdr:rowOff>142875</xdr:rowOff>
        </xdr:from>
        <xdr:to>
          <xdr:col>35</xdr:col>
          <xdr:colOff>57150</xdr:colOff>
          <xdr:row>46</xdr:row>
          <xdr:rowOff>9525</xdr:rowOff>
        </xdr:to>
        <xdr:sp macro="" textlink="">
          <xdr:nvSpPr>
            <xdr:cNvPr id="168969" name="Check Box 9" hidden="1">
              <a:extLst>
                <a:ext uri="{63B3BB69-23CF-44E3-9099-C40C66FF867C}">
                  <a14:compatExt spid="_x0000_s168969"/>
                </a:ext>
                <a:ext uri="{FF2B5EF4-FFF2-40B4-BE49-F238E27FC236}">
                  <a16:creationId xmlns:a16="http://schemas.microsoft.com/office/drawing/2014/main" id="{00000000-0008-0000-1B00-000009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45</xdr:row>
          <xdr:rowOff>142875</xdr:rowOff>
        </xdr:from>
        <xdr:to>
          <xdr:col>35</xdr:col>
          <xdr:colOff>57150</xdr:colOff>
          <xdr:row>47</xdr:row>
          <xdr:rowOff>9525</xdr:rowOff>
        </xdr:to>
        <xdr:sp macro="" textlink="">
          <xdr:nvSpPr>
            <xdr:cNvPr id="168970" name="Check Box 10" hidden="1">
              <a:extLst>
                <a:ext uri="{63B3BB69-23CF-44E3-9099-C40C66FF867C}">
                  <a14:compatExt spid="_x0000_s168970"/>
                </a:ext>
                <a:ext uri="{FF2B5EF4-FFF2-40B4-BE49-F238E27FC236}">
                  <a16:creationId xmlns:a16="http://schemas.microsoft.com/office/drawing/2014/main" id="{00000000-0008-0000-1B00-00000A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46</xdr:row>
          <xdr:rowOff>142875</xdr:rowOff>
        </xdr:from>
        <xdr:to>
          <xdr:col>35</xdr:col>
          <xdr:colOff>57150</xdr:colOff>
          <xdr:row>48</xdr:row>
          <xdr:rowOff>9525</xdr:rowOff>
        </xdr:to>
        <xdr:sp macro="" textlink="">
          <xdr:nvSpPr>
            <xdr:cNvPr id="168971" name="Check Box 11" hidden="1">
              <a:extLst>
                <a:ext uri="{63B3BB69-23CF-44E3-9099-C40C66FF867C}">
                  <a14:compatExt spid="_x0000_s168971"/>
                </a:ext>
                <a:ext uri="{FF2B5EF4-FFF2-40B4-BE49-F238E27FC236}">
                  <a16:creationId xmlns:a16="http://schemas.microsoft.com/office/drawing/2014/main" id="{00000000-0008-0000-1B00-00000B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47</xdr:row>
          <xdr:rowOff>142875</xdr:rowOff>
        </xdr:from>
        <xdr:to>
          <xdr:col>35</xdr:col>
          <xdr:colOff>57150</xdr:colOff>
          <xdr:row>49</xdr:row>
          <xdr:rowOff>9525</xdr:rowOff>
        </xdr:to>
        <xdr:sp macro="" textlink="">
          <xdr:nvSpPr>
            <xdr:cNvPr id="168972" name="Check Box 12" hidden="1">
              <a:extLst>
                <a:ext uri="{63B3BB69-23CF-44E3-9099-C40C66FF867C}">
                  <a14:compatExt spid="_x0000_s168972"/>
                </a:ext>
                <a:ext uri="{FF2B5EF4-FFF2-40B4-BE49-F238E27FC236}">
                  <a16:creationId xmlns:a16="http://schemas.microsoft.com/office/drawing/2014/main" id="{00000000-0008-0000-1B00-00000C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48</xdr:row>
          <xdr:rowOff>142875</xdr:rowOff>
        </xdr:from>
        <xdr:to>
          <xdr:col>35</xdr:col>
          <xdr:colOff>57150</xdr:colOff>
          <xdr:row>50</xdr:row>
          <xdr:rowOff>9525</xdr:rowOff>
        </xdr:to>
        <xdr:sp macro="" textlink="">
          <xdr:nvSpPr>
            <xdr:cNvPr id="168973" name="Check Box 13" hidden="1">
              <a:extLst>
                <a:ext uri="{63B3BB69-23CF-44E3-9099-C40C66FF867C}">
                  <a14:compatExt spid="_x0000_s168973"/>
                </a:ext>
                <a:ext uri="{FF2B5EF4-FFF2-40B4-BE49-F238E27FC236}">
                  <a16:creationId xmlns:a16="http://schemas.microsoft.com/office/drawing/2014/main" id="{00000000-0008-0000-1B00-00000D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49</xdr:row>
          <xdr:rowOff>152400</xdr:rowOff>
        </xdr:from>
        <xdr:to>
          <xdr:col>35</xdr:col>
          <xdr:colOff>57150</xdr:colOff>
          <xdr:row>51</xdr:row>
          <xdr:rowOff>19050</xdr:rowOff>
        </xdr:to>
        <xdr:sp macro="" textlink="">
          <xdr:nvSpPr>
            <xdr:cNvPr id="168975" name="Check Box 15" hidden="1">
              <a:extLst>
                <a:ext uri="{63B3BB69-23CF-44E3-9099-C40C66FF867C}">
                  <a14:compatExt spid="_x0000_s168975"/>
                </a:ext>
                <a:ext uri="{FF2B5EF4-FFF2-40B4-BE49-F238E27FC236}">
                  <a16:creationId xmlns:a16="http://schemas.microsoft.com/office/drawing/2014/main" id="{00000000-0008-0000-1B00-00000F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50</xdr:row>
          <xdr:rowOff>152400</xdr:rowOff>
        </xdr:from>
        <xdr:to>
          <xdr:col>35</xdr:col>
          <xdr:colOff>57150</xdr:colOff>
          <xdr:row>52</xdr:row>
          <xdr:rowOff>19050</xdr:rowOff>
        </xdr:to>
        <xdr:sp macro="" textlink="">
          <xdr:nvSpPr>
            <xdr:cNvPr id="168976" name="Check Box 16" hidden="1">
              <a:extLst>
                <a:ext uri="{63B3BB69-23CF-44E3-9099-C40C66FF867C}">
                  <a14:compatExt spid="_x0000_s168976"/>
                </a:ext>
                <a:ext uri="{FF2B5EF4-FFF2-40B4-BE49-F238E27FC236}">
                  <a16:creationId xmlns:a16="http://schemas.microsoft.com/office/drawing/2014/main" id="{00000000-0008-0000-1B00-000010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51</xdr:row>
          <xdr:rowOff>161925</xdr:rowOff>
        </xdr:from>
        <xdr:to>
          <xdr:col>35</xdr:col>
          <xdr:colOff>57150</xdr:colOff>
          <xdr:row>53</xdr:row>
          <xdr:rowOff>28575</xdr:rowOff>
        </xdr:to>
        <xdr:sp macro="" textlink="">
          <xdr:nvSpPr>
            <xdr:cNvPr id="168977" name="Check Box 17" hidden="1">
              <a:extLst>
                <a:ext uri="{63B3BB69-23CF-44E3-9099-C40C66FF867C}">
                  <a14:compatExt spid="_x0000_s168977"/>
                </a:ext>
                <a:ext uri="{FF2B5EF4-FFF2-40B4-BE49-F238E27FC236}">
                  <a16:creationId xmlns:a16="http://schemas.microsoft.com/office/drawing/2014/main" id="{00000000-0008-0000-1B00-000011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52</xdr:row>
          <xdr:rowOff>161925</xdr:rowOff>
        </xdr:from>
        <xdr:to>
          <xdr:col>35</xdr:col>
          <xdr:colOff>57150</xdr:colOff>
          <xdr:row>54</xdr:row>
          <xdr:rowOff>28575</xdr:rowOff>
        </xdr:to>
        <xdr:sp macro="" textlink="">
          <xdr:nvSpPr>
            <xdr:cNvPr id="168978" name="Check Box 18" hidden="1">
              <a:extLst>
                <a:ext uri="{63B3BB69-23CF-44E3-9099-C40C66FF867C}">
                  <a14:compatExt spid="_x0000_s168978"/>
                </a:ext>
                <a:ext uri="{FF2B5EF4-FFF2-40B4-BE49-F238E27FC236}">
                  <a16:creationId xmlns:a16="http://schemas.microsoft.com/office/drawing/2014/main" id="{00000000-0008-0000-1B00-000012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53</xdr:row>
          <xdr:rowOff>161925</xdr:rowOff>
        </xdr:from>
        <xdr:to>
          <xdr:col>35</xdr:col>
          <xdr:colOff>57150</xdr:colOff>
          <xdr:row>55</xdr:row>
          <xdr:rowOff>28575</xdr:rowOff>
        </xdr:to>
        <xdr:sp macro="" textlink="">
          <xdr:nvSpPr>
            <xdr:cNvPr id="168979" name="Check Box 19" hidden="1">
              <a:extLst>
                <a:ext uri="{63B3BB69-23CF-44E3-9099-C40C66FF867C}">
                  <a14:compatExt spid="_x0000_s168979"/>
                </a:ext>
                <a:ext uri="{FF2B5EF4-FFF2-40B4-BE49-F238E27FC236}">
                  <a16:creationId xmlns:a16="http://schemas.microsoft.com/office/drawing/2014/main" id="{00000000-0008-0000-1B00-000013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54</xdr:row>
          <xdr:rowOff>161925</xdr:rowOff>
        </xdr:from>
        <xdr:to>
          <xdr:col>35</xdr:col>
          <xdr:colOff>57150</xdr:colOff>
          <xdr:row>56</xdr:row>
          <xdr:rowOff>28575</xdr:rowOff>
        </xdr:to>
        <xdr:sp macro="" textlink="">
          <xdr:nvSpPr>
            <xdr:cNvPr id="168980" name="Check Box 20" hidden="1">
              <a:extLst>
                <a:ext uri="{63B3BB69-23CF-44E3-9099-C40C66FF867C}">
                  <a14:compatExt spid="_x0000_s168980"/>
                </a:ext>
                <a:ext uri="{FF2B5EF4-FFF2-40B4-BE49-F238E27FC236}">
                  <a16:creationId xmlns:a16="http://schemas.microsoft.com/office/drawing/2014/main" id="{00000000-0008-0000-1B00-000014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55</xdr:row>
          <xdr:rowOff>161925</xdr:rowOff>
        </xdr:from>
        <xdr:to>
          <xdr:col>35</xdr:col>
          <xdr:colOff>57150</xdr:colOff>
          <xdr:row>57</xdr:row>
          <xdr:rowOff>28575</xdr:rowOff>
        </xdr:to>
        <xdr:sp macro="" textlink="">
          <xdr:nvSpPr>
            <xdr:cNvPr id="168981" name="Check Box 21" hidden="1">
              <a:extLst>
                <a:ext uri="{63B3BB69-23CF-44E3-9099-C40C66FF867C}">
                  <a14:compatExt spid="_x0000_s168981"/>
                </a:ext>
                <a:ext uri="{FF2B5EF4-FFF2-40B4-BE49-F238E27FC236}">
                  <a16:creationId xmlns:a16="http://schemas.microsoft.com/office/drawing/2014/main" id="{00000000-0008-0000-1B00-000015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163</xdr:row>
      <xdr:rowOff>0</xdr:rowOff>
    </xdr:from>
    <xdr:to>
      <xdr:col>8</xdr:col>
      <xdr:colOff>0</xdr:colOff>
      <xdr:row>166</xdr:row>
      <xdr:rowOff>0</xdr:rowOff>
    </xdr:to>
    <xdr:graphicFrame macro="">
      <xdr:nvGraphicFramePr>
        <xdr:cNvPr id="31" name="Chart 13">
          <a:extLst>
            <a:ext uri="{FF2B5EF4-FFF2-40B4-BE49-F238E27FC236}">
              <a16:creationId xmlns:a16="http://schemas.microsoft.com/office/drawing/2014/main" id="{00000000-0008-0000-1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137</xdr:row>
      <xdr:rowOff>95400</xdr:rowOff>
    </xdr:from>
    <xdr:to>
      <xdr:col>20</xdr:col>
      <xdr:colOff>0</xdr:colOff>
      <xdr:row>166</xdr:row>
      <xdr:rowOff>0</xdr:rowOff>
    </xdr:to>
    <xdr:graphicFrame macro="">
      <xdr:nvGraphicFramePr>
        <xdr:cNvPr id="34" name="Chart 13">
          <a:extLst>
            <a:ext uri="{FF2B5EF4-FFF2-40B4-BE49-F238E27FC236}">
              <a16:creationId xmlns:a16="http://schemas.microsoft.com/office/drawing/2014/main" id="{00000000-0008-0000-1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57150</xdr:colOff>
      <xdr:row>60</xdr:row>
      <xdr:rowOff>76200</xdr:rowOff>
    </xdr:from>
    <xdr:to>
      <xdr:col>10</xdr:col>
      <xdr:colOff>428625</xdr:colOff>
      <xdr:row>60</xdr:row>
      <xdr:rowOff>76200</xdr:rowOff>
    </xdr:to>
    <xdr:sp macro="" textlink="">
      <xdr:nvSpPr>
        <xdr:cNvPr id="39" name="Line 283">
          <a:extLst>
            <a:ext uri="{FF2B5EF4-FFF2-40B4-BE49-F238E27FC236}">
              <a16:creationId xmlns:a16="http://schemas.microsoft.com/office/drawing/2014/main" id="{00000000-0008-0000-1800-000027000000}"/>
            </a:ext>
          </a:extLst>
        </xdr:cNvPr>
        <xdr:cNvSpPr>
          <a:spLocks noChangeShapeType="1"/>
        </xdr:cNvSpPr>
      </xdr:nvSpPr>
      <xdr:spPr bwMode="auto">
        <a:xfrm>
          <a:off x="4772025" y="11191875"/>
          <a:ext cx="371475"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171450</xdr:colOff>
      <xdr:row>60</xdr:row>
      <xdr:rowOff>57150</xdr:rowOff>
    </xdr:from>
    <xdr:to>
      <xdr:col>15</xdr:col>
      <xdr:colOff>247650</xdr:colOff>
      <xdr:row>60</xdr:row>
      <xdr:rowOff>133350</xdr:rowOff>
    </xdr:to>
    <xdr:sp macro="" textlink="">
      <xdr:nvSpPr>
        <xdr:cNvPr id="40" name="Oval 2164">
          <a:extLst>
            <a:ext uri="{FF2B5EF4-FFF2-40B4-BE49-F238E27FC236}">
              <a16:creationId xmlns:a16="http://schemas.microsoft.com/office/drawing/2014/main" id="{00000000-0008-0000-1800-000028000000}"/>
            </a:ext>
          </a:extLst>
        </xdr:cNvPr>
        <xdr:cNvSpPr>
          <a:spLocks noChangeArrowheads="1"/>
        </xdr:cNvSpPr>
      </xdr:nvSpPr>
      <xdr:spPr bwMode="auto">
        <a:xfrm>
          <a:off x="7191375" y="1119187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xdr:col>
      <xdr:colOff>0</xdr:colOff>
      <xdr:row>129</xdr:row>
      <xdr:rowOff>76199</xdr:rowOff>
    </xdr:from>
    <xdr:to>
      <xdr:col>8</xdr:col>
      <xdr:colOff>0</xdr:colOff>
      <xdr:row>133</xdr:row>
      <xdr:rowOff>0</xdr:rowOff>
    </xdr:to>
    <xdr:graphicFrame macro="">
      <xdr:nvGraphicFramePr>
        <xdr:cNvPr id="42" name="Chart 13">
          <a:extLst>
            <a:ext uri="{FF2B5EF4-FFF2-40B4-BE49-F238E27FC236}">
              <a16:creationId xmlns:a16="http://schemas.microsoft.com/office/drawing/2014/main" id="{00000000-0008-0000-18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207300</xdr:colOff>
      <xdr:row>104</xdr:row>
      <xdr:rowOff>0</xdr:rowOff>
    </xdr:from>
    <xdr:to>
      <xdr:col>20</xdr:col>
      <xdr:colOff>0</xdr:colOff>
      <xdr:row>133</xdr:row>
      <xdr:rowOff>0</xdr:rowOff>
    </xdr:to>
    <xdr:graphicFrame macro="">
      <xdr:nvGraphicFramePr>
        <xdr:cNvPr id="43" name="Chart 13">
          <a:extLst>
            <a:ext uri="{FF2B5EF4-FFF2-40B4-BE49-F238E27FC236}">
              <a16:creationId xmlns:a16="http://schemas.microsoft.com/office/drawing/2014/main" id="{00000000-0008-0000-18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196</xdr:row>
      <xdr:rowOff>1</xdr:rowOff>
    </xdr:from>
    <xdr:to>
      <xdr:col>8</xdr:col>
      <xdr:colOff>0</xdr:colOff>
      <xdr:row>199</xdr:row>
      <xdr:rowOff>1</xdr:rowOff>
    </xdr:to>
    <xdr:graphicFrame macro="">
      <xdr:nvGraphicFramePr>
        <xdr:cNvPr id="45" name="Chart 13">
          <a:extLst>
            <a:ext uri="{FF2B5EF4-FFF2-40B4-BE49-F238E27FC236}">
              <a16:creationId xmlns:a16="http://schemas.microsoft.com/office/drawing/2014/main" id="{00000000-0008-0000-18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170</xdr:row>
      <xdr:rowOff>95250</xdr:rowOff>
    </xdr:from>
    <xdr:to>
      <xdr:col>20</xdr:col>
      <xdr:colOff>0</xdr:colOff>
      <xdr:row>198</xdr:row>
      <xdr:rowOff>514349</xdr:rowOff>
    </xdr:to>
    <xdr:graphicFrame macro="">
      <xdr:nvGraphicFramePr>
        <xdr:cNvPr id="46" name="Chart 13">
          <a:extLst>
            <a:ext uri="{FF2B5EF4-FFF2-40B4-BE49-F238E27FC236}">
              <a16:creationId xmlns:a16="http://schemas.microsoft.com/office/drawing/2014/main" id="{00000000-0008-0000-18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36</xdr:row>
      <xdr:rowOff>0</xdr:rowOff>
    </xdr:from>
    <xdr:to>
      <xdr:col>20</xdr:col>
      <xdr:colOff>1</xdr:colOff>
      <xdr:row>60</xdr:row>
      <xdr:rowOff>0</xdr:rowOff>
    </xdr:to>
    <xdr:graphicFrame macro="">
      <xdr:nvGraphicFramePr>
        <xdr:cNvPr id="49" name="Chart 176">
          <a:extLst>
            <a:ext uri="{FF2B5EF4-FFF2-40B4-BE49-F238E27FC236}">
              <a16:creationId xmlns:a16="http://schemas.microsoft.com/office/drawing/2014/main" id="{00000000-0008-0000-18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50" name="Oval 2165">
          <a:extLst>
            <a:ext uri="{FF2B5EF4-FFF2-40B4-BE49-F238E27FC236}">
              <a16:creationId xmlns:a16="http://schemas.microsoft.com/office/drawing/2014/main" id="{00000000-0008-0000-1800-000032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15</xdr:col>
      <xdr:colOff>66675</xdr:colOff>
      <xdr:row>61</xdr:row>
      <xdr:rowOff>85724</xdr:rowOff>
    </xdr:from>
    <xdr:to>
      <xdr:col>15</xdr:col>
      <xdr:colOff>354675</xdr:colOff>
      <xdr:row>61</xdr:row>
      <xdr:rowOff>85724</xdr:rowOff>
    </xdr:to>
    <xdr:sp macro="" textlink="">
      <xdr:nvSpPr>
        <xdr:cNvPr id="51" name="Line 283">
          <a:extLst>
            <a:ext uri="{FF2B5EF4-FFF2-40B4-BE49-F238E27FC236}">
              <a16:creationId xmlns:a16="http://schemas.microsoft.com/office/drawing/2014/main" id="{00000000-0008-0000-1800-000033000000}"/>
            </a:ext>
          </a:extLst>
        </xdr:cNvPr>
        <xdr:cNvSpPr>
          <a:spLocks noChangeShapeType="1"/>
        </xdr:cNvSpPr>
      </xdr:nvSpPr>
      <xdr:spPr bwMode="auto">
        <a:xfrm>
          <a:off x="7086600" y="11401424"/>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229</xdr:row>
      <xdr:rowOff>1</xdr:rowOff>
    </xdr:from>
    <xdr:to>
      <xdr:col>8</xdr:col>
      <xdr:colOff>0</xdr:colOff>
      <xdr:row>232</xdr:row>
      <xdr:rowOff>1</xdr:rowOff>
    </xdr:to>
    <xdr:graphicFrame macro="">
      <xdr:nvGraphicFramePr>
        <xdr:cNvPr id="48" name="Chart 13">
          <a:extLst>
            <a:ext uri="{FF2B5EF4-FFF2-40B4-BE49-F238E27FC236}">
              <a16:creationId xmlns:a16="http://schemas.microsoft.com/office/drawing/2014/main" id="{00000000-0008-0000-18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203</xdr:row>
      <xdr:rowOff>95251</xdr:rowOff>
    </xdr:from>
    <xdr:to>
      <xdr:col>20</xdr:col>
      <xdr:colOff>0</xdr:colOff>
      <xdr:row>232</xdr:row>
      <xdr:rowOff>0</xdr:rowOff>
    </xdr:to>
    <xdr:graphicFrame macro="">
      <xdr:nvGraphicFramePr>
        <xdr:cNvPr id="53" name="Chart 13">
          <a:extLst>
            <a:ext uri="{FF2B5EF4-FFF2-40B4-BE49-F238E27FC236}">
              <a16:creationId xmlns:a16="http://schemas.microsoft.com/office/drawing/2014/main" id="{00000000-0008-0000-18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69</xdr:row>
      <xdr:rowOff>0</xdr:rowOff>
    </xdr:from>
    <xdr:to>
      <xdr:col>20</xdr:col>
      <xdr:colOff>0</xdr:colOff>
      <xdr:row>100</xdr:row>
      <xdr:rowOff>0</xdr:rowOff>
    </xdr:to>
    <xdr:graphicFrame macro="">
      <xdr:nvGraphicFramePr>
        <xdr:cNvPr id="6" name="Chart 176">
          <a:extLst>
            <a:ext uri="{FF2B5EF4-FFF2-40B4-BE49-F238E27FC236}">
              <a16:creationId xmlns:a16="http://schemas.microsoft.com/office/drawing/2014/main" id="{9F8A56B6-DA99-4179-8BC2-DEBBD12097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69</xdr:row>
      <xdr:rowOff>0</xdr:rowOff>
    </xdr:from>
    <xdr:to>
      <xdr:col>10</xdr:col>
      <xdr:colOff>0</xdr:colOff>
      <xdr:row>100</xdr:row>
      <xdr:rowOff>0</xdr:rowOff>
    </xdr:to>
    <xdr:graphicFrame macro="">
      <xdr:nvGraphicFramePr>
        <xdr:cNvPr id="9" name="Chart 764">
          <a:extLst>
            <a:ext uri="{FF2B5EF4-FFF2-40B4-BE49-F238E27FC236}">
              <a16:creationId xmlns:a16="http://schemas.microsoft.com/office/drawing/2014/main" id="{558B6A4E-C552-4C79-AF57-21C1338F3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xdr:col>
      <xdr:colOff>0</xdr:colOff>
      <xdr:row>236</xdr:row>
      <xdr:rowOff>0</xdr:rowOff>
    </xdr:from>
    <xdr:to>
      <xdr:col>19</xdr:col>
      <xdr:colOff>133350</xdr:colOff>
      <xdr:row>271</xdr:row>
      <xdr:rowOff>47625</xdr:rowOff>
    </xdr:to>
    <xdr:grpSp>
      <xdr:nvGrpSpPr>
        <xdr:cNvPr id="55" name="Group 54">
          <a:extLst>
            <a:ext uri="{FF2B5EF4-FFF2-40B4-BE49-F238E27FC236}">
              <a16:creationId xmlns:a16="http://schemas.microsoft.com/office/drawing/2014/main" id="{05107BEA-5D2A-4433-972A-884F784D0648}"/>
            </a:ext>
          </a:extLst>
        </xdr:cNvPr>
        <xdr:cNvGrpSpPr/>
      </xdr:nvGrpSpPr>
      <xdr:grpSpPr>
        <a:xfrm>
          <a:off x="140208" y="45892212"/>
          <a:ext cx="8950452" cy="4899660"/>
          <a:chOff x="95250" y="95250"/>
          <a:chExt cx="7534275" cy="5048250"/>
        </a:xfrm>
      </xdr:grpSpPr>
      <xdr:sp macro="" textlink="">
        <xdr:nvSpPr>
          <xdr:cNvPr id="56" name="Rectangle 55">
            <a:extLst>
              <a:ext uri="{FF2B5EF4-FFF2-40B4-BE49-F238E27FC236}">
                <a16:creationId xmlns:a16="http://schemas.microsoft.com/office/drawing/2014/main" id="{50321754-C02D-E2C2-065C-A7B834115CCA}"/>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57" name="Rectangle: Rounded Corners 56">
            <a:hlinkClick xmlns:r="http://schemas.openxmlformats.org/officeDocument/2006/relationships" r:id="rId14"/>
            <a:extLst>
              <a:ext uri="{FF2B5EF4-FFF2-40B4-BE49-F238E27FC236}">
                <a16:creationId xmlns:a16="http://schemas.microsoft.com/office/drawing/2014/main" id="{F2BCD6E6-993A-38BE-4E44-8AFD3C4B7C56}"/>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58" name="Rectangle: Rounded Corners 57">
            <a:hlinkClick xmlns:r="http://schemas.openxmlformats.org/officeDocument/2006/relationships" r:id="rId15"/>
            <a:extLst>
              <a:ext uri="{FF2B5EF4-FFF2-40B4-BE49-F238E27FC236}">
                <a16:creationId xmlns:a16="http://schemas.microsoft.com/office/drawing/2014/main" id="{9BFDB9DA-4FF6-B7CA-DB77-3A5BFB77AB80}"/>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59" name="Rectangle: Rounded Corners 58">
            <a:hlinkClick xmlns:r="http://schemas.openxmlformats.org/officeDocument/2006/relationships" r:id="rId16"/>
            <a:extLst>
              <a:ext uri="{FF2B5EF4-FFF2-40B4-BE49-F238E27FC236}">
                <a16:creationId xmlns:a16="http://schemas.microsoft.com/office/drawing/2014/main" id="{9172935B-532B-8D28-F502-ADC3382C989B}"/>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60" name="Rectangle: Rounded Corners 59">
            <a:hlinkClick xmlns:r="http://schemas.openxmlformats.org/officeDocument/2006/relationships" r:id="rId17"/>
            <a:extLst>
              <a:ext uri="{FF2B5EF4-FFF2-40B4-BE49-F238E27FC236}">
                <a16:creationId xmlns:a16="http://schemas.microsoft.com/office/drawing/2014/main" id="{1189E6A6-FD5D-9986-A85A-FEDA5B0465AE}"/>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61" name="Rectangle: Rounded Corners 60">
            <a:hlinkClick xmlns:r="http://schemas.openxmlformats.org/officeDocument/2006/relationships" r:id="rId18"/>
            <a:extLst>
              <a:ext uri="{FF2B5EF4-FFF2-40B4-BE49-F238E27FC236}">
                <a16:creationId xmlns:a16="http://schemas.microsoft.com/office/drawing/2014/main" id="{01958127-82CC-99F1-F68A-3AA5955CF6E3}"/>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62" name="Rectangle: Rounded Corners 61">
            <a:hlinkClick xmlns:r="http://schemas.openxmlformats.org/officeDocument/2006/relationships" r:id="rId19"/>
            <a:extLst>
              <a:ext uri="{FF2B5EF4-FFF2-40B4-BE49-F238E27FC236}">
                <a16:creationId xmlns:a16="http://schemas.microsoft.com/office/drawing/2014/main" id="{82FE7CF2-4C7D-D702-6F59-6B35FB621D30}"/>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63" name="Rectangle: Rounded Corners 62">
            <a:hlinkClick xmlns:r="http://schemas.openxmlformats.org/officeDocument/2006/relationships" r:id="rId20"/>
            <a:extLst>
              <a:ext uri="{FF2B5EF4-FFF2-40B4-BE49-F238E27FC236}">
                <a16:creationId xmlns:a16="http://schemas.microsoft.com/office/drawing/2014/main" id="{2D15C577-E98E-140E-9999-AD4B3002AFD6}"/>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168960" name="Rectangle: Rounded Corners 168959">
            <a:hlinkClick xmlns:r="http://schemas.openxmlformats.org/officeDocument/2006/relationships" r:id="rId21"/>
            <a:extLst>
              <a:ext uri="{FF2B5EF4-FFF2-40B4-BE49-F238E27FC236}">
                <a16:creationId xmlns:a16="http://schemas.microsoft.com/office/drawing/2014/main" id="{92837A70-479D-FE4D-D67E-487908BD8F02}"/>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168974" name="Rectangle: Rounded Corners 168973">
            <a:hlinkClick xmlns:r="http://schemas.openxmlformats.org/officeDocument/2006/relationships" r:id="rId22"/>
            <a:extLst>
              <a:ext uri="{FF2B5EF4-FFF2-40B4-BE49-F238E27FC236}">
                <a16:creationId xmlns:a16="http://schemas.microsoft.com/office/drawing/2014/main" id="{A94643A6-9721-4BE6-B834-9640E4DDE5F9}"/>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168982" name="Group 168981">
            <a:hlinkClick xmlns:r="http://schemas.openxmlformats.org/officeDocument/2006/relationships" r:id="rId23"/>
            <a:extLst>
              <a:ext uri="{FF2B5EF4-FFF2-40B4-BE49-F238E27FC236}">
                <a16:creationId xmlns:a16="http://schemas.microsoft.com/office/drawing/2014/main" id="{47865639-0D33-DE95-9C40-9F4FFCD46D94}"/>
              </a:ext>
            </a:extLst>
          </xdr:cNvPr>
          <xdr:cNvGrpSpPr/>
        </xdr:nvGrpSpPr>
        <xdr:grpSpPr>
          <a:xfrm>
            <a:off x="190500" y="723900"/>
            <a:ext cx="1695450" cy="723900"/>
            <a:chOff x="190500" y="180975"/>
            <a:chExt cx="1800225" cy="723900"/>
          </a:xfrm>
        </xdr:grpSpPr>
        <xdr:sp macro="" textlink="">
          <xdr:nvSpPr>
            <xdr:cNvPr id="168994" name="Rectangle: Rounded Corners 168993">
              <a:hlinkClick xmlns:r="http://schemas.openxmlformats.org/officeDocument/2006/relationships" r:id="rId23"/>
              <a:extLst>
                <a:ext uri="{FF2B5EF4-FFF2-40B4-BE49-F238E27FC236}">
                  <a16:creationId xmlns:a16="http://schemas.microsoft.com/office/drawing/2014/main" id="{94F6AEDE-2E31-2B60-567D-576F6A67BB41}"/>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168995" name="Picture 168994">
              <a:extLst>
                <a:ext uri="{FF2B5EF4-FFF2-40B4-BE49-F238E27FC236}">
                  <a16:creationId xmlns:a16="http://schemas.microsoft.com/office/drawing/2014/main" id="{FB9C3B1D-0475-FB12-CD2B-CAC6CFF77B46}"/>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168983" name="Rectangle: Rounded Corners 168982">
            <a:hlinkClick xmlns:r="http://schemas.openxmlformats.org/officeDocument/2006/relationships" r:id="rId25"/>
            <a:extLst>
              <a:ext uri="{FF2B5EF4-FFF2-40B4-BE49-F238E27FC236}">
                <a16:creationId xmlns:a16="http://schemas.microsoft.com/office/drawing/2014/main" id="{2484D7C2-84D7-F058-3F01-B256B0D385AD}"/>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168984" name="Rectangle: Rounded Corners 168983">
            <a:hlinkClick xmlns:r="http://schemas.openxmlformats.org/officeDocument/2006/relationships" r:id="rId26"/>
            <a:extLst>
              <a:ext uri="{FF2B5EF4-FFF2-40B4-BE49-F238E27FC236}">
                <a16:creationId xmlns:a16="http://schemas.microsoft.com/office/drawing/2014/main" id="{9332ECC0-DEF9-FE49-0250-31C262210001}"/>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168985" name="Rectangle: Rounded Corners 168984">
            <a:hlinkClick xmlns:r="http://schemas.openxmlformats.org/officeDocument/2006/relationships" r:id="rId27"/>
            <a:extLst>
              <a:ext uri="{FF2B5EF4-FFF2-40B4-BE49-F238E27FC236}">
                <a16:creationId xmlns:a16="http://schemas.microsoft.com/office/drawing/2014/main" id="{7CC354DB-ED4C-3B2D-E5D9-7F829BEC45BC}"/>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168986" name="Rectangle: Rounded Corners 168985">
            <a:hlinkClick xmlns:r="http://schemas.openxmlformats.org/officeDocument/2006/relationships" r:id="rId28"/>
            <a:extLst>
              <a:ext uri="{FF2B5EF4-FFF2-40B4-BE49-F238E27FC236}">
                <a16:creationId xmlns:a16="http://schemas.microsoft.com/office/drawing/2014/main" id="{9F7412B8-6D00-3E9E-A984-06ABA40669AB}"/>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168987" name="Rectangle: Rounded Corners 168986">
            <a:hlinkClick xmlns:r="http://schemas.openxmlformats.org/officeDocument/2006/relationships" r:id="rId29"/>
            <a:extLst>
              <a:ext uri="{FF2B5EF4-FFF2-40B4-BE49-F238E27FC236}">
                <a16:creationId xmlns:a16="http://schemas.microsoft.com/office/drawing/2014/main" id="{EF2ACA88-544C-69E7-242E-0D073D518709}"/>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168988" name="Rectangle: Rounded Corners 168987">
            <a:hlinkClick xmlns:r="http://schemas.openxmlformats.org/officeDocument/2006/relationships" r:id="rId30"/>
            <a:extLst>
              <a:ext uri="{FF2B5EF4-FFF2-40B4-BE49-F238E27FC236}">
                <a16:creationId xmlns:a16="http://schemas.microsoft.com/office/drawing/2014/main" id="{24CF54C0-28F2-FA2A-B777-0422CE149CA4}"/>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168989" name="Rectangle: Rounded Corners 168988">
            <a:hlinkClick xmlns:r="http://schemas.openxmlformats.org/officeDocument/2006/relationships" r:id="rId31"/>
            <a:extLst>
              <a:ext uri="{FF2B5EF4-FFF2-40B4-BE49-F238E27FC236}">
                <a16:creationId xmlns:a16="http://schemas.microsoft.com/office/drawing/2014/main" id="{8E5F49AD-7766-B9E2-30D8-088C0CE12C8C}"/>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168990" name="Rectangle: Rounded Corners 168989">
            <a:hlinkClick xmlns:r="http://schemas.openxmlformats.org/officeDocument/2006/relationships" r:id="rId32"/>
            <a:extLst>
              <a:ext uri="{FF2B5EF4-FFF2-40B4-BE49-F238E27FC236}">
                <a16:creationId xmlns:a16="http://schemas.microsoft.com/office/drawing/2014/main" id="{7FB4F836-88EA-6A66-8F7C-F8C3F0B96BA7}"/>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168991" name="Rectangle: Rounded Corners 168990">
            <a:hlinkClick xmlns:r="http://schemas.openxmlformats.org/officeDocument/2006/relationships" r:id="rId33"/>
            <a:extLst>
              <a:ext uri="{FF2B5EF4-FFF2-40B4-BE49-F238E27FC236}">
                <a16:creationId xmlns:a16="http://schemas.microsoft.com/office/drawing/2014/main" id="{2973967A-88BD-29B5-9400-2F583468AA94}"/>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168992" name="Rectangle: Rounded Corners 168991">
            <a:hlinkClick xmlns:r="http://schemas.openxmlformats.org/officeDocument/2006/relationships" r:id="rId34"/>
            <a:extLst>
              <a:ext uri="{FF2B5EF4-FFF2-40B4-BE49-F238E27FC236}">
                <a16:creationId xmlns:a16="http://schemas.microsoft.com/office/drawing/2014/main" id="{96FBD220-9969-183F-A52D-274CA33FDF51}"/>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168993" name="TextBox 168992">
            <a:extLst>
              <a:ext uri="{FF2B5EF4-FFF2-40B4-BE49-F238E27FC236}">
                <a16:creationId xmlns:a16="http://schemas.microsoft.com/office/drawing/2014/main" id="{1779E51A-8EB0-6F9E-DE23-D5952F881FDC}"/>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168996" name="Group 168995">
          <a:hlinkClick xmlns:r="http://schemas.openxmlformats.org/officeDocument/2006/relationships" r:id="rId23"/>
          <a:extLst>
            <a:ext uri="{FF2B5EF4-FFF2-40B4-BE49-F238E27FC236}">
              <a16:creationId xmlns:a16="http://schemas.microsoft.com/office/drawing/2014/main" id="{85DF62F2-FFD9-49BD-BBC3-6846E80B7E45}"/>
            </a:ext>
          </a:extLst>
        </xdr:cNvPr>
        <xdr:cNvGrpSpPr/>
      </xdr:nvGrpSpPr>
      <xdr:grpSpPr>
        <a:xfrm>
          <a:off x="9691116" y="0"/>
          <a:ext cx="411480" cy="1685544"/>
          <a:chOff x="9210675" y="19050"/>
          <a:chExt cx="390525" cy="1743075"/>
        </a:xfrm>
      </xdr:grpSpPr>
      <xdr:pic>
        <xdr:nvPicPr>
          <xdr:cNvPr id="168997" name="Graphic 168996" descr="Map compass with solid fill">
            <a:hlinkClick xmlns:r="http://schemas.openxmlformats.org/officeDocument/2006/relationships" r:id="rId35"/>
            <a:extLst>
              <a:ext uri="{FF2B5EF4-FFF2-40B4-BE49-F238E27FC236}">
                <a16:creationId xmlns:a16="http://schemas.microsoft.com/office/drawing/2014/main" id="{D3281622-2DFF-A716-8F1C-3C215C6D2340}"/>
              </a:ext>
            </a:extLst>
          </xdr:cNvPr>
          <xdr:cNvPicPr>
            <a:picLocks noChangeAspect="1"/>
          </xdr:cNvPicPr>
        </xdr:nvPicPr>
        <xdr:blipFill>
          <a:blip xmlns:r="http://schemas.openxmlformats.org/officeDocument/2006/relationships" r:embed="rId36">
            <a:duotone>
              <a:schemeClr val="accent6">
                <a:shade val="45000"/>
                <a:satMod val="135000"/>
              </a:schemeClr>
              <a:prstClr val="white"/>
            </a:duotone>
            <a:extLst>
              <a:ext uri="{96DAC541-7B7A-43D3-8B79-37D633B846F1}">
                <asvg:svgBlip xmlns:asvg="http://schemas.microsoft.com/office/drawing/2016/SVG/main" r:embed="rId37"/>
              </a:ext>
            </a:extLst>
          </a:blip>
          <a:stretch>
            <a:fillRect/>
          </a:stretch>
        </xdr:blipFill>
        <xdr:spPr>
          <a:xfrm>
            <a:off x="9229725" y="38099"/>
            <a:ext cx="369675" cy="369675"/>
          </a:xfrm>
          <a:prstGeom prst="rect">
            <a:avLst/>
          </a:prstGeom>
        </xdr:spPr>
      </xdr:pic>
      <xdr:sp macro="" textlink="">
        <xdr:nvSpPr>
          <xdr:cNvPr id="168998" name="Right Arrow 50">
            <a:hlinkClick xmlns:r="http://schemas.openxmlformats.org/officeDocument/2006/relationships" r:id="rId32"/>
            <a:extLst>
              <a:ext uri="{FF2B5EF4-FFF2-40B4-BE49-F238E27FC236}">
                <a16:creationId xmlns:a16="http://schemas.microsoft.com/office/drawing/2014/main" id="{A941EDBA-B08B-01FD-415B-38D30ED379AE}"/>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168999" name="Right Arrow 50">
            <a:hlinkClick xmlns:r="http://schemas.openxmlformats.org/officeDocument/2006/relationships" r:id="rId28"/>
            <a:extLst>
              <a:ext uri="{FF2B5EF4-FFF2-40B4-BE49-F238E27FC236}">
                <a16:creationId xmlns:a16="http://schemas.microsoft.com/office/drawing/2014/main" id="{0C9E46EE-B390-8603-4C1D-6053EBADA3CF}"/>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169000" name="Picture 168999">
            <a:hlinkClick xmlns:r="http://schemas.openxmlformats.org/officeDocument/2006/relationships" r:id="rId23"/>
            <a:extLst>
              <a:ext uri="{FF2B5EF4-FFF2-40B4-BE49-F238E27FC236}">
                <a16:creationId xmlns:a16="http://schemas.microsoft.com/office/drawing/2014/main" id="{B70B2607-EA82-2F66-E6AE-BDAB9FD30D5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169001" name="Rectangle 169000">
            <a:extLst>
              <a:ext uri="{FF2B5EF4-FFF2-40B4-BE49-F238E27FC236}">
                <a16:creationId xmlns:a16="http://schemas.microsoft.com/office/drawing/2014/main" id="{0C21AB42-E3B4-F577-A877-CA71EC39E092}"/>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10" name="Down Arrow 44">
          <a:hlinkClick xmlns:r="http://schemas.openxmlformats.org/officeDocument/2006/relationships" r:id="rId34"/>
          <a:extLst>
            <a:ext uri="{FF2B5EF4-FFF2-40B4-BE49-F238E27FC236}">
              <a16:creationId xmlns:a16="http://schemas.microsoft.com/office/drawing/2014/main" id="{C5B81322-810F-4601-920D-A0BF1B3D9436}"/>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11" name="Down Arrow 44">
          <a:hlinkClick xmlns:r="http://schemas.openxmlformats.org/officeDocument/2006/relationships" r:id="rId34"/>
          <a:extLst>
            <a:ext uri="{FF2B5EF4-FFF2-40B4-BE49-F238E27FC236}">
              <a16:creationId xmlns:a16="http://schemas.microsoft.com/office/drawing/2014/main" id="{64E46C62-05A7-49F5-8337-B73DFDFEC632}"/>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101</xdr:row>
      <xdr:rowOff>0</xdr:rowOff>
    </xdr:from>
    <xdr:ext cx="252000" cy="288000"/>
    <xdr:sp macro="" textlink="">
      <xdr:nvSpPr>
        <xdr:cNvPr id="12" name="Down Arrow 44">
          <a:hlinkClick xmlns:r="http://schemas.openxmlformats.org/officeDocument/2006/relationships" r:id="rId34"/>
          <a:extLst>
            <a:ext uri="{FF2B5EF4-FFF2-40B4-BE49-F238E27FC236}">
              <a16:creationId xmlns:a16="http://schemas.microsoft.com/office/drawing/2014/main" id="{74CBB89F-3ECF-44E3-BCB8-3C0736BD60A5}"/>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134</xdr:row>
      <xdr:rowOff>0</xdr:rowOff>
    </xdr:from>
    <xdr:ext cx="252000" cy="288000"/>
    <xdr:sp macro="" textlink="">
      <xdr:nvSpPr>
        <xdr:cNvPr id="13" name="Down Arrow 44">
          <a:hlinkClick xmlns:r="http://schemas.openxmlformats.org/officeDocument/2006/relationships" r:id="rId34"/>
          <a:extLst>
            <a:ext uri="{FF2B5EF4-FFF2-40B4-BE49-F238E27FC236}">
              <a16:creationId xmlns:a16="http://schemas.microsoft.com/office/drawing/2014/main" id="{63E1BB53-9E32-48AE-A5A9-4AFFD387DAD0}"/>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167</xdr:row>
      <xdr:rowOff>0</xdr:rowOff>
    </xdr:from>
    <xdr:ext cx="252000" cy="288000"/>
    <xdr:sp macro="" textlink="">
      <xdr:nvSpPr>
        <xdr:cNvPr id="14" name="Down Arrow 44">
          <a:hlinkClick xmlns:r="http://schemas.openxmlformats.org/officeDocument/2006/relationships" r:id="rId34"/>
          <a:extLst>
            <a:ext uri="{FF2B5EF4-FFF2-40B4-BE49-F238E27FC236}">
              <a16:creationId xmlns:a16="http://schemas.microsoft.com/office/drawing/2014/main" id="{91B5A47C-F169-4030-96F3-23ADFCEA4FFB}"/>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200</xdr:row>
      <xdr:rowOff>0</xdr:rowOff>
    </xdr:from>
    <xdr:ext cx="252000" cy="288000"/>
    <xdr:sp macro="" textlink="">
      <xdr:nvSpPr>
        <xdr:cNvPr id="15" name="Down Arrow 44">
          <a:hlinkClick xmlns:r="http://schemas.openxmlformats.org/officeDocument/2006/relationships" r:id="rId34"/>
          <a:extLst>
            <a:ext uri="{FF2B5EF4-FFF2-40B4-BE49-F238E27FC236}">
              <a16:creationId xmlns:a16="http://schemas.microsoft.com/office/drawing/2014/main" id="{3E2D6F62-732E-4DA7-87D9-F754D8C8B02F}"/>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233</xdr:row>
      <xdr:rowOff>0</xdr:rowOff>
    </xdr:from>
    <xdr:ext cx="252000" cy="288000"/>
    <xdr:sp macro="" textlink="">
      <xdr:nvSpPr>
        <xdr:cNvPr id="16" name="Down Arrow 44">
          <a:hlinkClick xmlns:r="http://schemas.openxmlformats.org/officeDocument/2006/relationships" r:id="rId34"/>
          <a:extLst>
            <a:ext uri="{FF2B5EF4-FFF2-40B4-BE49-F238E27FC236}">
              <a16:creationId xmlns:a16="http://schemas.microsoft.com/office/drawing/2014/main" id="{D3452B47-4A7D-423B-91A6-D009A87B3A0C}"/>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21</xdr:col>
      <xdr:colOff>95250</xdr:colOff>
      <xdr:row>35</xdr:row>
      <xdr:rowOff>33750</xdr:rowOff>
    </xdr:from>
    <xdr:to>
      <xdr:col>21</xdr:col>
      <xdr:colOff>350425</xdr:colOff>
      <xdr:row>36</xdr:row>
      <xdr:rowOff>95250</xdr:rowOff>
    </xdr:to>
    <xdr:sp macro="[0]!CMEEHE" textlink="">
      <xdr:nvSpPr>
        <xdr:cNvPr id="2" name="Down Arrow 44">
          <a:extLst>
            <a:ext uri="{FF2B5EF4-FFF2-40B4-BE49-F238E27FC236}">
              <a16:creationId xmlns:a16="http://schemas.microsoft.com/office/drawing/2014/main" id="{00000000-0008-0000-1B00-000002000000}"/>
            </a:ext>
          </a:extLst>
        </xdr:cNvPr>
        <xdr:cNvSpPr>
          <a:spLocks noChangeArrowheads="1"/>
        </xdr:cNvSpPr>
      </xdr:nvSpPr>
      <xdr:spPr bwMode="auto">
        <a:xfrm flipV="1">
          <a:off x="9286875" y="64440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xdr:from>
      <xdr:col>21</xdr:col>
      <xdr:colOff>95250</xdr:colOff>
      <xdr:row>68</xdr:row>
      <xdr:rowOff>33750</xdr:rowOff>
    </xdr:from>
    <xdr:to>
      <xdr:col>21</xdr:col>
      <xdr:colOff>347250</xdr:colOff>
      <xdr:row>69</xdr:row>
      <xdr:rowOff>95250</xdr:rowOff>
    </xdr:to>
    <xdr:sp macro="[0]!CMEEHE" textlink="">
      <xdr:nvSpPr>
        <xdr:cNvPr id="3" name="Down Arrow 2">
          <a:extLst>
            <a:ext uri="{FF2B5EF4-FFF2-40B4-BE49-F238E27FC236}">
              <a16:creationId xmlns:a16="http://schemas.microsoft.com/office/drawing/2014/main" id="{00000000-0008-0000-1B00-000003000000}"/>
            </a:ext>
          </a:extLst>
        </xdr:cNvPr>
        <xdr:cNvSpPr/>
      </xdr:nvSpPr>
      <xdr:spPr>
        <a:xfrm flipV="1">
          <a:off x="9286875" y="13187775"/>
          <a:ext cx="252000" cy="252000"/>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xdr:col>
      <xdr:colOff>1</xdr:colOff>
      <xdr:row>38</xdr:row>
      <xdr:rowOff>1</xdr:rowOff>
    </xdr:from>
    <xdr:to>
      <xdr:col>11</xdr:col>
      <xdr:colOff>0</xdr:colOff>
      <xdr:row>67</xdr:row>
      <xdr:rowOff>0</xdr:rowOff>
    </xdr:to>
    <xdr:graphicFrame macro="">
      <xdr:nvGraphicFramePr>
        <xdr:cNvPr id="4" name="Chart 1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19048</xdr:colOff>
      <xdr:row>0</xdr:row>
      <xdr:rowOff>85725</xdr:rowOff>
    </xdr:from>
    <xdr:to>
      <xdr:col>20</xdr:col>
      <xdr:colOff>64498</xdr:colOff>
      <xdr:row>2</xdr:row>
      <xdr:rowOff>149475</xdr:rowOff>
    </xdr:to>
    <xdr:sp macro="" textlink="">
      <xdr:nvSpPr>
        <xdr:cNvPr id="5" name="AutoShape 32">
          <a:extLst>
            <a:ext uri="{FF2B5EF4-FFF2-40B4-BE49-F238E27FC236}">
              <a16:creationId xmlns:a16="http://schemas.microsoft.com/office/drawing/2014/main" id="{00000000-0008-0000-1B00-000005000000}"/>
            </a:ext>
          </a:extLst>
        </xdr:cNvPr>
        <xdr:cNvSpPr>
          <a:spLocks noChangeArrowheads="1"/>
        </xdr:cNvSpPr>
      </xdr:nvSpPr>
      <xdr:spPr bwMode="auto">
        <a:xfrm>
          <a:off x="6943723"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11</xdr:col>
      <xdr:colOff>0</xdr:colOff>
      <xdr:row>64</xdr:row>
      <xdr:rowOff>0</xdr:rowOff>
    </xdr:from>
    <xdr:to>
      <xdr:col>20</xdr:col>
      <xdr:colOff>1</xdr:colOff>
      <xdr:row>67</xdr:row>
      <xdr:rowOff>0</xdr:rowOff>
    </xdr:to>
    <xdr:graphicFrame macro="">
      <xdr:nvGraphicFramePr>
        <xdr:cNvPr id="6" name="Chart 13">
          <a:extLst>
            <a:ext uri="{FF2B5EF4-FFF2-40B4-BE49-F238E27FC236}">
              <a16:creationId xmlns:a16="http://schemas.microsoft.com/office/drawing/2014/main" id="{00000000-0008-0000-1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85725</xdr:colOff>
          <xdr:row>38</xdr:row>
          <xdr:rowOff>19050</xdr:rowOff>
        </xdr:from>
        <xdr:to>
          <xdr:col>35</xdr:col>
          <xdr:colOff>57150</xdr:colOff>
          <xdr:row>40</xdr:row>
          <xdr:rowOff>0</xdr:rowOff>
        </xdr:to>
        <xdr:sp macro="" textlink="">
          <xdr:nvSpPr>
            <xdr:cNvPr id="183297" name="Check Box 1" hidden="1">
              <a:extLst>
                <a:ext uri="{63B3BB69-23CF-44E3-9099-C40C66FF867C}">
                  <a14:compatExt spid="_x0000_s183297"/>
                </a:ext>
                <a:ext uri="{FF2B5EF4-FFF2-40B4-BE49-F238E27FC236}">
                  <a16:creationId xmlns:a16="http://schemas.microsoft.com/office/drawing/2014/main" id="{00000000-0008-0000-1C00-00000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39</xdr:row>
          <xdr:rowOff>142875</xdr:rowOff>
        </xdr:from>
        <xdr:to>
          <xdr:col>35</xdr:col>
          <xdr:colOff>57150</xdr:colOff>
          <xdr:row>41</xdr:row>
          <xdr:rowOff>0</xdr:rowOff>
        </xdr:to>
        <xdr:sp macro="" textlink="">
          <xdr:nvSpPr>
            <xdr:cNvPr id="183298" name="Check Box 2" hidden="1">
              <a:extLst>
                <a:ext uri="{63B3BB69-23CF-44E3-9099-C40C66FF867C}">
                  <a14:compatExt spid="_x0000_s183298"/>
                </a:ext>
                <a:ext uri="{FF2B5EF4-FFF2-40B4-BE49-F238E27FC236}">
                  <a16:creationId xmlns:a16="http://schemas.microsoft.com/office/drawing/2014/main" id="{00000000-0008-0000-1C00-00000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40</xdr:row>
          <xdr:rowOff>142875</xdr:rowOff>
        </xdr:from>
        <xdr:to>
          <xdr:col>35</xdr:col>
          <xdr:colOff>57150</xdr:colOff>
          <xdr:row>42</xdr:row>
          <xdr:rowOff>0</xdr:rowOff>
        </xdr:to>
        <xdr:sp macro="" textlink="">
          <xdr:nvSpPr>
            <xdr:cNvPr id="183299" name="Check Box 3" hidden="1">
              <a:extLst>
                <a:ext uri="{63B3BB69-23CF-44E3-9099-C40C66FF867C}">
                  <a14:compatExt spid="_x0000_s183299"/>
                </a:ext>
                <a:ext uri="{FF2B5EF4-FFF2-40B4-BE49-F238E27FC236}">
                  <a16:creationId xmlns:a16="http://schemas.microsoft.com/office/drawing/2014/main" id="{00000000-0008-0000-1C00-00000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41</xdr:row>
          <xdr:rowOff>142875</xdr:rowOff>
        </xdr:from>
        <xdr:to>
          <xdr:col>35</xdr:col>
          <xdr:colOff>57150</xdr:colOff>
          <xdr:row>43</xdr:row>
          <xdr:rowOff>0</xdr:rowOff>
        </xdr:to>
        <xdr:sp macro="" textlink="">
          <xdr:nvSpPr>
            <xdr:cNvPr id="183300" name="Check Box 4" hidden="1">
              <a:extLst>
                <a:ext uri="{63B3BB69-23CF-44E3-9099-C40C66FF867C}">
                  <a14:compatExt spid="_x0000_s183300"/>
                </a:ext>
                <a:ext uri="{FF2B5EF4-FFF2-40B4-BE49-F238E27FC236}">
                  <a16:creationId xmlns:a16="http://schemas.microsoft.com/office/drawing/2014/main" id="{00000000-0008-0000-1C00-00000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42</xdr:row>
          <xdr:rowOff>142875</xdr:rowOff>
        </xdr:from>
        <xdr:to>
          <xdr:col>35</xdr:col>
          <xdr:colOff>57150</xdr:colOff>
          <xdr:row>44</xdr:row>
          <xdr:rowOff>0</xdr:rowOff>
        </xdr:to>
        <xdr:sp macro="" textlink="">
          <xdr:nvSpPr>
            <xdr:cNvPr id="183301" name="Check Box 5" hidden="1">
              <a:extLst>
                <a:ext uri="{63B3BB69-23CF-44E3-9099-C40C66FF867C}">
                  <a14:compatExt spid="_x0000_s183301"/>
                </a:ext>
                <a:ext uri="{FF2B5EF4-FFF2-40B4-BE49-F238E27FC236}">
                  <a16:creationId xmlns:a16="http://schemas.microsoft.com/office/drawing/2014/main" id="{00000000-0008-0000-1C00-00000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43</xdr:row>
          <xdr:rowOff>142875</xdr:rowOff>
        </xdr:from>
        <xdr:to>
          <xdr:col>35</xdr:col>
          <xdr:colOff>57150</xdr:colOff>
          <xdr:row>45</xdr:row>
          <xdr:rowOff>0</xdr:rowOff>
        </xdr:to>
        <xdr:sp macro="" textlink="">
          <xdr:nvSpPr>
            <xdr:cNvPr id="183302" name="Check Box 6" hidden="1">
              <a:extLst>
                <a:ext uri="{63B3BB69-23CF-44E3-9099-C40C66FF867C}">
                  <a14:compatExt spid="_x0000_s183302"/>
                </a:ext>
                <a:ext uri="{FF2B5EF4-FFF2-40B4-BE49-F238E27FC236}">
                  <a16:creationId xmlns:a16="http://schemas.microsoft.com/office/drawing/2014/main" id="{00000000-0008-0000-1C00-00000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44</xdr:row>
          <xdr:rowOff>142875</xdr:rowOff>
        </xdr:from>
        <xdr:to>
          <xdr:col>35</xdr:col>
          <xdr:colOff>57150</xdr:colOff>
          <xdr:row>46</xdr:row>
          <xdr:rowOff>0</xdr:rowOff>
        </xdr:to>
        <xdr:sp macro="" textlink="">
          <xdr:nvSpPr>
            <xdr:cNvPr id="183303" name="Check Box 7" hidden="1">
              <a:extLst>
                <a:ext uri="{63B3BB69-23CF-44E3-9099-C40C66FF867C}">
                  <a14:compatExt spid="_x0000_s183303"/>
                </a:ext>
                <a:ext uri="{FF2B5EF4-FFF2-40B4-BE49-F238E27FC236}">
                  <a16:creationId xmlns:a16="http://schemas.microsoft.com/office/drawing/2014/main" id="{00000000-0008-0000-1C00-00000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45</xdr:row>
          <xdr:rowOff>142875</xdr:rowOff>
        </xdr:from>
        <xdr:to>
          <xdr:col>35</xdr:col>
          <xdr:colOff>57150</xdr:colOff>
          <xdr:row>47</xdr:row>
          <xdr:rowOff>0</xdr:rowOff>
        </xdr:to>
        <xdr:sp macro="" textlink="">
          <xdr:nvSpPr>
            <xdr:cNvPr id="183304" name="Check Box 8" hidden="1">
              <a:extLst>
                <a:ext uri="{63B3BB69-23CF-44E3-9099-C40C66FF867C}">
                  <a14:compatExt spid="_x0000_s183304"/>
                </a:ext>
                <a:ext uri="{FF2B5EF4-FFF2-40B4-BE49-F238E27FC236}">
                  <a16:creationId xmlns:a16="http://schemas.microsoft.com/office/drawing/2014/main" id="{00000000-0008-0000-1C00-00000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46</xdr:row>
          <xdr:rowOff>142875</xdr:rowOff>
        </xdr:from>
        <xdr:to>
          <xdr:col>35</xdr:col>
          <xdr:colOff>57150</xdr:colOff>
          <xdr:row>48</xdr:row>
          <xdr:rowOff>0</xdr:rowOff>
        </xdr:to>
        <xdr:sp macro="" textlink="">
          <xdr:nvSpPr>
            <xdr:cNvPr id="183305" name="Check Box 9" hidden="1">
              <a:extLst>
                <a:ext uri="{63B3BB69-23CF-44E3-9099-C40C66FF867C}">
                  <a14:compatExt spid="_x0000_s183305"/>
                </a:ext>
                <a:ext uri="{FF2B5EF4-FFF2-40B4-BE49-F238E27FC236}">
                  <a16:creationId xmlns:a16="http://schemas.microsoft.com/office/drawing/2014/main" id="{00000000-0008-0000-1C00-00000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47</xdr:row>
          <xdr:rowOff>142875</xdr:rowOff>
        </xdr:from>
        <xdr:to>
          <xdr:col>35</xdr:col>
          <xdr:colOff>57150</xdr:colOff>
          <xdr:row>49</xdr:row>
          <xdr:rowOff>0</xdr:rowOff>
        </xdr:to>
        <xdr:sp macro="" textlink="">
          <xdr:nvSpPr>
            <xdr:cNvPr id="183306" name="Check Box 10" hidden="1">
              <a:extLst>
                <a:ext uri="{63B3BB69-23CF-44E3-9099-C40C66FF867C}">
                  <a14:compatExt spid="_x0000_s183306"/>
                </a:ext>
                <a:ext uri="{FF2B5EF4-FFF2-40B4-BE49-F238E27FC236}">
                  <a16:creationId xmlns:a16="http://schemas.microsoft.com/office/drawing/2014/main" id="{00000000-0008-0000-1C00-00000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48</xdr:row>
          <xdr:rowOff>142875</xdr:rowOff>
        </xdr:from>
        <xdr:to>
          <xdr:col>35</xdr:col>
          <xdr:colOff>57150</xdr:colOff>
          <xdr:row>50</xdr:row>
          <xdr:rowOff>0</xdr:rowOff>
        </xdr:to>
        <xdr:sp macro="" textlink="">
          <xdr:nvSpPr>
            <xdr:cNvPr id="183307" name="Check Box 11" hidden="1">
              <a:extLst>
                <a:ext uri="{63B3BB69-23CF-44E3-9099-C40C66FF867C}">
                  <a14:compatExt spid="_x0000_s183307"/>
                </a:ext>
                <a:ext uri="{FF2B5EF4-FFF2-40B4-BE49-F238E27FC236}">
                  <a16:creationId xmlns:a16="http://schemas.microsoft.com/office/drawing/2014/main" id="{00000000-0008-0000-1C00-00000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49</xdr:row>
          <xdr:rowOff>142875</xdr:rowOff>
        </xdr:from>
        <xdr:to>
          <xdr:col>35</xdr:col>
          <xdr:colOff>57150</xdr:colOff>
          <xdr:row>51</xdr:row>
          <xdr:rowOff>0</xdr:rowOff>
        </xdr:to>
        <xdr:sp macro="" textlink="">
          <xdr:nvSpPr>
            <xdr:cNvPr id="183308" name="Check Box 12" hidden="1">
              <a:extLst>
                <a:ext uri="{63B3BB69-23CF-44E3-9099-C40C66FF867C}">
                  <a14:compatExt spid="_x0000_s183308"/>
                </a:ext>
                <a:ext uri="{FF2B5EF4-FFF2-40B4-BE49-F238E27FC236}">
                  <a16:creationId xmlns:a16="http://schemas.microsoft.com/office/drawing/2014/main" id="{00000000-0008-0000-1C00-00000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50</xdr:row>
          <xdr:rowOff>142875</xdr:rowOff>
        </xdr:from>
        <xdr:to>
          <xdr:col>35</xdr:col>
          <xdr:colOff>57150</xdr:colOff>
          <xdr:row>52</xdr:row>
          <xdr:rowOff>0</xdr:rowOff>
        </xdr:to>
        <xdr:sp macro="" textlink="">
          <xdr:nvSpPr>
            <xdr:cNvPr id="183309" name="Check Box 13" hidden="1">
              <a:extLst>
                <a:ext uri="{63B3BB69-23CF-44E3-9099-C40C66FF867C}">
                  <a14:compatExt spid="_x0000_s183309"/>
                </a:ext>
                <a:ext uri="{FF2B5EF4-FFF2-40B4-BE49-F238E27FC236}">
                  <a16:creationId xmlns:a16="http://schemas.microsoft.com/office/drawing/2014/main" id="{00000000-0008-0000-1C00-00000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51</xdr:row>
          <xdr:rowOff>142875</xdr:rowOff>
        </xdr:from>
        <xdr:to>
          <xdr:col>35</xdr:col>
          <xdr:colOff>57150</xdr:colOff>
          <xdr:row>53</xdr:row>
          <xdr:rowOff>0</xdr:rowOff>
        </xdr:to>
        <xdr:sp macro="" textlink="">
          <xdr:nvSpPr>
            <xdr:cNvPr id="183310" name="Check Box 14" hidden="1">
              <a:extLst>
                <a:ext uri="{63B3BB69-23CF-44E3-9099-C40C66FF867C}">
                  <a14:compatExt spid="_x0000_s183310"/>
                </a:ext>
                <a:ext uri="{FF2B5EF4-FFF2-40B4-BE49-F238E27FC236}">
                  <a16:creationId xmlns:a16="http://schemas.microsoft.com/office/drawing/2014/main" id="{00000000-0008-0000-1C00-00000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52</xdr:row>
          <xdr:rowOff>142875</xdr:rowOff>
        </xdr:from>
        <xdr:to>
          <xdr:col>35</xdr:col>
          <xdr:colOff>57150</xdr:colOff>
          <xdr:row>54</xdr:row>
          <xdr:rowOff>0</xdr:rowOff>
        </xdr:to>
        <xdr:sp macro="" textlink="">
          <xdr:nvSpPr>
            <xdr:cNvPr id="183311" name="Check Box 15" hidden="1">
              <a:extLst>
                <a:ext uri="{63B3BB69-23CF-44E3-9099-C40C66FF867C}">
                  <a14:compatExt spid="_x0000_s183311"/>
                </a:ext>
                <a:ext uri="{FF2B5EF4-FFF2-40B4-BE49-F238E27FC236}">
                  <a16:creationId xmlns:a16="http://schemas.microsoft.com/office/drawing/2014/main" id="{00000000-0008-0000-1C00-00000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53</xdr:row>
          <xdr:rowOff>142875</xdr:rowOff>
        </xdr:from>
        <xdr:to>
          <xdr:col>35</xdr:col>
          <xdr:colOff>57150</xdr:colOff>
          <xdr:row>55</xdr:row>
          <xdr:rowOff>0</xdr:rowOff>
        </xdr:to>
        <xdr:sp macro="" textlink="">
          <xdr:nvSpPr>
            <xdr:cNvPr id="183312" name="Check Box 16" hidden="1">
              <a:extLst>
                <a:ext uri="{63B3BB69-23CF-44E3-9099-C40C66FF867C}">
                  <a14:compatExt spid="_x0000_s183312"/>
                </a:ext>
                <a:ext uri="{FF2B5EF4-FFF2-40B4-BE49-F238E27FC236}">
                  <a16:creationId xmlns:a16="http://schemas.microsoft.com/office/drawing/2014/main" id="{00000000-0008-0000-1C00-00001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55</xdr:row>
          <xdr:rowOff>152400</xdr:rowOff>
        </xdr:from>
        <xdr:to>
          <xdr:col>35</xdr:col>
          <xdr:colOff>57150</xdr:colOff>
          <xdr:row>57</xdr:row>
          <xdr:rowOff>9525</xdr:rowOff>
        </xdr:to>
        <xdr:sp macro="" textlink="">
          <xdr:nvSpPr>
            <xdr:cNvPr id="183313" name="Check Box 17" hidden="1">
              <a:extLst>
                <a:ext uri="{63B3BB69-23CF-44E3-9099-C40C66FF867C}">
                  <a14:compatExt spid="_x0000_s183313"/>
                </a:ext>
                <a:ext uri="{FF2B5EF4-FFF2-40B4-BE49-F238E27FC236}">
                  <a16:creationId xmlns:a16="http://schemas.microsoft.com/office/drawing/2014/main" id="{00000000-0008-0000-1C00-00001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56</xdr:row>
          <xdr:rowOff>152400</xdr:rowOff>
        </xdr:from>
        <xdr:to>
          <xdr:col>35</xdr:col>
          <xdr:colOff>57150</xdr:colOff>
          <xdr:row>58</xdr:row>
          <xdr:rowOff>9525</xdr:rowOff>
        </xdr:to>
        <xdr:sp macro="" textlink="">
          <xdr:nvSpPr>
            <xdr:cNvPr id="183314" name="Check Box 18" hidden="1">
              <a:extLst>
                <a:ext uri="{63B3BB69-23CF-44E3-9099-C40C66FF867C}">
                  <a14:compatExt spid="_x0000_s183314"/>
                </a:ext>
                <a:ext uri="{FF2B5EF4-FFF2-40B4-BE49-F238E27FC236}">
                  <a16:creationId xmlns:a16="http://schemas.microsoft.com/office/drawing/2014/main" id="{00000000-0008-0000-1C00-00001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57</xdr:row>
          <xdr:rowOff>152400</xdr:rowOff>
        </xdr:from>
        <xdr:to>
          <xdr:col>35</xdr:col>
          <xdr:colOff>57150</xdr:colOff>
          <xdr:row>59</xdr:row>
          <xdr:rowOff>9525</xdr:rowOff>
        </xdr:to>
        <xdr:sp macro="" textlink="">
          <xdr:nvSpPr>
            <xdr:cNvPr id="183315" name="Check Box 19" hidden="1">
              <a:extLst>
                <a:ext uri="{63B3BB69-23CF-44E3-9099-C40C66FF867C}">
                  <a14:compatExt spid="_x0000_s183315"/>
                </a:ext>
                <a:ext uri="{FF2B5EF4-FFF2-40B4-BE49-F238E27FC236}">
                  <a16:creationId xmlns:a16="http://schemas.microsoft.com/office/drawing/2014/main" id="{00000000-0008-0000-1C00-00001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58</xdr:row>
          <xdr:rowOff>152400</xdr:rowOff>
        </xdr:from>
        <xdr:to>
          <xdr:col>35</xdr:col>
          <xdr:colOff>57150</xdr:colOff>
          <xdr:row>60</xdr:row>
          <xdr:rowOff>9525</xdr:rowOff>
        </xdr:to>
        <xdr:sp macro="" textlink="">
          <xdr:nvSpPr>
            <xdr:cNvPr id="183316" name="Check Box 20" hidden="1">
              <a:extLst>
                <a:ext uri="{63B3BB69-23CF-44E3-9099-C40C66FF867C}">
                  <a14:compatExt spid="_x0000_s183316"/>
                </a:ext>
                <a:ext uri="{FF2B5EF4-FFF2-40B4-BE49-F238E27FC236}">
                  <a16:creationId xmlns:a16="http://schemas.microsoft.com/office/drawing/2014/main" id="{00000000-0008-0000-1C00-00001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59</xdr:row>
          <xdr:rowOff>152400</xdr:rowOff>
        </xdr:from>
        <xdr:to>
          <xdr:col>35</xdr:col>
          <xdr:colOff>57150</xdr:colOff>
          <xdr:row>61</xdr:row>
          <xdr:rowOff>9525</xdr:rowOff>
        </xdr:to>
        <xdr:sp macro="" textlink="">
          <xdr:nvSpPr>
            <xdr:cNvPr id="183317" name="Check Box 21" hidden="1">
              <a:extLst>
                <a:ext uri="{63B3BB69-23CF-44E3-9099-C40C66FF867C}">
                  <a14:compatExt spid="_x0000_s183317"/>
                </a:ext>
                <a:ext uri="{FF2B5EF4-FFF2-40B4-BE49-F238E27FC236}">
                  <a16:creationId xmlns:a16="http://schemas.microsoft.com/office/drawing/2014/main" id="{00000000-0008-0000-1C00-00001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54</xdr:row>
          <xdr:rowOff>142875</xdr:rowOff>
        </xdr:from>
        <xdr:to>
          <xdr:col>35</xdr:col>
          <xdr:colOff>57150</xdr:colOff>
          <xdr:row>56</xdr:row>
          <xdr:rowOff>0</xdr:rowOff>
        </xdr:to>
        <xdr:sp macro="" textlink="">
          <xdr:nvSpPr>
            <xdr:cNvPr id="183318" name="Check Box 22" hidden="1">
              <a:extLst>
                <a:ext uri="{63B3BB69-23CF-44E3-9099-C40C66FF867C}">
                  <a14:compatExt spid="_x0000_s183318"/>
                </a:ext>
                <a:ext uri="{FF2B5EF4-FFF2-40B4-BE49-F238E27FC236}">
                  <a16:creationId xmlns:a16="http://schemas.microsoft.com/office/drawing/2014/main" id="{00000000-0008-0000-1C00-00001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60</xdr:row>
          <xdr:rowOff>152400</xdr:rowOff>
        </xdr:from>
        <xdr:to>
          <xdr:col>35</xdr:col>
          <xdr:colOff>57150</xdr:colOff>
          <xdr:row>62</xdr:row>
          <xdr:rowOff>9525</xdr:rowOff>
        </xdr:to>
        <xdr:sp macro="" textlink="">
          <xdr:nvSpPr>
            <xdr:cNvPr id="183320" name="Check Box 24" hidden="1">
              <a:extLst>
                <a:ext uri="{63B3BB69-23CF-44E3-9099-C40C66FF867C}">
                  <a14:compatExt spid="_x0000_s183320"/>
                </a:ext>
                <a:ext uri="{FF2B5EF4-FFF2-40B4-BE49-F238E27FC236}">
                  <a16:creationId xmlns:a16="http://schemas.microsoft.com/office/drawing/2014/main" id="{00000000-0008-0000-1C00-00001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21</xdr:col>
      <xdr:colOff>66675</xdr:colOff>
      <xdr:row>0</xdr:row>
      <xdr:rowOff>193416</xdr:rowOff>
    </xdr:from>
    <xdr:to>
      <xdr:col>21</xdr:col>
      <xdr:colOff>368300</xdr:colOff>
      <xdr:row>2</xdr:row>
      <xdr:rowOff>44450</xdr:rowOff>
    </xdr:to>
    <xdr:pic macro="[0]!Home">
      <xdr:nvPicPr>
        <xdr:cNvPr id="31" name="Picture 30">
          <a:extLst>
            <a:ext uri="{FF2B5EF4-FFF2-40B4-BE49-F238E27FC236}">
              <a16:creationId xmlns:a16="http://schemas.microsoft.com/office/drawing/2014/main" id="{00000000-0008-0000-1B00-00001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258300" y="193416"/>
          <a:ext cx="304800" cy="330459"/>
        </a:xfrm>
        <a:prstGeom prst="rect">
          <a:avLst/>
        </a:prstGeom>
      </xdr:spPr>
    </xdr:pic>
    <xdr:clientData/>
  </xdr:twoCellAnchor>
  <xdr:twoCellAnchor editAs="oneCell">
    <xdr:from>
      <xdr:col>21</xdr:col>
      <xdr:colOff>57150</xdr:colOff>
      <xdr:row>3</xdr:row>
      <xdr:rowOff>0</xdr:rowOff>
    </xdr:from>
    <xdr:to>
      <xdr:col>21</xdr:col>
      <xdr:colOff>304800</xdr:colOff>
      <xdr:row>4</xdr:row>
      <xdr:rowOff>133350</xdr:rowOff>
    </xdr:to>
    <xdr:sp macro="[0]!ROSGO" textlink="">
      <xdr:nvSpPr>
        <xdr:cNvPr id="32" name="Right Arrow 31">
          <a:extLst>
            <a:ext uri="{FF2B5EF4-FFF2-40B4-BE49-F238E27FC236}">
              <a16:creationId xmlns:a16="http://schemas.microsoft.com/office/drawing/2014/main" id="{00000000-0008-0000-1B00-000020000000}"/>
            </a:ext>
          </a:extLst>
        </xdr:cNvPr>
        <xdr:cNvSpPr>
          <a:spLocks noChangeArrowheads="1"/>
        </xdr:cNvSpPr>
      </xdr:nvSpPr>
      <xdr:spPr bwMode="auto">
        <a:xfrm flipH="1">
          <a:off x="9248775" y="714375"/>
          <a:ext cx="247650" cy="27622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oneCellAnchor>
    <xdr:from>
      <xdr:col>21</xdr:col>
      <xdr:colOff>95250</xdr:colOff>
      <xdr:row>105</xdr:row>
      <xdr:rowOff>33750</xdr:rowOff>
    </xdr:from>
    <xdr:ext cx="252000" cy="252000"/>
    <xdr:sp macro="[0]!CMEEHE" textlink="">
      <xdr:nvSpPr>
        <xdr:cNvPr id="34" name="Down Arrow 44">
          <a:extLst>
            <a:ext uri="{FF2B5EF4-FFF2-40B4-BE49-F238E27FC236}">
              <a16:creationId xmlns:a16="http://schemas.microsoft.com/office/drawing/2014/main" id="{00000000-0008-0000-1B00-000022000000}"/>
            </a:ext>
          </a:extLst>
        </xdr:cNvPr>
        <xdr:cNvSpPr>
          <a:spLocks noChangeArrowheads="1"/>
        </xdr:cNvSpPr>
      </xdr:nvSpPr>
      <xdr:spPr bwMode="auto">
        <a:xfrm flipV="1">
          <a:off x="9286875" y="266751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21</xdr:col>
      <xdr:colOff>95250</xdr:colOff>
      <xdr:row>138</xdr:row>
      <xdr:rowOff>33750</xdr:rowOff>
    </xdr:from>
    <xdr:to>
      <xdr:col>21</xdr:col>
      <xdr:colOff>347250</xdr:colOff>
      <xdr:row>139</xdr:row>
      <xdr:rowOff>95250</xdr:rowOff>
    </xdr:to>
    <xdr:sp macro="[0]!CMEEHE" textlink="">
      <xdr:nvSpPr>
        <xdr:cNvPr id="35" name="Down Arrow 34">
          <a:extLst>
            <a:ext uri="{FF2B5EF4-FFF2-40B4-BE49-F238E27FC236}">
              <a16:creationId xmlns:a16="http://schemas.microsoft.com/office/drawing/2014/main" id="{00000000-0008-0000-1B00-000023000000}"/>
            </a:ext>
          </a:extLst>
        </xdr:cNvPr>
        <xdr:cNvSpPr/>
      </xdr:nvSpPr>
      <xdr:spPr>
        <a:xfrm flipV="1">
          <a:off x="9286875" y="33418875"/>
          <a:ext cx="252000" cy="252000"/>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xdr:col>
      <xdr:colOff>1</xdr:colOff>
      <xdr:row>108</xdr:row>
      <xdr:rowOff>1</xdr:rowOff>
    </xdr:from>
    <xdr:to>
      <xdr:col>11</xdr:col>
      <xdr:colOff>0</xdr:colOff>
      <xdr:row>137</xdr:row>
      <xdr:rowOff>0</xdr:rowOff>
    </xdr:to>
    <xdr:graphicFrame macro="">
      <xdr:nvGraphicFramePr>
        <xdr:cNvPr id="36" name="Chart 13">
          <a:extLst>
            <a:ext uri="{FF2B5EF4-FFF2-40B4-BE49-F238E27FC236}">
              <a16:creationId xmlns:a16="http://schemas.microsoft.com/office/drawing/2014/main" id="{00000000-0008-0000-1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134</xdr:row>
      <xdr:rowOff>0</xdr:rowOff>
    </xdr:from>
    <xdr:to>
      <xdr:col>20</xdr:col>
      <xdr:colOff>1</xdr:colOff>
      <xdr:row>137</xdr:row>
      <xdr:rowOff>0</xdr:rowOff>
    </xdr:to>
    <xdr:graphicFrame macro="">
      <xdr:nvGraphicFramePr>
        <xdr:cNvPr id="37" name="Chart 13">
          <a:extLst>
            <a:ext uri="{FF2B5EF4-FFF2-40B4-BE49-F238E27FC236}">
              <a16:creationId xmlns:a16="http://schemas.microsoft.com/office/drawing/2014/main" id="{00000000-0008-0000-1B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xdr:colOff>
      <xdr:row>38</xdr:row>
      <xdr:rowOff>0</xdr:rowOff>
    </xdr:from>
    <xdr:to>
      <xdr:col>20</xdr:col>
      <xdr:colOff>1</xdr:colOff>
      <xdr:row>62</xdr:row>
      <xdr:rowOff>0</xdr:rowOff>
    </xdr:to>
    <xdr:graphicFrame macro="">
      <xdr:nvGraphicFramePr>
        <xdr:cNvPr id="38" name="Chart 176">
          <a:extLst>
            <a:ext uri="{FF2B5EF4-FFF2-40B4-BE49-F238E27FC236}">
              <a16:creationId xmlns:a16="http://schemas.microsoft.com/office/drawing/2014/main" id="{00000000-0008-0000-1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xdr:colOff>
      <xdr:row>108</xdr:row>
      <xdr:rowOff>0</xdr:rowOff>
    </xdr:from>
    <xdr:to>
      <xdr:col>20</xdr:col>
      <xdr:colOff>1</xdr:colOff>
      <xdr:row>132</xdr:row>
      <xdr:rowOff>0</xdr:rowOff>
    </xdr:to>
    <xdr:graphicFrame macro="">
      <xdr:nvGraphicFramePr>
        <xdr:cNvPr id="47" name="Chart 176">
          <a:extLst>
            <a:ext uri="{FF2B5EF4-FFF2-40B4-BE49-F238E27FC236}">
              <a16:creationId xmlns:a16="http://schemas.microsoft.com/office/drawing/2014/main" id="{00000000-0008-0000-1B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19049</xdr:colOff>
      <xdr:row>70</xdr:row>
      <xdr:rowOff>85725</xdr:rowOff>
    </xdr:from>
    <xdr:to>
      <xdr:col>20</xdr:col>
      <xdr:colOff>64499</xdr:colOff>
      <xdr:row>72</xdr:row>
      <xdr:rowOff>149475</xdr:rowOff>
    </xdr:to>
    <xdr:sp macro="" textlink="">
      <xdr:nvSpPr>
        <xdr:cNvPr id="48" name="AutoShape 32">
          <a:extLst>
            <a:ext uri="{FF2B5EF4-FFF2-40B4-BE49-F238E27FC236}">
              <a16:creationId xmlns:a16="http://schemas.microsoft.com/office/drawing/2014/main" id="{00000000-0008-0000-1B00-000030000000}"/>
            </a:ext>
          </a:extLst>
        </xdr:cNvPr>
        <xdr:cNvSpPr>
          <a:spLocks noChangeArrowheads="1"/>
        </xdr:cNvSpPr>
      </xdr:nvSpPr>
      <xdr:spPr bwMode="auto">
        <a:xfrm>
          <a:off x="6943724" y="135731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11</xdr:col>
      <xdr:colOff>219075</xdr:colOff>
      <xdr:row>63</xdr:row>
      <xdr:rowOff>38100</xdr:rowOff>
    </xdr:from>
    <xdr:to>
      <xdr:col>11</xdr:col>
      <xdr:colOff>295275</xdr:colOff>
      <xdr:row>63</xdr:row>
      <xdr:rowOff>114300</xdr:rowOff>
    </xdr:to>
    <xdr:sp macro="" textlink="">
      <xdr:nvSpPr>
        <xdr:cNvPr id="55" name="Oval 2165">
          <a:extLst>
            <a:ext uri="{FF2B5EF4-FFF2-40B4-BE49-F238E27FC236}">
              <a16:creationId xmlns:a16="http://schemas.microsoft.com/office/drawing/2014/main" id="{00000000-0008-0000-1B00-000037000000}"/>
            </a:ext>
          </a:extLst>
        </xdr:cNvPr>
        <xdr:cNvSpPr>
          <a:spLocks noChangeArrowheads="1"/>
        </xdr:cNvSpPr>
      </xdr:nvSpPr>
      <xdr:spPr bwMode="auto">
        <a:xfrm>
          <a:off x="5095875" y="11325225"/>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66675</xdr:colOff>
      <xdr:row>62</xdr:row>
      <xdr:rowOff>76200</xdr:rowOff>
    </xdr:from>
    <xdr:to>
      <xdr:col>11</xdr:col>
      <xdr:colOff>438150</xdr:colOff>
      <xdr:row>62</xdr:row>
      <xdr:rowOff>76200</xdr:rowOff>
    </xdr:to>
    <xdr:sp macro="" textlink="">
      <xdr:nvSpPr>
        <xdr:cNvPr id="56" name="Line 283">
          <a:extLst>
            <a:ext uri="{FF2B5EF4-FFF2-40B4-BE49-F238E27FC236}">
              <a16:creationId xmlns:a16="http://schemas.microsoft.com/office/drawing/2014/main" id="{00000000-0008-0000-1B00-000038000000}"/>
            </a:ext>
          </a:extLst>
        </xdr:cNvPr>
        <xdr:cNvSpPr>
          <a:spLocks noChangeShapeType="1"/>
        </xdr:cNvSpPr>
      </xdr:nvSpPr>
      <xdr:spPr bwMode="auto">
        <a:xfrm>
          <a:off x="4943475" y="11191875"/>
          <a:ext cx="371475"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228600</xdr:colOff>
      <xdr:row>62</xdr:row>
      <xdr:rowOff>38100</xdr:rowOff>
    </xdr:from>
    <xdr:to>
      <xdr:col>15</xdr:col>
      <xdr:colOff>304800</xdr:colOff>
      <xdr:row>62</xdr:row>
      <xdr:rowOff>114300</xdr:rowOff>
    </xdr:to>
    <xdr:sp macro="" textlink="">
      <xdr:nvSpPr>
        <xdr:cNvPr id="57" name="Oval 2164">
          <a:extLst>
            <a:ext uri="{FF2B5EF4-FFF2-40B4-BE49-F238E27FC236}">
              <a16:creationId xmlns:a16="http://schemas.microsoft.com/office/drawing/2014/main" id="{00000000-0008-0000-1B00-000039000000}"/>
            </a:ext>
          </a:extLst>
        </xdr:cNvPr>
        <xdr:cNvSpPr>
          <a:spLocks noChangeArrowheads="1"/>
        </xdr:cNvSpPr>
      </xdr:nvSpPr>
      <xdr:spPr bwMode="auto">
        <a:xfrm>
          <a:off x="7048500" y="1115377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11</xdr:col>
      <xdr:colOff>219075</xdr:colOff>
      <xdr:row>133</xdr:row>
      <xdr:rowOff>38100</xdr:rowOff>
    </xdr:from>
    <xdr:to>
      <xdr:col>11</xdr:col>
      <xdr:colOff>295275</xdr:colOff>
      <xdr:row>133</xdr:row>
      <xdr:rowOff>114300</xdr:rowOff>
    </xdr:to>
    <xdr:sp macro="" textlink="">
      <xdr:nvSpPr>
        <xdr:cNvPr id="58" name="Oval 2165">
          <a:extLst>
            <a:ext uri="{FF2B5EF4-FFF2-40B4-BE49-F238E27FC236}">
              <a16:creationId xmlns:a16="http://schemas.microsoft.com/office/drawing/2014/main" id="{00000000-0008-0000-1B00-00003A000000}"/>
            </a:ext>
          </a:extLst>
        </xdr:cNvPr>
        <xdr:cNvSpPr>
          <a:spLocks noChangeArrowheads="1"/>
        </xdr:cNvSpPr>
      </xdr:nvSpPr>
      <xdr:spPr bwMode="auto">
        <a:xfrm>
          <a:off x="5095875" y="11325225"/>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66675</xdr:colOff>
      <xdr:row>132</xdr:row>
      <xdr:rowOff>76200</xdr:rowOff>
    </xdr:from>
    <xdr:to>
      <xdr:col>11</xdr:col>
      <xdr:colOff>438150</xdr:colOff>
      <xdr:row>132</xdr:row>
      <xdr:rowOff>76200</xdr:rowOff>
    </xdr:to>
    <xdr:sp macro="" textlink="">
      <xdr:nvSpPr>
        <xdr:cNvPr id="59" name="Line 283">
          <a:extLst>
            <a:ext uri="{FF2B5EF4-FFF2-40B4-BE49-F238E27FC236}">
              <a16:creationId xmlns:a16="http://schemas.microsoft.com/office/drawing/2014/main" id="{00000000-0008-0000-1B00-00003B000000}"/>
            </a:ext>
          </a:extLst>
        </xdr:cNvPr>
        <xdr:cNvSpPr>
          <a:spLocks noChangeShapeType="1"/>
        </xdr:cNvSpPr>
      </xdr:nvSpPr>
      <xdr:spPr bwMode="auto">
        <a:xfrm>
          <a:off x="4943475" y="11191875"/>
          <a:ext cx="371475"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228600</xdr:colOff>
      <xdr:row>132</xdr:row>
      <xdr:rowOff>38100</xdr:rowOff>
    </xdr:from>
    <xdr:to>
      <xdr:col>15</xdr:col>
      <xdr:colOff>304800</xdr:colOff>
      <xdr:row>132</xdr:row>
      <xdr:rowOff>114300</xdr:rowOff>
    </xdr:to>
    <xdr:sp macro="" textlink="">
      <xdr:nvSpPr>
        <xdr:cNvPr id="60" name="Oval 2164">
          <a:extLst>
            <a:ext uri="{FF2B5EF4-FFF2-40B4-BE49-F238E27FC236}">
              <a16:creationId xmlns:a16="http://schemas.microsoft.com/office/drawing/2014/main" id="{00000000-0008-0000-1B00-00003C000000}"/>
            </a:ext>
          </a:extLst>
        </xdr:cNvPr>
        <xdr:cNvSpPr>
          <a:spLocks noChangeArrowheads="1"/>
        </xdr:cNvSpPr>
      </xdr:nvSpPr>
      <xdr:spPr bwMode="auto">
        <a:xfrm>
          <a:off x="7048500" y="1115377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editAs="oneCell">
    <xdr:from>
      <xdr:col>21</xdr:col>
      <xdr:colOff>123825</xdr:colOff>
      <xdr:row>5</xdr:row>
      <xdr:rowOff>47625</xdr:rowOff>
    </xdr:from>
    <xdr:to>
      <xdr:col>21</xdr:col>
      <xdr:colOff>371475</xdr:colOff>
      <xdr:row>6</xdr:row>
      <xdr:rowOff>153375</xdr:rowOff>
    </xdr:to>
    <xdr:sp macro="[0]!NEET" textlink="">
      <xdr:nvSpPr>
        <xdr:cNvPr id="46" name="Right Arrow 50">
          <a:extLst>
            <a:ext uri="{FF2B5EF4-FFF2-40B4-BE49-F238E27FC236}">
              <a16:creationId xmlns:a16="http://schemas.microsoft.com/office/drawing/2014/main" id="{00000000-0008-0000-1B00-00002E000000}"/>
            </a:ext>
          </a:extLst>
        </xdr:cNvPr>
        <xdr:cNvSpPr>
          <a:spLocks noChangeArrowheads="1"/>
        </xdr:cNvSpPr>
      </xdr:nvSpPr>
      <xdr:spPr bwMode="auto">
        <a:xfrm rot="10800000" flipH="1">
          <a:off x="9305925" y="1095375"/>
          <a:ext cx="247650" cy="277200"/>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xdr:colOff>
      <xdr:row>36</xdr:row>
      <xdr:rowOff>1</xdr:rowOff>
    </xdr:from>
    <xdr:to>
      <xdr:col>10</xdr:col>
      <xdr:colOff>0</xdr:colOff>
      <xdr:row>65</xdr:row>
      <xdr:rowOff>0</xdr:rowOff>
    </xdr:to>
    <xdr:graphicFrame macro="">
      <xdr:nvGraphicFramePr>
        <xdr:cNvPr id="5" name="Chart 13">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400048</xdr:colOff>
      <xdr:row>0</xdr:row>
      <xdr:rowOff>85725</xdr:rowOff>
    </xdr:from>
    <xdr:to>
      <xdr:col>20</xdr:col>
      <xdr:colOff>64498</xdr:colOff>
      <xdr:row>2</xdr:row>
      <xdr:rowOff>149475</xdr:rowOff>
    </xdr:to>
    <xdr:sp macro="" textlink="">
      <xdr:nvSpPr>
        <xdr:cNvPr id="7" name="AutoShape 32">
          <a:extLst>
            <a:ext uri="{FF2B5EF4-FFF2-40B4-BE49-F238E27FC236}">
              <a16:creationId xmlns:a16="http://schemas.microsoft.com/office/drawing/2014/main" id="{00000000-0008-0000-1C00-000007000000}"/>
            </a:ext>
          </a:extLst>
        </xdr:cNvPr>
        <xdr:cNvSpPr>
          <a:spLocks noChangeArrowheads="1"/>
        </xdr:cNvSpPr>
      </xdr:nvSpPr>
      <xdr:spPr bwMode="auto">
        <a:xfrm>
          <a:off x="6934198"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0</xdr:colOff>
      <xdr:row>62</xdr:row>
      <xdr:rowOff>0</xdr:rowOff>
    </xdr:from>
    <xdr:to>
      <xdr:col>20</xdr:col>
      <xdr:colOff>1</xdr:colOff>
      <xdr:row>65</xdr:row>
      <xdr:rowOff>0</xdr:rowOff>
    </xdr:to>
    <xdr:graphicFrame macro="">
      <xdr:nvGraphicFramePr>
        <xdr:cNvPr id="8" name="Chart 13">
          <a:extLst>
            <a:ext uri="{FF2B5EF4-FFF2-40B4-BE49-F238E27FC236}">
              <a16:creationId xmlns:a16="http://schemas.microsoft.com/office/drawing/2014/main" id="{00000000-0008-0000-1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104775</xdr:colOff>
          <xdr:row>36</xdr:row>
          <xdr:rowOff>19050</xdr:rowOff>
        </xdr:from>
        <xdr:to>
          <xdr:col>35</xdr:col>
          <xdr:colOff>76200</xdr:colOff>
          <xdr:row>38</xdr:row>
          <xdr:rowOff>0</xdr:rowOff>
        </xdr:to>
        <xdr:sp macro="" textlink="">
          <xdr:nvSpPr>
            <xdr:cNvPr id="169985" name="Check Box 1" hidden="1">
              <a:extLst>
                <a:ext uri="{63B3BB69-23CF-44E3-9099-C40C66FF867C}">
                  <a14:compatExt spid="_x0000_s169985"/>
                </a:ext>
                <a:ext uri="{FF2B5EF4-FFF2-40B4-BE49-F238E27FC236}">
                  <a16:creationId xmlns:a16="http://schemas.microsoft.com/office/drawing/2014/main" id="{00000000-0008-0000-1D00-00000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37</xdr:row>
          <xdr:rowOff>142875</xdr:rowOff>
        </xdr:from>
        <xdr:to>
          <xdr:col>35</xdr:col>
          <xdr:colOff>76200</xdr:colOff>
          <xdr:row>39</xdr:row>
          <xdr:rowOff>0</xdr:rowOff>
        </xdr:to>
        <xdr:sp macro="" textlink="">
          <xdr:nvSpPr>
            <xdr:cNvPr id="169986" name="Check Box 2" hidden="1">
              <a:extLst>
                <a:ext uri="{63B3BB69-23CF-44E3-9099-C40C66FF867C}">
                  <a14:compatExt spid="_x0000_s169986"/>
                </a:ext>
                <a:ext uri="{FF2B5EF4-FFF2-40B4-BE49-F238E27FC236}">
                  <a16:creationId xmlns:a16="http://schemas.microsoft.com/office/drawing/2014/main" id="{00000000-0008-0000-1D00-00000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38</xdr:row>
          <xdr:rowOff>142875</xdr:rowOff>
        </xdr:from>
        <xdr:to>
          <xdr:col>35</xdr:col>
          <xdr:colOff>76200</xdr:colOff>
          <xdr:row>40</xdr:row>
          <xdr:rowOff>0</xdr:rowOff>
        </xdr:to>
        <xdr:sp macro="" textlink="">
          <xdr:nvSpPr>
            <xdr:cNvPr id="169987" name="Check Box 3" hidden="1">
              <a:extLst>
                <a:ext uri="{63B3BB69-23CF-44E3-9099-C40C66FF867C}">
                  <a14:compatExt spid="_x0000_s169987"/>
                </a:ext>
                <a:ext uri="{FF2B5EF4-FFF2-40B4-BE49-F238E27FC236}">
                  <a16:creationId xmlns:a16="http://schemas.microsoft.com/office/drawing/2014/main" id="{00000000-0008-0000-1D00-00000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39</xdr:row>
          <xdr:rowOff>142875</xdr:rowOff>
        </xdr:from>
        <xdr:to>
          <xdr:col>35</xdr:col>
          <xdr:colOff>76200</xdr:colOff>
          <xdr:row>41</xdr:row>
          <xdr:rowOff>0</xdr:rowOff>
        </xdr:to>
        <xdr:sp macro="" textlink="">
          <xdr:nvSpPr>
            <xdr:cNvPr id="169988" name="Check Box 4" hidden="1">
              <a:extLst>
                <a:ext uri="{63B3BB69-23CF-44E3-9099-C40C66FF867C}">
                  <a14:compatExt spid="_x0000_s169988"/>
                </a:ext>
                <a:ext uri="{FF2B5EF4-FFF2-40B4-BE49-F238E27FC236}">
                  <a16:creationId xmlns:a16="http://schemas.microsoft.com/office/drawing/2014/main" id="{00000000-0008-0000-1D00-00000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40</xdr:row>
          <xdr:rowOff>142875</xdr:rowOff>
        </xdr:from>
        <xdr:to>
          <xdr:col>35</xdr:col>
          <xdr:colOff>76200</xdr:colOff>
          <xdr:row>42</xdr:row>
          <xdr:rowOff>0</xdr:rowOff>
        </xdr:to>
        <xdr:sp macro="" textlink="">
          <xdr:nvSpPr>
            <xdr:cNvPr id="169989" name="Check Box 5" hidden="1">
              <a:extLst>
                <a:ext uri="{63B3BB69-23CF-44E3-9099-C40C66FF867C}">
                  <a14:compatExt spid="_x0000_s169989"/>
                </a:ext>
                <a:ext uri="{FF2B5EF4-FFF2-40B4-BE49-F238E27FC236}">
                  <a16:creationId xmlns:a16="http://schemas.microsoft.com/office/drawing/2014/main" id="{00000000-0008-0000-1D00-00000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41</xdr:row>
          <xdr:rowOff>142875</xdr:rowOff>
        </xdr:from>
        <xdr:to>
          <xdr:col>35</xdr:col>
          <xdr:colOff>76200</xdr:colOff>
          <xdr:row>43</xdr:row>
          <xdr:rowOff>0</xdr:rowOff>
        </xdr:to>
        <xdr:sp macro="" textlink="">
          <xdr:nvSpPr>
            <xdr:cNvPr id="169990" name="Check Box 6" hidden="1">
              <a:extLst>
                <a:ext uri="{63B3BB69-23CF-44E3-9099-C40C66FF867C}">
                  <a14:compatExt spid="_x0000_s169990"/>
                </a:ext>
                <a:ext uri="{FF2B5EF4-FFF2-40B4-BE49-F238E27FC236}">
                  <a16:creationId xmlns:a16="http://schemas.microsoft.com/office/drawing/2014/main" id="{00000000-0008-0000-1D00-000006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42</xdr:row>
          <xdr:rowOff>142875</xdr:rowOff>
        </xdr:from>
        <xdr:to>
          <xdr:col>35</xdr:col>
          <xdr:colOff>76200</xdr:colOff>
          <xdr:row>44</xdr:row>
          <xdr:rowOff>0</xdr:rowOff>
        </xdr:to>
        <xdr:sp macro="" textlink="">
          <xdr:nvSpPr>
            <xdr:cNvPr id="169991" name="Check Box 7" hidden="1">
              <a:extLst>
                <a:ext uri="{63B3BB69-23CF-44E3-9099-C40C66FF867C}">
                  <a14:compatExt spid="_x0000_s169991"/>
                </a:ext>
                <a:ext uri="{FF2B5EF4-FFF2-40B4-BE49-F238E27FC236}">
                  <a16:creationId xmlns:a16="http://schemas.microsoft.com/office/drawing/2014/main" id="{00000000-0008-0000-1D00-000007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43</xdr:row>
          <xdr:rowOff>142875</xdr:rowOff>
        </xdr:from>
        <xdr:to>
          <xdr:col>35</xdr:col>
          <xdr:colOff>76200</xdr:colOff>
          <xdr:row>45</xdr:row>
          <xdr:rowOff>0</xdr:rowOff>
        </xdr:to>
        <xdr:sp macro="" textlink="">
          <xdr:nvSpPr>
            <xdr:cNvPr id="169992" name="Check Box 8" hidden="1">
              <a:extLst>
                <a:ext uri="{63B3BB69-23CF-44E3-9099-C40C66FF867C}">
                  <a14:compatExt spid="_x0000_s169992"/>
                </a:ext>
                <a:ext uri="{FF2B5EF4-FFF2-40B4-BE49-F238E27FC236}">
                  <a16:creationId xmlns:a16="http://schemas.microsoft.com/office/drawing/2014/main" id="{00000000-0008-0000-1D00-000008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44</xdr:row>
          <xdr:rowOff>142875</xdr:rowOff>
        </xdr:from>
        <xdr:to>
          <xdr:col>35</xdr:col>
          <xdr:colOff>76200</xdr:colOff>
          <xdr:row>46</xdr:row>
          <xdr:rowOff>0</xdr:rowOff>
        </xdr:to>
        <xdr:sp macro="" textlink="">
          <xdr:nvSpPr>
            <xdr:cNvPr id="169993" name="Check Box 9" hidden="1">
              <a:extLst>
                <a:ext uri="{63B3BB69-23CF-44E3-9099-C40C66FF867C}">
                  <a14:compatExt spid="_x0000_s169993"/>
                </a:ext>
                <a:ext uri="{FF2B5EF4-FFF2-40B4-BE49-F238E27FC236}">
                  <a16:creationId xmlns:a16="http://schemas.microsoft.com/office/drawing/2014/main" id="{00000000-0008-0000-1D00-000009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45</xdr:row>
          <xdr:rowOff>142875</xdr:rowOff>
        </xdr:from>
        <xdr:to>
          <xdr:col>35</xdr:col>
          <xdr:colOff>76200</xdr:colOff>
          <xdr:row>47</xdr:row>
          <xdr:rowOff>0</xdr:rowOff>
        </xdr:to>
        <xdr:sp macro="" textlink="">
          <xdr:nvSpPr>
            <xdr:cNvPr id="169994" name="Check Box 10" hidden="1">
              <a:extLst>
                <a:ext uri="{63B3BB69-23CF-44E3-9099-C40C66FF867C}">
                  <a14:compatExt spid="_x0000_s169994"/>
                </a:ext>
                <a:ext uri="{FF2B5EF4-FFF2-40B4-BE49-F238E27FC236}">
                  <a16:creationId xmlns:a16="http://schemas.microsoft.com/office/drawing/2014/main" id="{00000000-0008-0000-1D00-00000A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46</xdr:row>
          <xdr:rowOff>142875</xdr:rowOff>
        </xdr:from>
        <xdr:to>
          <xdr:col>35</xdr:col>
          <xdr:colOff>76200</xdr:colOff>
          <xdr:row>48</xdr:row>
          <xdr:rowOff>0</xdr:rowOff>
        </xdr:to>
        <xdr:sp macro="" textlink="">
          <xdr:nvSpPr>
            <xdr:cNvPr id="169995" name="Check Box 11" hidden="1">
              <a:extLst>
                <a:ext uri="{63B3BB69-23CF-44E3-9099-C40C66FF867C}">
                  <a14:compatExt spid="_x0000_s169995"/>
                </a:ext>
                <a:ext uri="{FF2B5EF4-FFF2-40B4-BE49-F238E27FC236}">
                  <a16:creationId xmlns:a16="http://schemas.microsoft.com/office/drawing/2014/main" id="{00000000-0008-0000-1D00-00000B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47</xdr:row>
          <xdr:rowOff>142875</xdr:rowOff>
        </xdr:from>
        <xdr:to>
          <xdr:col>35</xdr:col>
          <xdr:colOff>76200</xdr:colOff>
          <xdr:row>49</xdr:row>
          <xdr:rowOff>0</xdr:rowOff>
        </xdr:to>
        <xdr:sp macro="" textlink="">
          <xdr:nvSpPr>
            <xdr:cNvPr id="169996" name="Check Box 12" hidden="1">
              <a:extLst>
                <a:ext uri="{63B3BB69-23CF-44E3-9099-C40C66FF867C}">
                  <a14:compatExt spid="_x0000_s169996"/>
                </a:ext>
                <a:ext uri="{FF2B5EF4-FFF2-40B4-BE49-F238E27FC236}">
                  <a16:creationId xmlns:a16="http://schemas.microsoft.com/office/drawing/2014/main" id="{00000000-0008-0000-1D00-00000C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48</xdr:row>
          <xdr:rowOff>142875</xdr:rowOff>
        </xdr:from>
        <xdr:to>
          <xdr:col>35</xdr:col>
          <xdr:colOff>76200</xdr:colOff>
          <xdr:row>50</xdr:row>
          <xdr:rowOff>0</xdr:rowOff>
        </xdr:to>
        <xdr:sp macro="" textlink="">
          <xdr:nvSpPr>
            <xdr:cNvPr id="169997" name="Check Box 13" hidden="1">
              <a:extLst>
                <a:ext uri="{63B3BB69-23CF-44E3-9099-C40C66FF867C}">
                  <a14:compatExt spid="_x0000_s169997"/>
                </a:ext>
                <a:ext uri="{FF2B5EF4-FFF2-40B4-BE49-F238E27FC236}">
                  <a16:creationId xmlns:a16="http://schemas.microsoft.com/office/drawing/2014/main" id="{00000000-0008-0000-1D00-00000D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49</xdr:row>
          <xdr:rowOff>152400</xdr:rowOff>
        </xdr:from>
        <xdr:to>
          <xdr:col>35</xdr:col>
          <xdr:colOff>76200</xdr:colOff>
          <xdr:row>51</xdr:row>
          <xdr:rowOff>9525</xdr:rowOff>
        </xdr:to>
        <xdr:sp macro="" textlink="">
          <xdr:nvSpPr>
            <xdr:cNvPr id="169999" name="Check Box 15" hidden="1">
              <a:extLst>
                <a:ext uri="{63B3BB69-23CF-44E3-9099-C40C66FF867C}">
                  <a14:compatExt spid="_x0000_s169999"/>
                </a:ext>
                <a:ext uri="{FF2B5EF4-FFF2-40B4-BE49-F238E27FC236}">
                  <a16:creationId xmlns:a16="http://schemas.microsoft.com/office/drawing/2014/main" id="{00000000-0008-0000-1D00-00000F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50</xdr:row>
          <xdr:rowOff>152400</xdr:rowOff>
        </xdr:from>
        <xdr:to>
          <xdr:col>35</xdr:col>
          <xdr:colOff>76200</xdr:colOff>
          <xdr:row>52</xdr:row>
          <xdr:rowOff>9525</xdr:rowOff>
        </xdr:to>
        <xdr:sp macro="" textlink="">
          <xdr:nvSpPr>
            <xdr:cNvPr id="170000" name="Check Box 16" hidden="1">
              <a:extLst>
                <a:ext uri="{63B3BB69-23CF-44E3-9099-C40C66FF867C}">
                  <a14:compatExt spid="_x0000_s170000"/>
                </a:ext>
                <a:ext uri="{FF2B5EF4-FFF2-40B4-BE49-F238E27FC236}">
                  <a16:creationId xmlns:a16="http://schemas.microsoft.com/office/drawing/2014/main" id="{00000000-0008-0000-1D00-000010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51</xdr:row>
          <xdr:rowOff>161925</xdr:rowOff>
        </xdr:from>
        <xdr:to>
          <xdr:col>35</xdr:col>
          <xdr:colOff>76200</xdr:colOff>
          <xdr:row>53</xdr:row>
          <xdr:rowOff>19050</xdr:rowOff>
        </xdr:to>
        <xdr:sp macro="" textlink="">
          <xdr:nvSpPr>
            <xdr:cNvPr id="170001" name="Check Box 17" hidden="1">
              <a:extLst>
                <a:ext uri="{63B3BB69-23CF-44E3-9099-C40C66FF867C}">
                  <a14:compatExt spid="_x0000_s170001"/>
                </a:ext>
                <a:ext uri="{FF2B5EF4-FFF2-40B4-BE49-F238E27FC236}">
                  <a16:creationId xmlns:a16="http://schemas.microsoft.com/office/drawing/2014/main" id="{00000000-0008-0000-1D00-00001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52</xdr:row>
          <xdr:rowOff>161925</xdr:rowOff>
        </xdr:from>
        <xdr:to>
          <xdr:col>35</xdr:col>
          <xdr:colOff>76200</xdr:colOff>
          <xdr:row>54</xdr:row>
          <xdr:rowOff>19050</xdr:rowOff>
        </xdr:to>
        <xdr:sp macro="" textlink="">
          <xdr:nvSpPr>
            <xdr:cNvPr id="170002" name="Check Box 18" hidden="1">
              <a:extLst>
                <a:ext uri="{63B3BB69-23CF-44E3-9099-C40C66FF867C}">
                  <a14:compatExt spid="_x0000_s170002"/>
                </a:ext>
                <a:ext uri="{FF2B5EF4-FFF2-40B4-BE49-F238E27FC236}">
                  <a16:creationId xmlns:a16="http://schemas.microsoft.com/office/drawing/2014/main" id="{00000000-0008-0000-1D00-00001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53</xdr:row>
          <xdr:rowOff>161925</xdr:rowOff>
        </xdr:from>
        <xdr:to>
          <xdr:col>35</xdr:col>
          <xdr:colOff>76200</xdr:colOff>
          <xdr:row>55</xdr:row>
          <xdr:rowOff>19050</xdr:rowOff>
        </xdr:to>
        <xdr:sp macro="" textlink="">
          <xdr:nvSpPr>
            <xdr:cNvPr id="170003" name="Check Box 19" hidden="1">
              <a:extLst>
                <a:ext uri="{63B3BB69-23CF-44E3-9099-C40C66FF867C}">
                  <a14:compatExt spid="_x0000_s170003"/>
                </a:ext>
                <a:ext uri="{FF2B5EF4-FFF2-40B4-BE49-F238E27FC236}">
                  <a16:creationId xmlns:a16="http://schemas.microsoft.com/office/drawing/2014/main" id="{00000000-0008-0000-1D00-00001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54</xdr:row>
          <xdr:rowOff>161925</xdr:rowOff>
        </xdr:from>
        <xdr:to>
          <xdr:col>35</xdr:col>
          <xdr:colOff>76200</xdr:colOff>
          <xdr:row>56</xdr:row>
          <xdr:rowOff>19050</xdr:rowOff>
        </xdr:to>
        <xdr:sp macro="" textlink="">
          <xdr:nvSpPr>
            <xdr:cNvPr id="170004" name="Check Box 20" hidden="1">
              <a:extLst>
                <a:ext uri="{63B3BB69-23CF-44E3-9099-C40C66FF867C}">
                  <a14:compatExt spid="_x0000_s170004"/>
                </a:ext>
                <a:ext uri="{FF2B5EF4-FFF2-40B4-BE49-F238E27FC236}">
                  <a16:creationId xmlns:a16="http://schemas.microsoft.com/office/drawing/2014/main" id="{00000000-0008-0000-1D00-00001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55</xdr:row>
          <xdr:rowOff>161925</xdr:rowOff>
        </xdr:from>
        <xdr:to>
          <xdr:col>35</xdr:col>
          <xdr:colOff>76200</xdr:colOff>
          <xdr:row>57</xdr:row>
          <xdr:rowOff>19050</xdr:rowOff>
        </xdr:to>
        <xdr:sp macro="" textlink="">
          <xdr:nvSpPr>
            <xdr:cNvPr id="170005" name="Check Box 21" hidden="1">
              <a:extLst>
                <a:ext uri="{63B3BB69-23CF-44E3-9099-C40C66FF867C}">
                  <a14:compatExt spid="_x0000_s170005"/>
                </a:ext>
                <a:ext uri="{FF2B5EF4-FFF2-40B4-BE49-F238E27FC236}">
                  <a16:creationId xmlns:a16="http://schemas.microsoft.com/office/drawing/2014/main" id="{00000000-0008-0000-1D00-00001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128</xdr:row>
      <xdr:rowOff>0</xdr:rowOff>
    </xdr:from>
    <xdr:to>
      <xdr:col>8</xdr:col>
      <xdr:colOff>0</xdr:colOff>
      <xdr:row>131</xdr:row>
      <xdr:rowOff>0</xdr:rowOff>
    </xdr:to>
    <xdr:graphicFrame macro="">
      <xdr:nvGraphicFramePr>
        <xdr:cNvPr id="31" name="Chart 13">
          <a:extLst>
            <a:ext uri="{FF2B5EF4-FFF2-40B4-BE49-F238E27FC236}">
              <a16:creationId xmlns:a16="http://schemas.microsoft.com/office/drawing/2014/main" id="{00000000-0008-0000-1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188250</xdr:colOff>
      <xdr:row>102</xdr:row>
      <xdr:rowOff>0</xdr:rowOff>
    </xdr:from>
    <xdr:to>
      <xdr:col>20</xdr:col>
      <xdr:colOff>0</xdr:colOff>
      <xdr:row>131</xdr:row>
      <xdr:rowOff>0</xdr:rowOff>
    </xdr:to>
    <xdr:graphicFrame macro="">
      <xdr:nvGraphicFramePr>
        <xdr:cNvPr id="34" name="Chart 13">
          <a:extLst>
            <a:ext uri="{FF2B5EF4-FFF2-40B4-BE49-F238E27FC236}">
              <a16:creationId xmlns:a16="http://schemas.microsoft.com/office/drawing/2014/main" id="{00000000-0008-0000-1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104775</xdr:colOff>
          <xdr:row>56</xdr:row>
          <xdr:rowOff>161925</xdr:rowOff>
        </xdr:from>
        <xdr:to>
          <xdr:col>35</xdr:col>
          <xdr:colOff>76200</xdr:colOff>
          <xdr:row>58</xdr:row>
          <xdr:rowOff>19050</xdr:rowOff>
        </xdr:to>
        <xdr:sp macro="" textlink="">
          <xdr:nvSpPr>
            <xdr:cNvPr id="170008" name="Check Box 24" hidden="1">
              <a:extLst>
                <a:ext uri="{63B3BB69-23CF-44E3-9099-C40C66FF867C}">
                  <a14:compatExt spid="_x0000_s170008"/>
                </a:ext>
                <a:ext uri="{FF2B5EF4-FFF2-40B4-BE49-F238E27FC236}">
                  <a16:creationId xmlns:a16="http://schemas.microsoft.com/office/drawing/2014/main" id="{00000000-0008-0000-1D00-000018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94</xdr:row>
      <xdr:rowOff>76199</xdr:rowOff>
    </xdr:from>
    <xdr:to>
      <xdr:col>8</xdr:col>
      <xdr:colOff>0</xdr:colOff>
      <xdr:row>98</xdr:row>
      <xdr:rowOff>0</xdr:rowOff>
    </xdr:to>
    <xdr:graphicFrame macro="">
      <xdr:nvGraphicFramePr>
        <xdr:cNvPr id="40" name="Chart 13">
          <a:extLst>
            <a:ext uri="{FF2B5EF4-FFF2-40B4-BE49-F238E27FC236}">
              <a16:creationId xmlns:a16="http://schemas.microsoft.com/office/drawing/2014/main" id="{00000000-0008-0000-1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188250</xdr:colOff>
      <xdr:row>68</xdr:row>
      <xdr:rowOff>133349</xdr:rowOff>
    </xdr:from>
    <xdr:to>
      <xdr:col>20</xdr:col>
      <xdr:colOff>0</xdr:colOff>
      <xdr:row>97</xdr:row>
      <xdr:rowOff>533399</xdr:rowOff>
    </xdr:to>
    <xdr:graphicFrame macro="">
      <xdr:nvGraphicFramePr>
        <xdr:cNvPr id="41" name="Chart 13">
          <a:extLst>
            <a:ext uri="{FF2B5EF4-FFF2-40B4-BE49-F238E27FC236}">
              <a16:creationId xmlns:a16="http://schemas.microsoft.com/office/drawing/2014/main" id="{00000000-0008-0000-1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36</xdr:row>
      <xdr:rowOff>0</xdr:rowOff>
    </xdr:from>
    <xdr:to>
      <xdr:col>20</xdr:col>
      <xdr:colOff>0</xdr:colOff>
      <xdr:row>60</xdr:row>
      <xdr:rowOff>0</xdr:rowOff>
    </xdr:to>
    <xdr:graphicFrame macro="">
      <xdr:nvGraphicFramePr>
        <xdr:cNvPr id="49" name="Chart 176">
          <a:extLst>
            <a:ext uri="{FF2B5EF4-FFF2-40B4-BE49-F238E27FC236}">
              <a16:creationId xmlns:a16="http://schemas.microsoft.com/office/drawing/2014/main" id="{00000000-0008-0000-1C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50" name="Oval 2165">
          <a:extLst>
            <a:ext uri="{FF2B5EF4-FFF2-40B4-BE49-F238E27FC236}">
              <a16:creationId xmlns:a16="http://schemas.microsoft.com/office/drawing/2014/main" id="{00000000-0008-0000-1C00-000032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60</xdr:row>
      <xdr:rowOff>85725</xdr:rowOff>
    </xdr:from>
    <xdr:to>
      <xdr:col>10</xdr:col>
      <xdr:colOff>417150</xdr:colOff>
      <xdr:row>60</xdr:row>
      <xdr:rowOff>85725</xdr:rowOff>
    </xdr:to>
    <xdr:sp macro="" textlink="">
      <xdr:nvSpPr>
        <xdr:cNvPr id="51" name="Line 283">
          <a:extLst>
            <a:ext uri="{FF2B5EF4-FFF2-40B4-BE49-F238E27FC236}">
              <a16:creationId xmlns:a16="http://schemas.microsoft.com/office/drawing/2014/main" id="{00000000-0008-0000-1C00-000033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171450</xdr:colOff>
      <xdr:row>60</xdr:row>
      <xdr:rowOff>57150</xdr:rowOff>
    </xdr:from>
    <xdr:to>
      <xdr:col>15</xdr:col>
      <xdr:colOff>247650</xdr:colOff>
      <xdr:row>60</xdr:row>
      <xdr:rowOff>133350</xdr:rowOff>
    </xdr:to>
    <xdr:sp macro="" textlink="">
      <xdr:nvSpPr>
        <xdr:cNvPr id="52" name="Oval 2164">
          <a:extLst>
            <a:ext uri="{FF2B5EF4-FFF2-40B4-BE49-F238E27FC236}">
              <a16:creationId xmlns:a16="http://schemas.microsoft.com/office/drawing/2014/main" id="{00000000-0008-0000-1C00-000034000000}"/>
            </a:ext>
          </a:extLst>
        </xdr:cNvPr>
        <xdr:cNvSpPr>
          <a:spLocks noChangeArrowheads="1"/>
        </xdr:cNvSpPr>
      </xdr:nvSpPr>
      <xdr:spPr bwMode="auto">
        <a:xfrm>
          <a:off x="7210425" y="1061085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61</xdr:row>
      <xdr:rowOff>85724</xdr:rowOff>
    </xdr:from>
    <xdr:to>
      <xdr:col>15</xdr:col>
      <xdr:colOff>354675</xdr:colOff>
      <xdr:row>61</xdr:row>
      <xdr:rowOff>85724</xdr:rowOff>
    </xdr:to>
    <xdr:sp macro="" textlink="">
      <xdr:nvSpPr>
        <xdr:cNvPr id="53" name="Line 283">
          <a:extLst>
            <a:ext uri="{FF2B5EF4-FFF2-40B4-BE49-F238E27FC236}">
              <a16:creationId xmlns:a16="http://schemas.microsoft.com/office/drawing/2014/main" id="{00000000-0008-0000-1C00-000035000000}"/>
            </a:ext>
          </a:extLst>
        </xdr:cNvPr>
        <xdr:cNvSpPr>
          <a:spLocks noChangeShapeType="1"/>
        </xdr:cNvSpPr>
      </xdr:nvSpPr>
      <xdr:spPr bwMode="auto">
        <a:xfrm>
          <a:off x="7105650" y="10820399"/>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135</xdr:row>
      <xdr:rowOff>0</xdr:rowOff>
    </xdr:from>
    <xdr:to>
      <xdr:col>19</xdr:col>
      <xdr:colOff>161925</xdr:colOff>
      <xdr:row>170</xdr:row>
      <xdr:rowOff>47625</xdr:rowOff>
    </xdr:to>
    <xdr:grpSp>
      <xdr:nvGrpSpPr>
        <xdr:cNvPr id="38" name="Group 37">
          <a:extLst>
            <a:ext uri="{FF2B5EF4-FFF2-40B4-BE49-F238E27FC236}">
              <a16:creationId xmlns:a16="http://schemas.microsoft.com/office/drawing/2014/main" id="{1BF444B9-5525-48E3-A759-922A5EDDF1B9}"/>
            </a:ext>
          </a:extLst>
        </xdr:cNvPr>
        <xdr:cNvGrpSpPr/>
      </xdr:nvGrpSpPr>
      <xdr:grpSpPr>
        <a:xfrm>
          <a:off x="140208" y="26276808"/>
          <a:ext cx="8950452" cy="4899660"/>
          <a:chOff x="95250" y="95250"/>
          <a:chExt cx="7534275" cy="5048250"/>
        </a:xfrm>
      </xdr:grpSpPr>
      <xdr:sp macro="" textlink="">
        <xdr:nvSpPr>
          <xdr:cNvPr id="42" name="Rectangle 41">
            <a:extLst>
              <a:ext uri="{FF2B5EF4-FFF2-40B4-BE49-F238E27FC236}">
                <a16:creationId xmlns:a16="http://schemas.microsoft.com/office/drawing/2014/main" id="{B2343A75-DD33-4817-F5A7-44148DBC6EA3}"/>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43" name="Rectangle: Rounded Corners 42">
            <a:hlinkClick xmlns:r="http://schemas.openxmlformats.org/officeDocument/2006/relationships" r:id="rId8"/>
            <a:extLst>
              <a:ext uri="{FF2B5EF4-FFF2-40B4-BE49-F238E27FC236}">
                <a16:creationId xmlns:a16="http://schemas.microsoft.com/office/drawing/2014/main" id="{F749225E-741D-6F59-9127-967E9A6782A4}"/>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44" name="Rectangle: Rounded Corners 43">
            <a:hlinkClick xmlns:r="http://schemas.openxmlformats.org/officeDocument/2006/relationships" r:id="rId9"/>
            <a:extLst>
              <a:ext uri="{FF2B5EF4-FFF2-40B4-BE49-F238E27FC236}">
                <a16:creationId xmlns:a16="http://schemas.microsoft.com/office/drawing/2014/main" id="{49D7FB36-0352-73DD-34E9-E0B8435E67D9}"/>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45" name="Rectangle: Rounded Corners 44">
            <a:hlinkClick xmlns:r="http://schemas.openxmlformats.org/officeDocument/2006/relationships" r:id="rId10"/>
            <a:extLst>
              <a:ext uri="{FF2B5EF4-FFF2-40B4-BE49-F238E27FC236}">
                <a16:creationId xmlns:a16="http://schemas.microsoft.com/office/drawing/2014/main" id="{4FFCF14D-5D58-D9B8-F9BF-2D7B9E4D61AB}"/>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46" name="Rectangle: Rounded Corners 45">
            <a:hlinkClick xmlns:r="http://schemas.openxmlformats.org/officeDocument/2006/relationships" r:id="rId11"/>
            <a:extLst>
              <a:ext uri="{FF2B5EF4-FFF2-40B4-BE49-F238E27FC236}">
                <a16:creationId xmlns:a16="http://schemas.microsoft.com/office/drawing/2014/main" id="{96859EC3-5896-2AEE-CFCF-8E89AD3FD234}"/>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47" name="Rectangle: Rounded Corners 46">
            <a:hlinkClick xmlns:r="http://schemas.openxmlformats.org/officeDocument/2006/relationships" r:id="rId12"/>
            <a:extLst>
              <a:ext uri="{FF2B5EF4-FFF2-40B4-BE49-F238E27FC236}">
                <a16:creationId xmlns:a16="http://schemas.microsoft.com/office/drawing/2014/main" id="{12470AEC-E926-C40F-E9D3-EA9B7DC0D2FF}"/>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48" name="Rectangle: Rounded Corners 47">
            <a:hlinkClick xmlns:r="http://schemas.openxmlformats.org/officeDocument/2006/relationships" r:id="rId13"/>
            <a:extLst>
              <a:ext uri="{FF2B5EF4-FFF2-40B4-BE49-F238E27FC236}">
                <a16:creationId xmlns:a16="http://schemas.microsoft.com/office/drawing/2014/main" id="{016E76D5-30C9-DFA0-6F07-2912B3FB243C}"/>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54" name="Rectangle: Rounded Corners 53">
            <a:hlinkClick xmlns:r="http://schemas.openxmlformats.org/officeDocument/2006/relationships" r:id="rId14"/>
            <a:extLst>
              <a:ext uri="{FF2B5EF4-FFF2-40B4-BE49-F238E27FC236}">
                <a16:creationId xmlns:a16="http://schemas.microsoft.com/office/drawing/2014/main" id="{93A6186A-F9F1-964C-6244-E4915EFDC4C1}"/>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55" name="Rectangle: Rounded Corners 54">
            <a:hlinkClick xmlns:r="http://schemas.openxmlformats.org/officeDocument/2006/relationships" r:id="rId15"/>
            <a:extLst>
              <a:ext uri="{FF2B5EF4-FFF2-40B4-BE49-F238E27FC236}">
                <a16:creationId xmlns:a16="http://schemas.microsoft.com/office/drawing/2014/main" id="{E97A0B73-2436-755F-5634-4BBE3F2E0F62}"/>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56" name="Rectangle: Rounded Corners 55">
            <a:hlinkClick xmlns:r="http://schemas.openxmlformats.org/officeDocument/2006/relationships" r:id="rId16"/>
            <a:extLst>
              <a:ext uri="{FF2B5EF4-FFF2-40B4-BE49-F238E27FC236}">
                <a16:creationId xmlns:a16="http://schemas.microsoft.com/office/drawing/2014/main" id="{CA80EE4B-2712-D9D7-713A-084F94EA77E7}"/>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57" name="Group 56">
            <a:hlinkClick xmlns:r="http://schemas.openxmlformats.org/officeDocument/2006/relationships" r:id="rId17"/>
            <a:extLst>
              <a:ext uri="{FF2B5EF4-FFF2-40B4-BE49-F238E27FC236}">
                <a16:creationId xmlns:a16="http://schemas.microsoft.com/office/drawing/2014/main" id="{A697F180-41D5-716B-E6C8-9E28704ED9DD}"/>
              </a:ext>
            </a:extLst>
          </xdr:cNvPr>
          <xdr:cNvGrpSpPr/>
        </xdr:nvGrpSpPr>
        <xdr:grpSpPr>
          <a:xfrm>
            <a:off x="190500" y="723900"/>
            <a:ext cx="1695450" cy="723900"/>
            <a:chOff x="190500" y="180975"/>
            <a:chExt cx="1800225" cy="723900"/>
          </a:xfrm>
        </xdr:grpSpPr>
        <xdr:sp macro="" textlink="">
          <xdr:nvSpPr>
            <xdr:cNvPr id="170010" name="Rectangle: Rounded Corners 170009">
              <a:hlinkClick xmlns:r="http://schemas.openxmlformats.org/officeDocument/2006/relationships" r:id="rId17"/>
              <a:extLst>
                <a:ext uri="{FF2B5EF4-FFF2-40B4-BE49-F238E27FC236}">
                  <a16:creationId xmlns:a16="http://schemas.microsoft.com/office/drawing/2014/main" id="{8B0A7747-E3FB-7AFA-2E20-A978980B4AC4}"/>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170011" name="Picture 170010">
              <a:extLst>
                <a:ext uri="{FF2B5EF4-FFF2-40B4-BE49-F238E27FC236}">
                  <a16:creationId xmlns:a16="http://schemas.microsoft.com/office/drawing/2014/main" id="{127532A4-B964-6CB5-FCF1-16A181D21C5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58" name="Rectangle: Rounded Corners 57">
            <a:hlinkClick xmlns:r="http://schemas.openxmlformats.org/officeDocument/2006/relationships" r:id="rId19"/>
            <a:extLst>
              <a:ext uri="{FF2B5EF4-FFF2-40B4-BE49-F238E27FC236}">
                <a16:creationId xmlns:a16="http://schemas.microsoft.com/office/drawing/2014/main" id="{2086AB48-0484-D32F-C65A-EE91E5CE951B}"/>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59" name="Rectangle: Rounded Corners 58">
            <a:hlinkClick xmlns:r="http://schemas.openxmlformats.org/officeDocument/2006/relationships" r:id="rId20"/>
            <a:extLst>
              <a:ext uri="{FF2B5EF4-FFF2-40B4-BE49-F238E27FC236}">
                <a16:creationId xmlns:a16="http://schemas.microsoft.com/office/drawing/2014/main" id="{90C38BBD-ECAB-DC71-9810-700FD6B0091D}"/>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60" name="Rectangle: Rounded Corners 59">
            <a:hlinkClick xmlns:r="http://schemas.openxmlformats.org/officeDocument/2006/relationships" r:id="rId21"/>
            <a:extLst>
              <a:ext uri="{FF2B5EF4-FFF2-40B4-BE49-F238E27FC236}">
                <a16:creationId xmlns:a16="http://schemas.microsoft.com/office/drawing/2014/main" id="{45589477-619D-2FAB-DD0E-DD57CDA847AC}"/>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61" name="Rectangle: Rounded Corners 60">
            <a:hlinkClick xmlns:r="http://schemas.openxmlformats.org/officeDocument/2006/relationships" r:id="rId22"/>
            <a:extLst>
              <a:ext uri="{FF2B5EF4-FFF2-40B4-BE49-F238E27FC236}">
                <a16:creationId xmlns:a16="http://schemas.microsoft.com/office/drawing/2014/main" id="{4AB66601-1A4C-A08B-828E-6F44E78CAC0F}"/>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62" name="Rectangle: Rounded Corners 61">
            <a:hlinkClick xmlns:r="http://schemas.openxmlformats.org/officeDocument/2006/relationships" r:id="rId23"/>
            <a:extLst>
              <a:ext uri="{FF2B5EF4-FFF2-40B4-BE49-F238E27FC236}">
                <a16:creationId xmlns:a16="http://schemas.microsoft.com/office/drawing/2014/main" id="{F4600D57-3973-4080-AA85-A524E6A69D03}"/>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63" name="Rectangle: Rounded Corners 62">
            <a:hlinkClick xmlns:r="http://schemas.openxmlformats.org/officeDocument/2006/relationships" r:id="rId24"/>
            <a:extLst>
              <a:ext uri="{FF2B5EF4-FFF2-40B4-BE49-F238E27FC236}">
                <a16:creationId xmlns:a16="http://schemas.microsoft.com/office/drawing/2014/main" id="{1EFAFEE6-F872-27E6-0F22-02DE8699482C}"/>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169984" name="Rectangle: Rounded Corners 169983">
            <a:hlinkClick xmlns:r="http://schemas.openxmlformats.org/officeDocument/2006/relationships" r:id="rId25"/>
            <a:extLst>
              <a:ext uri="{FF2B5EF4-FFF2-40B4-BE49-F238E27FC236}">
                <a16:creationId xmlns:a16="http://schemas.microsoft.com/office/drawing/2014/main" id="{C8A88C79-4E14-3F0C-8506-3C141C744343}"/>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169998" name="Rectangle: Rounded Corners 169997">
            <a:hlinkClick xmlns:r="http://schemas.openxmlformats.org/officeDocument/2006/relationships" r:id="rId26"/>
            <a:extLst>
              <a:ext uri="{FF2B5EF4-FFF2-40B4-BE49-F238E27FC236}">
                <a16:creationId xmlns:a16="http://schemas.microsoft.com/office/drawing/2014/main" id="{D5D79240-E18E-7C4F-63C9-A595CE98091F}"/>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170006" name="Rectangle: Rounded Corners 170005">
            <a:hlinkClick xmlns:r="http://schemas.openxmlformats.org/officeDocument/2006/relationships" r:id="rId27"/>
            <a:extLst>
              <a:ext uri="{FF2B5EF4-FFF2-40B4-BE49-F238E27FC236}">
                <a16:creationId xmlns:a16="http://schemas.microsoft.com/office/drawing/2014/main" id="{86EC6CD7-303F-8BA8-07C5-906F4753F1E9}"/>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170007" name="Rectangle: Rounded Corners 170006">
            <a:hlinkClick xmlns:r="http://schemas.openxmlformats.org/officeDocument/2006/relationships" r:id="rId28"/>
            <a:extLst>
              <a:ext uri="{FF2B5EF4-FFF2-40B4-BE49-F238E27FC236}">
                <a16:creationId xmlns:a16="http://schemas.microsoft.com/office/drawing/2014/main" id="{7B405C97-4D76-E9EA-5B96-B58B1B5179AA}"/>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170009" name="TextBox 170008">
            <a:extLst>
              <a:ext uri="{FF2B5EF4-FFF2-40B4-BE49-F238E27FC236}">
                <a16:creationId xmlns:a16="http://schemas.microsoft.com/office/drawing/2014/main" id="{687CE025-BB78-DC42-220E-9DC880EF9F18}"/>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170012" name="Group 170011">
          <a:hlinkClick xmlns:r="http://schemas.openxmlformats.org/officeDocument/2006/relationships" r:id="rId17"/>
          <a:extLst>
            <a:ext uri="{FF2B5EF4-FFF2-40B4-BE49-F238E27FC236}">
              <a16:creationId xmlns:a16="http://schemas.microsoft.com/office/drawing/2014/main" id="{DD974C18-0251-4CAC-89F6-A6048BA2817A}"/>
            </a:ext>
          </a:extLst>
        </xdr:cNvPr>
        <xdr:cNvGrpSpPr/>
      </xdr:nvGrpSpPr>
      <xdr:grpSpPr>
        <a:xfrm>
          <a:off x="9671304" y="0"/>
          <a:ext cx="411480" cy="1685544"/>
          <a:chOff x="9210675" y="19050"/>
          <a:chExt cx="390525" cy="1743075"/>
        </a:xfrm>
      </xdr:grpSpPr>
      <xdr:pic>
        <xdr:nvPicPr>
          <xdr:cNvPr id="170013" name="Graphic 170012" descr="Map compass with solid fill">
            <a:hlinkClick xmlns:r="http://schemas.openxmlformats.org/officeDocument/2006/relationships" r:id="rId29"/>
            <a:extLst>
              <a:ext uri="{FF2B5EF4-FFF2-40B4-BE49-F238E27FC236}">
                <a16:creationId xmlns:a16="http://schemas.microsoft.com/office/drawing/2014/main" id="{C8B08A70-4F67-D63A-30EF-52D552F6247B}"/>
              </a:ext>
            </a:extLst>
          </xdr:cNvPr>
          <xdr:cNvPicPr>
            <a:picLocks noChangeAspect="1"/>
          </xdr:cNvPicPr>
        </xdr:nvPicPr>
        <xdr:blipFill>
          <a:blip xmlns:r="http://schemas.openxmlformats.org/officeDocument/2006/relationships" r:embed="rId30">
            <a:duotone>
              <a:schemeClr val="accent6">
                <a:shade val="45000"/>
                <a:satMod val="135000"/>
              </a:schemeClr>
              <a:prstClr val="white"/>
            </a:duotone>
            <a:extLst>
              <a:ext uri="{96DAC541-7B7A-43D3-8B79-37D633B846F1}">
                <asvg:svgBlip xmlns:asvg="http://schemas.microsoft.com/office/drawing/2016/SVG/main" r:embed="rId31"/>
              </a:ext>
            </a:extLst>
          </a:blip>
          <a:stretch>
            <a:fillRect/>
          </a:stretch>
        </xdr:blipFill>
        <xdr:spPr>
          <a:xfrm>
            <a:off x="9229725" y="38099"/>
            <a:ext cx="369675" cy="369675"/>
          </a:xfrm>
          <a:prstGeom prst="rect">
            <a:avLst/>
          </a:prstGeom>
        </xdr:spPr>
      </xdr:pic>
      <xdr:sp macro="" textlink="">
        <xdr:nvSpPr>
          <xdr:cNvPr id="170014" name="Right Arrow 50">
            <a:hlinkClick xmlns:r="http://schemas.openxmlformats.org/officeDocument/2006/relationships" r:id="rId28"/>
            <a:extLst>
              <a:ext uri="{FF2B5EF4-FFF2-40B4-BE49-F238E27FC236}">
                <a16:creationId xmlns:a16="http://schemas.microsoft.com/office/drawing/2014/main" id="{59DACEAF-055A-4BE6-F988-3C4EB9A0DDBE}"/>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170015" name="Right Arrow 50">
            <a:hlinkClick xmlns:r="http://schemas.openxmlformats.org/officeDocument/2006/relationships" r:id="rId23"/>
            <a:extLst>
              <a:ext uri="{FF2B5EF4-FFF2-40B4-BE49-F238E27FC236}">
                <a16:creationId xmlns:a16="http://schemas.microsoft.com/office/drawing/2014/main" id="{AA63B021-1EFA-34F7-1B42-190BCED5F04E}"/>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170016" name="Picture 170015">
            <a:hlinkClick xmlns:r="http://schemas.openxmlformats.org/officeDocument/2006/relationships" r:id="rId17"/>
            <a:extLst>
              <a:ext uri="{FF2B5EF4-FFF2-40B4-BE49-F238E27FC236}">
                <a16:creationId xmlns:a16="http://schemas.microsoft.com/office/drawing/2014/main" id="{EF24F548-1B45-9980-D0DD-CB0C56E889C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170017" name="Rectangle 170016">
            <a:extLst>
              <a:ext uri="{FF2B5EF4-FFF2-40B4-BE49-F238E27FC236}">
                <a16:creationId xmlns:a16="http://schemas.microsoft.com/office/drawing/2014/main" id="{A48DF32F-51AA-F1CA-7BEB-B8528DF6FB06}"/>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4" name="Down Arrow 44">
          <a:hlinkClick xmlns:r="http://schemas.openxmlformats.org/officeDocument/2006/relationships" r:id="rId22"/>
          <a:extLst>
            <a:ext uri="{FF2B5EF4-FFF2-40B4-BE49-F238E27FC236}">
              <a16:creationId xmlns:a16="http://schemas.microsoft.com/office/drawing/2014/main" id="{EA7A84CC-744B-4F35-9B7A-83014C1317D1}"/>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6" name="Down Arrow 44">
          <a:hlinkClick xmlns:r="http://schemas.openxmlformats.org/officeDocument/2006/relationships" r:id="rId22"/>
          <a:extLst>
            <a:ext uri="{FF2B5EF4-FFF2-40B4-BE49-F238E27FC236}">
              <a16:creationId xmlns:a16="http://schemas.microsoft.com/office/drawing/2014/main" id="{DB51F724-8F9F-43C0-BF36-B0978A141CB3}"/>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99</xdr:row>
      <xdr:rowOff>0</xdr:rowOff>
    </xdr:from>
    <xdr:ext cx="252000" cy="288000"/>
    <xdr:sp macro="" textlink="">
      <xdr:nvSpPr>
        <xdr:cNvPr id="9" name="Down Arrow 44">
          <a:hlinkClick xmlns:r="http://schemas.openxmlformats.org/officeDocument/2006/relationships" r:id="rId22"/>
          <a:extLst>
            <a:ext uri="{FF2B5EF4-FFF2-40B4-BE49-F238E27FC236}">
              <a16:creationId xmlns:a16="http://schemas.microsoft.com/office/drawing/2014/main" id="{000EB242-C4C0-48DC-AC98-13CE7469E8E1}"/>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132</xdr:row>
      <xdr:rowOff>0</xdr:rowOff>
    </xdr:from>
    <xdr:ext cx="252000" cy="288000"/>
    <xdr:sp macro="" textlink="">
      <xdr:nvSpPr>
        <xdr:cNvPr id="10" name="Down Arrow 44">
          <a:hlinkClick xmlns:r="http://schemas.openxmlformats.org/officeDocument/2006/relationships" r:id="rId22"/>
          <a:extLst>
            <a:ext uri="{FF2B5EF4-FFF2-40B4-BE49-F238E27FC236}">
              <a16:creationId xmlns:a16="http://schemas.microsoft.com/office/drawing/2014/main" id="{88044A05-454E-47AC-8A13-F14DCD1A5B77}"/>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24.xml><?xml version="1.0" encoding="utf-8"?>
<xdr:wsDr xmlns:xdr="http://schemas.openxmlformats.org/drawingml/2006/spreadsheetDrawing" xmlns:a="http://schemas.openxmlformats.org/drawingml/2006/main">
  <xdr:twoCellAnchor>
    <xdr:from>
      <xdr:col>1</xdr:col>
      <xdr:colOff>1</xdr:colOff>
      <xdr:row>36</xdr:row>
      <xdr:rowOff>1</xdr:rowOff>
    </xdr:from>
    <xdr:to>
      <xdr:col>10</xdr:col>
      <xdr:colOff>0</xdr:colOff>
      <xdr:row>65</xdr:row>
      <xdr:rowOff>0</xdr:rowOff>
    </xdr:to>
    <xdr:graphicFrame macro="">
      <xdr:nvGraphicFramePr>
        <xdr:cNvPr id="5" name="Chart 13">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402225</xdr:colOff>
      <xdr:row>0</xdr:row>
      <xdr:rowOff>85725</xdr:rowOff>
    </xdr:from>
    <xdr:to>
      <xdr:col>20</xdr:col>
      <xdr:colOff>38100</xdr:colOff>
      <xdr:row>2</xdr:row>
      <xdr:rowOff>149475</xdr:rowOff>
    </xdr:to>
    <xdr:sp macro="" textlink="">
      <xdr:nvSpPr>
        <xdr:cNvPr id="7" name="AutoShape 32">
          <a:extLst>
            <a:ext uri="{FF2B5EF4-FFF2-40B4-BE49-F238E27FC236}">
              <a16:creationId xmlns:a16="http://schemas.microsoft.com/office/drawing/2014/main" id="{00000000-0008-0000-1D00-000007000000}"/>
            </a:ext>
          </a:extLst>
        </xdr:cNvPr>
        <xdr:cNvSpPr>
          <a:spLocks noChangeArrowheads="1"/>
        </xdr:cNvSpPr>
      </xdr:nvSpPr>
      <xdr:spPr bwMode="auto">
        <a:xfrm>
          <a:off x="6964950"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1</xdr:colOff>
      <xdr:row>62</xdr:row>
      <xdr:rowOff>0</xdr:rowOff>
    </xdr:from>
    <xdr:to>
      <xdr:col>20</xdr:col>
      <xdr:colOff>2</xdr:colOff>
      <xdr:row>65</xdr:row>
      <xdr:rowOff>0</xdr:rowOff>
    </xdr:to>
    <xdr:graphicFrame macro="">
      <xdr:nvGraphicFramePr>
        <xdr:cNvPr id="8" name="Chart 13">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22</xdr:col>
          <xdr:colOff>95250</xdr:colOff>
          <xdr:row>72</xdr:row>
          <xdr:rowOff>152400</xdr:rowOff>
        </xdr:from>
        <xdr:to>
          <xdr:col>26</xdr:col>
          <xdr:colOff>66675</xdr:colOff>
          <xdr:row>74</xdr:row>
          <xdr:rowOff>9525</xdr:rowOff>
        </xdr:to>
        <xdr:sp macro="" textlink="">
          <xdr:nvSpPr>
            <xdr:cNvPr id="171009" name="Check Box 1" hidden="1">
              <a:extLst>
                <a:ext uri="{63B3BB69-23CF-44E3-9099-C40C66FF867C}">
                  <a14:compatExt spid="_x0000_s171009"/>
                </a:ext>
                <a:ext uri="{FF2B5EF4-FFF2-40B4-BE49-F238E27FC236}">
                  <a16:creationId xmlns:a16="http://schemas.microsoft.com/office/drawing/2014/main" id="{00000000-0008-0000-1E00-000001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73</xdr:row>
          <xdr:rowOff>142875</xdr:rowOff>
        </xdr:from>
        <xdr:to>
          <xdr:col>26</xdr:col>
          <xdr:colOff>66675</xdr:colOff>
          <xdr:row>75</xdr:row>
          <xdr:rowOff>9525</xdr:rowOff>
        </xdr:to>
        <xdr:sp macro="" textlink="">
          <xdr:nvSpPr>
            <xdr:cNvPr id="171010" name="Check Box 2" hidden="1">
              <a:extLst>
                <a:ext uri="{63B3BB69-23CF-44E3-9099-C40C66FF867C}">
                  <a14:compatExt spid="_x0000_s171010"/>
                </a:ext>
                <a:ext uri="{FF2B5EF4-FFF2-40B4-BE49-F238E27FC236}">
                  <a16:creationId xmlns:a16="http://schemas.microsoft.com/office/drawing/2014/main" id="{00000000-0008-0000-1E00-000002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74</xdr:row>
          <xdr:rowOff>142875</xdr:rowOff>
        </xdr:from>
        <xdr:to>
          <xdr:col>26</xdr:col>
          <xdr:colOff>66675</xdr:colOff>
          <xdr:row>76</xdr:row>
          <xdr:rowOff>9525</xdr:rowOff>
        </xdr:to>
        <xdr:sp macro="" textlink="">
          <xdr:nvSpPr>
            <xdr:cNvPr id="171011" name="Check Box 3" hidden="1">
              <a:extLst>
                <a:ext uri="{63B3BB69-23CF-44E3-9099-C40C66FF867C}">
                  <a14:compatExt spid="_x0000_s171011"/>
                </a:ext>
                <a:ext uri="{FF2B5EF4-FFF2-40B4-BE49-F238E27FC236}">
                  <a16:creationId xmlns:a16="http://schemas.microsoft.com/office/drawing/2014/main" id="{00000000-0008-0000-1E00-000003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75</xdr:row>
          <xdr:rowOff>142875</xdr:rowOff>
        </xdr:from>
        <xdr:to>
          <xdr:col>26</xdr:col>
          <xdr:colOff>66675</xdr:colOff>
          <xdr:row>77</xdr:row>
          <xdr:rowOff>9525</xdr:rowOff>
        </xdr:to>
        <xdr:sp macro="" textlink="">
          <xdr:nvSpPr>
            <xdr:cNvPr id="171012" name="Check Box 4" hidden="1">
              <a:extLst>
                <a:ext uri="{63B3BB69-23CF-44E3-9099-C40C66FF867C}">
                  <a14:compatExt spid="_x0000_s171012"/>
                </a:ext>
                <a:ext uri="{FF2B5EF4-FFF2-40B4-BE49-F238E27FC236}">
                  <a16:creationId xmlns:a16="http://schemas.microsoft.com/office/drawing/2014/main" id="{00000000-0008-0000-1E00-000004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76</xdr:row>
          <xdr:rowOff>142875</xdr:rowOff>
        </xdr:from>
        <xdr:to>
          <xdr:col>26</xdr:col>
          <xdr:colOff>66675</xdr:colOff>
          <xdr:row>78</xdr:row>
          <xdr:rowOff>9525</xdr:rowOff>
        </xdr:to>
        <xdr:sp macro="" textlink="">
          <xdr:nvSpPr>
            <xdr:cNvPr id="171013" name="Check Box 5" hidden="1">
              <a:extLst>
                <a:ext uri="{63B3BB69-23CF-44E3-9099-C40C66FF867C}">
                  <a14:compatExt spid="_x0000_s171013"/>
                </a:ext>
                <a:ext uri="{FF2B5EF4-FFF2-40B4-BE49-F238E27FC236}">
                  <a16:creationId xmlns:a16="http://schemas.microsoft.com/office/drawing/2014/main" id="{00000000-0008-0000-1E00-000005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77</xdr:row>
          <xdr:rowOff>142875</xdr:rowOff>
        </xdr:from>
        <xdr:to>
          <xdr:col>26</xdr:col>
          <xdr:colOff>66675</xdr:colOff>
          <xdr:row>79</xdr:row>
          <xdr:rowOff>9525</xdr:rowOff>
        </xdr:to>
        <xdr:sp macro="" textlink="">
          <xdr:nvSpPr>
            <xdr:cNvPr id="171014" name="Check Box 6" hidden="1">
              <a:extLst>
                <a:ext uri="{63B3BB69-23CF-44E3-9099-C40C66FF867C}">
                  <a14:compatExt spid="_x0000_s171014"/>
                </a:ext>
                <a:ext uri="{FF2B5EF4-FFF2-40B4-BE49-F238E27FC236}">
                  <a16:creationId xmlns:a16="http://schemas.microsoft.com/office/drawing/2014/main" id="{00000000-0008-0000-1E00-000006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78</xdr:row>
          <xdr:rowOff>142875</xdr:rowOff>
        </xdr:from>
        <xdr:to>
          <xdr:col>26</xdr:col>
          <xdr:colOff>66675</xdr:colOff>
          <xdr:row>80</xdr:row>
          <xdr:rowOff>9525</xdr:rowOff>
        </xdr:to>
        <xdr:sp macro="" textlink="">
          <xdr:nvSpPr>
            <xdr:cNvPr id="171015" name="Check Box 7" hidden="1">
              <a:extLst>
                <a:ext uri="{63B3BB69-23CF-44E3-9099-C40C66FF867C}">
                  <a14:compatExt spid="_x0000_s171015"/>
                </a:ext>
                <a:ext uri="{FF2B5EF4-FFF2-40B4-BE49-F238E27FC236}">
                  <a16:creationId xmlns:a16="http://schemas.microsoft.com/office/drawing/2014/main" id="{00000000-0008-0000-1E00-000007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79</xdr:row>
          <xdr:rowOff>142875</xdr:rowOff>
        </xdr:from>
        <xdr:to>
          <xdr:col>26</xdr:col>
          <xdr:colOff>66675</xdr:colOff>
          <xdr:row>81</xdr:row>
          <xdr:rowOff>9525</xdr:rowOff>
        </xdr:to>
        <xdr:sp macro="" textlink="">
          <xdr:nvSpPr>
            <xdr:cNvPr id="171016" name="Check Box 8" hidden="1">
              <a:extLst>
                <a:ext uri="{63B3BB69-23CF-44E3-9099-C40C66FF867C}">
                  <a14:compatExt spid="_x0000_s171016"/>
                </a:ext>
                <a:ext uri="{FF2B5EF4-FFF2-40B4-BE49-F238E27FC236}">
                  <a16:creationId xmlns:a16="http://schemas.microsoft.com/office/drawing/2014/main" id="{00000000-0008-0000-1E00-000008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80</xdr:row>
          <xdr:rowOff>142875</xdr:rowOff>
        </xdr:from>
        <xdr:to>
          <xdr:col>26</xdr:col>
          <xdr:colOff>66675</xdr:colOff>
          <xdr:row>82</xdr:row>
          <xdr:rowOff>9525</xdr:rowOff>
        </xdr:to>
        <xdr:sp macro="" textlink="">
          <xdr:nvSpPr>
            <xdr:cNvPr id="171017" name="Check Box 9" hidden="1">
              <a:extLst>
                <a:ext uri="{63B3BB69-23CF-44E3-9099-C40C66FF867C}">
                  <a14:compatExt spid="_x0000_s171017"/>
                </a:ext>
                <a:ext uri="{FF2B5EF4-FFF2-40B4-BE49-F238E27FC236}">
                  <a16:creationId xmlns:a16="http://schemas.microsoft.com/office/drawing/2014/main" id="{00000000-0008-0000-1E00-000009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81</xdr:row>
          <xdr:rowOff>142875</xdr:rowOff>
        </xdr:from>
        <xdr:to>
          <xdr:col>26</xdr:col>
          <xdr:colOff>66675</xdr:colOff>
          <xdr:row>83</xdr:row>
          <xdr:rowOff>9525</xdr:rowOff>
        </xdr:to>
        <xdr:sp macro="" textlink="">
          <xdr:nvSpPr>
            <xdr:cNvPr id="171018" name="Check Box 10" hidden="1">
              <a:extLst>
                <a:ext uri="{63B3BB69-23CF-44E3-9099-C40C66FF867C}">
                  <a14:compatExt spid="_x0000_s171018"/>
                </a:ext>
                <a:ext uri="{FF2B5EF4-FFF2-40B4-BE49-F238E27FC236}">
                  <a16:creationId xmlns:a16="http://schemas.microsoft.com/office/drawing/2014/main" id="{00000000-0008-0000-1E00-00000A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82</xdr:row>
          <xdr:rowOff>142875</xdr:rowOff>
        </xdr:from>
        <xdr:to>
          <xdr:col>26</xdr:col>
          <xdr:colOff>66675</xdr:colOff>
          <xdr:row>84</xdr:row>
          <xdr:rowOff>9525</xdr:rowOff>
        </xdr:to>
        <xdr:sp macro="" textlink="">
          <xdr:nvSpPr>
            <xdr:cNvPr id="171019" name="Check Box 11" hidden="1">
              <a:extLst>
                <a:ext uri="{63B3BB69-23CF-44E3-9099-C40C66FF867C}">
                  <a14:compatExt spid="_x0000_s171019"/>
                </a:ext>
                <a:ext uri="{FF2B5EF4-FFF2-40B4-BE49-F238E27FC236}">
                  <a16:creationId xmlns:a16="http://schemas.microsoft.com/office/drawing/2014/main" id="{00000000-0008-0000-1E00-00000B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83</xdr:row>
          <xdr:rowOff>142875</xdr:rowOff>
        </xdr:from>
        <xdr:to>
          <xdr:col>26</xdr:col>
          <xdr:colOff>66675</xdr:colOff>
          <xdr:row>85</xdr:row>
          <xdr:rowOff>9525</xdr:rowOff>
        </xdr:to>
        <xdr:sp macro="" textlink="">
          <xdr:nvSpPr>
            <xdr:cNvPr id="171020" name="Check Box 12" hidden="1">
              <a:extLst>
                <a:ext uri="{63B3BB69-23CF-44E3-9099-C40C66FF867C}">
                  <a14:compatExt spid="_x0000_s171020"/>
                </a:ext>
                <a:ext uri="{FF2B5EF4-FFF2-40B4-BE49-F238E27FC236}">
                  <a16:creationId xmlns:a16="http://schemas.microsoft.com/office/drawing/2014/main" id="{00000000-0008-0000-1E00-00000C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84</xdr:row>
          <xdr:rowOff>142875</xdr:rowOff>
        </xdr:from>
        <xdr:to>
          <xdr:col>26</xdr:col>
          <xdr:colOff>66675</xdr:colOff>
          <xdr:row>86</xdr:row>
          <xdr:rowOff>0</xdr:rowOff>
        </xdr:to>
        <xdr:sp macro="" textlink="">
          <xdr:nvSpPr>
            <xdr:cNvPr id="171021" name="Check Box 13" hidden="1">
              <a:extLst>
                <a:ext uri="{63B3BB69-23CF-44E3-9099-C40C66FF867C}">
                  <a14:compatExt spid="_x0000_s171021"/>
                </a:ext>
                <a:ext uri="{FF2B5EF4-FFF2-40B4-BE49-F238E27FC236}">
                  <a16:creationId xmlns:a16="http://schemas.microsoft.com/office/drawing/2014/main" id="{00000000-0008-0000-1E00-00000D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86</xdr:row>
          <xdr:rowOff>0</xdr:rowOff>
        </xdr:from>
        <xdr:to>
          <xdr:col>26</xdr:col>
          <xdr:colOff>66675</xdr:colOff>
          <xdr:row>87</xdr:row>
          <xdr:rowOff>9525</xdr:rowOff>
        </xdr:to>
        <xdr:sp macro="" textlink="">
          <xdr:nvSpPr>
            <xdr:cNvPr id="171023" name="Check Box 15" hidden="1">
              <a:extLst>
                <a:ext uri="{63B3BB69-23CF-44E3-9099-C40C66FF867C}">
                  <a14:compatExt spid="_x0000_s171023"/>
                </a:ext>
                <a:ext uri="{FF2B5EF4-FFF2-40B4-BE49-F238E27FC236}">
                  <a16:creationId xmlns:a16="http://schemas.microsoft.com/office/drawing/2014/main" id="{00000000-0008-0000-1E00-00000F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86</xdr:row>
          <xdr:rowOff>142875</xdr:rowOff>
        </xdr:from>
        <xdr:to>
          <xdr:col>26</xdr:col>
          <xdr:colOff>66675</xdr:colOff>
          <xdr:row>88</xdr:row>
          <xdr:rowOff>0</xdr:rowOff>
        </xdr:to>
        <xdr:sp macro="" textlink="">
          <xdr:nvSpPr>
            <xdr:cNvPr id="171024" name="Check Box 16" hidden="1">
              <a:extLst>
                <a:ext uri="{63B3BB69-23CF-44E3-9099-C40C66FF867C}">
                  <a14:compatExt spid="_x0000_s171024"/>
                </a:ext>
                <a:ext uri="{FF2B5EF4-FFF2-40B4-BE49-F238E27FC236}">
                  <a16:creationId xmlns:a16="http://schemas.microsoft.com/office/drawing/2014/main" id="{00000000-0008-0000-1E00-000010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88</xdr:row>
          <xdr:rowOff>0</xdr:rowOff>
        </xdr:from>
        <xdr:to>
          <xdr:col>26</xdr:col>
          <xdr:colOff>66675</xdr:colOff>
          <xdr:row>89</xdr:row>
          <xdr:rowOff>19050</xdr:rowOff>
        </xdr:to>
        <xdr:sp macro="" textlink="">
          <xdr:nvSpPr>
            <xdr:cNvPr id="171025" name="Check Box 17" hidden="1">
              <a:extLst>
                <a:ext uri="{63B3BB69-23CF-44E3-9099-C40C66FF867C}">
                  <a14:compatExt spid="_x0000_s171025"/>
                </a:ext>
                <a:ext uri="{FF2B5EF4-FFF2-40B4-BE49-F238E27FC236}">
                  <a16:creationId xmlns:a16="http://schemas.microsoft.com/office/drawing/2014/main" id="{00000000-0008-0000-1E00-000011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88</xdr:row>
          <xdr:rowOff>142875</xdr:rowOff>
        </xdr:from>
        <xdr:to>
          <xdr:col>26</xdr:col>
          <xdr:colOff>66675</xdr:colOff>
          <xdr:row>90</xdr:row>
          <xdr:rowOff>19050</xdr:rowOff>
        </xdr:to>
        <xdr:sp macro="" textlink="">
          <xdr:nvSpPr>
            <xdr:cNvPr id="171026" name="Check Box 18" hidden="1">
              <a:extLst>
                <a:ext uri="{63B3BB69-23CF-44E3-9099-C40C66FF867C}">
                  <a14:compatExt spid="_x0000_s171026"/>
                </a:ext>
                <a:ext uri="{FF2B5EF4-FFF2-40B4-BE49-F238E27FC236}">
                  <a16:creationId xmlns:a16="http://schemas.microsoft.com/office/drawing/2014/main" id="{00000000-0008-0000-1E00-000012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89</xdr:row>
          <xdr:rowOff>142875</xdr:rowOff>
        </xdr:from>
        <xdr:to>
          <xdr:col>26</xdr:col>
          <xdr:colOff>66675</xdr:colOff>
          <xdr:row>91</xdr:row>
          <xdr:rowOff>19050</xdr:rowOff>
        </xdr:to>
        <xdr:sp macro="" textlink="">
          <xdr:nvSpPr>
            <xdr:cNvPr id="171027" name="Check Box 19" hidden="1">
              <a:extLst>
                <a:ext uri="{63B3BB69-23CF-44E3-9099-C40C66FF867C}">
                  <a14:compatExt spid="_x0000_s171027"/>
                </a:ext>
                <a:ext uri="{FF2B5EF4-FFF2-40B4-BE49-F238E27FC236}">
                  <a16:creationId xmlns:a16="http://schemas.microsoft.com/office/drawing/2014/main" id="{00000000-0008-0000-1E00-000013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90</xdr:row>
          <xdr:rowOff>142875</xdr:rowOff>
        </xdr:from>
        <xdr:to>
          <xdr:col>26</xdr:col>
          <xdr:colOff>66675</xdr:colOff>
          <xdr:row>92</xdr:row>
          <xdr:rowOff>19050</xdr:rowOff>
        </xdr:to>
        <xdr:sp macro="" textlink="">
          <xdr:nvSpPr>
            <xdr:cNvPr id="171028" name="Check Box 20" hidden="1">
              <a:extLst>
                <a:ext uri="{63B3BB69-23CF-44E3-9099-C40C66FF867C}">
                  <a14:compatExt spid="_x0000_s171028"/>
                </a:ext>
                <a:ext uri="{FF2B5EF4-FFF2-40B4-BE49-F238E27FC236}">
                  <a16:creationId xmlns:a16="http://schemas.microsoft.com/office/drawing/2014/main" id="{00000000-0008-0000-1E00-000014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91</xdr:row>
          <xdr:rowOff>142875</xdr:rowOff>
        </xdr:from>
        <xdr:to>
          <xdr:col>26</xdr:col>
          <xdr:colOff>66675</xdr:colOff>
          <xdr:row>93</xdr:row>
          <xdr:rowOff>19050</xdr:rowOff>
        </xdr:to>
        <xdr:sp macro="" textlink="">
          <xdr:nvSpPr>
            <xdr:cNvPr id="171029" name="Check Box 21" hidden="1">
              <a:extLst>
                <a:ext uri="{63B3BB69-23CF-44E3-9099-C40C66FF867C}">
                  <a14:compatExt spid="_x0000_s171029"/>
                </a:ext>
                <a:ext uri="{FF2B5EF4-FFF2-40B4-BE49-F238E27FC236}">
                  <a16:creationId xmlns:a16="http://schemas.microsoft.com/office/drawing/2014/main" id="{00000000-0008-0000-1E00-000015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92</xdr:row>
          <xdr:rowOff>142875</xdr:rowOff>
        </xdr:from>
        <xdr:to>
          <xdr:col>26</xdr:col>
          <xdr:colOff>66675</xdr:colOff>
          <xdr:row>94</xdr:row>
          <xdr:rowOff>19050</xdr:rowOff>
        </xdr:to>
        <xdr:sp macro="" textlink="">
          <xdr:nvSpPr>
            <xdr:cNvPr id="171032" name="Check Box 24" hidden="1">
              <a:extLst>
                <a:ext uri="{63B3BB69-23CF-44E3-9099-C40C66FF867C}">
                  <a14:compatExt spid="_x0000_s171032"/>
                </a:ext>
                <a:ext uri="{FF2B5EF4-FFF2-40B4-BE49-F238E27FC236}">
                  <a16:creationId xmlns:a16="http://schemas.microsoft.com/office/drawing/2014/main" id="{00000000-0008-0000-1E00-000018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94</xdr:row>
      <xdr:rowOff>76199</xdr:rowOff>
    </xdr:from>
    <xdr:to>
      <xdr:col>8</xdr:col>
      <xdr:colOff>0</xdr:colOff>
      <xdr:row>98</xdr:row>
      <xdr:rowOff>0</xdr:rowOff>
    </xdr:to>
    <xdr:graphicFrame macro="">
      <xdr:nvGraphicFramePr>
        <xdr:cNvPr id="40" name="Chart 13">
          <a:extLst>
            <a:ext uri="{FF2B5EF4-FFF2-40B4-BE49-F238E27FC236}">
              <a16:creationId xmlns:a16="http://schemas.microsoft.com/office/drawing/2014/main" id="{00000000-0008-0000-1D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254925</xdr:colOff>
      <xdr:row>69</xdr:row>
      <xdr:rowOff>0</xdr:rowOff>
    </xdr:from>
    <xdr:to>
      <xdr:col>20</xdr:col>
      <xdr:colOff>0</xdr:colOff>
      <xdr:row>98</xdr:row>
      <xdr:rowOff>0</xdr:rowOff>
    </xdr:to>
    <xdr:graphicFrame macro="">
      <xdr:nvGraphicFramePr>
        <xdr:cNvPr id="41" name="Chart 13">
          <a:extLst>
            <a:ext uri="{FF2B5EF4-FFF2-40B4-BE49-F238E27FC236}">
              <a16:creationId xmlns:a16="http://schemas.microsoft.com/office/drawing/2014/main" id="{00000000-0008-0000-1D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36</xdr:row>
      <xdr:rowOff>0</xdr:rowOff>
    </xdr:from>
    <xdr:to>
      <xdr:col>20</xdr:col>
      <xdr:colOff>0</xdr:colOff>
      <xdr:row>60</xdr:row>
      <xdr:rowOff>0</xdr:rowOff>
    </xdr:to>
    <xdr:graphicFrame macro="">
      <xdr:nvGraphicFramePr>
        <xdr:cNvPr id="46" name="Chart 176">
          <a:extLst>
            <a:ext uri="{FF2B5EF4-FFF2-40B4-BE49-F238E27FC236}">
              <a16:creationId xmlns:a16="http://schemas.microsoft.com/office/drawing/2014/main" id="{00000000-0008-0000-1D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47" name="Oval 2165">
          <a:extLst>
            <a:ext uri="{FF2B5EF4-FFF2-40B4-BE49-F238E27FC236}">
              <a16:creationId xmlns:a16="http://schemas.microsoft.com/office/drawing/2014/main" id="{00000000-0008-0000-1D00-00002F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60</xdr:row>
      <xdr:rowOff>85725</xdr:rowOff>
    </xdr:from>
    <xdr:to>
      <xdr:col>10</xdr:col>
      <xdr:colOff>417150</xdr:colOff>
      <xdr:row>60</xdr:row>
      <xdr:rowOff>85725</xdr:rowOff>
    </xdr:to>
    <xdr:sp macro="" textlink="">
      <xdr:nvSpPr>
        <xdr:cNvPr id="48" name="Line 283">
          <a:extLst>
            <a:ext uri="{FF2B5EF4-FFF2-40B4-BE49-F238E27FC236}">
              <a16:creationId xmlns:a16="http://schemas.microsoft.com/office/drawing/2014/main" id="{00000000-0008-0000-1D00-000030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171450</xdr:colOff>
      <xdr:row>60</xdr:row>
      <xdr:rowOff>57150</xdr:rowOff>
    </xdr:from>
    <xdr:to>
      <xdr:col>15</xdr:col>
      <xdr:colOff>247650</xdr:colOff>
      <xdr:row>60</xdr:row>
      <xdr:rowOff>133350</xdr:rowOff>
    </xdr:to>
    <xdr:sp macro="" textlink="">
      <xdr:nvSpPr>
        <xdr:cNvPr id="49" name="Oval 2164">
          <a:extLst>
            <a:ext uri="{FF2B5EF4-FFF2-40B4-BE49-F238E27FC236}">
              <a16:creationId xmlns:a16="http://schemas.microsoft.com/office/drawing/2014/main" id="{00000000-0008-0000-1D00-000031000000}"/>
            </a:ext>
          </a:extLst>
        </xdr:cNvPr>
        <xdr:cNvSpPr>
          <a:spLocks noChangeArrowheads="1"/>
        </xdr:cNvSpPr>
      </xdr:nvSpPr>
      <xdr:spPr bwMode="auto">
        <a:xfrm>
          <a:off x="7210425" y="111633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57150</xdr:colOff>
      <xdr:row>61</xdr:row>
      <xdr:rowOff>95249</xdr:rowOff>
    </xdr:from>
    <xdr:to>
      <xdr:col>15</xdr:col>
      <xdr:colOff>345150</xdr:colOff>
      <xdr:row>61</xdr:row>
      <xdr:rowOff>95249</xdr:rowOff>
    </xdr:to>
    <xdr:sp macro="" textlink="">
      <xdr:nvSpPr>
        <xdr:cNvPr id="50" name="Line 283">
          <a:extLst>
            <a:ext uri="{FF2B5EF4-FFF2-40B4-BE49-F238E27FC236}">
              <a16:creationId xmlns:a16="http://schemas.microsoft.com/office/drawing/2014/main" id="{00000000-0008-0000-1D00-000032000000}"/>
            </a:ext>
          </a:extLst>
        </xdr:cNvPr>
        <xdr:cNvSpPr>
          <a:spLocks noChangeShapeType="1"/>
        </xdr:cNvSpPr>
      </xdr:nvSpPr>
      <xdr:spPr bwMode="auto">
        <a:xfrm>
          <a:off x="7096125" y="11382374"/>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102</xdr:row>
      <xdr:rowOff>0</xdr:rowOff>
    </xdr:from>
    <xdr:to>
      <xdr:col>19</xdr:col>
      <xdr:colOff>85725</xdr:colOff>
      <xdr:row>137</xdr:row>
      <xdr:rowOff>47625</xdr:rowOff>
    </xdr:to>
    <xdr:grpSp>
      <xdr:nvGrpSpPr>
        <xdr:cNvPr id="34" name="Group 33">
          <a:extLst>
            <a:ext uri="{FF2B5EF4-FFF2-40B4-BE49-F238E27FC236}">
              <a16:creationId xmlns:a16="http://schemas.microsoft.com/office/drawing/2014/main" id="{A2AB40CE-72A1-4AB6-A818-CAD4A237C00E}"/>
            </a:ext>
          </a:extLst>
        </xdr:cNvPr>
        <xdr:cNvGrpSpPr/>
      </xdr:nvGrpSpPr>
      <xdr:grpSpPr>
        <a:xfrm>
          <a:off x="120396" y="19749516"/>
          <a:ext cx="8948928" cy="4899660"/>
          <a:chOff x="95250" y="95250"/>
          <a:chExt cx="7534275" cy="5048250"/>
        </a:xfrm>
      </xdr:grpSpPr>
      <xdr:sp macro="" textlink="">
        <xdr:nvSpPr>
          <xdr:cNvPr id="35" name="Rectangle 34">
            <a:extLst>
              <a:ext uri="{FF2B5EF4-FFF2-40B4-BE49-F238E27FC236}">
                <a16:creationId xmlns:a16="http://schemas.microsoft.com/office/drawing/2014/main" id="{6D0D359E-3F39-9D48-A171-94F3A275CCD2}"/>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36" name="Rectangle: Rounded Corners 35">
            <a:hlinkClick xmlns:r="http://schemas.openxmlformats.org/officeDocument/2006/relationships" r:id="rId6"/>
            <a:extLst>
              <a:ext uri="{FF2B5EF4-FFF2-40B4-BE49-F238E27FC236}">
                <a16:creationId xmlns:a16="http://schemas.microsoft.com/office/drawing/2014/main" id="{3D3BC9CD-5660-47B5-5FD0-4E1A7554F562}"/>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37" name="Rectangle: Rounded Corners 36">
            <a:hlinkClick xmlns:r="http://schemas.openxmlformats.org/officeDocument/2006/relationships" r:id="rId7"/>
            <a:extLst>
              <a:ext uri="{FF2B5EF4-FFF2-40B4-BE49-F238E27FC236}">
                <a16:creationId xmlns:a16="http://schemas.microsoft.com/office/drawing/2014/main" id="{5043B091-278F-EDF5-B1CF-08DC7A2FF691}"/>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38" name="Rectangle: Rounded Corners 37">
            <a:hlinkClick xmlns:r="http://schemas.openxmlformats.org/officeDocument/2006/relationships" r:id="rId8"/>
            <a:extLst>
              <a:ext uri="{FF2B5EF4-FFF2-40B4-BE49-F238E27FC236}">
                <a16:creationId xmlns:a16="http://schemas.microsoft.com/office/drawing/2014/main" id="{FD443E17-DE70-8326-2932-72ECB99CAE1F}"/>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42" name="Rectangle: Rounded Corners 41">
            <a:hlinkClick xmlns:r="http://schemas.openxmlformats.org/officeDocument/2006/relationships" r:id="rId9"/>
            <a:extLst>
              <a:ext uri="{FF2B5EF4-FFF2-40B4-BE49-F238E27FC236}">
                <a16:creationId xmlns:a16="http://schemas.microsoft.com/office/drawing/2014/main" id="{8911E38D-AC0E-A12C-C125-35F253208484}"/>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43" name="Rectangle: Rounded Corners 42">
            <a:hlinkClick xmlns:r="http://schemas.openxmlformats.org/officeDocument/2006/relationships" r:id="rId10"/>
            <a:extLst>
              <a:ext uri="{FF2B5EF4-FFF2-40B4-BE49-F238E27FC236}">
                <a16:creationId xmlns:a16="http://schemas.microsoft.com/office/drawing/2014/main" id="{B8AE59AD-D3CD-89E5-92E4-85D76484E3EF}"/>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44" name="Rectangle: Rounded Corners 43">
            <a:hlinkClick xmlns:r="http://schemas.openxmlformats.org/officeDocument/2006/relationships" r:id="rId11"/>
            <a:extLst>
              <a:ext uri="{FF2B5EF4-FFF2-40B4-BE49-F238E27FC236}">
                <a16:creationId xmlns:a16="http://schemas.microsoft.com/office/drawing/2014/main" id="{09472E9E-70AE-3B7D-9C15-82AD7B7CDF65}"/>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45" name="Rectangle: Rounded Corners 44">
            <a:hlinkClick xmlns:r="http://schemas.openxmlformats.org/officeDocument/2006/relationships" r:id="rId12"/>
            <a:extLst>
              <a:ext uri="{FF2B5EF4-FFF2-40B4-BE49-F238E27FC236}">
                <a16:creationId xmlns:a16="http://schemas.microsoft.com/office/drawing/2014/main" id="{159C596E-B206-056E-D191-B78C70EC36BB}"/>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51" name="Rectangle: Rounded Corners 50">
            <a:hlinkClick xmlns:r="http://schemas.openxmlformats.org/officeDocument/2006/relationships" r:id="rId13"/>
            <a:extLst>
              <a:ext uri="{FF2B5EF4-FFF2-40B4-BE49-F238E27FC236}">
                <a16:creationId xmlns:a16="http://schemas.microsoft.com/office/drawing/2014/main" id="{35980496-1BAB-D4A9-B8B0-03EAB2268D5B}"/>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52" name="Rectangle: Rounded Corners 51">
            <a:hlinkClick xmlns:r="http://schemas.openxmlformats.org/officeDocument/2006/relationships" r:id="rId14"/>
            <a:extLst>
              <a:ext uri="{FF2B5EF4-FFF2-40B4-BE49-F238E27FC236}">
                <a16:creationId xmlns:a16="http://schemas.microsoft.com/office/drawing/2014/main" id="{64FB27AD-6B66-BA2C-C7CD-299F1747D4A9}"/>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53" name="Group 52">
            <a:hlinkClick xmlns:r="http://schemas.openxmlformats.org/officeDocument/2006/relationships" r:id="rId15"/>
            <a:extLst>
              <a:ext uri="{FF2B5EF4-FFF2-40B4-BE49-F238E27FC236}">
                <a16:creationId xmlns:a16="http://schemas.microsoft.com/office/drawing/2014/main" id="{7A67ABB7-871B-4D2A-750A-9CA9F10333FD}"/>
              </a:ext>
            </a:extLst>
          </xdr:cNvPr>
          <xdr:cNvGrpSpPr/>
        </xdr:nvGrpSpPr>
        <xdr:grpSpPr>
          <a:xfrm>
            <a:off x="190500" y="723900"/>
            <a:ext cx="1695450" cy="723900"/>
            <a:chOff x="190500" y="180975"/>
            <a:chExt cx="1800225" cy="723900"/>
          </a:xfrm>
        </xdr:grpSpPr>
        <xdr:sp macro="" textlink="">
          <xdr:nvSpPr>
            <xdr:cNvPr id="171022" name="Rectangle: Rounded Corners 171021">
              <a:hlinkClick xmlns:r="http://schemas.openxmlformats.org/officeDocument/2006/relationships" r:id="rId15"/>
              <a:extLst>
                <a:ext uri="{FF2B5EF4-FFF2-40B4-BE49-F238E27FC236}">
                  <a16:creationId xmlns:a16="http://schemas.microsoft.com/office/drawing/2014/main" id="{E185986F-D186-841B-F51D-05EEB94DBDF3}"/>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171030" name="Picture 171029">
              <a:extLst>
                <a:ext uri="{FF2B5EF4-FFF2-40B4-BE49-F238E27FC236}">
                  <a16:creationId xmlns:a16="http://schemas.microsoft.com/office/drawing/2014/main" id="{1EF36C09-C56E-34A6-DF53-5ED021A9602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54" name="Rectangle: Rounded Corners 53">
            <a:hlinkClick xmlns:r="http://schemas.openxmlformats.org/officeDocument/2006/relationships" r:id="rId17"/>
            <a:extLst>
              <a:ext uri="{FF2B5EF4-FFF2-40B4-BE49-F238E27FC236}">
                <a16:creationId xmlns:a16="http://schemas.microsoft.com/office/drawing/2014/main" id="{3720C52B-6432-8D55-3A90-45CE606475A2}"/>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55" name="Rectangle: Rounded Corners 54">
            <a:hlinkClick xmlns:r="http://schemas.openxmlformats.org/officeDocument/2006/relationships" r:id="rId18"/>
            <a:extLst>
              <a:ext uri="{FF2B5EF4-FFF2-40B4-BE49-F238E27FC236}">
                <a16:creationId xmlns:a16="http://schemas.microsoft.com/office/drawing/2014/main" id="{FFD247DA-5765-473B-9206-88BFA2F86D47}"/>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56" name="Rectangle: Rounded Corners 55">
            <a:hlinkClick xmlns:r="http://schemas.openxmlformats.org/officeDocument/2006/relationships" r:id="rId19"/>
            <a:extLst>
              <a:ext uri="{FF2B5EF4-FFF2-40B4-BE49-F238E27FC236}">
                <a16:creationId xmlns:a16="http://schemas.microsoft.com/office/drawing/2014/main" id="{BC4D7569-BB67-9EB2-712D-7507F9D885AB}"/>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57" name="Rectangle: Rounded Corners 56">
            <a:hlinkClick xmlns:r="http://schemas.openxmlformats.org/officeDocument/2006/relationships" r:id="rId20"/>
            <a:extLst>
              <a:ext uri="{FF2B5EF4-FFF2-40B4-BE49-F238E27FC236}">
                <a16:creationId xmlns:a16="http://schemas.microsoft.com/office/drawing/2014/main" id="{80F47B86-9560-C835-9BF0-29D68FC293E5}"/>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58" name="Rectangle: Rounded Corners 57">
            <a:hlinkClick xmlns:r="http://schemas.openxmlformats.org/officeDocument/2006/relationships" r:id="rId21"/>
            <a:extLst>
              <a:ext uri="{FF2B5EF4-FFF2-40B4-BE49-F238E27FC236}">
                <a16:creationId xmlns:a16="http://schemas.microsoft.com/office/drawing/2014/main" id="{FA903565-93D9-D9E3-5D5B-E813538CFD1F}"/>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59" name="Rectangle: Rounded Corners 58">
            <a:hlinkClick xmlns:r="http://schemas.openxmlformats.org/officeDocument/2006/relationships" r:id="rId22"/>
            <a:extLst>
              <a:ext uri="{FF2B5EF4-FFF2-40B4-BE49-F238E27FC236}">
                <a16:creationId xmlns:a16="http://schemas.microsoft.com/office/drawing/2014/main" id="{CE46B246-1F38-2943-BAA9-AF5A1536AFDE}"/>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60" name="Rectangle: Rounded Corners 59">
            <a:hlinkClick xmlns:r="http://schemas.openxmlformats.org/officeDocument/2006/relationships" r:id="rId23"/>
            <a:extLst>
              <a:ext uri="{FF2B5EF4-FFF2-40B4-BE49-F238E27FC236}">
                <a16:creationId xmlns:a16="http://schemas.microsoft.com/office/drawing/2014/main" id="{347CDED0-5F52-24C7-B24B-59207CB94461}"/>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61" name="Rectangle: Rounded Corners 60">
            <a:hlinkClick xmlns:r="http://schemas.openxmlformats.org/officeDocument/2006/relationships" r:id="rId24"/>
            <a:extLst>
              <a:ext uri="{FF2B5EF4-FFF2-40B4-BE49-F238E27FC236}">
                <a16:creationId xmlns:a16="http://schemas.microsoft.com/office/drawing/2014/main" id="{2FA28BD3-5A9E-CD4E-6B1E-C6BE1DFFB8A5}"/>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62" name="Rectangle: Rounded Corners 61">
            <a:hlinkClick xmlns:r="http://schemas.openxmlformats.org/officeDocument/2006/relationships" r:id="rId25"/>
            <a:extLst>
              <a:ext uri="{FF2B5EF4-FFF2-40B4-BE49-F238E27FC236}">
                <a16:creationId xmlns:a16="http://schemas.microsoft.com/office/drawing/2014/main" id="{C5E4450A-4F4E-28D7-217A-BACC5803E15C}"/>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63" name="Rectangle: Rounded Corners 62">
            <a:hlinkClick xmlns:r="http://schemas.openxmlformats.org/officeDocument/2006/relationships" r:id="rId26"/>
            <a:extLst>
              <a:ext uri="{FF2B5EF4-FFF2-40B4-BE49-F238E27FC236}">
                <a16:creationId xmlns:a16="http://schemas.microsoft.com/office/drawing/2014/main" id="{72AF0DAF-F9AD-59BF-EEBA-5F8C4EFCE175}"/>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171008" name="TextBox 171007">
            <a:extLst>
              <a:ext uri="{FF2B5EF4-FFF2-40B4-BE49-F238E27FC236}">
                <a16:creationId xmlns:a16="http://schemas.microsoft.com/office/drawing/2014/main" id="{151CEE62-E241-0B9F-F299-C3AF5E2AD890}"/>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171031" name="Group 171030">
          <a:hlinkClick xmlns:r="http://schemas.openxmlformats.org/officeDocument/2006/relationships" r:id="rId15"/>
          <a:extLst>
            <a:ext uri="{FF2B5EF4-FFF2-40B4-BE49-F238E27FC236}">
              <a16:creationId xmlns:a16="http://schemas.microsoft.com/office/drawing/2014/main" id="{985EF67A-A1DE-463A-9B85-031B349C1D38}"/>
            </a:ext>
          </a:extLst>
        </xdr:cNvPr>
        <xdr:cNvGrpSpPr/>
      </xdr:nvGrpSpPr>
      <xdr:grpSpPr>
        <a:xfrm>
          <a:off x="9691116" y="0"/>
          <a:ext cx="411480" cy="1685544"/>
          <a:chOff x="9210675" y="19050"/>
          <a:chExt cx="390525" cy="1743075"/>
        </a:xfrm>
      </xdr:grpSpPr>
      <xdr:pic>
        <xdr:nvPicPr>
          <xdr:cNvPr id="171033" name="Graphic 171032" descr="Map compass with solid fill">
            <a:hlinkClick xmlns:r="http://schemas.openxmlformats.org/officeDocument/2006/relationships" r:id="rId27"/>
            <a:extLst>
              <a:ext uri="{FF2B5EF4-FFF2-40B4-BE49-F238E27FC236}">
                <a16:creationId xmlns:a16="http://schemas.microsoft.com/office/drawing/2014/main" id="{91FBD4F3-4105-0A3B-29CD-72BB09590D29}"/>
              </a:ext>
            </a:extLst>
          </xdr:cNvPr>
          <xdr:cNvPicPr>
            <a:picLocks noChangeAspect="1"/>
          </xdr:cNvPicPr>
        </xdr:nvPicPr>
        <xdr:blipFill>
          <a:blip xmlns:r="http://schemas.openxmlformats.org/officeDocument/2006/relationships" r:embed="rId28">
            <a:duotone>
              <a:schemeClr val="accent6">
                <a:shade val="45000"/>
                <a:satMod val="135000"/>
              </a:schemeClr>
              <a:prstClr val="white"/>
            </a:duotone>
            <a:extLst>
              <a:ext uri="{96DAC541-7B7A-43D3-8B79-37D633B846F1}">
                <asvg:svgBlip xmlns:asvg="http://schemas.microsoft.com/office/drawing/2016/SVG/main" r:embed="rId29"/>
              </a:ext>
            </a:extLst>
          </a:blip>
          <a:stretch>
            <a:fillRect/>
          </a:stretch>
        </xdr:blipFill>
        <xdr:spPr>
          <a:xfrm>
            <a:off x="9229725" y="38099"/>
            <a:ext cx="369675" cy="369675"/>
          </a:xfrm>
          <a:prstGeom prst="rect">
            <a:avLst/>
          </a:prstGeom>
        </xdr:spPr>
      </xdr:pic>
      <xdr:sp macro="" textlink="">
        <xdr:nvSpPr>
          <xdr:cNvPr id="171034" name="Right Arrow 50">
            <a:hlinkClick xmlns:r="http://schemas.openxmlformats.org/officeDocument/2006/relationships" r:id="rId30"/>
            <a:extLst>
              <a:ext uri="{FF2B5EF4-FFF2-40B4-BE49-F238E27FC236}">
                <a16:creationId xmlns:a16="http://schemas.microsoft.com/office/drawing/2014/main" id="{4D550A1C-3FF9-5256-9C37-D9A73F4B3021}"/>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pic>
        <xdr:nvPicPr>
          <xdr:cNvPr id="171036" name="Picture 171035">
            <a:hlinkClick xmlns:r="http://schemas.openxmlformats.org/officeDocument/2006/relationships" r:id="rId15"/>
            <a:extLst>
              <a:ext uri="{FF2B5EF4-FFF2-40B4-BE49-F238E27FC236}">
                <a16:creationId xmlns:a16="http://schemas.microsoft.com/office/drawing/2014/main" id="{673EF699-597D-7D29-6389-4F91882A112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171037" name="Rectangle 171036">
            <a:extLst>
              <a:ext uri="{FF2B5EF4-FFF2-40B4-BE49-F238E27FC236}">
                <a16:creationId xmlns:a16="http://schemas.microsoft.com/office/drawing/2014/main" id="{81B9494D-8250-7743-C0B9-2D1DEE331FE6}"/>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2" name="Down Arrow 44">
          <a:hlinkClick xmlns:r="http://schemas.openxmlformats.org/officeDocument/2006/relationships" r:id="rId21"/>
          <a:extLst>
            <a:ext uri="{FF2B5EF4-FFF2-40B4-BE49-F238E27FC236}">
              <a16:creationId xmlns:a16="http://schemas.microsoft.com/office/drawing/2014/main" id="{CD826B30-3DE8-4192-AA4C-3DEDF1CE35C8}"/>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4" name="Down Arrow 44">
          <a:hlinkClick xmlns:r="http://schemas.openxmlformats.org/officeDocument/2006/relationships" r:id="rId21"/>
          <a:extLst>
            <a:ext uri="{FF2B5EF4-FFF2-40B4-BE49-F238E27FC236}">
              <a16:creationId xmlns:a16="http://schemas.microsoft.com/office/drawing/2014/main" id="{64675962-01EE-457C-AE91-5E6962B1C322}"/>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99</xdr:row>
      <xdr:rowOff>0</xdr:rowOff>
    </xdr:from>
    <xdr:ext cx="252000" cy="288000"/>
    <xdr:sp macro="" textlink="">
      <xdr:nvSpPr>
        <xdr:cNvPr id="6" name="Down Arrow 44">
          <a:hlinkClick xmlns:r="http://schemas.openxmlformats.org/officeDocument/2006/relationships" r:id="rId21"/>
          <a:extLst>
            <a:ext uri="{FF2B5EF4-FFF2-40B4-BE49-F238E27FC236}">
              <a16:creationId xmlns:a16="http://schemas.microsoft.com/office/drawing/2014/main" id="{72A62785-2F46-40E7-94FB-3BAF352A45B4}"/>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25</xdr:col>
      <xdr:colOff>85724</xdr:colOff>
      <xdr:row>112</xdr:row>
      <xdr:rowOff>133350</xdr:rowOff>
    </xdr:from>
    <xdr:to>
      <xdr:col>25</xdr:col>
      <xdr:colOff>337724</xdr:colOff>
      <xdr:row>113</xdr:row>
      <xdr:rowOff>135600</xdr:rowOff>
    </xdr:to>
    <xdr:sp macro="" textlink="">
      <xdr:nvSpPr>
        <xdr:cNvPr id="3" name="Down Arrow 44">
          <a:hlinkClick xmlns:r="http://schemas.openxmlformats.org/officeDocument/2006/relationships" r:id="rId1"/>
          <a:extLst>
            <a:ext uri="{FF2B5EF4-FFF2-40B4-BE49-F238E27FC236}">
              <a16:creationId xmlns:a16="http://schemas.microsoft.com/office/drawing/2014/main" id="{00000000-0008-0000-0800-000003000000}"/>
            </a:ext>
          </a:extLst>
        </xdr:cNvPr>
        <xdr:cNvSpPr>
          <a:spLocks noChangeArrowheads="1"/>
        </xdr:cNvSpPr>
      </xdr:nvSpPr>
      <xdr:spPr bwMode="auto">
        <a:xfrm flipV="1">
          <a:off x="12687299" y="368236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editAs="absolute">
    <xdr:from>
      <xdr:col>18</xdr:col>
      <xdr:colOff>196851</xdr:colOff>
      <xdr:row>0</xdr:row>
      <xdr:rowOff>88898</xdr:rowOff>
    </xdr:from>
    <xdr:to>
      <xdr:col>24</xdr:col>
      <xdr:colOff>70851</xdr:colOff>
      <xdr:row>2</xdr:row>
      <xdr:rowOff>152648</xdr:rowOff>
    </xdr:to>
    <xdr:sp macro="" textlink="">
      <xdr:nvSpPr>
        <xdr:cNvPr id="4" name="AutoShape 32">
          <a:extLst>
            <a:ext uri="{FF2B5EF4-FFF2-40B4-BE49-F238E27FC236}">
              <a16:creationId xmlns:a16="http://schemas.microsoft.com/office/drawing/2014/main" id="{00000000-0008-0000-0800-000004000000}"/>
            </a:ext>
          </a:extLst>
        </xdr:cNvPr>
        <xdr:cNvSpPr>
          <a:spLocks noChangeArrowheads="1"/>
        </xdr:cNvSpPr>
      </xdr:nvSpPr>
      <xdr:spPr bwMode="auto">
        <a:xfrm>
          <a:off x="10369551" y="88898"/>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editAs="oneCell">
    <xdr:from>
      <xdr:col>1</xdr:col>
      <xdr:colOff>9526</xdr:colOff>
      <xdr:row>0</xdr:row>
      <xdr:rowOff>66675</xdr:rowOff>
    </xdr:from>
    <xdr:to>
      <xdr:col>1</xdr:col>
      <xdr:colOff>582105</xdr:colOff>
      <xdr:row>2</xdr:row>
      <xdr:rowOff>171450</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1" y="66675"/>
          <a:ext cx="572579" cy="581025"/>
        </a:xfrm>
        <a:prstGeom prst="rect">
          <a:avLst/>
        </a:prstGeom>
      </xdr:spPr>
    </xdr:pic>
    <xdr:clientData/>
  </xdr:twoCellAnchor>
  <xdr:twoCellAnchor editAs="oneCell">
    <xdr:from>
      <xdr:col>2</xdr:col>
      <xdr:colOff>457200</xdr:colOff>
      <xdr:row>8</xdr:row>
      <xdr:rowOff>419099</xdr:rowOff>
    </xdr:from>
    <xdr:to>
      <xdr:col>2</xdr:col>
      <xdr:colOff>2163597</xdr:colOff>
      <xdr:row>8</xdr:row>
      <xdr:rowOff>768299</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a:stretch>
          <a:fillRect/>
        </a:stretch>
      </xdr:blipFill>
      <xdr:spPr>
        <a:xfrm>
          <a:off x="1581150" y="2476499"/>
          <a:ext cx="1706397" cy="349200"/>
        </a:xfrm>
        <a:prstGeom prst="rect">
          <a:avLst/>
        </a:prstGeom>
      </xdr:spPr>
    </xdr:pic>
    <xdr:clientData/>
  </xdr:twoCellAnchor>
  <xdr:oneCellAnchor>
    <xdr:from>
      <xdr:col>2</xdr:col>
      <xdr:colOff>400050</xdr:colOff>
      <xdr:row>63</xdr:row>
      <xdr:rowOff>409575</xdr:rowOff>
    </xdr:from>
    <xdr:ext cx="1724025" cy="349170"/>
    <xdr:pic>
      <xdr:nvPicPr>
        <xdr:cNvPr id="15" name="Picture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3"/>
        <a:stretch>
          <a:fillRect/>
        </a:stretch>
      </xdr:blipFill>
      <xdr:spPr>
        <a:xfrm>
          <a:off x="1524000" y="19259550"/>
          <a:ext cx="1724025" cy="349170"/>
        </a:xfrm>
        <a:prstGeom prst="rect">
          <a:avLst/>
        </a:prstGeom>
      </xdr:spPr>
    </xdr:pic>
    <xdr:clientData/>
  </xdr:oneCellAnchor>
  <xdr:oneCellAnchor>
    <xdr:from>
      <xdr:col>2</xdr:col>
      <xdr:colOff>504825</xdr:colOff>
      <xdr:row>35</xdr:row>
      <xdr:rowOff>400050</xdr:rowOff>
    </xdr:from>
    <xdr:ext cx="1724175" cy="349200"/>
    <xdr:pic>
      <xdr:nvPicPr>
        <xdr:cNvPr id="20" name="Picture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3"/>
        <a:stretch>
          <a:fillRect/>
        </a:stretch>
      </xdr:blipFill>
      <xdr:spPr>
        <a:xfrm>
          <a:off x="1628775" y="9972675"/>
          <a:ext cx="1724175" cy="349200"/>
        </a:xfrm>
        <a:prstGeom prst="rect">
          <a:avLst/>
        </a:prstGeom>
      </xdr:spPr>
    </xdr:pic>
    <xdr:clientData/>
  </xdr:oneCellAnchor>
  <xdr:twoCellAnchor editAs="oneCell">
    <xdr:from>
      <xdr:col>25</xdr:col>
      <xdr:colOff>9525</xdr:colOff>
      <xdr:row>0</xdr:row>
      <xdr:rowOff>104775</xdr:rowOff>
    </xdr:from>
    <xdr:to>
      <xdr:col>25</xdr:col>
      <xdr:colOff>400050</xdr:colOff>
      <xdr:row>8</xdr:row>
      <xdr:rowOff>266700</xdr:rowOff>
    </xdr:to>
    <xdr:grpSp>
      <xdr:nvGrpSpPr>
        <xdr:cNvPr id="5" name="Group 4">
          <a:hlinkClick xmlns:r="http://schemas.openxmlformats.org/officeDocument/2006/relationships" r:id="rId1"/>
          <a:extLst>
            <a:ext uri="{FF2B5EF4-FFF2-40B4-BE49-F238E27FC236}">
              <a16:creationId xmlns:a16="http://schemas.microsoft.com/office/drawing/2014/main" id="{4B940039-5598-470A-8F7B-4D4B908CB2E0}"/>
            </a:ext>
          </a:extLst>
        </xdr:cNvPr>
        <xdr:cNvGrpSpPr/>
      </xdr:nvGrpSpPr>
      <xdr:grpSpPr>
        <a:xfrm>
          <a:off x="13233400" y="103717"/>
          <a:ext cx="408517" cy="1706033"/>
          <a:chOff x="9210675" y="19050"/>
          <a:chExt cx="390525" cy="1743075"/>
        </a:xfrm>
      </xdr:grpSpPr>
      <xdr:pic>
        <xdr:nvPicPr>
          <xdr:cNvPr id="8" name="Graphic 7" descr="Map compass with solid fill">
            <a:hlinkClick xmlns:r="http://schemas.openxmlformats.org/officeDocument/2006/relationships" r:id="rId4"/>
            <a:extLst>
              <a:ext uri="{FF2B5EF4-FFF2-40B4-BE49-F238E27FC236}">
                <a16:creationId xmlns:a16="http://schemas.microsoft.com/office/drawing/2014/main" id="{279D474D-7072-7753-47DB-B88B5B4FA54B}"/>
              </a:ext>
            </a:extLst>
          </xdr:cNvPr>
          <xdr:cNvPicPr>
            <a:picLocks noChangeAspect="1"/>
          </xdr:cNvPicPr>
        </xdr:nvPicPr>
        <xdr:blipFill>
          <a:blip xmlns:r="http://schemas.openxmlformats.org/officeDocument/2006/relationships" r:embed="rId5">
            <a:duotone>
              <a:schemeClr val="accent6">
                <a:shade val="45000"/>
                <a:satMod val="135000"/>
              </a:schemeClr>
              <a:prstClr val="white"/>
            </a:duotone>
            <a:extLst>
              <a:ext uri="{96DAC541-7B7A-43D3-8B79-37D633B846F1}">
                <asvg:svgBlip xmlns:asvg="http://schemas.microsoft.com/office/drawing/2016/SVG/main" r:embed="rId6"/>
              </a:ext>
            </a:extLst>
          </a:blip>
          <a:stretch>
            <a:fillRect/>
          </a:stretch>
        </xdr:blipFill>
        <xdr:spPr>
          <a:xfrm>
            <a:off x="9229725" y="38099"/>
            <a:ext cx="369675" cy="369675"/>
          </a:xfrm>
          <a:prstGeom prst="rect">
            <a:avLst/>
          </a:prstGeom>
        </xdr:spPr>
      </xdr:pic>
      <xdr:sp macro="" textlink="">
        <xdr:nvSpPr>
          <xdr:cNvPr id="9" name="Right Arrow 50">
            <a:hlinkClick xmlns:r="http://schemas.openxmlformats.org/officeDocument/2006/relationships" r:id="rId7"/>
            <a:extLst>
              <a:ext uri="{FF2B5EF4-FFF2-40B4-BE49-F238E27FC236}">
                <a16:creationId xmlns:a16="http://schemas.microsoft.com/office/drawing/2014/main" id="{EF016081-84D5-1755-0A21-8AC7AEAB2056}"/>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17" name="Right Arrow 50">
            <a:hlinkClick xmlns:r="http://schemas.openxmlformats.org/officeDocument/2006/relationships" r:id="rId8"/>
            <a:extLst>
              <a:ext uri="{FF2B5EF4-FFF2-40B4-BE49-F238E27FC236}">
                <a16:creationId xmlns:a16="http://schemas.microsoft.com/office/drawing/2014/main" id="{C9EA29BB-6F34-58EE-AED4-328AF96732D3}"/>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19" name="Picture 18">
            <a:hlinkClick xmlns:r="http://schemas.openxmlformats.org/officeDocument/2006/relationships" r:id="rId1"/>
            <a:extLst>
              <a:ext uri="{FF2B5EF4-FFF2-40B4-BE49-F238E27FC236}">
                <a16:creationId xmlns:a16="http://schemas.microsoft.com/office/drawing/2014/main" id="{02EA53CF-3571-08E5-1F31-0C9CDECC665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22" name="Rectangle 21">
            <a:extLst>
              <a:ext uri="{FF2B5EF4-FFF2-40B4-BE49-F238E27FC236}">
                <a16:creationId xmlns:a16="http://schemas.microsoft.com/office/drawing/2014/main" id="{7D331C16-FAF0-5E5C-2129-4A19F96D5D2A}"/>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25</xdr:col>
      <xdr:colOff>85724</xdr:colOff>
      <xdr:row>85</xdr:row>
      <xdr:rowOff>133350</xdr:rowOff>
    </xdr:from>
    <xdr:ext cx="252000" cy="288000"/>
    <xdr:sp macro="" textlink="">
      <xdr:nvSpPr>
        <xdr:cNvPr id="23" name="Down Arrow 44">
          <a:hlinkClick xmlns:r="http://schemas.openxmlformats.org/officeDocument/2006/relationships" r:id="rId1"/>
          <a:extLst>
            <a:ext uri="{FF2B5EF4-FFF2-40B4-BE49-F238E27FC236}">
              <a16:creationId xmlns:a16="http://schemas.microsoft.com/office/drawing/2014/main" id="{77C2E93F-CA96-48BC-B718-E185C5CAA3AF}"/>
            </a:ext>
          </a:extLst>
        </xdr:cNvPr>
        <xdr:cNvSpPr>
          <a:spLocks noChangeArrowheads="1"/>
        </xdr:cNvSpPr>
      </xdr:nvSpPr>
      <xdr:spPr bwMode="auto">
        <a:xfrm flipV="1">
          <a:off x="12687299" y="368236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25</xdr:col>
      <xdr:colOff>85724</xdr:colOff>
      <xdr:row>60</xdr:row>
      <xdr:rowOff>38100</xdr:rowOff>
    </xdr:from>
    <xdr:ext cx="252000" cy="288000"/>
    <xdr:sp macro="" textlink="">
      <xdr:nvSpPr>
        <xdr:cNvPr id="24" name="Down Arrow 44">
          <a:hlinkClick xmlns:r="http://schemas.openxmlformats.org/officeDocument/2006/relationships" r:id="rId1"/>
          <a:extLst>
            <a:ext uri="{FF2B5EF4-FFF2-40B4-BE49-F238E27FC236}">
              <a16:creationId xmlns:a16="http://schemas.microsoft.com/office/drawing/2014/main" id="{D0BD660C-52DB-4527-BEB2-8E56794CA46C}"/>
            </a:ext>
          </a:extLst>
        </xdr:cNvPr>
        <xdr:cNvSpPr>
          <a:spLocks noChangeArrowheads="1"/>
        </xdr:cNvSpPr>
      </xdr:nvSpPr>
      <xdr:spPr bwMode="auto">
        <a:xfrm flipV="1">
          <a:off x="12687299" y="182784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25</xdr:col>
      <xdr:colOff>85724</xdr:colOff>
      <xdr:row>32</xdr:row>
      <xdr:rowOff>38100</xdr:rowOff>
    </xdr:from>
    <xdr:ext cx="252000" cy="288000"/>
    <xdr:sp macro="" textlink="">
      <xdr:nvSpPr>
        <xdr:cNvPr id="25" name="Down Arrow 44">
          <a:hlinkClick xmlns:r="http://schemas.openxmlformats.org/officeDocument/2006/relationships" r:id="rId1"/>
          <a:extLst>
            <a:ext uri="{FF2B5EF4-FFF2-40B4-BE49-F238E27FC236}">
              <a16:creationId xmlns:a16="http://schemas.microsoft.com/office/drawing/2014/main" id="{F44CD2D7-2518-4FA5-94B9-2ED50E207A95}"/>
            </a:ext>
          </a:extLst>
        </xdr:cNvPr>
        <xdr:cNvSpPr>
          <a:spLocks noChangeArrowheads="1"/>
        </xdr:cNvSpPr>
      </xdr:nvSpPr>
      <xdr:spPr bwMode="auto">
        <a:xfrm flipV="1">
          <a:off x="12687299" y="182784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editAs="oneCell">
    <xdr:from>
      <xdr:col>1</xdr:col>
      <xdr:colOff>0</xdr:colOff>
      <xdr:row>115</xdr:row>
      <xdr:rowOff>0</xdr:rowOff>
    </xdr:from>
    <xdr:to>
      <xdr:col>14</xdr:col>
      <xdr:colOff>0</xdr:colOff>
      <xdr:row>150</xdr:row>
      <xdr:rowOff>47625</xdr:rowOff>
    </xdr:to>
    <xdr:grpSp>
      <xdr:nvGrpSpPr>
        <xdr:cNvPr id="26" name="Group 25">
          <a:extLst>
            <a:ext uri="{FF2B5EF4-FFF2-40B4-BE49-F238E27FC236}">
              <a16:creationId xmlns:a16="http://schemas.microsoft.com/office/drawing/2014/main" id="{7FD931D4-AED5-4033-AD19-B1E3585FEE44}"/>
            </a:ext>
          </a:extLst>
        </xdr:cNvPr>
        <xdr:cNvGrpSpPr/>
      </xdr:nvGrpSpPr>
      <xdr:grpSpPr>
        <a:xfrm>
          <a:off x="150283" y="36461700"/>
          <a:ext cx="8921750" cy="4936067"/>
          <a:chOff x="95250" y="95250"/>
          <a:chExt cx="7534275" cy="5048250"/>
        </a:xfrm>
      </xdr:grpSpPr>
      <xdr:sp macro="" textlink="">
        <xdr:nvSpPr>
          <xdr:cNvPr id="27" name="Rectangle 26">
            <a:extLst>
              <a:ext uri="{FF2B5EF4-FFF2-40B4-BE49-F238E27FC236}">
                <a16:creationId xmlns:a16="http://schemas.microsoft.com/office/drawing/2014/main" id="{7129F349-F923-AF17-032A-BE77EBE536FE}"/>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28" name="Rectangle: Rounded Corners 27">
            <a:hlinkClick xmlns:r="http://schemas.openxmlformats.org/officeDocument/2006/relationships" r:id="rId10"/>
            <a:extLst>
              <a:ext uri="{FF2B5EF4-FFF2-40B4-BE49-F238E27FC236}">
                <a16:creationId xmlns:a16="http://schemas.microsoft.com/office/drawing/2014/main" id="{388ECFBF-23A7-C4C5-344A-F218062DC31A}"/>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29" name="Rectangle: Rounded Corners 28">
            <a:hlinkClick xmlns:r="http://schemas.openxmlformats.org/officeDocument/2006/relationships" r:id="rId11"/>
            <a:extLst>
              <a:ext uri="{FF2B5EF4-FFF2-40B4-BE49-F238E27FC236}">
                <a16:creationId xmlns:a16="http://schemas.microsoft.com/office/drawing/2014/main" id="{60DD641D-C4DE-F4B6-287D-B2A7FDB71261}"/>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30" name="Rectangle: Rounded Corners 29">
            <a:hlinkClick xmlns:r="http://schemas.openxmlformats.org/officeDocument/2006/relationships" r:id="rId8"/>
            <a:extLst>
              <a:ext uri="{FF2B5EF4-FFF2-40B4-BE49-F238E27FC236}">
                <a16:creationId xmlns:a16="http://schemas.microsoft.com/office/drawing/2014/main" id="{76FB4217-34F2-F0E6-2C34-5D83101F86CF}"/>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31" name="Rectangle: Rounded Corners 30">
            <a:hlinkClick xmlns:r="http://schemas.openxmlformats.org/officeDocument/2006/relationships" r:id="rId12"/>
            <a:extLst>
              <a:ext uri="{FF2B5EF4-FFF2-40B4-BE49-F238E27FC236}">
                <a16:creationId xmlns:a16="http://schemas.microsoft.com/office/drawing/2014/main" id="{44269612-A494-743D-683D-C02A564E5DBB}"/>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32" name="Rectangle: Rounded Corners 31">
            <a:hlinkClick xmlns:r="http://schemas.openxmlformats.org/officeDocument/2006/relationships" r:id="rId13"/>
            <a:extLst>
              <a:ext uri="{FF2B5EF4-FFF2-40B4-BE49-F238E27FC236}">
                <a16:creationId xmlns:a16="http://schemas.microsoft.com/office/drawing/2014/main" id="{623644B8-7DF1-D623-8B21-04F036E41A7B}"/>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33" name="Rectangle: Rounded Corners 32">
            <a:hlinkClick xmlns:r="http://schemas.openxmlformats.org/officeDocument/2006/relationships" r:id="rId14"/>
            <a:extLst>
              <a:ext uri="{FF2B5EF4-FFF2-40B4-BE49-F238E27FC236}">
                <a16:creationId xmlns:a16="http://schemas.microsoft.com/office/drawing/2014/main" id="{B07F7715-1F7D-84D9-A0B0-0DFD7478BFBF}"/>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34" name="Rectangle: Rounded Corners 33">
            <a:hlinkClick xmlns:r="http://schemas.openxmlformats.org/officeDocument/2006/relationships" r:id="rId15"/>
            <a:extLst>
              <a:ext uri="{FF2B5EF4-FFF2-40B4-BE49-F238E27FC236}">
                <a16:creationId xmlns:a16="http://schemas.microsoft.com/office/drawing/2014/main" id="{B03D5439-EF8F-7D78-88C2-A06D4D7F6E4B}"/>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35" name="Rectangle: Rounded Corners 34">
            <a:hlinkClick xmlns:r="http://schemas.openxmlformats.org/officeDocument/2006/relationships" r:id="rId16"/>
            <a:extLst>
              <a:ext uri="{FF2B5EF4-FFF2-40B4-BE49-F238E27FC236}">
                <a16:creationId xmlns:a16="http://schemas.microsoft.com/office/drawing/2014/main" id="{FFDC45FF-05B7-B3E4-9F9F-8DFDECF82BE4}"/>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36" name="Rectangle: Rounded Corners 35">
            <a:hlinkClick xmlns:r="http://schemas.openxmlformats.org/officeDocument/2006/relationships" r:id="rId17"/>
            <a:extLst>
              <a:ext uri="{FF2B5EF4-FFF2-40B4-BE49-F238E27FC236}">
                <a16:creationId xmlns:a16="http://schemas.microsoft.com/office/drawing/2014/main" id="{2718D6FF-8A2A-B853-6732-5BC6DDE89F33}"/>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37" name="Group 36">
            <a:hlinkClick xmlns:r="http://schemas.openxmlformats.org/officeDocument/2006/relationships" r:id="rId1"/>
            <a:extLst>
              <a:ext uri="{FF2B5EF4-FFF2-40B4-BE49-F238E27FC236}">
                <a16:creationId xmlns:a16="http://schemas.microsoft.com/office/drawing/2014/main" id="{9D463DF7-D1F4-E128-7647-5DA6539E9D01}"/>
              </a:ext>
            </a:extLst>
          </xdr:cNvPr>
          <xdr:cNvGrpSpPr/>
        </xdr:nvGrpSpPr>
        <xdr:grpSpPr>
          <a:xfrm>
            <a:off x="190500" y="723900"/>
            <a:ext cx="1695450" cy="723900"/>
            <a:chOff x="190500" y="180975"/>
            <a:chExt cx="1800225" cy="723900"/>
          </a:xfrm>
        </xdr:grpSpPr>
        <xdr:sp macro="" textlink="">
          <xdr:nvSpPr>
            <xdr:cNvPr id="49" name="Rectangle: Rounded Corners 48">
              <a:hlinkClick xmlns:r="http://schemas.openxmlformats.org/officeDocument/2006/relationships" r:id="rId1"/>
              <a:extLst>
                <a:ext uri="{FF2B5EF4-FFF2-40B4-BE49-F238E27FC236}">
                  <a16:creationId xmlns:a16="http://schemas.microsoft.com/office/drawing/2014/main" id="{F33BC000-BF31-CD9E-58F0-503CB503098E}"/>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50" name="Picture 49">
              <a:extLst>
                <a:ext uri="{FF2B5EF4-FFF2-40B4-BE49-F238E27FC236}">
                  <a16:creationId xmlns:a16="http://schemas.microsoft.com/office/drawing/2014/main" id="{0F85F110-18E7-A61C-3755-544728D80B4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38" name="Rectangle: Rounded Corners 37">
            <a:hlinkClick xmlns:r="http://schemas.openxmlformats.org/officeDocument/2006/relationships" r:id="rId18"/>
            <a:extLst>
              <a:ext uri="{FF2B5EF4-FFF2-40B4-BE49-F238E27FC236}">
                <a16:creationId xmlns:a16="http://schemas.microsoft.com/office/drawing/2014/main" id="{8EC3D825-5064-734D-AF0E-21D4D2029E95}"/>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39" name="Rectangle: Rounded Corners 38">
            <a:hlinkClick xmlns:r="http://schemas.openxmlformats.org/officeDocument/2006/relationships" r:id="rId19"/>
            <a:extLst>
              <a:ext uri="{FF2B5EF4-FFF2-40B4-BE49-F238E27FC236}">
                <a16:creationId xmlns:a16="http://schemas.microsoft.com/office/drawing/2014/main" id="{0F5877D4-1F48-AAB4-6BC1-AB3C83158A18}"/>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40" name="Rectangle: Rounded Corners 39">
            <a:hlinkClick xmlns:r="http://schemas.openxmlformats.org/officeDocument/2006/relationships" r:id="rId20"/>
            <a:extLst>
              <a:ext uri="{FF2B5EF4-FFF2-40B4-BE49-F238E27FC236}">
                <a16:creationId xmlns:a16="http://schemas.microsoft.com/office/drawing/2014/main" id="{9A92E23C-7043-D8B5-57F3-3D95D9FDF34B}"/>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41" name="Rectangle: Rounded Corners 40">
            <a:hlinkClick xmlns:r="http://schemas.openxmlformats.org/officeDocument/2006/relationships" r:id="rId21"/>
            <a:extLst>
              <a:ext uri="{FF2B5EF4-FFF2-40B4-BE49-F238E27FC236}">
                <a16:creationId xmlns:a16="http://schemas.microsoft.com/office/drawing/2014/main" id="{7C8FEACF-3F69-96EC-D384-CEAE91E4D710}"/>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42" name="Rectangle: Rounded Corners 41">
            <a:hlinkClick xmlns:r="http://schemas.openxmlformats.org/officeDocument/2006/relationships" r:id="rId22"/>
            <a:extLst>
              <a:ext uri="{FF2B5EF4-FFF2-40B4-BE49-F238E27FC236}">
                <a16:creationId xmlns:a16="http://schemas.microsoft.com/office/drawing/2014/main" id="{6AD72480-8DD1-7F24-976A-D15EE3C83B6F}"/>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43" name="Rectangle: Rounded Corners 42">
            <a:hlinkClick xmlns:r="http://schemas.openxmlformats.org/officeDocument/2006/relationships" r:id="rId23"/>
            <a:extLst>
              <a:ext uri="{FF2B5EF4-FFF2-40B4-BE49-F238E27FC236}">
                <a16:creationId xmlns:a16="http://schemas.microsoft.com/office/drawing/2014/main" id="{5BD5CC27-E029-F45F-8F66-666204C2B38A}"/>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44" name="Rectangle: Rounded Corners 43">
            <a:hlinkClick xmlns:r="http://schemas.openxmlformats.org/officeDocument/2006/relationships" r:id="rId24"/>
            <a:extLst>
              <a:ext uri="{FF2B5EF4-FFF2-40B4-BE49-F238E27FC236}">
                <a16:creationId xmlns:a16="http://schemas.microsoft.com/office/drawing/2014/main" id="{F9A30E60-F3D9-E42D-57A1-8DEDB2E67290}"/>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45" name="Rectangle: Rounded Corners 44">
            <a:hlinkClick xmlns:r="http://schemas.openxmlformats.org/officeDocument/2006/relationships" r:id="rId25"/>
            <a:extLst>
              <a:ext uri="{FF2B5EF4-FFF2-40B4-BE49-F238E27FC236}">
                <a16:creationId xmlns:a16="http://schemas.microsoft.com/office/drawing/2014/main" id="{C33541C1-B867-A825-AD79-6AFD4B913A20}"/>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46" name="Rectangle: Rounded Corners 45">
            <a:hlinkClick xmlns:r="http://schemas.openxmlformats.org/officeDocument/2006/relationships" r:id="rId26"/>
            <a:extLst>
              <a:ext uri="{FF2B5EF4-FFF2-40B4-BE49-F238E27FC236}">
                <a16:creationId xmlns:a16="http://schemas.microsoft.com/office/drawing/2014/main" id="{D87780DC-7D8E-D2AA-978D-F3CFC85ECEFC}"/>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47" name="Rectangle: Rounded Corners 46">
            <a:hlinkClick xmlns:r="http://schemas.openxmlformats.org/officeDocument/2006/relationships" r:id="rId27"/>
            <a:extLst>
              <a:ext uri="{FF2B5EF4-FFF2-40B4-BE49-F238E27FC236}">
                <a16:creationId xmlns:a16="http://schemas.microsoft.com/office/drawing/2014/main" id="{E93D66B6-9CB0-1BFB-535C-6272F03768E2}"/>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48" name="TextBox 47">
            <a:extLst>
              <a:ext uri="{FF2B5EF4-FFF2-40B4-BE49-F238E27FC236}">
                <a16:creationId xmlns:a16="http://schemas.microsoft.com/office/drawing/2014/main" id="{478F6D3E-FA6F-1E84-75FE-6CF0D136467C}"/>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4</xdr:col>
      <xdr:colOff>2971795</xdr:colOff>
      <xdr:row>0</xdr:row>
      <xdr:rowOff>85725</xdr:rowOff>
    </xdr:from>
    <xdr:to>
      <xdr:col>7</xdr:col>
      <xdr:colOff>26395</xdr:colOff>
      <xdr:row>2</xdr:row>
      <xdr:rowOff>130425</xdr:rowOff>
    </xdr:to>
    <xdr:sp macro="" textlink="">
      <xdr:nvSpPr>
        <xdr:cNvPr id="2" name="AutoShape 32">
          <a:extLst>
            <a:ext uri="{FF2B5EF4-FFF2-40B4-BE49-F238E27FC236}">
              <a16:creationId xmlns:a16="http://schemas.microsoft.com/office/drawing/2014/main" id="{00000000-0008-0000-0900-000002000000}"/>
            </a:ext>
          </a:extLst>
        </xdr:cNvPr>
        <xdr:cNvSpPr>
          <a:spLocks noChangeArrowheads="1"/>
        </xdr:cNvSpPr>
      </xdr:nvSpPr>
      <xdr:spPr bwMode="auto">
        <a:xfrm>
          <a:off x="6953245"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editAs="oneCell">
    <xdr:from>
      <xdr:col>8</xdr:col>
      <xdr:colOff>9525</xdr:colOff>
      <xdr:row>0</xdr:row>
      <xdr:rowOff>28575</xdr:rowOff>
    </xdr:from>
    <xdr:to>
      <xdr:col>8</xdr:col>
      <xdr:colOff>400050</xdr:colOff>
      <xdr:row>7</xdr:row>
      <xdr:rowOff>57150</xdr:rowOff>
    </xdr:to>
    <xdr:grpSp>
      <xdr:nvGrpSpPr>
        <xdr:cNvPr id="34" name="Group 33">
          <a:hlinkClick xmlns:r="http://schemas.openxmlformats.org/officeDocument/2006/relationships" r:id="rId1"/>
          <a:extLst>
            <a:ext uri="{FF2B5EF4-FFF2-40B4-BE49-F238E27FC236}">
              <a16:creationId xmlns:a16="http://schemas.microsoft.com/office/drawing/2014/main" id="{56E9F09F-1A74-4566-A9A6-C2D0139FE132}"/>
            </a:ext>
          </a:extLst>
        </xdr:cNvPr>
        <xdr:cNvGrpSpPr/>
      </xdr:nvGrpSpPr>
      <xdr:grpSpPr>
        <a:xfrm>
          <a:off x="9683496" y="27432"/>
          <a:ext cx="409956" cy="1685544"/>
          <a:chOff x="9210675" y="19050"/>
          <a:chExt cx="390525" cy="1743075"/>
        </a:xfrm>
      </xdr:grpSpPr>
      <xdr:pic>
        <xdr:nvPicPr>
          <xdr:cNvPr id="35" name="Graphic 34" descr="Map compass with solid fill">
            <a:hlinkClick xmlns:r="http://schemas.openxmlformats.org/officeDocument/2006/relationships" r:id="rId2"/>
            <a:extLst>
              <a:ext uri="{FF2B5EF4-FFF2-40B4-BE49-F238E27FC236}">
                <a16:creationId xmlns:a16="http://schemas.microsoft.com/office/drawing/2014/main" id="{89D7C72B-4CA2-4774-BC55-E2E7F1CC11E5}"/>
              </a:ext>
            </a:extLst>
          </xdr:cNvPr>
          <xdr:cNvPicPr>
            <a:picLocks noChangeAspect="1"/>
          </xdr:cNvPicPr>
        </xdr:nvPicPr>
        <xdr:blipFill>
          <a:blip xmlns:r="http://schemas.openxmlformats.org/officeDocument/2006/relationships" r:embed="rId3">
            <a:duotone>
              <a:schemeClr val="accent6">
                <a:shade val="45000"/>
                <a:satMod val="135000"/>
              </a:schemeClr>
              <a:prstClr val="white"/>
            </a:duotone>
            <a:extLst>
              <a:ext uri="{96DAC541-7B7A-43D3-8B79-37D633B846F1}">
                <asvg:svgBlip xmlns:asvg="http://schemas.microsoft.com/office/drawing/2016/SVG/main" r:embed="rId4"/>
              </a:ext>
            </a:extLst>
          </a:blip>
          <a:stretch>
            <a:fillRect/>
          </a:stretch>
        </xdr:blipFill>
        <xdr:spPr>
          <a:xfrm>
            <a:off x="9229725" y="38099"/>
            <a:ext cx="369675" cy="369675"/>
          </a:xfrm>
          <a:prstGeom prst="rect">
            <a:avLst/>
          </a:prstGeom>
        </xdr:spPr>
      </xdr:pic>
      <xdr:sp macro="" textlink="">
        <xdr:nvSpPr>
          <xdr:cNvPr id="36" name="Right Arrow 50">
            <a:hlinkClick xmlns:r="http://schemas.openxmlformats.org/officeDocument/2006/relationships" r:id="rId1"/>
            <a:extLst>
              <a:ext uri="{FF2B5EF4-FFF2-40B4-BE49-F238E27FC236}">
                <a16:creationId xmlns:a16="http://schemas.microsoft.com/office/drawing/2014/main" id="{DA6A185B-E589-4D1E-F86E-9EE55F16BB40}"/>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37" name="Right Arrow 50">
            <a:hlinkClick xmlns:r="http://schemas.openxmlformats.org/officeDocument/2006/relationships" r:id="rId5"/>
            <a:extLst>
              <a:ext uri="{FF2B5EF4-FFF2-40B4-BE49-F238E27FC236}">
                <a16:creationId xmlns:a16="http://schemas.microsoft.com/office/drawing/2014/main" id="{7692D1DB-AB12-63AB-E796-F32935D3AED3}"/>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38" name="Picture 37">
            <a:hlinkClick xmlns:r="http://schemas.openxmlformats.org/officeDocument/2006/relationships" r:id="rId1"/>
            <a:extLst>
              <a:ext uri="{FF2B5EF4-FFF2-40B4-BE49-F238E27FC236}">
                <a16:creationId xmlns:a16="http://schemas.microsoft.com/office/drawing/2014/main" id="{51106D69-CB6A-8136-2C37-6B020E5BB9F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39" name="Rectangle 38">
            <a:extLst>
              <a:ext uri="{FF2B5EF4-FFF2-40B4-BE49-F238E27FC236}">
                <a16:creationId xmlns:a16="http://schemas.microsoft.com/office/drawing/2014/main" id="{63EDF499-C9D8-BFD0-2D5E-E9D7A6911826}"/>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8</xdr:col>
      <xdr:colOff>85724</xdr:colOff>
      <xdr:row>57</xdr:row>
      <xdr:rowOff>266700</xdr:rowOff>
    </xdr:from>
    <xdr:ext cx="252000" cy="288000"/>
    <xdr:sp macro="" textlink="">
      <xdr:nvSpPr>
        <xdr:cNvPr id="6" name="Down Arrow 44">
          <a:hlinkClick xmlns:r="http://schemas.openxmlformats.org/officeDocument/2006/relationships" r:id="rId7"/>
          <a:extLst>
            <a:ext uri="{FF2B5EF4-FFF2-40B4-BE49-F238E27FC236}">
              <a16:creationId xmlns:a16="http://schemas.microsoft.com/office/drawing/2014/main" id="{8B76EA6B-3060-46BB-8A2E-8F21B8D7704C}"/>
            </a:ext>
          </a:extLst>
        </xdr:cNvPr>
        <xdr:cNvSpPr>
          <a:spLocks noChangeArrowheads="1"/>
        </xdr:cNvSpPr>
      </xdr:nvSpPr>
      <xdr:spPr bwMode="auto">
        <a:xfrm flipV="1">
          <a:off x="9286874" y="132016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8</xdr:col>
      <xdr:colOff>95249</xdr:colOff>
      <xdr:row>101</xdr:row>
      <xdr:rowOff>152400</xdr:rowOff>
    </xdr:from>
    <xdr:ext cx="252000" cy="288000"/>
    <xdr:sp macro="" textlink="">
      <xdr:nvSpPr>
        <xdr:cNvPr id="7" name="Down Arrow 44">
          <a:hlinkClick xmlns:r="http://schemas.openxmlformats.org/officeDocument/2006/relationships" r:id="rId7"/>
          <a:extLst>
            <a:ext uri="{FF2B5EF4-FFF2-40B4-BE49-F238E27FC236}">
              <a16:creationId xmlns:a16="http://schemas.microsoft.com/office/drawing/2014/main" id="{C5F7F031-C357-4123-94AE-B1AA8F8EF092}"/>
            </a:ext>
          </a:extLst>
        </xdr:cNvPr>
        <xdr:cNvSpPr>
          <a:spLocks noChangeArrowheads="1"/>
        </xdr:cNvSpPr>
      </xdr:nvSpPr>
      <xdr:spPr bwMode="auto">
        <a:xfrm flipV="1">
          <a:off x="9286874" y="266985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editAs="oneCell">
    <xdr:from>
      <xdr:col>1</xdr:col>
      <xdr:colOff>76200</xdr:colOff>
      <xdr:row>4</xdr:row>
      <xdr:rowOff>19050</xdr:rowOff>
    </xdr:from>
    <xdr:to>
      <xdr:col>1</xdr:col>
      <xdr:colOff>238125</xdr:colOff>
      <xdr:row>4</xdr:row>
      <xdr:rowOff>180975</xdr:rowOff>
    </xdr:to>
    <xdr:pic>
      <xdr:nvPicPr>
        <xdr:cNvPr id="40" name="Graphic 39" descr="Paper with solid fill">
          <a:extLst>
            <a:ext uri="{FF2B5EF4-FFF2-40B4-BE49-F238E27FC236}">
              <a16:creationId xmlns:a16="http://schemas.microsoft.com/office/drawing/2014/main" id="{C0E4AAA4-78AB-F721-9699-DDC7724BC16B}"/>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90500" y="847725"/>
          <a:ext cx="161925" cy="161925"/>
        </a:xfrm>
        <a:prstGeom prst="rect">
          <a:avLst/>
        </a:prstGeom>
      </xdr:spPr>
    </xdr:pic>
    <xdr:clientData/>
  </xdr:twoCellAnchor>
  <xdr:oneCellAnchor>
    <xdr:from>
      <xdr:col>1</xdr:col>
      <xdr:colOff>76200</xdr:colOff>
      <xdr:row>35</xdr:row>
      <xdr:rowOff>19050</xdr:rowOff>
    </xdr:from>
    <xdr:ext cx="161925" cy="161925"/>
    <xdr:pic>
      <xdr:nvPicPr>
        <xdr:cNvPr id="41" name="Graphic 40" descr="Paper with solid fill">
          <a:extLst>
            <a:ext uri="{FF2B5EF4-FFF2-40B4-BE49-F238E27FC236}">
              <a16:creationId xmlns:a16="http://schemas.microsoft.com/office/drawing/2014/main" id="{151147A4-A0E4-43A9-86DD-EC3A1FBB964D}"/>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90500" y="6915150"/>
          <a:ext cx="161925" cy="161925"/>
        </a:xfrm>
        <a:prstGeom prst="rect">
          <a:avLst/>
        </a:prstGeom>
      </xdr:spPr>
    </xdr:pic>
    <xdr:clientData/>
  </xdr:oneCellAnchor>
  <xdr:oneCellAnchor>
    <xdr:from>
      <xdr:col>1</xdr:col>
      <xdr:colOff>76200</xdr:colOff>
      <xdr:row>59</xdr:row>
      <xdr:rowOff>19050</xdr:rowOff>
    </xdr:from>
    <xdr:ext cx="161925" cy="161925"/>
    <xdr:pic>
      <xdr:nvPicPr>
        <xdr:cNvPr id="42" name="Graphic 41" descr="Paper with solid fill">
          <a:extLst>
            <a:ext uri="{FF2B5EF4-FFF2-40B4-BE49-F238E27FC236}">
              <a16:creationId xmlns:a16="http://schemas.microsoft.com/office/drawing/2014/main" id="{C537EC6B-BE8C-4B09-BCCC-EB32B8702FA7}"/>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90500" y="13668375"/>
          <a:ext cx="161925" cy="161925"/>
        </a:xfrm>
        <a:prstGeom prst="rect">
          <a:avLst/>
        </a:prstGeom>
      </xdr:spPr>
    </xdr:pic>
    <xdr:clientData/>
  </xdr:oneCellAnchor>
  <xdr:oneCellAnchor>
    <xdr:from>
      <xdr:col>1</xdr:col>
      <xdr:colOff>76200</xdr:colOff>
      <xdr:row>81</xdr:row>
      <xdr:rowOff>19050</xdr:rowOff>
    </xdr:from>
    <xdr:ext cx="161925" cy="161925"/>
    <xdr:pic>
      <xdr:nvPicPr>
        <xdr:cNvPr id="43" name="Graphic 42" descr="Paper with solid fill">
          <a:extLst>
            <a:ext uri="{FF2B5EF4-FFF2-40B4-BE49-F238E27FC236}">
              <a16:creationId xmlns:a16="http://schemas.microsoft.com/office/drawing/2014/main" id="{EFAB93F5-88C8-4F05-9FE7-6FEC18E1E3FD}"/>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90500" y="20421600"/>
          <a:ext cx="161925" cy="161925"/>
        </a:xfrm>
        <a:prstGeom prst="rect">
          <a:avLst/>
        </a:prstGeom>
      </xdr:spPr>
    </xdr:pic>
    <xdr:clientData/>
  </xdr:oneCellAnchor>
  <xdr:oneCellAnchor>
    <xdr:from>
      <xdr:col>8</xdr:col>
      <xdr:colOff>85725</xdr:colOff>
      <xdr:row>114</xdr:row>
      <xdr:rowOff>133350</xdr:rowOff>
    </xdr:from>
    <xdr:ext cx="252000" cy="288000"/>
    <xdr:sp macro="" textlink="">
      <xdr:nvSpPr>
        <xdr:cNvPr id="44" name="Down Arrow 44">
          <a:hlinkClick xmlns:r="http://schemas.openxmlformats.org/officeDocument/2006/relationships" r:id="rId7"/>
          <a:extLst>
            <a:ext uri="{FF2B5EF4-FFF2-40B4-BE49-F238E27FC236}">
              <a16:creationId xmlns:a16="http://schemas.microsoft.com/office/drawing/2014/main" id="{59A7EEBA-1DD9-4635-9E43-A14F29C0B774}"/>
            </a:ext>
          </a:extLst>
        </xdr:cNvPr>
        <xdr:cNvSpPr>
          <a:spLocks noChangeArrowheads="1"/>
        </xdr:cNvSpPr>
      </xdr:nvSpPr>
      <xdr:spPr bwMode="auto">
        <a:xfrm flipV="1">
          <a:off x="9277350" y="3345180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8</xdr:col>
      <xdr:colOff>85725</xdr:colOff>
      <xdr:row>33</xdr:row>
      <xdr:rowOff>219075</xdr:rowOff>
    </xdr:from>
    <xdr:ext cx="252000" cy="288000"/>
    <xdr:sp macro="" textlink="">
      <xdr:nvSpPr>
        <xdr:cNvPr id="45" name="Down Arrow 44">
          <a:hlinkClick xmlns:r="http://schemas.openxmlformats.org/officeDocument/2006/relationships" r:id="rId7"/>
          <a:extLst>
            <a:ext uri="{FF2B5EF4-FFF2-40B4-BE49-F238E27FC236}">
              <a16:creationId xmlns:a16="http://schemas.microsoft.com/office/drawing/2014/main" id="{1323D5F9-BFFC-436B-AAAB-0C668FFE13DD}"/>
            </a:ext>
          </a:extLst>
        </xdr:cNvPr>
        <xdr:cNvSpPr>
          <a:spLocks noChangeArrowheads="1"/>
        </xdr:cNvSpPr>
      </xdr:nvSpPr>
      <xdr:spPr bwMode="auto">
        <a:xfrm flipV="1">
          <a:off x="9277350" y="643890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8</xdr:col>
      <xdr:colOff>85724</xdr:colOff>
      <xdr:row>79</xdr:row>
      <xdr:rowOff>219075</xdr:rowOff>
    </xdr:from>
    <xdr:ext cx="252000" cy="288000"/>
    <xdr:sp macro="" textlink="">
      <xdr:nvSpPr>
        <xdr:cNvPr id="46" name="Down Arrow 44">
          <a:hlinkClick xmlns:r="http://schemas.openxmlformats.org/officeDocument/2006/relationships" r:id="rId7"/>
          <a:extLst>
            <a:ext uri="{FF2B5EF4-FFF2-40B4-BE49-F238E27FC236}">
              <a16:creationId xmlns:a16="http://schemas.microsoft.com/office/drawing/2014/main" id="{66089044-5F1E-4C2D-B2E7-61EAB90CFDB3}"/>
            </a:ext>
          </a:extLst>
        </xdr:cNvPr>
        <xdr:cNvSpPr>
          <a:spLocks noChangeArrowheads="1"/>
        </xdr:cNvSpPr>
      </xdr:nvSpPr>
      <xdr:spPr bwMode="auto">
        <a:xfrm flipV="1">
          <a:off x="9286874" y="199548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editAs="oneCell">
    <xdr:from>
      <xdr:col>1</xdr:col>
      <xdr:colOff>38100</xdr:colOff>
      <xdr:row>116</xdr:row>
      <xdr:rowOff>0</xdr:rowOff>
    </xdr:from>
    <xdr:to>
      <xdr:col>5</xdr:col>
      <xdr:colOff>466725</xdr:colOff>
      <xdr:row>142</xdr:row>
      <xdr:rowOff>85725</xdr:rowOff>
    </xdr:to>
    <xdr:grpSp>
      <xdr:nvGrpSpPr>
        <xdr:cNvPr id="47" name="Group 46">
          <a:extLst>
            <a:ext uri="{FF2B5EF4-FFF2-40B4-BE49-F238E27FC236}">
              <a16:creationId xmlns:a16="http://schemas.microsoft.com/office/drawing/2014/main" id="{3DA0E533-CC67-48F5-B49D-9DD1AEA9714B}"/>
            </a:ext>
          </a:extLst>
        </xdr:cNvPr>
        <xdr:cNvGrpSpPr/>
      </xdr:nvGrpSpPr>
      <xdr:grpSpPr>
        <a:xfrm>
          <a:off x="160020" y="32869632"/>
          <a:ext cx="8942832" cy="4887468"/>
          <a:chOff x="95250" y="95250"/>
          <a:chExt cx="7534275" cy="5048250"/>
        </a:xfrm>
      </xdr:grpSpPr>
      <xdr:sp macro="" textlink="">
        <xdr:nvSpPr>
          <xdr:cNvPr id="48" name="Rectangle 47">
            <a:extLst>
              <a:ext uri="{FF2B5EF4-FFF2-40B4-BE49-F238E27FC236}">
                <a16:creationId xmlns:a16="http://schemas.microsoft.com/office/drawing/2014/main" id="{E65BF9CE-AD15-72E8-A9AB-2FC0CC9B47F6}"/>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49" name="Rectangle: Rounded Corners 48">
            <a:hlinkClick xmlns:r="http://schemas.openxmlformats.org/officeDocument/2006/relationships" r:id="rId10"/>
            <a:extLst>
              <a:ext uri="{FF2B5EF4-FFF2-40B4-BE49-F238E27FC236}">
                <a16:creationId xmlns:a16="http://schemas.microsoft.com/office/drawing/2014/main" id="{759DA8F1-F162-36EB-2CBC-E44BA2FECC21}"/>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50" name="Rectangle: Rounded Corners 49">
            <a:hlinkClick xmlns:r="http://schemas.openxmlformats.org/officeDocument/2006/relationships" r:id="rId11"/>
            <a:extLst>
              <a:ext uri="{FF2B5EF4-FFF2-40B4-BE49-F238E27FC236}">
                <a16:creationId xmlns:a16="http://schemas.microsoft.com/office/drawing/2014/main" id="{C96E0B8E-AA2D-2A3D-8EF1-DE4CF83672DF}"/>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51" name="Rectangle: Rounded Corners 50">
            <a:hlinkClick xmlns:r="http://schemas.openxmlformats.org/officeDocument/2006/relationships" r:id="rId7"/>
            <a:extLst>
              <a:ext uri="{FF2B5EF4-FFF2-40B4-BE49-F238E27FC236}">
                <a16:creationId xmlns:a16="http://schemas.microsoft.com/office/drawing/2014/main" id="{BB4A0866-96D0-CE0B-FBE5-B47DCE0332C3}"/>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52" name="Rectangle: Rounded Corners 51">
            <a:hlinkClick xmlns:r="http://schemas.openxmlformats.org/officeDocument/2006/relationships" r:id="rId12"/>
            <a:extLst>
              <a:ext uri="{FF2B5EF4-FFF2-40B4-BE49-F238E27FC236}">
                <a16:creationId xmlns:a16="http://schemas.microsoft.com/office/drawing/2014/main" id="{121607CE-7DF7-5725-8ED9-32BD331D03DE}"/>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53" name="Rectangle: Rounded Corners 52">
            <a:hlinkClick xmlns:r="http://schemas.openxmlformats.org/officeDocument/2006/relationships" r:id="rId13"/>
            <a:extLst>
              <a:ext uri="{FF2B5EF4-FFF2-40B4-BE49-F238E27FC236}">
                <a16:creationId xmlns:a16="http://schemas.microsoft.com/office/drawing/2014/main" id="{06E7C726-A6D9-3FD6-F000-489762A13BEB}"/>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54" name="Rectangle: Rounded Corners 53">
            <a:hlinkClick xmlns:r="http://schemas.openxmlformats.org/officeDocument/2006/relationships" r:id="rId14"/>
            <a:extLst>
              <a:ext uri="{FF2B5EF4-FFF2-40B4-BE49-F238E27FC236}">
                <a16:creationId xmlns:a16="http://schemas.microsoft.com/office/drawing/2014/main" id="{FBCB49B8-F117-90A4-7317-176F291ACFA3}"/>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55" name="Rectangle: Rounded Corners 54">
            <a:hlinkClick xmlns:r="http://schemas.openxmlformats.org/officeDocument/2006/relationships" r:id="rId15"/>
            <a:extLst>
              <a:ext uri="{FF2B5EF4-FFF2-40B4-BE49-F238E27FC236}">
                <a16:creationId xmlns:a16="http://schemas.microsoft.com/office/drawing/2014/main" id="{9531EFF6-DE87-E4F0-9E19-BB9CA00CA2F8}"/>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56" name="Rectangle: Rounded Corners 55">
            <a:hlinkClick xmlns:r="http://schemas.openxmlformats.org/officeDocument/2006/relationships" r:id="rId16"/>
            <a:extLst>
              <a:ext uri="{FF2B5EF4-FFF2-40B4-BE49-F238E27FC236}">
                <a16:creationId xmlns:a16="http://schemas.microsoft.com/office/drawing/2014/main" id="{4C691414-DD7B-4BA7-B6CE-A9BAC5700D2E}"/>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57" name="Rectangle: Rounded Corners 56">
            <a:hlinkClick xmlns:r="http://schemas.openxmlformats.org/officeDocument/2006/relationships" r:id="rId17"/>
            <a:extLst>
              <a:ext uri="{FF2B5EF4-FFF2-40B4-BE49-F238E27FC236}">
                <a16:creationId xmlns:a16="http://schemas.microsoft.com/office/drawing/2014/main" id="{B4CFAB3D-AA74-3FFC-BA07-877098227A83}"/>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58" name="Group 57">
            <a:hlinkClick xmlns:r="http://schemas.openxmlformats.org/officeDocument/2006/relationships" r:id="rId1"/>
            <a:extLst>
              <a:ext uri="{FF2B5EF4-FFF2-40B4-BE49-F238E27FC236}">
                <a16:creationId xmlns:a16="http://schemas.microsoft.com/office/drawing/2014/main" id="{82A81039-3849-7986-DEEA-28E284DD26DF}"/>
              </a:ext>
            </a:extLst>
          </xdr:cNvPr>
          <xdr:cNvGrpSpPr/>
        </xdr:nvGrpSpPr>
        <xdr:grpSpPr>
          <a:xfrm>
            <a:off x="190500" y="723900"/>
            <a:ext cx="1695450" cy="723900"/>
            <a:chOff x="190500" y="180975"/>
            <a:chExt cx="1800225" cy="723900"/>
          </a:xfrm>
        </xdr:grpSpPr>
        <xdr:sp macro="" textlink="">
          <xdr:nvSpPr>
            <xdr:cNvPr id="70" name="Rectangle: Rounded Corners 69">
              <a:hlinkClick xmlns:r="http://schemas.openxmlformats.org/officeDocument/2006/relationships" r:id="rId1"/>
              <a:extLst>
                <a:ext uri="{FF2B5EF4-FFF2-40B4-BE49-F238E27FC236}">
                  <a16:creationId xmlns:a16="http://schemas.microsoft.com/office/drawing/2014/main" id="{8C4FC84D-032F-1971-6B1A-E45C7F908FF8}"/>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71" name="Picture 70">
              <a:extLst>
                <a:ext uri="{FF2B5EF4-FFF2-40B4-BE49-F238E27FC236}">
                  <a16:creationId xmlns:a16="http://schemas.microsoft.com/office/drawing/2014/main" id="{15E5708D-A1C1-E97D-9B1D-35E8EE79FBC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59" name="Rectangle: Rounded Corners 58">
            <a:hlinkClick xmlns:r="http://schemas.openxmlformats.org/officeDocument/2006/relationships" r:id="rId18"/>
            <a:extLst>
              <a:ext uri="{FF2B5EF4-FFF2-40B4-BE49-F238E27FC236}">
                <a16:creationId xmlns:a16="http://schemas.microsoft.com/office/drawing/2014/main" id="{2A3836FA-5F11-4ADA-809A-81A589E8830D}"/>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60" name="Rectangle: Rounded Corners 59">
            <a:hlinkClick xmlns:r="http://schemas.openxmlformats.org/officeDocument/2006/relationships" r:id="rId19"/>
            <a:extLst>
              <a:ext uri="{FF2B5EF4-FFF2-40B4-BE49-F238E27FC236}">
                <a16:creationId xmlns:a16="http://schemas.microsoft.com/office/drawing/2014/main" id="{C21DA7A1-8982-A32C-6DD1-18EFD0AC236C}"/>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61" name="Rectangle: Rounded Corners 60">
            <a:hlinkClick xmlns:r="http://schemas.openxmlformats.org/officeDocument/2006/relationships" r:id="rId20"/>
            <a:extLst>
              <a:ext uri="{FF2B5EF4-FFF2-40B4-BE49-F238E27FC236}">
                <a16:creationId xmlns:a16="http://schemas.microsoft.com/office/drawing/2014/main" id="{7E6033D4-35F1-6781-5847-55F548D403FA}"/>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62" name="Rectangle: Rounded Corners 61">
            <a:hlinkClick xmlns:r="http://schemas.openxmlformats.org/officeDocument/2006/relationships" r:id="rId21"/>
            <a:extLst>
              <a:ext uri="{FF2B5EF4-FFF2-40B4-BE49-F238E27FC236}">
                <a16:creationId xmlns:a16="http://schemas.microsoft.com/office/drawing/2014/main" id="{910973FC-F30B-094B-6020-C9AEDFD5E526}"/>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63" name="Rectangle: Rounded Corners 62">
            <a:hlinkClick xmlns:r="http://schemas.openxmlformats.org/officeDocument/2006/relationships" r:id="rId22"/>
            <a:extLst>
              <a:ext uri="{FF2B5EF4-FFF2-40B4-BE49-F238E27FC236}">
                <a16:creationId xmlns:a16="http://schemas.microsoft.com/office/drawing/2014/main" id="{7200D333-F13A-63C0-FCE2-2D68C70499E8}"/>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64" name="Rectangle: Rounded Corners 63">
            <a:hlinkClick xmlns:r="http://schemas.openxmlformats.org/officeDocument/2006/relationships" r:id="rId23"/>
            <a:extLst>
              <a:ext uri="{FF2B5EF4-FFF2-40B4-BE49-F238E27FC236}">
                <a16:creationId xmlns:a16="http://schemas.microsoft.com/office/drawing/2014/main" id="{CD0963CF-A15D-D9F8-621C-B4D3D7B92C95}"/>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65" name="Rectangle: Rounded Corners 64">
            <a:hlinkClick xmlns:r="http://schemas.openxmlformats.org/officeDocument/2006/relationships" r:id="rId24"/>
            <a:extLst>
              <a:ext uri="{FF2B5EF4-FFF2-40B4-BE49-F238E27FC236}">
                <a16:creationId xmlns:a16="http://schemas.microsoft.com/office/drawing/2014/main" id="{A9F3C7B5-4810-00AD-D6CE-535765E123EC}"/>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66" name="Rectangle: Rounded Corners 65">
            <a:hlinkClick xmlns:r="http://schemas.openxmlformats.org/officeDocument/2006/relationships" r:id="rId25"/>
            <a:extLst>
              <a:ext uri="{FF2B5EF4-FFF2-40B4-BE49-F238E27FC236}">
                <a16:creationId xmlns:a16="http://schemas.microsoft.com/office/drawing/2014/main" id="{4390ED7F-5EF5-6846-B496-1C0B20C5AC7D}"/>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67" name="Rectangle: Rounded Corners 66">
            <a:hlinkClick xmlns:r="http://schemas.openxmlformats.org/officeDocument/2006/relationships" r:id="rId26"/>
            <a:extLst>
              <a:ext uri="{FF2B5EF4-FFF2-40B4-BE49-F238E27FC236}">
                <a16:creationId xmlns:a16="http://schemas.microsoft.com/office/drawing/2014/main" id="{7EAA1403-42B7-6CAB-86CD-30DB633C0B03}"/>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68" name="Rectangle: Rounded Corners 67">
            <a:hlinkClick xmlns:r="http://schemas.openxmlformats.org/officeDocument/2006/relationships" r:id="rId27"/>
            <a:extLst>
              <a:ext uri="{FF2B5EF4-FFF2-40B4-BE49-F238E27FC236}">
                <a16:creationId xmlns:a16="http://schemas.microsoft.com/office/drawing/2014/main" id="{26754ECF-7748-D167-22C7-16926C0CA2FB}"/>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69" name="TextBox 68">
            <a:extLst>
              <a:ext uri="{FF2B5EF4-FFF2-40B4-BE49-F238E27FC236}">
                <a16:creationId xmlns:a16="http://schemas.microsoft.com/office/drawing/2014/main" id="{3F7E777E-99D1-16DC-4C1C-01103D265714}"/>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11</xdr:col>
      <xdr:colOff>933450</xdr:colOff>
      <xdr:row>39</xdr:row>
      <xdr:rowOff>47626</xdr:rowOff>
    </xdr:from>
    <xdr:to>
      <xdr:col>26</xdr:col>
      <xdr:colOff>552450</xdr:colOff>
      <xdr:row>70</xdr:row>
      <xdr:rowOff>19051</xdr:rowOff>
    </xdr:to>
    <xdr:grpSp>
      <xdr:nvGrpSpPr>
        <xdr:cNvPr id="43" name="Group 42">
          <a:extLst>
            <a:ext uri="{FF2B5EF4-FFF2-40B4-BE49-F238E27FC236}">
              <a16:creationId xmlns:a16="http://schemas.microsoft.com/office/drawing/2014/main" id="{FF53280C-4F11-E511-589E-D107AF88B071}"/>
            </a:ext>
          </a:extLst>
        </xdr:cNvPr>
        <xdr:cNvGrpSpPr/>
      </xdr:nvGrpSpPr>
      <xdr:grpSpPr>
        <a:xfrm>
          <a:off x="10553700" y="7105651"/>
          <a:ext cx="9953625" cy="5048250"/>
          <a:chOff x="66675" y="247651"/>
          <a:chExt cx="9953625" cy="5048250"/>
        </a:xfrm>
      </xdr:grpSpPr>
      <xdr:sp macro="" textlink="">
        <xdr:nvSpPr>
          <xdr:cNvPr id="40" name="Rectangle 39">
            <a:extLst>
              <a:ext uri="{FF2B5EF4-FFF2-40B4-BE49-F238E27FC236}">
                <a16:creationId xmlns:a16="http://schemas.microsoft.com/office/drawing/2014/main" id="{674B477F-EFB8-B337-AD73-D97B3A51FE4E}"/>
              </a:ext>
            </a:extLst>
          </xdr:cNvPr>
          <xdr:cNvSpPr/>
        </xdr:nvSpPr>
        <xdr:spPr bwMode="auto">
          <a:xfrm>
            <a:off x="66675" y="247651"/>
            <a:ext cx="995362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B8F660B1-A0C1-4BC1-AA2D-91C45E799F1B}"/>
              </a:ext>
            </a:extLst>
          </xdr:cNvPr>
          <xdr:cNvSpPr/>
        </xdr:nvSpPr>
        <xdr:spPr bwMode="auto">
          <a:xfrm>
            <a:off x="209550" y="1771650"/>
            <a:ext cx="1800000"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400" b="0" i="0" u="none" strike="noStrike" baseline="0">
                <a:solidFill>
                  <a:srgbClr val="E06B0A"/>
                </a:solidFill>
                <a:latin typeface="Arial"/>
                <a:cs typeface="Arial"/>
              </a:rPr>
              <a:t>(Social Care)</a:t>
            </a:r>
          </a:p>
        </xdr:txBody>
      </xdr:sp>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683D8C74-7026-4FCD-93D1-EBDFDC5BF3D1}"/>
              </a:ext>
            </a:extLst>
          </xdr:cNvPr>
          <xdr:cNvSpPr/>
        </xdr:nvSpPr>
        <xdr:spPr bwMode="auto">
          <a:xfrm>
            <a:off x="4171949" y="857250"/>
            <a:ext cx="1800226"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85F64664-604E-49D7-957D-3EC50F9D0AA5}"/>
              </a:ext>
            </a:extLst>
          </xdr:cNvPr>
          <xdr:cNvSpPr/>
        </xdr:nvSpPr>
        <xdr:spPr bwMode="auto">
          <a:xfrm>
            <a:off x="2181225" y="857250"/>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903C70D2-D764-48F4-A9D4-14D87059D94E}"/>
              </a:ext>
            </a:extLst>
          </xdr:cNvPr>
          <xdr:cNvSpPr/>
        </xdr:nvSpPr>
        <xdr:spPr bwMode="auto">
          <a:xfrm>
            <a:off x="6162675" y="857250"/>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14" name="Rectangle: Rounded Corners 13">
            <a:hlinkClick xmlns:r="http://schemas.openxmlformats.org/officeDocument/2006/relationships" r:id="rId5"/>
            <a:extLst>
              <a:ext uri="{FF2B5EF4-FFF2-40B4-BE49-F238E27FC236}">
                <a16:creationId xmlns:a16="http://schemas.microsoft.com/office/drawing/2014/main" id="{298A54E8-41C8-4F7C-A55A-C8FD7C15CAAF}"/>
              </a:ext>
            </a:extLst>
          </xdr:cNvPr>
          <xdr:cNvSpPr/>
        </xdr:nvSpPr>
        <xdr:spPr bwMode="auto">
          <a:xfrm>
            <a:off x="8153400" y="857250"/>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used in calculations</a:t>
            </a:r>
          </a:p>
        </xdr:txBody>
      </xdr:sp>
      <xdr:sp macro="" textlink="">
        <xdr:nvSpPr>
          <xdr:cNvPr id="15" name="Rectangle: Rounded Corners 14">
            <a:hlinkClick xmlns:r="http://schemas.openxmlformats.org/officeDocument/2006/relationships" r:id="rId6"/>
            <a:extLst>
              <a:ext uri="{FF2B5EF4-FFF2-40B4-BE49-F238E27FC236}">
                <a16:creationId xmlns:a16="http://schemas.microsoft.com/office/drawing/2014/main" id="{5356BD3C-2146-4FD3-B311-46897DEB1DE9}"/>
              </a:ext>
            </a:extLst>
          </xdr:cNvPr>
          <xdr:cNvSpPr/>
        </xdr:nvSpPr>
        <xdr:spPr bwMode="auto">
          <a:xfrm>
            <a:off x="2181225" y="1762125"/>
            <a:ext cx="1800000"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rgbClr val="E06B0A"/>
                </a:solidFill>
                <a:effectLst/>
                <a:uLnTx/>
                <a:uFillTx/>
                <a:latin typeface="Arial"/>
                <a:ea typeface="+mn-ea"/>
                <a:cs typeface="Arial"/>
              </a:rPr>
              <a:t>(Social Care)</a:t>
            </a:r>
            <a:endParaRPr lang="en-GB" sz="1400" b="1" i="0" u="none" strike="noStrike" baseline="0">
              <a:solidFill>
                <a:srgbClr val="E06B0A"/>
              </a:solidFill>
              <a:latin typeface="Arial"/>
              <a:cs typeface="Arial"/>
            </a:endParaRPr>
          </a:p>
        </xdr:txBody>
      </xdr:sp>
      <xdr:sp macro="" textlink="">
        <xdr:nvSpPr>
          <xdr:cNvPr id="16" name="Rectangle: Rounded Corners 15">
            <a:hlinkClick xmlns:r="http://schemas.openxmlformats.org/officeDocument/2006/relationships" r:id="rId7"/>
            <a:extLst>
              <a:ext uri="{FF2B5EF4-FFF2-40B4-BE49-F238E27FC236}">
                <a16:creationId xmlns:a16="http://schemas.microsoft.com/office/drawing/2014/main" id="{C1294328-5119-4BFA-BC97-ACC7F9FDBD6B}"/>
              </a:ext>
            </a:extLst>
          </xdr:cNvPr>
          <xdr:cNvSpPr/>
        </xdr:nvSpPr>
        <xdr:spPr bwMode="auto">
          <a:xfrm>
            <a:off x="4171950" y="1762125"/>
            <a:ext cx="1800000"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a:ln>
                  <a:noFill/>
                </a:ln>
                <a:solidFill>
                  <a:srgbClr val="E06B0A"/>
                </a:solidFill>
                <a:effectLst/>
                <a:uLnTx/>
                <a:uFillTx/>
                <a:latin typeface="Arial"/>
                <a:ea typeface="+mn-ea"/>
                <a:cs typeface="Arial"/>
              </a:rPr>
              <a:t>(Social Care)</a:t>
            </a:r>
            <a:r>
              <a:rPr lang="en-GB" sz="1100" b="0" i="0" baseline="0">
                <a:solidFill>
                  <a:srgbClr val="E06B0A"/>
                </a:solidFill>
                <a:effectLst/>
                <a:latin typeface="+mn-lt"/>
                <a:ea typeface="+mn-ea"/>
                <a:cs typeface="+mn-cs"/>
              </a:rPr>
              <a:t> </a:t>
            </a:r>
            <a:endParaRPr lang="en-GB" sz="1400">
              <a:solidFill>
                <a:srgbClr val="E06B0A"/>
              </a:solidFill>
              <a:effectLst/>
            </a:endParaRPr>
          </a:p>
        </xdr:txBody>
      </xdr:sp>
      <xdr:sp macro="" textlink="">
        <xdr:nvSpPr>
          <xdr:cNvPr id="17" name="Rectangle: Rounded Corners 16">
            <a:hlinkClick xmlns:r="http://schemas.openxmlformats.org/officeDocument/2006/relationships" r:id="rId8"/>
            <a:extLst>
              <a:ext uri="{FF2B5EF4-FFF2-40B4-BE49-F238E27FC236}">
                <a16:creationId xmlns:a16="http://schemas.microsoft.com/office/drawing/2014/main" id="{29F474E9-6638-477C-896D-E11E4226A8A5}"/>
              </a:ext>
            </a:extLst>
          </xdr:cNvPr>
          <xdr:cNvSpPr/>
        </xdr:nvSpPr>
        <xdr:spPr bwMode="auto">
          <a:xfrm>
            <a:off x="6162675" y="1762125"/>
            <a:ext cx="1800000"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r>
              <a:rPr kumimoji="0" lang="en-GB" sz="14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18" name="Rectangle: Rounded Corners 17">
            <a:hlinkClick xmlns:r="http://schemas.openxmlformats.org/officeDocument/2006/relationships" r:id="rId9"/>
            <a:extLst>
              <a:ext uri="{FF2B5EF4-FFF2-40B4-BE49-F238E27FC236}">
                <a16:creationId xmlns:a16="http://schemas.microsoft.com/office/drawing/2014/main" id="{E8EF1169-9CF0-4D71-B454-376E9E4B18D6}"/>
              </a:ext>
            </a:extLst>
          </xdr:cNvPr>
          <xdr:cNvSpPr/>
        </xdr:nvSpPr>
        <xdr:spPr bwMode="auto">
          <a:xfrm>
            <a:off x="8153400" y="1762125"/>
            <a:ext cx="1800000"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400" b="0" i="0" u="none" strike="noStrike" baseline="0">
                <a:solidFill>
                  <a:srgbClr val="E06B0A"/>
                </a:solidFill>
                <a:latin typeface="Arial"/>
                <a:cs typeface="Arial"/>
              </a:rPr>
              <a:t>(CIN)</a:t>
            </a:r>
          </a:p>
        </xdr:txBody>
      </xdr:sp>
      <xdr:grpSp>
        <xdr:nvGrpSpPr>
          <xdr:cNvPr id="20" name="Group 19">
            <a:hlinkClick xmlns:r="http://schemas.openxmlformats.org/officeDocument/2006/relationships" r:id="rId10"/>
            <a:extLst>
              <a:ext uri="{FF2B5EF4-FFF2-40B4-BE49-F238E27FC236}">
                <a16:creationId xmlns:a16="http://schemas.microsoft.com/office/drawing/2014/main" id="{75431A87-19E3-332D-1065-87F08F2BCE80}"/>
              </a:ext>
            </a:extLst>
          </xdr:cNvPr>
          <xdr:cNvGrpSpPr/>
        </xdr:nvGrpSpPr>
        <xdr:grpSpPr>
          <a:xfrm>
            <a:off x="190500" y="857250"/>
            <a:ext cx="1800225" cy="723900"/>
            <a:chOff x="190500" y="180975"/>
            <a:chExt cx="1800225" cy="723900"/>
          </a:xfrm>
        </xdr:grpSpPr>
        <xdr:sp macro="" textlink="">
          <xdr:nvSpPr>
            <xdr:cNvPr id="2" name="Rectangle: Rounded Corners 1">
              <a:hlinkClick xmlns:r="http://schemas.openxmlformats.org/officeDocument/2006/relationships" r:id="rId10"/>
              <a:extLst>
                <a:ext uri="{FF2B5EF4-FFF2-40B4-BE49-F238E27FC236}">
                  <a16:creationId xmlns:a16="http://schemas.microsoft.com/office/drawing/2014/main" id="{8B188D17-9164-4C07-B8D5-077D6A8AD76B}"/>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19" name="Picture 18">
              <a:extLst>
                <a:ext uri="{FF2B5EF4-FFF2-40B4-BE49-F238E27FC236}">
                  <a16:creationId xmlns:a16="http://schemas.microsoft.com/office/drawing/2014/main" id="{27348056-F91C-4E61-B857-37E1791BA9E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14325" y="371475"/>
              <a:ext cx="321559" cy="356703"/>
            </a:xfrm>
            <a:prstGeom prst="rect">
              <a:avLst/>
            </a:prstGeom>
          </xdr:spPr>
        </xdr:pic>
      </xdr:grpSp>
      <xdr:sp macro="" textlink="">
        <xdr:nvSpPr>
          <xdr:cNvPr id="21" name="Rectangle: Rounded Corners 20">
            <a:hlinkClick xmlns:r="http://schemas.openxmlformats.org/officeDocument/2006/relationships" r:id="rId12"/>
            <a:extLst>
              <a:ext uri="{FF2B5EF4-FFF2-40B4-BE49-F238E27FC236}">
                <a16:creationId xmlns:a16="http://schemas.microsoft.com/office/drawing/2014/main" id="{CC9F4F36-469C-47A0-AD08-F0589FDF37DE}"/>
              </a:ext>
            </a:extLst>
          </xdr:cNvPr>
          <xdr:cNvSpPr/>
        </xdr:nvSpPr>
        <xdr:spPr bwMode="auto">
          <a:xfrm>
            <a:off x="190500" y="2667000"/>
            <a:ext cx="1800000"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Enquiries</a:t>
            </a:r>
          </a:p>
        </xdr:txBody>
      </xdr:sp>
      <xdr:sp macro="" textlink="">
        <xdr:nvSpPr>
          <xdr:cNvPr id="22" name="Rectangle: Rounded Corners 21">
            <a:hlinkClick xmlns:r="http://schemas.openxmlformats.org/officeDocument/2006/relationships" r:id="rId13"/>
            <a:extLst>
              <a:ext uri="{FF2B5EF4-FFF2-40B4-BE49-F238E27FC236}">
                <a16:creationId xmlns:a16="http://schemas.microsoft.com/office/drawing/2014/main" id="{B298A9B9-658C-43E8-91D5-7E11AEA35BB0}"/>
              </a:ext>
            </a:extLst>
          </xdr:cNvPr>
          <xdr:cNvSpPr/>
        </xdr:nvSpPr>
        <xdr:spPr bwMode="auto">
          <a:xfrm>
            <a:off x="2181225" y="2667000"/>
            <a:ext cx="1800000"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24" name="Rectangle: Rounded Corners 23">
            <a:hlinkClick xmlns:r="http://schemas.openxmlformats.org/officeDocument/2006/relationships" r:id="rId14"/>
            <a:extLst>
              <a:ext uri="{FF2B5EF4-FFF2-40B4-BE49-F238E27FC236}">
                <a16:creationId xmlns:a16="http://schemas.microsoft.com/office/drawing/2014/main" id="{8D2DEF8D-2F1C-4FE9-B036-21009202E414}"/>
              </a:ext>
            </a:extLst>
          </xdr:cNvPr>
          <xdr:cNvSpPr/>
        </xdr:nvSpPr>
        <xdr:spPr bwMode="auto">
          <a:xfrm>
            <a:off x="190500" y="3578598"/>
            <a:ext cx="1800000"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400" b="0" i="0" u="none" strike="noStrike" baseline="0">
                <a:solidFill>
                  <a:srgbClr val="850169"/>
                </a:solidFill>
                <a:latin typeface="Arial"/>
                <a:cs typeface="Arial"/>
              </a:rPr>
              <a:t>(LAC)</a:t>
            </a:r>
          </a:p>
        </xdr:txBody>
      </xdr:sp>
      <xdr:sp macro="" textlink="">
        <xdr:nvSpPr>
          <xdr:cNvPr id="26" name="Rectangle: Rounded Corners 25">
            <a:hlinkClick xmlns:r="http://schemas.openxmlformats.org/officeDocument/2006/relationships" r:id="rId15"/>
            <a:extLst>
              <a:ext uri="{FF2B5EF4-FFF2-40B4-BE49-F238E27FC236}">
                <a16:creationId xmlns:a16="http://schemas.microsoft.com/office/drawing/2014/main" id="{E7A7470D-140A-433F-96D3-1BEA18E0EC6A}"/>
              </a:ext>
            </a:extLst>
          </xdr:cNvPr>
          <xdr:cNvSpPr/>
        </xdr:nvSpPr>
        <xdr:spPr bwMode="auto">
          <a:xfrm>
            <a:off x="190500" y="4476750"/>
            <a:ext cx="1800000"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100" b="0" i="0" u="none" strike="noStrike" baseline="0">
                <a:solidFill>
                  <a:srgbClr val="002774"/>
                </a:solidFill>
                <a:latin typeface="Arial"/>
                <a:cs typeface="Arial"/>
              </a:rPr>
              <a:t>in Education, Employment and Training</a:t>
            </a:r>
          </a:p>
        </xdr:txBody>
      </xdr:sp>
      <xdr:sp macro="" textlink="">
        <xdr:nvSpPr>
          <xdr:cNvPr id="27" name="Rectangle: Rounded Corners 26">
            <a:hlinkClick xmlns:r="http://schemas.openxmlformats.org/officeDocument/2006/relationships" r:id="rId16"/>
            <a:extLst>
              <a:ext uri="{FF2B5EF4-FFF2-40B4-BE49-F238E27FC236}">
                <a16:creationId xmlns:a16="http://schemas.microsoft.com/office/drawing/2014/main" id="{3065F175-6121-45BF-9759-38E8B8A08550}"/>
              </a:ext>
            </a:extLst>
          </xdr:cNvPr>
          <xdr:cNvSpPr/>
        </xdr:nvSpPr>
        <xdr:spPr bwMode="auto">
          <a:xfrm>
            <a:off x="2181450" y="4476750"/>
            <a:ext cx="1800000"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35" name="Rectangle: Rounded Corners 34">
            <a:hlinkClick xmlns:r="http://schemas.openxmlformats.org/officeDocument/2006/relationships" r:id="rId17"/>
            <a:extLst>
              <a:ext uri="{FF2B5EF4-FFF2-40B4-BE49-F238E27FC236}">
                <a16:creationId xmlns:a16="http://schemas.microsoft.com/office/drawing/2014/main" id="{32F46B51-8EA5-4C82-9018-4952F1A3948F}"/>
              </a:ext>
            </a:extLst>
          </xdr:cNvPr>
          <xdr:cNvSpPr/>
        </xdr:nvSpPr>
        <xdr:spPr bwMode="auto">
          <a:xfrm>
            <a:off x="4171950" y="2667000"/>
            <a:ext cx="1800000"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36" name="Rectangle: Rounded Corners 35">
            <a:hlinkClick xmlns:r="http://schemas.openxmlformats.org/officeDocument/2006/relationships" r:id="rId18"/>
            <a:extLst>
              <a:ext uri="{FF2B5EF4-FFF2-40B4-BE49-F238E27FC236}">
                <a16:creationId xmlns:a16="http://schemas.microsoft.com/office/drawing/2014/main" id="{FF5D5CFC-9940-4A37-B773-92E0D8DAA9CD}"/>
              </a:ext>
            </a:extLst>
          </xdr:cNvPr>
          <xdr:cNvSpPr/>
        </xdr:nvSpPr>
        <xdr:spPr bwMode="auto">
          <a:xfrm>
            <a:off x="2181225" y="3578598"/>
            <a:ext cx="1800000"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37" name="Rectangle: Rounded Corners 36">
            <a:hlinkClick xmlns:r="http://schemas.openxmlformats.org/officeDocument/2006/relationships" r:id="rId19"/>
            <a:extLst>
              <a:ext uri="{FF2B5EF4-FFF2-40B4-BE49-F238E27FC236}">
                <a16:creationId xmlns:a16="http://schemas.microsoft.com/office/drawing/2014/main" id="{606C6F54-D9BC-42C4-B9DF-6317B1B90565}"/>
              </a:ext>
            </a:extLst>
          </xdr:cNvPr>
          <xdr:cNvSpPr/>
        </xdr:nvSpPr>
        <xdr:spPr bwMode="auto">
          <a:xfrm>
            <a:off x="4171950" y="3578598"/>
            <a:ext cx="1800000"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38" name="Rectangle: Rounded Corners 37">
            <a:hlinkClick xmlns:r="http://schemas.openxmlformats.org/officeDocument/2006/relationships" r:id="rId20"/>
            <a:extLst>
              <a:ext uri="{FF2B5EF4-FFF2-40B4-BE49-F238E27FC236}">
                <a16:creationId xmlns:a16="http://schemas.microsoft.com/office/drawing/2014/main" id="{DDE27FDA-FB65-458E-883E-8520486369FA}"/>
              </a:ext>
            </a:extLst>
          </xdr:cNvPr>
          <xdr:cNvSpPr/>
        </xdr:nvSpPr>
        <xdr:spPr bwMode="auto">
          <a:xfrm>
            <a:off x="6162675" y="2673723"/>
            <a:ext cx="1800000"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to Court</a:t>
            </a:r>
          </a:p>
        </xdr:txBody>
      </xdr:sp>
      <xdr:sp macro="" textlink="">
        <xdr:nvSpPr>
          <xdr:cNvPr id="39" name="Rectangle: Rounded Corners 38">
            <a:hlinkClick xmlns:r="http://schemas.openxmlformats.org/officeDocument/2006/relationships" r:id="rId21"/>
            <a:extLst>
              <a:ext uri="{FF2B5EF4-FFF2-40B4-BE49-F238E27FC236}">
                <a16:creationId xmlns:a16="http://schemas.microsoft.com/office/drawing/2014/main" id="{82FAC987-3643-4B2B-826C-0BFEB5B960D7}"/>
              </a:ext>
            </a:extLst>
          </xdr:cNvPr>
          <xdr:cNvSpPr/>
        </xdr:nvSpPr>
        <xdr:spPr bwMode="auto">
          <a:xfrm>
            <a:off x="6162675" y="3571875"/>
            <a:ext cx="1800000"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Adoption</a:t>
            </a:r>
          </a:p>
        </xdr:txBody>
      </xdr:sp>
      <xdr:sp macro="" textlink="">
        <xdr:nvSpPr>
          <xdr:cNvPr id="42" name="TextBox 41">
            <a:extLst>
              <a:ext uri="{FF2B5EF4-FFF2-40B4-BE49-F238E27FC236}">
                <a16:creationId xmlns:a16="http://schemas.microsoft.com/office/drawing/2014/main" id="{A1AA61CF-1CEA-480D-BA27-EACF08B0A17B}"/>
              </a:ext>
            </a:extLst>
          </xdr:cNvPr>
          <xdr:cNvSpPr txBox="1"/>
        </xdr:nvSpPr>
        <xdr:spPr>
          <a:xfrm>
            <a:off x="123825" y="276226"/>
            <a:ext cx="3499920"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xdr:twoCellAnchor>
  <xdr:twoCellAnchor>
    <xdr:from>
      <xdr:col>0</xdr:col>
      <xdr:colOff>95250</xdr:colOff>
      <xdr:row>0</xdr:row>
      <xdr:rowOff>95250</xdr:rowOff>
    </xdr:from>
    <xdr:to>
      <xdr:col>8</xdr:col>
      <xdr:colOff>85725</xdr:colOff>
      <xdr:row>28</xdr:row>
      <xdr:rowOff>76200</xdr:rowOff>
    </xdr:to>
    <xdr:grpSp>
      <xdr:nvGrpSpPr>
        <xdr:cNvPr id="71" name="Group 70">
          <a:extLst>
            <a:ext uri="{FF2B5EF4-FFF2-40B4-BE49-F238E27FC236}">
              <a16:creationId xmlns:a16="http://schemas.microsoft.com/office/drawing/2014/main" id="{9370ADDF-2666-664C-2EA3-D4CC68E5FEA1}"/>
            </a:ext>
          </a:extLst>
        </xdr:cNvPr>
        <xdr:cNvGrpSpPr/>
      </xdr:nvGrpSpPr>
      <xdr:grpSpPr>
        <a:xfrm>
          <a:off x="95250" y="95250"/>
          <a:ext cx="7534275" cy="5048250"/>
          <a:chOff x="95250" y="95250"/>
          <a:chExt cx="7534275" cy="5048250"/>
        </a:xfrm>
      </xdr:grpSpPr>
      <xdr:sp macro="" textlink="">
        <xdr:nvSpPr>
          <xdr:cNvPr id="70" name="Rectangle 69">
            <a:extLst>
              <a:ext uri="{FF2B5EF4-FFF2-40B4-BE49-F238E27FC236}">
                <a16:creationId xmlns:a16="http://schemas.microsoft.com/office/drawing/2014/main" id="{9FB6D2F6-DF3C-05EE-6B81-CC8E915231CA}"/>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47" name="Rectangle: Rounded Corners 46">
            <a:hlinkClick xmlns:r="http://schemas.openxmlformats.org/officeDocument/2006/relationships" r:id="rId1"/>
            <a:extLst>
              <a:ext uri="{FF2B5EF4-FFF2-40B4-BE49-F238E27FC236}">
                <a16:creationId xmlns:a16="http://schemas.microsoft.com/office/drawing/2014/main" id="{955C5CCB-70AF-28E2-517C-C76E952143D5}"/>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48" name="Rectangle: Rounded Corners 47">
            <a:hlinkClick xmlns:r="http://schemas.openxmlformats.org/officeDocument/2006/relationships" r:id="rId2"/>
            <a:extLst>
              <a:ext uri="{FF2B5EF4-FFF2-40B4-BE49-F238E27FC236}">
                <a16:creationId xmlns:a16="http://schemas.microsoft.com/office/drawing/2014/main" id="{82644BC3-98BE-5DB4-7A13-A87AE3C975E4}"/>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49" name="Rectangle: Rounded Corners 48">
            <a:hlinkClick xmlns:r="http://schemas.openxmlformats.org/officeDocument/2006/relationships" r:id="rId3"/>
            <a:extLst>
              <a:ext uri="{FF2B5EF4-FFF2-40B4-BE49-F238E27FC236}">
                <a16:creationId xmlns:a16="http://schemas.microsoft.com/office/drawing/2014/main" id="{EF3D74C8-18AA-61BC-CD3B-A6198616D924}"/>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50" name="Rectangle: Rounded Corners 49">
            <a:hlinkClick xmlns:r="http://schemas.openxmlformats.org/officeDocument/2006/relationships" r:id="rId4"/>
            <a:extLst>
              <a:ext uri="{FF2B5EF4-FFF2-40B4-BE49-F238E27FC236}">
                <a16:creationId xmlns:a16="http://schemas.microsoft.com/office/drawing/2014/main" id="{0A1DFBC8-0568-30F4-CE9F-7957652533FF}"/>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51" name="Rectangle: Rounded Corners 50">
            <a:hlinkClick xmlns:r="http://schemas.openxmlformats.org/officeDocument/2006/relationships" r:id="rId5"/>
            <a:extLst>
              <a:ext uri="{FF2B5EF4-FFF2-40B4-BE49-F238E27FC236}">
                <a16:creationId xmlns:a16="http://schemas.microsoft.com/office/drawing/2014/main" id="{5365D044-A6D1-DD14-7C15-70A80B89DA85}"/>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estimates used in calculations</a:t>
            </a:r>
          </a:p>
        </xdr:txBody>
      </xdr:sp>
      <xdr:sp macro="" textlink="">
        <xdr:nvSpPr>
          <xdr:cNvPr id="52" name="Rectangle: Rounded Corners 51">
            <a:hlinkClick xmlns:r="http://schemas.openxmlformats.org/officeDocument/2006/relationships" r:id="rId6"/>
            <a:extLst>
              <a:ext uri="{FF2B5EF4-FFF2-40B4-BE49-F238E27FC236}">
                <a16:creationId xmlns:a16="http://schemas.microsoft.com/office/drawing/2014/main" id="{0A1B2597-B8E1-7727-1A0F-0EB374383117}"/>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53" name="Rectangle: Rounded Corners 52">
            <a:hlinkClick xmlns:r="http://schemas.openxmlformats.org/officeDocument/2006/relationships" r:id="rId7"/>
            <a:extLst>
              <a:ext uri="{FF2B5EF4-FFF2-40B4-BE49-F238E27FC236}">
                <a16:creationId xmlns:a16="http://schemas.microsoft.com/office/drawing/2014/main" id="{544624F8-7C77-004A-D6E2-64D9288EDFDF}"/>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54" name="Rectangle: Rounded Corners 53">
            <a:hlinkClick xmlns:r="http://schemas.openxmlformats.org/officeDocument/2006/relationships" r:id="rId8"/>
            <a:extLst>
              <a:ext uri="{FF2B5EF4-FFF2-40B4-BE49-F238E27FC236}">
                <a16:creationId xmlns:a16="http://schemas.microsoft.com/office/drawing/2014/main" id="{3D6DA04E-5AA6-ED5D-291A-541F2E5CC72E}"/>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55" name="Rectangle: Rounded Corners 54">
            <a:hlinkClick xmlns:r="http://schemas.openxmlformats.org/officeDocument/2006/relationships" r:id="rId9"/>
            <a:extLst>
              <a:ext uri="{FF2B5EF4-FFF2-40B4-BE49-F238E27FC236}">
                <a16:creationId xmlns:a16="http://schemas.microsoft.com/office/drawing/2014/main" id="{BCF22FF3-B0B9-C9C2-CA28-94AF28628EFC}"/>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56" name="Group 55">
            <a:hlinkClick xmlns:r="http://schemas.openxmlformats.org/officeDocument/2006/relationships" r:id="rId10"/>
            <a:extLst>
              <a:ext uri="{FF2B5EF4-FFF2-40B4-BE49-F238E27FC236}">
                <a16:creationId xmlns:a16="http://schemas.microsoft.com/office/drawing/2014/main" id="{1B88B72C-63FD-48C7-53A8-88F200BA7D16}"/>
              </a:ext>
            </a:extLst>
          </xdr:cNvPr>
          <xdr:cNvGrpSpPr/>
        </xdr:nvGrpSpPr>
        <xdr:grpSpPr>
          <a:xfrm>
            <a:off x="190500" y="723900"/>
            <a:ext cx="1695450" cy="723900"/>
            <a:chOff x="190500" y="180975"/>
            <a:chExt cx="1800225" cy="723900"/>
          </a:xfrm>
        </xdr:grpSpPr>
        <xdr:sp macro="" textlink="">
          <xdr:nvSpPr>
            <xdr:cNvPr id="68" name="Rectangle: Rounded Corners 67">
              <a:hlinkClick xmlns:r="http://schemas.openxmlformats.org/officeDocument/2006/relationships" r:id="rId10"/>
              <a:extLst>
                <a:ext uri="{FF2B5EF4-FFF2-40B4-BE49-F238E27FC236}">
                  <a16:creationId xmlns:a16="http://schemas.microsoft.com/office/drawing/2014/main" id="{8F26B84E-9C79-11E3-552A-FA3CD527E293}"/>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69" name="Picture 68">
              <a:extLst>
                <a:ext uri="{FF2B5EF4-FFF2-40B4-BE49-F238E27FC236}">
                  <a16:creationId xmlns:a16="http://schemas.microsoft.com/office/drawing/2014/main" id="{911526D3-4F53-8286-01BB-ED62CCDE517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14325" y="371475"/>
              <a:ext cx="321559" cy="356703"/>
            </a:xfrm>
            <a:prstGeom prst="rect">
              <a:avLst/>
            </a:prstGeom>
          </xdr:spPr>
        </xdr:pic>
      </xdr:grpSp>
      <xdr:sp macro="" textlink="">
        <xdr:nvSpPr>
          <xdr:cNvPr id="57" name="Rectangle: Rounded Corners 56">
            <a:hlinkClick xmlns:r="http://schemas.openxmlformats.org/officeDocument/2006/relationships" r:id="rId12"/>
            <a:extLst>
              <a:ext uri="{FF2B5EF4-FFF2-40B4-BE49-F238E27FC236}">
                <a16:creationId xmlns:a16="http://schemas.microsoft.com/office/drawing/2014/main" id="{C5B1C671-A225-BDBC-33E2-A20F68F77BCE}"/>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Enquiries</a:t>
            </a:r>
          </a:p>
        </xdr:txBody>
      </xdr:sp>
      <xdr:sp macro="" textlink="">
        <xdr:nvSpPr>
          <xdr:cNvPr id="58" name="Rectangle: Rounded Corners 57">
            <a:hlinkClick xmlns:r="http://schemas.openxmlformats.org/officeDocument/2006/relationships" r:id="rId13"/>
            <a:extLst>
              <a:ext uri="{FF2B5EF4-FFF2-40B4-BE49-F238E27FC236}">
                <a16:creationId xmlns:a16="http://schemas.microsoft.com/office/drawing/2014/main" id="{177DA906-E1DE-B4B2-2735-9FEBBBC558C8}"/>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59" name="Rectangle: Rounded Corners 58">
            <a:hlinkClick xmlns:r="http://schemas.openxmlformats.org/officeDocument/2006/relationships" r:id="rId14"/>
            <a:extLst>
              <a:ext uri="{FF2B5EF4-FFF2-40B4-BE49-F238E27FC236}">
                <a16:creationId xmlns:a16="http://schemas.microsoft.com/office/drawing/2014/main" id="{153CA241-5D9F-99F6-BED6-32253F4A117A}"/>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60" name="Rectangle: Rounded Corners 59">
            <a:hlinkClick xmlns:r="http://schemas.openxmlformats.org/officeDocument/2006/relationships" r:id="rId15"/>
            <a:extLst>
              <a:ext uri="{FF2B5EF4-FFF2-40B4-BE49-F238E27FC236}">
                <a16:creationId xmlns:a16="http://schemas.microsoft.com/office/drawing/2014/main" id="{988E795E-2F20-4E26-6502-0C70300280F4}"/>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100" b="0" i="0" u="none" strike="noStrike" baseline="0">
                <a:solidFill>
                  <a:srgbClr val="002774"/>
                </a:solidFill>
                <a:latin typeface="Arial"/>
                <a:cs typeface="Arial"/>
              </a:rPr>
              <a:t>in Education, Employment and Training</a:t>
            </a:r>
          </a:p>
        </xdr:txBody>
      </xdr:sp>
      <xdr:sp macro="" textlink="">
        <xdr:nvSpPr>
          <xdr:cNvPr id="61" name="Rectangle: Rounded Corners 60">
            <a:hlinkClick xmlns:r="http://schemas.openxmlformats.org/officeDocument/2006/relationships" r:id="rId16"/>
            <a:extLst>
              <a:ext uri="{FF2B5EF4-FFF2-40B4-BE49-F238E27FC236}">
                <a16:creationId xmlns:a16="http://schemas.microsoft.com/office/drawing/2014/main" id="{8CBBC737-EF97-8C47-74CE-0ACCBE7A4037}"/>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62" name="Rectangle: Rounded Corners 61">
            <a:hlinkClick xmlns:r="http://schemas.openxmlformats.org/officeDocument/2006/relationships" r:id="rId17"/>
            <a:extLst>
              <a:ext uri="{FF2B5EF4-FFF2-40B4-BE49-F238E27FC236}">
                <a16:creationId xmlns:a16="http://schemas.microsoft.com/office/drawing/2014/main" id="{36168E02-3AF5-E6F3-0606-AEE274F9B002}"/>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63" name="Rectangle: Rounded Corners 62">
            <a:hlinkClick xmlns:r="http://schemas.openxmlformats.org/officeDocument/2006/relationships" r:id="rId18"/>
            <a:extLst>
              <a:ext uri="{FF2B5EF4-FFF2-40B4-BE49-F238E27FC236}">
                <a16:creationId xmlns:a16="http://schemas.microsoft.com/office/drawing/2014/main" id="{C4CB8095-41F4-D88A-A70A-2E756B806DF6}"/>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64" name="Rectangle: Rounded Corners 63">
            <a:hlinkClick xmlns:r="http://schemas.openxmlformats.org/officeDocument/2006/relationships" r:id="rId19"/>
            <a:extLst>
              <a:ext uri="{FF2B5EF4-FFF2-40B4-BE49-F238E27FC236}">
                <a16:creationId xmlns:a16="http://schemas.microsoft.com/office/drawing/2014/main" id="{9EE6FF1F-0209-B6E9-BAB7-84E729D75C23}"/>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65" name="Rectangle: Rounded Corners 64">
            <a:hlinkClick xmlns:r="http://schemas.openxmlformats.org/officeDocument/2006/relationships" r:id="rId20"/>
            <a:extLst>
              <a:ext uri="{FF2B5EF4-FFF2-40B4-BE49-F238E27FC236}">
                <a16:creationId xmlns:a16="http://schemas.microsoft.com/office/drawing/2014/main" id="{CFC4FFC7-0D8A-8A23-A96C-C6D7A4B4A7D2}"/>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to Court</a:t>
            </a:r>
          </a:p>
        </xdr:txBody>
      </xdr:sp>
      <xdr:sp macro="" textlink="">
        <xdr:nvSpPr>
          <xdr:cNvPr id="66" name="Rectangle: Rounded Corners 65">
            <a:hlinkClick xmlns:r="http://schemas.openxmlformats.org/officeDocument/2006/relationships" r:id="rId21"/>
            <a:extLst>
              <a:ext uri="{FF2B5EF4-FFF2-40B4-BE49-F238E27FC236}">
                <a16:creationId xmlns:a16="http://schemas.microsoft.com/office/drawing/2014/main" id="{54F78247-CCAD-447A-EFA3-479857D45EB0}"/>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Adoption</a:t>
            </a:r>
          </a:p>
        </xdr:txBody>
      </xdr:sp>
      <xdr:sp macro="" textlink="">
        <xdr:nvSpPr>
          <xdr:cNvPr id="67" name="TextBox 66">
            <a:extLst>
              <a:ext uri="{FF2B5EF4-FFF2-40B4-BE49-F238E27FC236}">
                <a16:creationId xmlns:a16="http://schemas.microsoft.com/office/drawing/2014/main" id="{2B3562A0-DA06-3B3C-929B-4B6A19FBE70F}"/>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142875</xdr:colOff>
      <xdr:row>0</xdr:row>
      <xdr:rowOff>85725</xdr:rowOff>
    </xdr:from>
    <xdr:to>
      <xdr:col>23</xdr:col>
      <xdr:colOff>93075</xdr:colOff>
      <xdr:row>2</xdr:row>
      <xdr:rowOff>120900</xdr:rowOff>
    </xdr:to>
    <xdr:sp macro="" textlink="">
      <xdr:nvSpPr>
        <xdr:cNvPr id="6" name="AutoShape 32">
          <a:extLst>
            <a:ext uri="{FF2B5EF4-FFF2-40B4-BE49-F238E27FC236}">
              <a16:creationId xmlns:a16="http://schemas.microsoft.com/office/drawing/2014/main" id="{00000000-0008-0000-0A00-000006000000}"/>
            </a:ext>
          </a:extLst>
        </xdr:cNvPr>
        <xdr:cNvSpPr>
          <a:spLocks noChangeArrowheads="1"/>
        </xdr:cNvSpPr>
      </xdr:nvSpPr>
      <xdr:spPr bwMode="auto">
        <a:xfrm>
          <a:off x="6943725"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editAs="oneCell">
    <xdr:from>
      <xdr:col>1</xdr:col>
      <xdr:colOff>0</xdr:colOff>
      <xdr:row>32</xdr:row>
      <xdr:rowOff>0</xdr:rowOff>
    </xdr:from>
    <xdr:to>
      <xdr:col>21</xdr:col>
      <xdr:colOff>190500</xdr:colOff>
      <xdr:row>67</xdr:row>
      <xdr:rowOff>47625</xdr:rowOff>
    </xdr:to>
    <xdr:grpSp>
      <xdr:nvGrpSpPr>
        <xdr:cNvPr id="4" name="Group 3">
          <a:extLst>
            <a:ext uri="{FF2B5EF4-FFF2-40B4-BE49-F238E27FC236}">
              <a16:creationId xmlns:a16="http://schemas.microsoft.com/office/drawing/2014/main" id="{4D8110B1-A790-49EE-B531-C470E94B8761}"/>
            </a:ext>
          </a:extLst>
        </xdr:cNvPr>
        <xdr:cNvGrpSpPr/>
      </xdr:nvGrpSpPr>
      <xdr:grpSpPr>
        <a:xfrm>
          <a:off x="150876" y="6675120"/>
          <a:ext cx="8953500" cy="4899660"/>
          <a:chOff x="95250" y="95250"/>
          <a:chExt cx="7534275" cy="5048250"/>
        </a:xfrm>
      </xdr:grpSpPr>
      <xdr:sp macro="" textlink="">
        <xdr:nvSpPr>
          <xdr:cNvPr id="5" name="Rectangle 4">
            <a:extLst>
              <a:ext uri="{FF2B5EF4-FFF2-40B4-BE49-F238E27FC236}">
                <a16:creationId xmlns:a16="http://schemas.microsoft.com/office/drawing/2014/main" id="{48586EAA-5F17-91EB-2E89-04C8F359F6FD}"/>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7" name="Rectangle: Rounded Corners 6">
            <a:hlinkClick xmlns:r="http://schemas.openxmlformats.org/officeDocument/2006/relationships" r:id="rId1"/>
            <a:extLst>
              <a:ext uri="{FF2B5EF4-FFF2-40B4-BE49-F238E27FC236}">
                <a16:creationId xmlns:a16="http://schemas.microsoft.com/office/drawing/2014/main" id="{4A0B8984-585C-35F0-E0DE-A17C4F1BDB50}"/>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7293A721-261E-E25C-1A43-0EA1C0BA15E0}"/>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10" name="Rectangle: Rounded Corners 9">
            <a:hlinkClick xmlns:r="http://schemas.openxmlformats.org/officeDocument/2006/relationships" r:id="rId3"/>
            <a:extLst>
              <a:ext uri="{FF2B5EF4-FFF2-40B4-BE49-F238E27FC236}">
                <a16:creationId xmlns:a16="http://schemas.microsoft.com/office/drawing/2014/main" id="{91F1518C-7374-D0DD-78DA-92CE84236C47}"/>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11" name="Rectangle: Rounded Corners 10">
            <a:hlinkClick xmlns:r="http://schemas.openxmlformats.org/officeDocument/2006/relationships" r:id="rId4"/>
            <a:extLst>
              <a:ext uri="{FF2B5EF4-FFF2-40B4-BE49-F238E27FC236}">
                <a16:creationId xmlns:a16="http://schemas.microsoft.com/office/drawing/2014/main" id="{EEA90E6E-A26A-DC62-C478-B5AF2DFE90BD}"/>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12" name="Rectangle: Rounded Corners 11">
            <a:hlinkClick xmlns:r="http://schemas.openxmlformats.org/officeDocument/2006/relationships" r:id="rId5"/>
            <a:extLst>
              <a:ext uri="{FF2B5EF4-FFF2-40B4-BE49-F238E27FC236}">
                <a16:creationId xmlns:a16="http://schemas.microsoft.com/office/drawing/2014/main" id="{E8D5786F-3A94-DF23-6CBD-3D3AA8C631A0}"/>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13" name="Rectangle: Rounded Corners 12">
            <a:hlinkClick xmlns:r="http://schemas.openxmlformats.org/officeDocument/2006/relationships" r:id="rId6"/>
            <a:extLst>
              <a:ext uri="{FF2B5EF4-FFF2-40B4-BE49-F238E27FC236}">
                <a16:creationId xmlns:a16="http://schemas.microsoft.com/office/drawing/2014/main" id="{AD48C755-EC18-2A1C-B8CA-2D163F4DAB55}"/>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14" name="Rectangle: Rounded Corners 13">
            <a:hlinkClick xmlns:r="http://schemas.openxmlformats.org/officeDocument/2006/relationships" r:id="rId7"/>
            <a:extLst>
              <a:ext uri="{FF2B5EF4-FFF2-40B4-BE49-F238E27FC236}">
                <a16:creationId xmlns:a16="http://schemas.microsoft.com/office/drawing/2014/main" id="{7F2E4179-616B-5CEB-1BF8-3A210D61D5D7}"/>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15" name="Rectangle: Rounded Corners 14">
            <a:hlinkClick xmlns:r="http://schemas.openxmlformats.org/officeDocument/2006/relationships" r:id="rId8"/>
            <a:extLst>
              <a:ext uri="{FF2B5EF4-FFF2-40B4-BE49-F238E27FC236}">
                <a16:creationId xmlns:a16="http://schemas.microsoft.com/office/drawing/2014/main" id="{4476AAC8-33FF-CBDD-8E08-E9CEEE37CC59}"/>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16" name="Rectangle: Rounded Corners 15">
            <a:hlinkClick xmlns:r="http://schemas.openxmlformats.org/officeDocument/2006/relationships" r:id="rId9"/>
            <a:extLst>
              <a:ext uri="{FF2B5EF4-FFF2-40B4-BE49-F238E27FC236}">
                <a16:creationId xmlns:a16="http://schemas.microsoft.com/office/drawing/2014/main" id="{1CB7EEB0-8486-AE17-F3F4-8DB12EF3F090}"/>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17" name="Group 16">
            <a:hlinkClick xmlns:r="http://schemas.openxmlformats.org/officeDocument/2006/relationships" r:id="rId10"/>
            <a:extLst>
              <a:ext uri="{FF2B5EF4-FFF2-40B4-BE49-F238E27FC236}">
                <a16:creationId xmlns:a16="http://schemas.microsoft.com/office/drawing/2014/main" id="{87EF571A-030C-B0E0-B42E-964A39207775}"/>
              </a:ext>
            </a:extLst>
          </xdr:cNvPr>
          <xdr:cNvGrpSpPr/>
        </xdr:nvGrpSpPr>
        <xdr:grpSpPr>
          <a:xfrm>
            <a:off x="190500" y="723900"/>
            <a:ext cx="1695450" cy="723900"/>
            <a:chOff x="190500" y="180975"/>
            <a:chExt cx="1800225" cy="723900"/>
          </a:xfrm>
        </xdr:grpSpPr>
        <xdr:sp macro="" textlink="">
          <xdr:nvSpPr>
            <xdr:cNvPr id="29" name="Rectangle: Rounded Corners 28">
              <a:hlinkClick xmlns:r="http://schemas.openxmlformats.org/officeDocument/2006/relationships" r:id="rId10"/>
              <a:extLst>
                <a:ext uri="{FF2B5EF4-FFF2-40B4-BE49-F238E27FC236}">
                  <a16:creationId xmlns:a16="http://schemas.microsoft.com/office/drawing/2014/main" id="{7C8D602F-40ED-F0EF-D8FC-31B8A5EE3643}"/>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30" name="Picture 29">
              <a:extLst>
                <a:ext uri="{FF2B5EF4-FFF2-40B4-BE49-F238E27FC236}">
                  <a16:creationId xmlns:a16="http://schemas.microsoft.com/office/drawing/2014/main" id="{4091A8E0-C6FE-5D93-6867-B05C23C3B6D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18" name="Rectangle: Rounded Corners 17">
            <a:hlinkClick xmlns:r="http://schemas.openxmlformats.org/officeDocument/2006/relationships" r:id="rId12"/>
            <a:extLst>
              <a:ext uri="{FF2B5EF4-FFF2-40B4-BE49-F238E27FC236}">
                <a16:creationId xmlns:a16="http://schemas.microsoft.com/office/drawing/2014/main" id="{2E7F30DD-1D3B-4464-0228-A4242BBE5755}"/>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19" name="Rectangle: Rounded Corners 18">
            <a:hlinkClick xmlns:r="http://schemas.openxmlformats.org/officeDocument/2006/relationships" r:id="rId13"/>
            <a:extLst>
              <a:ext uri="{FF2B5EF4-FFF2-40B4-BE49-F238E27FC236}">
                <a16:creationId xmlns:a16="http://schemas.microsoft.com/office/drawing/2014/main" id="{461AD137-B573-60D5-8B33-DA0BC4F49FB7}"/>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20" name="Rectangle: Rounded Corners 19">
            <a:hlinkClick xmlns:r="http://schemas.openxmlformats.org/officeDocument/2006/relationships" r:id="rId14"/>
            <a:extLst>
              <a:ext uri="{FF2B5EF4-FFF2-40B4-BE49-F238E27FC236}">
                <a16:creationId xmlns:a16="http://schemas.microsoft.com/office/drawing/2014/main" id="{7C22CF25-B072-4FC5-5080-9A95B6B52521}"/>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21" name="Rectangle: Rounded Corners 20">
            <a:hlinkClick xmlns:r="http://schemas.openxmlformats.org/officeDocument/2006/relationships" r:id="rId15"/>
            <a:extLst>
              <a:ext uri="{FF2B5EF4-FFF2-40B4-BE49-F238E27FC236}">
                <a16:creationId xmlns:a16="http://schemas.microsoft.com/office/drawing/2014/main" id="{790A2BE8-F22E-B4AB-51BF-38A1CC7D2481}"/>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22" name="Rectangle: Rounded Corners 21">
            <a:hlinkClick xmlns:r="http://schemas.openxmlformats.org/officeDocument/2006/relationships" r:id="rId16"/>
            <a:extLst>
              <a:ext uri="{FF2B5EF4-FFF2-40B4-BE49-F238E27FC236}">
                <a16:creationId xmlns:a16="http://schemas.microsoft.com/office/drawing/2014/main" id="{64DA7BB0-643D-A771-1714-4A83588BB29C}"/>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23" name="Rectangle: Rounded Corners 22">
            <a:hlinkClick xmlns:r="http://schemas.openxmlformats.org/officeDocument/2006/relationships" r:id="rId17"/>
            <a:extLst>
              <a:ext uri="{FF2B5EF4-FFF2-40B4-BE49-F238E27FC236}">
                <a16:creationId xmlns:a16="http://schemas.microsoft.com/office/drawing/2014/main" id="{0D941B12-0600-FA7B-B2A7-E1FD3D5F076C}"/>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24" name="Rectangle: Rounded Corners 23">
            <a:hlinkClick xmlns:r="http://schemas.openxmlformats.org/officeDocument/2006/relationships" r:id="rId18"/>
            <a:extLst>
              <a:ext uri="{FF2B5EF4-FFF2-40B4-BE49-F238E27FC236}">
                <a16:creationId xmlns:a16="http://schemas.microsoft.com/office/drawing/2014/main" id="{41B7B829-683A-4A57-4AE9-6D5845116D44}"/>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25" name="Rectangle: Rounded Corners 24">
            <a:hlinkClick xmlns:r="http://schemas.openxmlformats.org/officeDocument/2006/relationships" r:id="rId19"/>
            <a:extLst>
              <a:ext uri="{FF2B5EF4-FFF2-40B4-BE49-F238E27FC236}">
                <a16:creationId xmlns:a16="http://schemas.microsoft.com/office/drawing/2014/main" id="{AA4895F7-6B4B-383B-7BBC-85BF4E65028D}"/>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26" name="Rectangle: Rounded Corners 25">
            <a:hlinkClick xmlns:r="http://schemas.openxmlformats.org/officeDocument/2006/relationships" r:id="rId20"/>
            <a:extLst>
              <a:ext uri="{FF2B5EF4-FFF2-40B4-BE49-F238E27FC236}">
                <a16:creationId xmlns:a16="http://schemas.microsoft.com/office/drawing/2014/main" id="{05A6F762-5E93-E414-291C-E19464B742C6}"/>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27" name="Rectangle: Rounded Corners 26">
            <a:hlinkClick xmlns:r="http://schemas.openxmlformats.org/officeDocument/2006/relationships" r:id="rId21"/>
            <a:extLst>
              <a:ext uri="{FF2B5EF4-FFF2-40B4-BE49-F238E27FC236}">
                <a16:creationId xmlns:a16="http://schemas.microsoft.com/office/drawing/2014/main" id="{75AC6C00-14CD-0776-DFE6-D8EC091BDAEB}"/>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28" name="TextBox 27">
            <a:extLst>
              <a:ext uri="{FF2B5EF4-FFF2-40B4-BE49-F238E27FC236}">
                <a16:creationId xmlns:a16="http://schemas.microsoft.com/office/drawing/2014/main" id="{82D5D9BF-863F-AE99-F999-64045CAD2FE1}"/>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24</xdr:col>
      <xdr:colOff>19050</xdr:colOff>
      <xdr:row>0</xdr:row>
      <xdr:rowOff>0</xdr:rowOff>
    </xdr:from>
    <xdr:to>
      <xdr:col>24</xdr:col>
      <xdr:colOff>409575</xdr:colOff>
      <xdr:row>7</xdr:row>
      <xdr:rowOff>228600</xdr:rowOff>
    </xdr:to>
    <xdr:grpSp>
      <xdr:nvGrpSpPr>
        <xdr:cNvPr id="31" name="Group 30">
          <a:hlinkClick xmlns:r="http://schemas.openxmlformats.org/officeDocument/2006/relationships" r:id="rId10"/>
          <a:extLst>
            <a:ext uri="{FF2B5EF4-FFF2-40B4-BE49-F238E27FC236}">
              <a16:creationId xmlns:a16="http://schemas.microsoft.com/office/drawing/2014/main" id="{C89013A5-BD42-4A2D-AAEC-692356B838FE}"/>
            </a:ext>
          </a:extLst>
        </xdr:cNvPr>
        <xdr:cNvGrpSpPr/>
      </xdr:nvGrpSpPr>
      <xdr:grpSpPr>
        <a:xfrm>
          <a:off x="9686544" y="0"/>
          <a:ext cx="411480" cy="1685544"/>
          <a:chOff x="9210675" y="19050"/>
          <a:chExt cx="390525" cy="1743075"/>
        </a:xfrm>
      </xdr:grpSpPr>
      <xdr:pic>
        <xdr:nvPicPr>
          <xdr:cNvPr id="32" name="Graphic 31" descr="Map compass with solid fill">
            <a:hlinkClick xmlns:r="http://schemas.openxmlformats.org/officeDocument/2006/relationships" r:id="rId22"/>
            <a:extLst>
              <a:ext uri="{FF2B5EF4-FFF2-40B4-BE49-F238E27FC236}">
                <a16:creationId xmlns:a16="http://schemas.microsoft.com/office/drawing/2014/main" id="{39825FAE-95B4-E16A-0435-6ECD5E3026A3}"/>
              </a:ext>
            </a:extLst>
          </xdr:cNvPr>
          <xdr:cNvPicPr>
            <a:picLocks noChangeAspect="1"/>
          </xdr:cNvPicPr>
        </xdr:nvPicPr>
        <xdr:blipFill>
          <a:blip xmlns:r="http://schemas.openxmlformats.org/officeDocument/2006/relationships" r:embed="rId23">
            <a:duotone>
              <a:schemeClr val="accent6">
                <a:shade val="45000"/>
                <a:satMod val="135000"/>
              </a:schemeClr>
              <a:prstClr val="white"/>
            </a:duotone>
            <a:extLst>
              <a:ext uri="{96DAC541-7B7A-43D3-8B79-37D633B846F1}">
                <asvg:svgBlip xmlns:asvg="http://schemas.microsoft.com/office/drawing/2016/SVG/main" r:embed="rId24"/>
              </a:ext>
            </a:extLst>
          </a:blip>
          <a:stretch>
            <a:fillRect/>
          </a:stretch>
        </xdr:blipFill>
        <xdr:spPr>
          <a:xfrm>
            <a:off x="9229725" y="38099"/>
            <a:ext cx="369675" cy="369675"/>
          </a:xfrm>
          <a:prstGeom prst="rect">
            <a:avLst/>
          </a:prstGeom>
        </xdr:spPr>
      </xdr:pic>
      <xdr:sp macro="" textlink="">
        <xdr:nvSpPr>
          <xdr:cNvPr id="33" name="Right Arrow 50">
            <a:hlinkClick xmlns:r="http://schemas.openxmlformats.org/officeDocument/2006/relationships" r:id="rId3"/>
            <a:extLst>
              <a:ext uri="{FF2B5EF4-FFF2-40B4-BE49-F238E27FC236}">
                <a16:creationId xmlns:a16="http://schemas.microsoft.com/office/drawing/2014/main" id="{3431B4EC-06D1-BFEE-718F-DB372E5820A8}"/>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34" name="Right Arrow 50">
            <a:hlinkClick xmlns:r="http://schemas.openxmlformats.org/officeDocument/2006/relationships" r:id="rId4"/>
            <a:extLst>
              <a:ext uri="{FF2B5EF4-FFF2-40B4-BE49-F238E27FC236}">
                <a16:creationId xmlns:a16="http://schemas.microsoft.com/office/drawing/2014/main" id="{AF036B95-BA07-8390-F46E-67F4B7BBC7B6}"/>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35" name="Picture 34">
            <a:hlinkClick xmlns:r="http://schemas.openxmlformats.org/officeDocument/2006/relationships" r:id="rId10"/>
            <a:extLst>
              <a:ext uri="{FF2B5EF4-FFF2-40B4-BE49-F238E27FC236}">
                <a16:creationId xmlns:a16="http://schemas.microsoft.com/office/drawing/2014/main" id="{7494A570-2979-4D71-AA9C-99DF88278C4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36" name="Rectangle 35">
            <a:extLst>
              <a:ext uri="{FF2B5EF4-FFF2-40B4-BE49-F238E27FC236}">
                <a16:creationId xmlns:a16="http://schemas.microsoft.com/office/drawing/2014/main" id="{F43E2250-537A-C37F-EE6B-11A40FFDD9A3}"/>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24</xdr:col>
      <xdr:colOff>85724</xdr:colOff>
      <xdr:row>28</xdr:row>
      <xdr:rowOff>266700</xdr:rowOff>
    </xdr:from>
    <xdr:ext cx="252000" cy="288000"/>
    <xdr:sp macro="" textlink="">
      <xdr:nvSpPr>
        <xdr:cNvPr id="2" name="Down Arrow 44">
          <a:hlinkClick xmlns:r="http://schemas.openxmlformats.org/officeDocument/2006/relationships" r:id="rId25"/>
          <a:extLst>
            <a:ext uri="{FF2B5EF4-FFF2-40B4-BE49-F238E27FC236}">
              <a16:creationId xmlns:a16="http://schemas.microsoft.com/office/drawing/2014/main" id="{FF309415-660C-4D3D-951B-E042C4379458}"/>
            </a:ext>
          </a:extLst>
        </xdr:cNvPr>
        <xdr:cNvSpPr>
          <a:spLocks noChangeArrowheads="1"/>
        </xdr:cNvSpPr>
      </xdr:nvSpPr>
      <xdr:spPr bwMode="auto">
        <a:xfrm flipV="1">
          <a:off x="9286874" y="132016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7.xml><?xml version="1.0" encoding="utf-8"?>
<xdr:wsDr xmlns:xdr="http://schemas.openxmlformats.org/drawingml/2006/spreadsheetDrawing" xmlns:a="http://schemas.openxmlformats.org/drawingml/2006/main">
  <xdr:twoCellAnchor>
    <xdr:from>
      <xdr:col>6</xdr:col>
      <xdr:colOff>0</xdr:colOff>
      <xdr:row>7</xdr:row>
      <xdr:rowOff>1</xdr:rowOff>
    </xdr:from>
    <xdr:to>
      <xdr:col>16</xdr:col>
      <xdr:colOff>0</xdr:colOff>
      <xdr:row>29</xdr:row>
      <xdr:rowOff>0</xdr:rowOff>
    </xdr:to>
    <xdr:graphicFrame macro="">
      <xdr:nvGraphicFramePr>
        <xdr:cNvPr id="863362" name="Chart 4">
          <a:extLst>
            <a:ext uri="{FF2B5EF4-FFF2-40B4-BE49-F238E27FC236}">
              <a16:creationId xmlns:a16="http://schemas.microsoft.com/office/drawing/2014/main" id="{00000000-0008-0000-0B00-0000822C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142874</xdr:colOff>
      <xdr:row>0</xdr:row>
      <xdr:rowOff>85725</xdr:rowOff>
    </xdr:from>
    <xdr:to>
      <xdr:col>16</xdr:col>
      <xdr:colOff>64499</xdr:colOff>
      <xdr:row>2</xdr:row>
      <xdr:rowOff>149475</xdr:rowOff>
    </xdr:to>
    <xdr:sp macro="" textlink="">
      <xdr:nvSpPr>
        <xdr:cNvPr id="7" name="AutoShape 32">
          <a:extLst>
            <a:ext uri="{FF2B5EF4-FFF2-40B4-BE49-F238E27FC236}">
              <a16:creationId xmlns:a16="http://schemas.microsoft.com/office/drawing/2014/main" id="{00000000-0008-0000-0B00-000007000000}"/>
            </a:ext>
          </a:extLst>
        </xdr:cNvPr>
        <xdr:cNvSpPr>
          <a:spLocks noChangeArrowheads="1"/>
        </xdr:cNvSpPr>
      </xdr:nvSpPr>
      <xdr:spPr bwMode="auto">
        <a:xfrm>
          <a:off x="6953249"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editAs="oneCell">
    <xdr:from>
      <xdr:col>1</xdr:col>
      <xdr:colOff>0</xdr:colOff>
      <xdr:row>59</xdr:row>
      <xdr:rowOff>0</xdr:rowOff>
    </xdr:from>
    <xdr:to>
      <xdr:col>15</xdr:col>
      <xdr:colOff>152400</xdr:colOff>
      <xdr:row>94</xdr:row>
      <xdr:rowOff>47625</xdr:rowOff>
    </xdr:to>
    <xdr:grpSp>
      <xdr:nvGrpSpPr>
        <xdr:cNvPr id="11" name="Group 10">
          <a:extLst>
            <a:ext uri="{FF2B5EF4-FFF2-40B4-BE49-F238E27FC236}">
              <a16:creationId xmlns:a16="http://schemas.microsoft.com/office/drawing/2014/main" id="{EC307D5B-2CB3-405C-B27F-FB0757548398}"/>
            </a:ext>
          </a:extLst>
        </xdr:cNvPr>
        <xdr:cNvGrpSpPr/>
      </xdr:nvGrpSpPr>
      <xdr:grpSpPr>
        <a:xfrm>
          <a:off x="150876" y="13216128"/>
          <a:ext cx="8945880" cy="4899660"/>
          <a:chOff x="95250" y="95250"/>
          <a:chExt cx="7534275" cy="5048250"/>
        </a:xfrm>
      </xdr:grpSpPr>
      <xdr:sp macro="" textlink="">
        <xdr:nvSpPr>
          <xdr:cNvPr id="12" name="Rectangle 11">
            <a:extLst>
              <a:ext uri="{FF2B5EF4-FFF2-40B4-BE49-F238E27FC236}">
                <a16:creationId xmlns:a16="http://schemas.microsoft.com/office/drawing/2014/main" id="{437FD7D4-2F6C-D539-E7C9-C58CD1B37B40}"/>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13" name="Rectangle: Rounded Corners 12">
            <a:hlinkClick xmlns:r="http://schemas.openxmlformats.org/officeDocument/2006/relationships" r:id="rId2"/>
            <a:extLst>
              <a:ext uri="{FF2B5EF4-FFF2-40B4-BE49-F238E27FC236}">
                <a16:creationId xmlns:a16="http://schemas.microsoft.com/office/drawing/2014/main" id="{23334625-A188-5023-0AFF-B43DC5615CAC}"/>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14" name="Rectangle: Rounded Corners 13">
            <a:hlinkClick xmlns:r="http://schemas.openxmlformats.org/officeDocument/2006/relationships" r:id="rId3"/>
            <a:extLst>
              <a:ext uri="{FF2B5EF4-FFF2-40B4-BE49-F238E27FC236}">
                <a16:creationId xmlns:a16="http://schemas.microsoft.com/office/drawing/2014/main" id="{28044835-B7B2-86BE-2CD9-BD6B0F1C27FB}"/>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15" name="Rectangle: Rounded Corners 14">
            <a:hlinkClick xmlns:r="http://schemas.openxmlformats.org/officeDocument/2006/relationships" r:id="rId4"/>
            <a:extLst>
              <a:ext uri="{FF2B5EF4-FFF2-40B4-BE49-F238E27FC236}">
                <a16:creationId xmlns:a16="http://schemas.microsoft.com/office/drawing/2014/main" id="{DFC575ED-D88D-A2DC-5E6C-EEFF97B0D02C}"/>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16" name="Rectangle: Rounded Corners 15">
            <a:hlinkClick xmlns:r="http://schemas.openxmlformats.org/officeDocument/2006/relationships" r:id="rId5"/>
            <a:extLst>
              <a:ext uri="{FF2B5EF4-FFF2-40B4-BE49-F238E27FC236}">
                <a16:creationId xmlns:a16="http://schemas.microsoft.com/office/drawing/2014/main" id="{7BC97D46-7E36-6A36-B703-F740EAC2E8F5}"/>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17" name="Rectangle: Rounded Corners 16">
            <a:hlinkClick xmlns:r="http://schemas.openxmlformats.org/officeDocument/2006/relationships" r:id="rId6"/>
            <a:extLst>
              <a:ext uri="{FF2B5EF4-FFF2-40B4-BE49-F238E27FC236}">
                <a16:creationId xmlns:a16="http://schemas.microsoft.com/office/drawing/2014/main" id="{B1DC8B67-4C9B-50C9-DA40-8CA5A7F3FEBE}"/>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18" name="Rectangle: Rounded Corners 17">
            <a:hlinkClick xmlns:r="http://schemas.openxmlformats.org/officeDocument/2006/relationships" r:id="rId7"/>
            <a:extLst>
              <a:ext uri="{FF2B5EF4-FFF2-40B4-BE49-F238E27FC236}">
                <a16:creationId xmlns:a16="http://schemas.microsoft.com/office/drawing/2014/main" id="{7FC61252-DA96-66F3-F4D3-1774848EDA6C}"/>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19" name="Rectangle: Rounded Corners 18">
            <a:hlinkClick xmlns:r="http://schemas.openxmlformats.org/officeDocument/2006/relationships" r:id="rId8"/>
            <a:extLst>
              <a:ext uri="{FF2B5EF4-FFF2-40B4-BE49-F238E27FC236}">
                <a16:creationId xmlns:a16="http://schemas.microsoft.com/office/drawing/2014/main" id="{0753FAFC-4267-FA6F-3644-BA5B7C7B7E82}"/>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20" name="Rectangle: Rounded Corners 19">
            <a:hlinkClick xmlns:r="http://schemas.openxmlformats.org/officeDocument/2006/relationships" r:id="rId9"/>
            <a:extLst>
              <a:ext uri="{FF2B5EF4-FFF2-40B4-BE49-F238E27FC236}">
                <a16:creationId xmlns:a16="http://schemas.microsoft.com/office/drawing/2014/main" id="{D38E25BB-8B5F-481A-2D03-103B297B8660}"/>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21" name="Rectangle: Rounded Corners 20">
            <a:hlinkClick xmlns:r="http://schemas.openxmlformats.org/officeDocument/2006/relationships" r:id="rId10"/>
            <a:extLst>
              <a:ext uri="{FF2B5EF4-FFF2-40B4-BE49-F238E27FC236}">
                <a16:creationId xmlns:a16="http://schemas.microsoft.com/office/drawing/2014/main" id="{8DAD7110-2B5F-B946-D345-7E3DB9BB1E9D}"/>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22" name="Group 21">
            <a:hlinkClick xmlns:r="http://schemas.openxmlformats.org/officeDocument/2006/relationships" r:id="rId11"/>
            <a:extLst>
              <a:ext uri="{FF2B5EF4-FFF2-40B4-BE49-F238E27FC236}">
                <a16:creationId xmlns:a16="http://schemas.microsoft.com/office/drawing/2014/main" id="{21A12A54-732D-4DC6-CBB9-AF78B4BC3716}"/>
              </a:ext>
            </a:extLst>
          </xdr:cNvPr>
          <xdr:cNvGrpSpPr/>
        </xdr:nvGrpSpPr>
        <xdr:grpSpPr>
          <a:xfrm>
            <a:off x="190500" y="723900"/>
            <a:ext cx="1695450" cy="723900"/>
            <a:chOff x="190500" y="180975"/>
            <a:chExt cx="1800225" cy="723900"/>
          </a:xfrm>
        </xdr:grpSpPr>
        <xdr:sp macro="" textlink="">
          <xdr:nvSpPr>
            <xdr:cNvPr id="34" name="Rectangle: Rounded Corners 33">
              <a:hlinkClick xmlns:r="http://schemas.openxmlformats.org/officeDocument/2006/relationships" r:id="rId11"/>
              <a:extLst>
                <a:ext uri="{FF2B5EF4-FFF2-40B4-BE49-F238E27FC236}">
                  <a16:creationId xmlns:a16="http://schemas.microsoft.com/office/drawing/2014/main" id="{BE1FB0FC-1C07-F258-F1B2-E13CCA2736DD}"/>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35" name="Picture 34">
              <a:extLst>
                <a:ext uri="{FF2B5EF4-FFF2-40B4-BE49-F238E27FC236}">
                  <a16:creationId xmlns:a16="http://schemas.microsoft.com/office/drawing/2014/main" id="{A16C5B3B-11F2-90FD-8F59-DD0FA1896B5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23" name="Rectangle: Rounded Corners 22">
            <a:hlinkClick xmlns:r="http://schemas.openxmlformats.org/officeDocument/2006/relationships" r:id="rId13"/>
            <a:extLst>
              <a:ext uri="{FF2B5EF4-FFF2-40B4-BE49-F238E27FC236}">
                <a16:creationId xmlns:a16="http://schemas.microsoft.com/office/drawing/2014/main" id="{7322993C-A4DC-212F-A213-AD90458A321E}"/>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24" name="Rectangle: Rounded Corners 23">
            <a:hlinkClick xmlns:r="http://schemas.openxmlformats.org/officeDocument/2006/relationships" r:id="rId14"/>
            <a:extLst>
              <a:ext uri="{FF2B5EF4-FFF2-40B4-BE49-F238E27FC236}">
                <a16:creationId xmlns:a16="http://schemas.microsoft.com/office/drawing/2014/main" id="{ABD82DF3-2EA4-06F8-6264-2330A30BBC66}"/>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25" name="Rectangle: Rounded Corners 24">
            <a:hlinkClick xmlns:r="http://schemas.openxmlformats.org/officeDocument/2006/relationships" r:id="rId15"/>
            <a:extLst>
              <a:ext uri="{FF2B5EF4-FFF2-40B4-BE49-F238E27FC236}">
                <a16:creationId xmlns:a16="http://schemas.microsoft.com/office/drawing/2014/main" id="{AE123776-5DC0-7BE3-19B9-A828CF1CAF03}"/>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26" name="Rectangle: Rounded Corners 25">
            <a:hlinkClick xmlns:r="http://schemas.openxmlformats.org/officeDocument/2006/relationships" r:id="rId16"/>
            <a:extLst>
              <a:ext uri="{FF2B5EF4-FFF2-40B4-BE49-F238E27FC236}">
                <a16:creationId xmlns:a16="http://schemas.microsoft.com/office/drawing/2014/main" id="{B15CA7AF-33D9-9935-3998-22FC83E0E8F5}"/>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27" name="Rectangle: Rounded Corners 26">
            <a:hlinkClick xmlns:r="http://schemas.openxmlformats.org/officeDocument/2006/relationships" r:id="rId17"/>
            <a:extLst>
              <a:ext uri="{FF2B5EF4-FFF2-40B4-BE49-F238E27FC236}">
                <a16:creationId xmlns:a16="http://schemas.microsoft.com/office/drawing/2014/main" id="{78574EBE-5817-5894-6CC7-FB5027C81B5C}"/>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28" name="Rectangle: Rounded Corners 27">
            <a:hlinkClick xmlns:r="http://schemas.openxmlformats.org/officeDocument/2006/relationships" r:id="rId18"/>
            <a:extLst>
              <a:ext uri="{FF2B5EF4-FFF2-40B4-BE49-F238E27FC236}">
                <a16:creationId xmlns:a16="http://schemas.microsoft.com/office/drawing/2014/main" id="{560EC9E5-99A8-AB21-BF18-60E5325BAE8A}"/>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29" name="Rectangle: Rounded Corners 28">
            <a:hlinkClick xmlns:r="http://schemas.openxmlformats.org/officeDocument/2006/relationships" r:id="rId19"/>
            <a:extLst>
              <a:ext uri="{FF2B5EF4-FFF2-40B4-BE49-F238E27FC236}">
                <a16:creationId xmlns:a16="http://schemas.microsoft.com/office/drawing/2014/main" id="{E85C6160-CFDB-6648-72A4-47CE17DCB308}"/>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30" name="Rectangle: Rounded Corners 29">
            <a:hlinkClick xmlns:r="http://schemas.openxmlformats.org/officeDocument/2006/relationships" r:id="rId20"/>
            <a:extLst>
              <a:ext uri="{FF2B5EF4-FFF2-40B4-BE49-F238E27FC236}">
                <a16:creationId xmlns:a16="http://schemas.microsoft.com/office/drawing/2014/main" id="{1E64CC68-4F52-7435-36D3-FA233E3A9844}"/>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31" name="Rectangle: Rounded Corners 30">
            <a:hlinkClick xmlns:r="http://schemas.openxmlformats.org/officeDocument/2006/relationships" r:id="rId21"/>
            <a:extLst>
              <a:ext uri="{FF2B5EF4-FFF2-40B4-BE49-F238E27FC236}">
                <a16:creationId xmlns:a16="http://schemas.microsoft.com/office/drawing/2014/main" id="{FC57D1FD-08E8-30B2-F58F-14AFF3124E13}"/>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32" name="Rectangle: Rounded Corners 31">
            <a:hlinkClick xmlns:r="http://schemas.openxmlformats.org/officeDocument/2006/relationships" r:id="rId22"/>
            <a:extLst>
              <a:ext uri="{FF2B5EF4-FFF2-40B4-BE49-F238E27FC236}">
                <a16:creationId xmlns:a16="http://schemas.microsoft.com/office/drawing/2014/main" id="{25922F11-6E61-77B2-7FB9-D864CAB4EC33}"/>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33" name="TextBox 32">
            <a:extLst>
              <a:ext uri="{FF2B5EF4-FFF2-40B4-BE49-F238E27FC236}">
                <a16:creationId xmlns:a16="http://schemas.microsoft.com/office/drawing/2014/main" id="{E54ABD65-E3D9-D747-0FF0-0798FDF2EBFD}"/>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17</xdr:col>
      <xdr:colOff>9525</xdr:colOff>
      <xdr:row>0</xdr:row>
      <xdr:rowOff>0</xdr:rowOff>
    </xdr:from>
    <xdr:to>
      <xdr:col>17</xdr:col>
      <xdr:colOff>400050</xdr:colOff>
      <xdr:row>5</xdr:row>
      <xdr:rowOff>647700</xdr:rowOff>
    </xdr:to>
    <xdr:grpSp>
      <xdr:nvGrpSpPr>
        <xdr:cNvPr id="42" name="Group 41">
          <a:hlinkClick xmlns:r="http://schemas.openxmlformats.org/officeDocument/2006/relationships" r:id="rId11"/>
          <a:extLst>
            <a:ext uri="{FF2B5EF4-FFF2-40B4-BE49-F238E27FC236}">
              <a16:creationId xmlns:a16="http://schemas.microsoft.com/office/drawing/2014/main" id="{C3F7280A-F36E-4BAD-AE47-7AFD716F42BC}"/>
            </a:ext>
          </a:extLst>
        </xdr:cNvPr>
        <xdr:cNvGrpSpPr/>
      </xdr:nvGrpSpPr>
      <xdr:grpSpPr>
        <a:xfrm>
          <a:off x="9678924" y="0"/>
          <a:ext cx="409956" cy="1687068"/>
          <a:chOff x="9210675" y="19050"/>
          <a:chExt cx="390525" cy="1743075"/>
        </a:xfrm>
      </xdr:grpSpPr>
      <xdr:pic>
        <xdr:nvPicPr>
          <xdr:cNvPr id="43" name="Graphic 42" descr="Map compass with solid fill">
            <a:hlinkClick xmlns:r="http://schemas.openxmlformats.org/officeDocument/2006/relationships" r:id="rId23"/>
            <a:extLst>
              <a:ext uri="{FF2B5EF4-FFF2-40B4-BE49-F238E27FC236}">
                <a16:creationId xmlns:a16="http://schemas.microsoft.com/office/drawing/2014/main" id="{37A522D2-77EA-CB97-960F-54CAD459F482}"/>
              </a:ext>
            </a:extLst>
          </xdr:cNvPr>
          <xdr:cNvPicPr>
            <a:picLocks noChangeAspect="1"/>
          </xdr:cNvPicPr>
        </xdr:nvPicPr>
        <xdr:blipFill>
          <a:blip xmlns:r="http://schemas.openxmlformats.org/officeDocument/2006/relationships" r:embed="rId24">
            <a:duotone>
              <a:schemeClr val="accent6">
                <a:shade val="45000"/>
                <a:satMod val="135000"/>
              </a:schemeClr>
              <a:prstClr val="white"/>
            </a:duotone>
            <a:extLst>
              <a:ext uri="{96DAC541-7B7A-43D3-8B79-37D633B846F1}">
                <asvg:svgBlip xmlns:asvg="http://schemas.microsoft.com/office/drawing/2016/SVG/main" r:embed="rId25"/>
              </a:ext>
            </a:extLst>
          </a:blip>
          <a:stretch>
            <a:fillRect/>
          </a:stretch>
        </xdr:blipFill>
        <xdr:spPr>
          <a:xfrm>
            <a:off x="9229725" y="38099"/>
            <a:ext cx="369675" cy="369675"/>
          </a:xfrm>
          <a:prstGeom prst="rect">
            <a:avLst/>
          </a:prstGeom>
        </xdr:spPr>
      </xdr:pic>
      <xdr:sp macro="" textlink="">
        <xdr:nvSpPr>
          <xdr:cNvPr id="44" name="Right Arrow 50">
            <a:hlinkClick xmlns:r="http://schemas.openxmlformats.org/officeDocument/2006/relationships" r:id="rId26"/>
            <a:extLst>
              <a:ext uri="{FF2B5EF4-FFF2-40B4-BE49-F238E27FC236}">
                <a16:creationId xmlns:a16="http://schemas.microsoft.com/office/drawing/2014/main" id="{8E382D87-8570-1A56-3F7A-0CEF20CA3559}"/>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45" name="Right Arrow 50">
            <a:hlinkClick xmlns:r="http://schemas.openxmlformats.org/officeDocument/2006/relationships" r:id="rId6"/>
            <a:extLst>
              <a:ext uri="{FF2B5EF4-FFF2-40B4-BE49-F238E27FC236}">
                <a16:creationId xmlns:a16="http://schemas.microsoft.com/office/drawing/2014/main" id="{70B14784-7F9D-75D4-2EBE-F6FE498DB221}"/>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46" name="Picture 45">
            <a:hlinkClick xmlns:r="http://schemas.openxmlformats.org/officeDocument/2006/relationships" r:id="rId11"/>
            <a:extLst>
              <a:ext uri="{FF2B5EF4-FFF2-40B4-BE49-F238E27FC236}">
                <a16:creationId xmlns:a16="http://schemas.microsoft.com/office/drawing/2014/main" id="{EAE85564-3616-E6A2-EFED-48970B01B8E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47" name="Rectangle 46">
            <a:extLst>
              <a:ext uri="{FF2B5EF4-FFF2-40B4-BE49-F238E27FC236}">
                <a16:creationId xmlns:a16="http://schemas.microsoft.com/office/drawing/2014/main" id="{57EE65DA-4510-C6E0-00B1-B35A4FEFD88B}"/>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twoCellAnchor>
    <xdr:from>
      <xdr:col>1</xdr:col>
      <xdr:colOff>151337</xdr:colOff>
      <xdr:row>41</xdr:row>
      <xdr:rowOff>2245</xdr:rowOff>
    </xdr:from>
    <xdr:to>
      <xdr:col>15</xdr:col>
      <xdr:colOff>133627</xdr:colOff>
      <xdr:row>54</xdr:row>
      <xdr:rowOff>774201</xdr:rowOff>
    </xdr:to>
    <xdr:grpSp>
      <xdr:nvGrpSpPr>
        <xdr:cNvPr id="8" name="Group 7">
          <a:extLst>
            <a:ext uri="{FF2B5EF4-FFF2-40B4-BE49-F238E27FC236}">
              <a16:creationId xmlns:a16="http://schemas.microsoft.com/office/drawing/2014/main" id="{D2F55D99-BDD2-75B2-A76F-8F4477C09878}"/>
            </a:ext>
          </a:extLst>
        </xdr:cNvPr>
        <xdr:cNvGrpSpPr/>
      </xdr:nvGrpSpPr>
      <xdr:grpSpPr>
        <a:xfrm>
          <a:off x="309833" y="9112717"/>
          <a:ext cx="8767388" cy="3027095"/>
          <a:chOff x="294212" y="9412945"/>
          <a:chExt cx="8335715" cy="3124631"/>
        </a:xfrm>
      </xdr:grpSpPr>
      <xdr:pic>
        <xdr:nvPicPr>
          <xdr:cNvPr id="2" name="Picture 1">
            <a:extLst>
              <a:ext uri="{FF2B5EF4-FFF2-40B4-BE49-F238E27FC236}">
                <a16:creationId xmlns:a16="http://schemas.microsoft.com/office/drawing/2014/main" id="{FA6C9EFF-FD3C-4A12-B043-4EE5A0FB11E1}"/>
              </a:ext>
            </a:extLst>
          </xdr:cNvPr>
          <xdr:cNvPicPr>
            <a:picLocks noChangeAspect="1"/>
          </xdr:cNvPicPr>
        </xdr:nvPicPr>
        <xdr:blipFill rotWithShape="1">
          <a:blip xmlns:r="http://schemas.openxmlformats.org/officeDocument/2006/relationships" r:embed="rId27"/>
          <a:srcRect l="75873" t="7433" r="362"/>
          <a:stretch/>
        </xdr:blipFill>
        <xdr:spPr>
          <a:xfrm>
            <a:off x="2752725" y="9477375"/>
            <a:ext cx="1116052" cy="2372083"/>
          </a:xfrm>
          <a:prstGeom prst="rect">
            <a:avLst/>
          </a:prstGeom>
          <a:ln>
            <a:solidFill>
              <a:schemeClr val="tx1">
                <a:lumMod val="75000"/>
                <a:lumOff val="25000"/>
              </a:schemeClr>
            </a:solidFill>
          </a:ln>
        </xdr:spPr>
      </xdr:pic>
      <xdr:pic>
        <xdr:nvPicPr>
          <xdr:cNvPr id="9" name="Picture 8">
            <a:extLst>
              <a:ext uri="{FF2B5EF4-FFF2-40B4-BE49-F238E27FC236}">
                <a16:creationId xmlns:a16="http://schemas.microsoft.com/office/drawing/2014/main" id="{BD933102-017E-77E5-10C6-72FB0BD455F0}"/>
              </a:ext>
            </a:extLst>
          </xdr:cNvPr>
          <xdr:cNvPicPr>
            <a:picLocks noChangeAspect="1"/>
          </xdr:cNvPicPr>
        </xdr:nvPicPr>
        <xdr:blipFill rotWithShape="1">
          <a:blip xmlns:r="http://schemas.openxmlformats.org/officeDocument/2006/relationships" r:embed="rId27"/>
          <a:srcRect t="7516" r="47449" b="1"/>
          <a:stretch/>
        </xdr:blipFill>
        <xdr:spPr>
          <a:xfrm>
            <a:off x="294212" y="9479605"/>
            <a:ext cx="2470782" cy="2369242"/>
          </a:xfrm>
          <a:prstGeom prst="rect">
            <a:avLst/>
          </a:prstGeom>
          <a:ln>
            <a:solidFill>
              <a:schemeClr val="tx1">
                <a:lumMod val="75000"/>
                <a:lumOff val="25000"/>
              </a:schemeClr>
            </a:solidFill>
          </a:ln>
        </xdr:spPr>
      </xdr:pic>
      <xdr:pic>
        <xdr:nvPicPr>
          <xdr:cNvPr id="10" name="Picture 9">
            <a:extLst>
              <a:ext uri="{FF2B5EF4-FFF2-40B4-BE49-F238E27FC236}">
                <a16:creationId xmlns:a16="http://schemas.microsoft.com/office/drawing/2014/main" id="{D47C5314-BF1D-5666-A07C-9F07A447495B}"/>
              </a:ext>
            </a:extLst>
          </xdr:cNvPr>
          <xdr:cNvPicPr>
            <a:picLocks noChangeAspect="1"/>
          </xdr:cNvPicPr>
        </xdr:nvPicPr>
        <xdr:blipFill>
          <a:blip xmlns:r="http://schemas.openxmlformats.org/officeDocument/2006/relationships" r:embed="rId28"/>
          <a:stretch>
            <a:fillRect/>
          </a:stretch>
        </xdr:blipFill>
        <xdr:spPr>
          <a:xfrm>
            <a:off x="3516922" y="10115548"/>
            <a:ext cx="2402366" cy="2351033"/>
          </a:xfrm>
          <a:prstGeom prst="rect">
            <a:avLst/>
          </a:prstGeom>
        </xdr:spPr>
      </xdr:pic>
      <xdr:pic>
        <xdr:nvPicPr>
          <xdr:cNvPr id="36" name="Picture 35">
            <a:extLst>
              <a:ext uri="{FF2B5EF4-FFF2-40B4-BE49-F238E27FC236}">
                <a16:creationId xmlns:a16="http://schemas.microsoft.com/office/drawing/2014/main" id="{7DBB5332-9F9C-B44A-DBE9-A1A0EE07FC43}"/>
              </a:ext>
            </a:extLst>
          </xdr:cNvPr>
          <xdr:cNvPicPr>
            <a:picLocks noChangeAspect="1"/>
          </xdr:cNvPicPr>
        </xdr:nvPicPr>
        <xdr:blipFill>
          <a:blip xmlns:r="http://schemas.openxmlformats.org/officeDocument/2006/relationships" r:embed="rId29"/>
          <a:stretch>
            <a:fillRect/>
          </a:stretch>
        </xdr:blipFill>
        <xdr:spPr>
          <a:xfrm>
            <a:off x="6124131" y="9605076"/>
            <a:ext cx="2505796" cy="2347407"/>
          </a:xfrm>
          <a:prstGeom prst="rect">
            <a:avLst/>
          </a:prstGeom>
        </xdr:spPr>
      </xdr:pic>
      <xdr:sp macro="" textlink="">
        <xdr:nvSpPr>
          <xdr:cNvPr id="41" name="Arrow: Circular 40">
            <a:extLst>
              <a:ext uri="{FF2B5EF4-FFF2-40B4-BE49-F238E27FC236}">
                <a16:creationId xmlns:a16="http://schemas.microsoft.com/office/drawing/2014/main" id="{9BD0FCEE-59C6-4763-AA3D-323D45E48E04}"/>
              </a:ext>
            </a:extLst>
          </xdr:cNvPr>
          <xdr:cNvSpPr/>
        </xdr:nvSpPr>
        <xdr:spPr bwMode="auto">
          <a:xfrm rot="3846403" flipV="1">
            <a:off x="2987611" y="9205682"/>
            <a:ext cx="1461394" cy="1875920"/>
          </a:xfrm>
          <a:prstGeom prst="circularArrow">
            <a:avLst>
              <a:gd name="adj1" fmla="val 2263"/>
              <a:gd name="adj2" fmla="val 441571"/>
              <a:gd name="adj3" fmla="val 19754564"/>
              <a:gd name="adj4" fmla="val 13672565"/>
              <a:gd name="adj5" fmla="val 6553"/>
            </a:avLst>
          </a:prstGeom>
          <a:solidFill>
            <a:srgbClr val="C85100"/>
          </a:solidFill>
          <a:ln w="19050">
            <a:solidFill>
              <a:srgbClr val="C85100"/>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cxnSp macro="">
        <xdr:nvCxnSpPr>
          <xdr:cNvPr id="49" name="Straight Connector 48">
            <a:extLst>
              <a:ext uri="{FF2B5EF4-FFF2-40B4-BE49-F238E27FC236}">
                <a16:creationId xmlns:a16="http://schemas.microsoft.com/office/drawing/2014/main" id="{CA69C09B-211D-3691-DB8A-7185327303B8}"/>
              </a:ext>
            </a:extLst>
          </xdr:cNvPr>
          <xdr:cNvCxnSpPr/>
        </xdr:nvCxnSpPr>
        <xdr:spPr>
          <a:xfrm>
            <a:off x="4467345" y="10972484"/>
            <a:ext cx="506543" cy="0"/>
          </a:xfrm>
          <a:prstGeom prst="line">
            <a:avLst/>
          </a:prstGeom>
        </xdr:spPr>
        <xdr:style>
          <a:lnRef idx="1">
            <a:schemeClr val="accent6"/>
          </a:lnRef>
          <a:fillRef idx="0">
            <a:schemeClr val="accent6"/>
          </a:fillRef>
          <a:effectRef idx="0">
            <a:schemeClr val="accent6"/>
          </a:effectRef>
          <a:fontRef idx="minor">
            <a:schemeClr val="tx1"/>
          </a:fontRef>
        </xdr:style>
      </xdr:cxnSp>
      <xdr:cxnSp macro="">
        <xdr:nvCxnSpPr>
          <xdr:cNvPr id="51" name="Straight Connector 50">
            <a:extLst>
              <a:ext uri="{FF2B5EF4-FFF2-40B4-BE49-F238E27FC236}">
                <a16:creationId xmlns:a16="http://schemas.microsoft.com/office/drawing/2014/main" id="{A7C2A725-AAE2-4606-8A2F-A35F4ED693B4}"/>
              </a:ext>
            </a:extLst>
          </xdr:cNvPr>
          <xdr:cNvCxnSpPr/>
        </xdr:nvCxnSpPr>
        <xdr:spPr>
          <a:xfrm>
            <a:off x="6962452" y="10467719"/>
            <a:ext cx="504917" cy="0"/>
          </a:xfrm>
          <a:prstGeom prst="line">
            <a:avLst/>
          </a:prstGeom>
        </xdr:spPr>
        <xdr:style>
          <a:lnRef idx="1">
            <a:schemeClr val="accent6"/>
          </a:lnRef>
          <a:fillRef idx="0">
            <a:schemeClr val="accent6"/>
          </a:fillRef>
          <a:effectRef idx="0">
            <a:schemeClr val="accent6"/>
          </a:effectRef>
          <a:fontRef idx="minor">
            <a:schemeClr val="tx1"/>
          </a:fontRef>
        </xdr:style>
      </xdr:cxnSp>
      <xdr:sp macro="" textlink="">
        <xdr:nvSpPr>
          <xdr:cNvPr id="4" name="Arrow: Circular 3">
            <a:extLst>
              <a:ext uri="{FF2B5EF4-FFF2-40B4-BE49-F238E27FC236}">
                <a16:creationId xmlns:a16="http://schemas.microsoft.com/office/drawing/2014/main" id="{68CDF537-79F4-415F-83D1-D0F1761A4070}"/>
              </a:ext>
            </a:extLst>
          </xdr:cNvPr>
          <xdr:cNvSpPr/>
        </xdr:nvSpPr>
        <xdr:spPr bwMode="auto">
          <a:xfrm rot="710021" flipV="1">
            <a:off x="2426198" y="11004053"/>
            <a:ext cx="2091328" cy="1533523"/>
          </a:xfrm>
          <a:prstGeom prst="circularArrow">
            <a:avLst>
              <a:gd name="adj1" fmla="val 2263"/>
              <a:gd name="adj2" fmla="val 441571"/>
              <a:gd name="adj3" fmla="val 19754564"/>
              <a:gd name="adj4" fmla="val 10520640"/>
              <a:gd name="adj5" fmla="val 6553"/>
            </a:avLst>
          </a:prstGeom>
          <a:solidFill>
            <a:srgbClr val="C85100"/>
          </a:solidFill>
          <a:ln w="19050">
            <a:solidFill>
              <a:srgbClr val="C85100"/>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17</xdr:col>
      <xdr:colOff>85724</xdr:colOff>
      <xdr:row>55</xdr:row>
      <xdr:rowOff>266700</xdr:rowOff>
    </xdr:from>
    <xdr:ext cx="252000" cy="288000"/>
    <xdr:sp macro="" textlink="">
      <xdr:nvSpPr>
        <xdr:cNvPr id="38" name="Down Arrow 44">
          <a:hlinkClick xmlns:r="http://schemas.openxmlformats.org/officeDocument/2006/relationships" r:id="rId5"/>
          <a:extLst>
            <a:ext uri="{FF2B5EF4-FFF2-40B4-BE49-F238E27FC236}">
              <a16:creationId xmlns:a16="http://schemas.microsoft.com/office/drawing/2014/main" id="{22B06A38-3A38-4257-8473-CF4186225BD2}"/>
            </a:ext>
          </a:extLst>
        </xdr:cNvPr>
        <xdr:cNvSpPr>
          <a:spLocks noChangeArrowheads="1"/>
        </xdr:cNvSpPr>
      </xdr:nvSpPr>
      <xdr:spPr bwMode="auto">
        <a:xfrm flipV="1">
          <a:off x="9267824" y="64198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17</xdr:col>
      <xdr:colOff>85724</xdr:colOff>
      <xdr:row>29</xdr:row>
      <xdr:rowOff>266700</xdr:rowOff>
    </xdr:from>
    <xdr:ext cx="252000" cy="288000"/>
    <xdr:sp macro="" textlink="">
      <xdr:nvSpPr>
        <xdr:cNvPr id="40" name="Down Arrow 44">
          <a:hlinkClick xmlns:r="http://schemas.openxmlformats.org/officeDocument/2006/relationships" r:id="rId5"/>
          <a:extLst>
            <a:ext uri="{FF2B5EF4-FFF2-40B4-BE49-F238E27FC236}">
              <a16:creationId xmlns:a16="http://schemas.microsoft.com/office/drawing/2014/main" id="{A27EE436-7951-4132-84EE-399D7AD98635}"/>
            </a:ext>
          </a:extLst>
        </xdr:cNvPr>
        <xdr:cNvSpPr>
          <a:spLocks noChangeArrowheads="1"/>
        </xdr:cNvSpPr>
      </xdr:nvSpPr>
      <xdr:spPr bwMode="auto">
        <a:xfrm flipV="1">
          <a:off x="9277349"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8.xml><?xml version="1.0" encoding="utf-8"?>
<xdr:wsDr xmlns:xdr="http://schemas.openxmlformats.org/drawingml/2006/spreadsheetDrawing" xmlns:a="http://schemas.openxmlformats.org/drawingml/2006/main">
  <xdr:twoCellAnchor>
    <xdr:from>
      <xdr:col>15</xdr:col>
      <xdr:colOff>333373</xdr:colOff>
      <xdr:row>0</xdr:row>
      <xdr:rowOff>85725</xdr:rowOff>
    </xdr:from>
    <xdr:to>
      <xdr:col>20</xdr:col>
      <xdr:colOff>64498</xdr:colOff>
      <xdr:row>2</xdr:row>
      <xdr:rowOff>149475</xdr:rowOff>
    </xdr:to>
    <xdr:sp macro="" textlink="">
      <xdr:nvSpPr>
        <xdr:cNvPr id="9" name="AutoShape 32">
          <a:extLst>
            <a:ext uri="{FF2B5EF4-FFF2-40B4-BE49-F238E27FC236}">
              <a16:creationId xmlns:a16="http://schemas.microsoft.com/office/drawing/2014/main" id="{00000000-0008-0000-0C00-000009000000}"/>
            </a:ext>
          </a:extLst>
        </xdr:cNvPr>
        <xdr:cNvSpPr>
          <a:spLocks noChangeArrowheads="1"/>
        </xdr:cNvSpPr>
      </xdr:nvSpPr>
      <xdr:spPr bwMode="auto">
        <a:xfrm>
          <a:off x="6962773"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editAs="oneCell">
    <xdr:from>
      <xdr:col>1</xdr:col>
      <xdr:colOff>0</xdr:colOff>
      <xdr:row>69</xdr:row>
      <xdr:rowOff>0</xdr:rowOff>
    </xdr:from>
    <xdr:to>
      <xdr:col>19</xdr:col>
      <xdr:colOff>76200</xdr:colOff>
      <xdr:row>104</xdr:row>
      <xdr:rowOff>47625</xdr:rowOff>
    </xdr:to>
    <xdr:grpSp>
      <xdr:nvGrpSpPr>
        <xdr:cNvPr id="4" name="Group 3">
          <a:extLst>
            <a:ext uri="{FF2B5EF4-FFF2-40B4-BE49-F238E27FC236}">
              <a16:creationId xmlns:a16="http://schemas.microsoft.com/office/drawing/2014/main" id="{2EDD6D16-D0FD-466E-B217-3E8123703702}"/>
            </a:ext>
          </a:extLst>
        </xdr:cNvPr>
        <xdr:cNvGrpSpPr/>
      </xdr:nvGrpSpPr>
      <xdr:grpSpPr>
        <a:xfrm>
          <a:off x="150876" y="13213080"/>
          <a:ext cx="8939784" cy="4899660"/>
          <a:chOff x="95250" y="95250"/>
          <a:chExt cx="7534275" cy="5048250"/>
        </a:xfrm>
      </xdr:grpSpPr>
      <xdr:sp macro="" textlink="">
        <xdr:nvSpPr>
          <xdr:cNvPr id="5" name="Rectangle 4">
            <a:extLst>
              <a:ext uri="{FF2B5EF4-FFF2-40B4-BE49-F238E27FC236}">
                <a16:creationId xmlns:a16="http://schemas.microsoft.com/office/drawing/2014/main" id="{64AFE423-C908-2B28-D46E-D5AFEC02CB4A}"/>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10" name="Rectangle: Rounded Corners 9">
            <a:hlinkClick xmlns:r="http://schemas.openxmlformats.org/officeDocument/2006/relationships" r:id="rId1"/>
            <a:extLst>
              <a:ext uri="{FF2B5EF4-FFF2-40B4-BE49-F238E27FC236}">
                <a16:creationId xmlns:a16="http://schemas.microsoft.com/office/drawing/2014/main" id="{8F1268F5-426A-4491-A0C2-ED864C4A3FE8}"/>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11" name="Rectangle: Rounded Corners 10">
            <a:hlinkClick xmlns:r="http://schemas.openxmlformats.org/officeDocument/2006/relationships" r:id="rId2"/>
            <a:extLst>
              <a:ext uri="{FF2B5EF4-FFF2-40B4-BE49-F238E27FC236}">
                <a16:creationId xmlns:a16="http://schemas.microsoft.com/office/drawing/2014/main" id="{54B29B23-6440-8A98-6055-1AFB9DD43ED1}"/>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12" name="Rectangle: Rounded Corners 11">
            <a:hlinkClick xmlns:r="http://schemas.openxmlformats.org/officeDocument/2006/relationships" r:id="rId3"/>
            <a:extLst>
              <a:ext uri="{FF2B5EF4-FFF2-40B4-BE49-F238E27FC236}">
                <a16:creationId xmlns:a16="http://schemas.microsoft.com/office/drawing/2014/main" id="{71722252-3F42-0EA2-5BAE-63037D8734C8}"/>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13" name="Rectangle: Rounded Corners 12">
            <a:hlinkClick xmlns:r="http://schemas.openxmlformats.org/officeDocument/2006/relationships" r:id="rId4"/>
            <a:extLst>
              <a:ext uri="{FF2B5EF4-FFF2-40B4-BE49-F238E27FC236}">
                <a16:creationId xmlns:a16="http://schemas.microsoft.com/office/drawing/2014/main" id="{AF10FB27-5A8D-B3B4-98B0-5A6ED056C3B1}"/>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14" name="Rectangle: Rounded Corners 13">
            <a:hlinkClick xmlns:r="http://schemas.openxmlformats.org/officeDocument/2006/relationships" r:id="rId5"/>
            <a:extLst>
              <a:ext uri="{FF2B5EF4-FFF2-40B4-BE49-F238E27FC236}">
                <a16:creationId xmlns:a16="http://schemas.microsoft.com/office/drawing/2014/main" id="{A92235BD-886C-85FF-A96D-925C8B533500}"/>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15" name="Rectangle: Rounded Corners 14">
            <a:hlinkClick xmlns:r="http://schemas.openxmlformats.org/officeDocument/2006/relationships" r:id="rId6"/>
            <a:extLst>
              <a:ext uri="{FF2B5EF4-FFF2-40B4-BE49-F238E27FC236}">
                <a16:creationId xmlns:a16="http://schemas.microsoft.com/office/drawing/2014/main" id="{DBA9ED89-2F9E-91ED-059A-85E7C2ED30ED}"/>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16" name="Rectangle: Rounded Corners 15">
            <a:hlinkClick xmlns:r="http://schemas.openxmlformats.org/officeDocument/2006/relationships" r:id="rId7"/>
            <a:extLst>
              <a:ext uri="{FF2B5EF4-FFF2-40B4-BE49-F238E27FC236}">
                <a16:creationId xmlns:a16="http://schemas.microsoft.com/office/drawing/2014/main" id="{E8C822D8-E27A-67B7-A73E-E37FD1709C1E}"/>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17" name="Rectangle: Rounded Corners 16">
            <a:hlinkClick xmlns:r="http://schemas.openxmlformats.org/officeDocument/2006/relationships" r:id="rId8"/>
            <a:extLst>
              <a:ext uri="{FF2B5EF4-FFF2-40B4-BE49-F238E27FC236}">
                <a16:creationId xmlns:a16="http://schemas.microsoft.com/office/drawing/2014/main" id="{679868A2-2833-1884-98AD-FE9399E408AE}"/>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18" name="Rectangle: Rounded Corners 17">
            <a:hlinkClick xmlns:r="http://schemas.openxmlformats.org/officeDocument/2006/relationships" r:id="rId9"/>
            <a:extLst>
              <a:ext uri="{FF2B5EF4-FFF2-40B4-BE49-F238E27FC236}">
                <a16:creationId xmlns:a16="http://schemas.microsoft.com/office/drawing/2014/main" id="{22D2CA1D-365C-9A22-6E1B-E7D475070EAA}"/>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19" name="Group 18">
            <a:hlinkClick xmlns:r="http://schemas.openxmlformats.org/officeDocument/2006/relationships" r:id="rId10"/>
            <a:extLst>
              <a:ext uri="{FF2B5EF4-FFF2-40B4-BE49-F238E27FC236}">
                <a16:creationId xmlns:a16="http://schemas.microsoft.com/office/drawing/2014/main" id="{4DF454BA-0F4D-6753-EBF8-156C36368FA3}"/>
              </a:ext>
            </a:extLst>
          </xdr:cNvPr>
          <xdr:cNvGrpSpPr/>
        </xdr:nvGrpSpPr>
        <xdr:grpSpPr>
          <a:xfrm>
            <a:off x="190500" y="723900"/>
            <a:ext cx="1695450" cy="723900"/>
            <a:chOff x="190500" y="180975"/>
            <a:chExt cx="1800225" cy="723900"/>
          </a:xfrm>
        </xdr:grpSpPr>
        <xdr:sp macro="" textlink="">
          <xdr:nvSpPr>
            <xdr:cNvPr id="31" name="Rectangle: Rounded Corners 30">
              <a:hlinkClick xmlns:r="http://schemas.openxmlformats.org/officeDocument/2006/relationships" r:id="rId10"/>
              <a:extLst>
                <a:ext uri="{FF2B5EF4-FFF2-40B4-BE49-F238E27FC236}">
                  <a16:creationId xmlns:a16="http://schemas.microsoft.com/office/drawing/2014/main" id="{43D45399-6CD5-C760-6B7C-82EE3DF7C7A0}"/>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32" name="Picture 31">
              <a:extLst>
                <a:ext uri="{FF2B5EF4-FFF2-40B4-BE49-F238E27FC236}">
                  <a16:creationId xmlns:a16="http://schemas.microsoft.com/office/drawing/2014/main" id="{13E55B25-E105-BCEA-C8D5-9D61A5E4B3A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20" name="Rectangle: Rounded Corners 19">
            <a:hlinkClick xmlns:r="http://schemas.openxmlformats.org/officeDocument/2006/relationships" r:id="rId12"/>
            <a:extLst>
              <a:ext uri="{FF2B5EF4-FFF2-40B4-BE49-F238E27FC236}">
                <a16:creationId xmlns:a16="http://schemas.microsoft.com/office/drawing/2014/main" id="{0559A82A-4F40-E5A6-5E24-7B7EA835BB51}"/>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21" name="Rectangle: Rounded Corners 20">
            <a:hlinkClick xmlns:r="http://schemas.openxmlformats.org/officeDocument/2006/relationships" r:id="rId13"/>
            <a:extLst>
              <a:ext uri="{FF2B5EF4-FFF2-40B4-BE49-F238E27FC236}">
                <a16:creationId xmlns:a16="http://schemas.microsoft.com/office/drawing/2014/main" id="{FEB29F71-E676-3622-6DA9-57B0FB49BE2F}"/>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22" name="Rectangle: Rounded Corners 21">
            <a:hlinkClick xmlns:r="http://schemas.openxmlformats.org/officeDocument/2006/relationships" r:id="rId14"/>
            <a:extLst>
              <a:ext uri="{FF2B5EF4-FFF2-40B4-BE49-F238E27FC236}">
                <a16:creationId xmlns:a16="http://schemas.microsoft.com/office/drawing/2014/main" id="{032364B9-9C2C-50C1-7AFB-73D4DA83CA4B}"/>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23" name="Rectangle: Rounded Corners 22">
            <a:hlinkClick xmlns:r="http://schemas.openxmlformats.org/officeDocument/2006/relationships" r:id="rId15"/>
            <a:extLst>
              <a:ext uri="{FF2B5EF4-FFF2-40B4-BE49-F238E27FC236}">
                <a16:creationId xmlns:a16="http://schemas.microsoft.com/office/drawing/2014/main" id="{D6E77B51-90C3-6AFD-C422-0EE6873533DB}"/>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24" name="Rectangle: Rounded Corners 23">
            <a:hlinkClick xmlns:r="http://schemas.openxmlformats.org/officeDocument/2006/relationships" r:id="rId16"/>
            <a:extLst>
              <a:ext uri="{FF2B5EF4-FFF2-40B4-BE49-F238E27FC236}">
                <a16:creationId xmlns:a16="http://schemas.microsoft.com/office/drawing/2014/main" id="{3AE9E04D-C220-6516-EA06-B7A4270EBCC2}"/>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25" name="Rectangle: Rounded Corners 24">
            <a:hlinkClick xmlns:r="http://schemas.openxmlformats.org/officeDocument/2006/relationships" r:id="rId17"/>
            <a:extLst>
              <a:ext uri="{FF2B5EF4-FFF2-40B4-BE49-F238E27FC236}">
                <a16:creationId xmlns:a16="http://schemas.microsoft.com/office/drawing/2014/main" id="{0CC1E4D0-E6D8-F946-D6FD-5B6F641AFEC5}"/>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26" name="Rectangle: Rounded Corners 25">
            <a:hlinkClick xmlns:r="http://schemas.openxmlformats.org/officeDocument/2006/relationships" r:id="rId18"/>
            <a:extLst>
              <a:ext uri="{FF2B5EF4-FFF2-40B4-BE49-F238E27FC236}">
                <a16:creationId xmlns:a16="http://schemas.microsoft.com/office/drawing/2014/main" id="{CD7E5150-06EA-5097-AA38-48927159F40D}"/>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27" name="Rectangle: Rounded Corners 26">
            <a:hlinkClick xmlns:r="http://schemas.openxmlformats.org/officeDocument/2006/relationships" r:id="rId19"/>
            <a:extLst>
              <a:ext uri="{FF2B5EF4-FFF2-40B4-BE49-F238E27FC236}">
                <a16:creationId xmlns:a16="http://schemas.microsoft.com/office/drawing/2014/main" id="{E78577D5-650B-34FA-FC0D-02BABCB5D749}"/>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28" name="Rectangle: Rounded Corners 27">
            <a:hlinkClick xmlns:r="http://schemas.openxmlformats.org/officeDocument/2006/relationships" r:id="rId20"/>
            <a:extLst>
              <a:ext uri="{FF2B5EF4-FFF2-40B4-BE49-F238E27FC236}">
                <a16:creationId xmlns:a16="http://schemas.microsoft.com/office/drawing/2014/main" id="{0177B832-F79D-2FF6-B15A-9E82DF052498}"/>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29" name="Rectangle: Rounded Corners 28">
            <a:hlinkClick xmlns:r="http://schemas.openxmlformats.org/officeDocument/2006/relationships" r:id="rId21"/>
            <a:extLst>
              <a:ext uri="{FF2B5EF4-FFF2-40B4-BE49-F238E27FC236}">
                <a16:creationId xmlns:a16="http://schemas.microsoft.com/office/drawing/2014/main" id="{B4A70EF6-2CF2-94E0-3AA8-E81F44979B1B}"/>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30" name="TextBox 29">
            <a:extLst>
              <a:ext uri="{FF2B5EF4-FFF2-40B4-BE49-F238E27FC236}">
                <a16:creationId xmlns:a16="http://schemas.microsoft.com/office/drawing/2014/main" id="{6B537F74-9CFF-14D5-D4B4-C7CB151FDF3D}"/>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133350</xdr:rowOff>
    </xdr:to>
    <xdr:grpSp>
      <xdr:nvGrpSpPr>
        <xdr:cNvPr id="33" name="Group 32">
          <a:hlinkClick xmlns:r="http://schemas.openxmlformats.org/officeDocument/2006/relationships" r:id="rId10"/>
          <a:extLst>
            <a:ext uri="{FF2B5EF4-FFF2-40B4-BE49-F238E27FC236}">
              <a16:creationId xmlns:a16="http://schemas.microsoft.com/office/drawing/2014/main" id="{0F22C32D-C4A0-4DDD-AA70-BBD52B417E49}"/>
            </a:ext>
          </a:extLst>
        </xdr:cNvPr>
        <xdr:cNvGrpSpPr/>
      </xdr:nvGrpSpPr>
      <xdr:grpSpPr>
        <a:xfrm>
          <a:off x="9691116" y="0"/>
          <a:ext cx="411480" cy="1684020"/>
          <a:chOff x="9210675" y="19050"/>
          <a:chExt cx="390525" cy="1743075"/>
        </a:xfrm>
      </xdr:grpSpPr>
      <xdr:pic>
        <xdr:nvPicPr>
          <xdr:cNvPr id="34" name="Graphic 33" descr="Map compass with solid fill">
            <a:hlinkClick xmlns:r="http://schemas.openxmlformats.org/officeDocument/2006/relationships" r:id="rId22"/>
            <a:extLst>
              <a:ext uri="{FF2B5EF4-FFF2-40B4-BE49-F238E27FC236}">
                <a16:creationId xmlns:a16="http://schemas.microsoft.com/office/drawing/2014/main" id="{91B94A31-FD04-6D2F-ED4C-1673F2430A53}"/>
              </a:ext>
            </a:extLst>
          </xdr:cNvPr>
          <xdr:cNvPicPr>
            <a:picLocks noChangeAspect="1"/>
          </xdr:cNvPicPr>
        </xdr:nvPicPr>
        <xdr:blipFill>
          <a:blip xmlns:r="http://schemas.openxmlformats.org/officeDocument/2006/relationships" r:embed="rId23">
            <a:duotone>
              <a:schemeClr val="accent6">
                <a:shade val="45000"/>
                <a:satMod val="135000"/>
              </a:schemeClr>
              <a:prstClr val="white"/>
            </a:duotone>
            <a:extLst>
              <a:ext uri="{96DAC541-7B7A-43D3-8B79-37D633B846F1}">
                <asvg:svgBlip xmlns:asvg="http://schemas.microsoft.com/office/drawing/2016/SVG/main" r:embed="rId24"/>
              </a:ext>
            </a:extLst>
          </a:blip>
          <a:stretch>
            <a:fillRect/>
          </a:stretch>
        </xdr:blipFill>
        <xdr:spPr>
          <a:xfrm>
            <a:off x="9229725" y="38099"/>
            <a:ext cx="369675" cy="369675"/>
          </a:xfrm>
          <a:prstGeom prst="rect">
            <a:avLst/>
          </a:prstGeom>
        </xdr:spPr>
      </xdr:pic>
      <xdr:sp macro="" textlink="">
        <xdr:nvSpPr>
          <xdr:cNvPr id="35" name="Right Arrow 50">
            <a:hlinkClick xmlns:r="http://schemas.openxmlformats.org/officeDocument/2006/relationships" r:id="rId4"/>
            <a:extLst>
              <a:ext uri="{FF2B5EF4-FFF2-40B4-BE49-F238E27FC236}">
                <a16:creationId xmlns:a16="http://schemas.microsoft.com/office/drawing/2014/main" id="{88B1F24E-54A3-02A2-9E3E-874EE58D40F2}"/>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36" name="Right Arrow 50">
            <a:hlinkClick xmlns:r="http://schemas.openxmlformats.org/officeDocument/2006/relationships" r:id="rId1"/>
            <a:extLst>
              <a:ext uri="{FF2B5EF4-FFF2-40B4-BE49-F238E27FC236}">
                <a16:creationId xmlns:a16="http://schemas.microsoft.com/office/drawing/2014/main" id="{37301C4F-EF13-E890-77EC-75A2CEF086DE}"/>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37" name="Picture 36">
            <a:hlinkClick xmlns:r="http://schemas.openxmlformats.org/officeDocument/2006/relationships" r:id="rId10"/>
            <a:extLst>
              <a:ext uri="{FF2B5EF4-FFF2-40B4-BE49-F238E27FC236}">
                <a16:creationId xmlns:a16="http://schemas.microsoft.com/office/drawing/2014/main" id="{32E0063D-B5A9-C62D-ECD6-7CEBE51793D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38" name="Rectangle 37">
            <a:extLst>
              <a:ext uri="{FF2B5EF4-FFF2-40B4-BE49-F238E27FC236}">
                <a16:creationId xmlns:a16="http://schemas.microsoft.com/office/drawing/2014/main" id="{7C6D96E3-3043-38BC-1655-11CE302A8794}"/>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2" name="Down Arrow 44">
          <a:hlinkClick xmlns:r="http://schemas.openxmlformats.org/officeDocument/2006/relationships" r:id="rId5"/>
          <a:extLst>
            <a:ext uri="{FF2B5EF4-FFF2-40B4-BE49-F238E27FC236}">
              <a16:creationId xmlns:a16="http://schemas.microsoft.com/office/drawing/2014/main" id="{06846E50-2AE8-45A2-9937-005DBDA926D0}"/>
            </a:ext>
          </a:extLst>
        </xdr:cNvPr>
        <xdr:cNvSpPr>
          <a:spLocks noChangeArrowheads="1"/>
        </xdr:cNvSpPr>
      </xdr:nvSpPr>
      <xdr:spPr bwMode="auto">
        <a:xfrm flipV="1">
          <a:off x="9296399" y="64293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3" name="Down Arrow 44">
          <a:hlinkClick xmlns:r="http://schemas.openxmlformats.org/officeDocument/2006/relationships" r:id="rId5"/>
          <a:extLst>
            <a:ext uri="{FF2B5EF4-FFF2-40B4-BE49-F238E27FC236}">
              <a16:creationId xmlns:a16="http://schemas.microsoft.com/office/drawing/2014/main" id="{018C99B8-7501-4583-92CB-3E2F0070DBD3}"/>
            </a:ext>
          </a:extLst>
        </xdr:cNvPr>
        <xdr:cNvSpPr>
          <a:spLocks noChangeArrowheads="1"/>
        </xdr:cNvSpPr>
      </xdr:nvSpPr>
      <xdr:spPr bwMode="auto">
        <a:xfrm flipV="1">
          <a:off x="9296399" y="1318260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9.xml><?xml version="1.0" encoding="utf-8"?>
<xdr:wsDr xmlns:xdr="http://schemas.openxmlformats.org/drawingml/2006/spreadsheetDrawing" xmlns:a="http://schemas.openxmlformats.org/drawingml/2006/main">
  <xdr:twoCellAnchor>
    <xdr:from>
      <xdr:col>1</xdr:col>
      <xdr:colOff>1</xdr:colOff>
      <xdr:row>36</xdr:row>
      <xdr:rowOff>1</xdr:rowOff>
    </xdr:from>
    <xdr:to>
      <xdr:col>10</xdr:col>
      <xdr:colOff>0</xdr:colOff>
      <xdr:row>65</xdr:row>
      <xdr:rowOff>0</xdr:rowOff>
    </xdr:to>
    <xdr:graphicFrame macro="">
      <xdr:nvGraphicFramePr>
        <xdr:cNvPr id="6" name="Chart 13">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9" name="Oval 2165">
          <a:extLst>
            <a:ext uri="{FF2B5EF4-FFF2-40B4-BE49-F238E27FC236}">
              <a16:creationId xmlns:a16="http://schemas.microsoft.com/office/drawing/2014/main" id="{00000000-0008-0000-0D00-000009000000}"/>
            </a:ext>
          </a:extLst>
        </xdr:cNvPr>
        <xdr:cNvSpPr>
          <a:spLocks noChangeArrowheads="1"/>
        </xdr:cNvSpPr>
      </xdr:nvSpPr>
      <xdr:spPr bwMode="auto">
        <a:xfrm>
          <a:off x="4895850" y="113728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editAs="oneCell">
    <xdr:from>
      <xdr:col>14</xdr:col>
      <xdr:colOff>409572</xdr:colOff>
      <xdr:row>0</xdr:row>
      <xdr:rowOff>85725</xdr:rowOff>
    </xdr:from>
    <xdr:to>
      <xdr:col>20</xdr:col>
      <xdr:colOff>35922</xdr:colOff>
      <xdr:row>2</xdr:row>
      <xdr:rowOff>149475</xdr:rowOff>
    </xdr:to>
    <xdr:sp macro="" textlink="">
      <xdr:nvSpPr>
        <xdr:cNvPr id="10" name="AutoShape 32">
          <a:extLst>
            <a:ext uri="{FF2B5EF4-FFF2-40B4-BE49-F238E27FC236}">
              <a16:creationId xmlns:a16="http://schemas.microsoft.com/office/drawing/2014/main" id="{00000000-0008-0000-0D00-00000A000000}"/>
            </a:ext>
          </a:extLst>
        </xdr:cNvPr>
        <xdr:cNvSpPr>
          <a:spLocks noChangeArrowheads="1"/>
        </xdr:cNvSpPr>
      </xdr:nvSpPr>
      <xdr:spPr bwMode="auto">
        <a:xfrm>
          <a:off x="6953247"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1</xdr:colOff>
      <xdr:row>62</xdr:row>
      <xdr:rowOff>0</xdr:rowOff>
    </xdr:from>
    <xdr:to>
      <xdr:col>20</xdr:col>
      <xdr:colOff>2</xdr:colOff>
      <xdr:row>65</xdr:row>
      <xdr:rowOff>0</xdr:rowOff>
    </xdr:to>
    <xdr:graphicFrame macro="">
      <xdr:nvGraphicFramePr>
        <xdr:cNvPr id="11" name="Chart 13">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95250</xdr:colOff>
          <xdr:row>36</xdr:row>
          <xdr:rowOff>9525</xdr:rowOff>
        </xdr:from>
        <xdr:to>
          <xdr:col>35</xdr:col>
          <xdr:colOff>66675</xdr:colOff>
          <xdr:row>37</xdr:row>
          <xdr:rowOff>161925</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F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37</xdr:row>
          <xdr:rowOff>123825</xdr:rowOff>
        </xdr:from>
        <xdr:to>
          <xdr:col>35</xdr:col>
          <xdr:colOff>66675</xdr:colOff>
          <xdr:row>38</xdr:row>
          <xdr:rowOff>161925</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F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38</xdr:row>
          <xdr:rowOff>123825</xdr:rowOff>
        </xdr:from>
        <xdr:to>
          <xdr:col>35</xdr:col>
          <xdr:colOff>66675</xdr:colOff>
          <xdr:row>39</xdr:row>
          <xdr:rowOff>161925</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F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39</xdr:row>
          <xdr:rowOff>123825</xdr:rowOff>
        </xdr:from>
        <xdr:to>
          <xdr:col>35</xdr:col>
          <xdr:colOff>66675</xdr:colOff>
          <xdr:row>40</xdr:row>
          <xdr:rowOff>161925</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F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40</xdr:row>
          <xdr:rowOff>123825</xdr:rowOff>
        </xdr:from>
        <xdr:to>
          <xdr:col>35</xdr:col>
          <xdr:colOff>66675</xdr:colOff>
          <xdr:row>41</xdr:row>
          <xdr:rowOff>161925</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F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41</xdr:row>
          <xdr:rowOff>123825</xdr:rowOff>
        </xdr:from>
        <xdr:to>
          <xdr:col>35</xdr:col>
          <xdr:colOff>66675</xdr:colOff>
          <xdr:row>42</xdr:row>
          <xdr:rowOff>161925</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F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42</xdr:row>
          <xdr:rowOff>123825</xdr:rowOff>
        </xdr:from>
        <xdr:to>
          <xdr:col>35</xdr:col>
          <xdr:colOff>66675</xdr:colOff>
          <xdr:row>43</xdr:row>
          <xdr:rowOff>161925</xdr:rowOff>
        </xdr:to>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F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43</xdr:row>
          <xdr:rowOff>123825</xdr:rowOff>
        </xdr:from>
        <xdr:to>
          <xdr:col>35</xdr:col>
          <xdr:colOff>66675</xdr:colOff>
          <xdr:row>44</xdr:row>
          <xdr:rowOff>161925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F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44</xdr:row>
          <xdr:rowOff>123825</xdr:rowOff>
        </xdr:from>
        <xdr:to>
          <xdr:col>35</xdr:col>
          <xdr:colOff>66675</xdr:colOff>
          <xdr:row>45</xdr:row>
          <xdr:rowOff>161925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F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45</xdr:row>
          <xdr:rowOff>123825</xdr:rowOff>
        </xdr:from>
        <xdr:to>
          <xdr:col>35</xdr:col>
          <xdr:colOff>66675</xdr:colOff>
          <xdr:row>46</xdr:row>
          <xdr:rowOff>161925</xdr:rowOff>
        </xdr:to>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F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46</xdr:row>
          <xdr:rowOff>123825</xdr:rowOff>
        </xdr:from>
        <xdr:to>
          <xdr:col>35</xdr:col>
          <xdr:colOff>66675</xdr:colOff>
          <xdr:row>47</xdr:row>
          <xdr:rowOff>161925</xdr:rowOff>
        </xdr:to>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F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47</xdr:row>
          <xdr:rowOff>123825</xdr:rowOff>
        </xdr:from>
        <xdr:to>
          <xdr:col>35</xdr:col>
          <xdr:colOff>66675</xdr:colOff>
          <xdr:row>48</xdr:row>
          <xdr:rowOff>161925</xdr:rowOff>
        </xdr:to>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F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48</xdr:row>
          <xdr:rowOff>123825</xdr:rowOff>
        </xdr:from>
        <xdr:to>
          <xdr:col>35</xdr:col>
          <xdr:colOff>66675</xdr:colOff>
          <xdr:row>49</xdr:row>
          <xdr:rowOff>161925</xdr:rowOff>
        </xdr:to>
        <xdr:sp macro="" textlink="">
          <xdr:nvSpPr>
            <xdr:cNvPr id="34829" name="Check Box 13"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49</xdr:row>
          <xdr:rowOff>123825</xdr:rowOff>
        </xdr:from>
        <xdr:to>
          <xdr:col>35</xdr:col>
          <xdr:colOff>66675</xdr:colOff>
          <xdr:row>50</xdr:row>
          <xdr:rowOff>161925</xdr:rowOff>
        </xdr:to>
        <xdr:sp macro="" textlink="">
          <xdr:nvSpPr>
            <xdr:cNvPr id="34831" name="Check Box 15"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50</xdr:row>
          <xdr:rowOff>123825</xdr:rowOff>
        </xdr:from>
        <xdr:to>
          <xdr:col>35</xdr:col>
          <xdr:colOff>66675</xdr:colOff>
          <xdr:row>51</xdr:row>
          <xdr:rowOff>161925</xdr:rowOff>
        </xdr:to>
        <xdr:sp macro="" textlink="">
          <xdr:nvSpPr>
            <xdr:cNvPr id="34832" name="Check Box 16"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51</xdr:row>
          <xdr:rowOff>123825</xdr:rowOff>
        </xdr:from>
        <xdr:to>
          <xdr:col>35</xdr:col>
          <xdr:colOff>66675</xdr:colOff>
          <xdr:row>52</xdr:row>
          <xdr:rowOff>161925</xdr:rowOff>
        </xdr:to>
        <xdr:sp macro="" textlink="">
          <xdr:nvSpPr>
            <xdr:cNvPr id="34833" name="Check Box 17"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52</xdr:row>
          <xdr:rowOff>123825</xdr:rowOff>
        </xdr:from>
        <xdr:to>
          <xdr:col>35</xdr:col>
          <xdr:colOff>66675</xdr:colOff>
          <xdr:row>53</xdr:row>
          <xdr:rowOff>161925</xdr:rowOff>
        </xdr:to>
        <xdr:sp macro="" textlink="">
          <xdr:nvSpPr>
            <xdr:cNvPr id="34834" name="Check Box 18"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53</xdr:row>
          <xdr:rowOff>123825</xdr:rowOff>
        </xdr:from>
        <xdr:to>
          <xdr:col>35</xdr:col>
          <xdr:colOff>66675</xdr:colOff>
          <xdr:row>54</xdr:row>
          <xdr:rowOff>161925</xdr:rowOff>
        </xdr:to>
        <xdr:sp macro="" textlink="">
          <xdr:nvSpPr>
            <xdr:cNvPr id="34835" name="Check Box 19"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54</xdr:row>
          <xdr:rowOff>123825</xdr:rowOff>
        </xdr:from>
        <xdr:to>
          <xdr:col>35</xdr:col>
          <xdr:colOff>66675</xdr:colOff>
          <xdr:row>55</xdr:row>
          <xdr:rowOff>161925</xdr:rowOff>
        </xdr:to>
        <xdr:sp macro="" textlink="">
          <xdr:nvSpPr>
            <xdr:cNvPr id="34836" name="Check Box 20"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55</xdr:row>
          <xdr:rowOff>123825</xdr:rowOff>
        </xdr:from>
        <xdr:to>
          <xdr:col>35</xdr:col>
          <xdr:colOff>66675</xdr:colOff>
          <xdr:row>56</xdr:row>
          <xdr:rowOff>161925</xdr:rowOff>
        </xdr:to>
        <xdr:sp macro="" textlink="">
          <xdr:nvSpPr>
            <xdr:cNvPr id="34837" name="Check Box 21"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114299</xdr:colOff>
      <xdr:row>164</xdr:row>
      <xdr:rowOff>0</xdr:rowOff>
    </xdr:from>
    <xdr:to>
      <xdr:col>8</xdr:col>
      <xdr:colOff>0</xdr:colOff>
      <xdr:row>167</xdr:row>
      <xdr:rowOff>0</xdr:rowOff>
    </xdr:to>
    <xdr:graphicFrame macro="">
      <xdr:nvGraphicFramePr>
        <xdr:cNvPr id="38" name="Chart 13">
          <a:extLst>
            <a:ext uri="{FF2B5EF4-FFF2-40B4-BE49-F238E27FC236}">
              <a16:creationId xmlns:a16="http://schemas.microsoft.com/office/drawing/2014/main" id="{00000000-0008-0000-0D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254925</xdr:colOff>
      <xdr:row>136</xdr:row>
      <xdr:rowOff>133349</xdr:rowOff>
    </xdr:from>
    <xdr:to>
      <xdr:col>20</xdr:col>
      <xdr:colOff>0</xdr:colOff>
      <xdr:row>166</xdr:row>
      <xdr:rowOff>552449</xdr:rowOff>
    </xdr:to>
    <xdr:graphicFrame macro="">
      <xdr:nvGraphicFramePr>
        <xdr:cNvPr id="39" name="Chart 13">
          <a:extLst>
            <a:ext uri="{FF2B5EF4-FFF2-40B4-BE49-F238E27FC236}">
              <a16:creationId xmlns:a16="http://schemas.microsoft.com/office/drawing/2014/main" id="{00000000-0008-0000-0D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95250</xdr:colOff>
          <xdr:row>56</xdr:row>
          <xdr:rowOff>123825</xdr:rowOff>
        </xdr:from>
        <xdr:to>
          <xdr:col>35</xdr:col>
          <xdr:colOff>66675</xdr:colOff>
          <xdr:row>57</xdr:row>
          <xdr:rowOff>161925</xdr:rowOff>
        </xdr:to>
        <xdr:sp macro="" textlink="">
          <xdr:nvSpPr>
            <xdr:cNvPr id="34840" name="Check Box 24"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0</xdr:colOff>
      <xdr:row>69</xdr:row>
      <xdr:rowOff>0</xdr:rowOff>
    </xdr:from>
    <xdr:to>
      <xdr:col>20</xdr:col>
      <xdr:colOff>0</xdr:colOff>
      <xdr:row>100</xdr:row>
      <xdr:rowOff>0</xdr:rowOff>
    </xdr:to>
    <xdr:graphicFrame macro="">
      <xdr:nvGraphicFramePr>
        <xdr:cNvPr id="44" name="Chart 176">
          <a:extLst>
            <a:ext uri="{FF2B5EF4-FFF2-40B4-BE49-F238E27FC236}">
              <a16:creationId xmlns:a16="http://schemas.microsoft.com/office/drawing/2014/main" id="{00000000-0008-0000-0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69</xdr:row>
      <xdr:rowOff>0</xdr:rowOff>
    </xdr:from>
    <xdr:to>
      <xdr:col>10</xdr:col>
      <xdr:colOff>0</xdr:colOff>
      <xdr:row>100</xdr:row>
      <xdr:rowOff>0</xdr:rowOff>
    </xdr:to>
    <xdr:graphicFrame macro="">
      <xdr:nvGraphicFramePr>
        <xdr:cNvPr id="45" name="Chart 764">
          <a:extLst>
            <a:ext uri="{FF2B5EF4-FFF2-40B4-BE49-F238E27FC236}">
              <a16:creationId xmlns:a16="http://schemas.microsoft.com/office/drawing/2014/main" id="{00000000-0008-0000-0D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57150</xdr:colOff>
      <xdr:row>60</xdr:row>
      <xdr:rowOff>85725</xdr:rowOff>
    </xdr:from>
    <xdr:to>
      <xdr:col>10</xdr:col>
      <xdr:colOff>417150</xdr:colOff>
      <xdr:row>60</xdr:row>
      <xdr:rowOff>85725</xdr:rowOff>
    </xdr:to>
    <xdr:sp macro="" textlink="">
      <xdr:nvSpPr>
        <xdr:cNvPr id="42" name="Line 283">
          <a:extLst>
            <a:ext uri="{FF2B5EF4-FFF2-40B4-BE49-F238E27FC236}">
              <a16:creationId xmlns:a16="http://schemas.microsoft.com/office/drawing/2014/main" id="{00000000-0008-0000-0D00-00002A000000}"/>
            </a:ext>
          </a:extLst>
        </xdr:cNvPr>
        <xdr:cNvSpPr>
          <a:spLocks noChangeShapeType="1"/>
        </xdr:cNvSpPr>
      </xdr:nvSpPr>
      <xdr:spPr bwMode="auto">
        <a:xfrm>
          <a:off x="4772025" y="112395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171450</xdr:colOff>
      <xdr:row>60</xdr:row>
      <xdr:rowOff>47625</xdr:rowOff>
    </xdr:from>
    <xdr:to>
      <xdr:col>15</xdr:col>
      <xdr:colOff>247650</xdr:colOff>
      <xdr:row>60</xdr:row>
      <xdr:rowOff>123825</xdr:rowOff>
    </xdr:to>
    <xdr:sp macro="" textlink="">
      <xdr:nvSpPr>
        <xdr:cNvPr id="43" name="Oval 2164">
          <a:extLst>
            <a:ext uri="{FF2B5EF4-FFF2-40B4-BE49-F238E27FC236}">
              <a16:creationId xmlns:a16="http://schemas.microsoft.com/office/drawing/2014/main" id="{00000000-0008-0000-0D00-00002B000000}"/>
            </a:ext>
          </a:extLst>
        </xdr:cNvPr>
        <xdr:cNvSpPr>
          <a:spLocks noChangeArrowheads="1"/>
        </xdr:cNvSpPr>
      </xdr:nvSpPr>
      <xdr:spPr bwMode="auto">
        <a:xfrm>
          <a:off x="7200900" y="111633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61</xdr:row>
      <xdr:rowOff>85724</xdr:rowOff>
    </xdr:from>
    <xdr:to>
      <xdr:col>15</xdr:col>
      <xdr:colOff>354675</xdr:colOff>
      <xdr:row>61</xdr:row>
      <xdr:rowOff>85724</xdr:rowOff>
    </xdr:to>
    <xdr:sp macro="" textlink="">
      <xdr:nvSpPr>
        <xdr:cNvPr id="46" name="Line 283">
          <a:extLst>
            <a:ext uri="{FF2B5EF4-FFF2-40B4-BE49-F238E27FC236}">
              <a16:creationId xmlns:a16="http://schemas.microsoft.com/office/drawing/2014/main" id="{00000000-0008-0000-0D00-00002E000000}"/>
            </a:ext>
          </a:extLst>
        </xdr:cNvPr>
        <xdr:cNvSpPr>
          <a:spLocks noChangeShapeType="1"/>
        </xdr:cNvSpPr>
      </xdr:nvSpPr>
      <xdr:spPr bwMode="auto">
        <a:xfrm>
          <a:off x="7096125" y="11382374"/>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130</xdr:row>
      <xdr:rowOff>0</xdr:rowOff>
    </xdr:from>
    <xdr:to>
      <xdr:col>8</xdr:col>
      <xdr:colOff>0</xdr:colOff>
      <xdr:row>133</xdr:row>
      <xdr:rowOff>0</xdr:rowOff>
    </xdr:to>
    <xdr:graphicFrame macro="">
      <xdr:nvGraphicFramePr>
        <xdr:cNvPr id="48" name="Chart 13">
          <a:extLst>
            <a:ext uri="{FF2B5EF4-FFF2-40B4-BE49-F238E27FC236}">
              <a16:creationId xmlns:a16="http://schemas.microsoft.com/office/drawing/2014/main" id="{00000000-0008-0000-0D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514349</xdr:colOff>
      <xdr:row>104</xdr:row>
      <xdr:rowOff>95250</xdr:rowOff>
    </xdr:from>
    <xdr:to>
      <xdr:col>19</xdr:col>
      <xdr:colOff>514349</xdr:colOff>
      <xdr:row>132</xdr:row>
      <xdr:rowOff>533399</xdr:rowOff>
    </xdr:to>
    <xdr:graphicFrame macro="">
      <xdr:nvGraphicFramePr>
        <xdr:cNvPr id="49" name="Chart 13">
          <a:extLst>
            <a:ext uri="{FF2B5EF4-FFF2-40B4-BE49-F238E27FC236}">
              <a16:creationId xmlns:a16="http://schemas.microsoft.com/office/drawing/2014/main" id="{00000000-0008-0000-0D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1</xdr:colOff>
      <xdr:row>36</xdr:row>
      <xdr:rowOff>3174</xdr:rowOff>
    </xdr:from>
    <xdr:to>
      <xdr:col>20</xdr:col>
      <xdr:colOff>0</xdr:colOff>
      <xdr:row>60</xdr:row>
      <xdr:rowOff>0</xdr:rowOff>
    </xdr:to>
    <xdr:graphicFrame macro="">
      <xdr:nvGraphicFramePr>
        <xdr:cNvPr id="53" name="Chart 176">
          <a:extLst>
            <a:ext uri="{FF2B5EF4-FFF2-40B4-BE49-F238E27FC236}">
              <a16:creationId xmlns:a16="http://schemas.microsoft.com/office/drawing/2014/main" id="{00000000-0008-0000-0D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0</xdr:colOff>
      <xdr:row>171</xdr:row>
      <xdr:rowOff>0</xdr:rowOff>
    </xdr:from>
    <xdr:to>
      <xdr:col>19</xdr:col>
      <xdr:colOff>95250</xdr:colOff>
      <xdr:row>206</xdr:row>
      <xdr:rowOff>47625</xdr:rowOff>
    </xdr:to>
    <xdr:grpSp>
      <xdr:nvGrpSpPr>
        <xdr:cNvPr id="8" name="Group 7">
          <a:extLst>
            <a:ext uri="{FF2B5EF4-FFF2-40B4-BE49-F238E27FC236}">
              <a16:creationId xmlns:a16="http://schemas.microsoft.com/office/drawing/2014/main" id="{8FD74B99-DBC8-4CF2-A4F4-5A1DB95E88FC}"/>
            </a:ext>
          </a:extLst>
        </xdr:cNvPr>
        <xdr:cNvGrpSpPr/>
      </xdr:nvGrpSpPr>
      <xdr:grpSpPr>
        <a:xfrm>
          <a:off x="120396" y="26249376"/>
          <a:ext cx="8948928" cy="4899660"/>
          <a:chOff x="95250" y="95250"/>
          <a:chExt cx="7534275" cy="5048250"/>
        </a:xfrm>
      </xdr:grpSpPr>
      <xdr:sp macro="" textlink="">
        <xdr:nvSpPr>
          <xdr:cNvPr id="12" name="Rectangle 11">
            <a:extLst>
              <a:ext uri="{FF2B5EF4-FFF2-40B4-BE49-F238E27FC236}">
                <a16:creationId xmlns:a16="http://schemas.microsoft.com/office/drawing/2014/main" id="{67F4FC69-4030-C024-5868-491DFFD6EAF0}"/>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13" name="Rectangle: Rounded Corners 12">
            <a:hlinkClick xmlns:r="http://schemas.openxmlformats.org/officeDocument/2006/relationships" r:id="rId10"/>
            <a:extLst>
              <a:ext uri="{FF2B5EF4-FFF2-40B4-BE49-F238E27FC236}">
                <a16:creationId xmlns:a16="http://schemas.microsoft.com/office/drawing/2014/main" id="{CA72026E-F056-170B-F950-57384DF6212F}"/>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14" name="Rectangle: Rounded Corners 13">
            <a:hlinkClick xmlns:r="http://schemas.openxmlformats.org/officeDocument/2006/relationships" r:id="rId11"/>
            <a:extLst>
              <a:ext uri="{FF2B5EF4-FFF2-40B4-BE49-F238E27FC236}">
                <a16:creationId xmlns:a16="http://schemas.microsoft.com/office/drawing/2014/main" id="{30541050-044E-F3B3-65BF-A5BB4E9A3B0D}"/>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15" name="Rectangle: Rounded Corners 14">
            <a:hlinkClick xmlns:r="http://schemas.openxmlformats.org/officeDocument/2006/relationships" r:id="rId12"/>
            <a:extLst>
              <a:ext uri="{FF2B5EF4-FFF2-40B4-BE49-F238E27FC236}">
                <a16:creationId xmlns:a16="http://schemas.microsoft.com/office/drawing/2014/main" id="{FA91E341-D63D-6A84-98B4-88F534C030FE}"/>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16" name="Rectangle: Rounded Corners 15">
            <a:hlinkClick xmlns:r="http://schemas.openxmlformats.org/officeDocument/2006/relationships" r:id="rId13"/>
            <a:extLst>
              <a:ext uri="{FF2B5EF4-FFF2-40B4-BE49-F238E27FC236}">
                <a16:creationId xmlns:a16="http://schemas.microsoft.com/office/drawing/2014/main" id="{7EB32705-3F0C-24E3-47EB-359424F86914}"/>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17" name="Rectangle: Rounded Corners 16">
            <a:hlinkClick xmlns:r="http://schemas.openxmlformats.org/officeDocument/2006/relationships" r:id="rId14"/>
            <a:extLst>
              <a:ext uri="{FF2B5EF4-FFF2-40B4-BE49-F238E27FC236}">
                <a16:creationId xmlns:a16="http://schemas.microsoft.com/office/drawing/2014/main" id="{7B5D10E5-248E-B1C9-1400-03045B168A9A}"/>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18" name="Rectangle: Rounded Corners 17">
            <a:hlinkClick xmlns:r="http://schemas.openxmlformats.org/officeDocument/2006/relationships" r:id="rId15"/>
            <a:extLst>
              <a:ext uri="{FF2B5EF4-FFF2-40B4-BE49-F238E27FC236}">
                <a16:creationId xmlns:a16="http://schemas.microsoft.com/office/drawing/2014/main" id="{B2096C23-2197-AD92-1C2A-CC6D5626C7EB}"/>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19" name="Rectangle: Rounded Corners 18">
            <a:hlinkClick xmlns:r="http://schemas.openxmlformats.org/officeDocument/2006/relationships" r:id="rId16"/>
            <a:extLst>
              <a:ext uri="{FF2B5EF4-FFF2-40B4-BE49-F238E27FC236}">
                <a16:creationId xmlns:a16="http://schemas.microsoft.com/office/drawing/2014/main" id="{1F0FEDFD-7752-EC59-707E-5C21ECCCE9E1}"/>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20" name="Rectangle: Rounded Corners 19">
            <a:hlinkClick xmlns:r="http://schemas.openxmlformats.org/officeDocument/2006/relationships" r:id="rId17"/>
            <a:extLst>
              <a:ext uri="{FF2B5EF4-FFF2-40B4-BE49-F238E27FC236}">
                <a16:creationId xmlns:a16="http://schemas.microsoft.com/office/drawing/2014/main" id="{8DAD70A7-2BC0-885C-B009-C2ACCC81F7B0}"/>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21" name="Rectangle: Rounded Corners 20">
            <a:hlinkClick xmlns:r="http://schemas.openxmlformats.org/officeDocument/2006/relationships" r:id="rId18"/>
            <a:extLst>
              <a:ext uri="{FF2B5EF4-FFF2-40B4-BE49-F238E27FC236}">
                <a16:creationId xmlns:a16="http://schemas.microsoft.com/office/drawing/2014/main" id="{AA2FB3C1-4602-71B6-231F-57E73FEAA428}"/>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22" name="Group 21">
            <a:hlinkClick xmlns:r="http://schemas.openxmlformats.org/officeDocument/2006/relationships" r:id="rId19"/>
            <a:extLst>
              <a:ext uri="{FF2B5EF4-FFF2-40B4-BE49-F238E27FC236}">
                <a16:creationId xmlns:a16="http://schemas.microsoft.com/office/drawing/2014/main" id="{FD27644A-C53F-F0A0-A46A-BD7750CBEF54}"/>
              </a:ext>
            </a:extLst>
          </xdr:cNvPr>
          <xdr:cNvGrpSpPr/>
        </xdr:nvGrpSpPr>
        <xdr:grpSpPr>
          <a:xfrm>
            <a:off x="190500" y="723900"/>
            <a:ext cx="1695450" cy="723900"/>
            <a:chOff x="190500" y="180975"/>
            <a:chExt cx="1800225" cy="723900"/>
          </a:xfrm>
        </xdr:grpSpPr>
        <xdr:sp macro="" textlink="">
          <xdr:nvSpPr>
            <xdr:cNvPr id="35" name="Rectangle: Rounded Corners 34">
              <a:hlinkClick xmlns:r="http://schemas.openxmlformats.org/officeDocument/2006/relationships" r:id="rId19"/>
              <a:extLst>
                <a:ext uri="{FF2B5EF4-FFF2-40B4-BE49-F238E27FC236}">
                  <a16:creationId xmlns:a16="http://schemas.microsoft.com/office/drawing/2014/main" id="{B535148D-785C-A676-C632-C6917BDFCA34}"/>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36" name="Picture 35">
              <a:extLst>
                <a:ext uri="{FF2B5EF4-FFF2-40B4-BE49-F238E27FC236}">
                  <a16:creationId xmlns:a16="http://schemas.microsoft.com/office/drawing/2014/main" id="{446D1AE1-2FA7-3B34-0051-334079BD01D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23" name="Rectangle: Rounded Corners 22">
            <a:hlinkClick xmlns:r="http://schemas.openxmlformats.org/officeDocument/2006/relationships" r:id="rId21"/>
            <a:extLst>
              <a:ext uri="{FF2B5EF4-FFF2-40B4-BE49-F238E27FC236}">
                <a16:creationId xmlns:a16="http://schemas.microsoft.com/office/drawing/2014/main" id="{9209F995-8C46-F42E-3AC2-1CE058467D62}"/>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24" name="Rectangle: Rounded Corners 23">
            <a:hlinkClick xmlns:r="http://schemas.openxmlformats.org/officeDocument/2006/relationships" r:id="rId22"/>
            <a:extLst>
              <a:ext uri="{FF2B5EF4-FFF2-40B4-BE49-F238E27FC236}">
                <a16:creationId xmlns:a16="http://schemas.microsoft.com/office/drawing/2014/main" id="{AE6BB659-FC4F-8095-B783-D9C0E1D08F7F}"/>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25" name="Rectangle: Rounded Corners 24">
            <a:hlinkClick xmlns:r="http://schemas.openxmlformats.org/officeDocument/2006/relationships" r:id="rId23"/>
            <a:extLst>
              <a:ext uri="{FF2B5EF4-FFF2-40B4-BE49-F238E27FC236}">
                <a16:creationId xmlns:a16="http://schemas.microsoft.com/office/drawing/2014/main" id="{EF1ED5C3-3FB6-8A5D-40B5-E972F2A796C7}"/>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26" name="Rectangle: Rounded Corners 25">
            <a:hlinkClick xmlns:r="http://schemas.openxmlformats.org/officeDocument/2006/relationships" r:id="rId24"/>
            <a:extLst>
              <a:ext uri="{FF2B5EF4-FFF2-40B4-BE49-F238E27FC236}">
                <a16:creationId xmlns:a16="http://schemas.microsoft.com/office/drawing/2014/main" id="{5A8A8655-60F2-C336-B184-4A215C30F904}"/>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27" name="Rectangle: Rounded Corners 26">
            <a:hlinkClick xmlns:r="http://schemas.openxmlformats.org/officeDocument/2006/relationships" r:id="rId25"/>
            <a:extLst>
              <a:ext uri="{FF2B5EF4-FFF2-40B4-BE49-F238E27FC236}">
                <a16:creationId xmlns:a16="http://schemas.microsoft.com/office/drawing/2014/main" id="{9FB4735F-9D0A-48C1-048F-02573B5CC113}"/>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28" name="Rectangle: Rounded Corners 27">
            <a:hlinkClick xmlns:r="http://schemas.openxmlformats.org/officeDocument/2006/relationships" r:id="rId26"/>
            <a:extLst>
              <a:ext uri="{FF2B5EF4-FFF2-40B4-BE49-F238E27FC236}">
                <a16:creationId xmlns:a16="http://schemas.microsoft.com/office/drawing/2014/main" id="{AD81A3AB-7532-B7D1-BE7C-FBB25CA63ED7}"/>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29" name="Rectangle: Rounded Corners 28">
            <a:hlinkClick xmlns:r="http://schemas.openxmlformats.org/officeDocument/2006/relationships" r:id="rId27"/>
            <a:extLst>
              <a:ext uri="{FF2B5EF4-FFF2-40B4-BE49-F238E27FC236}">
                <a16:creationId xmlns:a16="http://schemas.microsoft.com/office/drawing/2014/main" id="{A68F7C07-D49B-919F-C9C2-372620BAAEF6}"/>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30" name="Rectangle: Rounded Corners 29">
            <a:hlinkClick xmlns:r="http://schemas.openxmlformats.org/officeDocument/2006/relationships" r:id="rId28"/>
            <a:extLst>
              <a:ext uri="{FF2B5EF4-FFF2-40B4-BE49-F238E27FC236}">
                <a16:creationId xmlns:a16="http://schemas.microsoft.com/office/drawing/2014/main" id="{2D2521DF-C26B-3C11-897F-DF2FA37640E9}"/>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31" name="Rectangle: Rounded Corners 30">
            <a:hlinkClick xmlns:r="http://schemas.openxmlformats.org/officeDocument/2006/relationships" r:id="rId29"/>
            <a:extLst>
              <a:ext uri="{FF2B5EF4-FFF2-40B4-BE49-F238E27FC236}">
                <a16:creationId xmlns:a16="http://schemas.microsoft.com/office/drawing/2014/main" id="{83AC727B-154C-FA2C-F740-615568BC1A04}"/>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32" name="Rectangle: Rounded Corners 31">
            <a:hlinkClick xmlns:r="http://schemas.openxmlformats.org/officeDocument/2006/relationships" r:id="rId30"/>
            <a:extLst>
              <a:ext uri="{FF2B5EF4-FFF2-40B4-BE49-F238E27FC236}">
                <a16:creationId xmlns:a16="http://schemas.microsoft.com/office/drawing/2014/main" id="{8907CFE9-A83B-2423-E442-DA87B2312A01}"/>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34" name="TextBox 33">
            <a:extLst>
              <a:ext uri="{FF2B5EF4-FFF2-40B4-BE49-F238E27FC236}">
                <a16:creationId xmlns:a16="http://schemas.microsoft.com/office/drawing/2014/main" id="{DB500BAE-07E5-8459-53CA-45FFE084DE9D}"/>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34846" name="Group 34845">
          <a:hlinkClick xmlns:r="http://schemas.openxmlformats.org/officeDocument/2006/relationships" r:id="rId19"/>
          <a:extLst>
            <a:ext uri="{FF2B5EF4-FFF2-40B4-BE49-F238E27FC236}">
              <a16:creationId xmlns:a16="http://schemas.microsoft.com/office/drawing/2014/main" id="{15BA4613-1AF4-4B74-9C15-2702011678DE}"/>
            </a:ext>
          </a:extLst>
        </xdr:cNvPr>
        <xdr:cNvGrpSpPr/>
      </xdr:nvGrpSpPr>
      <xdr:grpSpPr>
        <a:xfrm>
          <a:off x="9689592" y="0"/>
          <a:ext cx="411480" cy="1685544"/>
          <a:chOff x="9210675" y="19050"/>
          <a:chExt cx="390525" cy="1743075"/>
        </a:xfrm>
      </xdr:grpSpPr>
      <xdr:pic>
        <xdr:nvPicPr>
          <xdr:cNvPr id="34847" name="Graphic 34846" descr="Map compass with solid fill">
            <a:hlinkClick xmlns:r="http://schemas.openxmlformats.org/officeDocument/2006/relationships" r:id="rId31"/>
            <a:extLst>
              <a:ext uri="{FF2B5EF4-FFF2-40B4-BE49-F238E27FC236}">
                <a16:creationId xmlns:a16="http://schemas.microsoft.com/office/drawing/2014/main" id="{251548AF-F849-F1F1-0160-B61140C45130}"/>
              </a:ext>
            </a:extLst>
          </xdr:cNvPr>
          <xdr:cNvPicPr>
            <a:picLocks noChangeAspect="1"/>
          </xdr:cNvPicPr>
        </xdr:nvPicPr>
        <xdr:blipFill>
          <a:blip xmlns:r="http://schemas.openxmlformats.org/officeDocument/2006/relationships" r:embed="rId32">
            <a:duotone>
              <a:schemeClr val="accent6">
                <a:shade val="45000"/>
                <a:satMod val="135000"/>
              </a:schemeClr>
              <a:prstClr val="white"/>
            </a:duotone>
            <a:extLst>
              <a:ext uri="{96DAC541-7B7A-43D3-8B79-37D633B846F1}">
                <asvg:svgBlip xmlns:asvg="http://schemas.microsoft.com/office/drawing/2016/SVG/main" r:embed="rId33"/>
              </a:ext>
            </a:extLst>
          </a:blip>
          <a:stretch>
            <a:fillRect/>
          </a:stretch>
        </xdr:blipFill>
        <xdr:spPr>
          <a:xfrm>
            <a:off x="9229725" y="38099"/>
            <a:ext cx="369675" cy="369675"/>
          </a:xfrm>
          <a:prstGeom prst="rect">
            <a:avLst/>
          </a:prstGeom>
        </xdr:spPr>
      </xdr:pic>
      <xdr:sp macro="" textlink="">
        <xdr:nvSpPr>
          <xdr:cNvPr id="34848" name="Right Arrow 50">
            <a:hlinkClick xmlns:r="http://schemas.openxmlformats.org/officeDocument/2006/relationships" r:id="rId14"/>
            <a:extLst>
              <a:ext uri="{FF2B5EF4-FFF2-40B4-BE49-F238E27FC236}">
                <a16:creationId xmlns:a16="http://schemas.microsoft.com/office/drawing/2014/main" id="{773BE469-6B8F-5897-6193-52F4A03C4CC1}"/>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34849" name="Right Arrow 50">
            <a:hlinkClick xmlns:r="http://schemas.openxmlformats.org/officeDocument/2006/relationships" r:id="rId15"/>
            <a:extLst>
              <a:ext uri="{FF2B5EF4-FFF2-40B4-BE49-F238E27FC236}">
                <a16:creationId xmlns:a16="http://schemas.microsoft.com/office/drawing/2014/main" id="{6F07022E-C08B-53C4-3CFD-57232D09D653}"/>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34850" name="Picture 34849">
            <a:hlinkClick xmlns:r="http://schemas.openxmlformats.org/officeDocument/2006/relationships" r:id="rId19"/>
            <a:extLst>
              <a:ext uri="{FF2B5EF4-FFF2-40B4-BE49-F238E27FC236}">
                <a16:creationId xmlns:a16="http://schemas.microsoft.com/office/drawing/2014/main" id="{16EB2495-873A-FDCB-6123-629FBBEF97C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34851" name="Rectangle 34850">
            <a:extLst>
              <a:ext uri="{FF2B5EF4-FFF2-40B4-BE49-F238E27FC236}">
                <a16:creationId xmlns:a16="http://schemas.microsoft.com/office/drawing/2014/main" id="{F05AB372-0C9C-CFCB-3F39-F989FF03A4AF}"/>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4" name="Down Arrow 44">
          <a:hlinkClick xmlns:r="http://schemas.openxmlformats.org/officeDocument/2006/relationships" r:id="rId10"/>
          <a:extLst>
            <a:ext uri="{FF2B5EF4-FFF2-40B4-BE49-F238E27FC236}">
              <a16:creationId xmlns:a16="http://schemas.microsoft.com/office/drawing/2014/main" id="{A07F5C64-1B23-4495-88C1-6715AB82D6C4}"/>
            </a:ext>
          </a:extLst>
        </xdr:cNvPr>
        <xdr:cNvSpPr>
          <a:spLocks noChangeArrowheads="1"/>
        </xdr:cNvSpPr>
      </xdr:nvSpPr>
      <xdr:spPr bwMode="auto">
        <a:xfrm flipV="1">
          <a:off x="9296399" y="64293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5" name="Down Arrow 44">
          <a:hlinkClick xmlns:r="http://schemas.openxmlformats.org/officeDocument/2006/relationships" r:id="rId10"/>
          <a:extLst>
            <a:ext uri="{FF2B5EF4-FFF2-40B4-BE49-F238E27FC236}">
              <a16:creationId xmlns:a16="http://schemas.microsoft.com/office/drawing/2014/main" id="{F12E59FD-5A19-4C8A-9636-C8DB4FE253FC}"/>
            </a:ext>
          </a:extLst>
        </xdr:cNvPr>
        <xdr:cNvSpPr>
          <a:spLocks noChangeArrowheads="1"/>
        </xdr:cNvSpPr>
      </xdr:nvSpPr>
      <xdr:spPr bwMode="auto">
        <a:xfrm flipV="1">
          <a:off x="9286874" y="64198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101</xdr:row>
      <xdr:rowOff>0</xdr:rowOff>
    </xdr:from>
    <xdr:ext cx="252000" cy="288000"/>
    <xdr:sp macro="" textlink="">
      <xdr:nvSpPr>
        <xdr:cNvPr id="7" name="Down Arrow 44">
          <a:hlinkClick xmlns:r="http://schemas.openxmlformats.org/officeDocument/2006/relationships" r:id="rId10"/>
          <a:extLst>
            <a:ext uri="{FF2B5EF4-FFF2-40B4-BE49-F238E27FC236}">
              <a16:creationId xmlns:a16="http://schemas.microsoft.com/office/drawing/2014/main" id="{C0FA4A43-020F-4D9C-83C3-428EE0D5AE1A}"/>
            </a:ext>
          </a:extLst>
        </xdr:cNvPr>
        <xdr:cNvSpPr>
          <a:spLocks noChangeArrowheads="1"/>
        </xdr:cNvSpPr>
      </xdr:nvSpPr>
      <xdr:spPr bwMode="auto">
        <a:xfrm flipV="1">
          <a:off x="9286874" y="64198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168</xdr:row>
      <xdr:rowOff>0</xdr:rowOff>
    </xdr:from>
    <xdr:ext cx="252000" cy="288000"/>
    <xdr:sp macro="" textlink="">
      <xdr:nvSpPr>
        <xdr:cNvPr id="37" name="Down Arrow 44">
          <a:hlinkClick xmlns:r="http://schemas.openxmlformats.org/officeDocument/2006/relationships" r:id="rId10"/>
          <a:extLst>
            <a:ext uri="{FF2B5EF4-FFF2-40B4-BE49-F238E27FC236}">
              <a16:creationId xmlns:a16="http://schemas.microsoft.com/office/drawing/2014/main" id="{469BDAE2-E14C-420D-983A-ECCC81BF576B}"/>
            </a:ext>
          </a:extLst>
        </xdr:cNvPr>
        <xdr:cNvSpPr>
          <a:spLocks noChangeArrowheads="1"/>
        </xdr:cNvSpPr>
      </xdr:nvSpPr>
      <xdr:spPr bwMode="auto">
        <a:xfrm flipV="1">
          <a:off x="9286874" y="64198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C85100"/>
        </a:solidFill>
        <a:ln w="19050">
          <a:solidFill>
            <a:srgbClr val="C85100"/>
          </a:solidFill>
          <a:round/>
          <a:headEnd/>
          <a:tailEnd/>
        </a:ln>
      </a:spPr>
      <a:bodyPr vertOverflow="clip" wrap="square" lIns="27432" tIns="22860" rIns="27432" bIns="0" anchor="ctr" upright="1"/>
      <a:lstStyle>
        <a:defPPr algn="ctr" rtl="0">
          <a:defRPr sz="1200" b="1" i="0" u="none" strike="noStrike" baseline="0">
            <a:solidFill>
              <a:srgbClr val="FFFFFF"/>
            </a:solidFill>
            <a:latin typeface="Arial"/>
            <a:cs typeface="Arial"/>
          </a:defRPr>
        </a:defPPr>
      </a:lstStyle>
    </a:sp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6" Type="http://schemas.openxmlformats.org/officeDocument/2006/relationships/hyperlink" Target="https://www.datatoinsight.org/riia-quarterly" TargetMode="External"/><Relationship Id="rId21" Type="http://schemas.openxmlformats.org/officeDocument/2006/relationships/hyperlink" Target="https://www.gov.uk/childcare-parenting/data-collection-for-looked-after-children" TargetMode="External"/><Relationship Id="rId34" Type="http://schemas.openxmlformats.org/officeDocument/2006/relationships/hyperlink" Target="https://www.datatoinsight.org/riia-quarterly" TargetMode="External"/><Relationship Id="rId42" Type="http://schemas.openxmlformats.org/officeDocument/2006/relationships/hyperlink" Target="https://www.datatoinsight.org/riia-quarterly" TargetMode="External"/><Relationship Id="rId47" Type="http://schemas.openxmlformats.org/officeDocument/2006/relationships/hyperlink" Target="https://www.gov.uk/guidance/children-in-need-census" TargetMode="External"/><Relationship Id="rId50" Type="http://schemas.openxmlformats.org/officeDocument/2006/relationships/hyperlink" Target="https://www.datatoinsight.org/riia-quarterly" TargetMode="External"/><Relationship Id="rId55" Type="http://schemas.openxmlformats.org/officeDocument/2006/relationships/hyperlink" Target="https://www.gov.uk/guidance/children-in-need-census" TargetMode="External"/><Relationship Id="rId63" Type="http://schemas.openxmlformats.org/officeDocument/2006/relationships/hyperlink" Target="https://www.gov.uk/guidance/children-in-need-census" TargetMode="External"/><Relationship Id="rId68" Type="http://schemas.openxmlformats.org/officeDocument/2006/relationships/drawing" Target="../drawings/drawing4.xml"/><Relationship Id="rId7" Type="http://schemas.openxmlformats.org/officeDocument/2006/relationships/hyperlink" Target="https://www.gov.uk/childcare-parenting/data-collection-for-looked-after-children" TargetMode="External"/><Relationship Id="rId2" Type="http://schemas.openxmlformats.org/officeDocument/2006/relationships/hyperlink" Target="https://www.cafcass.gov.uk/about-us/our-data" TargetMode="External"/><Relationship Id="rId16" Type="http://schemas.openxmlformats.org/officeDocument/2006/relationships/hyperlink" Target="https://www.gov.uk/guidance/children-in-need-census" TargetMode="External"/><Relationship Id="rId29" Type="http://schemas.openxmlformats.org/officeDocument/2006/relationships/hyperlink" Target="https://www.gov.uk/guidance/children-in-need-census" TargetMode="External"/><Relationship Id="rId11" Type="http://schemas.openxmlformats.org/officeDocument/2006/relationships/hyperlink" Target="https://www.gov.uk/childcare-parenting/data-collection-for-looked-after-children" TargetMode="External"/><Relationship Id="rId24" Type="http://schemas.openxmlformats.org/officeDocument/2006/relationships/hyperlink" Target="https://www.gov.uk/childcare-parenting/data-collection-for-looked-after-children" TargetMode="External"/><Relationship Id="rId32" Type="http://schemas.openxmlformats.org/officeDocument/2006/relationships/hyperlink" Target="https://www.datatoinsight.org/riia-quarterly" TargetMode="External"/><Relationship Id="rId37" Type="http://schemas.openxmlformats.org/officeDocument/2006/relationships/hyperlink" Target="https://www.gov.uk/guidance/children-in-need-census" TargetMode="External"/><Relationship Id="rId40" Type="http://schemas.openxmlformats.org/officeDocument/2006/relationships/hyperlink" Target="https://www.datatoinsight.org/riia-quarterly" TargetMode="External"/><Relationship Id="rId45" Type="http://schemas.openxmlformats.org/officeDocument/2006/relationships/hyperlink" Target="https://www.gov.uk/guidance/children-in-need-census" TargetMode="External"/><Relationship Id="rId53" Type="http://schemas.openxmlformats.org/officeDocument/2006/relationships/hyperlink" Target="https://www.gov.uk/guidance/children-in-need-census" TargetMode="External"/><Relationship Id="rId58" Type="http://schemas.openxmlformats.org/officeDocument/2006/relationships/hyperlink" Target="https://www.datatoinsight.org/riia-quarterly" TargetMode="External"/><Relationship Id="rId66" Type="http://schemas.openxmlformats.org/officeDocument/2006/relationships/hyperlink" Target="https://www.datatoinsight.org/riia-quarterly" TargetMode="External"/><Relationship Id="rId5" Type="http://schemas.openxmlformats.org/officeDocument/2006/relationships/hyperlink" Target="https://www.gov.uk/government/collections/statistics-neet" TargetMode="External"/><Relationship Id="rId61" Type="http://schemas.openxmlformats.org/officeDocument/2006/relationships/hyperlink" Target="https://www.gov.uk/guidance/children-in-need-census" TargetMode="External"/><Relationship Id="rId19" Type="http://schemas.openxmlformats.org/officeDocument/2006/relationships/hyperlink" Target="https://www.gov.uk/guidance/children-in-need-census" TargetMode="External"/><Relationship Id="rId14" Type="http://schemas.openxmlformats.org/officeDocument/2006/relationships/hyperlink" Target="https://www.gov.uk/guidance/children-in-need-census" TargetMode="External"/><Relationship Id="rId22" Type="http://schemas.openxmlformats.org/officeDocument/2006/relationships/hyperlink" Target="https://www.gov.uk/childcare-parenting/data-collection-for-looked-after-children" TargetMode="External"/><Relationship Id="rId27" Type="http://schemas.openxmlformats.org/officeDocument/2006/relationships/hyperlink" Target="https://www.datatoinsight.org/riia-quarterly" TargetMode="External"/><Relationship Id="rId30" Type="http://schemas.openxmlformats.org/officeDocument/2006/relationships/hyperlink" Target="https://www.datatoinsight.org/riia-quarterly" TargetMode="External"/><Relationship Id="rId35" Type="http://schemas.openxmlformats.org/officeDocument/2006/relationships/hyperlink" Target="https://www.gov.uk/guidance/children-in-need-census" TargetMode="External"/><Relationship Id="rId43" Type="http://schemas.openxmlformats.org/officeDocument/2006/relationships/hyperlink" Target="https://www.gov.uk/guidance/children-in-need-census" TargetMode="External"/><Relationship Id="rId48" Type="http://schemas.openxmlformats.org/officeDocument/2006/relationships/hyperlink" Target="https://www.datatoinsight.org/riia-quarterly" TargetMode="External"/><Relationship Id="rId56" Type="http://schemas.openxmlformats.org/officeDocument/2006/relationships/hyperlink" Target="https://www.datatoinsight.org/riia-quarterly" TargetMode="External"/><Relationship Id="rId64" Type="http://schemas.openxmlformats.org/officeDocument/2006/relationships/hyperlink" Target="https://www.datatoinsight.org/riia-quarterly" TargetMode="External"/><Relationship Id="rId8" Type="http://schemas.openxmlformats.org/officeDocument/2006/relationships/hyperlink" Target="https://www.gov.uk/childcare-parenting/data-collection-for-looked-after-children" TargetMode="External"/><Relationship Id="rId51" Type="http://schemas.openxmlformats.org/officeDocument/2006/relationships/hyperlink" Target="https://www.gov.uk/guidance/children-in-need-census" TargetMode="External"/><Relationship Id="rId3" Type="http://schemas.openxmlformats.org/officeDocument/2006/relationships/hyperlink" Target="https://www.gov.uk/government/statistics/first-time-entrants-fte-into-the-criminal-justice-system-and-offender-histories-year-ending-december-2023" TargetMode="External"/><Relationship Id="rId12" Type="http://schemas.openxmlformats.org/officeDocument/2006/relationships/hyperlink" Target="https://www.gov.uk/childcare-parenting/data-collection-for-looked-after-children" TargetMode="External"/><Relationship Id="rId17" Type="http://schemas.openxmlformats.org/officeDocument/2006/relationships/hyperlink" Target="https://www.gov.uk/guidance/children-in-need-census" TargetMode="External"/><Relationship Id="rId25" Type="http://schemas.openxmlformats.org/officeDocument/2006/relationships/hyperlink" Target="https://www.datatoinsight.org/riia-quarterly" TargetMode="External"/><Relationship Id="rId33" Type="http://schemas.openxmlformats.org/officeDocument/2006/relationships/hyperlink" Target="https://www.gov.uk/guidance/children-in-need-census" TargetMode="External"/><Relationship Id="rId38" Type="http://schemas.openxmlformats.org/officeDocument/2006/relationships/hyperlink" Target="https://www.datatoinsight.org/riia-quarterly" TargetMode="External"/><Relationship Id="rId46" Type="http://schemas.openxmlformats.org/officeDocument/2006/relationships/hyperlink" Target="https://www.datatoinsight.org/riia-quarterly" TargetMode="External"/><Relationship Id="rId59" Type="http://schemas.openxmlformats.org/officeDocument/2006/relationships/hyperlink" Target="https://www.gov.uk/guidance/children-in-need-census" TargetMode="External"/><Relationship Id="rId67" Type="http://schemas.openxmlformats.org/officeDocument/2006/relationships/printerSettings" Target="../printerSettings/printerSettings11.bin"/><Relationship Id="rId20" Type="http://schemas.openxmlformats.org/officeDocument/2006/relationships/hyperlink" Target="https://www.gov.uk/childcare-parenting/data-collection-for-looked-after-children" TargetMode="External"/><Relationship Id="rId41" Type="http://schemas.openxmlformats.org/officeDocument/2006/relationships/hyperlink" Target="https://www.gov.uk/guidance/children-in-need-census" TargetMode="External"/><Relationship Id="rId54" Type="http://schemas.openxmlformats.org/officeDocument/2006/relationships/hyperlink" Target="https://www.datatoinsight.org/riia-quarterly" TargetMode="External"/><Relationship Id="rId62" Type="http://schemas.openxmlformats.org/officeDocument/2006/relationships/hyperlink" Target="https://www.datatoinsight.org/riia-quarterly" TargetMode="External"/><Relationship Id="rId1" Type="http://schemas.openxmlformats.org/officeDocument/2006/relationships/hyperlink" Target="https://www.cafcass.gov.uk/about-us/our-data" TargetMode="External"/><Relationship Id="rId6" Type="http://schemas.openxmlformats.org/officeDocument/2006/relationships/hyperlink" Target="https://www.gov.uk/government/collections/statistics-neet" TargetMode="External"/><Relationship Id="rId15" Type="http://schemas.openxmlformats.org/officeDocument/2006/relationships/hyperlink" Target="https://www.gov.uk/guidance/children-in-need-census" TargetMode="External"/><Relationship Id="rId23" Type="http://schemas.openxmlformats.org/officeDocument/2006/relationships/hyperlink" Target="https://www.gov.uk/childcare-parenting/data-collection-for-looked-after-children" TargetMode="External"/><Relationship Id="rId28" Type="http://schemas.openxmlformats.org/officeDocument/2006/relationships/hyperlink" Target="https://www.datatoinsight.org/riia-quarterly" TargetMode="External"/><Relationship Id="rId36" Type="http://schemas.openxmlformats.org/officeDocument/2006/relationships/hyperlink" Target="https://www.datatoinsight.org/riia-quarterly" TargetMode="External"/><Relationship Id="rId49" Type="http://schemas.openxmlformats.org/officeDocument/2006/relationships/hyperlink" Target="https://www.gov.uk/guidance/children-in-need-census" TargetMode="External"/><Relationship Id="rId57" Type="http://schemas.openxmlformats.org/officeDocument/2006/relationships/hyperlink" Target="https://www.gov.uk/guidance/children-in-need-census" TargetMode="External"/><Relationship Id="rId10" Type="http://schemas.openxmlformats.org/officeDocument/2006/relationships/hyperlink" Target="https://www.gov.uk/childcare-parenting/data-collection-for-looked-after-children" TargetMode="External"/><Relationship Id="rId31" Type="http://schemas.openxmlformats.org/officeDocument/2006/relationships/hyperlink" Target="https://www.gov.uk/guidance/children-in-need-census" TargetMode="External"/><Relationship Id="rId44" Type="http://schemas.openxmlformats.org/officeDocument/2006/relationships/hyperlink" Target="https://www.datatoinsight.org/riia-quarterly" TargetMode="External"/><Relationship Id="rId52" Type="http://schemas.openxmlformats.org/officeDocument/2006/relationships/hyperlink" Target="https://www.datatoinsight.org/riia-quarterly" TargetMode="External"/><Relationship Id="rId60" Type="http://schemas.openxmlformats.org/officeDocument/2006/relationships/hyperlink" Target="https://www.datatoinsight.org/riia-quarterly" TargetMode="External"/><Relationship Id="rId65" Type="http://schemas.openxmlformats.org/officeDocument/2006/relationships/hyperlink" Target="https://www.gov.uk/guidance/children-in-need-census" TargetMode="External"/><Relationship Id="rId4" Type="http://schemas.openxmlformats.org/officeDocument/2006/relationships/hyperlink" Target="https://www.gov.uk/government/collections/statistics-neet" TargetMode="External"/><Relationship Id="rId9" Type="http://schemas.openxmlformats.org/officeDocument/2006/relationships/hyperlink" Target="https://www.gov.uk/childcare-parenting/data-collection-for-looked-after-children" TargetMode="External"/><Relationship Id="rId13" Type="http://schemas.openxmlformats.org/officeDocument/2006/relationships/hyperlink" Target="https://www.coram.org.uk/adoption-and-special-guardianship-leadership-board/" TargetMode="External"/><Relationship Id="rId18" Type="http://schemas.openxmlformats.org/officeDocument/2006/relationships/hyperlink" Target="https://www.gov.uk/guidance/children-in-need-census" TargetMode="External"/><Relationship Id="rId39" Type="http://schemas.openxmlformats.org/officeDocument/2006/relationships/hyperlink" Target="https://www.gov.uk/guidance/children-in-need-census"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9.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18"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39.xml"/><Relationship Id="rId7" Type="http://schemas.openxmlformats.org/officeDocument/2006/relationships/ctrlProp" Target="../ctrlProps/ctrlProp25.xml"/><Relationship Id="rId12" Type="http://schemas.openxmlformats.org/officeDocument/2006/relationships/ctrlProp" Target="../ctrlProps/ctrlProp30.xml"/><Relationship Id="rId17" Type="http://schemas.openxmlformats.org/officeDocument/2006/relationships/ctrlProp" Target="../ctrlProps/ctrlProp35.xml"/><Relationship Id="rId2" Type="http://schemas.openxmlformats.org/officeDocument/2006/relationships/drawing" Target="../drawings/drawing11.xml"/><Relationship Id="rId16" Type="http://schemas.openxmlformats.org/officeDocument/2006/relationships/ctrlProp" Target="../ctrlProps/ctrlProp34.xml"/><Relationship Id="rId20" Type="http://schemas.openxmlformats.org/officeDocument/2006/relationships/ctrlProp" Target="../ctrlProps/ctrlProp38.xml"/><Relationship Id="rId1" Type="http://schemas.openxmlformats.org/officeDocument/2006/relationships/printerSettings" Target="../printerSettings/printerSettings17.bin"/><Relationship Id="rId6" Type="http://schemas.openxmlformats.org/officeDocument/2006/relationships/ctrlProp" Target="../ctrlProps/ctrlProp24.xml"/><Relationship Id="rId11" Type="http://schemas.openxmlformats.org/officeDocument/2006/relationships/ctrlProp" Target="../ctrlProps/ctrlProp29.xml"/><Relationship Id="rId24" Type="http://schemas.openxmlformats.org/officeDocument/2006/relationships/ctrlProp" Target="../ctrlProps/ctrlProp42.xml"/><Relationship Id="rId5" Type="http://schemas.openxmlformats.org/officeDocument/2006/relationships/ctrlProp" Target="../ctrlProps/ctrlProp23.xml"/><Relationship Id="rId15" Type="http://schemas.openxmlformats.org/officeDocument/2006/relationships/ctrlProp" Target="../ctrlProps/ctrlProp33.xml"/><Relationship Id="rId23" Type="http://schemas.openxmlformats.org/officeDocument/2006/relationships/ctrlProp" Target="../ctrlProps/ctrlProp41.xml"/><Relationship Id="rId10" Type="http://schemas.openxmlformats.org/officeDocument/2006/relationships/ctrlProp" Target="../ctrlProps/ctrlProp28.xml"/><Relationship Id="rId19" Type="http://schemas.openxmlformats.org/officeDocument/2006/relationships/ctrlProp" Target="../ctrlProps/ctrlProp37.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 Id="rId22" Type="http://schemas.openxmlformats.org/officeDocument/2006/relationships/ctrlProp" Target="../ctrlProps/ctrlProp40.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18" Type="http://schemas.openxmlformats.org/officeDocument/2006/relationships/ctrlProp" Target="../ctrlProps/ctrlProp57.xml"/><Relationship Id="rId3" Type="http://schemas.openxmlformats.org/officeDocument/2006/relationships/vmlDrawing" Target="../drawings/vmlDrawing3.vml"/><Relationship Id="rId21" Type="http://schemas.openxmlformats.org/officeDocument/2006/relationships/ctrlProp" Target="../ctrlProps/ctrlProp60.xml"/><Relationship Id="rId7" Type="http://schemas.openxmlformats.org/officeDocument/2006/relationships/ctrlProp" Target="../ctrlProps/ctrlProp46.xml"/><Relationship Id="rId12" Type="http://schemas.openxmlformats.org/officeDocument/2006/relationships/ctrlProp" Target="../ctrlProps/ctrlProp51.xml"/><Relationship Id="rId17" Type="http://schemas.openxmlformats.org/officeDocument/2006/relationships/ctrlProp" Target="../ctrlProps/ctrlProp56.xml"/><Relationship Id="rId2" Type="http://schemas.openxmlformats.org/officeDocument/2006/relationships/drawing" Target="../drawings/drawing12.xml"/><Relationship Id="rId16" Type="http://schemas.openxmlformats.org/officeDocument/2006/relationships/ctrlProp" Target="../ctrlProps/ctrlProp55.xml"/><Relationship Id="rId20" Type="http://schemas.openxmlformats.org/officeDocument/2006/relationships/ctrlProp" Target="../ctrlProps/ctrlProp59.xml"/><Relationship Id="rId1" Type="http://schemas.openxmlformats.org/officeDocument/2006/relationships/printerSettings" Target="../printerSettings/printerSettings18.bin"/><Relationship Id="rId6" Type="http://schemas.openxmlformats.org/officeDocument/2006/relationships/ctrlProp" Target="../ctrlProps/ctrlProp45.xml"/><Relationship Id="rId11" Type="http://schemas.openxmlformats.org/officeDocument/2006/relationships/ctrlProp" Target="../ctrlProps/ctrlProp50.xml"/><Relationship Id="rId24" Type="http://schemas.openxmlformats.org/officeDocument/2006/relationships/ctrlProp" Target="../ctrlProps/ctrlProp63.xml"/><Relationship Id="rId5" Type="http://schemas.openxmlformats.org/officeDocument/2006/relationships/ctrlProp" Target="../ctrlProps/ctrlProp44.xml"/><Relationship Id="rId15" Type="http://schemas.openxmlformats.org/officeDocument/2006/relationships/ctrlProp" Target="../ctrlProps/ctrlProp54.xml"/><Relationship Id="rId23" Type="http://schemas.openxmlformats.org/officeDocument/2006/relationships/ctrlProp" Target="../ctrlProps/ctrlProp62.xml"/><Relationship Id="rId10" Type="http://schemas.openxmlformats.org/officeDocument/2006/relationships/ctrlProp" Target="../ctrlProps/ctrlProp49.xml"/><Relationship Id="rId19" Type="http://schemas.openxmlformats.org/officeDocument/2006/relationships/ctrlProp" Target="../ctrlProps/ctrlProp58.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 Id="rId22" Type="http://schemas.openxmlformats.org/officeDocument/2006/relationships/ctrlProp" Target="../ctrlProps/ctrlProp6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3" Type="http://schemas.openxmlformats.org/officeDocument/2006/relationships/vmlDrawing" Target="../drawings/vmlDrawing4.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 Type="http://schemas.openxmlformats.org/officeDocument/2006/relationships/drawing" Target="../drawings/drawing13.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19.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89.xml"/><Relationship Id="rId13" Type="http://schemas.openxmlformats.org/officeDocument/2006/relationships/ctrlProp" Target="../ctrlProps/ctrlProp94.xml"/><Relationship Id="rId18" Type="http://schemas.openxmlformats.org/officeDocument/2006/relationships/ctrlProp" Target="../ctrlProps/ctrlProp99.xml"/><Relationship Id="rId3" Type="http://schemas.openxmlformats.org/officeDocument/2006/relationships/vmlDrawing" Target="../drawings/vmlDrawing5.vml"/><Relationship Id="rId21" Type="http://schemas.openxmlformats.org/officeDocument/2006/relationships/ctrlProp" Target="../ctrlProps/ctrlProp102.xml"/><Relationship Id="rId7" Type="http://schemas.openxmlformats.org/officeDocument/2006/relationships/ctrlProp" Target="../ctrlProps/ctrlProp88.xml"/><Relationship Id="rId12" Type="http://schemas.openxmlformats.org/officeDocument/2006/relationships/ctrlProp" Target="../ctrlProps/ctrlProp93.xml"/><Relationship Id="rId17" Type="http://schemas.openxmlformats.org/officeDocument/2006/relationships/ctrlProp" Target="../ctrlProps/ctrlProp98.xml"/><Relationship Id="rId2" Type="http://schemas.openxmlformats.org/officeDocument/2006/relationships/drawing" Target="../drawings/drawing14.xml"/><Relationship Id="rId16" Type="http://schemas.openxmlformats.org/officeDocument/2006/relationships/ctrlProp" Target="../ctrlProps/ctrlProp97.xml"/><Relationship Id="rId20" Type="http://schemas.openxmlformats.org/officeDocument/2006/relationships/ctrlProp" Target="../ctrlProps/ctrlProp101.xml"/><Relationship Id="rId1" Type="http://schemas.openxmlformats.org/officeDocument/2006/relationships/printerSettings" Target="../printerSettings/printerSettings20.bin"/><Relationship Id="rId6" Type="http://schemas.openxmlformats.org/officeDocument/2006/relationships/ctrlProp" Target="../ctrlProps/ctrlProp87.xml"/><Relationship Id="rId11" Type="http://schemas.openxmlformats.org/officeDocument/2006/relationships/ctrlProp" Target="../ctrlProps/ctrlProp92.xml"/><Relationship Id="rId24" Type="http://schemas.openxmlformats.org/officeDocument/2006/relationships/ctrlProp" Target="../ctrlProps/ctrlProp105.xml"/><Relationship Id="rId5" Type="http://schemas.openxmlformats.org/officeDocument/2006/relationships/ctrlProp" Target="../ctrlProps/ctrlProp86.xml"/><Relationship Id="rId15" Type="http://schemas.openxmlformats.org/officeDocument/2006/relationships/ctrlProp" Target="../ctrlProps/ctrlProp96.xml"/><Relationship Id="rId23" Type="http://schemas.openxmlformats.org/officeDocument/2006/relationships/ctrlProp" Target="../ctrlProps/ctrlProp104.xml"/><Relationship Id="rId10" Type="http://schemas.openxmlformats.org/officeDocument/2006/relationships/ctrlProp" Target="../ctrlProps/ctrlProp91.xml"/><Relationship Id="rId19" Type="http://schemas.openxmlformats.org/officeDocument/2006/relationships/ctrlProp" Target="../ctrlProps/ctrlProp100.xml"/><Relationship Id="rId4" Type="http://schemas.openxmlformats.org/officeDocument/2006/relationships/ctrlProp" Target="../ctrlProps/ctrlProp85.xml"/><Relationship Id="rId9" Type="http://schemas.openxmlformats.org/officeDocument/2006/relationships/ctrlProp" Target="../ctrlProps/ctrlProp90.xml"/><Relationship Id="rId14" Type="http://schemas.openxmlformats.org/officeDocument/2006/relationships/ctrlProp" Target="../ctrlProps/ctrlProp95.xml"/><Relationship Id="rId22" Type="http://schemas.openxmlformats.org/officeDocument/2006/relationships/ctrlProp" Target="../ctrlProps/ctrlProp103.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110.xml"/><Relationship Id="rId13" Type="http://schemas.openxmlformats.org/officeDocument/2006/relationships/ctrlProp" Target="../ctrlProps/ctrlProp115.xml"/><Relationship Id="rId18" Type="http://schemas.openxmlformats.org/officeDocument/2006/relationships/ctrlProp" Target="../ctrlProps/ctrlProp120.xml"/><Relationship Id="rId3" Type="http://schemas.openxmlformats.org/officeDocument/2006/relationships/vmlDrawing" Target="../drawings/vmlDrawing6.vml"/><Relationship Id="rId21" Type="http://schemas.openxmlformats.org/officeDocument/2006/relationships/ctrlProp" Target="../ctrlProps/ctrlProp123.xml"/><Relationship Id="rId7" Type="http://schemas.openxmlformats.org/officeDocument/2006/relationships/ctrlProp" Target="../ctrlProps/ctrlProp109.xml"/><Relationship Id="rId12" Type="http://schemas.openxmlformats.org/officeDocument/2006/relationships/ctrlProp" Target="../ctrlProps/ctrlProp114.xml"/><Relationship Id="rId17" Type="http://schemas.openxmlformats.org/officeDocument/2006/relationships/ctrlProp" Target="../ctrlProps/ctrlProp119.xml"/><Relationship Id="rId2" Type="http://schemas.openxmlformats.org/officeDocument/2006/relationships/drawing" Target="../drawings/drawing15.xml"/><Relationship Id="rId16" Type="http://schemas.openxmlformats.org/officeDocument/2006/relationships/ctrlProp" Target="../ctrlProps/ctrlProp118.xml"/><Relationship Id="rId20" Type="http://schemas.openxmlformats.org/officeDocument/2006/relationships/ctrlProp" Target="../ctrlProps/ctrlProp122.xml"/><Relationship Id="rId1" Type="http://schemas.openxmlformats.org/officeDocument/2006/relationships/printerSettings" Target="../printerSettings/printerSettings21.bin"/><Relationship Id="rId6" Type="http://schemas.openxmlformats.org/officeDocument/2006/relationships/ctrlProp" Target="../ctrlProps/ctrlProp108.xml"/><Relationship Id="rId11" Type="http://schemas.openxmlformats.org/officeDocument/2006/relationships/ctrlProp" Target="../ctrlProps/ctrlProp113.xml"/><Relationship Id="rId24" Type="http://schemas.openxmlformats.org/officeDocument/2006/relationships/ctrlProp" Target="../ctrlProps/ctrlProp126.xml"/><Relationship Id="rId5" Type="http://schemas.openxmlformats.org/officeDocument/2006/relationships/ctrlProp" Target="../ctrlProps/ctrlProp107.xml"/><Relationship Id="rId15" Type="http://schemas.openxmlformats.org/officeDocument/2006/relationships/ctrlProp" Target="../ctrlProps/ctrlProp117.xml"/><Relationship Id="rId23" Type="http://schemas.openxmlformats.org/officeDocument/2006/relationships/ctrlProp" Target="../ctrlProps/ctrlProp125.xml"/><Relationship Id="rId10" Type="http://schemas.openxmlformats.org/officeDocument/2006/relationships/ctrlProp" Target="../ctrlProps/ctrlProp112.xml"/><Relationship Id="rId19" Type="http://schemas.openxmlformats.org/officeDocument/2006/relationships/ctrlProp" Target="../ctrlProps/ctrlProp121.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 Type="http://schemas.openxmlformats.org/officeDocument/2006/relationships/drawing" Target="../drawings/drawing16.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22.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152.xml"/><Relationship Id="rId13" Type="http://schemas.openxmlformats.org/officeDocument/2006/relationships/ctrlProp" Target="../ctrlProps/ctrlProp157.xml"/><Relationship Id="rId18" Type="http://schemas.openxmlformats.org/officeDocument/2006/relationships/ctrlProp" Target="../ctrlProps/ctrlProp162.xml"/><Relationship Id="rId3" Type="http://schemas.openxmlformats.org/officeDocument/2006/relationships/vmlDrawing" Target="../drawings/vmlDrawing8.vml"/><Relationship Id="rId21" Type="http://schemas.openxmlformats.org/officeDocument/2006/relationships/ctrlProp" Target="../ctrlProps/ctrlProp165.xml"/><Relationship Id="rId7" Type="http://schemas.openxmlformats.org/officeDocument/2006/relationships/ctrlProp" Target="../ctrlProps/ctrlProp151.xml"/><Relationship Id="rId12" Type="http://schemas.openxmlformats.org/officeDocument/2006/relationships/ctrlProp" Target="../ctrlProps/ctrlProp156.xml"/><Relationship Id="rId17" Type="http://schemas.openxmlformats.org/officeDocument/2006/relationships/ctrlProp" Target="../ctrlProps/ctrlProp161.xml"/><Relationship Id="rId2" Type="http://schemas.openxmlformats.org/officeDocument/2006/relationships/drawing" Target="../drawings/drawing17.xml"/><Relationship Id="rId16" Type="http://schemas.openxmlformats.org/officeDocument/2006/relationships/ctrlProp" Target="../ctrlProps/ctrlProp160.xml"/><Relationship Id="rId20" Type="http://schemas.openxmlformats.org/officeDocument/2006/relationships/ctrlProp" Target="../ctrlProps/ctrlProp164.xml"/><Relationship Id="rId1" Type="http://schemas.openxmlformats.org/officeDocument/2006/relationships/printerSettings" Target="../printerSettings/printerSettings23.bin"/><Relationship Id="rId6" Type="http://schemas.openxmlformats.org/officeDocument/2006/relationships/ctrlProp" Target="../ctrlProps/ctrlProp150.xml"/><Relationship Id="rId11" Type="http://schemas.openxmlformats.org/officeDocument/2006/relationships/ctrlProp" Target="../ctrlProps/ctrlProp155.xml"/><Relationship Id="rId24" Type="http://schemas.openxmlformats.org/officeDocument/2006/relationships/ctrlProp" Target="../ctrlProps/ctrlProp168.xml"/><Relationship Id="rId5" Type="http://schemas.openxmlformats.org/officeDocument/2006/relationships/ctrlProp" Target="../ctrlProps/ctrlProp149.xml"/><Relationship Id="rId15" Type="http://schemas.openxmlformats.org/officeDocument/2006/relationships/ctrlProp" Target="../ctrlProps/ctrlProp159.xml"/><Relationship Id="rId23" Type="http://schemas.openxmlformats.org/officeDocument/2006/relationships/ctrlProp" Target="../ctrlProps/ctrlProp167.xml"/><Relationship Id="rId10" Type="http://schemas.openxmlformats.org/officeDocument/2006/relationships/ctrlProp" Target="../ctrlProps/ctrlProp154.xml"/><Relationship Id="rId19" Type="http://schemas.openxmlformats.org/officeDocument/2006/relationships/ctrlProp" Target="../ctrlProps/ctrlProp163.xml"/><Relationship Id="rId4" Type="http://schemas.openxmlformats.org/officeDocument/2006/relationships/ctrlProp" Target="../ctrlProps/ctrlProp148.xml"/><Relationship Id="rId9" Type="http://schemas.openxmlformats.org/officeDocument/2006/relationships/ctrlProp" Target="../ctrlProps/ctrlProp153.xml"/><Relationship Id="rId14" Type="http://schemas.openxmlformats.org/officeDocument/2006/relationships/ctrlProp" Target="../ctrlProps/ctrlProp158.xml"/><Relationship Id="rId22" Type="http://schemas.openxmlformats.org/officeDocument/2006/relationships/ctrlProp" Target="../ctrlProps/ctrlProp166.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173.xml"/><Relationship Id="rId13" Type="http://schemas.openxmlformats.org/officeDocument/2006/relationships/ctrlProp" Target="../ctrlProps/ctrlProp178.xml"/><Relationship Id="rId18" Type="http://schemas.openxmlformats.org/officeDocument/2006/relationships/ctrlProp" Target="../ctrlProps/ctrlProp183.xml"/><Relationship Id="rId3" Type="http://schemas.openxmlformats.org/officeDocument/2006/relationships/vmlDrawing" Target="../drawings/vmlDrawing9.vml"/><Relationship Id="rId21" Type="http://schemas.openxmlformats.org/officeDocument/2006/relationships/ctrlProp" Target="../ctrlProps/ctrlProp186.xml"/><Relationship Id="rId7" Type="http://schemas.openxmlformats.org/officeDocument/2006/relationships/ctrlProp" Target="../ctrlProps/ctrlProp172.xml"/><Relationship Id="rId12" Type="http://schemas.openxmlformats.org/officeDocument/2006/relationships/ctrlProp" Target="../ctrlProps/ctrlProp177.xml"/><Relationship Id="rId17" Type="http://schemas.openxmlformats.org/officeDocument/2006/relationships/ctrlProp" Target="../ctrlProps/ctrlProp182.xml"/><Relationship Id="rId2" Type="http://schemas.openxmlformats.org/officeDocument/2006/relationships/drawing" Target="../drawings/drawing18.xml"/><Relationship Id="rId16" Type="http://schemas.openxmlformats.org/officeDocument/2006/relationships/ctrlProp" Target="../ctrlProps/ctrlProp181.xml"/><Relationship Id="rId20" Type="http://schemas.openxmlformats.org/officeDocument/2006/relationships/ctrlProp" Target="../ctrlProps/ctrlProp185.xml"/><Relationship Id="rId1" Type="http://schemas.openxmlformats.org/officeDocument/2006/relationships/printerSettings" Target="../printerSettings/printerSettings24.bin"/><Relationship Id="rId6" Type="http://schemas.openxmlformats.org/officeDocument/2006/relationships/ctrlProp" Target="../ctrlProps/ctrlProp171.xml"/><Relationship Id="rId11" Type="http://schemas.openxmlformats.org/officeDocument/2006/relationships/ctrlProp" Target="../ctrlProps/ctrlProp176.xml"/><Relationship Id="rId24" Type="http://schemas.openxmlformats.org/officeDocument/2006/relationships/ctrlProp" Target="../ctrlProps/ctrlProp189.xml"/><Relationship Id="rId5" Type="http://schemas.openxmlformats.org/officeDocument/2006/relationships/ctrlProp" Target="../ctrlProps/ctrlProp170.xml"/><Relationship Id="rId15" Type="http://schemas.openxmlformats.org/officeDocument/2006/relationships/ctrlProp" Target="../ctrlProps/ctrlProp180.xml"/><Relationship Id="rId23" Type="http://schemas.openxmlformats.org/officeDocument/2006/relationships/ctrlProp" Target="../ctrlProps/ctrlProp188.xml"/><Relationship Id="rId10" Type="http://schemas.openxmlformats.org/officeDocument/2006/relationships/ctrlProp" Target="../ctrlProps/ctrlProp175.xml"/><Relationship Id="rId19" Type="http://schemas.openxmlformats.org/officeDocument/2006/relationships/ctrlProp" Target="../ctrlProps/ctrlProp184.xml"/><Relationship Id="rId4" Type="http://schemas.openxmlformats.org/officeDocument/2006/relationships/ctrlProp" Target="../ctrlProps/ctrlProp169.xml"/><Relationship Id="rId9" Type="http://schemas.openxmlformats.org/officeDocument/2006/relationships/ctrlProp" Target="../ctrlProps/ctrlProp174.xml"/><Relationship Id="rId14" Type="http://schemas.openxmlformats.org/officeDocument/2006/relationships/ctrlProp" Target="../ctrlProps/ctrlProp179.xml"/><Relationship Id="rId22" Type="http://schemas.openxmlformats.org/officeDocument/2006/relationships/ctrlProp" Target="../ctrlProps/ctrlProp187.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194.xml"/><Relationship Id="rId13" Type="http://schemas.openxmlformats.org/officeDocument/2006/relationships/ctrlProp" Target="../ctrlProps/ctrlProp199.xml"/><Relationship Id="rId18" Type="http://schemas.openxmlformats.org/officeDocument/2006/relationships/ctrlProp" Target="../ctrlProps/ctrlProp204.xml"/><Relationship Id="rId3" Type="http://schemas.openxmlformats.org/officeDocument/2006/relationships/vmlDrawing" Target="../drawings/vmlDrawing10.vml"/><Relationship Id="rId21" Type="http://schemas.openxmlformats.org/officeDocument/2006/relationships/ctrlProp" Target="../ctrlProps/ctrlProp207.xml"/><Relationship Id="rId7" Type="http://schemas.openxmlformats.org/officeDocument/2006/relationships/ctrlProp" Target="../ctrlProps/ctrlProp193.xml"/><Relationship Id="rId12" Type="http://schemas.openxmlformats.org/officeDocument/2006/relationships/ctrlProp" Target="../ctrlProps/ctrlProp198.xml"/><Relationship Id="rId17" Type="http://schemas.openxmlformats.org/officeDocument/2006/relationships/ctrlProp" Target="../ctrlProps/ctrlProp203.xml"/><Relationship Id="rId2" Type="http://schemas.openxmlformats.org/officeDocument/2006/relationships/drawing" Target="../drawings/drawing19.xml"/><Relationship Id="rId16" Type="http://schemas.openxmlformats.org/officeDocument/2006/relationships/ctrlProp" Target="../ctrlProps/ctrlProp202.xml"/><Relationship Id="rId20" Type="http://schemas.openxmlformats.org/officeDocument/2006/relationships/ctrlProp" Target="../ctrlProps/ctrlProp206.xml"/><Relationship Id="rId1" Type="http://schemas.openxmlformats.org/officeDocument/2006/relationships/printerSettings" Target="../printerSettings/printerSettings25.bin"/><Relationship Id="rId6" Type="http://schemas.openxmlformats.org/officeDocument/2006/relationships/ctrlProp" Target="../ctrlProps/ctrlProp192.xml"/><Relationship Id="rId11" Type="http://schemas.openxmlformats.org/officeDocument/2006/relationships/ctrlProp" Target="../ctrlProps/ctrlProp197.xml"/><Relationship Id="rId24" Type="http://schemas.openxmlformats.org/officeDocument/2006/relationships/ctrlProp" Target="../ctrlProps/ctrlProp210.xml"/><Relationship Id="rId5" Type="http://schemas.openxmlformats.org/officeDocument/2006/relationships/ctrlProp" Target="../ctrlProps/ctrlProp191.xml"/><Relationship Id="rId15" Type="http://schemas.openxmlformats.org/officeDocument/2006/relationships/ctrlProp" Target="../ctrlProps/ctrlProp201.xml"/><Relationship Id="rId23" Type="http://schemas.openxmlformats.org/officeDocument/2006/relationships/ctrlProp" Target="../ctrlProps/ctrlProp209.xml"/><Relationship Id="rId10" Type="http://schemas.openxmlformats.org/officeDocument/2006/relationships/ctrlProp" Target="../ctrlProps/ctrlProp196.xml"/><Relationship Id="rId19" Type="http://schemas.openxmlformats.org/officeDocument/2006/relationships/ctrlProp" Target="../ctrlProps/ctrlProp205.xml"/><Relationship Id="rId4" Type="http://schemas.openxmlformats.org/officeDocument/2006/relationships/ctrlProp" Target="../ctrlProps/ctrlProp190.xml"/><Relationship Id="rId9" Type="http://schemas.openxmlformats.org/officeDocument/2006/relationships/ctrlProp" Target="../ctrlProps/ctrlProp195.xml"/><Relationship Id="rId14" Type="http://schemas.openxmlformats.org/officeDocument/2006/relationships/ctrlProp" Target="../ctrlProps/ctrlProp200.xml"/><Relationship Id="rId22" Type="http://schemas.openxmlformats.org/officeDocument/2006/relationships/ctrlProp" Target="../ctrlProps/ctrlProp208.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215.xml"/><Relationship Id="rId13" Type="http://schemas.openxmlformats.org/officeDocument/2006/relationships/ctrlProp" Target="../ctrlProps/ctrlProp220.xml"/><Relationship Id="rId18" Type="http://schemas.openxmlformats.org/officeDocument/2006/relationships/ctrlProp" Target="../ctrlProps/ctrlProp225.xml"/><Relationship Id="rId3" Type="http://schemas.openxmlformats.org/officeDocument/2006/relationships/vmlDrawing" Target="../drawings/vmlDrawing11.vml"/><Relationship Id="rId21" Type="http://schemas.openxmlformats.org/officeDocument/2006/relationships/ctrlProp" Target="../ctrlProps/ctrlProp228.xml"/><Relationship Id="rId7" Type="http://schemas.openxmlformats.org/officeDocument/2006/relationships/ctrlProp" Target="../ctrlProps/ctrlProp214.xml"/><Relationship Id="rId12" Type="http://schemas.openxmlformats.org/officeDocument/2006/relationships/ctrlProp" Target="../ctrlProps/ctrlProp219.xml"/><Relationship Id="rId17" Type="http://schemas.openxmlformats.org/officeDocument/2006/relationships/ctrlProp" Target="../ctrlProps/ctrlProp224.xml"/><Relationship Id="rId2" Type="http://schemas.openxmlformats.org/officeDocument/2006/relationships/drawing" Target="../drawings/drawing20.xml"/><Relationship Id="rId16" Type="http://schemas.openxmlformats.org/officeDocument/2006/relationships/ctrlProp" Target="../ctrlProps/ctrlProp223.xml"/><Relationship Id="rId20" Type="http://schemas.openxmlformats.org/officeDocument/2006/relationships/ctrlProp" Target="../ctrlProps/ctrlProp227.xml"/><Relationship Id="rId1" Type="http://schemas.openxmlformats.org/officeDocument/2006/relationships/printerSettings" Target="../printerSettings/printerSettings26.bin"/><Relationship Id="rId6" Type="http://schemas.openxmlformats.org/officeDocument/2006/relationships/ctrlProp" Target="../ctrlProps/ctrlProp213.xml"/><Relationship Id="rId11" Type="http://schemas.openxmlformats.org/officeDocument/2006/relationships/ctrlProp" Target="../ctrlProps/ctrlProp218.xml"/><Relationship Id="rId24" Type="http://schemas.openxmlformats.org/officeDocument/2006/relationships/ctrlProp" Target="../ctrlProps/ctrlProp231.xml"/><Relationship Id="rId5" Type="http://schemas.openxmlformats.org/officeDocument/2006/relationships/ctrlProp" Target="../ctrlProps/ctrlProp212.xml"/><Relationship Id="rId15" Type="http://schemas.openxmlformats.org/officeDocument/2006/relationships/ctrlProp" Target="../ctrlProps/ctrlProp222.xml"/><Relationship Id="rId23" Type="http://schemas.openxmlformats.org/officeDocument/2006/relationships/ctrlProp" Target="../ctrlProps/ctrlProp230.xml"/><Relationship Id="rId10" Type="http://schemas.openxmlformats.org/officeDocument/2006/relationships/ctrlProp" Target="../ctrlProps/ctrlProp217.xml"/><Relationship Id="rId19" Type="http://schemas.openxmlformats.org/officeDocument/2006/relationships/ctrlProp" Target="../ctrlProps/ctrlProp226.xml"/><Relationship Id="rId4" Type="http://schemas.openxmlformats.org/officeDocument/2006/relationships/ctrlProp" Target="../ctrlProps/ctrlProp211.xml"/><Relationship Id="rId9" Type="http://schemas.openxmlformats.org/officeDocument/2006/relationships/ctrlProp" Target="../ctrlProps/ctrlProp216.xml"/><Relationship Id="rId14" Type="http://schemas.openxmlformats.org/officeDocument/2006/relationships/ctrlProp" Target="../ctrlProps/ctrlProp221.xml"/><Relationship Id="rId22" Type="http://schemas.openxmlformats.org/officeDocument/2006/relationships/ctrlProp" Target="../ctrlProps/ctrlProp229.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236.xml"/><Relationship Id="rId13" Type="http://schemas.openxmlformats.org/officeDocument/2006/relationships/ctrlProp" Target="../ctrlProps/ctrlProp241.xml"/><Relationship Id="rId18" Type="http://schemas.openxmlformats.org/officeDocument/2006/relationships/ctrlProp" Target="../ctrlProps/ctrlProp246.xml"/><Relationship Id="rId3" Type="http://schemas.openxmlformats.org/officeDocument/2006/relationships/vmlDrawing" Target="../drawings/vmlDrawing12.vml"/><Relationship Id="rId21" Type="http://schemas.openxmlformats.org/officeDocument/2006/relationships/ctrlProp" Target="../ctrlProps/ctrlProp249.xml"/><Relationship Id="rId7" Type="http://schemas.openxmlformats.org/officeDocument/2006/relationships/ctrlProp" Target="../ctrlProps/ctrlProp235.xml"/><Relationship Id="rId12" Type="http://schemas.openxmlformats.org/officeDocument/2006/relationships/ctrlProp" Target="../ctrlProps/ctrlProp240.xml"/><Relationship Id="rId17" Type="http://schemas.openxmlformats.org/officeDocument/2006/relationships/ctrlProp" Target="../ctrlProps/ctrlProp245.xml"/><Relationship Id="rId2" Type="http://schemas.openxmlformats.org/officeDocument/2006/relationships/drawing" Target="../drawings/drawing21.xml"/><Relationship Id="rId16" Type="http://schemas.openxmlformats.org/officeDocument/2006/relationships/ctrlProp" Target="../ctrlProps/ctrlProp244.xml"/><Relationship Id="rId20" Type="http://schemas.openxmlformats.org/officeDocument/2006/relationships/ctrlProp" Target="../ctrlProps/ctrlProp248.xml"/><Relationship Id="rId1" Type="http://schemas.openxmlformats.org/officeDocument/2006/relationships/printerSettings" Target="../printerSettings/printerSettings27.bin"/><Relationship Id="rId6" Type="http://schemas.openxmlformats.org/officeDocument/2006/relationships/ctrlProp" Target="../ctrlProps/ctrlProp234.xml"/><Relationship Id="rId11" Type="http://schemas.openxmlformats.org/officeDocument/2006/relationships/ctrlProp" Target="../ctrlProps/ctrlProp239.xml"/><Relationship Id="rId5" Type="http://schemas.openxmlformats.org/officeDocument/2006/relationships/ctrlProp" Target="../ctrlProps/ctrlProp233.xml"/><Relationship Id="rId15" Type="http://schemas.openxmlformats.org/officeDocument/2006/relationships/ctrlProp" Target="../ctrlProps/ctrlProp243.xml"/><Relationship Id="rId23" Type="http://schemas.openxmlformats.org/officeDocument/2006/relationships/ctrlProp" Target="../ctrlProps/ctrlProp251.xml"/><Relationship Id="rId10" Type="http://schemas.openxmlformats.org/officeDocument/2006/relationships/ctrlProp" Target="../ctrlProps/ctrlProp238.xml"/><Relationship Id="rId19" Type="http://schemas.openxmlformats.org/officeDocument/2006/relationships/ctrlProp" Target="../ctrlProps/ctrlProp247.xml"/><Relationship Id="rId4" Type="http://schemas.openxmlformats.org/officeDocument/2006/relationships/ctrlProp" Target="../ctrlProps/ctrlProp232.xml"/><Relationship Id="rId9" Type="http://schemas.openxmlformats.org/officeDocument/2006/relationships/ctrlProp" Target="../ctrlProps/ctrlProp237.xml"/><Relationship Id="rId14" Type="http://schemas.openxmlformats.org/officeDocument/2006/relationships/ctrlProp" Target="../ctrlProps/ctrlProp242.xml"/><Relationship Id="rId22" Type="http://schemas.openxmlformats.org/officeDocument/2006/relationships/ctrlProp" Target="../ctrlProps/ctrlProp250.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256.xml"/><Relationship Id="rId13" Type="http://schemas.openxmlformats.org/officeDocument/2006/relationships/ctrlProp" Target="../ctrlProps/ctrlProp261.xml"/><Relationship Id="rId18" Type="http://schemas.openxmlformats.org/officeDocument/2006/relationships/ctrlProp" Target="../ctrlProps/ctrlProp266.xml"/><Relationship Id="rId26" Type="http://schemas.openxmlformats.org/officeDocument/2006/relationships/ctrlProp" Target="../ctrlProps/ctrlProp274.xml"/><Relationship Id="rId3" Type="http://schemas.openxmlformats.org/officeDocument/2006/relationships/vmlDrawing" Target="../drawings/vmlDrawing13.vml"/><Relationship Id="rId21" Type="http://schemas.openxmlformats.org/officeDocument/2006/relationships/ctrlProp" Target="../ctrlProps/ctrlProp269.xml"/><Relationship Id="rId7" Type="http://schemas.openxmlformats.org/officeDocument/2006/relationships/ctrlProp" Target="../ctrlProps/ctrlProp255.xml"/><Relationship Id="rId12" Type="http://schemas.openxmlformats.org/officeDocument/2006/relationships/ctrlProp" Target="../ctrlProps/ctrlProp260.xml"/><Relationship Id="rId17" Type="http://schemas.openxmlformats.org/officeDocument/2006/relationships/ctrlProp" Target="../ctrlProps/ctrlProp265.xml"/><Relationship Id="rId25" Type="http://schemas.openxmlformats.org/officeDocument/2006/relationships/ctrlProp" Target="../ctrlProps/ctrlProp273.xml"/><Relationship Id="rId2" Type="http://schemas.openxmlformats.org/officeDocument/2006/relationships/drawing" Target="../drawings/drawing22.xml"/><Relationship Id="rId16" Type="http://schemas.openxmlformats.org/officeDocument/2006/relationships/ctrlProp" Target="../ctrlProps/ctrlProp264.xml"/><Relationship Id="rId20" Type="http://schemas.openxmlformats.org/officeDocument/2006/relationships/ctrlProp" Target="../ctrlProps/ctrlProp268.xml"/><Relationship Id="rId1" Type="http://schemas.openxmlformats.org/officeDocument/2006/relationships/printerSettings" Target="../printerSettings/printerSettings28.bin"/><Relationship Id="rId6" Type="http://schemas.openxmlformats.org/officeDocument/2006/relationships/ctrlProp" Target="../ctrlProps/ctrlProp254.xml"/><Relationship Id="rId11" Type="http://schemas.openxmlformats.org/officeDocument/2006/relationships/ctrlProp" Target="../ctrlProps/ctrlProp259.xml"/><Relationship Id="rId24" Type="http://schemas.openxmlformats.org/officeDocument/2006/relationships/ctrlProp" Target="../ctrlProps/ctrlProp272.xml"/><Relationship Id="rId5" Type="http://schemas.openxmlformats.org/officeDocument/2006/relationships/ctrlProp" Target="../ctrlProps/ctrlProp253.xml"/><Relationship Id="rId15" Type="http://schemas.openxmlformats.org/officeDocument/2006/relationships/ctrlProp" Target="../ctrlProps/ctrlProp263.xml"/><Relationship Id="rId23" Type="http://schemas.openxmlformats.org/officeDocument/2006/relationships/ctrlProp" Target="../ctrlProps/ctrlProp271.xml"/><Relationship Id="rId10" Type="http://schemas.openxmlformats.org/officeDocument/2006/relationships/ctrlProp" Target="../ctrlProps/ctrlProp258.xml"/><Relationship Id="rId19" Type="http://schemas.openxmlformats.org/officeDocument/2006/relationships/ctrlProp" Target="../ctrlProps/ctrlProp267.xml"/><Relationship Id="rId4" Type="http://schemas.openxmlformats.org/officeDocument/2006/relationships/ctrlProp" Target="../ctrlProps/ctrlProp252.xml"/><Relationship Id="rId9" Type="http://schemas.openxmlformats.org/officeDocument/2006/relationships/ctrlProp" Target="../ctrlProps/ctrlProp257.xml"/><Relationship Id="rId14" Type="http://schemas.openxmlformats.org/officeDocument/2006/relationships/ctrlProp" Target="../ctrlProps/ctrlProp262.xml"/><Relationship Id="rId22" Type="http://schemas.openxmlformats.org/officeDocument/2006/relationships/ctrlProp" Target="../ctrlProps/ctrlProp27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279.xml"/><Relationship Id="rId13" Type="http://schemas.openxmlformats.org/officeDocument/2006/relationships/ctrlProp" Target="../ctrlProps/ctrlProp284.xml"/><Relationship Id="rId18" Type="http://schemas.openxmlformats.org/officeDocument/2006/relationships/ctrlProp" Target="../ctrlProps/ctrlProp289.xml"/><Relationship Id="rId3" Type="http://schemas.openxmlformats.org/officeDocument/2006/relationships/vmlDrawing" Target="../drawings/vmlDrawing14.vml"/><Relationship Id="rId21" Type="http://schemas.openxmlformats.org/officeDocument/2006/relationships/ctrlProp" Target="../ctrlProps/ctrlProp292.xml"/><Relationship Id="rId7" Type="http://schemas.openxmlformats.org/officeDocument/2006/relationships/ctrlProp" Target="../ctrlProps/ctrlProp278.xml"/><Relationship Id="rId12" Type="http://schemas.openxmlformats.org/officeDocument/2006/relationships/ctrlProp" Target="../ctrlProps/ctrlProp283.xml"/><Relationship Id="rId17" Type="http://schemas.openxmlformats.org/officeDocument/2006/relationships/ctrlProp" Target="../ctrlProps/ctrlProp288.xml"/><Relationship Id="rId2" Type="http://schemas.openxmlformats.org/officeDocument/2006/relationships/drawing" Target="../drawings/drawing23.xml"/><Relationship Id="rId16" Type="http://schemas.openxmlformats.org/officeDocument/2006/relationships/ctrlProp" Target="../ctrlProps/ctrlProp287.xml"/><Relationship Id="rId20" Type="http://schemas.openxmlformats.org/officeDocument/2006/relationships/ctrlProp" Target="../ctrlProps/ctrlProp291.xml"/><Relationship Id="rId1" Type="http://schemas.openxmlformats.org/officeDocument/2006/relationships/printerSettings" Target="../printerSettings/printerSettings29.bin"/><Relationship Id="rId6" Type="http://schemas.openxmlformats.org/officeDocument/2006/relationships/ctrlProp" Target="../ctrlProps/ctrlProp277.xml"/><Relationship Id="rId11" Type="http://schemas.openxmlformats.org/officeDocument/2006/relationships/ctrlProp" Target="../ctrlProps/ctrlProp282.xml"/><Relationship Id="rId24" Type="http://schemas.openxmlformats.org/officeDocument/2006/relationships/ctrlProp" Target="../ctrlProps/ctrlProp295.xml"/><Relationship Id="rId5" Type="http://schemas.openxmlformats.org/officeDocument/2006/relationships/ctrlProp" Target="../ctrlProps/ctrlProp276.xml"/><Relationship Id="rId15" Type="http://schemas.openxmlformats.org/officeDocument/2006/relationships/ctrlProp" Target="../ctrlProps/ctrlProp286.xml"/><Relationship Id="rId23" Type="http://schemas.openxmlformats.org/officeDocument/2006/relationships/ctrlProp" Target="../ctrlProps/ctrlProp294.xml"/><Relationship Id="rId10" Type="http://schemas.openxmlformats.org/officeDocument/2006/relationships/ctrlProp" Target="../ctrlProps/ctrlProp281.xml"/><Relationship Id="rId19" Type="http://schemas.openxmlformats.org/officeDocument/2006/relationships/ctrlProp" Target="../ctrlProps/ctrlProp290.xml"/><Relationship Id="rId4" Type="http://schemas.openxmlformats.org/officeDocument/2006/relationships/ctrlProp" Target="../ctrlProps/ctrlProp275.xml"/><Relationship Id="rId9" Type="http://schemas.openxmlformats.org/officeDocument/2006/relationships/ctrlProp" Target="../ctrlProps/ctrlProp280.xml"/><Relationship Id="rId14" Type="http://schemas.openxmlformats.org/officeDocument/2006/relationships/ctrlProp" Target="../ctrlProps/ctrlProp285.xml"/><Relationship Id="rId22" Type="http://schemas.openxmlformats.org/officeDocument/2006/relationships/ctrlProp" Target="../ctrlProps/ctrlProp293.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300.xml"/><Relationship Id="rId13" Type="http://schemas.openxmlformats.org/officeDocument/2006/relationships/ctrlProp" Target="../ctrlProps/ctrlProp305.xml"/><Relationship Id="rId18" Type="http://schemas.openxmlformats.org/officeDocument/2006/relationships/ctrlProp" Target="../ctrlProps/ctrlProp310.xml"/><Relationship Id="rId3" Type="http://schemas.openxmlformats.org/officeDocument/2006/relationships/vmlDrawing" Target="../drawings/vmlDrawing15.vml"/><Relationship Id="rId21" Type="http://schemas.openxmlformats.org/officeDocument/2006/relationships/ctrlProp" Target="../ctrlProps/ctrlProp313.xml"/><Relationship Id="rId7" Type="http://schemas.openxmlformats.org/officeDocument/2006/relationships/ctrlProp" Target="../ctrlProps/ctrlProp299.xml"/><Relationship Id="rId12" Type="http://schemas.openxmlformats.org/officeDocument/2006/relationships/ctrlProp" Target="../ctrlProps/ctrlProp304.xml"/><Relationship Id="rId17" Type="http://schemas.openxmlformats.org/officeDocument/2006/relationships/ctrlProp" Target="../ctrlProps/ctrlProp309.xml"/><Relationship Id="rId2" Type="http://schemas.openxmlformats.org/officeDocument/2006/relationships/drawing" Target="../drawings/drawing24.xml"/><Relationship Id="rId16" Type="http://schemas.openxmlformats.org/officeDocument/2006/relationships/ctrlProp" Target="../ctrlProps/ctrlProp308.xml"/><Relationship Id="rId20" Type="http://schemas.openxmlformats.org/officeDocument/2006/relationships/ctrlProp" Target="../ctrlProps/ctrlProp312.xml"/><Relationship Id="rId1" Type="http://schemas.openxmlformats.org/officeDocument/2006/relationships/printerSettings" Target="../printerSettings/printerSettings30.bin"/><Relationship Id="rId6" Type="http://schemas.openxmlformats.org/officeDocument/2006/relationships/ctrlProp" Target="../ctrlProps/ctrlProp298.xml"/><Relationship Id="rId11" Type="http://schemas.openxmlformats.org/officeDocument/2006/relationships/ctrlProp" Target="../ctrlProps/ctrlProp303.xml"/><Relationship Id="rId24" Type="http://schemas.openxmlformats.org/officeDocument/2006/relationships/ctrlProp" Target="../ctrlProps/ctrlProp316.xml"/><Relationship Id="rId5" Type="http://schemas.openxmlformats.org/officeDocument/2006/relationships/ctrlProp" Target="../ctrlProps/ctrlProp297.xml"/><Relationship Id="rId15" Type="http://schemas.openxmlformats.org/officeDocument/2006/relationships/ctrlProp" Target="../ctrlProps/ctrlProp307.xml"/><Relationship Id="rId23" Type="http://schemas.openxmlformats.org/officeDocument/2006/relationships/ctrlProp" Target="../ctrlProps/ctrlProp315.xml"/><Relationship Id="rId10" Type="http://schemas.openxmlformats.org/officeDocument/2006/relationships/ctrlProp" Target="../ctrlProps/ctrlProp302.xml"/><Relationship Id="rId19" Type="http://schemas.openxmlformats.org/officeDocument/2006/relationships/ctrlProp" Target="../ctrlProps/ctrlProp311.xml"/><Relationship Id="rId4" Type="http://schemas.openxmlformats.org/officeDocument/2006/relationships/ctrlProp" Target="../ctrlProps/ctrlProp296.xml"/><Relationship Id="rId9" Type="http://schemas.openxmlformats.org/officeDocument/2006/relationships/ctrlProp" Target="../ctrlProps/ctrlProp301.xml"/><Relationship Id="rId14" Type="http://schemas.openxmlformats.org/officeDocument/2006/relationships/ctrlProp" Target="../ctrlProps/ctrlProp306.xml"/><Relationship Id="rId22" Type="http://schemas.openxmlformats.org/officeDocument/2006/relationships/ctrlProp" Target="../ctrlProps/ctrlProp31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CSDataBenchmarking@eastsussex.gov.uk" TargetMode="External"/><Relationship Id="rId1" Type="http://schemas.openxmlformats.org/officeDocument/2006/relationships/hyperlink" Target="mailto:CSBenchmarking@eastsussex.gcsx.gov.uk"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66FFCC"/>
    <pageSetUpPr fitToPage="1"/>
  </sheetPr>
  <dimension ref="A1:AL116"/>
  <sheetViews>
    <sheetView workbookViewId="0">
      <selection activeCell="B23" sqref="B23"/>
    </sheetView>
  </sheetViews>
  <sheetFormatPr defaultColWidth="9.140625" defaultRowHeight="12.75"/>
  <cols>
    <col min="1" max="1" width="8.28515625" style="290" bestFit="1" customWidth="1"/>
    <col min="2" max="2" width="40.85546875" style="332" customWidth="1"/>
    <col min="3" max="21" width="5.42578125" style="333" customWidth="1"/>
    <col min="22" max="22" width="6.140625" style="471" bestFit="1" customWidth="1"/>
    <col min="23" max="23" width="7" style="290" bestFit="1" customWidth="1"/>
    <col min="24" max="24" width="2" style="290" bestFit="1" customWidth="1"/>
    <col min="25" max="16384" width="9.140625" style="290"/>
  </cols>
  <sheetData>
    <row r="1" spans="1:23" ht="67.5">
      <c r="A1" s="472" t="str">
        <f>IF(ReportData!$C$3="Quarterly",ReportData!$D$24&amp;" "&amp;ReportData!$D$25,ReportData!$D$22)</f>
        <v>2019/20</v>
      </c>
      <c r="B1" s="472"/>
      <c r="C1" s="772" t="s">
        <v>774</v>
      </c>
      <c r="D1" s="772" t="s">
        <v>1032</v>
      </c>
      <c r="E1" s="772" t="s">
        <v>775</v>
      </c>
      <c r="F1" s="772" t="s">
        <v>776</v>
      </c>
      <c r="G1" s="772" t="s">
        <v>777</v>
      </c>
      <c r="H1" s="772" t="s">
        <v>778</v>
      </c>
      <c r="I1" s="772" t="s">
        <v>779</v>
      </c>
      <c r="J1" s="772" t="s">
        <v>780</v>
      </c>
      <c r="K1" s="772" t="s">
        <v>781</v>
      </c>
      <c r="L1" s="772" t="s">
        <v>782</v>
      </c>
      <c r="M1" s="772" t="s">
        <v>783</v>
      </c>
      <c r="N1" s="772" t="s">
        <v>784</v>
      </c>
      <c r="O1" s="772" t="s">
        <v>785</v>
      </c>
      <c r="P1" s="772" t="s">
        <v>786</v>
      </c>
      <c r="Q1" s="772" t="s">
        <v>787</v>
      </c>
      <c r="R1" s="772" t="s">
        <v>788</v>
      </c>
      <c r="S1" s="772" t="s">
        <v>789</v>
      </c>
      <c r="T1" s="772" t="s">
        <v>1033</v>
      </c>
      <c r="U1" s="772" t="s">
        <v>790</v>
      </c>
      <c r="V1" s="379" t="s">
        <v>1071</v>
      </c>
      <c r="W1" s="380" t="s">
        <v>791</v>
      </c>
    </row>
    <row r="2" spans="1:23" s="331" customFormat="1" ht="13.5">
      <c r="A2" s="803">
        <v>1</v>
      </c>
      <c r="B2" s="473" t="s">
        <v>933</v>
      </c>
      <c r="C2" s="817"/>
      <c r="D2" s="817"/>
      <c r="E2" s="817"/>
      <c r="F2" s="817"/>
      <c r="G2" s="817"/>
      <c r="H2" s="817"/>
      <c r="I2" s="817"/>
      <c r="J2" s="817"/>
      <c r="K2" s="817"/>
      <c r="L2" s="817"/>
      <c r="M2" s="817"/>
      <c r="N2" s="817"/>
      <c r="O2" s="817"/>
      <c r="P2" s="817"/>
      <c r="Q2" s="817"/>
      <c r="R2" s="817"/>
      <c r="S2" s="817"/>
      <c r="T2" s="381"/>
      <c r="U2" s="381"/>
      <c r="V2" s="818"/>
      <c r="W2" s="820"/>
    </row>
    <row r="3" spans="1:23" s="331" customFormat="1" ht="13.5">
      <c r="A3" s="803">
        <v>2</v>
      </c>
      <c r="B3" s="473" t="s">
        <v>934</v>
      </c>
      <c r="C3" s="817"/>
      <c r="D3" s="817"/>
      <c r="E3" s="817"/>
      <c r="F3" s="817"/>
      <c r="G3" s="817"/>
      <c r="H3" s="817"/>
      <c r="I3" s="817"/>
      <c r="J3" s="817"/>
      <c r="K3" s="817"/>
      <c r="L3" s="817"/>
      <c r="M3" s="817"/>
      <c r="N3" s="817"/>
      <c r="O3" s="817"/>
      <c r="P3" s="817"/>
      <c r="Q3" s="817"/>
      <c r="R3" s="817"/>
      <c r="S3" s="817"/>
      <c r="T3" s="817"/>
      <c r="U3" s="817"/>
      <c r="V3" s="818"/>
      <c r="W3" s="381"/>
    </row>
    <row r="4" spans="1:23" s="331" customFormat="1" ht="13.5">
      <c r="A4" s="803">
        <v>3</v>
      </c>
      <c r="B4" s="473" t="s">
        <v>935</v>
      </c>
      <c r="C4" s="817"/>
      <c r="D4" s="817"/>
      <c r="E4" s="817"/>
      <c r="F4" s="817"/>
      <c r="G4" s="817"/>
      <c r="H4" s="817"/>
      <c r="I4" s="817"/>
      <c r="J4" s="817"/>
      <c r="K4" s="817"/>
      <c r="L4" s="817"/>
      <c r="M4" s="817"/>
      <c r="N4" s="817"/>
      <c r="O4" s="817"/>
      <c r="P4" s="817"/>
      <c r="Q4" s="817"/>
      <c r="R4" s="817"/>
      <c r="S4" s="817"/>
      <c r="T4" s="817"/>
      <c r="U4" s="817"/>
      <c r="V4" s="818"/>
      <c r="W4" s="381"/>
    </row>
    <row r="5" spans="1:23" s="331" customFormat="1" ht="13.5">
      <c r="A5" s="803">
        <v>4</v>
      </c>
      <c r="B5" s="473" t="s">
        <v>936</v>
      </c>
      <c r="C5" s="817"/>
      <c r="D5" s="817"/>
      <c r="E5" s="817"/>
      <c r="F5" s="817"/>
      <c r="G5" s="817"/>
      <c r="H5" s="817"/>
      <c r="I5" s="817"/>
      <c r="J5" s="817"/>
      <c r="K5" s="817"/>
      <c r="L5" s="817"/>
      <c r="M5" s="817"/>
      <c r="N5" s="382"/>
      <c r="O5" s="817"/>
      <c r="P5" s="817"/>
      <c r="Q5" s="817"/>
      <c r="R5" s="383"/>
      <c r="S5" s="817"/>
      <c r="T5" s="817"/>
      <c r="U5" s="817"/>
      <c r="V5" s="818"/>
      <c r="W5" s="381"/>
    </row>
    <row r="6" spans="1:23" s="331" customFormat="1" ht="13.5">
      <c r="A6" s="803">
        <v>5</v>
      </c>
      <c r="B6" s="473" t="s">
        <v>937</v>
      </c>
      <c r="C6" s="817"/>
      <c r="D6" s="817"/>
      <c r="E6" s="817"/>
      <c r="F6" s="817"/>
      <c r="G6" s="817"/>
      <c r="H6" s="817"/>
      <c r="I6" s="817"/>
      <c r="J6" s="817"/>
      <c r="K6" s="817"/>
      <c r="L6" s="817"/>
      <c r="M6" s="817"/>
      <c r="N6" s="382"/>
      <c r="O6" s="817"/>
      <c r="P6" s="817"/>
      <c r="Q6" s="817"/>
      <c r="R6" s="383"/>
      <c r="S6" s="817"/>
      <c r="T6" s="817"/>
      <c r="U6" s="817"/>
      <c r="V6" s="818"/>
      <c r="W6" s="381"/>
    </row>
    <row r="7" spans="1:23" s="331" customFormat="1">
      <c r="A7" s="804">
        <v>6</v>
      </c>
      <c r="B7" s="475" t="s">
        <v>938</v>
      </c>
      <c r="C7" s="817"/>
      <c r="D7" s="817"/>
      <c r="E7" s="817"/>
      <c r="F7" s="817"/>
      <c r="G7" s="817"/>
      <c r="H7" s="817"/>
      <c r="I7" s="817"/>
      <c r="J7" s="817"/>
      <c r="K7" s="817"/>
      <c r="L7" s="817"/>
      <c r="M7" s="817"/>
      <c r="N7" s="382"/>
      <c r="O7" s="817"/>
      <c r="P7" s="817"/>
      <c r="Q7" s="817"/>
      <c r="R7" s="383"/>
      <c r="S7" s="817"/>
      <c r="T7" s="817"/>
      <c r="U7" s="817"/>
      <c r="V7" s="818"/>
      <c r="W7" s="381"/>
    </row>
    <row r="8" spans="1:23" s="331" customFormat="1" ht="13.5">
      <c r="A8" s="803">
        <v>7</v>
      </c>
      <c r="B8" s="473" t="s">
        <v>939</v>
      </c>
      <c r="C8" s="817"/>
      <c r="D8" s="817"/>
      <c r="E8" s="817"/>
      <c r="F8" s="817"/>
      <c r="G8" s="817"/>
      <c r="H8" s="817"/>
      <c r="I8" s="817"/>
      <c r="J8" s="817"/>
      <c r="K8" s="817"/>
      <c r="L8" s="817"/>
      <c r="M8" s="817"/>
      <c r="N8" s="382"/>
      <c r="O8" s="817"/>
      <c r="P8" s="817"/>
      <c r="Q8" s="817"/>
      <c r="R8" s="383"/>
      <c r="S8" s="817"/>
      <c r="T8" s="817"/>
      <c r="U8" s="817"/>
      <c r="V8" s="818"/>
      <c r="W8" s="381"/>
    </row>
    <row r="9" spans="1:23" s="331" customFormat="1" ht="13.5">
      <c r="A9" s="1544" t="s">
        <v>1109</v>
      </c>
      <c r="B9" s="838" t="s">
        <v>940</v>
      </c>
      <c r="C9" s="835">
        <v>1699</v>
      </c>
      <c r="D9" s="835">
        <v>3571</v>
      </c>
      <c r="E9" s="835">
        <v>8367</v>
      </c>
      <c r="F9" s="835">
        <v>4167</v>
      </c>
      <c r="G9" s="835">
        <v>20220</v>
      </c>
      <c r="H9" s="835">
        <v>2670</v>
      </c>
      <c r="I9" s="835">
        <v>22349</v>
      </c>
      <c r="J9" s="835">
        <v>4904</v>
      </c>
      <c r="K9" s="835">
        <v>3090</v>
      </c>
      <c r="L9" s="835">
        <v>7502</v>
      </c>
      <c r="M9" s="835">
        <v>2664</v>
      </c>
      <c r="N9" s="835">
        <v>2564</v>
      </c>
      <c r="O9" s="835">
        <v>2540</v>
      </c>
      <c r="P9" s="835">
        <v>4840</v>
      </c>
      <c r="Q9" s="835">
        <v>8519</v>
      </c>
      <c r="R9" s="835">
        <v>1654</v>
      </c>
      <c r="S9" s="835">
        <v>9993</v>
      </c>
      <c r="T9" s="835">
        <v>1356</v>
      </c>
      <c r="U9" s="835">
        <v>1774</v>
      </c>
      <c r="V9" s="834">
        <v>114443</v>
      </c>
      <c r="W9" s="836">
        <v>642980</v>
      </c>
    </row>
    <row r="10" spans="1:23" s="331" customFormat="1" ht="13.5">
      <c r="A10" s="1544" t="s">
        <v>1299</v>
      </c>
      <c r="B10" s="473" t="s">
        <v>941</v>
      </c>
      <c r="C10" s="817"/>
      <c r="D10" s="817"/>
      <c r="E10" s="817"/>
      <c r="F10" s="817"/>
      <c r="G10" s="817"/>
      <c r="H10" s="817"/>
      <c r="I10" s="817"/>
      <c r="J10" s="817"/>
      <c r="K10" s="817"/>
      <c r="L10" s="817"/>
      <c r="M10" s="817"/>
      <c r="N10" s="817"/>
      <c r="O10" s="817"/>
      <c r="P10" s="817"/>
      <c r="Q10" s="817"/>
      <c r="R10" s="817"/>
      <c r="S10" s="817"/>
      <c r="T10" s="817"/>
      <c r="U10" s="817"/>
      <c r="V10" s="818"/>
      <c r="W10" s="381"/>
    </row>
    <row r="11" spans="1:23" s="331" customFormat="1" ht="13.5">
      <c r="A11" s="1544" t="s">
        <v>1172</v>
      </c>
      <c r="B11" s="838" t="s">
        <v>942</v>
      </c>
      <c r="C11" s="835">
        <v>1391</v>
      </c>
      <c r="D11" s="835">
        <v>3099</v>
      </c>
      <c r="E11" s="835">
        <v>7154</v>
      </c>
      <c r="F11" s="835">
        <v>4111</v>
      </c>
      <c r="G11" s="835">
        <v>17519</v>
      </c>
      <c r="H11" s="835">
        <v>2215</v>
      </c>
      <c r="I11" s="835">
        <v>22243</v>
      </c>
      <c r="J11" s="835">
        <v>4669</v>
      </c>
      <c r="K11" s="835">
        <v>2801</v>
      </c>
      <c r="L11" s="835">
        <v>6973</v>
      </c>
      <c r="M11" s="835">
        <v>2606</v>
      </c>
      <c r="N11" s="835">
        <v>2540</v>
      </c>
      <c r="O11" s="835">
        <v>2467</v>
      </c>
      <c r="P11" s="835">
        <v>3955</v>
      </c>
      <c r="Q11" s="835">
        <v>8248</v>
      </c>
      <c r="R11" s="835">
        <v>1654</v>
      </c>
      <c r="S11" s="835">
        <v>9993</v>
      </c>
      <c r="T11" s="835">
        <v>1279</v>
      </c>
      <c r="U11" s="835">
        <v>1730</v>
      </c>
      <c r="V11" s="834">
        <v>106640</v>
      </c>
      <c r="W11" s="836">
        <v>602580</v>
      </c>
    </row>
    <row r="12" spans="1:23" s="331" customFormat="1" ht="13.5">
      <c r="A12" s="727"/>
      <c r="B12" s="474" t="s">
        <v>210</v>
      </c>
      <c r="C12" s="819"/>
      <c r="D12" s="819"/>
      <c r="E12" s="819"/>
      <c r="F12" s="819"/>
      <c r="G12" s="819"/>
      <c r="H12" s="819"/>
      <c r="I12" s="819"/>
      <c r="J12" s="819"/>
      <c r="K12" s="819"/>
      <c r="L12" s="819"/>
      <c r="M12" s="819"/>
      <c r="N12" s="819"/>
      <c r="O12" s="819"/>
      <c r="P12" s="819"/>
      <c r="Q12" s="819"/>
      <c r="R12" s="819"/>
      <c r="S12" s="819"/>
      <c r="T12" s="819"/>
      <c r="U12" s="819"/>
      <c r="V12" s="819"/>
      <c r="W12" s="725"/>
    </row>
    <row r="13" spans="1:23" s="331" customFormat="1" ht="13.5">
      <c r="A13" s="1544" t="s">
        <v>1158</v>
      </c>
      <c r="B13" s="838" t="s">
        <v>943</v>
      </c>
      <c r="C13" s="826">
        <v>113</v>
      </c>
      <c r="D13" s="835">
        <v>105</v>
      </c>
      <c r="E13" s="835">
        <v>631</v>
      </c>
      <c r="F13" s="835">
        <v>388</v>
      </c>
      <c r="G13" s="835">
        <v>2303</v>
      </c>
      <c r="H13" s="835">
        <v>308</v>
      </c>
      <c r="I13" s="835">
        <v>1684</v>
      </c>
      <c r="J13" s="835">
        <v>444</v>
      </c>
      <c r="K13" s="835">
        <v>278</v>
      </c>
      <c r="L13" s="835">
        <v>545</v>
      </c>
      <c r="M13" s="835">
        <v>155</v>
      </c>
      <c r="N13" s="835">
        <v>192</v>
      </c>
      <c r="O13" s="835">
        <v>104</v>
      </c>
      <c r="P13" s="835">
        <v>221</v>
      </c>
      <c r="Q13" s="835">
        <v>613</v>
      </c>
      <c r="R13" s="835">
        <v>226</v>
      </c>
      <c r="S13" s="835">
        <v>880</v>
      </c>
      <c r="T13" s="835">
        <v>97</v>
      </c>
      <c r="U13" s="840">
        <v>148</v>
      </c>
      <c r="V13" s="834">
        <v>9440</v>
      </c>
      <c r="W13" s="836">
        <v>52290</v>
      </c>
    </row>
    <row r="14" spans="1:23" s="331" customFormat="1" ht="13.5">
      <c r="A14" s="1544" t="s">
        <v>1159</v>
      </c>
      <c r="B14" s="476" t="s">
        <v>944</v>
      </c>
      <c r="C14" s="383"/>
      <c r="D14" s="817"/>
      <c r="E14" s="817"/>
      <c r="F14" s="817"/>
      <c r="G14" s="817"/>
      <c r="H14" s="817"/>
      <c r="I14" s="817"/>
      <c r="J14" s="817"/>
      <c r="K14" s="817"/>
      <c r="L14" s="817"/>
      <c r="M14" s="817"/>
      <c r="N14" s="385"/>
      <c r="O14" s="817"/>
      <c r="P14" s="817"/>
      <c r="Q14" s="817"/>
      <c r="R14" s="384"/>
      <c r="S14" s="817"/>
      <c r="T14" s="817"/>
      <c r="U14" s="817"/>
      <c r="V14" s="818"/>
      <c r="W14" s="381"/>
    </row>
    <row r="15" spans="1:23" s="331" customFormat="1" ht="13.5">
      <c r="A15" s="1544" t="s">
        <v>1160</v>
      </c>
      <c r="B15" s="476" t="s">
        <v>945</v>
      </c>
      <c r="C15" s="383"/>
      <c r="D15" s="817"/>
      <c r="E15" s="817"/>
      <c r="F15" s="817"/>
      <c r="G15" s="817"/>
      <c r="H15" s="817"/>
      <c r="I15" s="817"/>
      <c r="J15" s="817"/>
      <c r="K15" s="817"/>
      <c r="L15" s="817"/>
      <c r="M15" s="817"/>
      <c r="N15" s="385"/>
      <c r="O15" s="817"/>
      <c r="P15" s="817"/>
      <c r="Q15" s="817"/>
      <c r="R15" s="384"/>
      <c r="S15" s="817"/>
      <c r="T15" s="817"/>
      <c r="U15" s="817"/>
      <c r="V15" s="818"/>
      <c r="W15" s="381"/>
    </row>
    <row r="16" spans="1:23" s="331" customFormat="1" ht="13.5">
      <c r="A16" s="1544" t="s">
        <v>1161</v>
      </c>
      <c r="B16" s="476" t="s">
        <v>946</v>
      </c>
      <c r="C16" s="384"/>
      <c r="D16" s="817"/>
      <c r="E16" s="817"/>
      <c r="F16" s="817"/>
      <c r="G16" s="817"/>
      <c r="H16" s="817"/>
      <c r="I16" s="817"/>
      <c r="J16" s="817"/>
      <c r="K16" s="817"/>
      <c r="L16" s="817"/>
      <c r="M16" s="817"/>
      <c r="N16" s="385"/>
      <c r="O16" s="817"/>
      <c r="P16" s="817"/>
      <c r="Q16" s="817"/>
      <c r="R16" s="384"/>
      <c r="S16" s="817"/>
      <c r="T16" s="817"/>
      <c r="U16" s="817"/>
      <c r="V16" s="818"/>
      <c r="W16" s="381"/>
    </row>
    <row r="17" spans="1:23" s="331" customFormat="1" ht="13.5">
      <c r="A17" s="1544" t="s">
        <v>1114</v>
      </c>
      <c r="B17" s="838" t="s">
        <v>947</v>
      </c>
      <c r="C17" s="826">
        <v>472</v>
      </c>
      <c r="D17" s="835">
        <v>546</v>
      </c>
      <c r="E17" s="835">
        <v>1618</v>
      </c>
      <c r="F17" s="835">
        <v>597</v>
      </c>
      <c r="G17" s="835">
        <v>5007</v>
      </c>
      <c r="H17" s="835">
        <v>710</v>
      </c>
      <c r="I17" s="835">
        <v>4301</v>
      </c>
      <c r="J17" s="835">
        <v>1161</v>
      </c>
      <c r="K17" s="835">
        <v>575</v>
      </c>
      <c r="L17" s="835">
        <v>724</v>
      </c>
      <c r="M17" s="835">
        <v>580</v>
      </c>
      <c r="N17" s="827">
        <v>460</v>
      </c>
      <c r="O17" s="835">
        <v>613</v>
      </c>
      <c r="P17" s="835">
        <v>946</v>
      </c>
      <c r="Q17" s="835">
        <v>1534</v>
      </c>
      <c r="R17" s="826">
        <v>351</v>
      </c>
      <c r="S17" s="835">
        <v>2028</v>
      </c>
      <c r="T17" s="835">
        <v>284</v>
      </c>
      <c r="U17" s="840">
        <v>359</v>
      </c>
      <c r="V17" s="834">
        <v>22870</v>
      </c>
      <c r="W17" s="836">
        <v>117010</v>
      </c>
    </row>
    <row r="18" spans="1:23" s="331" customFormat="1" ht="13.5">
      <c r="A18" s="1544" t="s">
        <v>1115</v>
      </c>
      <c r="B18" s="838" t="s">
        <v>948</v>
      </c>
      <c r="C18" s="826">
        <v>22</v>
      </c>
      <c r="D18" s="835">
        <v>126</v>
      </c>
      <c r="E18" s="835" t="s">
        <v>70</v>
      </c>
      <c r="F18" s="835">
        <v>103</v>
      </c>
      <c r="G18" s="835">
        <v>0</v>
      </c>
      <c r="H18" s="835">
        <v>8</v>
      </c>
      <c r="I18" s="835">
        <v>77</v>
      </c>
      <c r="J18" s="835">
        <v>22</v>
      </c>
      <c r="K18" s="835">
        <v>96</v>
      </c>
      <c r="L18" s="835">
        <v>929</v>
      </c>
      <c r="M18" s="835">
        <v>12</v>
      </c>
      <c r="N18" s="827">
        <v>73</v>
      </c>
      <c r="O18" s="835">
        <v>21</v>
      </c>
      <c r="P18" s="835">
        <v>6</v>
      </c>
      <c r="Q18" s="835">
        <v>101</v>
      </c>
      <c r="R18" s="826">
        <v>50</v>
      </c>
      <c r="S18" s="835">
        <v>0</v>
      </c>
      <c r="T18" s="835">
        <v>0</v>
      </c>
      <c r="U18" s="840" t="s">
        <v>70</v>
      </c>
      <c r="V18" s="834">
        <v>1700</v>
      </c>
      <c r="W18" s="836">
        <v>13630</v>
      </c>
    </row>
    <row r="19" spans="1:23" s="331" customFormat="1" ht="13.5">
      <c r="A19" s="1544" t="s">
        <v>1162</v>
      </c>
      <c r="B19" s="838" t="s">
        <v>949</v>
      </c>
      <c r="C19" s="826">
        <v>177</v>
      </c>
      <c r="D19" s="835">
        <v>451</v>
      </c>
      <c r="E19" s="835">
        <v>1287</v>
      </c>
      <c r="F19" s="835">
        <v>465</v>
      </c>
      <c r="G19" s="835">
        <v>3656</v>
      </c>
      <c r="H19" s="835">
        <v>367</v>
      </c>
      <c r="I19" s="835">
        <v>2954</v>
      </c>
      <c r="J19" s="835">
        <v>454</v>
      </c>
      <c r="K19" s="835">
        <v>472</v>
      </c>
      <c r="L19" s="835">
        <v>985</v>
      </c>
      <c r="M19" s="835">
        <v>376</v>
      </c>
      <c r="N19" s="827">
        <v>372</v>
      </c>
      <c r="O19" s="835">
        <v>344</v>
      </c>
      <c r="P19" s="835">
        <v>761</v>
      </c>
      <c r="Q19" s="835">
        <v>1344</v>
      </c>
      <c r="R19" s="826">
        <v>197</v>
      </c>
      <c r="S19" s="835">
        <v>1316</v>
      </c>
      <c r="T19" s="835">
        <v>164</v>
      </c>
      <c r="U19" s="840">
        <v>221</v>
      </c>
      <c r="V19" s="834">
        <v>16360</v>
      </c>
      <c r="W19" s="836">
        <v>96300</v>
      </c>
    </row>
    <row r="20" spans="1:23" s="331" customFormat="1" ht="13.5">
      <c r="A20" s="1544" t="s">
        <v>1163</v>
      </c>
      <c r="B20" s="476" t="s">
        <v>950</v>
      </c>
      <c r="C20" s="383"/>
      <c r="D20" s="817"/>
      <c r="E20" s="817"/>
      <c r="F20" s="817"/>
      <c r="G20" s="817"/>
      <c r="H20" s="817"/>
      <c r="I20" s="817"/>
      <c r="J20" s="817"/>
      <c r="K20" s="817"/>
      <c r="L20" s="817"/>
      <c r="M20" s="817"/>
      <c r="N20" s="385"/>
      <c r="O20" s="817"/>
      <c r="P20" s="817"/>
      <c r="Q20" s="817"/>
      <c r="R20" s="384"/>
      <c r="S20" s="817"/>
      <c r="T20" s="817"/>
      <c r="U20" s="817"/>
      <c r="V20" s="818"/>
      <c r="W20" s="381"/>
    </row>
    <row r="21" spans="1:23" s="331" customFormat="1" ht="13.5">
      <c r="A21" s="1544" t="s">
        <v>1164</v>
      </c>
      <c r="B21" s="476" t="s">
        <v>951</v>
      </c>
      <c r="C21" s="384"/>
      <c r="D21" s="817"/>
      <c r="E21" s="817"/>
      <c r="F21" s="817"/>
      <c r="G21" s="817"/>
      <c r="H21" s="817"/>
      <c r="I21" s="817"/>
      <c r="J21" s="817"/>
      <c r="K21" s="817"/>
      <c r="L21" s="817"/>
      <c r="M21" s="817"/>
      <c r="N21" s="385"/>
      <c r="O21" s="817"/>
      <c r="P21" s="817"/>
      <c r="Q21" s="817"/>
      <c r="R21" s="384"/>
      <c r="S21" s="817"/>
      <c r="T21" s="817"/>
      <c r="U21" s="817"/>
      <c r="V21" s="818"/>
      <c r="W21" s="381"/>
    </row>
    <row r="22" spans="1:23" s="331" customFormat="1" ht="13.5">
      <c r="A22" s="1544" t="s">
        <v>1165</v>
      </c>
      <c r="B22" s="476" t="s">
        <v>952</v>
      </c>
      <c r="C22" s="383"/>
      <c r="D22" s="817"/>
      <c r="E22" s="817"/>
      <c r="F22" s="817"/>
      <c r="G22" s="817"/>
      <c r="H22" s="817"/>
      <c r="I22" s="817"/>
      <c r="J22" s="817"/>
      <c r="K22" s="817"/>
      <c r="L22" s="817"/>
      <c r="M22" s="817"/>
      <c r="N22" s="385"/>
      <c r="O22" s="817"/>
      <c r="P22" s="817"/>
      <c r="Q22" s="817"/>
      <c r="R22" s="384"/>
      <c r="S22" s="817"/>
      <c r="T22" s="817"/>
      <c r="U22" s="817"/>
      <c r="V22" s="818"/>
      <c r="W22" s="381"/>
    </row>
    <row r="23" spans="1:23" s="331" customFormat="1" ht="13.5">
      <c r="A23" s="1544" t="s">
        <v>1166</v>
      </c>
      <c r="B23" s="476" t="s">
        <v>953</v>
      </c>
      <c r="C23" s="383"/>
      <c r="D23" s="817"/>
      <c r="E23" s="817"/>
      <c r="F23" s="817"/>
      <c r="G23" s="817"/>
      <c r="H23" s="817"/>
      <c r="I23" s="817"/>
      <c r="J23" s="817"/>
      <c r="K23" s="817"/>
      <c r="L23" s="817"/>
      <c r="M23" s="817"/>
      <c r="N23" s="385"/>
      <c r="O23" s="817"/>
      <c r="P23" s="817"/>
      <c r="Q23" s="817"/>
      <c r="R23" s="384"/>
      <c r="S23" s="817"/>
      <c r="T23" s="817"/>
      <c r="U23" s="817"/>
      <c r="V23" s="818"/>
      <c r="W23" s="381"/>
    </row>
    <row r="24" spans="1:23" s="331" customFormat="1" ht="13.5">
      <c r="A24" s="1544" t="s">
        <v>1167</v>
      </c>
      <c r="B24" s="476" t="s">
        <v>954</v>
      </c>
      <c r="C24" s="384"/>
      <c r="D24" s="817"/>
      <c r="E24" s="817"/>
      <c r="F24" s="817"/>
      <c r="G24" s="817"/>
      <c r="H24" s="817"/>
      <c r="I24" s="817"/>
      <c r="J24" s="817"/>
      <c r="K24" s="817"/>
      <c r="L24" s="817"/>
      <c r="M24" s="817"/>
      <c r="N24" s="385"/>
      <c r="O24" s="817"/>
      <c r="P24" s="817"/>
      <c r="Q24" s="817"/>
      <c r="R24" s="384"/>
      <c r="S24" s="817"/>
      <c r="T24" s="817"/>
      <c r="U24" s="817"/>
      <c r="V24" s="818"/>
      <c r="W24" s="381"/>
    </row>
    <row r="25" spans="1:23" s="331" customFormat="1" ht="13.5">
      <c r="A25" s="1544" t="s">
        <v>1117</v>
      </c>
      <c r="B25" s="838" t="s">
        <v>955</v>
      </c>
      <c r="C25" s="826">
        <v>18</v>
      </c>
      <c r="D25" s="835">
        <v>64</v>
      </c>
      <c r="E25" s="835">
        <v>124</v>
      </c>
      <c r="F25" s="835">
        <v>57</v>
      </c>
      <c r="G25" s="835">
        <v>248</v>
      </c>
      <c r="H25" s="835">
        <v>41</v>
      </c>
      <c r="I25" s="835">
        <v>449</v>
      </c>
      <c r="J25" s="835">
        <v>75</v>
      </c>
      <c r="K25" s="835">
        <v>35</v>
      </c>
      <c r="L25" s="835">
        <v>35</v>
      </c>
      <c r="M25" s="835">
        <v>63</v>
      </c>
      <c r="N25" s="827">
        <v>64</v>
      </c>
      <c r="O25" s="835">
        <v>0</v>
      </c>
      <c r="P25" s="835">
        <v>28</v>
      </c>
      <c r="Q25" s="835">
        <v>101</v>
      </c>
      <c r="R25" s="826">
        <v>22</v>
      </c>
      <c r="S25" s="835">
        <v>206</v>
      </c>
      <c r="T25" s="835">
        <v>15</v>
      </c>
      <c r="U25" s="840">
        <v>11</v>
      </c>
      <c r="V25" s="834">
        <v>1660</v>
      </c>
      <c r="W25" s="836">
        <v>8300</v>
      </c>
    </row>
    <row r="26" spans="1:23" s="331" customFormat="1" ht="13.5">
      <c r="A26" s="1544" t="s">
        <v>1168</v>
      </c>
      <c r="B26" s="838" t="s">
        <v>956</v>
      </c>
      <c r="C26" s="826">
        <v>377</v>
      </c>
      <c r="D26" s="835">
        <v>497</v>
      </c>
      <c r="E26" s="835">
        <v>969</v>
      </c>
      <c r="F26" s="835">
        <v>811</v>
      </c>
      <c r="G26" s="835">
        <v>1600</v>
      </c>
      <c r="H26" s="835">
        <v>253</v>
      </c>
      <c r="I26" s="835">
        <v>2706</v>
      </c>
      <c r="J26" s="835">
        <v>621</v>
      </c>
      <c r="K26" s="835">
        <v>392</v>
      </c>
      <c r="L26" s="835">
        <v>1389</v>
      </c>
      <c r="M26" s="835">
        <v>451</v>
      </c>
      <c r="N26" s="827">
        <v>263</v>
      </c>
      <c r="O26" s="835">
        <v>391</v>
      </c>
      <c r="P26" s="835">
        <v>980</v>
      </c>
      <c r="Q26" s="835">
        <v>1066</v>
      </c>
      <c r="R26" s="826">
        <v>278</v>
      </c>
      <c r="S26" s="835">
        <v>1755</v>
      </c>
      <c r="T26" s="835">
        <v>159</v>
      </c>
      <c r="U26" s="840">
        <v>241</v>
      </c>
      <c r="V26" s="834">
        <v>15200</v>
      </c>
      <c r="W26" s="836">
        <v>90810</v>
      </c>
    </row>
    <row r="27" spans="1:23" s="331" customFormat="1" ht="13.5">
      <c r="A27" s="1544" t="s">
        <v>1169</v>
      </c>
      <c r="B27" s="476" t="s">
        <v>957</v>
      </c>
      <c r="C27" s="383"/>
      <c r="D27" s="817"/>
      <c r="E27" s="817"/>
      <c r="F27" s="817"/>
      <c r="G27" s="817"/>
      <c r="H27" s="817"/>
      <c r="I27" s="817"/>
      <c r="J27" s="817"/>
      <c r="K27" s="817"/>
      <c r="L27" s="817"/>
      <c r="M27" s="817"/>
      <c r="N27" s="385"/>
      <c r="O27" s="817"/>
      <c r="P27" s="817"/>
      <c r="Q27" s="817"/>
      <c r="R27" s="384"/>
      <c r="S27" s="817"/>
      <c r="T27" s="817"/>
      <c r="U27" s="817"/>
      <c r="V27" s="818"/>
      <c r="W27" s="381"/>
    </row>
    <row r="28" spans="1:23" s="331" customFormat="1" ht="13.5">
      <c r="A28" s="1544" t="s">
        <v>1170</v>
      </c>
      <c r="B28" s="476" t="s">
        <v>958</v>
      </c>
      <c r="C28" s="383"/>
      <c r="D28" s="817"/>
      <c r="E28" s="817"/>
      <c r="F28" s="817"/>
      <c r="G28" s="817"/>
      <c r="H28" s="817"/>
      <c r="I28" s="817"/>
      <c r="J28" s="817"/>
      <c r="K28" s="817"/>
      <c r="L28" s="817"/>
      <c r="M28" s="817"/>
      <c r="N28" s="385"/>
      <c r="O28" s="817"/>
      <c r="P28" s="817"/>
      <c r="Q28" s="817"/>
      <c r="R28" s="384"/>
      <c r="S28" s="817"/>
      <c r="T28" s="817"/>
      <c r="U28" s="817"/>
      <c r="V28" s="818"/>
      <c r="W28" s="381"/>
    </row>
    <row r="29" spans="1:23" s="331" customFormat="1" ht="13.5">
      <c r="A29" s="1544" t="s">
        <v>1171</v>
      </c>
      <c r="B29" s="476" t="s">
        <v>1298</v>
      </c>
      <c r="C29" s="384"/>
      <c r="D29" s="817"/>
      <c r="E29" s="817"/>
      <c r="F29" s="817"/>
      <c r="G29" s="817"/>
      <c r="H29" s="817"/>
      <c r="I29" s="817"/>
      <c r="J29" s="817"/>
      <c r="K29" s="817"/>
      <c r="L29" s="817"/>
      <c r="M29" s="817"/>
      <c r="N29" s="385"/>
      <c r="O29" s="817"/>
      <c r="P29" s="817"/>
      <c r="Q29" s="817"/>
      <c r="R29" s="384"/>
      <c r="S29" s="817"/>
      <c r="T29" s="817"/>
      <c r="U29" s="817"/>
      <c r="V29" s="818"/>
      <c r="W29" s="381"/>
    </row>
    <row r="30" spans="1:23" s="331" customFormat="1" ht="13.5">
      <c r="A30" s="1544" t="s">
        <v>1119</v>
      </c>
      <c r="B30" s="838" t="s">
        <v>959</v>
      </c>
      <c r="C30" s="826">
        <v>387</v>
      </c>
      <c r="D30" s="835">
        <v>1021</v>
      </c>
      <c r="E30" s="835">
        <v>2910</v>
      </c>
      <c r="F30" s="835">
        <v>1111</v>
      </c>
      <c r="G30" s="835">
        <v>4585</v>
      </c>
      <c r="H30" s="835">
        <v>519</v>
      </c>
      <c r="I30" s="835">
        <v>7430</v>
      </c>
      <c r="J30" s="835">
        <v>1700</v>
      </c>
      <c r="K30" s="835">
        <v>951</v>
      </c>
      <c r="L30" s="835">
        <v>2239</v>
      </c>
      <c r="M30" s="835">
        <v>725</v>
      </c>
      <c r="N30" s="827">
        <v>930</v>
      </c>
      <c r="O30" s="835">
        <v>825</v>
      </c>
      <c r="P30" s="835">
        <v>1369</v>
      </c>
      <c r="Q30" s="835">
        <v>2844</v>
      </c>
      <c r="R30" s="826">
        <v>403</v>
      </c>
      <c r="S30" s="835">
        <v>2796</v>
      </c>
      <c r="T30" s="835">
        <v>506</v>
      </c>
      <c r="U30" s="840">
        <v>641</v>
      </c>
      <c r="V30" s="834">
        <v>33890</v>
      </c>
      <c r="W30" s="836">
        <v>184760</v>
      </c>
    </row>
    <row r="31" spans="1:23" s="331" customFormat="1" ht="13.5">
      <c r="A31" s="1544" t="s">
        <v>1120</v>
      </c>
      <c r="B31" s="838" t="s">
        <v>960</v>
      </c>
      <c r="C31" s="826">
        <v>42</v>
      </c>
      <c r="D31" s="835">
        <v>94</v>
      </c>
      <c r="E31" s="835">
        <v>222</v>
      </c>
      <c r="F31" s="835">
        <v>194</v>
      </c>
      <c r="G31" s="835">
        <v>696</v>
      </c>
      <c r="H31" s="835">
        <v>70</v>
      </c>
      <c r="I31" s="835">
        <v>1228</v>
      </c>
      <c r="J31" s="835">
        <v>130</v>
      </c>
      <c r="K31" s="835">
        <v>111</v>
      </c>
      <c r="L31" s="835">
        <v>209</v>
      </c>
      <c r="M31" s="835">
        <v>124</v>
      </c>
      <c r="N31" s="827">
        <v>55</v>
      </c>
      <c r="O31" s="835">
        <v>91</v>
      </c>
      <c r="P31" s="835">
        <v>54</v>
      </c>
      <c r="Q31" s="835">
        <v>300</v>
      </c>
      <c r="R31" s="826">
        <v>33</v>
      </c>
      <c r="S31" s="835">
        <v>342</v>
      </c>
      <c r="T31" s="835">
        <v>18</v>
      </c>
      <c r="U31" s="840">
        <v>44</v>
      </c>
      <c r="V31" s="834">
        <v>4060</v>
      </c>
      <c r="W31" s="836">
        <v>25180</v>
      </c>
    </row>
    <row r="32" spans="1:23" s="331" customFormat="1" ht="13.5">
      <c r="A32" s="1544" t="s">
        <v>1121</v>
      </c>
      <c r="B32" s="838" t="s">
        <v>961</v>
      </c>
      <c r="C32" s="826">
        <v>68</v>
      </c>
      <c r="D32" s="835">
        <v>117</v>
      </c>
      <c r="E32" s="835">
        <v>399</v>
      </c>
      <c r="F32" s="835">
        <v>274</v>
      </c>
      <c r="G32" s="835">
        <v>1262</v>
      </c>
      <c r="H32" s="835">
        <v>346</v>
      </c>
      <c r="I32" s="835">
        <v>713</v>
      </c>
      <c r="J32" s="835">
        <v>199</v>
      </c>
      <c r="K32" s="835">
        <v>113</v>
      </c>
      <c r="L32" s="835">
        <v>323</v>
      </c>
      <c r="M32" s="835">
        <v>137</v>
      </c>
      <c r="N32" s="827">
        <v>128</v>
      </c>
      <c r="O32" s="835">
        <v>107</v>
      </c>
      <c r="P32" s="835">
        <v>300</v>
      </c>
      <c r="Q32" s="835">
        <v>382</v>
      </c>
      <c r="R32" s="826">
        <v>53</v>
      </c>
      <c r="S32" s="835">
        <v>623</v>
      </c>
      <c r="T32" s="835">
        <v>71</v>
      </c>
      <c r="U32" s="840">
        <v>70</v>
      </c>
      <c r="V32" s="834">
        <v>5690</v>
      </c>
      <c r="W32" s="836">
        <v>31630</v>
      </c>
    </row>
    <row r="33" spans="1:23" s="331" customFormat="1" ht="13.5">
      <c r="A33" s="1544" t="s">
        <v>1122</v>
      </c>
      <c r="B33" s="838" t="s">
        <v>962</v>
      </c>
      <c r="C33" s="826">
        <v>23</v>
      </c>
      <c r="D33" s="835">
        <v>47</v>
      </c>
      <c r="E33" s="835">
        <v>154</v>
      </c>
      <c r="F33" s="835">
        <v>95</v>
      </c>
      <c r="G33" s="835">
        <v>531</v>
      </c>
      <c r="H33" s="835">
        <v>0</v>
      </c>
      <c r="I33" s="835">
        <v>315</v>
      </c>
      <c r="J33" s="835">
        <v>87</v>
      </c>
      <c r="K33" s="835">
        <v>59</v>
      </c>
      <c r="L33" s="835">
        <v>90</v>
      </c>
      <c r="M33" s="835">
        <v>35</v>
      </c>
      <c r="N33" s="827">
        <v>19</v>
      </c>
      <c r="O33" s="835">
        <v>44</v>
      </c>
      <c r="P33" s="835">
        <v>163</v>
      </c>
      <c r="Q33" s="835">
        <v>234</v>
      </c>
      <c r="R33" s="826">
        <v>33</v>
      </c>
      <c r="S33" s="835">
        <v>0</v>
      </c>
      <c r="T33" s="835">
        <v>42</v>
      </c>
      <c r="U33" s="840">
        <v>25</v>
      </c>
      <c r="V33" s="834">
        <v>2000</v>
      </c>
      <c r="W33" s="836">
        <v>13770</v>
      </c>
    </row>
    <row r="34" spans="1:23" s="331" customFormat="1" ht="13.5">
      <c r="A34" s="1544" t="s">
        <v>1123</v>
      </c>
      <c r="B34" s="838" t="s">
        <v>963</v>
      </c>
      <c r="C34" s="826">
        <v>0</v>
      </c>
      <c r="D34" s="835">
        <v>503</v>
      </c>
      <c r="E34" s="835" t="s">
        <v>70</v>
      </c>
      <c r="F34" s="835">
        <v>72</v>
      </c>
      <c r="G34" s="835">
        <v>332</v>
      </c>
      <c r="H34" s="835">
        <v>48</v>
      </c>
      <c r="I34" s="835">
        <v>492</v>
      </c>
      <c r="J34" s="835">
        <v>11</v>
      </c>
      <c r="K34" s="835">
        <v>8</v>
      </c>
      <c r="L34" s="835">
        <v>34</v>
      </c>
      <c r="M34" s="835">
        <v>6</v>
      </c>
      <c r="N34" s="827">
        <v>8</v>
      </c>
      <c r="O34" s="840">
        <v>0</v>
      </c>
      <c r="P34" s="835">
        <v>12</v>
      </c>
      <c r="Q34" s="835">
        <v>0</v>
      </c>
      <c r="R34" s="840">
        <v>8</v>
      </c>
      <c r="S34" s="835">
        <v>47</v>
      </c>
      <c r="T34" s="835">
        <v>0</v>
      </c>
      <c r="U34" s="840" t="s">
        <v>70</v>
      </c>
      <c r="V34" s="825">
        <v>1600</v>
      </c>
      <c r="W34" s="836">
        <v>9300</v>
      </c>
    </row>
    <row r="35" spans="1:23" s="331" customFormat="1" ht="13.5">
      <c r="A35" s="1544" t="s">
        <v>1134</v>
      </c>
      <c r="B35" s="838" t="s">
        <v>964</v>
      </c>
      <c r="C35" s="826">
        <v>434</v>
      </c>
      <c r="D35" s="835">
        <v>1094</v>
      </c>
      <c r="E35" s="835">
        <v>2180</v>
      </c>
      <c r="F35" s="835">
        <v>761</v>
      </c>
      <c r="G35" s="835">
        <v>6536</v>
      </c>
      <c r="H35" s="835">
        <v>946</v>
      </c>
      <c r="I35" s="835">
        <v>6362</v>
      </c>
      <c r="J35" s="835">
        <v>1220</v>
      </c>
      <c r="K35" s="835">
        <v>521</v>
      </c>
      <c r="L35" s="835">
        <v>1325</v>
      </c>
      <c r="M35" s="835">
        <v>631</v>
      </c>
      <c r="N35" s="827">
        <v>676</v>
      </c>
      <c r="O35" s="835">
        <v>429</v>
      </c>
      <c r="P35" s="835">
        <v>1109</v>
      </c>
      <c r="Q35" s="835">
        <v>1832</v>
      </c>
      <c r="R35" s="826">
        <v>443</v>
      </c>
      <c r="S35" s="835">
        <v>2654</v>
      </c>
      <c r="T35" s="835">
        <v>214</v>
      </c>
      <c r="U35" s="840">
        <v>436</v>
      </c>
      <c r="V35" s="834">
        <v>29803</v>
      </c>
      <c r="W35" s="836">
        <v>145390</v>
      </c>
    </row>
    <row r="36" spans="1:23" s="331" customFormat="1" ht="13.5">
      <c r="A36" s="1544" t="s">
        <v>1300</v>
      </c>
      <c r="B36" s="838" t="s">
        <v>965</v>
      </c>
      <c r="C36" s="826">
        <v>1531</v>
      </c>
      <c r="D36" s="835">
        <v>2754</v>
      </c>
      <c r="E36" s="835">
        <v>8122</v>
      </c>
      <c r="F36" s="835">
        <v>3470</v>
      </c>
      <c r="G36" s="835">
        <v>19712</v>
      </c>
      <c r="H36" s="835">
        <v>3149</v>
      </c>
      <c r="I36" s="835">
        <v>20686</v>
      </c>
      <c r="J36" s="835">
        <v>4769</v>
      </c>
      <c r="K36" s="835">
        <v>3052</v>
      </c>
      <c r="L36" s="835">
        <v>7021</v>
      </c>
      <c r="M36" s="835">
        <v>2590</v>
      </c>
      <c r="N36" s="827">
        <v>2689</v>
      </c>
      <c r="O36" s="835">
        <v>2484</v>
      </c>
      <c r="P36" s="835">
        <v>4602</v>
      </c>
      <c r="Q36" s="835">
        <v>8724</v>
      </c>
      <c r="R36" s="826">
        <v>1878</v>
      </c>
      <c r="S36" s="835">
        <v>10458</v>
      </c>
      <c r="T36" s="835">
        <v>1211</v>
      </c>
      <c r="U36" s="840">
        <v>1583</v>
      </c>
      <c r="V36" s="834">
        <v>110485</v>
      </c>
      <c r="W36" s="836">
        <v>665660</v>
      </c>
    </row>
    <row r="37" spans="1:23" s="331" customFormat="1" ht="22.5">
      <c r="A37" s="727"/>
      <c r="B37" s="474" t="s">
        <v>211</v>
      </c>
      <c r="C37" s="819"/>
      <c r="D37" s="819"/>
      <c r="E37" s="819"/>
      <c r="F37" s="819"/>
      <c r="G37" s="819"/>
      <c r="H37" s="819"/>
      <c r="I37" s="819"/>
      <c r="J37" s="819"/>
      <c r="K37" s="819"/>
      <c r="L37" s="819"/>
      <c r="M37" s="819"/>
      <c r="N37" s="819"/>
      <c r="O37" s="819"/>
      <c r="P37" s="819"/>
      <c r="Q37" s="819"/>
      <c r="R37" s="819"/>
      <c r="S37" s="819"/>
      <c r="T37" s="819"/>
      <c r="U37" s="819"/>
      <c r="V37" s="819"/>
      <c r="W37" s="725"/>
    </row>
    <row r="38" spans="1:23" s="331" customFormat="1" ht="13.5">
      <c r="A38" s="1544" t="s">
        <v>1173</v>
      </c>
      <c r="B38" s="838" t="s">
        <v>966</v>
      </c>
      <c r="C38" s="826">
        <v>278</v>
      </c>
      <c r="D38" s="835">
        <v>403</v>
      </c>
      <c r="E38" s="835">
        <v>1971</v>
      </c>
      <c r="F38" s="835">
        <v>236</v>
      </c>
      <c r="G38" s="835">
        <v>4642</v>
      </c>
      <c r="H38" s="835">
        <v>1015</v>
      </c>
      <c r="I38" s="835">
        <v>1414</v>
      </c>
      <c r="J38" s="835">
        <v>109</v>
      </c>
      <c r="K38" s="835">
        <v>471</v>
      </c>
      <c r="L38" s="835">
        <v>425</v>
      </c>
      <c r="M38" s="835">
        <v>695</v>
      </c>
      <c r="N38" s="827">
        <v>215</v>
      </c>
      <c r="O38" s="835">
        <v>0</v>
      </c>
      <c r="P38" s="835">
        <v>421</v>
      </c>
      <c r="Q38" s="835">
        <v>414</v>
      </c>
      <c r="R38" s="826">
        <v>417</v>
      </c>
      <c r="S38" s="835">
        <v>2526</v>
      </c>
      <c r="T38" s="835">
        <v>84</v>
      </c>
      <c r="U38" s="835">
        <v>126</v>
      </c>
      <c r="V38" s="834">
        <v>15930</v>
      </c>
      <c r="W38" s="836">
        <v>92240</v>
      </c>
    </row>
    <row r="39" spans="1:23" s="331" customFormat="1" ht="13.5">
      <c r="A39" s="1544" t="s">
        <v>1174</v>
      </c>
      <c r="B39" s="838" t="s">
        <v>967</v>
      </c>
      <c r="C39" s="826">
        <v>565</v>
      </c>
      <c r="D39" s="835">
        <v>317</v>
      </c>
      <c r="E39" s="835">
        <v>1055</v>
      </c>
      <c r="F39" s="835">
        <v>463</v>
      </c>
      <c r="G39" s="835">
        <v>9450</v>
      </c>
      <c r="H39" s="835">
        <v>1146</v>
      </c>
      <c r="I39" s="835">
        <v>2670</v>
      </c>
      <c r="J39" s="835">
        <v>644</v>
      </c>
      <c r="K39" s="835">
        <v>601</v>
      </c>
      <c r="L39" s="835">
        <v>720</v>
      </c>
      <c r="M39" s="835">
        <v>631</v>
      </c>
      <c r="N39" s="827">
        <v>443</v>
      </c>
      <c r="O39" s="835">
        <v>276</v>
      </c>
      <c r="P39" s="835">
        <v>759</v>
      </c>
      <c r="Q39" s="835">
        <v>1462</v>
      </c>
      <c r="R39" s="826">
        <v>321</v>
      </c>
      <c r="S39" s="835">
        <v>1129</v>
      </c>
      <c r="T39" s="835">
        <v>241</v>
      </c>
      <c r="U39" s="835">
        <v>246</v>
      </c>
      <c r="V39" s="834">
        <v>23140</v>
      </c>
      <c r="W39" s="836">
        <v>112100</v>
      </c>
    </row>
    <row r="40" spans="1:23" s="331" customFormat="1" ht="13.5">
      <c r="A40" s="1544" t="s">
        <v>1175</v>
      </c>
      <c r="B40" s="838" t="s">
        <v>968</v>
      </c>
      <c r="C40" s="826">
        <v>286</v>
      </c>
      <c r="D40" s="835">
        <v>665</v>
      </c>
      <c r="E40" s="835">
        <v>1630</v>
      </c>
      <c r="F40" s="835">
        <v>459</v>
      </c>
      <c r="G40" s="835">
        <v>2150</v>
      </c>
      <c r="H40" s="835">
        <v>303</v>
      </c>
      <c r="I40" s="835">
        <v>5101</v>
      </c>
      <c r="J40" s="835">
        <v>971</v>
      </c>
      <c r="K40" s="835">
        <v>633</v>
      </c>
      <c r="L40" s="835">
        <v>765</v>
      </c>
      <c r="M40" s="835">
        <v>625</v>
      </c>
      <c r="N40" s="827">
        <v>394</v>
      </c>
      <c r="O40" s="835">
        <v>538</v>
      </c>
      <c r="P40" s="835">
        <v>691</v>
      </c>
      <c r="Q40" s="835">
        <v>1853</v>
      </c>
      <c r="R40" s="826">
        <v>211</v>
      </c>
      <c r="S40" s="835">
        <v>1527</v>
      </c>
      <c r="T40" s="835">
        <v>275</v>
      </c>
      <c r="U40" s="835">
        <v>325</v>
      </c>
      <c r="V40" s="834">
        <v>19400</v>
      </c>
      <c r="W40" s="836">
        <v>112180</v>
      </c>
    </row>
    <row r="41" spans="1:23" s="331" customFormat="1" ht="13.5">
      <c r="A41" s="1544" t="s">
        <v>1176</v>
      </c>
      <c r="B41" s="838" t="s">
        <v>969</v>
      </c>
      <c r="C41" s="826">
        <v>306</v>
      </c>
      <c r="D41" s="835">
        <v>1094</v>
      </c>
      <c r="E41" s="835">
        <v>2488</v>
      </c>
      <c r="F41" s="835">
        <v>959</v>
      </c>
      <c r="G41" s="835">
        <v>2013</v>
      </c>
      <c r="H41" s="835">
        <v>511</v>
      </c>
      <c r="I41" s="835">
        <v>9023</v>
      </c>
      <c r="J41" s="835">
        <v>2757</v>
      </c>
      <c r="K41" s="835">
        <v>826</v>
      </c>
      <c r="L41" s="835">
        <v>2514</v>
      </c>
      <c r="M41" s="835">
        <v>587</v>
      </c>
      <c r="N41" s="827">
        <v>1099</v>
      </c>
      <c r="O41" s="835">
        <v>973</v>
      </c>
      <c r="P41" s="824">
        <v>1132</v>
      </c>
      <c r="Q41" s="835">
        <v>3408</v>
      </c>
      <c r="R41" s="826">
        <v>903</v>
      </c>
      <c r="S41" s="835">
        <v>3998</v>
      </c>
      <c r="T41" s="835">
        <v>527</v>
      </c>
      <c r="U41" s="835">
        <v>470</v>
      </c>
      <c r="V41" s="834">
        <v>35590</v>
      </c>
      <c r="W41" s="836">
        <v>241640</v>
      </c>
    </row>
    <row r="42" spans="1:23" s="331" customFormat="1" ht="13.5">
      <c r="A42" s="1544" t="s">
        <v>1177</v>
      </c>
      <c r="B42" s="838" t="s">
        <v>970</v>
      </c>
      <c r="C42" s="826">
        <v>96</v>
      </c>
      <c r="D42" s="835">
        <v>275</v>
      </c>
      <c r="E42" s="835">
        <v>978</v>
      </c>
      <c r="F42" s="835">
        <v>1353</v>
      </c>
      <c r="G42" s="835">
        <v>1457</v>
      </c>
      <c r="H42" s="835">
        <v>174</v>
      </c>
      <c r="I42" s="835">
        <v>2478</v>
      </c>
      <c r="J42" s="835">
        <v>231</v>
      </c>
      <c r="K42" s="835">
        <v>521</v>
      </c>
      <c r="L42" s="835">
        <v>2597</v>
      </c>
      <c r="M42" s="835">
        <v>52</v>
      </c>
      <c r="N42" s="827">
        <v>538</v>
      </c>
      <c r="O42" s="835">
        <v>631</v>
      </c>
      <c r="P42" s="824">
        <v>1599</v>
      </c>
      <c r="Q42" s="835">
        <v>1587</v>
      </c>
      <c r="R42" s="826">
        <v>17</v>
      </c>
      <c r="S42" s="835">
        <v>1278</v>
      </c>
      <c r="T42" s="835">
        <v>84</v>
      </c>
      <c r="U42" s="835">
        <v>315</v>
      </c>
      <c r="V42" s="834">
        <v>16430</v>
      </c>
      <c r="W42" s="836">
        <v>107520</v>
      </c>
    </row>
    <row r="43" spans="1:23" s="331" customFormat="1" ht="13.5">
      <c r="A43" s="1547"/>
      <c r="B43" s="828" t="s">
        <v>971</v>
      </c>
      <c r="C43" s="826">
        <v>12</v>
      </c>
      <c r="D43" s="835">
        <v>20</v>
      </c>
      <c r="E43" s="835">
        <v>11</v>
      </c>
      <c r="F43" s="835">
        <v>25</v>
      </c>
      <c r="G43" s="835">
        <v>11</v>
      </c>
      <c r="H43" s="835">
        <v>9</v>
      </c>
      <c r="I43" s="835">
        <v>23</v>
      </c>
      <c r="J43" s="835">
        <v>25</v>
      </c>
      <c r="K43" s="835">
        <v>15</v>
      </c>
      <c r="L43" s="835">
        <v>29</v>
      </c>
      <c r="M43" s="835">
        <v>10</v>
      </c>
      <c r="N43" s="827">
        <v>21</v>
      </c>
      <c r="O43" s="835">
        <v>26</v>
      </c>
      <c r="P43" s="824">
        <v>20</v>
      </c>
      <c r="Q43" s="835">
        <v>22</v>
      </c>
      <c r="R43" s="826">
        <v>12</v>
      </c>
      <c r="S43" s="835">
        <v>11</v>
      </c>
      <c r="T43" s="835">
        <v>20</v>
      </c>
      <c r="U43" s="835">
        <v>21</v>
      </c>
      <c r="V43" s="834">
        <v>15</v>
      </c>
      <c r="W43" s="836">
        <v>17</v>
      </c>
    </row>
    <row r="44" spans="1:23" s="331" customFormat="1" ht="13.5">
      <c r="A44" s="1547"/>
      <c r="B44" s="828" t="s">
        <v>972</v>
      </c>
      <c r="C44" s="826">
        <v>19</v>
      </c>
      <c r="D44" s="835">
        <v>30</v>
      </c>
      <c r="E44" s="835">
        <v>28</v>
      </c>
      <c r="F44" s="835">
        <v>41</v>
      </c>
      <c r="G44" s="835">
        <v>15</v>
      </c>
      <c r="H44" s="835">
        <v>14</v>
      </c>
      <c r="I44" s="835">
        <v>33</v>
      </c>
      <c r="J44" s="835">
        <v>37</v>
      </c>
      <c r="K44" s="835">
        <v>28</v>
      </c>
      <c r="L44" s="835">
        <v>43</v>
      </c>
      <c r="M44" s="835">
        <v>20</v>
      </c>
      <c r="N44" s="827">
        <v>35</v>
      </c>
      <c r="O44" s="835">
        <v>39</v>
      </c>
      <c r="P44" s="824">
        <v>37</v>
      </c>
      <c r="Q44" s="835">
        <v>34</v>
      </c>
      <c r="R44" s="826">
        <v>30</v>
      </c>
      <c r="S44" s="835">
        <v>31</v>
      </c>
      <c r="T44" s="835">
        <v>31</v>
      </c>
      <c r="U44" s="835">
        <v>33</v>
      </c>
      <c r="V44" s="834">
        <v>29</v>
      </c>
      <c r="W44" s="836">
        <v>32</v>
      </c>
    </row>
    <row r="45" spans="1:23" s="331" customFormat="1" ht="13.5">
      <c r="A45" s="1547"/>
      <c r="B45" s="828" t="s">
        <v>973</v>
      </c>
      <c r="C45" s="826">
        <v>31</v>
      </c>
      <c r="D45" s="835">
        <v>39</v>
      </c>
      <c r="E45" s="835">
        <v>37</v>
      </c>
      <c r="F45" s="835">
        <v>52</v>
      </c>
      <c r="G45" s="835">
        <v>23</v>
      </c>
      <c r="H45" s="835">
        <v>26</v>
      </c>
      <c r="I45" s="835">
        <v>42</v>
      </c>
      <c r="J45" s="835">
        <v>44</v>
      </c>
      <c r="K45" s="835">
        <v>40</v>
      </c>
      <c r="L45" s="835">
        <v>51</v>
      </c>
      <c r="M45" s="835">
        <v>30</v>
      </c>
      <c r="N45" s="827">
        <v>44</v>
      </c>
      <c r="O45" s="835">
        <v>46</v>
      </c>
      <c r="P45" s="824">
        <v>56</v>
      </c>
      <c r="Q45" s="835">
        <v>44</v>
      </c>
      <c r="R45" s="826">
        <v>42</v>
      </c>
      <c r="S45" s="835">
        <v>44</v>
      </c>
      <c r="T45" s="835">
        <v>39</v>
      </c>
      <c r="U45" s="835">
        <v>46</v>
      </c>
      <c r="V45" s="834">
        <v>42</v>
      </c>
      <c r="W45" s="836">
        <v>43</v>
      </c>
    </row>
    <row r="46" spans="1:23" s="331" customFormat="1" ht="13.5">
      <c r="A46" s="1544" t="s">
        <v>1302</v>
      </c>
      <c r="B46" s="476" t="s">
        <v>974</v>
      </c>
      <c r="C46" s="383"/>
      <c r="D46" s="817"/>
      <c r="E46" s="817"/>
      <c r="F46" s="817"/>
      <c r="G46" s="817"/>
      <c r="H46" s="817"/>
      <c r="I46" s="817"/>
      <c r="J46" s="817"/>
      <c r="K46" s="817"/>
      <c r="L46" s="817"/>
      <c r="M46" s="817"/>
      <c r="N46" s="385"/>
      <c r="O46" s="817"/>
      <c r="P46" s="817"/>
      <c r="Q46" s="817"/>
      <c r="R46" s="384"/>
      <c r="S46" s="817"/>
      <c r="T46" s="817"/>
      <c r="U46" s="817"/>
      <c r="V46" s="818"/>
      <c r="W46" s="381"/>
    </row>
    <row r="47" spans="1:23" s="331" customFormat="1" ht="13.5">
      <c r="A47" s="1544" t="s">
        <v>1303</v>
      </c>
      <c r="B47" s="476" t="s">
        <v>975</v>
      </c>
      <c r="C47" s="384"/>
      <c r="D47" s="817"/>
      <c r="E47" s="817"/>
      <c r="F47" s="817"/>
      <c r="G47" s="817"/>
      <c r="H47" s="817"/>
      <c r="I47" s="817"/>
      <c r="J47" s="817"/>
      <c r="K47" s="817"/>
      <c r="L47" s="817"/>
      <c r="M47" s="817"/>
      <c r="N47" s="385"/>
      <c r="O47" s="817"/>
      <c r="P47" s="817"/>
      <c r="Q47" s="817"/>
      <c r="R47" s="384"/>
      <c r="S47" s="817"/>
      <c r="T47" s="817"/>
      <c r="U47" s="817"/>
      <c r="V47" s="818"/>
      <c r="W47" s="381"/>
    </row>
    <row r="48" spans="1:23" s="331" customFormat="1" ht="13.5">
      <c r="A48" s="1544" t="s">
        <v>1211</v>
      </c>
      <c r="B48" s="838" t="s">
        <v>976</v>
      </c>
      <c r="C48" s="826">
        <v>879</v>
      </c>
      <c r="D48" s="835">
        <v>1815</v>
      </c>
      <c r="E48" s="835">
        <v>3328</v>
      </c>
      <c r="F48" s="835">
        <v>3276</v>
      </c>
      <c r="G48" s="835">
        <v>8293</v>
      </c>
      <c r="H48" s="835">
        <v>1168</v>
      </c>
      <c r="I48" s="835">
        <v>10524</v>
      </c>
      <c r="J48" s="835">
        <v>2303</v>
      </c>
      <c r="K48" s="835">
        <v>2365</v>
      </c>
      <c r="L48" s="835">
        <v>4750</v>
      </c>
      <c r="M48" s="835">
        <v>1661</v>
      </c>
      <c r="N48" s="827">
        <v>1451</v>
      </c>
      <c r="O48" s="835">
        <v>1589</v>
      </c>
      <c r="P48" s="835">
        <v>2406</v>
      </c>
      <c r="Q48" s="835">
        <v>5751</v>
      </c>
      <c r="R48" s="826">
        <v>930</v>
      </c>
      <c r="S48" s="835">
        <v>5536</v>
      </c>
      <c r="T48" s="835">
        <v>883</v>
      </c>
      <c r="U48" s="835">
        <v>1039</v>
      </c>
      <c r="V48" s="834">
        <v>59947</v>
      </c>
      <c r="W48" s="836">
        <v>389260</v>
      </c>
    </row>
    <row r="49" spans="1:23" s="331" customFormat="1" ht="13.5">
      <c r="A49" s="1544" t="s">
        <v>1212</v>
      </c>
      <c r="B49" s="838" t="s">
        <v>977</v>
      </c>
      <c r="C49" s="826">
        <v>818</v>
      </c>
      <c r="D49" s="835">
        <v>844</v>
      </c>
      <c r="E49" s="835">
        <v>2414</v>
      </c>
      <c r="F49" s="835">
        <v>1331</v>
      </c>
      <c r="G49" s="835">
        <v>5035</v>
      </c>
      <c r="H49" s="835">
        <v>641</v>
      </c>
      <c r="I49" s="835">
        <v>6614</v>
      </c>
      <c r="J49" s="835">
        <v>1773</v>
      </c>
      <c r="K49" s="835">
        <v>817</v>
      </c>
      <c r="L49" s="835">
        <v>1905</v>
      </c>
      <c r="M49" s="835">
        <v>1294</v>
      </c>
      <c r="N49" s="827">
        <v>865</v>
      </c>
      <c r="O49" s="835">
        <v>1295</v>
      </c>
      <c r="P49" s="835">
        <v>2116</v>
      </c>
      <c r="Q49" s="835">
        <v>2658</v>
      </c>
      <c r="R49" s="826">
        <v>517</v>
      </c>
      <c r="S49" s="835">
        <v>3080</v>
      </c>
      <c r="T49" s="835">
        <v>597</v>
      </c>
      <c r="U49" s="835">
        <v>650</v>
      </c>
      <c r="V49" s="834">
        <v>35264</v>
      </c>
      <c r="W49" s="836">
        <v>201000</v>
      </c>
    </row>
    <row r="50" spans="1:23" s="331" customFormat="1" ht="13.5">
      <c r="A50" s="1544" t="s">
        <v>1213</v>
      </c>
      <c r="B50" s="838" t="s">
        <v>978</v>
      </c>
      <c r="C50" s="826">
        <v>257</v>
      </c>
      <c r="D50" s="835">
        <v>466</v>
      </c>
      <c r="E50" s="835">
        <v>857</v>
      </c>
      <c r="F50" s="835">
        <v>687</v>
      </c>
      <c r="G50" s="835">
        <v>1585</v>
      </c>
      <c r="H50" s="835">
        <v>154</v>
      </c>
      <c r="I50" s="835">
        <v>1705</v>
      </c>
      <c r="J50" s="835">
        <v>667</v>
      </c>
      <c r="K50" s="835">
        <v>263</v>
      </c>
      <c r="L50" s="835">
        <v>866</v>
      </c>
      <c r="M50" s="835">
        <v>338</v>
      </c>
      <c r="N50" s="827">
        <v>321</v>
      </c>
      <c r="O50" s="835">
        <v>388</v>
      </c>
      <c r="P50" s="835">
        <v>703</v>
      </c>
      <c r="Q50" s="835">
        <v>856</v>
      </c>
      <c r="R50" s="826">
        <v>214</v>
      </c>
      <c r="S50" s="835">
        <v>1340</v>
      </c>
      <c r="T50" s="835">
        <v>259</v>
      </c>
      <c r="U50" s="835">
        <v>206</v>
      </c>
      <c r="V50" s="834">
        <v>12132</v>
      </c>
      <c r="W50" s="836">
        <v>77470</v>
      </c>
    </row>
    <row r="51" spans="1:23" s="331" customFormat="1" ht="13.5">
      <c r="A51" s="1544" t="s">
        <v>1214</v>
      </c>
      <c r="B51" s="838" t="s">
        <v>979</v>
      </c>
      <c r="C51" s="826">
        <v>199</v>
      </c>
      <c r="D51" s="835">
        <v>418</v>
      </c>
      <c r="E51" s="835">
        <v>646</v>
      </c>
      <c r="F51" s="835">
        <v>559</v>
      </c>
      <c r="G51" s="835">
        <v>1222</v>
      </c>
      <c r="H51" s="835">
        <v>128</v>
      </c>
      <c r="I51" s="835">
        <v>1479</v>
      </c>
      <c r="J51" s="835">
        <v>493</v>
      </c>
      <c r="K51" s="835">
        <v>239</v>
      </c>
      <c r="L51" s="835">
        <v>676</v>
      </c>
      <c r="M51" s="835">
        <v>291</v>
      </c>
      <c r="N51" s="827">
        <v>252</v>
      </c>
      <c r="O51" s="835">
        <v>156</v>
      </c>
      <c r="P51" s="835">
        <v>390</v>
      </c>
      <c r="Q51" s="835">
        <v>704</v>
      </c>
      <c r="R51" s="826">
        <v>181</v>
      </c>
      <c r="S51" s="835">
        <v>817</v>
      </c>
      <c r="T51" s="835">
        <v>150</v>
      </c>
      <c r="U51" s="835">
        <v>180</v>
      </c>
      <c r="V51" s="834">
        <v>9210</v>
      </c>
      <c r="W51" s="836">
        <v>60160</v>
      </c>
    </row>
    <row r="52" spans="1:23" s="331" customFormat="1" ht="13.5">
      <c r="A52" s="1544" t="s">
        <v>1215</v>
      </c>
      <c r="B52" s="838" t="s">
        <v>980</v>
      </c>
      <c r="C52" s="826">
        <v>122</v>
      </c>
      <c r="D52" s="835">
        <v>335</v>
      </c>
      <c r="E52" s="835">
        <v>575</v>
      </c>
      <c r="F52" s="835">
        <v>536</v>
      </c>
      <c r="G52" s="835">
        <v>938</v>
      </c>
      <c r="H52" s="835">
        <v>126</v>
      </c>
      <c r="I52" s="835">
        <v>1332</v>
      </c>
      <c r="J52" s="835">
        <v>463</v>
      </c>
      <c r="K52" s="835">
        <v>132</v>
      </c>
      <c r="L52" s="835">
        <v>543</v>
      </c>
      <c r="M52" s="835">
        <v>203</v>
      </c>
      <c r="N52" s="827">
        <v>224</v>
      </c>
      <c r="O52" s="835">
        <v>301</v>
      </c>
      <c r="P52" s="835">
        <v>396</v>
      </c>
      <c r="Q52" s="835">
        <v>685</v>
      </c>
      <c r="R52" s="826">
        <v>106</v>
      </c>
      <c r="S52" s="835">
        <v>816</v>
      </c>
      <c r="T52" s="835">
        <v>131</v>
      </c>
      <c r="U52" s="835">
        <v>142</v>
      </c>
      <c r="V52" s="834">
        <v>8106</v>
      </c>
      <c r="W52" s="836">
        <v>51510</v>
      </c>
    </row>
    <row r="53" spans="1:23" s="331" customFormat="1" ht="13.5">
      <c r="A53" s="1544" t="s">
        <v>1304</v>
      </c>
      <c r="B53" s="838" t="s">
        <v>981</v>
      </c>
      <c r="C53" s="826">
        <v>63</v>
      </c>
      <c r="D53" s="835">
        <v>214</v>
      </c>
      <c r="E53" s="835">
        <v>468</v>
      </c>
      <c r="F53" s="835">
        <v>381</v>
      </c>
      <c r="G53" s="835">
        <v>591</v>
      </c>
      <c r="H53" s="835">
        <v>82</v>
      </c>
      <c r="I53" s="835">
        <v>1041</v>
      </c>
      <c r="J53" s="835">
        <v>310</v>
      </c>
      <c r="K53" s="835">
        <v>93</v>
      </c>
      <c r="L53" s="835">
        <v>366</v>
      </c>
      <c r="M53" s="835">
        <v>129</v>
      </c>
      <c r="N53" s="827">
        <v>139</v>
      </c>
      <c r="O53" s="835">
        <v>184</v>
      </c>
      <c r="P53" s="835">
        <v>309</v>
      </c>
      <c r="Q53" s="835">
        <v>469</v>
      </c>
      <c r="R53" s="826">
        <v>62</v>
      </c>
      <c r="S53" s="835">
        <v>568</v>
      </c>
      <c r="T53" s="835">
        <v>85</v>
      </c>
      <c r="U53" s="835">
        <v>100</v>
      </c>
      <c r="V53" s="834">
        <v>5650</v>
      </c>
      <c r="W53" s="836">
        <v>35100</v>
      </c>
    </row>
    <row r="54" spans="1:23" s="331" customFormat="1" ht="13.5">
      <c r="A54" s="1544" t="s">
        <v>1178</v>
      </c>
      <c r="B54" s="838" t="s">
        <v>982</v>
      </c>
      <c r="C54" s="826">
        <v>62</v>
      </c>
      <c r="D54" s="835">
        <v>208</v>
      </c>
      <c r="E54" s="835">
        <v>455</v>
      </c>
      <c r="F54" s="835">
        <v>353</v>
      </c>
      <c r="G54" s="835">
        <v>478</v>
      </c>
      <c r="H54" s="835">
        <v>76</v>
      </c>
      <c r="I54" s="835">
        <v>1041</v>
      </c>
      <c r="J54" s="835">
        <v>310</v>
      </c>
      <c r="K54" s="835">
        <v>87</v>
      </c>
      <c r="L54" s="835">
        <v>276</v>
      </c>
      <c r="M54" s="835">
        <v>129</v>
      </c>
      <c r="N54" s="827">
        <v>96</v>
      </c>
      <c r="O54" s="835">
        <v>129</v>
      </c>
      <c r="P54" s="835">
        <v>201</v>
      </c>
      <c r="Q54" s="835">
        <v>437</v>
      </c>
      <c r="R54" s="826">
        <v>62</v>
      </c>
      <c r="S54" s="835">
        <v>491</v>
      </c>
      <c r="T54" s="835">
        <v>69</v>
      </c>
      <c r="U54" s="835">
        <v>100</v>
      </c>
      <c r="V54" s="834">
        <v>5060</v>
      </c>
      <c r="W54" s="836">
        <v>32110</v>
      </c>
    </row>
    <row r="55" spans="1:23" s="331" customFormat="1" ht="13.5">
      <c r="A55" s="1544" t="s">
        <v>1305</v>
      </c>
      <c r="B55" s="473" t="s">
        <v>983</v>
      </c>
      <c r="C55" s="384"/>
      <c r="D55" s="817"/>
      <c r="E55" s="817"/>
      <c r="F55" s="817"/>
      <c r="G55" s="817"/>
      <c r="H55" s="817"/>
      <c r="I55" s="817"/>
      <c r="J55" s="817"/>
      <c r="K55" s="817"/>
      <c r="L55" s="817"/>
      <c r="M55" s="817"/>
      <c r="N55" s="385"/>
      <c r="O55" s="817"/>
      <c r="P55" s="817"/>
      <c r="Q55" s="817"/>
      <c r="R55" s="384"/>
      <c r="S55" s="817"/>
      <c r="T55" s="817"/>
      <c r="U55" s="817"/>
      <c r="V55" s="818"/>
      <c r="W55" s="381"/>
    </row>
    <row r="56" spans="1:23" s="331" customFormat="1" ht="13.5">
      <c r="A56" s="1544" t="s">
        <v>1179</v>
      </c>
      <c r="B56" s="838" t="s">
        <v>984</v>
      </c>
      <c r="C56" s="826">
        <v>1</v>
      </c>
      <c r="D56" s="842">
        <v>11</v>
      </c>
      <c r="E56" s="842">
        <v>17</v>
      </c>
      <c r="F56" s="842">
        <v>21</v>
      </c>
      <c r="G56" s="842">
        <v>15</v>
      </c>
      <c r="H56" s="842">
        <v>2</v>
      </c>
      <c r="I56" s="842">
        <v>35</v>
      </c>
      <c r="J56" s="842">
        <v>9</v>
      </c>
      <c r="K56" s="842" t="s">
        <v>70</v>
      </c>
      <c r="L56" s="842">
        <v>19</v>
      </c>
      <c r="M56" s="842">
        <v>7</v>
      </c>
      <c r="N56" s="827">
        <v>9</v>
      </c>
      <c r="O56" s="842">
        <v>5</v>
      </c>
      <c r="P56" s="842">
        <v>7</v>
      </c>
      <c r="Q56" s="842">
        <v>20</v>
      </c>
      <c r="R56" s="826">
        <v>1</v>
      </c>
      <c r="S56" s="842">
        <v>8</v>
      </c>
      <c r="T56" s="842">
        <v>4</v>
      </c>
      <c r="U56" s="842">
        <v>0</v>
      </c>
      <c r="V56" s="825">
        <v>200</v>
      </c>
      <c r="W56" s="1546">
        <v>1100</v>
      </c>
    </row>
    <row r="57" spans="1:23" s="331" customFormat="1" ht="13.5">
      <c r="A57" s="1544" t="s">
        <v>1216</v>
      </c>
      <c r="B57" s="838" t="s">
        <v>985</v>
      </c>
      <c r="C57" s="826">
        <v>192</v>
      </c>
      <c r="D57" s="835">
        <v>372</v>
      </c>
      <c r="E57" s="835">
        <v>721</v>
      </c>
      <c r="F57" s="835">
        <v>621</v>
      </c>
      <c r="G57" s="835">
        <v>1501</v>
      </c>
      <c r="H57" s="835">
        <v>184</v>
      </c>
      <c r="I57" s="835">
        <v>1486</v>
      </c>
      <c r="J57" s="835">
        <v>475</v>
      </c>
      <c r="K57" s="835">
        <v>233</v>
      </c>
      <c r="L57" s="835">
        <v>807</v>
      </c>
      <c r="M57" s="835">
        <v>291</v>
      </c>
      <c r="N57" s="827">
        <v>277</v>
      </c>
      <c r="O57" s="835">
        <v>234</v>
      </c>
      <c r="P57" s="835">
        <v>437</v>
      </c>
      <c r="Q57" s="835">
        <v>968</v>
      </c>
      <c r="R57" s="826">
        <v>182</v>
      </c>
      <c r="S57" s="835">
        <v>948</v>
      </c>
      <c r="T57" s="835">
        <v>172</v>
      </c>
      <c r="U57" s="835">
        <v>164</v>
      </c>
      <c r="V57" s="834">
        <v>10270</v>
      </c>
      <c r="W57" s="836">
        <v>66970</v>
      </c>
    </row>
    <row r="58" spans="1:23" s="331" customFormat="1" ht="13.5">
      <c r="A58" s="1544" t="s">
        <v>1180</v>
      </c>
      <c r="B58" s="838" t="s">
        <v>986</v>
      </c>
      <c r="C58" s="826">
        <v>0</v>
      </c>
      <c r="D58" s="835">
        <v>16</v>
      </c>
      <c r="E58" s="835">
        <v>29</v>
      </c>
      <c r="F58" s="835">
        <v>53</v>
      </c>
      <c r="G58" s="835">
        <v>59</v>
      </c>
      <c r="H58" s="835">
        <v>12</v>
      </c>
      <c r="I58" s="835">
        <v>85</v>
      </c>
      <c r="J58" s="835">
        <v>22</v>
      </c>
      <c r="K58" s="835" t="s">
        <v>70</v>
      </c>
      <c r="L58" s="835">
        <v>54</v>
      </c>
      <c r="M58" s="835">
        <v>7</v>
      </c>
      <c r="N58" s="827">
        <v>15</v>
      </c>
      <c r="O58" s="835">
        <v>12</v>
      </c>
      <c r="P58" s="835">
        <v>13</v>
      </c>
      <c r="Q58" s="835">
        <v>67</v>
      </c>
      <c r="R58" s="826">
        <v>5</v>
      </c>
      <c r="S58" s="835">
        <v>55</v>
      </c>
      <c r="T58" s="835">
        <v>8</v>
      </c>
      <c r="U58" s="835" t="s">
        <v>70</v>
      </c>
      <c r="V58" s="834">
        <v>520</v>
      </c>
      <c r="W58" s="836">
        <v>2400</v>
      </c>
    </row>
    <row r="59" spans="1:23" s="331" customFormat="1" ht="13.5">
      <c r="A59" s="1544" t="s">
        <v>1217</v>
      </c>
      <c r="B59" s="838" t="s">
        <v>987</v>
      </c>
      <c r="C59" s="826">
        <v>184</v>
      </c>
      <c r="D59" s="835">
        <v>392</v>
      </c>
      <c r="E59" s="835">
        <v>734</v>
      </c>
      <c r="F59" s="835">
        <v>591</v>
      </c>
      <c r="G59" s="835">
        <v>1343</v>
      </c>
      <c r="H59" s="835">
        <v>147</v>
      </c>
      <c r="I59" s="835">
        <v>1520</v>
      </c>
      <c r="J59" s="835">
        <v>583</v>
      </c>
      <c r="K59" s="835">
        <v>224</v>
      </c>
      <c r="L59" s="835">
        <v>747</v>
      </c>
      <c r="M59" s="835">
        <v>299</v>
      </c>
      <c r="N59" s="827">
        <v>252</v>
      </c>
      <c r="O59" s="835">
        <v>317</v>
      </c>
      <c r="P59" s="835">
        <v>562</v>
      </c>
      <c r="Q59" s="835">
        <v>697</v>
      </c>
      <c r="R59" s="826">
        <v>170</v>
      </c>
      <c r="S59" s="835">
        <v>1125</v>
      </c>
      <c r="T59" s="835">
        <v>213</v>
      </c>
      <c r="U59" s="835">
        <v>178</v>
      </c>
      <c r="V59" s="834">
        <v>10280</v>
      </c>
      <c r="W59" s="836">
        <v>66380</v>
      </c>
    </row>
    <row r="60" spans="1:23" s="331" customFormat="1" ht="13.5">
      <c r="A60" s="1544" t="s">
        <v>1218</v>
      </c>
      <c r="B60" s="838" t="s">
        <v>988</v>
      </c>
      <c r="C60" s="826">
        <v>44</v>
      </c>
      <c r="D60" s="835">
        <v>105</v>
      </c>
      <c r="E60" s="835">
        <v>180</v>
      </c>
      <c r="F60" s="835">
        <v>148</v>
      </c>
      <c r="G60" s="835">
        <v>321</v>
      </c>
      <c r="H60" s="835">
        <v>26</v>
      </c>
      <c r="I60" s="835">
        <v>344</v>
      </c>
      <c r="J60" s="835">
        <v>127</v>
      </c>
      <c r="K60" s="835">
        <v>25</v>
      </c>
      <c r="L60" s="835">
        <v>185</v>
      </c>
      <c r="M60" s="835">
        <v>59</v>
      </c>
      <c r="N60" s="827">
        <v>63</v>
      </c>
      <c r="O60" s="835">
        <v>58</v>
      </c>
      <c r="P60" s="835">
        <v>137</v>
      </c>
      <c r="Q60" s="835">
        <v>184</v>
      </c>
      <c r="R60" s="826">
        <v>37</v>
      </c>
      <c r="S60" s="835">
        <v>298</v>
      </c>
      <c r="T60" s="835">
        <v>32</v>
      </c>
      <c r="U60" s="835">
        <v>36</v>
      </c>
      <c r="V60" s="834">
        <v>2410</v>
      </c>
      <c r="W60" s="836">
        <v>14540</v>
      </c>
    </row>
    <row r="61" spans="1:23" s="331" customFormat="1" ht="13.5">
      <c r="A61" s="1544" t="s">
        <v>1306</v>
      </c>
      <c r="B61" s="838" t="s">
        <v>989</v>
      </c>
      <c r="C61" s="826"/>
      <c r="D61" s="835"/>
      <c r="E61" s="835"/>
      <c r="F61" s="835"/>
      <c r="G61" s="835"/>
      <c r="H61" s="835"/>
      <c r="I61" s="835"/>
      <c r="J61" s="835"/>
      <c r="K61" s="835"/>
      <c r="L61" s="835"/>
      <c r="M61" s="835"/>
      <c r="N61" s="827"/>
      <c r="O61" s="835"/>
      <c r="P61" s="835"/>
      <c r="Q61" s="835"/>
      <c r="R61" s="826"/>
      <c r="S61" s="835"/>
      <c r="T61" s="835"/>
      <c r="U61" s="835"/>
      <c r="V61" s="834"/>
      <c r="W61" s="836"/>
    </row>
    <row r="62" spans="1:23" s="331" customFormat="1" ht="13.5">
      <c r="A62" s="1544" t="s">
        <v>1219</v>
      </c>
      <c r="B62" s="838" t="s">
        <v>990</v>
      </c>
      <c r="C62" s="826">
        <v>142</v>
      </c>
      <c r="D62" s="835">
        <v>371</v>
      </c>
      <c r="E62" s="835">
        <v>484</v>
      </c>
      <c r="F62" s="835">
        <v>580</v>
      </c>
      <c r="G62" s="835">
        <v>1601</v>
      </c>
      <c r="H62" s="835">
        <v>263</v>
      </c>
      <c r="I62" s="835">
        <v>1806</v>
      </c>
      <c r="J62" s="835">
        <v>426</v>
      </c>
      <c r="K62" s="835">
        <v>403</v>
      </c>
      <c r="L62" s="835">
        <v>767</v>
      </c>
      <c r="M62" s="835">
        <v>468</v>
      </c>
      <c r="N62" s="827">
        <v>277</v>
      </c>
      <c r="O62" s="835">
        <v>196</v>
      </c>
      <c r="P62" s="835">
        <v>486</v>
      </c>
      <c r="Q62" s="835">
        <v>983</v>
      </c>
      <c r="R62" s="826">
        <v>156</v>
      </c>
      <c r="S62" s="835">
        <v>806</v>
      </c>
      <c r="T62" s="835">
        <v>116</v>
      </c>
      <c r="U62" s="835">
        <v>98</v>
      </c>
      <c r="V62" s="834">
        <v>10429</v>
      </c>
      <c r="W62" s="836">
        <v>80000</v>
      </c>
    </row>
    <row r="63" spans="1:23" s="331" customFormat="1" ht="13.5">
      <c r="A63" s="1544"/>
      <c r="B63" s="726" t="s">
        <v>742</v>
      </c>
      <c r="C63" s="821"/>
      <c r="D63" s="822"/>
      <c r="E63" s="822"/>
      <c r="F63" s="822"/>
      <c r="G63" s="822"/>
      <c r="H63" s="822"/>
      <c r="I63" s="822"/>
      <c r="J63" s="822"/>
      <c r="K63" s="822"/>
      <c r="L63" s="822"/>
      <c r="M63" s="822"/>
      <c r="N63" s="823"/>
      <c r="O63" s="822"/>
      <c r="P63" s="822"/>
      <c r="Q63" s="822"/>
      <c r="R63" s="821"/>
      <c r="S63" s="822"/>
      <c r="T63" s="822"/>
      <c r="U63" s="822"/>
      <c r="V63" s="819"/>
      <c r="W63" s="725"/>
    </row>
    <row r="64" spans="1:23" s="331" customFormat="1" ht="13.5">
      <c r="A64" s="1544" t="s">
        <v>1205</v>
      </c>
      <c r="B64" s="838" t="s">
        <v>991</v>
      </c>
      <c r="C64" s="826">
        <v>8</v>
      </c>
      <c r="D64" s="835">
        <v>15</v>
      </c>
      <c r="E64" s="835">
        <v>29</v>
      </c>
      <c r="F64" s="835">
        <v>24</v>
      </c>
      <c r="G64" s="835">
        <v>69</v>
      </c>
      <c r="H64" s="835">
        <v>8</v>
      </c>
      <c r="I64" s="835">
        <v>75</v>
      </c>
      <c r="J64" s="835">
        <v>28</v>
      </c>
      <c r="K64" s="835">
        <v>22</v>
      </c>
      <c r="L64" s="835">
        <v>29</v>
      </c>
      <c r="M64" s="835">
        <v>27</v>
      </c>
      <c r="N64" s="827">
        <v>13</v>
      </c>
      <c r="O64" s="835">
        <v>11</v>
      </c>
      <c r="P64" s="835">
        <v>29</v>
      </c>
      <c r="Q64" s="835">
        <v>39</v>
      </c>
      <c r="R64" s="826">
        <v>7</v>
      </c>
      <c r="S64" s="835">
        <v>47</v>
      </c>
      <c r="T64" s="835">
        <v>0</v>
      </c>
      <c r="U64" s="835">
        <v>0</v>
      </c>
      <c r="V64" s="834">
        <v>480</v>
      </c>
      <c r="W64" s="836">
        <v>4130</v>
      </c>
    </row>
    <row r="65" spans="1:23" s="331" customFormat="1" ht="13.5">
      <c r="A65" s="1544" t="s">
        <v>1182</v>
      </c>
      <c r="B65" s="838" t="s">
        <v>992</v>
      </c>
      <c r="C65" s="826">
        <v>7</v>
      </c>
      <c r="D65" s="835">
        <v>44</v>
      </c>
      <c r="E65" s="835">
        <v>49</v>
      </c>
      <c r="F65" s="835">
        <v>72</v>
      </c>
      <c r="G65" s="835">
        <v>156</v>
      </c>
      <c r="H65" s="835">
        <v>43</v>
      </c>
      <c r="I65" s="835">
        <v>113</v>
      </c>
      <c r="J65" s="835">
        <v>50</v>
      </c>
      <c r="K65" s="835">
        <v>71</v>
      </c>
      <c r="L65" s="835">
        <v>84</v>
      </c>
      <c r="M65" s="835">
        <v>40</v>
      </c>
      <c r="N65" s="827">
        <v>32</v>
      </c>
      <c r="O65" s="835">
        <v>31</v>
      </c>
      <c r="P65" s="835">
        <v>47</v>
      </c>
      <c r="Q65" s="835">
        <v>92</v>
      </c>
      <c r="R65" s="826">
        <v>12</v>
      </c>
      <c r="S65" s="835">
        <v>112</v>
      </c>
      <c r="T65" s="835">
        <v>0</v>
      </c>
      <c r="U65" s="835">
        <v>0</v>
      </c>
      <c r="V65" s="834">
        <v>1055</v>
      </c>
      <c r="W65" s="836">
        <v>10850</v>
      </c>
    </row>
    <row r="66" spans="1:23" s="331" customFormat="1" ht="13.5">
      <c r="A66" s="1544" t="s">
        <v>1183</v>
      </c>
      <c r="B66" s="838" t="s">
        <v>993</v>
      </c>
      <c r="C66" s="826">
        <v>23</v>
      </c>
      <c r="D66" s="835">
        <v>51</v>
      </c>
      <c r="E66" s="835">
        <v>68</v>
      </c>
      <c r="F66" s="835">
        <v>125</v>
      </c>
      <c r="G66" s="835">
        <v>345</v>
      </c>
      <c r="H66" s="835">
        <v>67</v>
      </c>
      <c r="I66" s="835">
        <v>190</v>
      </c>
      <c r="J66" s="835">
        <v>75</v>
      </c>
      <c r="K66" s="835">
        <v>69</v>
      </c>
      <c r="L66" s="835">
        <v>137</v>
      </c>
      <c r="M66" s="835">
        <v>68</v>
      </c>
      <c r="N66" s="827">
        <v>61</v>
      </c>
      <c r="O66" s="835">
        <v>31</v>
      </c>
      <c r="P66" s="835">
        <v>105</v>
      </c>
      <c r="Q66" s="835">
        <v>168</v>
      </c>
      <c r="R66" s="826">
        <v>18</v>
      </c>
      <c r="S66" s="835">
        <v>117</v>
      </c>
      <c r="T66" s="835">
        <v>17</v>
      </c>
      <c r="U66" s="835">
        <v>16</v>
      </c>
      <c r="V66" s="834">
        <v>1751</v>
      </c>
      <c r="W66" s="836">
        <v>14700</v>
      </c>
    </row>
    <row r="67" spans="1:23" s="331" customFormat="1" ht="13.5">
      <c r="A67" s="1544" t="s">
        <v>1184</v>
      </c>
      <c r="B67" s="838" t="s">
        <v>994</v>
      </c>
      <c r="C67" s="826">
        <v>63</v>
      </c>
      <c r="D67" s="835">
        <v>156</v>
      </c>
      <c r="E67" s="835">
        <v>208</v>
      </c>
      <c r="F67" s="835">
        <v>241</v>
      </c>
      <c r="G67" s="835">
        <v>669</v>
      </c>
      <c r="H67" s="835">
        <v>99</v>
      </c>
      <c r="I67" s="835">
        <v>713</v>
      </c>
      <c r="J67" s="835">
        <v>187</v>
      </c>
      <c r="K67" s="835">
        <v>144</v>
      </c>
      <c r="L67" s="835">
        <v>310</v>
      </c>
      <c r="M67" s="835">
        <v>173</v>
      </c>
      <c r="N67" s="827">
        <v>108</v>
      </c>
      <c r="O67" s="835">
        <v>78</v>
      </c>
      <c r="P67" s="835">
        <v>218</v>
      </c>
      <c r="Q67" s="835">
        <v>383</v>
      </c>
      <c r="R67" s="826">
        <v>65</v>
      </c>
      <c r="S67" s="835">
        <v>298</v>
      </c>
      <c r="T67" s="835">
        <v>47</v>
      </c>
      <c r="U67" s="835">
        <v>33</v>
      </c>
      <c r="V67" s="834">
        <v>4193</v>
      </c>
      <c r="W67" s="836">
        <v>31370</v>
      </c>
    </row>
    <row r="68" spans="1:23" s="331" customFormat="1" ht="13.5">
      <c r="A68" s="1544" t="s">
        <v>1185</v>
      </c>
      <c r="B68" s="838" t="s">
        <v>995</v>
      </c>
      <c r="C68" s="826">
        <v>41</v>
      </c>
      <c r="D68" s="835">
        <v>104</v>
      </c>
      <c r="E68" s="835">
        <v>130</v>
      </c>
      <c r="F68" s="835">
        <v>130</v>
      </c>
      <c r="G68" s="835">
        <v>363</v>
      </c>
      <c r="H68" s="835">
        <v>47</v>
      </c>
      <c r="I68" s="835">
        <v>716</v>
      </c>
      <c r="J68" s="835">
        <v>86</v>
      </c>
      <c r="K68" s="835">
        <v>97</v>
      </c>
      <c r="L68" s="835">
        <v>207</v>
      </c>
      <c r="M68" s="835">
        <v>158</v>
      </c>
      <c r="N68" s="827">
        <v>66</v>
      </c>
      <c r="O68" s="835">
        <v>45</v>
      </c>
      <c r="P68" s="835">
        <v>87</v>
      </c>
      <c r="Q68" s="835">
        <v>299</v>
      </c>
      <c r="R68" s="826">
        <v>55</v>
      </c>
      <c r="S68" s="835">
        <v>234</v>
      </c>
      <c r="T68" s="835">
        <v>35</v>
      </c>
      <c r="U68" s="835">
        <v>33</v>
      </c>
      <c r="V68" s="834">
        <v>2933</v>
      </c>
      <c r="W68" s="836">
        <v>19030</v>
      </c>
    </row>
    <row r="69" spans="1:23" s="331" customFormat="1" ht="13.5">
      <c r="A69" s="1544" t="s">
        <v>1186</v>
      </c>
      <c r="B69" s="838" t="s">
        <v>996</v>
      </c>
      <c r="C69" s="826">
        <v>101</v>
      </c>
      <c r="D69" s="826">
        <v>266</v>
      </c>
      <c r="E69" s="826">
        <v>354</v>
      </c>
      <c r="F69" s="826">
        <v>462</v>
      </c>
      <c r="G69" s="826">
        <v>1239</v>
      </c>
      <c r="H69" s="826">
        <v>217</v>
      </c>
      <c r="I69" s="826">
        <v>1091</v>
      </c>
      <c r="J69" s="826">
        <v>340</v>
      </c>
      <c r="K69" s="826">
        <v>306</v>
      </c>
      <c r="L69" s="826">
        <v>560</v>
      </c>
      <c r="M69" s="826">
        <v>308</v>
      </c>
      <c r="N69" s="826">
        <v>214</v>
      </c>
      <c r="O69" s="826">
        <v>151</v>
      </c>
      <c r="P69" s="826">
        <v>399</v>
      </c>
      <c r="Q69" s="826">
        <v>682</v>
      </c>
      <c r="R69" s="826">
        <v>102</v>
      </c>
      <c r="S69" s="826">
        <v>574</v>
      </c>
      <c r="T69" s="826">
        <v>64</v>
      </c>
      <c r="U69" s="826">
        <v>49</v>
      </c>
      <c r="V69" s="834">
        <v>7479</v>
      </c>
      <c r="W69" s="826">
        <v>61050</v>
      </c>
    </row>
    <row r="70" spans="1:23" s="331" customFormat="1" ht="13.5">
      <c r="A70" s="1544" t="s">
        <v>1187</v>
      </c>
      <c r="B70" s="838" t="s">
        <v>997</v>
      </c>
      <c r="C70" s="826">
        <v>41</v>
      </c>
      <c r="D70" s="835">
        <v>119</v>
      </c>
      <c r="E70" s="835">
        <v>168</v>
      </c>
      <c r="F70" s="835">
        <v>237</v>
      </c>
      <c r="G70" s="835">
        <v>593</v>
      </c>
      <c r="H70" s="835">
        <v>103</v>
      </c>
      <c r="I70" s="835">
        <v>528</v>
      </c>
      <c r="J70" s="835">
        <v>165</v>
      </c>
      <c r="K70" s="835">
        <v>140</v>
      </c>
      <c r="L70" s="835">
        <v>226</v>
      </c>
      <c r="M70" s="835">
        <v>132</v>
      </c>
      <c r="N70" s="827">
        <v>100</v>
      </c>
      <c r="O70" s="835">
        <v>56</v>
      </c>
      <c r="P70" s="835">
        <v>214</v>
      </c>
      <c r="Q70" s="835">
        <v>285</v>
      </c>
      <c r="R70" s="826">
        <v>45</v>
      </c>
      <c r="S70" s="835">
        <v>183</v>
      </c>
      <c r="T70" s="835">
        <v>30</v>
      </c>
      <c r="U70" s="835">
        <v>12</v>
      </c>
      <c r="V70" s="834">
        <v>3377</v>
      </c>
      <c r="W70" s="836">
        <v>27170</v>
      </c>
    </row>
    <row r="71" spans="1:23" s="331" customFormat="1" ht="13.5">
      <c r="A71" s="1544" t="s">
        <v>1188</v>
      </c>
      <c r="B71" s="838" t="s">
        <v>998</v>
      </c>
      <c r="C71" s="826">
        <v>21</v>
      </c>
      <c r="D71" s="835">
        <v>76</v>
      </c>
      <c r="E71" s="835"/>
      <c r="F71" s="835">
        <v>119</v>
      </c>
      <c r="G71" s="835">
        <v>375</v>
      </c>
      <c r="H71" s="835">
        <v>72</v>
      </c>
      <c r="I71" s="835">
        <v>380</v>
      </c>
      <c r="J71" s="835">
        <v>114</v>
      </c>
      <c r="K71" s="835"/>
      <c r="L71" s="835">
        <v>149</v>
      </c>
      <c r="M71" s="835"/>
      <c r="N71" s="827">
        <v>76</v>
      </c>
      <c r="O71" s="835">
        <v>42</v>
      </c>
      <c r="P71" s="835"/>
      <c r="Q71" s="835">
        <v>189</v>
      </c>
      <c r="R71" s="826">
        <v>37</v>
      </c>
      <c r="S71" s="835">
        <v>115</v>
      </c>
      <c r="T71" s="835">
        <v>17</v>
      </c>
      <c r="U71" s="835">
        <v>7</v>
      </c>
      <c r="V71" s="834">
        <v>1789</v>
      </c>
      <c r="W71" s="836">
        <v>18430</v>
      </c>
    </row>
    <row r="72" spans="1:23" s="331" customFormat="1" ht="13.5">
      <c r="A72" s="1544" t="s">
        <v>1220</v>
      </c>
      <c r="B72" s="838" t="s">
        <v>999</v>
      </c>
      <c r="C72" s="826">
        <v>3</v>
      </c>
      <c r="D72" s="835">
        <v>32</v>
      </c>
      <c r="E72" s="835">
        <v>25</v>
      </c>
      <c r="F72" s="835">
        <v>31</v>
      </c>
      <c r="G72" s="835">
        <v>85</v>
      </c>
      <c r="H72" s="835">
        <v>5</v>
      </c>
      <c r="I72" s="835">
        <v>426</v>
      </c>
      <c r="J72" s="835">
        <v>8</v>
      </c>
      <c r="K72" s="835">
        <v>32</v>
      </c>
      <c r="L72" s="835">
        <v>51</v>
      </c>
      <c r="M72" s="835">
        <v>99</v>
      </c>
      <c r="N72" s="827">
        <v>10</v>
      </c>
      <c r="O72" s="835">
        <v>3</v>
      </c>
      <c r="P72" s="835">
        <v>15</v>
      </c>
      <c r="Q72" s="835">
        <v>108</v>
      </c>
      <c r="R72" s="826">
        <v>15</v>
      </c>
      <c r="S72" s="835">
        <v>78</v>
      </c>
      <c r="T72" s="835">
        <v>3</v>
      </c>
      <c r="U72" s="835">
        <v>7</v>
      </c>
      <c r="V72" s="834">
        <v>1040</v>
      </c>
      <c r="W72" s="836">
        <v>5000</v>
      </c>
    </row>
    <row r="73" spans="1:23" s="331" customFormat="1" ht="13.5">
      <c r="A73" s="1544" t="s">
        <v>1189</v>
      </c>
      <c r="B73" s="838" t="s">
        <v>1000</v>
      </c>
      <c r="C73" s="826">
        <v>22</v>
      </c>
      <c r="D73" s="835">
        <v>41</v>
      </c>
      <c r="E73" s="835">
        <v>53</v>
      </c>
      <c r="F73" s="835">
        <v>84</v>
      </c>
      <c r="G73" s="835">
        <v>282</v>
      </c>
      <c r="H73" s="835">
        <v>36</v>
      </c>
      <c r="I73" s="835">
        <v>203</v>
      </c>
      <c r="J73" s="835">
        <v>43</v>
      </c>
      <c r="K73" s="835">
        <v>60</v>
      </c>
      <c r="L73" s="835">
        <v>90</v>
      </c>
      <c r="M73" s="835">
        <v>70</v>
      </c>
      <c r="N73" s="827">
        <v>41</v>
      </c>
      <c r="O73" s="835">
        <v>33</v>
      </c>
      <c r="P73" s="835">
        <v>78</v>
      </c>
      <c r="Q73" s="835">
        <v>90</v>
      </c>
      <c r="R73" s="826">
        <v>22</v>
      </c>
      <c r="S73" s="835">
        <v>94</v>
      </c>
      <c r="T73" s="835">
        <v>18</v>
      </c>
      <c r="U73" s="835">
        <v>19</v>
      </c>
      <c r="V73" s="834">
        <v>1379</v>
      </c>
      <c r="W73" s="836">
        <v>8690</v>
      </c>
    </row>
    <row r="74" spans="1:23" s="331" customFormat="1" ht="13.5">
      <c r="A74" s="1544" t="s">
        <v>1307</v>
      </c>
      <c r="B74" s="473" t="s">
        <v>1001</v>
      </c>
      <c r="C74" s="384"/>
      <c r="D74" s="817"/>
      <c r="E74" s="817"/>
      <c r="F74" s="817"/>
      <c r="G74" s="817"/>
      <c r="H74" s="817"/>
      <c r="I74" s="817"/>
      <c r="J74" s="817"/>
      <c r="K74" s="817"/>
      <c r="L74" s="817"/>
      <c r="M74" s="817"/>
      <c r="N74" s="385"/>
      <c r="O74" s="817"/>
      <c r="P74" s="817"/>
      <c r="Q74" s="817"/>
      <c r="R74" s="384"/>
      <c r="S74" s="817"/>
      <c r="T74" s="817"/>
      <c r="U74" s="817"/>
      <c r="V74" s="818"/>
      <c r="W74" s="381"/>
    </row>
    <row r="75" spans="1:23" s="331" customFormat="1" ht="13.5">
      <c r="A75" s="1544" t="s">
        <v>1308</v>
      </c>
      <c r="B75" s="473" t="s">
        <v>1002</v>
      </c>
      <c r="C75" s="384"/>
      <c r="D75" s="817"/>
      <c r="E75" s="817"/>
      <c r="F75" s="817"/>
      <c r="G75" s="817"/>
      <c r="H75" s="817"/>
      <c r="I75" s="817"/>
      <c r="J75" s="817"/>
      <c r="K75" s="817"/>
      <c r="L75" s="817"/>
      <c r="M75" s="817"/>
      <c r="N75" s="385"/>
      <c r="O75" s="817"/>
      <c r="P75" s="817"/>
      <c r="Q75" s="817"/>
      <c r="R75" s="384"/>
      <c r="S75" s="817"/>
      <c r="T75" s="817"/>
      <c r="U75" s="817"/>
      <c r="V75" s="330"/>
      <c r="W75" s="381"/>
    </row>
    <row r="76" spans="1:23" s="331" customFormat="1" ht="13.5">
      <c r="A76" s="1544" t="s">
        <v>1221</v>
      </c>
      <c r="B76" s="838" t="s">
        <v>1003</v>
      </c>
      <c r="C76" s="826">
        <v>47</v>
      </c>
      <c r="D76" s="835">
        <v>154</v>
      </c>
      <c r="E76" s="835">
        <v>203</v>
      </c>
      <c r="F76" s="835">
        <v>174</v>
      </c>
      <c r="G76" s="835">
        <v>549</v>
      </c>
      <c r="H76" s="835">
        <v>72</v>
      </c>
      <c r="I76" s="835">
        <v>946</v>
      </c>
      <c r="J76" s="835">
        <v>174</v>
      </c>
      <c r="K76" s="835">
        <v>168</v>
      </c>
      <c r="L76" s="835">
        <v>309</v>
      </c>
      <c r="M76" s="835">
        <v>179</v>
      </c>
      <c r="N76" s="827">
        <v>116</v>
      </c>
      <c r="O76" s="835">
        <v>107</v>
      </c>
      <c r="P76" s="835">
        <v>197</v>
      </c>
      <c r="Q76" s="835">
        <v>373</v>
      </c>
      <c r="R76" s="826">
        <v>59</v>
      </c>
      <c r="S76" s="835">
        <v>457</v>
      </c>
      <c r="T76" s="835">
        <v>52</v>
      </c>
      <c r="U76" s="835">
        <v>44</v>
      </c>
      <c r="V76" s="834">
        <v>4380</v>
      </c>
      <c r="W76" s="836">
        <v>30970</v>
      </c>
    </row>
    <row r="77" spans="1:23" s="331" customFormat="1" ht="13.5">
      <c r="A77" s="1544" t="s">
        <v>1309</v>
      </c>
      <c r="B77" s="473" t="s">
        <v>1004</v>
      </c>
      <c r="C77" s="384"/>
      <c r="D77" s="817"/>
      <c r="E77" s="817"/>
      <c r="F77" s="817"/>
      <c r="G77" s="817"/>
      <c r="H77" s="817"/>
      <c r="I77" s="817"/>
      <c r="J77" s="817"/>
      <c r="K77" s="817"/>
      <c r="L77" s="817"/>
      <c r="M77" s="817"/>
      <c r="N77" s="385"/>
      <c r="O77" s="817"/>
      <c r="P77" s="817"/>
      <c r="Q77" s="817"/>
      <c r="R77" s="384"/>
      <c r="S77" s="817"/>
      <c r="T77" s="817"/>
      <c r="U77" s="817"/>
      <c r="V77" s="818"/>
      <c r="W77" s="381"/>
    </row>
    <row r="78" spans="1:23" s="331" customFormat="1" ht="13.5">
      <c r="A78" s="1544" t="s">
        <v>1190</v>
      </c>
      <c r="B78" s="838" t="s">
        <v>1005</v>
      </c>
      <c r="C78" s="826">
        <v>0</v>
      </c>
      <c r="D78" s="835" t="s">
        <v>70</v>
      </c>
      <c r="E78" s="835" t="s">
        <v>70</v>
      </c>
      <c r="F78" s="835" t="s">
        <v>70</v>
      </c>
      <c r="G78" s="835">
        <v>10</v>
      </c>
      <c r="H78" s="835" t="s">
        <v>70</v>
      </c>
      <c r="I78" s="835">
        <v>11</v>
      </c>
      <c r="J78" s="835" t="s">
        <v>70</v>
      </c>
      <c r="K78" s="835" t="s">
        <v>70</v>
      </c>
      <c r="L78" s="835" t="s">
        <v>70</v>
      </c>
      <c r="M78" s="835" t="s">
        <v>70</v>
      </c>
      <c r="N78" s="827" t="s">
        <v>70</v>
      </c>
      <c r="O78" s="835" t="s">
        <v>70</v>
      </c>
      <c r="P78" s="835" t="s">
        <v>70</v>
      </c>
      <c r="Q78" s="835" t="s">
        <v>70</v>
      </c>
      <c r="R78" s="826" t="s">
        <v>70</v>
      </c>
      <c r="S78" s="835" t="s">
        <v>70</v>
      </c>
      <c r="T78" s="835">
        <v>0</v>
      </c>
      <c r="U78" s="835">
        <v>0</v>
      </c>
      <c r="V78" s="834">
        <v>60</v>
      </c>
      <c r="W78" s="836">
        <v>710</v>
      </c>
    </row>
    <row r="79" spans="1:23" s="331" customFormat="1" ht="13.5">
      <c r="A79" s="1544" t="s">
        <v>1191</v>
      </c>
      <c r="B79" s="838" t="s">
        <v>1006</v>
      </c>
      <c r="C79" s="826">
        <v>0</v>
      </c>
      <c r="D79" s="835">
        <v>8</v>
      </c>
      <c r="E79" s="835">
        <v>8</v>
      </c>
      <c r="F79" s="835">
        <v>30</v>
      </c>
      <c r="G79" s="835">
        <v>38</v>
      </c>
      <c r="H79" s="835">
        <v>2</v>
      </c>
      <c r="I79" s="835">
        <v>36</v>
      </c>
      <c r="J79" s="835">
        <v>14</v>
      </c>
      <c r="K79" s="835">
        <v>16</v>
      </c>
      <c r="L79" s="835">
        <v>17</v>
      </c>
      <c r="M79" s="835">
        <v>7</v>
      </c>
      <c r="N79" s="827">
        <v>10</v>
      </c>
      <c r="O79" s="835">
        <v>8</v>
      </c>
      <c r="P79" s="835">
        <v>14</v>
      </c>
      <c r="Q79" s="835">
        <v>22</v>
      </c>
      <c r="R79" s="826">
        <v>1</v>
      </c>
      <c r="S79" s="835">
        <v>32</v>
      </c>
      <c r="T79" s="835">
        <v>3</v>
      </c>
      <c r="U79" s="835">
        <v>5</v>
      </c>
      <c r="V79" s="834">
        <v>271</v>
      </c>
      <c r="W79" s="836">
        <v>2060</v>
      </c>
    </row>
    <row r="80" spans="1:23" s="331" customFormat="1" ht="13.5">
      <c r="A80" s="1544" t="s">
        <v>1222</v>
      </c>
      <c r="B80" s="838" t="s">
        <v>1007</v>
      </c>
      <c r="C80" s="826">
        <v>62</v>
      </c>
      <c r="D80" s="835">
        <v>178</v>
      </c>
      <c r="E80" s="835">
        <v>235</v>
      </c>
      <c r="F80" s="835">
        <v>176</v>
      </c>
      <c r="G80" s="835">
        <v>624</v>
      </c>
      <c r="H80" s="835">
        <v>53</v>
      </c>
      <c r="I80" s="835">
        <v>738</v>
      </c>
      <c r="J80" s="835">
        <v>180</v>
      </c>
      <c r="K80" s="835">
        <v>148</v>
      </c>
      <c r="L80" s="835">
        <v>322</v>
      </c>
      <c r="M80" s="835">
        <v>204</v>
      </c>
      <c r="N80" s="827">
        <v>109</v>
      </c>
      <c r="O80" s="835">
        <v>125</v>
      </c>
      <c r="P80" s="835">
        <v>199</v>
      </c>
      <c r="Q80" s="835">
        <v>365</v>
      </c>
      <c r="R80" s="826">
        <v>74</v>
      </c>
      <c r="S80" s="835">
        <v>355</v>
      </c>
      <c r="T80" s="835">
        <v>62</v>
      </c>
      <c r="U80" s="835">
        <v>55</v>
      </c>
      <c r="V80" s="834">
        <v>4260</v>
      </c>
      <c r="W80" s="836">
        <v>29590</v>
      </c>
    </row>
    <row r="81" spans="1:38" s="331" customFormat="1" ht="13.5">
      <c r="A81" s="1544" t="s">
        <v>1310</v>
      </c>
      <c r="B81" s="473" t="s">
        <v>1008</v>
      </c>
      <c r="C81" s="383">
        <v>27</v>
      </c>
      <c r="D81" s="817">
        <v>78</v>
      </c>
      <c r="E81" s="817">
        <v>104</v>
      </c>
      <c r="F81" s="817">
        <v>76</v>
      </c>
      <c r="G81" s="817">
        <v>270</v>
      </c>
      <c r="H81" s="817">
        <v>25</v>
      </c>
      <c r="I81" s="817">
        <v>421</v>
      </c>
      <c r="J81" s="817">
        <v>50</v>
      </c>
      <c r="K81" s="817">
        <v>34</v>
      </c>
      <c r="L81" s="817">
        <v>131</v>
      </c>
      <c r="M81" s="817">
        <v>128</v>
      </c>
      <c r="N81" s="385">
        <v>37</v>
      </c>
      <c r="O81" s="817">
        <v>47</v>
      </c>
      <c r="P81" s="817">
        <v>43</v>
      </c>
      <c r="Q81" s="817">
        <v>196</v>
      </c>
      <c r="R81" s="384">
        <v>47</v>
      </c>
      <c r="S81" s="817">
        <v>170</v>
      </c>
      <c r="T81" s="817">
        <v>24</v>
      </c>
      <c r="U81" s="817">
        <v>25</v>
      </c>
      <c r="V81" s="818">
        <v>1933</v>
      </c>
      <c r="W81" s="381">
        <v>13150</v>
      </c>
    </row>
    <row r="82" spans="1:38" s="331" customFormat="1" ht="13.5">
      <c r="A82" s="1544" t="s">
        <v>1311</v>
      </c>
      <c r="B82" s="473" t="s">
        <v>1009</v>
      </c>
      <c r="C82" s="383">
        <v>20</v>
      </c>
      <c r="D82" s="817">
        <v>63</v>
      </c>
      <c r="E82" s="817">
        <v>81</v>
      </c>
      <c r="F82" s="817">
        <v>76</v>
      </c>
      <c r="G82" s="817">
        <v>213</v>
      </c>
      <c r="H82" s="817">
        <v>21</v>
      </c>
      <c r="I82" s="817">
        <v>355</v>
      </c>
      <c r="J82" s="817">
        <v>50</v>
      </c>
      <c r="K82" s="817">
        <v>34</v>
      </c>
      <c r="L82" s="817">
        <v>100</v>
      </c>
      <c r="M82" s="817">
        <v>99</v>
      </c>
      <c r="N82" s="385">
        <v>27</v>
      </c>
      <c r="O82" s="817">
        <v>30</v>
      </c>
      <c r="P82" s="817">
        <v>43</v>
      </c>
      <c r="Q82" s="817">
        <v>157</v>
      </c>
      <c r="R82" s="384">
        <v>39</v>
      </c>
      <c r="S82" s="817">
        <v>133</v>
      </c>
      <c r="T82" s="817">
        <v>21</v>
      </c>
      <c r="U82" s="817">
        <v>17</v>
      </c>
      <c r="V82" s="818">
        <v>1580</v>
      </c>
      <c r="W82" s="381">
        <v>10330</v>
      </c>
    </row>
    <row r="83" spans="1:38" s="331" customFormat="1" ht="13.5">
      <c r="A83" s="1544" t="s">
        <v>1193</v>
      </c>
      <c r="B83" s="838" t="s">
        <v>1010</v>
      </c>
      <c r="C83" s="826">
        <v>6</v>
      </c>
      <c r="D83" s="835">
        <v>18</v>
      </c>
      <c r="E83" s="835">
        <v>23</v>
      </c>
      <c r="F83" s="835">
        <v>27</v>
      </c>
      <c r="G83" s="835">
        <v>70</v>
      </c>
      <c r="H83" s="835">
        <v>9</v>
      </c>
      <c r="I83" s="835">
        <v>63</v>
      </c>
      <c r="J83" s="835">
        <v>23</v>
      </c>
      <c r="K83" s="835">
        <v>19</v>
      </c>
      <c r="L83" s="835">
        <v>35</v>
      </c>
      <c r="M83" s="835">
        <v>23</v>
      </c>
      <c r="N83" s="827">
        <v>16</v>
      </c>
      <c r="O83" s="835">
        <v>15</v>
      </c>
      <c r="P83" s="835">
        <v>27</v>
      </c>
      <c r="Q83" s="835">
        <v>28</v>
      </c>
      <c r="R83" s="826">
        <v>6</v>
      </c>
      <c r="S83" s="835">
        <v>39</v>
      </c>
      <c r="T83" s="835">
        <v>0</v>
      </c>
      <c r="U83" s="835">
        <v>6</v>
      </c>
      <c r="V83" s="825">
        <v>470</v>
      </c>
      <c r="W83" s="836">
        <v>3450</v>
      </c>
    </row>
    <row r="84" spans="1:38" s="331" customFormat="1" ht="13.5">
      <c r="A84" s="1544" t="s">
        <v>1312</v>
      </c>
      <c r="B84" s="838" t="s">
        <v>1011</v>
      </c>
      <c r="C84" s="842" t="s">
        <v>70</v>
      </c>
      <c r="D84" s="842">
        <v>7380</v>
      </c>
      <c r="E84" s="842">
        <v>10180</v>
      </c>
      <c r="F84" s="842">
        <v>13215.461538461539</v>
      </c>
      <c r="G84" s="842">
        <v>26515</v>
      </c>
      <c r="H84" s="842" t="s">
        <v>70</v>
      </c>
      <c r="I84" s="842">
        <v>21208</v>
      </c>
      <c r="J84" s="842">
        <v>11564.157894736842</v>
      </c>
      <c r="K84" s="842">
        <v>7658.3571428571422</v>
      </c>
      <c r="L84" s="842">
        <v>18381.363636363636</v>
      </c>
      <c r="M84" s="842">
        <v>8971.84</v>
      </c>
      <c r="N84" s="842">
        <v>7029.333333333333</v>
      </c>
      <c r="O84" s="842">
        <v>6072</v>
      </c>
      <c r="P84" s="842">
        <v>9181.8620689655181</v>
      </c>
      <c r="Q84" s="842">
        <v>9127</v>
      </c>
      <c r="R84" s="842" t="s">
        <v>70</v>
      </c>
      <c r="S84" s="842">
        <v>20966.93181818182</v>
      </c>
      <c r="T84" s="842" t="s">
        <v>70</v>
      </c>
      <c r="U84" s="842" t="s">
        <v>70</v>
      </c>
      <c r="V84" s="825">
        <v>195990</v>
      </c>
      <c r="W84" s="836">
        <v>1583550</v>
      </c>
    </row>
    <row r="85" spans="1:38" s="331" customFormat="1" ht="13.5">
      <c r="A85" s="1544" t="s">
        <v>1313</v>
      </c>
      <c r="B85" s="473" t="s">
        <v>1012</v>
      </c>
      <c r="C85" s="817"/>
      <c r="D85" s="817"/>
      <c r="E85" s="817"/>
      <c r="F85" s="817"/>
      <c r="G85" s="817"/>
      <c r="H85" s="817"/>
      <c r="I85" s="817"/>
      <c r="J85" s="817"/>
      <c r="K85" s="817"/>
      <c r="L85" s="817"/>
      <c r="M85" s="817"/>
      <c r="N85" s="817"/>
      <c r="O85" s="817"/>
      <c r="P85" s="817"/>
      <c r="Q85" s="817"/>
      <c r="R85" s="817"/>
      <c r="S85" s="817"/>
      <c r="T85" s="817"/>
      <c r="U85" s="817"/>
      <c r="V85" s="818"/>
      <c r="W85" s="381"/>
    </row>
    <row r="86" spans="1:38" s="331" customFormat="1" ht="13.5">
      <c r="A86" s="1544" t="s">
        <v>1194</v>
      </c>
      <c r="B86" s="838" t="s">
        <v>1013</v>
      </c>
      <c r="C86" s="835" t="s">
        <v>70</v>
      </c>
      <c r="D86" s="835">
        <v>19</v>
      </c>
      <c r="E86" s="835">
        <v>10</v>
      </c>
      <c r="F86" s="835">
        <v>18</v>
      </c>
      <c r="G86" s="835">
        <v>0</v>
      </c>
      <c r="H86" s="835">
        <v>0</v>
      </c>
      <c r="I86" s="835">
        <v>58</v>
      </c>
      <c r="J86" s="835">
        <v>15</v>
      </c>
      <c r="K86" s="835" t="s">
        <v>70</v>
      </c>
      <c r="L86" s="835">
        <v>13</v>
      </c>
      <c r="M86" s="835">
        <v>6</v>
      </c>
      <c r="N86" s="835">
        <v>6</v>
      </c>
      <c r="O86" s="835">
        <v>8</v>
      </c>
      <c r="P86" s="835">
        <v>8</v>
      </c>
      <c r="Q86" s="835">
        <v>25</v>
      </c>
      <c r="R86" s="835" t="s">
        <v>70</v>
      </c>
      <c r="S86" s="835">
        <v>40</v>
      </c>
      <c r="T86" s="835" t="s">
        <v>70</v>
      </c>
      <c r="U86" s="835">
        <v>8</v>
      </c>
      <c r="V86" s="834">
        <v>250</v>
      </c>
      <c r="W86" s="1545">
        <v>1890</v>
      </c>
    </row>
    <row r="87" spans="1:38" s="331" customFormat="1" ht="13.5">
      <c r="A87" s="1544" t="s">
        <v>1314</v>
      </c>
      <c r="B87" s="838" t="s">
        <v>1014</v>
      </c>
      <c r="C87" s="842">
        <v>11</v>
      </c>
      <c r="D87" s="842">
        <v>63</v>
      </c>
      <c r="E87" s="842">
        <v>32</v>
      </c>
      <c r="F87" s="842">
        <v>59</v>
      </c>
      <c r="G87" s="842">
        <v>145</v>
      </c>
      <c r="H87" s="842">
        <v>22</v>
      </c>
      <c r="I87" s="842">
        <v>214</v>
      </c>
      <c r="J87" s="842">
        <v>36</v>
      </c>
      <c r="K87" s="842">
        <v>32</v>
      </c>
      <c r="L87" s="842">
        <v>57</v>
      </c>
      <c r="M87" s="842">
        <v>54</v>
      </c>
      <c r="N87" s="842">
        <v>21</v>
      </c>
      <c r="O87" s="842">
        <v>20</v>
      </c>
      <c r="P87" s="842">
        <v>34</v>
      </c>
      <c r="Q87" s="842">
        <v>140</v>
      </c>
      <c r="R87" s="842">
        <v>18</v>
      </c>
      <c r="S87" s="842">
        <v>81</v>
      </c>
      <c r="T87" s="842">
        <v>19</v>
      </c>
      <c r="U87" s="842">
        <v>20</v>
      </c>
      <c r="V87" s="825">
        <v>1080</v>
      </c>
      <c r="W87" s="844">
        <v>6750</v>
      </c>
    </row>
    <row r="88" spans="1:38" s="331" customFormat="1" ht="13.5">
      <c r="A88" s="1544" t="s">
        <v>1195</v>
      </c>
      <c r="B88" s="838" t="s">
        <v>1015</v>
      </c>
      <c r="C88" s="842">
        <v>57</v>
      </c>
      <c r="D88" s="842">
        <v>229</v>
      </c>
      <c r="E88" s="842">
        <v>194</v>
      </c>
      <c r="F88" s="842">
        <v>199</v>
      </c>
      <c r="G88" s="842">
        <v>551</v>
      </c>
      <c r="H88" s="842">
        <v>87</v>
      </c>
      <c r="I88" s="842">
        <v>1383</v>
      </c>
      <c r="J88" s="842">
        <v>121</v>
      </c>
      <c r="K88" s="842">
        <v>165</v>
      </c>
      <c r="L88" s="842">
        <v>291</v>
      </c>
      <c r="M88" s="842">
        <v>153</v>
      </c>
      <c r="N88" s="842">
        <v>101</v>
      </c>
      <c r="O88" s="842">
        <v>93</v>
      </c>
      <c r="P88" s="842">
        <v>131</v>
      </c>
      <c r="Q88" s="842">
        <v>514</v>
      </c>
      <c r="R88" s="842">
        <v>80</v>
      </c>
      <c r="S88" s="842">
        <v>369</v>
      </c>
      <c r="T88" s="842">
        <v>56</v>
      </c>
      <c r="U88" s="842">
        <v>51</v>
      </c>
      <c r="V88" s="825">
        <v>4825</v>
      </c>
      <c r="W88" s="844">
        <v>31260</v>
      </c>
    </row>
    <row r="89" spans="1:38" s="331" customFormat="1" ht="13.5">
      <c r="A89" s="1544" t="s">
        <v>1196</v>
      </c>
      <c r="B89" s="838" t="s">
        <v>1016</v>
      </c>
      <c r="C89" s="842">
        <v>52</v>
      </c>
      <c r="D89" s="842">
        <v>219</v>
      </c>
      <c r="E89" s="842">
        <v>173</v>
      </c>
      <c r="F89" s="842">
        <v>166</v>
      </c>
      <c r="G89" s="842">
        <v>431</v>
      </c>
      <c r="H89" s="842">
        <v>85</v>
      </c>
      <c r="I89" s="842">
        <v>1177</v>
      </c>
      <c r="J89" s="842">
        <v>118</v>
      </c>
      <c r="K89" s="842">
        <v>147</v>
      </c>
      <c r="L89" s="842">
        <v>244</v>
      </c>
      <c r="M89" s="842">
        <v>117</v>
      </c>
      <c r="N89" s="842">
        <v>91</v>
      </c>
      <c r="O89" s="842">
        <v>84</v>
      </c>
      <c r="P89" s="842">
        <v>119</v>
      </c>
      <c r="Q89" s="842">
        <v>418</v>
      </c>
      <c r="R89" s="842">
        <v>70</v>
      </c>
      <c r="S89" s="842">
        <v>333</v>
      </c>
      <c r="T89" s="842">
        <v>50</v>
      </c>
      <c r="U89" s="842">
        <v>50</v>
      </c>
      <c r="V89" s="825">
        <v>4144</v>
      </c>
      <c r="W89" s="844">
        <v>28060</v>
      </c>
    </row>
    <row r="90" spans="1:38" s="331" customFormat="1" ht="13.5">
      <c r="A90" s="1544" t="s">
        <v>1197</v>
      </c>
      <c r="B90" s="838" t="s">
        <v>1017</v>
      </c>
      <c r="C90" s="842">
        <v>54</v>
      </c>
      <c r="D90" s="842">
        <v>207</v>
      </c>
      <c r="E90" s="842">
        <v>161</v>
      </c>
      <c r="F90" s="842">
        <v>156</v>
      </c>
      <c r="G90" s="842">
        <v>389</v>
      </c>
      <c r="H90" s="842">
        <v>81</v>
      </c>
      <c r="I90" s="842">
        <v>1032</v>
      </c>
      <c r="J90" s="842">
        <v>114</v>
      </c>
      <c r="K90" s="842">
        <v>135</v>
      </c>
      <c r="L90" s="842">
        <v>224</v>
      </c>
      <c r="M90" s="842">
        <v>108</v>
      </c>
      <c r="N90" s="842">
        <v>85</v>
      </c>
      <c r="O90" s="842">
        <v>74</v>
      </c>
      <c r="P90" s="842">
        <v>104</v>
      </c>
      <c r="Q90" s="842">
        <v>402</v>
      </c>
      <c r="R90" s="842">
        <v>77</v>
      </c>
      <c r="S90" s="842">
        <v>318</v>
      </c>
      <c r="T90" s="842">
        <v>45</v>
      </c>
      <c r="U90" s="842">
        <v>48</v>
      </c>
      <c r="V90" s="825">
        <v>3810</v>
      </c>
      <c r="W90" s="844">
        <v>26360</v>
      </c>
    </row>
    <row r="91" spans="1:38" s="331" customFormat="1" ht="13.5">
      <c r="A91" s="1544" t="s">
        <v>1198</v>
      </c>
      <c r="B91" s="838" t="s">
        <v>1018</v>
      </c>
      <c r="C91" s="842">
        <v>29</v>
      </c>
      <c r="D91" s="842">
        <v>157</v>
      </c>
      <c r="E91" s="842">
        <v>94</v>
      </c>
      <c r="F91" s="842">
        <v>105</v>
      </c>
      <c r="G91" s="842">
        <v>283</v>
      </c>
      <c r="H91" s="842">
        <v>55</v>
      </c>
      <c r="I91" s="842">
        <v>747</v>
      </c>
      <c r="J91" s="842">
        <v>58</v>
      </c>
      <c r="K91" s="842">
        <v>67</v>
      </c>
      <c r="L91" s="842">
        <v>133</v>
      </c>
      <c r="M91" s="842">
        <v>77</v>
      </c>
      <c r="N91" s="842">
        <v>47</v>
      </c>
      <c r="O91" s="842">
        <v>59</v>
      </c>
      <c r="P91" s="842">
        <v>56</v>
      </c>
      <c r="Q91" s="842">
        <v>274</v>
      </c>
      <c r="R91" s="842">
        <v>56</v>
      </c>
      <c r="S91" s="842">
        <v>219</v>
      </c>
      <c r="T91" s="842">
        <v>25</v>
      </c>
      <c r="U91" s="842">
        <v>29</v>
      </c>
      <c r="V91" s="825">
        <v>2570</v>
      </c>
      <c r="W91" s="844">
        <v>16440</v>
      </c>
    </row>
    <row r="92" spans="1:38" s="331" customFormat="1" ht="13.5">
      <c r="A92" s="1544" t="s">
        <v>1206</v>
      </c>
      <c r="B92" s="838" t="s">
        <v>1019</v>
      </c>
      <c r="C92" s="835" t="s">
        <v>70</v>
      </c>
      <c r="D92" s="835">
        <v>6</v>
      </c>
      <c r="E92" s="835">
        <v>7</v>
      </c>
      <c r="F92" s="835" t="s">
        <v>70</v>
      </c>
      <c r="G92" s="835">
        <v>27</v>
      </c>
      <c r="H92" s="835" t="s">
        <v>70</v>
      </c>
      <c r="I92" s="835">
        <v>18</v>
      </c>
      <c r="J92" s="835">
        <v>14</v>
      </c>
      <c r="K92" s="835">
        <v>9</v>
      </c>
      <c r="L92" s="835">
        <v>17</v>
      </c>
      <c r="M92" s="835" t="s">
        <v>70</v>
      </c>
      <c r="N92" s="835">
        <v>0</v>
      </c>
      <c r="O92" s="835" t="s">
        <v>70</v>
      </c>
      <c r="P92" s="835">
        <v>21</v>
      </c>
      <c r="Q92" s="835">
        <v>10</v>
      </c>
      <c r="R92" s="835" t="s">
        <v>70</v>
      </c>
      <c r="S92" s="835" t="s">
        <v>70</v>
      </c>
      <c r="T92" s="835" t="s">
        <v>70</v>
      </c>
      <c r="U92" s="835">
        <v>6</v>
      </c>
      <c r="V92" s="834">
        <v>160</v>
      </c>
      <c r="W92" s="1545">
        <v>1160</v>
      </c>
    </row>
    <row r="93" spans="1:38" s="331" customFormat="1" ht="13.5">
      <c r="A93" s="1544" t="s">
        <v>1241</v>
      </c>
      <c r="B93" s="838" t="s">
        <v>1020</v>
      </c>
      <c r="C93" s="835" t="s">
        <v>70</v>
      </c>
      <c r="D93" s="835">
        <v>29</v>
      </c>
      <c r="E93" s="835">
        <v>18</v>
      </c>
      <c r="F93" s="835">
        <v>22</v>
      </c>
      <c r="G93" s="835">
        <v>90</v>
      </c>
      <c r="H93" s="835" t="s">
        <v>70</v>
      </c>
      <c r="I93" s="835">
        <v>49</v>
      </c>
      <c r="J93" s="835">
        <v>23</v>
      </c>
      <c r="K93" s="835">
        <v>20</v>
      </c>
      <c r="L93" s="835">
        <v>44</v>
      </c>
      <c r="M93" s="835">
        <v>7</v>
      </c>
      <c r="N93" s="835">
        <v>17</v>
      </c>
      <c r="O93" s="835" t="s">
        <v>70</v>
      </c>
      <c r="P93" s="835">
        <v>17</v>
      </c>
      <c r="Q93" s="835">
        <v>36</v>
      </c>
      <c r="R93" s="835" t="s">
        <v>70</v>
      </c>
      <c r="S93" s="835">
        <v>22</v>
      </c>
      <c r="T93" s="835">
        <v>6</v>
      </c>
      <c r="U93" s="835">
        <v>9</v>
      </c>
      <c r="V93" s="834">
        <v>480</v>
      </c>
      <c r="W93" s="1545">
        <v>3700</v>
      </c>
    </row>
    <row r="94" spans="1:38" s="331" customFormat="1" ht="13.5">
      <c r="A94" s="1544" t="s">
        <v>1315</v>
      </c>
      <c r="B94" s="477" t="s">
        <v>1021</v>
      </c>
      <c r="C94" s="817"/>
      <c r="D94" s="817"/>
      <c r="E94" s="817"/>
      <c r="F94" s="817"/>
      <c r="G94" s="817"/>
      <c r="H94" s="817"/>
      <c r="I94" s="817"/>
      <c r="J94" s="817"/>
      <c r="K94" s="817"/>
      <c r="L94" s="817"/>
      <c r="M94" s="817"/>
      <c r="N94" s="817"/>
      <c r="O94" s="817"/>
      <c r="P94" s="817"/>
      <c r="Q94" s="817"/>
      <c r="R94" s="817"/>
      <c r="S94" s="817"/>
      <c r="T94" s="817"/>
      <c r="U94" s="817"/>
      <c r="V94" s="818"/>
      <c r="W94" s="820"/>
    </row>
    <row r="95" spans="1:38" s="331" customFormat="1" ht="13.5">
      <c r="A95" s="1544" t="s">
        <v>1316</v>
      </c>
      <c r="B95" s="477" t="s">
        <v>1022</v>
      </c>
      <c r="C95" s="817"/>
      <c r="D95" s="817"/>
      <c r="E95" s="817"/>
      <c r="F95" s="817"/>
      <c r="G95" s="817"/>
      <c r="H95" s="817"/>
      <c r="I95" s="817"/>
      <c r="J95" s="817"/>
      <c r="K95" s="817"/>
      <c r="L95" s="817"/>
      <c r="M95" s="817"/>
      <c r="N95" s="817"/>
      <c r="O95" s="817"/>
      <c r="P95" s="817"/>
      <c r="Q95" s="817"/>
      <c r="R95" s="817"/>
      <c r="S95" s="817"/>
      <c r="T95" s="817"/>
      <c r="U95" s="817"/>
      <c r="V95" s="818"/>
      <c r="W95" s="820"/>
    </row>
    <row r="96" spans="1:38" s="331" customFormat="1" ht="13.5">
      <c r="A96" s="1544" t="s">
        <v>1223</v>
      </c>
      <c r="B96" s="838" t="s">
        <v>1023</v>
      </c>
      <c r="C96" s="842">
        <v>21.22</v>
      </c>
      <c r="D96" s="842">
        <v>21.8</v>
      </c>
      <c r="E96" s="842">
        <v>91.35</v>
      </c>
      <c r="F96" s="842">
        <v>99.97</v>
      </c>
      <c r="G96" s="842">
        <v>228.42</v>
      </c>
      <c r="H96" s="842">
        <v>52.36</v>
      </c>
      <c r="I96" s="842">
        <v>212.78</v>
      </c>
      <c r="J96" s="842">
        <v>45.06</v>
      </c>
      <c r="K96" s="842">
        <v>41.97</v>
      </c>
      <c r="L96" s="842">
        <v>143.13</v>
      </c>
      <c r="M96" s="842">
        <v>84.08</v>
      </c>
      <c r="N96" s="842">
        <v>50.8</v>
      </c>
      <c r="O96" s="842">
        <v>49.45</v>
      </c>
      <c r="P96" s="842">
        <v>75.55</v>
      </c>
      <c r="Q96" s="842">
        <v>133.33000000000001</v>
      </c>
      <c r="R96" s="842">
        <v>32.42</v>
      </c>
      <c r="S96" s="842">
        <v>77.59</v>
      </c>
      <c r="T96" s="842">
        <v>15.35</v>
      </c>
      <c r="U96" s="842">
        <v>14.39</v>
      </c>
      <c r="V96" s="825">
        <v>1491.01</v>
      </c>
      <c r="W96" s="844">
        <v>10635.78</v>
      </c>
      <c r="Z96" s="312"/>
      <c r="AA96" s="312"/>
      <c r="AB96" s="312"/>
      <c r="AC96" s="312"/>
      <c r="AD96" s="312"/>
      <c r="AE96" s="312"/>
      <c r="AF96" s="312"/>
      <c r="AG96" s="312"/>
      <c r="AH96" s="312"/>
      <c r="AI96" s="312"/>
      <c r="AJ96" s="312"/>
      <c r="AK96" s="312"/>
      <c r="AL96" s="312"/>
    </row>
    <row r="97" spans="1:38" s="331" customFormat="1" ht="13.5">
      <c r="A97" s="1544" t="s">
        <v>1317</v>
      </c>
      <c r="B97" s="473" t="s">
        <v>1024</v>
      </c>
      <c r="C97" s="602"/>
      <c r="D97" s="602"/>
      <c r="E97" s="602"/>
      <c r="F97" s="602"/>
      <c r="G97" s="602"/>
      <c r="H97" s="602"/>
      <c r="I97" s="602"/>
      <c r="J97" s="602"/>
      <c r="K97" s="602"/>
      <c r="L97" s="602"/>
      <c r="M97" s="602"/>
      <c r="N97" s="602"/>
      <c r="O97" s="602"/>
      <c r="P97" s="602"/>
      <c r="Q97" s="602"/>
      <c r="R97" s="602"/>
      <c r="S97" s="602"/>
      <c r="T97" s="602"/>
      <c r="U97" s="602"/>
      <c r="V97" s="330"/>
      <c r="W97" s="603"/>
      <c r="Z97" s="312"/>
      <c r="AA97" s="312"/>
      <c r="AB97" s="312"/>
      <c r="AC97" s="312"/>
      <c r="AD97" s="312"/>
      <c r="AE97" s="312"/>
      <c r="AF97" s="312"/>
      <c r="AG97" s="312"/>
      <c r="AH97" s="312"/>
      <c r="AI97" s="312"/>
      <c r="AJ97" s="312"/>
      <c r="AK97" s="312"/>
      <c r="AL97" s="312"/>
    </row>
    <row r="98" spans="1:38" s="331" customFormat="1" ht="13.5">
      <c r="A98" s="1544" t="s">
        <v>1318</v>
      </c>
      <c r="B98" s="473" t="s">
        <v>1067</v>
      </c>
      <c r="C98" s="602"/>
      <c r="D98" s="602"/>
      <c r="E98" s="602"/>
      <c r="F98" s="602"/>
      <c r="G98" s="602"/>
      <c r="H98" s="602"/>
      <c r="I98" s="602"/>
      <c r="J98" s="602"/>
      <c r="K98" s="602"/>
      <c r="L98" s="602"/>
      <c r="M98" s="602"/>
      <c r="N98" s="602"/>
      <c r="O98" s="602"/>
      <c r="P98" s="602"/>
      <c r="Q98" s="602"/>
      <c r="R98" s="602"/>
      <c r="S98" s="602"/>
      <c r="T98" s="602"/>
      <c r="U98" s="602"/>
      <c r="V98" s="330"/>
      <c r="W98" s="603"/>
      <c r="Z98" s="312"/>
      <c r="AA98" s="312"/>
      <c r="AB98" s="312"/>
      <c r="AC98" s="312"/>
      <c r="AD98" s="312"/>
      <c r="AE98" s="312"/>
      <c r="AF98" s="312"/>
      <c r="AG98" s="312"/>
      <c r="AH98" s="312"/>
      <c r="AI98" s="312"/>
      <c r="AJ98" s="312"/>
      <c r="AK98" s="312"/>
      <c r="AL98" s="312"/>
    </row>
    <row r="99" spans="1:38" s="331" customFormat="1" ht="13.5">
      <c r="A99" s="1544" t="s">
        <v>1204</v>
      </c>
      <c r="B99" s="838" t="s">
        <v>1025</v>
      </c>
      <c r="C99" s="842">
        <v>29</v>
      </c>
      <c r="D99" s="842">
        <v>79</v>
      </c>
      <c r="E99" s="842">
        <v>90</v>
      </c>
      <c r="F99" s="842">
        <v>69</v>
      </c>
      <c r="G99" s="842">
        <v>206</v>
      </c>
      <c r="H99" s="842">
        <v>26</v>
      </c>
      <c r="I99" s="842">
        <v>270</v>
      </c>
      <c r="J99" s="842">
        <v>94</v>
      </c>
      <c r="K99" s="842">
        <v>70</v>
      </c>
      <c r="L99" s="842">
        <v>147</v>
      </c>
      <c r="M99" s="842">
        <v>62</v>
      </c>
      <c r="N99" s="842">
        <v>50</v>
      </c>
      <c r="O99" s="842">
        <v>50</v>
      </c>
      <c r="P99" s="842">
        <v>101</v>
      </c>
      <c r="Q99" s="842">
        <v>148</v>
      </c>
      <c r="R99" s="842">
        <v>22</v>
      </c>
      <c r="S99" s="842">
        <v>194</v>
      </c>
      <c r="T99" s="842">
        <v>29</v>
      </c>
      <c r="U99" s="842">
        <v>26</v>
      </c>
      <c r="V99" s="825">
        <v>1762</v>
      </c>
      <c r="W99" s="844">
        <v>13084</v>
      </c>
    </row>
    <row r="100" spans="1:38" s="331" customFormat="1" ht="13.5">
      <c r="A100" s="1544" t="s">
        <v>1181</v>
      </c>
      <c r="B100" s="838" t="s">
        <v>1026</v>
      </c>
      <c r="C100" s="842">
        <v>45</v>
      </c>
      <c r="D100" s="842">
        <v>127</v>
      </c>
      <c r="E100" s="842">
        <v>139</v>
      </c>
      <c r="F100" s="842">
        <v>107</v>
      </c>
      <c r="G100" s="842">
        <v>328</v>
      </c>
      <c r="H100" s="842">
        <v>45</v>
      </c>
      <c r="I100" s="842">
        <v>456</v>
      </c>
      <c r="J100" s="842">
        <v>155</v>
      </c>
      <c r="K100" s="842">
        <v>105</v>
      </c>
      <c r="L100" s="842">
        <v>250</v>
      </c>
      <c r="M100" s="842">
        <v>82</v>
      </c>
      <c r="N100" s="842">
        <v>76</v>
      </c>
      <c r="O100" s="842">
        <v>81</v>
      </c>
      <c r="P100" s="842">
        <v>158</v>
      </c>
      <c r="Q100" s="842">
        <v>237</v>
      </c>
      <c r="R100" s="842">
        <v>41</v>
      </c>
      <c r="S100" s="842">
        <v>336</v>
      </c>
      <c r="T100" s="842">
        <v>40</v>
      </c>
      <c r="U100" s="842">
        <v>40</v>
      </c>
      <c r="V100" s="825">
        <v>2848</v>
      </c>
      <c r="W100" s="844">
        <v>21105</v>
      </c>
    </row>
    <row r="101" spans="1:38" s="331" customFormat="1" ht="13.5">
      <c r="A101" s="1544" t="s">
        <v>1207</v>
      </c>
      <c r="B101" s="838" t="s">
        <v>1077</v>
      </c>
      <c r="C101" s="842">
        <v>1936.5370539798719</v>
      </c>
      <c r="D101" s="842">
        <v>4492.1664626682987</v>
      </c>
      <c r="E101" s="842">
        <v>10918</v>
      </c>
      <c r="F101" s="842">
        <v>9483.8998007401078</v>
      </c>
      <c r="G101" s="842">
        <v>24903.074922922628</v>
      </c>
      <c r="H101" s="842">
        <v>2346.2068965517242</v>
      </c>
      <c r="I101" s="842">
        <v>29276</v>
      </c>
      <c r="J101" s="842">
        <v>5814.3489174772512</v>
      </c>
      <c r="K101" s="842">
        <v>5589.7626504038244</v>
      </c>
      <c r="L101" s="842">
        <v>11740.943047634348</v>
      </c>
      <c r="M101" s="842">
        <v>3421.8396987627757</v>
      </c>
      <c r="N101" s="842">
        <v>2627.5994513031551</v>
      </c>
      <c r="O101" s="842">
        <v>3483.1273508866202</v>
      </c>
      <c r="P101" s="842">
        <v>3842.2941590429277</v>
      </c>
      <c r="Q101" s="842">
        <v>19823.071083829247</v>
      </c>
      <c r="R101" s="842">
        <v>3038.2490752157833</v>
      </c>
      <c r="S101" s="842">
        <v>14488.222304011777</v>
      </c>
      <c r="T101" s="842">
        <v>2729.9381230663457</v>
      </c>
      <c r="U101" s="842">
        <v>3259.1880841121497</v>
      </c>
      <c r="V101" s="825">
        <v>163224</v>
      </c>
      <c r="W101" s="844">
        <v>1039809.149624697</v>
      </c>
    </row>
    <row r="102" spans="1:38" s="331" customFormat="1" ht="13.5">
      <c r="A102" s="1544" t="s">
        <v>1208</v>
      </c>
      <c r="B102" s="838" t="s">
        <v>1076</v>
      </c>
      <c r="C102" s="842">
        <v>53.439558755936879</v>
      </c>
      <c r="D102" s="842">
        <v>149.54483787817119</v>
      </c>
      <c r="E102" s="842">
        <v>186.68806971277877</v>
      </c>
      <c r="F102" s="842">
        <v>400.17684582833323</v>
      </c>
      <c r="G102" s="842">
        <v>476.70798608101245</v>
      </c>
      <c r="H102" s="842">
        <v>62.741063184276484</v>
      </c>
      <c r="I102" s="842">
        <v>906.28682846734057</v>
      </c>
      <c r="J102" s="842">
        <v>178.72278056951424</v>
      </c>
      <c r="K102" s="842">
        <v>199.96689289852674</v>
      </c>
      <c r="L102" s="842">
        <v>203.68307948531981</v>
      </c>
      <c r="M102" s="842">
        <v>135.12581547064306</v>
      </c>
      <c r="N102" s="842">
        <v>123.63882008556631</v>
      </c>
      <c r="O102" s="842">
        <v>116.1979772666249</v>
      </c>
      <c r="P102" s="842">
        <v>184.50822868730987</v>
      </c>
      <c r="Q102" s="842">
        <v>305.04294363354762</v>
      </c>
      <c r="R102" s="842">
        <v>36.299722479185938</v>
      </c>
      <c r="S102" s="842">
        <v>388.65871375662459</v>
      </c>
      <c r="T102" s="842">
        <v>32.662912308930011</v>
      </c>
      <c r="U102" s="842">
        <v>38.337091871752129</v>
      </c>
      <c r="V102" s="825">
        <v>4178.2471144160081</v>
      </c>
      <c r="W102" s="844">
        <v>29650.298006972258</v>
      </c>
    </row>
    <row r="103" spans="1:38" s="331" customFormat="1" ht="13.5">
      <c r="A103" s="1544" t="s">
        <v>1209</v>
      </c>
      <c r="B103" s="838" t="s">
        <v>1078</v>
      </c>
      <c r="C103" s="842">
        <v>153.63873142331855</v>
      </c>
      <c r="D103" s="842">
        <v>74.605887939221276</v>
      </c>
      <c r="E103" s="842">
        <v>646.07406982743794</v>
      </c>
      <c r="F103" s="842">
        <v>128.72355207478051</v>
      </c>
      <c r="G103" s="842">
        <v>563.71552759649796</v>
      </c>
      <c r="H103" s="842">
        <v>22.359846985885767</v>
      </c>
      <c r="I103" s="842">
        <v>1160.6071117040383</v>
      </c>
      <c r="J103" s="842">
        <v>263.74947654941371</v>
      </c>
      <c r="K103" s="842">
        <v>85.652485791535611</v>
      </c>
      <c r="L103" s="842">
        <v>345.0278024014828</v>
      </c>
      <c r="M103" s="842">
        <v>37.701770736253494</v>
      </c>
      <c r="N103" s="842">
        <v>98.311191173159202</v>
      </c>
      <c r="O103" s="842">
        <v>31.296876398460576</v>
      </c>
      <c r="P103" s="842">
        <v>115.90047578192029</v>
      </c>
      <c r="Q103" s="842">
        <v>554.74476306691076</v>
      </c>
      <c r="R103" s="842">
        <v>18.3163737280296</v>
      </c>
      <c r="S103" s="842">
        <v>1098.9775122260644</v>
      </c>
      <c r="T103" s="842">
        <v>139.98390989541431</v>
      </c>
      <c r="U103" s="842">
        <v>114.34454358270418</v>
      </c>
      <c r="V103" s="825">
        <v>5653.2166781408459</v>
      </c>
      <c r="W103" s="844">
        <v>32182.628323202185</v>
      </c>
    </row>
    <row r="104" spans="1:38" s="331" customFormat="1" ht="13.5">
      <c r="A104" s="1544" t="s">
        <v>1319</v>
      </c>
      <c r="B104" s="838" t="s">
        <v>1101</v>
      </c>
      <c r="C104" s="842">
        <v>47</v>
      </c>
      <c r="D104" s="842">
        <v>118</v>
      </c>
      <c r="E104" s="842">
        <v>242</v>
      </c>
      <c r="F104" s="842">
        <v>294</v>
      </c>
      <c r="G104" s="842">
        <v>491</v>
      </c>
      <c r="H104" s="842">
        <v>82</v>
      </c>
      <c r="I104" s="842">
        <v>569</v>
      </c>
      <c r="J104" s="842">
        <v>156</v>
      </c>
      <c r="K104" s="842">
        <v>181</v>
      </c>
      <c r="L104" s="842">
        <v>282</v>
      </c>
      <c r="M104" s="842">
        <v>183</v>
      </c>
      <c r="N104" s="842">
        <v>115</v>
      </c>
      <c r="O104" s="842">
        <v>104</v>
      </c>
      <c r="P104" s="842">
        <v>178</v>
      </c>
      <c r="Q104" s="842">
        <v>189</v>
      </c>
      <c r="R104" s="842">
        <v>84</v>
      </c>
      <c r="S104" s="842">
        <v>317</v>
      </c>
      <c r="T104" s="842">
        <v>40</v>
      </c>
      <c r="U104" s="842">
        <v>42</v>
      </c>
      <c r="V104" s="825">
        <v>3714</v>
      </c>
      <c r="W104" s="844">
        <v>33426</v>
      </c>
    </row>
    <row r="105" spans="1:38" s="331" customFormat="1" ht="13.5">
      <c r="A105" s="1544" t="s">
        <v>1199</v>
      </c>
      <c r="B105" s="838" t="s">
        <v>1102</v>
      </c>
      <c r="C105" s="842">
        <v>10</v>
      </c>
      <c r="D105" s="842">
        <v>69</v>
      </c>
      <c r="E105" s="842">
        <v>86</v>
      </c>
      <c r="F105" s="842">
        <v>114</v>
      </c>
      <c r="G105" s="842">
        <v>225</v>
      </c>
      <c r="H105" s="842">
        <v>41</v>
      </c>
      <c r="I105" s="842">
        <v>202</v>
      </c>
      <c r="J105" s="842">
        <v>73</v>
      </c>
      <c r="K105" s="842">
        <v>65</v>
      </c>
      <c r="L105" s="842">
        <v>104</v>
      </c>
      <c r="M105" s="842">
        <v>104</v>
      </c>
      <c r="N105" s="842">
        <v>37</v>
      </c>
      <c r="O105" s="842">
        <v>43</v>
      </c>
      <c r="P105" s="842">
        <v>74</v>
      </c>
      <c r="Q105" s="842">
        <v>76</v>
      </c>
      <c r="R105" s="842">
        <v>37</v>
      </c>
      <c r="S105" s="842">
        <v>118</v>
      </c>
      <c r="T105" s="842">
        <v>11</v>
      </c>
      <c r="U105" s="842">
        <v>14</v>
      </c>
      <c r="V105" s="825">
        <v>1373</v>
      </c>
      <c r="W105" s="844">
        <v>13686</v>
      </c>
    </row>
    <row r="106" spans="1:38" s="418" customFormat="1" ht="13.5">
      <c r="A106" s="1548" t="s">
        <v>1320</v>
      </c>
      <c r="B106" s="1549" t="s">
        <v>932</v>
      </c>
      <c r="C106" s="1550" t="s">
        <v>920</v>
      </c>
      <c r="D106" s="1550">
        <v>410</v>
      </c>
      <c r="E106" s="1550">
        <v>442.60869565217394</v>
      </c>
      <c r="F106" s="1550">
        <v>489.46153846153851</v>
      </c>
      <c r="G106" s="1550">
        <v>378.78571428571428</v>
      </c>
      <c r="H106" s="1550" t="s">
        <v>920</v>
      </c>
      <c r="I106" s="1550">
        <v>336.63492063492066</v>
      </c>
      <c r="J106" s="1550">
        <v>502.78947368421052</v>
      </c>
      <c r="K106" s="1550">
        <v>403.07142857142856</v>
      </c>
      <c r="L106" s="1550">
        <v>525.18181818181813</v>
      </c>
      <c r="M106" s="1550">
        <v>390.08</v>
      </c>
      <c r="N106" s="1550">
        <v>439.33333333333331</v>
      </c>
      <c r="O106" s="1550">
        <v>404.8</v>
      </c>
      <c r="P106" s="1550">
        <v>340.06896551724139</v>
      </c>
      <c r="Q106" s="1550">
        <v>325.96428571428572</v>
      </c>
      <c r="R106" s="1550" t="s">
        <v>920</v>
      </c>
      <c r="S106" s="1550">
        <v>537.61363636363637</v>
      </c>
      <c r="T106" s="1550" t="s">
        <v>920</v>
      </c>
      <c r="U106" s="1550" t="s">
        <v>920</v>
      </c>
      <c r="V106" s="1551">
        <v>417</v>
      </c>
      <c r="W106" s="1552">
        <v>459</v>
      </c>
    </row>
    <row r="107" spans="1:38" s="418" customFormat="1" ht="13.5">
      <c r="A107" s="1548" t="s">
        <v>1321</v>
      </c>
      <c r="B107" s="1549" t="s">
        <v>1345</v>
      </c>
      <c r="C107" s="1550"/>
      <c r="D107" s="1550"/>
      <c r="E107" s="1550"/>
      <c r="F107" s="1550"/>
      <c r="G107" s="1550"/>
      <c r="H107" s="1550"/>
      <c r="I107" s="1550"/>
      <c r="J107" s="1550"/>
      <c r="K107" s="1550"/>
      <c r="L107" s="1550"/>
      <c r="M107" s="1550"/>
      <c r="N107" s="1550"/>
      <c r="O107" s="1550"/>
      <c r="P107" s="1550"/>
      <c r="Q107" s="1550"/>
      <c r="R107" s="1550"/>
      <c r="S107" s="1550"/>
      <c r="T107" s="1550"/>
      <c r="U107" s="1550"/>
      <c r="V107" s="1551"/>
      <c r="W107" s="1552"/>
    </row>
    <row r="108" spans="1:38" ht="13.5">
      <c r="A108" s="1548" t="s">
        <v>1322</v>
      </c>
      <c r="B108" s="1549" t="s">
        <v>1346</v>
      </c>
      <c r="C108" s="1553"/>
      <c r="D108" s="1553"/>
      <c r="E108" s="1553"/>
      <c r="F108" s="1553"/>
      <c r="G108" s="1553"/>
      <c r="H108" s="1553"/>
      <c r="I108" s="1553"/>
      <c r="J108" s="1553"/>
      <c r="K108" s="1553"/>
      <c r="L108" s="1553"/>
      <c r="M108" s="1553"/>
      <c r="N108" s="1553"/>
      <c r="O108" s="1553"/>
      <c r="P108" s="1553"/>
      <c r="Q108" s="1553"/>
      <c r="R108" s="1553"/>
      <c r="S108" s="1553"/>
      <c r="T108" s="1553"/>
      <c r="U108" s="1553"/>
      <c r="V108" s="1554"/>
      <c r="W108" s="1555"/>
    </row>
    <row r="109" spans="1:38" ht="13.5">
      <c r="A109" s="1548" t="s">
        <v>1323</v>
      </c>
      <c r="B109" s="1549" t="s">
        <v>1347</v>
      </c>
      <c r="C109" s="1553"/>
      <c r="D109" s="1553"/>
      <c r="E109" s="1553"/>
      <c r="F109" s="1553"/>
      <c r="G109" s="1553"/>
      <c r="H109" s="1553"/>
      <c r="I109" s="1553"/>
      <c r="J109" s="1553"/>
      <c r="K109" s="1553"/>
      <c r="L109" s="1553"/>
      <c r="M109" s="1553"/>
      <c r="N109" s="1553"/>
      <c r="O109" s="1553"/>
      <c r="P109" s="1553"/>
      <c r="Q109" s="1553"/>
      <c r="R109" s="1553"/>
      <c r="S109" s="1553"/>
      <c r="T109" s="1553"/>
      <c r="U109" s="1553"/>
      <c r="V109" s="1554"/>
      <c r="W109" s="1555"/>
    </row>
    <row r="110" spans="1:38" ht="13.5">
      <c r="A110" s="1548" t="s">
        <v>1324</v>
      </c>
      <c r="B110" s="1549" t="s">
        <v>1348</v>
      </c>
      <c r="C110" s="1553"/>
      <c r="D110" s="1553"/>
      <c r="E110" s="1553"/>
      <c r="F110" s="1553"/>
      <c r="G110" s="1553"/>
      <c r="H110" s="1553"/>
      <c r="I110" s="1553"/>
      <c r="J110" s="1553"/>
      <c r="K110" s="1553"/>
      <c r="L110" s="1553"/>
      <c r="M110" s="1553"/>
      <c r="N110" s="1553"/>
      <c r="O110" s="1553"/>
      <c r="P110" s="1553"/>
      <c r="Q110" s="1553"/>
      <c r="R110" s="1553"/>
      <c r="S110" s="1553"/>
      <c r="T110" s="1553"/>
      <c r="U110" s="1553"/>
      <c r="V110" s="1554"/>
      <c r="W110" s="1555"/>
    </row>
    <row r="111" spans="1:38" ht="13.5">
      <c r="A111" s="1548" t="s">
        <v>1331</v>
      </c>
      <c r="B111" s="1549" t="s">
        <v>1349</v>
      </c>
      <c r="C111" s="1550">
        <v>2231</v>
      </c>
      <c r="D111" s="1550">
        <v>4824</v>
      </c>
      <c r="E111" s="1550">
        <v>11747</v>
      </c>
      <c r="F111" s="1550">
        <v>10388</v>
      </c>
      <c r="G111" s="1550">
        <v>27663</v>
      </c>
      <c r="H111" s="1550">
        <v>2484</v>
      </c>
      <c r="I111" s="1550">
        <v>32720</v>
      </c>
      <c r="J111" s="1550">
        <v>6282</v>
      </c>
      <c r="K111" s="1550">
        <v>6231</v>
      </c>
      <c r="L111" s="1550">
        <v>12805</v>
      </c>
      <c r="M111" s="1550">
        <v>3972</v>
      </c>
      <c r="N111" s="1550">
        <v>3053</v>
      </c>
      <c r="O111" s="1550">
        <v>3884</v>
      </c>
      <c r="P111" s="1550">
        <v>4386</v>
      </c>
      <c r="Q111" s="1550">
        <v>21854</v>
      </c>
      <c r="R111" s="1550">
        <v>3358</v>
      </c>
      <c r="S111" s="1550">
        <v>16526</v>
      </c>
      <c r="T111" s="1550">
        <v>2925</v>
      </c>
      <c r="U111" s="1550">
        <v>3489</v>
      </c>
      <c r="V111" s="1551">
        <v>180822</v>
      </c>
      <c r="W111" s="1552">
        <v>1145619</v>
      </c>
    </row>
    <row r="112" spans="1:38">
      <c r="A112" s="535" t="s">
        <v>1301</v>
      </c>
      <c r="B112" s="774" t="s">
        <v>1027</v>
      </c>
      <c r="C112" s="724">
        <f t="shared" ref="C112:W112" si="0">IF(SUM(C38:C41)&gt;0,SUM(C38:C41),NA())</f>
        <v>1435</v>
      </c>
      <c r="D112" s="724">
        <f t="shared" si="0"/>
        <v>2479</v>
      </c>
      <c r="E112" s="724">
        <f t="shared" si="0"/>
        <v>7144</v>
      </c>
      <c r="F112" s="724">
        <f t="shared" si="0"/>
        <v>2117</v>
      </c>
      <c r="G112" s="724">
        <f t="shared" si="0"/>
        <v>18255</v>
      </c>
      <c r="H112" s="724">
        <f t="shared" si="0"/>
        <v>2975</v>
      </c>
      <c r="I112" s="724">
        <f t="shared" si="0"/>
        <v>18208</v>
      </c>
      <c r="J112" s="724">
        <f t="shared" si="0"/>
        <v>4481</v>
      </c>
      <c r="K112" s="724">
        <f t="shared" si="0"/>
        <v>2531</v>
      </c>
      <c r="L112" s="724">
        <f t="shared" si="0"/>
        <v>4424</v>
      </c>
      <c r="M112" s="724">
        <f t="shared" si="0"/>
        <v>2538</v>
      </c>
      <c r="N112" s="724">
        <f t="shared" si="0"/>
        <v>2151</v>
      </c>
      <c r="O112" s="724">
        <f t="shared" si="0"/>
        <v>1787</v>
      </c>
      <c r="P112" s="724">
        <f t="shared" si="0"/>
        <v>3003</v>
      </c>
      <c r="Q112" s="724">
        <f t="shared" si="0"/>
        <v>7137</v>
      </c>
      <c r="R112" s="724">
        <f t="shared" si="0"/>
        <v>1852</v>
      </c>
      <c r="S112" s="724">
        <f t="shared" si="0"/>
        <v>9180</v>
      </c>
      <c r="T112" s="724">
        <f t="shared" si="0"/>
        <v>1127</v>
      </c>
      <c r="U112" s="724">
        <f t="shared" si="0"/>
        <v>1167</v>
      </c>
      <c r="V112" s="724">
        <f t="shared" si="0"/>
        <v>94060</v>
      </c>
      <c r="W112" s="724">
        <f t="shared" si="0"/>
        <v>558160</v>
      </c>
    </row>
    <row r="113" spans="1:23">
      <c r="A113" s="535" t="s">
        <v>1325</v>
      </c>
      <c r="B113" s="774" t="s">
        <v>1028</v>
      </c>
      <c r="C113" s="724">
        <f t="shared" ref="C113:W113" si="1">SUM(C38:C42)</f>
        <v>1531</v>
      </c>
      <c r="D113" s="724">
        <f t="shared" si="1"/>
        <v>2754</v>
      </c>
      <c r="E113" s="724">
        <f t="shared" si="1"/>
        <v>8122</v>
      </c>
      <c r="F113" s="724">
        <f t="shared" si="1"/>
        <v>3470</v>
      </c>
      <c r="G113" s="724">
        <f t="shared" si="1"/>
        <v>19712</v>
      </c>
      <c r="H113" s="724">
        <f t="shared" si="1"/>
        <v>3149</v>
      </c>
      <c r="I113" s="724">
        <f t="shared" si="1"/>
        <v>20686</v>
      </c>
      <c r="J113" s="724">
        <f t="shared" si="1"/>
        <v>4712</v>
      </c>
      <c r="K113" s="724">
        <f t="shared" si="1"/>
        <v>3052</v>
      </c>
      <c r="L113" s="724">
        <f t="shared" si="1"/>
        <v>7021</v>
      </c>
      <c r="M113" s="724">
        <f t="shared" si="1"/>
        <v>2590</v>
      </c>
      <c r="N113" s="724">
        <f t="shared" si="1"/>
        <v>2689</v>
      </c>
      <c r="O113" s="724">
        <f t="shared" si="1"/>
        <v>2418</v>
      </c>
      <c r="P113" s="724">
        <f t="shared" si="1"/>
        <v>4602</v>
      </c>
      <c r="Q113" s="724">
        <f t="shared" si="1"/>
        <v>8724</v>
      </c>
      <c r="R113" s="724">
        <f t="shared" si="1"/>
        <v>1869</v>
      </c>
      <c r="S113" s="724">
        <f t="shared" si="1"/>
        <v>10458</v>
      </c>
      <c r="T113" s="724">
        <f t="shared" si="1"/>
        <v>1211</v>
      </c>
      <c r="U113" s="724">
        <f t="shared" si="1"/>
        <v>1482</v>
      </c>
      <c r="V113" s="724">
        <f t="shared" si="1"/>
        <v>110490</v>
      </c>
      <c r="W113" s="724">
        <f t="shared" si="1"/>
        <v>665680</v>
      </c>
    </row>
    <row r="114" spans="1:23">
      <c r="V114" s="333"/>
      <c r="W114" s="333"/>
    </row>
    <row r="115" spans="1:23">
      <c r="V115" s="333"/>
      <c r="W115" s="333"/>
    </row>
    <row r="116" spans="1:23">
      <c r="V116" s="333"/>
      <c r="W116" s="333"/>
    </row>
  </sheetData>
  <phoneticPr fontId="118" type="noConversion"/>
  <conditionalFormatting sqref="C1:U1">
    <cfRule type="expression" dxfId="679" priority="3008">
      <formula>SUM(C$2:C$98)=0</formula>
    </cfRule>
    <cfRule type="containsErrors" dxfId="678" priority="3009">
      <formula>ISERROR(C1)</formula>
    </cfRule>
  </conditionalFormatting>
  <conditionalFormatting sqref="P41:P45">
    <cfRule type="containsErrors" dxfId="677" priority="1">
      <formula>ISERROR(P41)</formula>
    </cfRule>
  </conditionalFormatting>
  <pageMargins left="0.70866141732283472" right="0.70866141732283472" top="0.35433070866141736" bottom="0.35433070866141736" header="0.31496062992125984" footer="0.31496062992125984"/>
  <pageSetup scale="50" orientation="portrait" r:id="rId1"/>
  <extLst>
    <ext xmlns:x14="http://schemas.microsoft.com/office/spreadsheetml/2009/9/main" uri="{78C0D931-6437-407d-A8EE-F0AAD7539E65}">
      <x14:conditionalFormattings>
        <x14:conditionalFormatting xmlns:xm="http://schemas.microsoft.com/office/excel/2006/main">
          <x14:cfRule type="expression" priority="9" id="{98FA8376-F690-468B-922C-710FA8F4382E}">
            <xm:f>C$1=ReportData!$AR$3</xm:f>
            <x14:dxf>
              <fill>
                <patternFill>
                  <bgColor rgb="FF66FF99"/>
                </patternFill>
              </fill>
            </x14:dxf>
          </x14:cfRule>
          <xm:sqref>C1:U1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FFC000"/>
    <pageSetUpPr fitToPage="1"/>
  </sheetPr>
  <dimension ref="A1:AX152"/>
  <sheetViews>
    <sheetView showGridLines="0" showRowColHeaders="0" workbookViewId="0"/>
  </sheetViews>
  <sheetFormatPr defaultColWidth="7.5703125" defaultRowHeight="11.25"/>
  <cols>
    <col min="1" max="1" width="2.140625" style="312" customWidth="1"/>
    <col min="2" max="2" width="14.7109375" style="312" customWidth="1"/>
    <col min="3" max="3" width="50" style="1027" customWidth="1"/>
    <col min="4" max="4" width="5.7109375" style="312" customWidth="1"/>
    <col min="5" max="5" width="5.7109375" style="323" customWidth="1"/>
    <col min="6" max="24" width="5.7109375" style="312" customWidth="1"/>
    <col min="25" max="25" width="2.140625" style="312" customWidth="1"/>
    <col min="26" max="26" width="6.42578125" style="312" customWidth="1"/>
    <col min="27" max="48" width="7.5703125" style="312" hidden="1" customWidth="1"/>
    <col min="49" max="50" width="7.5703125" style="312" customWidth="1"/>
    <col min="51" max="16384" width="7.5703125" style="312"/>
  </cols>
  <sheetData>
    <row r="1" spans="1:47" ht="18.75" customHeight="1">
      <c r="A1" s="446"/>
      <c r="B1" s="1620" t="s">
        <v>1103</v>
      </c>
      <c r="C1" s="1620"/>
      <c r="D1" s="447"/>
      <c r="E1" s="447"/>
      <c r="F1" s="447"/>
      <c r="G1" s="447"/>
      <c r="H1" s="448"/>
      <c r="I1" s="447"/>
      <c r="J1" s="447"/>
      <c r="K1" s="447"/>
      <c r="L1" s="447"/>
      <c r="M1" s="447"/>
      <c r="N1" s="447"/>
      <c r="O1" s="447"/>
      <c r="P1" s="447"/>
      <c r="Q1" s="447"/>
      <c r="R1" s="447"/>
      <c r="S1" s="449"/>
      <c r="T1" s="450"/>
      <c r="U1" s="450"/>
      <c r="V1" s="450"/>
      <c r="W1" s="450"/>
      <c r="X1" s="450"/>
      <c r="Y1" s="451"/>
      <c r="Z1" s="311"/>
    </row>
    <row r="2" spans="1:47" ht="18.75" customHeight="1">
      <c r="A2" s="316"/>
      <c r="B2" s="1621"/>
      <c r="C2" s="1621"/>
      <c r="D2" s="1398"/>
      <c r="E2" s="1398"/>
      <c r="F2" s="1398"/>
      <c r="G2" s="1398"/>
      <c r="H2" s="1399"/>
      <c r="I2" s="1398"/>
      <c r="J2" s="1398"/>
      <c r="K2" s="1398"/>
      <c r="L2" s="1398"/>
      <c r="M2" s="1398"/>
      <c r="N2" s="1398"/>
      <c r="O2" s="1398"/>
      <c r="P2" s="1398"/>
      <c r="Q2" s="1398"/>
      <c r="R2" s="1398"/>
      <c r="S2" s="1400"/>
      <c r="T2" s="1401"/>
      <c r="U2" s="1401"/>
      <c r="V2" s="1401"/>
      <c r="W2" s="1401"/>
      <c r="X2" s="1401"/>
      <c r="Y2" s="313"/>
      <c r="Z2" s="311"/>
    </row>
    <row r="3" spans="1:47" ht="18.75" customHeight="1">
      <c r="A3" s="452"/>
      <c r="B3" s="1622"/>
      <c r="C3" s="1622"/>
      <c r="D3" s="1402"/>
      <c r="E3" s="1402"/>
      <c r="F3" s="1402"/>
      <c r="G3" s="1402"/>
      <c r="H3" s="1403"/>
      <c r="I3" s="1402"/>
      <c r="J3" s="1402"/>
      <c r="K3" s="1402"/>
      <c r="L3" s="1402"/>
      <c r="M3" s="1402"/>
      <c r="N3" s="1402"/>
      <c r="O3" s="1402"/>
      <c r="P3" s="1402"/>
      <c r="Q3" s="1402"/>
      <c r="R3" s="1402"/>
      <c r="S3" s="1404"/>
      <c r="T3" s="1405"/>
      <c r="U3" s="1405"/>
      <c r="V3" s="1405"/>
      <c r="W3" s="1405"/>
      <c r="X3" s="1405"/>
      <c r="Y3" s="1406"/>
      <c r="Z3" s="311"/>
    </row>
    <row r="4" spans="1:47" ht="11.25" customHeight="1">
      <c r="A4" s="316"/>
      <c r="B4" s="1398"/>
      <c r="C4" s="1407"/>
      <c r="D4" s="1398"/>
      <c r="E4" s="1408"/>
      <c r="F4" s="1398"/>
      <c r="G4" s="1398"/>
      <c r="H4" s="1398"/>
      <c r="I4" s="1398"/>
      <c r="J4" s="1398"/>
      <c r="K4" s="1398"/>
      <c r="L4" s="1398"/>
      <c r="M4" s="1398"/>
      <c r="N4" s="1398"/>
      <c r="O4" s="1398"/>
      <c r="P4" s="1398"/>
      <c r="Q4" s="1398"/>
      <c r="R4" s="1398"/>
      <c r="S4" s="1398"/>
      <c r="T4" s="1398"/>
      <c r="U4" s="1398"/>
      <c r="V4" s="1398"/>
      <c r="W4" s="1398"/>
      <c r="X4" s="1398"/>
      <c r="Y4" s="314"/>
      <c r="Z4" s="315"/>
    </row>
    <row r="5" spans="1:47" ht="21" customHeight="1">
      <c r="A5" s="316"/>
      <c r="B5" s="1615" t="s">
        <v>80</v>
      </c>
      <c r="C5" s="1616"/>
      <c r="D5" s="1624" t="s">
        <v>182</v>
      </c>
      <c r="E5" s="1624"/>
      <c r="F5" s="1624"/>
      <c r="G5" s="1624"/>
      <c r="H5" s="1624"/>
      <c r="I5" s="1398"/>
      <c r="J5" s="1398"/>
      <c r="K5" s="1398"/>
      <c r="L5" s="1398"/>
      <c r="M5" s="1398"/>
      <c r="N5" s="1398"/>
      <c r="O5" s="1398"/>
      <c r="P5" s="1398"/>
      <c r="Q5" s="1398"/>
      <c r="R5" s="1398"/>
      <c r="S5" s="1398"/>
      <c r="U5" s="1398"/>
      <c r="V5" s="1398"/>
      <c r="W5" s="1398"/>
      <c r="X5" s="1398"/>
      <c r="Y5" s="314"/>
      <c r="Z5" s="315"/>
    </row>
    <row r="6" spans="1:47" s="418" customFormat="1" ht="11.25" customHeight="1">
      <c r="A6" s="415"/>
      <c r="B6" s="1409"/>
      <c r="C6" s="1345"/>
      <c r="D6" s="1409"/>
      <c r="E6" s="1410"/>
      <c r="F6" s="1409"/>
      <c r="G6" s="1409"/>
      <c r="H6" s="1409"/>
      <c r="I6" s="1409"/>
      <c r="J6" s="1409"/>
      <c r="K6" s="1409"/>
      <c r="L6" s="1409"/>
      <c r="M6" s="1409"/>
      <c r="N6" s="1409"/>
      <c r="O6" s="1409"/>
      <c r="P6" s="1409"/>
      <c r="Q6" s="1409"/>
      <c r="R6" s="1409"/>
      <c r="S6" s="1409"/>
      <c r="T6" s="1409"/>
      <c r="U6" s="1409"/>
      <c r="V6" s="1409"/>
      <c r="W6" s="1409"/>
      <c r="X6" s="1409"/>
      <c r="Y6" s="416"/>
      <c r="Z6" s="417"/>
    </row>
    <row r="7" spans="1:47" ht="17.45" customHeight="1">
      <c r="A7" s="316"/>
      <c r="B7" s="1411" t="s">
        <v>1107</v>
      </c>
      <c r="C7" s="1407"/>
      <c r="D7" s="1398"/>
      <c r="E7" s="1408"/>
      <c r="F7" s="1398"/>
      <c r="G7" s="1398"/>
      <c r="H7" s="1398"/>
      <c r="I7" s="1398"/>
      <c r="J7" s="1398"/>
      <c r="K7" s="1398"/>
      <c r="L7" s="1398"/>
      <c r="M7" s="1398"/>
      <c r="N7" s="1398"/>
      <c r="O7" s="1398"/>
      <c r="P7" s="1398"/>
      <c r="Q7" s="1398"/>
      <c r="R7" s="1398"/>
      <c r="S7" s="1398"/>
      <c r="T7" s="1398"/>
      <c r="U7" s="1398"/>
      <c r="V7" s="1398"/>
      <c r="W7" s="1398"/>
      <c r="X7" s="1398"/>
      <c r="Y7" s="314"/>
      <c r="Z7" s="315"/>
      <c r="AU7" s="290"/>
    </row>
    <row r="8" spans="1:47" ht="7.5" customHeight="1" thickBot="1">
      <c r="A8" s="316"/>
      <c r="B8" s="1412"/>
      <c r="C8" s="1413"/>
      <c r="D8" s="1398"/>
      <c r="E8" s="1408"/>
      <c r="F8" s="1398"/>
      <c r="G8" s="1398"/>
      <c r="H8" s="1398"/>
      <c r="I8" s="1398"/>
      <c r="J8" s="1398"/>
      <c r="K8" s="1398"/>
      <c r="L8" s="1398"/>
      <c r="M8" s="1398"/>
      <c r="N8" s="1398"/>
      <c r="O8" s="1398"/>
      <c r="P8" s="1398"/>
      <c r="Q8" s="1398"/>
      <c r="R8" s="1398"/>
      <c r="S8" s="1398"/>
      <c r="T8" s="1398"/>
      <c r="U8" s="1398"/>
      <c r="V8" s="1398"/>
      <c r="W8" s="1398"/>
      <c r="X8" s="1398"/>
      <c r="Y8" s="314"/>
      <c r="Z8" s="315"/>
      <c r="AU8" s="290"/>
    </row>
    <row r="9" spans="1:47" ht="73.5" customHeight="1">
      <c r="A9" s="316"/>
      <c r="B9" s="1604" t="s">
        <v>572</v>
      </c>
      <c r="C9" s="1604"/>
      <c r="D9" s="1605" t="s">
        <v>0</v>
      </c>
      <c r="E9" s="1586" t="s">
        <v>28</v>
      </c>
      <c r="F9" s="1586" t="s">
        <v>8</v>
      </c>
      <c r="G9" s="1586" t="s">
        <v>4</v>
      </c>
      <c r="H9" s="1586" t="s">
        <v>6</v>
      </c>
      <c r="I9" s="1586" t="s">
        <v>1</v>
      </c>
      <c r="J9" s="1586" t="s">
        <v>9</v>
      </c>
      <c r="K9" s="1586" t="s">
        <v>2</v>
      </c>
      <c r="L9" s="1586" t="s">
        <v>10</v>
      </c>
      <c r="M9" s="1586" t="s">
        <v>11</v>
      </c>
      <c r="N9" s="1586" t="s">
        <v>12</v>
      </c>
      <c r="O9" s="1586" t="s">
        <v>3</v>
      </c>
      <c r="P9" s="1586" t="s">
        <v>13</v>
      </c>
      <c r="Q9" s="1586" t="s">
        <v>14</v>
      </c>
      <c r="R9" s="1586" t="s">
        <v>7</v>
      </c>
      <c r="S9" s="1586" t="s">
        <v>15</v>
      </c>
      <c r="T9" s="1586" t="s">
        <v>5</v>
      </c>
      <c r="U9" s="1586" t="s">
        <v>27</v>
      </c>
      <c r="V9" s="1602" t="s">
        <v>16</v>
      </c>
      <c r="W9" s="1590" t="s">
        <v>71</v>
      </c>
      <c r="X9" s="1609" t="s">
        <v>109</v>
      </c>
      <c r="Y9" s="314"/>
      <c r="Z9" s="315"/>
      <c r="AA9" s="808" t="s">
        <v>182</v>
      </c>
      <c r="AB9" s="808" t="s">
        <v>0</v>
      </c>
      <c r="AC9" s="808" t="s">
        <v>28</v>
      </c>
      <c r="AD9" s="808" t="s">
        <v>8</v>
      </c>
      <c r="AE9" s="808" t="s">
        <v>4</v>
      </c>
      <c r="AF9" s="808" t="s">
        <v>6</v>
      </c>
      <c r="AG9" s="808" t="s">
        <v>1</v>
      </c>
      <c r="AH9" s="808" t="s">
        <v>9</v>
      </c>
      <c r="AI9" s="808" t="s">
        <v>2</v>
      </c>
      <c r="AJ9" s="808" t="s">
        <v>10</v>
      </c>
      <c r="AK9" s="808" t="s">
        <v>11</v>
      </c>
      <c r="AL9" s="808" t="s">
        <v>12</v>
      </c>
      <c r="AM9" s="808" t="s">
        <v>3</v>
      </c>
      <c r="AN9" s="808" t="s">
        <v>13</v>
      </c>
      <c r="AO9" s="808" t="s">
        <v>14</v>
      </c>
      <c r="AP9" s="808" t="s">
        <v>7</v>
      </c>
      <c r="AQ9" s="808" t="s">
        <v>15</v>
      </c>
      <c r="AR9" s="808" t="s">
        <v>5</v>
      </c>
      <c r="AS9" s="808" t="s">
        <v>27</v>
      </c>
      <c r="AT9" s="808" t="s">
        <v>16</v>
      </c>
      <c r="AU9" s="290"/>
    </row>
    <row r="10" spans="1:47" ht="12.75" customHeight="1" thickBot="1">
      <c r="A10" s="316"/>
      <c r="B10" s="1028" t="s">
        <v>183</v>
      </c>
      <c r="C10" s="1028" t="s">
        <v>184</v>
      </c>
      <c r="D10" s="1606"/>
      <c r="E10" s="1587"/>
      <c r="F10" s="1587"/>
      <c r="G10" s="1587"/>
      <c r="H10" s="1587"/>
      <c r="I10" s="1587"/>
      <c r="J10" s="1587"/>
      <c r="K10" s="1587"/>
      <c r="L10" s="1587"/>
      <c r="M10" s="1587"/>
      <c r="N10" s="1587"/>
      <c r="O10" s="1587"/>
      <c r="P10" s="1587"/>
      <c r="Q10" s="1587"/>
      <c r="R10" s="1587"/>
      <c r="S10" s="1587"/>
      <c r="T10" s="1587"/>
      <c r="U10" s="1587"/>
      <c r="V10" s="1603"/>
      <c r="W10" s="1591"/>
      <c r="X10" s="1610"/>
      <c r="Y10" s="314"/>
      <c r="Z10" s="315"/>
      <c r="AA10" s="317"/>
      <c r="AB10" s="317"/>
      <c r="AC10" s="317"/>
      <c r="AD10" s="317"/>
      <c r="AE10" s="317"/>
      <c r="AF10" s="317"/>
      <c r="AG10" s="317"/>
      <c r="AH10" s="317"/>
      <c r="AI10" s="317"/>
      <c r="AJ10" s="317"/>
      <c r="AK10" s="317"/>
      <c r="AL10" s="317"/>
      <c r="AM10" s="317"/>
      <c r="AN10" s="317"/>
      <c r="AO10" s="317"/>
      <c r="AP10" s="317"/>
      <c r="AQ10" s="317"/>
      <c r="AR10" s="317"/>
      <c r="AS10" s="317"/>
      <c r="AT10" s="317"/>
      <c r="AU10" s="290"/>
    </row>
    <row r="11" spans="1:47" s="290" customFormat="1" ht="26.25" customHeight="1" thickBot="1">
      <c r="A11" s="318"/>
      <c r="B11" s="1380" t="s">
        <v>75</v>
      </c>
      <c r="C11" s="1379" t="s">
        <v>864</v>
      </c>
      <c r="D11" s="933">
        <f>VLOOKUP(D$9,IDACI!$B:$C,2,FALSE)</f>
        <v>8.9</v>
      </c>
      <c r="E11" s="934">
        <f>VLOOKUP(E$9,IDACI!$B:$C,2,FALSE)</f>
        <v>15.299999999999999</v>
      </c>
      <c r="F11" s="934">
        <f>VLOOKUP(F$9,IDACI!$B:$C,2,FALSE)</f>
        <v>8.5</v>
      </c>
      <c r="G11" s="934">
        <f>VLOOKUP(G$9,IDACI!$B:$C,2,FALSE)</f>
        <v>16.100000000000001</v>
      </c>
      <c r="H11" s="934">
        <f>VLOOKUP(H$9,IDACI!$B:$C,2,FALSE)</f>
        <v>10.100000000000001</v>
      </c>
      <c r="I11" s="934">
        <f>VLOOKUP(I$9,IDACI!$B:$C,2,FALSE)</f>
        <v>18</v>
      </c>
      <c r="J11" s="934">
        <f>VLOOKUP(J$9,IDACI!$B:$C,2,FALSE)</f>
        <v>15.8</v>
      </c>
      <c r="K11" s="934">
        <f>VLOOKUP(K$9,IDACI!$B:$C,2,FALSE)</f>
        <v>18.899999999999999</v>
      </c>
      <c r="L11" s="934">
        <f>VLOOKUP(L$9,IDACI!$B:$C,2,FALSE)</f>
        <v>15</v>
      </c>
      <c r="M11" s="934">
        <f>VLOOKUP(M$9,IDACI!$B:$C,2,FALSE)</f>
        <v>10.100000000000001</v>
      </c>
      <c r="N11" s="934">
        <f>VLOOKUP(N$9,IDACI!$B:$C,2,FALSE)</f>
        <v>20.200000000000003</v>
      </c>
      <c r="O11" s="934">
        <f>VLOOKUP(O$9,IDACI!$B:$C,2,FALSE)</f>
        <v>16</v>
      </c>
      <c r="P11" s="934">
        <f>VLOOKUP(P$9,IDACI!$B:$C,2,FALSE)</f>
        <v>14.7</v>
      </c>
      <c r="Q11" s="934">
        <f>VLOOKUP(Q$9,IDACI!$B:$C,2,FALSE)</f>
        <v>20.5</v>
      </c>
      <c r="R11" s="934">
        <f>VLOOKUP(R$9,IDACI!$B:$C,2,FALSE)</f>
        <v>8.3000000000000007</v>
      </c>
      <c r="S11" s="934">
        <f>VLOOKUP(S$9,IDACI!$B:$C,2,FALSE)</f>
        <v>8.6999999999999993</v>
      </c>
      <c r="T11" s="934">
        <f>VLOOKUP(T$9,IDACI!$B:$C,2,FALSE)</f>
        <v>11</v>
      </c>
      <c r="U11" s="934">
        <f>VLOOKUP(U$9,IDACI!$B:$C,2,FALSE)</f>
        <v>6.7</v>
      </c>
      <c r="V11" s="935">
        <f>VLOOKUP(V$9,IDACI!$B:$C,2,FALSE)</f>
        <v>5.6000000000000005</v>
      </c>
      <c r="W11" s="1004">
        <f>VLOOKUP(W$9,IDACI!$B:$C,2,FALSE)</f>
        <v>12.371268250968637</v>
      </c>
      <c r="X11" s="1005">
        <f>VLOOKUP(X$9,IDACI!$B:$C,2,FALSE)</f>
        <v>17.084413405029373</v>
      </c>
      <c r="Y11" s="319"/>
      <c r="Z11" s="320"/>
      <c r="AU11" s="290">
        <f t="shared" ref="AU11:AU27" si="0">ROW(AV11)-8</f>
        <v>3</v>
      </c>
    </row>
    <row r="12" spans="1:47" s="290" customFormat="1" ht="26.25" customHeight="1">
      <c r="A12" s="318"/>
      <c r="B12" s="1631" t="s">
        <v>77</v>
      </c>
      <c r="C12" s="1367" t="str">
        <f>"Referrals to Children's Social Care (CSC) during the "&amp;ReportData!$G$3&amp;", Rate per 10,000 0-17 Year Olds"</f>
        <v>Referrals to Children's Social Care (CSC) during the Year ending 31st March, Rate per 10,000 0-17 Year Olds</v>
      </c>
      <c r="D12" s="936">
        <f>IFERROR(VLOOKUP(D9,Referrals!$B$11:$O$31,14,FALSE),"")</f>
        <v>527.45488183753969</v>
      </c>
      <c r="E12" s="937">
        <f>IFERROR(VLOOKUP(E9,Referrals!$B$11:$O$31,14,FALSE),"")</f>
        <v>697.93854197917119</v>
      </c>
      <c r="F12" s="937">
        <f>IFERROR(VLOOKUP(F9,Referrals!$B$11:$O$31,14,FALSE),"")</f>
        <v>518.74373119358074</v>
      </c>
      <c r="G12" s="937">
        <f>IFERROR(VLOOKUP(G9,Referrals!$B$11:$O$31,14,FALSE),"")</f>
        <v>416.09559291932896</v>
      </c>
      <c r="H12" s="937" t="str">
        <f>IFERROR(VLOOKUP(H9,Referrals!$B$11:$O$31,14,FALSE),"")</f>
        <v/>
      </c>
      <c r="I12" s="937">
        <f>IFERROR(VLOOKUP(I9,Referrals!$B$11:$O$31,14,FALSE),"")</f>
        <v>1867.906817987883</v>
      </c>
      <c r="J12" s="937">
        <f>IFERROR(VLOOKUP(J9,Referrals!$B$11:$O$31,14,FALSE),"")</f>
        <v>692.18446769174238</v>
      </c>
      <c r="K12" s="937">
        <f>IFERROR(VLOOKUP(K9,Referrals!$B$11:$O$31,14,FALSE),"")</f>
        <v>792.20837644518429</v>
      </c>
      <c r="L12" s="937">
        <f>IFERROR(VLOOKUP(L9,Referrals!$B$11:$O$31,14,FALSE),"")</f>
        <v>427.76488042089647</v>
      </c>
      <c r="M12" s="937">
        <f>IFERROR(VLOOKUP(M9,Referrals!$B$11:$O$31,14,FALSE),"")</f>
        <v>330.93996918133831</v>
      </c>
      <c r="N12" s="937">
        <f>IFERROR(VLOOKUP(N9,Referrals!$B$11:$O$31,14,FALSE),"")</f>
        <v>723.52093034249651</v>
      </c>
      <c r="O12" s="937">
        <f>IFERROR(VLOOKUP(O9,Referrals!$B$11:$O$31,14,FALSE),"")</f>
        <v>791.74246618682275</v>
      </c>
      <c r="P12" s="937">
        <f>IFERROR(VLOOKUP(P9,Referrals!$B$11:$O$31,14,FALSE),"")</f>
        <v>749.40355414836461</v>
      </c>
      <c r="Q12" s="937">
        <f>IFERROR(VLOOKUP(Q9,Referrals!$B$11:$O$31,14,FALSE),"")</f>
        <v>614.21793421078746</v>
      </c>
      <c r="R12" s="937">
        <f>IFERROR(VLOOKUP(R9,Referrals!$B$11:$O$31,14,FALSE),"")</f>
        <v>289.15354271432443</v>
      </c>
      <c r="S12" s="937">
        <f>IFERROR(VLOOKUP(S9,Referrals!$B$11:$O$31,14,FALSE),"")</f>
        <v>453.78627034677987</v>
      </c>
      <c r="T12" s="937">
        <f>IFERROR(VLOOKUP(T9,Referrals!$B$11:$O$31,14,FALSE),"")</f>
        <v>443.05282445477297</v>
      </c>
      <c r="U12" s="937">
        <f>IFERROR(VLOOKUP(U9,Referrals!$B$11:$O$31,14,FALSE),"")</f>
        <v>528.86438551967558</v>
      </c>
      <c r="V12" s="938">
        <f>IFERROR(VLOOKUP(V9,Referrals!$B$11:$O$31,14,FALSE),"")</f>
        <v>357.39022025211244</v>
      </c>
      <c r="W12" s="973">
        <f>IFERROR(VLOOKUP(W9,Referrals!$B$11:$O$31,14,FALSE),"")</f>
        <v>711.71431389401596</v>
      </c>
      <c r="X12" s="1006">
        <f>IFERROR(VLOOKUP(X9,Referrals!$B$11:$O$31,14,FALSE),"")</f>
        <v>518.29181392633802</v>
      </c>
      <c r="Y12" s="319"/>
      <c r="Z12" s="320"/>
      <c r="AU12" s="290">
        <f t="shared" si="0"/>
        <v>4</v>
      </c>
    </row>
    <row r="13" spans="1:47" s="290" customFormat="1" ht="26.25" customHeight="1" thickBot="1">
      <c r="A13" s="318"/>
      <c r="B13" s="1632"/>
      <c r="C13" s="1369" t="s">
        <v>185</v>
      </c>
      <c r="D13" s="939">
        <f>IFERROR(VLOOKUP(D9,Referrals!$B$143:$H$163,7,FALSE),"")</f>
        <v>0.88749172733289217</v>
      </c>
      <c r="E13" s="940">
        <f>IFERROR(VLOOKUP(E9,Referrals!$B$143:$H$163,7,FALSE),"")</f>
        <v>0.88271415412956711</v>
      </c>
      <c r="F13" s="940">
        <f>IFERROR(VLOOKUP(F9,Referrals!$B$143:$H$163,7,FALSE),"")</f>
        <v>0.9830815709969789</v>
      </c>
      <c r="G13" s="940">
        <f>IFERROR(VLOOKUP(G9,Referrals!$B$143:$H$163,7,FALSE),"")</f>
        <v>0.9610299234516354</v>
      </c>
      <c r="H13" s="940" t="str">
        <f>IFERROR(VLOOKUP(H9,Referrals!$B$143:$H$163,7,FALSE),"")</f>
        <v/>
      </c>
      <c r="I13" s="940">
        <f>IFERROR(VLOOKUP(I9,Referrals!$B$143:$H$163,7,FALSE),"")</f>
        <v>0.74486066697121978</v>
      </c>
      <c r="J13" s="940">
        <f>IFERROR(VLOOKUP(J9,Referrals!$B$143:$H$163,7,FALSE),"")</f>
        <v>0.99448384554767533</v>
      </c>
      <c r="K13" s="940">
        <f>IFERROR(VLOOKUP(K9,Referrals!$B$143:$H$163,7,FALSE),"")</f>
        <v>0.88756388415672915</v>
      </c>
      <c r="L13" s="940">
        <f>IFERROR(VLOOKUP(L9,Referrals!$B$143:$H$163,7,FALSE),"")</f>
        <v>0.92324983943481054</v>
      </c>
      <c r="M13" s="940">
        <f>IFERROR(VLOOKUP(M9,Referrals!$B$143:$H$163,7,FALSE),"")</f>
        <v>0.96314642361799085</v>
      </c>
      <c r="N13" s="940">
        <f>IFERROR(VLOOKUP(N9,Referrals!$B$143:$H$163,7,FALSE),"")</f>
        <v>1</v>
      </c>
      <c r="O13" s="940">
        <f>IFERROR(VLOOKUP(O9,Referrals!$B$143:$H$163,7,FALSE),"")</f>
        <v>0.94105894105894106</v>
      </c>
      <c r="P13" s="940">
        <f>IFERROR(VLOOKUP(P9,Referrals!$B$143:$H$163,7,FALSE),"")</f>
        <v>0.9949419815531092</v>
      </c>
      <c r="Q13" s="940">
        <f>IFERROR(VLOOKUP(Q9,Referrals!$B$143:$H$163,7,FALSE),"")</f>
        <v>0.91402714932126694</v>
      </c>
      <c r="R13" s="940">
        <f>IFERROR(VLOOKUP(R9,Referrals!$B$143:$H$163,7,FALSE),"")</f>
        <v>0.93243946888831031</v>
      </c>
      <c r="S13" s="940">
        <f>IFERROR(VLOOKUP(S9,Referrals!$B$143:$H$163,7,FALSE),"")</f>
        <v>1</v>
      </c>
      <c r="T13" s="940">
        <f>IFERROR(VLOOKUP(T9,Referrals!$B$143:$H$163,7,FALSE),"")</f>
        <v>1</v>
      </c>
      <c r="U13" s="940">
        <f>IFERROR(VLOOKUP(U9,Referrals!$B$143:$H$163,7,FALSE),"")</f>
        <v>0.94484280198565918</v>
      </c>
      <c r="V13" s="941">
        <f>IFERROR(VLOOKUP(V9,Referrals!$B$143:$H$163,7,FALSE),"")</f>
        <v>0.95025839793281652</v>
      </c>
      <c r="W13" s="971">
        <f>IFERROR(VLOOKUP(W9,Referrals!$B$143:$H$163,7,FALSE),"")</f>
        <v>0.92592592592592593</v>
      </c>
      <c r="X13" s="972">
        <f>IFERROR(VLOOKUP(X9,Referrals!$B$143:$H$163,7,FALSE),"")</f>
        <v>0.93741557856821256</v>
      </c>
      <c r="Y13" s="319"/>
      <c r="Z13" s="320"/>
      <c r="AU13" s="290">
        <f t="shared" si="0"/>
        <v>5</v>
      </c>
    </row>
    <row r="14" spans="1:47" s="290" customFormat="1" ht="21" customHeight="1">
      <c r="A14" s="318"/>
      <c r="B14" s="1617" t="s">
        <v>571</v>
      </c>
      <c r="C14" s="1363" t="s">
        <v>186</v>
      </c>
      <c r="D14" s="942">
        <f>IFERROR(VLOOKUP(D$9,Referral_Source!$BC$32:$BM$52,2,FALSE),"")</f>
        <v>7.4123097286565187E-2</v>
      </c>
      <c r="E14" s="943">
        <f>IFERROR(VLOOKUP(E$9,Referral_Source!$BC$32:$BM$52,2,FALSE),"")</f>
        <v>6.5090574147988953E-2</v>
      </c>
      <c r="F14" s="943">
        <f>IFERROR(VLOOKUP(F$9,Referral_Source!$BC$32:$BM$52,2,FALSE),"")</f>
        <v>5.6948640483383689E-2</v>
      </c>
      <c r="G14" s="943">
        <f>IFERROR(VLOOKUP(G$9,Referral_Source!$BC$32:$BM$52,2,FALSE),"")</f>
        <v>0.10090466249130133</v>
      </c>
      <c r="H14" s="943" t="str">
        <f>IFERROR(VLOOKUP(H$9,Referral_Source!$BC$32:$BM$52,2,FALSE),"")</f>
        <v/>
      </c>
      <c r="I14" s="943">
        <f>IFERROR(VLOOKUP(I$9,Referral_Source!$BC$32:$BM$52,2,FALSE),"")</f>
        <v>6.7153951576062132E-2</v>
      </c>
      <c r="J14" s="943">
        <f>IFERROR(VLOOKUP(J$9,Referral_Source!$BC$32:$BM$52,2,FALSE),"")</f>
        <v>7.328605200945626E-2</v>
      </c>
      <c r="K14" s="943">
        <f>IFERROR(VLOOKUP(K$9,Referral_Source!$BC$32:$BM$52,2,FALSE),"")</f>
        <v>7.9500283929585469E-2</v>
      </c>
      <c r="L14" s="943">
        <f>IFERROR(VLOOKUP(L$9,Referral_Source!$BC$32:$BM$52,2,FALSE),"")</f>
        <v>7.7448747152619596E-2</v>
      </c>
      <c r="M14" s="943">
        <f>IFERROR(VLOOKUP(M$9,Referral_Source!$BC$32:$BM$52,2,FALSE),"")</f>
        <v>8.0047553001783234E-2</v>
      </c>
      <c r="N14" s="943">
        <f>IFERROR(VLOOKUP(N$9,Referral_Source!$BC$32:$BM$52,2,FALSE),"")</f>
        <v>6.9444444444444448E-2</v>
      </c>
      <c r="O14" s="943">
        <f>IFERROR(VLOOKUP(O$9,Referral_Source!$BC$32:$BM$52,2,FALSE),"")</f>
        <v>4.7952047952047952E-2</v>
      </c>
      <c r="P14" s="943">
        <f>IFERROR(VLOOKUP(P$9,Referral_Source!$BC$32:$BM$52,2,FALSE),"")</f>
        <v>3.2826022082960309E-2</v>
      </c>
      <c r="Q14" s="943">
        <f>IFERROR(VLOOKUP(Q$9,Referral_Source!$BC$32:$BM$52,2,FALSE),"")</f>
        <v>6.4641241111829353E-2</v>
      </c>
      <c r="R14" s="943">
        <f>IFERROR(VLOOKUP(R$9,Referral_Source!$BC$32:$BM$52,2,FALSE),"")</f>
        <v>6.7300182244207238E-2</v>
      </c>
      <c r="S14" s="943">
        <f>IFERROR(VLOOKUP(S$9,Referral_Source!$BC$32:$BM$52,2,FALSE),"")</f>
        <v>8.2345601996257012E-2</v>
      </c>
      <c r="T14" s="943">
        <f>IFERROR(VLOOKUP(T$9,Referral_Source!$BC$32:$BM$52,2,FALSE),"")</f>
        <v>8.422645315849199E-2</v>
      </c>
      <c r="U14" s="943">
        <f>IFERROR(VLOOKUP(U$9,Referral_Source!$BC$32:$BM$52,2,FALSE),"")</f>
        <v>3.6403750689464977E-2</v>
      </c>
      <c r="V14" s="944">
        <f>IFERROR(VLOOKUP(V$9,Referral_Source!$BC$32:$BM$52,2,FALSE),"")</f>
        <v>9.0439276485788117E-2</v>
      </c>
      <c r="W14" s="983">
        <f>IFERROR(VLOOKUP(W$9,Referral_Source!$BC$32:$BM$52,2,FALSE),"")</f>
        <v>7.1116504854368934E-2</v>
      </c>
      <c r="X14" s="984">
        <f>IFERROR(VLOOKUP(X$9,Referral_Source!$BC$32:$BM$52,2,FALSE),"")</f>
        <v>8.0194899173447395E-2</v>
      </c>
      <c r="Y14" s="319"/>
      <c r="Z14" s="320"/>
      <c r="AU14" s="290">
        <f t="shared" si="0"/>
        <v>6</v>
      </c>
    </row>
    <row r="15" spans="1:47" s="290" customFormat="1" ht="21" customHeight="1">
      <c r="A15" s="318"/>
      <c r="B15" s="1618"/>
      <c r="C15" s="1364" t="s">
        <v>187</v>
      </c>
      <c r="D15" s="945">
        <f>IFERROR(VLOOKUP(D$9,Referral_Source!$BC$32:$BM$52,3,FALSE),"")</f>
        <v>0.28457974851091994</v>
      </c>
      <c r="E15" s="946">
        <f>IFERROR(VLOOKUP(E$9,Referral_Source!$BC$32:$BM$52,3,FALSE),"")</f>
        <v>0.23088731961928155</v>
      </c>
      <c r="F15" s="946">
        <f>IFERROR(VLOOKUP(F$9,Referral_Source!$BC$32:$BM$52,3,FALSE),"")</f>
        <v>0.21465256797583082</v>
      </c>
      <c r="G15" s="946">
        <f>IFERROR(VLOOKUP(G$9,Referral_Source!$BC$32:$BM$52,3,FALSE),"")</f>
        <v>0.15170494084899094</v>
      </c>
      <c r="H15" s="946" t="str">
        <f>IFERROR(VLOOKUP(H$9,Referral_Source!$BC$32:$BM$52,3,FALSE),"")</f>
        <v/>
      </c>
      <c r="I15" s="946">
        <f>IFERROR(VLOOKUP(I$9,Referral_Source!$BC$32:$BM$52,3,FALSE),"")</f>
        <v>0.34536317953403378</v>
      </c>
      <c r="J15" s="946">
        <f>IFERROR(VLOOKUP(J$9,Referral_Source!$BC$32:$BM$52,3,FALSE),"")</f>
        <v>0.25739289121148023</v>
      </c>
      <c r="K15" s="946">
        <f>IFERROR(VLOOKUP(K$9,Referral_Source!$BC$32:$BM$52,3,FALSE),"")</f>
        <v>0.30872610259322353</v>
      </c>
      <c r="L15" s="946">
        <f>IFERROR(VLOOKUP(L$9,Referral_Source!$BC$32:$BM$52,3,FALSE),"")</f>
        <v>0.24145785876993167</v>
      </c>
      <c r="M15" s="946">
        <f>IFERROR(VLOOKUP(M$9,Referral_Source!$BC$32:$BM$52,3,FALSE),"")</f>
        <v>0.2092332078462453</v>
      </c>
      <c r="N15" s="946">
        <f>IFERROR(VLOOKUP(N$9,Referral_Source!$BC$32:$BM$52,3,FALSE),"")</f>
        <v>0.18353174603174602</v>
      </c>
      <c r="O15" s="946">
        <f>IFERROR(VLOOKUP(O$9,Referral_Source!$BC$32:$BM$52,3,FALSE),"")</f>
        <v>0.18514818514818515</v>
      </c>
      <c r="P15" s="946">
        <f>IFERROR(VLOOKUP(P$9,Referral_Source!$BC$32:$BM$52,3,FALSE),"")</f>
        <v>0.25544613548194567</v>
      </c>
      <c r="Q15" s="946">
        <f>IFERROR(VLOOKUP(Q$9,Referral_Source!$BC$32:$BM$52,3,FALSE),"")</f>
        <v>0.28862314156431801</v>
      </c>
      <c r="R15" s="946">
        <f>IFERROR(VLOOKUP(R$9,Referral_Source!$BC$32:$BM$52,3,FALSE),"")</f>
        <v>0.21075240822702421</v>
      </c>
      <c r="S15" s="946">
        <f>IFERROR(VLOOKUP(S$9,Referral_Source!$BC$32:$BM$52,3,FALSE),"")</f>
        <v>0.21896444167186524</v>
      </c>
      <c r="T15" s="946">
        <f>IFERROR(VLOOKUP(T$9,Referral_Source!$BC$32:$BM$52,3,FALSE),"")</f>
        <v>0.18509645694111715</v>
      </c>
      <c r="U15" s="946">
        <f>IFERROR(VLOOKUP(U$9,Referral_Source!$BC$32:$BM$52,3,FALSE),"")</f>
        <v>0.25041367898510758</v>
      </c>
      <c r="V15" s="947">
        <f>IFERROR(VLOOKUP(V$9,Referral_Source!$BC$32:$BM$52,3,FALSE),"")</f>
        <v>0.24806201550387597</v>
      </c>
      <c r="W15" s="969">
        <f>IFERROR(VLOOKUP(W$9,Referral_Source!$BC$32:$BM$52,3,FALSE),"")</f>
        <v>0.23764342453662843</v>
      </c>
      <c r="X15" s="975">
        <f>IFERROR(VLOOKUP(X$9,Referral_Source!$BC$32:$BM$52,3,FALSE),"")</f>
        <v>0.21996912488341427</v>
      </c>
      <c r="Y15" s="319"/>
      <c r="Z15" s="320"/>
      <c r="AU15" s="290">
        <f t="shared" si="0"/>
        <v>7</v>
      </c>
    </row>
    <row r="16" spans="1:47" s="290" customFormat="1" ht="21" customHeight="1">
      <c r="A16" s="318"/>
      <c r="B16" s="1618"/>
      <c r="C16" s="1364" t="s">
        <v>188</v>
      </c>
      <c r="D16" s="945">
        <f>IFERROR(VLOOKUP(D$9,Referral_Source!$BC$32:$BM$52,4,FALSE),"")</f>
        <v>0.12508272667107875</v>
      </c>
      <c r="E16" s="946">
        <f>IFERROR(VLOOKUP(E$9,Referral_Source!$BC$32:$BM$52,4,FALSE),"")</f>
        <v>0.1486030089038993</v>
      </c>
      <c r="F16" s="946">
        <f>IFERROR(VLOOKUP(F$9,Referral_Source!$BC$32:$BM$52,4,FALSE),"")</f>
        <v>0.15377643504531721</v>
      </c>
      <c r="G16" s="946">
        <f>IFERROR(VLOOKUP(G$9,Referral_Source!$BC$32:$BM$52,4,FALSE),"")</f>
        <v>0.11969380654140571</v>
      </c>
      <c r="H16" s="946" t="str">
        <f>IFERROR(VLOOKUP(H$9,Referral_Source!$BC$32:$BM$52,4,FALSE),"")</f>
        <v/>
      </c>
      <c r="I16" s="946">
        <f>IFERROR(VLOOKUP(I$9,Referral_Source!$BC$32:$BM$52,4,FALSE),"")</f>
        <v>0.14595705801735953</v>
      </c>
      <c r="J16" s="946">
        <f>IFERROR(VLOOKUP(J$9,Referral_Source!$BC$32:$BM$52,4,FALSE),"")</f>
        <v>0.14416656297955291</v>
      </c>
      <c r="K16" s="946">
        <f>IFERROR(VLOOKUP(K$9,Referral_Source!$BC$32:$BM$52,4,FALSE),"")</f>
        <v>0.11205754306265379</v>
      </c>
      <c r="L16" s="946">
        <f>IFERROR(VLOOKUP(L$9,Referral_Source!$BC$32:$BM$52,4,FALSE),"")</f>
        <v>0.12495932313699967</v>
      </c>
      <c r="M16" s="946">
        <f>IFERROR(VLOOKUP(M$9,Referral_Source!$BC$32:$BM$52,4,FALSE),"")</f>
        <v>0.13176144244105409</v>
      </c>
      <c r="N16" s="946">
        <f>IFERROR(VLOOKUP(N$9,Referral_Source!$BC$32:$BM$52,4,FALSE),"")</f>
        <v>0.14814814814814814</v>
      </c>
      <c r="O16" s="946">
        <f>IFERROR(VLOOKUP(O$9,Referral_Source!$BC$32:$BM$52,4,FALSE),"")</f>
        <v>0.15251415251415251</v>
      </c>
      <c r="P16" s="946">
        <f>IFERROR(VLOOKUP(P$9,Referral_Source!$BC$32:$BM$52,4,FALSE),"")</f>
        <v>0.14324082363473589</v>
      </c>
      <c r="Q16" s="946">
        <f>IFERROR(VLOOKUP(Q$9,Referral_Source!$BC$32:$BM$52,4,FALSE),"")</f>
        <v>0.14835164835164835</v>
      </c>
      <c r="R16" s="946">
        <f>IFERROR(VLOOKUP(R$9,Referral_Source!$BC$32:$BM$52,4,FALSE),"")</f>
        <v>0.16701379848997658</v>
      </c>
      <c r="S16" s="946">
        <f>IFERROR(VLOOKUP(S$9,Referral_Source!$BC$32:$BM$52,4,FALSE),"")</f>
        <v>0.11228945726762321</v>
      </c>
      <c r="T16" s="946">
        <f>IFERROR(VLOOKUP(T$9,Referral_Source!$BC$32:$BM$52,4,FALSE),"")</f>
        <v>0.12066574202496533</v>
      </c>
      <c r="U16" s="946">
        <f>IFERROR(VLOOKUP(U$9,Referral_Source!$BC$32:$BM$52,4,FALSE),"")</f>
        <v>0.14230557087699944</v>
      </c>
      <c r="V16" s="947">
        <f>IFERROR(VLOOKUP(V$9,Referral_Source!$BC$32:$BM$52,4,FALSE),"")</f>
        <v>0.15051679586563307</v>
      </c>
      <c r="W16" s="969">
        <f>IFERROR(VLOOKUP(W$9,Referral_Source!$BC$32:$BM$52,4,FALSE),"")</f>
        <v>0.14032436010591351</v>
      </c>
      <c r="X16" s="975">
        <f>IFERROR(VLOOKUP(X$9,Referral_Source!$BC$32:$BM$52,4,FALSE),"")</f>
        <v>0.14693017721030457</v>
      </c>
      <c r="Y16" s="319"/>
      <c r="Z16" s="320"/>
      <c r="AU16" s="290">
        <f t="shared" si="0"/>
        <v>8</v>
      </c>
    </row>
    <row r="17" spans="1:47" s="290" customFormat="1" ht="21" customHeight="1">
      <c r="A17" s="318"/>
      <c r="B17" s="1618"/>
      <c r="C17" s="1364" t="s">
        <v>189</v>
      </c>
      <c r="D17" s="945">
        <f>IFERROR(VLOOKUP(D$9,Referral_Source!$BC$32:$BM$52,5,FALSE),"")</f>
        <v>1.7207147584381206E-2</v>
      </c>
      <c r="E17" s="946">
        <f>IFERROR(VLOOKUP(E$9,Referral_Source!$BC$32:$BM$52,5,FALSE),"")</f>
        <v>1.197420939514891E-2</v>
      </c>
      <c r="F17" s="946">
        <f>IFERROR(VLOOKUP(F$9,Referral_Source!$BC$32:$BM$52,5,FALSE),"")</f>
        <v>5.287009063444109E-3</v>
      </c>
      <c r="G17" s="946">
        <f>IFERROR(VLOOKUP(G$9,Referral_Source!$BC$32:$BM$52,5,FALSE),"")</f>
        <v>1.6005567153792623E-2</v>
      </c>
      <c r="H17" s="946" t="str">
        <f>IFERROR(VLOOKUP(H$9,Referral_Source!$BC$32:$BM$52,5,FALSE),"")</f>
        <v/>
      </c>
      <c r="I17" s="946">
        <f>IFERROR(VLOOKUP(I$9,Referral_Source!$BC$32:$BM$52,5,FALSE),"")</f>
        <v>1.3933302878026497E-2</v>
      </c>
      <c r="J17" s="946">
        <f>IFERROR(VLOOKUP(J$9,Referral_Source!$BC$32:$BM$52,5,FALSE),"")</f>
        <v>1.7046161503048402E-2</v>
      </c>
      <c r="K17" s="946">
        <f>IFERROR(VLOOKUP(K$9,Referral_Source!$BC$32:$BM$52,5,FALSE),"")</f>
        <v>1.7225061518076849E-2</v>
      </c>
      <c r="L17" s="946">
        <f>IFERROR(VLOOKUP(L$9,Referral_Source!$BC$32:$BM$52,5,FALSE),"")</f>
        <v>0</v>
      </c>
      <c r="M17" s="946">
        <f>IFERROR(VLOOKUP(M$9,Referral_Source!$BC$32:$BM$52,5,FALSE),"")</f>
        <v>8.7180503269268881E-3</v>
      </c>
      <c r="N17" s="946">
        <f>IFERROR(VLOOKUP(N$9,Referral_Source!$BC$32:$BM$52,5,FALSE),"")</f>
        <v>2.0502645502645502E-2</v>
      </c>
      <c r="O17" s="946">
        <f>IFERROR(VLOOKUP(O$9,Referral_Source!$BC$32:$BM$52,5,FALSE),"")</f>
        <v>2.2311022311022312E-2</v>
      </c>
      <c r="P17" s="946">
        <f>IFERROR(VLOOKUP(P$9,Referral_Source!$BC$32:$BM$52,5,FALSE),"")</f>
        <v>0</v>
      </c>
      <c r="Q17" s="946">
        <f>IFERROR(VLOOKUP(Q$9,Referral_Source!$BC$32:$BM$52,5,FALSE),"")</f>
        <v>9.0497737556561094E-3</v>
      </c>
      <c r="R17" s="946">
        <f>IFERROR(VLOOKUP(R$9,Referral_Source!$BC$32:$BM$52,5,FALSE),"")</f>
        <v>1.0544129133038271E-2</v>
      </c>
      <c r="S17" s="946">
        <f>IFERROR(VLOOKUP(S$9,Referral_Source!$BC$32:$BM$52,5,FALSE),"")</f>
        <v>3.7429819089207735E-3</v>
      </c>
      <c r="T17" s="946">
        <f>IFERROR(VLOOKUP(T$9,Referral_Source!$BC$32:$BM$52,5,FALSE),"")</f>
        <v>8.4478628167948561E-3</v>
      </c>
      <c r="U17" s="946">
        <f>IFERROR(VLOOKUP(U$9,Referral_Source!$BC$32:$BM$52,5,FALSE),"")</f>
        <v>6.0672917815774961E-3</v>
      </c>
      <c r="V17" s="947">
        <f>IFERROR(VLOOKUP(V$9,Referral_Source!$BC$32:$BM$52,5,FALSE),"")</f>
        <v>5.8139534883720929E-3</v>
      </c>
      <c r="W17" s="969">
        <f>IFERROR(VLOOKUP(W$9,Referral_Source!$BC$32:$BM$52,5,FALSE),"")</f>
        <v>1.221315092674316E-2</v>
      </c>
      <c r="X17" s="975">
        <f>IFERROR(VLOOKUP(X$9,Referral_Source!$BC$32:$BM$52,5,FALSE),"")</f>
        <v>1.2398289003955874E-2</v>
      </c>
      <c r="Y17" s="319"/>
      <c r="Z17" s="320"/>
      <c r="AU17" s="290">
        <f t="shared" si="0"/>
        <v>9</v>
      </c>
    </row>
    <row r="18" spans="1:47" s="290" customFormat="1" ht="21" customHeight="1">
      <c r="A18" s="318"/>
      <c r="B18" s="1618"/>
      <c r="C18" s="1364" t="s">
        <v>190</v>
      </c>
      <c r="D18" s="945">
        <f>IFERROR(VLOOKUP(D$9,Referral_Source!$BC$32:$BM$52,6,FALSE),"")</f>
        <v>0.20780939774983453</v>
      </c>
      <c r="E18" s="946">
        <f>IFERROR(VLOOKUP(E$9,Referral_Source!$BC$32:$BM$52,6,FALSE),"")</f>
        <v>0.18974516426159041</v>
      </c>
      <c r="F18" s="946">
        <f>IFERROR(VLOOKUP(F$9,Referral_Source!$BC$32:$BM$52,6,FALSE),"")</f>
        <v>0.13051359516616315</v>
      </c>
      <c r="G18" s="946">
        <f>IFERROR(VLOOKUP(G$9,Referral_Source!$BC$32:$BM$52,6,FALSE),"")</f>
        <v>0.21340756205056832</v>
      </c>
      <c r="H18" s="946" t="str">
        <f>IFERROR(VLOOKUP(H$9,Referral_Source!$BC$32:$BM$52,6,FALSE),"")</f>
        <v/>
      </c>
      <c r="I18" s="946">
        <f>IFERROR(VLOOKUP(I$9,Referral_Source!$BC$32:$BM$52,6,FALSE),"")</f>
        <v>6.5326633165829151E-2</v>
      </c>
      <c r="J18" s="946">
        <f>IFERROR(VLOOKUP(J$9,Referral_Source!$BC$32:$BM$52,6,FALSE),"")</f>
        <v>0.10464103521214384</v>
      </c>
      <c r="K18" s="946">
        <f>IFERROR(VLOOKUP(K$9,Referral_Source!$BC$32:$BM$52,6,FALSE),"")</f>
        <v>0.13382547794813554</v>
      </c>
      <c r="L18" s="946">
        <f>IFERROR(VLOOKUP(L$9,Referral_Source!$BC$32:$BM$52,6,FALSE),"")</f>
        <v>0.14123006833712984</v>
      </c>
      <c r="M18" s="946">
        <f>IFERROR(VLOOKUP(M$9,Referral_Source!$BC$32:$BM$52,6,FALSE),"")</f>
        <v>0.19575985734099466</v>
      </c>
      <c r="N18" s="946">
        <f>IFERROR(VLOOKUP(N$9,Referral_Source!$BC$32:$BM$52,6,FALSE),"")</f>
        <v>0.17791005291005291</v>
      </c>
      <c r="O18" s="946">
        <f>IFERROR(VLOOKUP(O$9,Referral_Source!$BC$32:$BM$52,6,FALSE),"")</f>
        <v>0.15451215451215453</v>
      </c>
      <c r="P18" s="946">
        <f>IFERROR(VLOOKUP(P$9,Referral_Source!$BC$32:$BM$52,6,FALSE),"")</f>
        <v>9.9373321396598033E-2</v>
      </c>
      <c r="Q18" s="946">
        <f>IFERROR(VLOOKUP(Q$9,Referral_Source!$BC$32:$BM$52,6,FALSE),"")</f>
        <v>0.13542340012928247</v>
      </c>
      <c r="R18" s="946">
        <f>IFERROR(VLOOKUP(R$9,Referral_Source!$BC$32:$BM$52,6,FALSE),"")</f>
        <v>0.12093204894558708</v>
      </c>
      <c r="S18" s="946">
        <f>IFERROR(VLOOKUP(S$9,Referral_Source!$BC$32:$BM$52,6,FALSE),"")</f>
        <v>0.15782907049282596</v>
      </c>
      <c r="T18" s="946">
        <f>IFERROR(VLOOKUP(T$9,Referral_Source!$BC$32:$BM$52,6,FALSE),"")</f>
        <v>0.11978312949186735</v>
      </c>
      <c r="U18" s="946">
        <f>IFERROR(VLOOKUP(U$9,Referral_Source!$BC$32:$BM$52,6,FALSE),"")</f>
        <v>0.11969111969111969</v>
      </c>
      <c r="V18" s="947">
        <f>IFERROR(VLOOKUP(V$9,Referral_Source!$BC$32:$BM$52,6,FALSE),"")</f>
        <v>0.1227390180878553</v>
      </c>
      <c r="W18" s="969">
        <f>IFERROR(VLOOKUP(W$9,Referral_Source!$BC$32:$BM$52,6,FALSE),"")</f>
        <v>0.13180714916151809</v>
      </c>
      <c r="X18" s="975">
        <f>IFERROR(VLOOKUP(X$9,Referral_Source!$BC$32:$BM$52,6,FALSE),"")</f>
        <v>0.14147878943813721</v>
      </c>
      <c r="Y18" s="319"/>
      <c r="Z18" s="320"/>
      <c r="AU18" s="290">
        <f t="shared" si="0"/>
        <v>10</v>
      </c>
    </row>
    <row r="19" spans="1:47" s="290" customFormat="1" ht="21" customHeight="1">
      <c r="A19" s="318"/>
      <c r="B19" s="1618"/>
      <c r="C19" s="1364" t="s">
        <v>191</v>
      </c>
      <c r="D19" s="945">
        <f>IFERROR(VLOOKUP(D$9,Referral_Source!$BC$32:$BM$52,7,FALSE),"")</f>
        <v>0.22898742554599602</v>
      </c>
      <c r="E19" s="946">
        <f>IFERROR(VLOOKUP(E$9,Referral_Source!$BC$32:$BM$52,7,FALSE),"")</f>
        <v>0.31593490942585201</v>
      </c>
      <c r="F19" s="946">
        <f>IFERROR(VLOOKUP(F$9,Referral_Source!$BC$32:$BM$52,7,FALSE),"")</f>
        <v>0.35861027190332329</v>
      </c>
      <c r="G19" s="946">
        <f>IFERROR(VLOOKUP(G$9,Referral_Source!$BC$32:$BM$52,7,FALSE),"")</f>
        <v>0.29900255161215494</v>
      </c>
      <c r="H19" s="946" t="str">
        <f>IFERROR(VLOOKUP(H$9,Referral_Source!$BC$32:$BM$52,7,FALSE),"")</f>
        <v/>
      </c>
      <c r="I19" s="946">
        <f>IFERROR(VLOOKUP(I$9,Referral_Source!$BC$32:$BM$52,7,FALSE),"")</f>
        <v>0.22316126084970306</v>
      </c>
      <c r="J19" s="946">
        <f>IFERROR(VLOOKUP(J$9,Referral_Source!$BC$32:$BM$52,7,FALSE),"")</f>
        <v>0.21313923105636431</v>
      </c>
      <c r="K19" s="946">
        <f>IFERROR(VLOOKUP(K$9,Referral_Source!$BC$32:$BM$52,7,FALSE),"")</f>
        <v>0.23736513344690516</v>
      </c>
      <c r="L19" s="946">
        <f>IFERROR(VLOOKUP(L$9,Referral_Source!$BC$32:$BM$52,7,FALSE),"")</f>
        <v>0.32085909534656687</v>
      </c>
      <c r="M19" s="946">
        <f>IFERROR(VLOOKUP(M$9,Referral_Source!$BC$32:$BM$52,7,FALSE),"")</f>
        <v>0.28769566078858727</v>
      </c>
      <c r="N19" s="946">
        <f>IFERROR(VLOOKUP(N$9,Referral_Source!$BC$32:$BM$52,7,FALSE),"")</f>
        <v>0.29100529100529099</v>
      </c>
      <c r="O19" s="946">
        <f>IFERROR(VLOOKUP(O$9,Referral_Source!$BC$32:$BM$52,7,FALSE),"")</f>
        <v>0.34532134532134534</v>
      </c>
      <c r="P19" s="946">
        <f>IFERROR(VLOOKUP(P$9,Referral_Source!$BC$32:$BM$52,7,FALSE),"")</f>
        <v>0.38943598925693823</v>
      </c>
      <c r="Q19" s="946">
        <f>IFERROR(VLOOKUP(Q$9,Referral_Source!$BC$32:$BM$52,7,FALSE),"")</f>
        <v>0.27537168713639304</v>
      </c>
      <c r="R19" s="946">
        <f>IFERROR(VLOOKUP(R$9,Referral_Source!$BC$32:$BM$52,7,FALSE),"")</f>
        <v>0.29614683676126008</v>
      </c>
      <c r="S19" s="946">
        <f>IFERROR(VLOOKUP(S$9,Referral_Source!$BC$32:$BM$52,7,FALSE),"")</f>
        <v>0.32252027448533999</v>
      </c>
      <c r="T19" s="946">
        <f>IFERROR(VLOOKUP(T$9,Referral_Source!$BC$32:$BM$52,7,FALSE),"")</f>
        <v>0.28369688563863321</v>
      </c>
      <c r="U19" s="946">
        <f>IFERROR(VLOOKUP(U$9,Referral_Source!$BC$32:$BM$52,7,FALSE),"")</f>
        <v>0.33039161610590184</v>
      </c>
      <c r="V19" s="947">
        <f>IFERROR(VLOOKUP(V$9,Referral_Source!$BC$32:$BM$52,7,FALSE),"")</f>
        <v>0.31136950904392763</v>
      </c>
      <c r="W19" s="969">
        <f>IFERROR(VLOOKUP(W$9,Referral_Source!$BC$32:$BM$52,7,FALSE),"")</f>
        <v>0.27629082082965578</v>
      </c>
      <c r="X19" s="975">
        <f>IFERROR(VLOOKUP(X$9,Referral_Source!$BC$32:$BM$52,7,FALSE),"")</f>
        <v>0.28496767761232433</v>
      </c>
      <c r="Y19" s="319"/>
      <c r="Z19" s="320"/>
      <c r="AU19" s="290">
        <f t="shared" si="0"/>
        <v>11</v>
      </c>
    </row>
    <row r="20" spans="1:47" s="290" customFormat="1" ht="21" customHeight="1">
      <c r="A20" s="318"/>
      <c r="B20" s="1618"/>
      <c r="C20" s="1364" t="s">
        <v>192</v>
      </c>
      <c r="D20" s="945">
        <f>IFERROR(VLOOKUP(D$9,Referral_Source!$BC$32:$BM$52,8,FALSE),"")</f>
        <v>2.5810721376571807E-2</v>
      </c>
      <c r="E20" s="946">
        <f>IFERROR(VLOOKUP(E$9,Referral_Source!$BC$32:$BM$52,8,FALSE),"")</f>
        <v>1.1053116364752841E-2</v>
      </c>
      <c r="F20" s="946">
        <f>IFERROR(VLOOKUP(F$9,Referral_Source!$BC$32:$BM$52,8,FALSE),"")</f>
        <v>3.1722054380664652E-2</v>
      </c>
      <c r="G20" s="946">
        <f>IFERROR(VLOOKUP(G$9,Referral_Source!$BC$32:$BM$52,8,FALSE),"")</f>
        <v>4.4537230340988172E-2</v>
      </c>
      <c r="H20" s="946" t="str">
        <f>IFERROR(VLOOKUP(H$9,Referral_Source!$BC$32:$BM$52,8,FALSE),"")</f>
        <v/>
      </c>
      <c r="I20" s="946">
        <f>IFERROR(VLOOKUP(I$9,Referral_Source!$BC$32:$BM$52,8,FALSE),"")</f>
        <v>3.4033805390589311E-2</v>
      </c>
      <c r="J20" s="946">
        <f>IFERROR(VLOOKUP(J$9,Referral_Source!$BC$32:$BM$52,8,FALSE),"")</f>
        <v>0.1346273485131268</v>
      </c>
      <c r="K20" s="946">
        <f>IFERROR(VLOOKUP(K$9,Referral_Source!$BC$32:$BM$52,8,FALSE),"")</f>
        <v>4.2589437819420782E-2</v>
      </c>
      <c r="L20" s="946">
        <f>IFERROR(VLOOKUP(L$9,Referral_Source!$BC$32:$BM$52,8,FALSE),"")</f>
        <v>3.6771884152294175E-2</v>
      </c>
      <c r="M20" s="946">
        <f>IFERROR(VLOOKUP(M$9,Referral_Source!$BC$32:$BM$52,8,FALSE),"")</f>
        <v>4.0221914008321778E-2</v>
      </c>
      <c r="N20" s="946">
        <f>IFERROR(VLOOKUP(N$9,Referral_Source!$BC$32:$BM$52,8,FALSE),"")</f>
        <v>4.1005291005291003E-2</v>
      </c>
      <c r="O20" s="946">
        <f>IFERROR(VLOOKUP(O$9,Referral_Source!$BC$32:$BM$52,8,FALSE),"")</f>
        <v>3.996003996003996E-2</v>
      </c>
      <c r="P20" s="946">
        <f>IFERROR(VLOOKUP(P$9,Referral_Source!$BC$32:$BM$52,8,FALSE),"")</f>
        <v>2.5962399283795883E-2</v>
      </c>
      <c r="Q20" s="946">
        <f>IFERROR(VLOOKUP(Q$9,Referral_Source!$BC$32:$BM$52,8,FALSE),"")</f>
        <v>3.3613445378151259E-2</v>
      </c>
      <c r="R20" s="946">
        <f>IFERROR(VLOOKUP(R$9,Referral_Source!$BC$32:$BM$52,8,FALSE),"")</f>
        <v>3.3975527206456649E-2</v>
      </c>
      <c r="S20" s="946">
        <f>IFERROR(VLOOKUP(S$9,Referral_Source!$BC$32:$BM$52,8,FALSE),"")</f>
        <v>4.8658764815970056E-2</v>
      </c>
      <c r="T20" s="946">
        <f>IFERROR(VLOOKUP(T$9,Referral_Source!$BC$32:$BM$52,8,FALSE),"")</f>
        <v>5.5478502080443829E-3</v>
      </c>
      <c r="U20" s="946">
        <f>IFERROR(VLOOKUP(U$9,Referral_Source!$BC$32:$BM$52,8,FALSE),"")</f>
        <v>1.2134583563154992E-2</v>
      </c>
      <c r="V20" s="947">
        <f>IFERROR(VLOOKUP(V$9,Referral_Source!$BC$32:$BM$52,8,FALSE),"")</f>
        <v>4.3927648578811367E-2</v>
      </c>
      <c r="W20" s="969">
        <f>IFERROR(VLOOKUP(W$9,Referral_Source!$BC$32:$BM$52,8,FALSE),"")</f>
        <v>5.8704766107678732E-2</v>
      </c>
      <c r="X20" s="975">
        <f>IFERROR(VLOOKUP(X$9,Referral_Source!$BC$32:$BM$52,8,FALSE),"")</f>
        <v>4.4366899302093719E-2</v>
      </c>
      <c r="Y20" s="319"/>
      <c r="Z20" s="320"/>
      <c r="AU20" s="290">
        <f t="shared" si="0"/>
        <v>12</v>
      </c>
    </row>
    <row r="21" spans="1:47" s="290" customFormat="1" ht="21" customHeight="1">
      <c r="A21" s="318"/>
      <c r="B21" s="1618"/>
      <c r="C21" s="1364" t="s">
        <v>193</v>
      </c>
      <c r="D21" s="945">
        <f>IFERROR(VLOOKUP(D$9,Referral_Source!$BC$32:$BM$52,9,FALSE),"")</f>
        <v>2.6472534745201854E-2</v>
      </c>
      <c r="E21" s="946">
        <f>IFERROR(VLOOKUP(E$9,Referral_Source!$BC$32:$BM$52,9,FALSE),"")</f>
        <v>0</v>
      </c>
      <c r="F21" s="946">
        <f>IFERROR(VLOOKUP(F$9,Referral_Source!$BC$32:$BM$52,9,FALSE),"")</f>
        <v>3.8217522658610274E-2</v>
      </c>
      <c r="G21" s="946">
        <f>IFERROR(VLOOKUP(G$9,Referral_Source!$BC$32:$BM$52,9,FALSE),"")</f>
        <v>2.7835768963117607E-2</v>
      </c>
      <c r="H21" s="946" t="str">
        <f>IFERROR(VLOOKUP(H$9,Referral_Source!$BC$32:$BM$52,9,FALSE),"")</f>
        <v/>
      </c>
      <c r="I21" s="946">
        <f>IFERROR(VLOOKUP(I$9,Referral_Source!$BC$32:$BM$52,9,FALSE),"")</f>
        <v>8.063042485153038E-2</v>
      </c>
      <c r="J21" s="946">
        <f>IFERROR(VLOOKUP(J$9,Referral_Source!$BC$32:$BM$52,9,FALSE),"")</f>
        <v>2.6875699888017916E-2</v>
      </c>
      <c r="K21" s="946">
        <f>IFERROR(VLOOKUP(K$9,Referral_Source!$BC$32:$BM$52,9,FALSE),"")</f>
        <v>2.4796517130418323E-2</v>
      </c>
      <c r="L21" s="946">
        <f>IFERROR(VLOOKUP(L$9,Referral_Source!$BC$32:$BM$52,9,FALSE),"")</f>
        <v>3.644646924829157E-2</v>
      </c>
      <c r="M21" s="946">
        <f>IFERROR(VLOOKUP(M$9,Referral_Source!$BC$32:$BM$52,9,FALSE),"")</f>
        <v>2.3380225876758469E-2</v>
      </c>
      <c r="N21" s="946">
        <f>IFERROR(VLOOKUP(N$9,Referral_Source!$BC$32:$BM$52,9,FALSE),"")</f>
        <v>3.6706349206349208E-2</v>
      </c>
      <c r="O21" s="946">
        <f>IFERROR(VLOOKUP(O$9,Referral_Source!$BC$32:$BM$52,9,FALSE),"")</f>
        <v>3.3633033633033632E-2</v>
      </c>
      <c r="P21" s="946">
        <f>IFERROR(VLOOKUP(P$9,Referral_Source!$BC$32:$BM$52,9,FALSE),"")</f>
        <v>5.1626380185019395E-2</v>
      </c>
      <c r="Q21" s="946">
        <f>IFERROR(VLOOKUP(Q$9,Referral_Source!$BC$32:$BM$52,9,FALSE),"")</f>
        <v>3.8138332255979318E-2</v>
      </c>
      <c r="R21" s="946">
        <f>IFERROR(VLOOKUP(R$9,Referral_Source!$BC$32:$BM$52,9,FALSE),"")</f>
        <v>8.1489195521999486E-2</v>
      </c>
      <c r="S21" s="946">
        <f>IFERROR(VLOOKUP(S$9,Referral_Source!$BC$32:$BM$52,9,FALSE),"")</f>
        <v>1.3100436681222707E-2</v>
      </c>
      <c r="T21" s="946">
        <f>IFERROR(VLOOKUP(T$9,Referral_Source!$BC$32:$BM$52,9,FALSE),"")</f>
        <v>0.12533097969991175</v>
      </c>
      <c r="U21" s="946">
        <f>IFERROR(VLOOKUP(U$9,Referral_Source!$BC$32:$BM$52,9,FALSE),"")</f>
        <v>4.7986762272476557E-2</v>
      </c>
      <c r="V21" s="947">
        <f>IFERROR(VLOOKUP(V$9,Referral_Source!$BC$32:$BM$52,9,FALSE),"")</f>
        <v>1.4857881136950904E-2</v>
      </c>
      <c r="W21" s="969">
        <f>IFERROR(VLOOKUP(W$9,Referral_Source!$BC$32:$BM$52,9,FALSE),"")</f>
        <v>4.4450573698146513E-2</v>
      </c>
      <c r="X21" s="975">
        <f>IFERROR(VLOOKUP(X$9,Referral_Source!$BC$32:$BM$52,9,FALSE),"")</f>
        <v>4.2003023188499022E-2</v>
      </c>
      <c r="Y21" s="319"/>
      <c r="Z21" s="320"/>
      <c r="AU21" s="290">
        <f t="shared" si="0"/>
        <v>13</v>
      </c>
    </row>
    <row r="22" spans="1:47" s="290" customFormat="1" ht="21" customHeight="1">
      <c r="A22" s="318"/>
      <c r="B22" s="1618"/>
      <c r="C22" s="1364" t="s">
        <v>194</v>
      </c>
      <c r="D22" s="945">
        <f>IFERROR(VLOOKUP(D$9,Referral_Source!$BC$32:$BM$52,10,FALSE),"")</f>
        <v>9.9272005294506957E-3</v>
      </c>
      <c r="E22" s="946">
        <f>IFERROR(VLOOKUP(E$9,Referral_Source!$BC$32:$BM$52,10,FALSE),"")</f>
        <v>1.6579674547129261E-2</v>
      </c>
      <c r="F22" s="946">
        <f>IFERROR(VLOOKUP(F$9,Referral_Source!$BC$32:$BM$52,10,FALSE),"")</f>
        <v>6.3444108761329309E-3</v>
      </c>
      <c r="G22" s="946">
        <f>IFERROR(VLOOKUP(G$9,Referral_Source!$BC$32:$BM$52,10,FALSE),"")</f>
        <v>2.1572720946416143E-2</v>
      </c>
      <c r="H22" s="946" t="str">
        <f>IFERROR(VLOOKUP(H$9,Referral_Source!$BC$32:$BM$52,10,FALSE),"")</f>
        <v/>
      </c>
      <c r="I22" s="946">
        <f>IFERROR(VLOOKUP(I$9,Referral_Source!$BC$32:$BM$52,10,FALSE),"")</f>
        <v>1.8501598903608953E-2</v>
      </c>
      <c r="J22" s="946">
        <f>IFERROR(VLOOKUP(J$9,Referral_Source!$BC$32:$BM$52,10,FALSE),"")</f>
        <v>6.9262991995354814E-3</v>
      </c>
      <c r="K22" s="946">
        <f>IFERROR(VLOOKUP(K$9,Referral_Source!$BC$32:$BM$52,10,FALSE),"")</f>
        <v>4.240015142911225E-2</v>
      </c>
      <c r="L22" s="946">
        <f>IFERROR(VLOOKUP(L$9,Referral_Source!$BC$32:$BM$52,10,FALSE),"")</f>
        <v>2.0826553856166611E-2</v>
      </c>
      <c r="M22" s="946">
        <f>IFERROR(VLOOKUP(M$9,Referral_Source!$BC$32:$BM$52,10,FALSE),"")</f>
        <v>1.8823063205864871E-2</v>
      </c>
      <c r="N22" s="946">
        <f>IFERROR(VLOOKUP(N$9,Referral_Source!$BC$32:$BM$52,10,FALSE),"")</f>
        <v>3.1746031746031744E-2</v>
      </c>
      <c r="O22" s="946">
        <f>IFERROR(VLOOKUP(O$9,Referral_Source!$BC$32:$BM$52,10,FALSE),"")</f>
        <v>1.8648018648018648E-2</v>
      </c>
      <c r="P22" s="946">
        <f>IFERROR(VLOOKUP(P$9,Referral_Source!$BC$32:$BM$52,10,FALSE),"")</f>
        <v>2.0889286780065653E-3</v>
      </c>
      <c r="Q22" s="946">
        <f>IFERROR(VLOOKUP(Q$9,Referral_Source!$BC$32:$BM$52,10,FALSE),"")</f>
        <v>6.7873303167420816E-3</v>
      </c>
      <c r="R22" s="946">
        <f>IFERROR(VLOOKUP(R$9,Referral_Source!$BC$32:$BM$52,10,FALSE),"")</f>
        <v>1.1845873470450404E-2</v>
      </c>
      <c r="S22" s="946">
        <f>IFERROR(VLOOKUP(S$9,Referral_Source!$BC$32:$BM$52,10,FALSE),"")</f>
        <v>2.3705552089831567E-2</v>
      </c>
      <c r="T22" s="946">
        <f>IFERROR(VLOOKUP(T$9,Referral_Source!$BC$32:$BM$52,10,FALSE),"")</f>
        <v>0</v>
      </c>
      <c r="U22" s="946">
        <f>IFERROR(VLOOKUP(U$9,Referral_Source!$BC$32:$BM$52,10,FALSE),"")</f>
        <v>7.7220077220077222E-3</v>
      </c>
      <c r="V22" s="947">
        <f>IFERROR(VLOOKUP(V$9,Referral_Source!$BC$32:$BM$52,10,FALSE),"")</f>
        <v>7.1059431524547806E-3</v>
      </c>
      <c r="W22" s="969">
        <f>IFERROR(VLOOKUP(W$9,Referral_Source!$BC$32:$BM$52,10,FALSE),"")</f>
        <v>1.2897175639894086E-2</v>
      </c>
      <c r="X22" s="975">
        <f>IFERROR(VLOOKUP(X$9,Referral_Source!$BC$32:$BM$52,10,FALSE),"")</f>
        <v>1.6129032258064516E-2</v>
      </c>
      <c r="Y22" s="319"/>
      <c r="Z22" s="320"/>
      <c r="AU22" s="290">
        <f t="shared" si="0"/>
        <v>14</v>
      </c>
    </row>
    <row r="23" spans="1:47" s="290" customFormat="1" ht="21" customHeight="1" thickBot="1">
      <c r="A23" s="318"/>
      <c r="B23" s="1619"/>
      <c r="C23" s="1366" t="s">
        <v>195</v>
      </c>
      <c r="D23" s="948">
        <f>IFERROR(VLOOKUP(D$9,Referral_Source!$BC$32:$BM$52,11,FALSE),"")</f>
        <v>0</v>
      </c>
      <c r="E23" s="949">
        <f>IFERROR(VLOOKUP(E$9,Referral_Source!$BC$32:$BM$52,11,FALSE),"")</f>
        <v>1.013202333435677E-2</v>
      </c>
      <c r="F23" s="949">
        <f>IFERROR(VLOOKUP(F$9,Referral_Source!$BC$32:$BM$52,11,FALSE),"")</f>
        <v>3.9274924471299098E-3</v>
      </c>
      <c r="G23" s="949">
        <f>IFERROR(VLOOKUP(G$9,Referral_Source!$BC$32:$BM$52,11,FALSE),"")</f>
        <v>5.3351890512642079E-3</v>
      </c>
      <c r="H23" s="949" t="str">
        <f>IFERROR(VLOOKUP(H$9,Referral_Source!$BC$32:$BM$52,11,FALSE),"")</f>
        <v/>
      </c>
      <c r="I23" s="949">
        <f>IFERROR(VLOOKUP(I$9,Referral_Source!$BC$32:$BM$52,11,FALSE),"")</f>
        <v>5.9387848332571949E-3</v>
      </c>
      <c r="J23" s="949">
        <f>IFERROR(VLOOKUP(J$9,Referral_Source!$BC$32:$BM$52,11,FALSE),"")</f>
        <v>2.189871842727386E-2</v>
      </c>
      <c r="K23" s="949">
        <f>IFERROR(VLOOKUP(K$9,Referral_Source!$BC$32:$BM$52,11,FALSE),"")</f>
        <v>1.5142911224682945E-3</v>
      </c>
      <c r="L23" s="949">
        <f>IFERROR(VLOOKUP(L$9,Referral_Source!$BC$32:$BM$52,11,FALSE),"")</f>
        <v>0</v>
      </c>
      <c r="M23" s="949">
        <f>IFERROR(VLOOKUP(M$9,Referral_Source!$BC$32:$BM$52,11,FALSE),"")</f>
        <v>4.359025163463444E-3</v>
      </c>
      <c r="N23" s="949">
        <f>IFERROR(VLOOKUP(N$9,Referral_Source!$BC$32:$BM$52,11,FALSE),"")</f>
        <v>0</v>
      </c>
      <c r="O23" s="949">
        <f>IFERROR(VLOOKUP(O$9,Referral_Source!$BC$32:$BM$52,11,FALSE),"")</f>
        <v>0</v>
      </c>
      <c r="P23" s="949">
        <f>IFERROR(VLOOKUP(P$9,Referral_Source!$BC$32:$BM$52,11,FALSE),"")</f>
        <v>0</v>
      </c>
      <c r="Q23" s="949">
        <f>IFERROR(VLOOKUP(Q$9,Referral_Source!$BC$32:$BM$52,11,FALSE),"")</f>
        <v>0</v>
      </c>
      <c r="R23" s="949">
        <f>IFERROR(VLOOKUP(R$9,Referral_Source!$BC$32:$BM$52,11,FALSE),"")</f>
        <v>0</v>
      </c>
      <c r="S23" s="949">
        <f>IFERROR(VLOOKUP(S$9,Referral_Source!$BC$32:$BM$52,11,FALSE),"")</f>
        <v>1.6843418590143482E-2</v>
      </c>
      <c r="T23" s="949">
        <f>IFERROR(VLOOKUP(T$9,Referral_Source!$BC$32:$BM$52,11,FALSE),"")</f>
        <v>6.7204640020173997E-2</v>
      </c>
      <c r="U23" s="949">
        <f>IFERROR(VLOOKUP(U$9,Referral_Source!$BC$32:$BM$52,11,FALSE),"")</f>
        <v>4.6883618312189741E-2</v>
      </c>
      <c r="V23" s="950">
        <f>IFERROR(VLOOKUP(V$9,Referral_Source!$BC$32:$BM$52,11,FALSE),"")</f>
        <v>5.1679586563307496E-3</v>
      </c>
      <c r="W23" s="971">
        <f>IFERROR(VLOOKUP(W$9,Referral_Source!$BC$32:$BM$52,11,FALSE),"")</f>
        <v>1.4552074139452781E-2</v>
      </c>
      <c r="X23" s="978">
        <f>IFERROR(VLOOKUP(X$9,Referral_Source!$BC$32:$BM$52,11,FALSE),"")</f>
        <v>1.156208792975911E-2</v>
      </c>
      <c r="Y23" s="319"/>
      <c r="Z23" s="320"/>
      <c r="AU23" s="290">
        <f t="shared" si="0"/>
        <v>15</v>
      </c>
    </row>
    <row r="24" spans="1:47" s="290" customFormat="1" ht="26.25" customHeight="1">
      <c r="A24" s="318"/>
      <c r="B24" s="1600" t="s">
        <v>196</v>
      </c>
      <c r="C24" s="1367" t="str">
        <f>"Re-referrals to CSC during the "&amp;ReportData!$G$3&amp;", Rate per 10,000 0-17 Year Olds"</f>
        <v>Re-referrals to CSC during the Year ending 31st March, Rate per 10,000 0-17 Year Olds</v>
      </c>
      <c r="D24" s="936">
        <f>IFERROR(VLOOKUP(D9,'Re-referrals'!$B$11:$O$31,14,FALSE),"")</f>
        <v>131.25283624812371</v>
      </c>
      <c r="E24" s="937">
        <f>IFERROR(VLOOKUP(E9,'Re-referrals'!$B$11:$O$31,14,FALSE),"")</f>
        <v>171.0024428920413</v>
      </c>
      <c r="F24" s="937">
        <f>IFERROR(VLOOKUP(F9,'Re-referrals'!$B$11:$O$31,14,FALSE),"")</f>
        <v>120.75288365095285</v>
      </c>
      <c r="G24" s="937">
        <f>IFERROR(VLOOKUP(G9,'Re-referrals'!$B$11:$O$31,14,FALSE),"")</f>
        <v>63.02723780476034</v>
      </c>
      <c r="H24" s="937" t="str">
        <f>IFERROR(VLOOKUP(H9,'Re-referrals'!$B$11:$O$31,14,FALSE),"")</f>
        <v/>
      </c>
      <c r="I24" s="937">
        <f>IFERROR(VLOOKUP(I9,'Re-referrals'!$B$11:$O$31,14,FALSE),"")</f>
        <v>848.19523850157873</v>
      </c>
      <c r="J24" s="937">
        <f>IFERROR(VLOOKUP(J9,'Re-referrals'!$B$11:$O$31,14,FALSE),"")</f>
        <v>161.19678927000675</v>
      </c>
      <c r="K24" s="937">
        <f>IFERROR(VLOOKUP(K9,'Re-referrals'!$B$11:$O$31,14,FALSE),"")</f>
        <v>189.39223536821271</v>
      </c>
      <c r="L24" s="937">
        <f>IFERROR(VLOOKUP(L9,'Re-referrals'!$B$11:$O$31,14,FALSE),"")</f>
        <v>82.146242290204256</v>
      </c>
      <c r="M24" s="937">
        <f>IFERROR(VLOOKUP(M9,'Re-referrals'!$B$11:$O$31,14,FALSE),"")</f>
        <v>61.637323366446999</v>
      </c>
      <c r="N24" s="937">
        <f>IFERROR(VLOOKUP(N9,'Re-referrals'!$B$11:$O$31,14,FALSE),"")</f>
        <v>173.73011558370953</v>
      </c>
      <c r="O24" s="937">
        <f>IFERROR(VLOOKUP(O9,'Re-referrals'!$B$11:$O$31,14,FALSE),"")</f>
        <v>210.92040391257348</v>
      </c>
      <c r="P24" s="937">
        <f>IFERROR(VLOOKUP(P9,'Re-referrals'!$B$11:$O$31,14,FALSE),"")</f>
        <v>171.91018751811637</v>
      </c>
      <c r="Q24" s="937">
        <f>IFERROR(VLOOKUP(Q9,'Re-referrals'!$B$11:$O$31,14,FALSE),"")</f>
        <v>152.46262878923233</v>
      </c>
      <c r="R24" s="937">
        <f>IFERROR(VLOOKUP(R9,'Re-referrals'!$B$11:$O$31,14,FALSE),"")</f>
        <v>47.276340751001236</v>
      </c>
      <c r="S24" s="937">
        <f>IFERROR(VLOOKUP(S9,'Re-referrals'!$B$11:$O$31,14,FALSE),"")</f>
        <v>99.079971691436654</v>
      </c>
      <c r="T24" s="937">
        <f>IFERROR(VLOOKUP(T9,'Re-referrals'!$B$11:$O$31,14,FALSE),"")</f>
        <v>75.24803360743654</v>
      </c>
      <c r="U24" s="937">
        <f>IFERROR(VLOOKUP(U9,'Re-referrals'!$B$11:$O$31,14,FALSE),"")</f>
        <v>119.59977830284997</v>
      </c>
      <c r="V24" s="938">
        <f>IFERROR(VLOOKUP(V9,'Re-referrals'!$B$11:$O$31,14,FALSE),"")</f>
        <v>66.952948238444847</v>
      </c>
      <c r="W24" s="973">
        <f>IFERROR(VLOOKUP(W9,'Re-referrals'!$B$11:$O$31,14,FALSE),"")</f>
        <v>189.68480971637101</v>
      </c>
      <c r="X24" s="1006">
        <f>IFERROR(VLOOKUP(X9,'Re-referrals'!$B$11:$O$31,14,FALSE),"")</f>
        <v>115.9130788590646</v>
      </c>
      <c r="Y24" s="319"/>
      <c r="Z24" s="320"/>
      <c r="AU24" s="290">
        <f t="shared" si="0"/>
        <v>16</v>
      </c>
    </row>
    <row r="25" spans="1:47" s="290" customFormat="1" ht="26.25" customHeight="1" thickBot="1">
      <c r="A25" s="318"/>
      <c r="B25" s="1601"/>
      <c r="C25" s="1369" t="s">
        <v>680</v>
      </c>
      <c r="D25" s="948">
        <f>IFERROR(VLOOKUP(D9,'Re-referrals'!$B$106:$H$128,7,FALSE),"")</f>
        <v>0.24884182660489743</v>
      </c>
      <c r="E25" s="949">
        <f>IFERROR(VLOOKUP(E9,'Re-referrals'!$B$106:$H$128,7,FALSE),"")</f>
        <v>0.24501074608535461</v>
      </c>
      <c r="F25" s="949">
        <f>IFERROR(VLOOKUP(F9,'Re-referrals'!$B$106:$H$128,7,FALSE),"")</f>
        <v>0.23277945619335347</v>
      </c>
      <c r="G25" s="949">
        <f>IFERROR(VLOOKUP(G9,'Re-referrals'!$B$106:$H$128,7,FALSE),"")</f>
        <v>0.15147297610763164</v>
      </c>
      <c r="H25" s="949" t="str">
        <f>IFERROR(VLOOKUP(H9,'Re-referrals'!$B$106:$H$128,7,FALSE),"")</f>
        <v/>
      </c>
      <c r="I25" s="949">
        <f>IFERROR(VLOOKUP(I9,'Re-referrals'!$B$106:$H$128,7,FALSE),"")</f>
        <v>0.45408862494289631</v>
      </c>
      <c r="J25" s="949">
        <f>IFERROR(VLOOKUP(J9,'Re-referrals'!$B$106:$H$128,7,FALSE),"")</f>
        <v>0.23288125751731575</v>
      </c>
      <c r="K25" s="949">
        <f>IFERROR(VLOOKUP(K9,'Re-referrals'!$B$106:$H$128,7,FALSE),"")</f>
        <v>0.23906871095968199</v>
      </c>
      <c r="L25" s="949">
        <f>IFERROR(VLOOKUP(L9,'Re-referrals'!$B$106:$H$128,7,FALSE),"")</f>
        <v>0.1920359666024406</v>
      </c>
      <c r="M25" s="949">
        <f>IFERROR(VLOOKUP(M9,'Re-referrals'!$B$106:$H$128,7,FALSE),"")</f>
        <v>0.18624925698434713</v>
      </c>
      <c r="N25" s="949">
        <f>IFERROR(VLOOKUP(N9,'Re-referrals'!$B$106:$H$128,7,FALSE),"")</f>
        <v>0.24011760862463247</v>
      </c>
      <c r="O25" s="949">
        <f>IFERROR(VLOOKUP(O9,'Re-referrals'!$B$106:$H$128,7,FALSE),"")</f>
        <v>0.26640026640026643</v>
      </c>
      <c r="P25" s="949">
        <f>IFERROR(VLOOKUP(P9,'Re-referrals'!$B$106:$H$128,7,FALSE),"")</f>
        <v>0.22939601309134186</v>
      </c>
      <c r="Q25" s="949">
        <f>IFERROR(VLOOKUP(Q9,'Re-referrals'!$B$106:$H$128,7,FALSE),"")</f>
        <v>0.2482223658694247</v>
      </c>
      <c r="R25" s="949">
        <f>IFERROR(VLOOKUP(R9,'Re-referrals'!$B$106:$H$128,7,FALSE),"")</f>
        <v>0.16349908877896382</v>
      </c>
      <c r="S25" s="949">
        <f>IFERROR(VLOOKUP(S9,'Re-referrals'!$B$106:$H$128,7,FALSE),"")</f>
        <v>0.2183406113537118</v>
      </c>
      <c r="T25" s="949">
        <f>IFERROR(VLOOKUP(T9,'Re-referrals'!$B$106:$H$128,7,FALSE),"")</f>
        <v>0.16983986886899508</v>
      </c>
      <c r="U25" s="949">
        <f>IFERROR(VLOOKUP(U9,'Re-referrals'!$B$106:$H$128,7,FALSE),"")</f>
        <v>0.22614451185879758</v>
      </c>
      <c r="V25" s="950">
        <f>IFERROR(VLOOKUP(V9,'Re-referrals'!$B$106:$H$128,7,FALSE),"")</f>
        <v>0.18733850129198967</v>
      </c>
      <c r="W25" s="1007">
        <f>IFERROR(VLOOKUP(W9,'Re-referrals'!$B$106:$H$128,7,FALSE),"")</f>
        <v>0.26651818856718634</v>
      </c>
      <c r="X25" s="972">
        <f>IFERROR(VLOOKUP(X9,'Re-referrals'!$B$106:$H$128,7,FALSE),"")</f>
        <v>0.22364443300958384</v>
      </c>
      <c r="Y25" s="319"/>
      <c r="Z25" s="320"/>
      <c r="AU25" s="290">
        <f t="shared" si="0"/>
        <v>17</v>
      </c>
    </row>
    <row r="26" spans="1:47" s="290" customFormat="1" ht="26.25" customHeight="1" thickBot="1">
      <c r="A26" s="318"/>
      <c r="B26" s="1598" t="s">
        <v>1047</v>
      </c>
      <c r="C26" s="1379" t="str">
        <f>"CSC Single Assessments Completed during the "&amp;ReportData!$G$3&amp;", Rate per 10,000 0-17 Year Olds"</f>
        <v>CSC Single Assessments Completed during the Year ending 31st March, Rate per 10,000 0-17 Year Olds</v>
      </c>
      <c r="D26" s="951">
        <f>IFERROR(VLOOKUP(D9,Assessments!$B$11:$O$31,14,FALSE),"")</f>
        <v>496.7361329284044</v>
      </c>
      <c r="E26" s="952">
        <f>IFERROR(VLOOKUP(E9,Assessments!$B$11:$O$31,14,FALSE),"")</f>
        <v>614.79449706424373</v>
      </c>
      <c r="F26" s="952">
        <f>IFERROR(VLOOKUP(F9,Assessments!$B$11:$O$31,14,FALSE),"")</f>
        <v>673.1130892678035</v>
      </c>
      <c r="G26" s="952">
        <f>IFERROR(VLOOKUP(G9,Assessments!$B$11:$O$31,14,FALSE),"")</f>
        <v>407.60187633920816</v>
      </c>
      <c r="H26" s="952" t="str">
        <f>IFERROR(VLOOKUP(H9,Assessments!$B$11:$O$31,14,FALSE),"")</f>
        <v/>
      </c>
      <c r="I26" s="952">
        <f>IFERROR(VLOOKUP(I9,Assessments!$B$11:$O$31,14,FALSE),"")</f>
        <v>1693.4038740506869</v>
      </c>
      <c r="J26" s="952">
        <f>IFERROR(VLOOKUP(J9,Assessments!$B$11:$O$31,14,FALSE),"")</f>
        <v>622.39472686976796</v>
      </c>
      <c r="K26" s="952">
        <f>IFERROR(VLOOKUP(K9,Assessments!$B$11:$O$31,14,FALSE),"")</f>
        <v>806.30407725643681</v>
      </c>
      <c r="L26" s="952">
        <f>IFERROR(VLOOKUP(L9,Assessments!$B$11:$O$31,14,FALSE),"")</f>
        <v>495.48745140596458</v>
      </c>
      <c r="M26" s="952">
        <f>IFERROR(VLOOKUP(M9,Assessments!$B$11:$O$31,14,FALSE),"")</f>
        <v>351.85731615356872</v>
      </c>
      <c r="N26" s="952">
        <f>IFERROR(VLOOKUP(N9,Assessments!$B$11:$O$31,14,FALSE),"")</f>
        <v>659.93807171390085</v>
      </c>
      <c r="O26" s="952">
        <f>IFERROR(VLOOKUP(O9,Assessments!$B$11:$O$31,14,FALSE),"")</f>
        <v>729.52094703261366</v>
      </c>
      <c r="P26" s="952">
        <f>IFERROR(VLOOKUP(P9,Assessments!$B$11:$O$31,14,FALSE),"")</f>
        <v>797.34219269102982</v>
      </c>
      <c r="Q26" s="952">
        <f>IFERROR(VLOOKUP(Q9,Assessments!$B$11:$O$31,14,FALSE),"")</f>
        <v>633.07724376153897</v>
      </c>
      <c r="R26" s="952">
        <f>IFERROR(VLOOKUP(R9,Assessments!$B$11:$O$31,14,FALSE),"")</f>
        <v>286.48107440754012</v>
      </c>
      <c r="S26" s="952">
        <f>IFERROR(VLOOKUP(S9,Assessments!$B$11:$O$31,14,FALSE),"")</f>
        <v>681.10403397027608</v>
      </c>
      <c r="T26" s="952">
        <f>IFERROR(VLOOKUP(T9,Assessments!$B$11:$O$31,14,FALSE),"")</f>
        <v>478.3026456918127</v>
      </c>
      <c r="U26" s="952">
        <f>IFERROR(VLOOKUP(U9,Assessments!$B$11:$O$31,14,FALSE),"")</f>
        <v>444.85283393133221</v>
      </c>
      <c r="V26" s="953">
        <f>IFERROR(VLOOKUP(V9,Assessments!$B$11:$O$31,14,FALSE),"")</f>
        <v>363.85464284065199</v>
      </c>
      <c r="W26" s="1008">
        <f>IFERROR(VLOOKUP(W9,Assessments!$B$11:$O$31,14,FALSE),"")</f>
        <v>702.08623936802258</v>
      </c>
      <c r="X26" s="1009">
        <f>IFERROR(VLOOKUP(X9,Assessments!$B$11:$O$31,14,FALSE),"")</f>
        <v>536.03548267029464</v>
      </c>
      <c r="Y26" s="319"/>
      <c r="Z26" s="320"/>
      <c r="AU26" s="290">
        <f t="shared" si="0"/>
        <v>18</v>
      </c>
    </row>
    <row r="27" spans="1:47" s="290" customFormat="1" ht="21" customHeight="1">
      <c r="A27" s="318"/>
      <c r="B27" s="1599"/>
      <c r="C27" s="1363" t="s">
        <v>1048</v>
      </c>
      <c r="D27" s="942">
        <f>IFERROR(VLOOKUP(D$9,Assessments!$B$141:$H$161,3,FALSE),"")</f>
        <v>0.23190442726633873</v>
      </c>
      <c r="E27" s="943">
        <f>IFERROR(VLOOKUP(E$9,Assessments!$B$141:$H$161,3,FALSE),"")</f>
        <v>0.15684907633321715</v>
      </c>
      <c r="F27" s="943">
        <f>IFERROR(VLOOKUP(F$9,Assessments!$B$141:$H$161,3,FALSE),"")</f>
        <v>0.2048894062863795</v>
      </c>
      <c r="G27" s="943">
        <f>IFERROR(VLOOKUP(G$9,Assessments!$B$141:$H$161,3,FALSE),"")</f>
        <v>8.264267108690504E-2</v>
      </c>
      <c r="H27" s="943" t="str">
        <f>IFERROR(VLOOKUP(H$9,Assessments!$B$141:$H$161,3,FALSE),"")</f>
        <v/>
      </c>
      <c r="I27" s="943">
        <f>IFERROR(VLOOKUP(I$9,Assessments!$B$141:$H$161,3,FALSE),"")</f>
        <v>0.4494834971025447</v>
      </c>
      <c r="J27" s="943">
        <f>IFERROR(VLOOKUP(J$9,Assessments!$B$141:$H$161,3,FALSE),"")</f>
        <v>0.13464022140221402</v>
      </c>
      <c r="K27" s="943">
        <f>IFERROR(VLOOKUP(K$9,Assessments!$B$141:$H$161,3,FALSE),"")</f>
        <v>5.4491352055049284E-2</v>
      </c>
      <c r="L27" s="943">
        <f>IFERROR(VLOOKUP(L$9,Assessments!$B$141:$H$161,3,FALSE),"")</f>
        <v>9.3706681452730797E-2</v>
      </c>
      <c r="M27" s="943">
        <f>IFERROR(VLOOKUP(M$9,Assessments!$B$141:$H$161,3,FALSE),"")</f>
        <v>8.6656727543794262E-2</v>
      </c>
      <c r="N27" s="943">
        <f>IFERROR(VLOOKUP(N$9,Assessments!$B$141:$H$161,3,FALSE),"")</f>
        <v>0.19252128841169938</v>
      </c>
      <c r="O27" s="943">
        <f>IFERROR(VLOOKUP(O$9,Assessments!$B$141:$H$161,3,FALSE),"")</f>
        <v>4.6982291290206001E-2</v>
      </c>
      <c r="P27" s="943" t="str">
        <f>IFERROR(VLOOKUP(P$9,Assessments!$B$141:$H$161,3,FALSE),"")</f>
        <v/>
      </c>
      <c r="Q27" s="943">
        <f>IFERROR(VLOOKUP(Q$9,Assessments!$B$141:$H$161,3,FALSE),"")</f>
        <v>0.13609281906553777</v>
      </c>
      <c r="R27" s="943">
        <f>IFERROR(VLOOKUP(R$9,Assessments!$B$141:$H$161,3,FALSE),"")</f>
        <v>6.3592169228747872E-2</v>
      </c>
      <c r="S27" s="943">
        <f>IFERROR(VLOOKUP(S$9,Assessments!$B$141:$H$161,3,FALSE),"")</f>
        <v>0.36159600997506236</v>
      </c>
      <c r="T27" s="943">
        <f>IFERROR(VLOOKUP(T$9,Assessments!$B$141:$H$161,3,FALSE),"")</f>
        <v>6.8792338238729267E-2</v>
      </c>
      <c r="U27" s="943">
        <f>IFERROR(VLOOKUP(U$9,Assessments!$B$141:$H$161,3,FALSE),"")</f>
        <v>0.13836065573770492</v>
      </c>
      <c r="V27" s="944" t="str">
        <f>IFERROR(VLOOKUP(V$9,Assessments!$B$141:$H$161,3,FALSE),"")</f>
        <v/>
      </c>
      <c r="W27" s="983">
        <f>IFERROR(VLOOKUP(W$9,Assessments!$B$141:$H$161,3,FALSE),"")</f>
        <v>0.17123745819397992</v>
      </c>
      <c r="X27" s="984">
        <f>IFERROR(VLOOKUP(X$9,Assessments!$B$141:$H$161,3,FALSE),"")</f>
        <v>0.12951676099259904</v>
      </c>
      <c r="Y27" s="319"/>
      <c r="Z27" s="320"/>
      <c r="AU27" s="290">
        <f t="shared" si="0"/>
        <v>19</v>
      </c>
    </row>
    <row r="28" spans="1:47" s="290" customFormat="1" ht="21" customHeight="1">
      <c r="A28" s="318"/>
      <c r="B28" s="1599"/>
      <c r="C28" s="1364" t="s">
        <v>1262</v>
      </c>
      <c r="D28" s="945">
        <f>IFERROR(VLOOKUP(D$9,Assessments!$B$141:$H$161,4,FALSE),"")</f>
        <v>0.26563598032326069</v>
      </c>
      <c r="E28" s="946">
        <f>IFERROR(VLOOKUP(E$9,Assessments!$B$141:$H$161,4,FALSE),"")</f>
        <v>0.12896479609620076</v>
      </c>
      <c r="F28" s="946">
        <f>IFERROR(VLOOKUP(F$9,Assessments!$B$141:$H$161,4,FALSE),"")</f>
        <v>0.11036088474970897</v>
      </c>
      <c r="G28" s="946">
        <f>IFERROR(VLOOKUP(G$9,Assessments!$B$141:$H$161,4,FALSE),"")</f>
        <v>0.13876391191096377</v>
      </c>
      <c r="H28" s="946" t="str">
        <f>IFERROR(VLOOKUP(H$9,Assessments!$B$141:$H$161,4,FALSE),"")</f>
        <v/>
      </c>
      <c r="I28" s="946">
        <f>IFERROR(VLOOKUP(I$9,Assessments!$B$141:$H$161,4,FALSE),"")</f>
        <v>0.32023179642227262</v>
      </c>
      <c r="J28" s="946">
        <f>IFERROR(VLOOKUP(J$9,Assessments!$B$141:$H$161,4,FALSE),"")</f>
        <v>8.9898523985239856E-2</v>
      </c>
      <c r="K28" s="946">
        <f>IFERROR(VLOOKUP(K$9,Assessments!$B$141:$H$161,4,FALSE),"")</f>
        <v>7.9040357076436668E-2</v>
      </c>
      <c r="L28" s="946">
        <f>IFERROR(VLOOKUP(L$9,Assessments!$B$141:$H$161,4,FALSE),"")</f>
        <v>0.17798724701968394</v>
      </c>
      <c r="M28" s="946">
        <f>IFERROR(VLOOKUP(M$9,Assessments!$B$141:$H$161,4,FALSE),"")</f>
        <v>0.15001863585538577</v>
      </c>
      <c r="N28" s="946">
        <f>IFERROR(VLOOKUP(N$9,Assessments!$B$141:$H$161,4,FALSE),"")</f>
        <v>0.30729359496482783</v>
      </c>
      <c r="O28" s="946">
        <f>IFERROR(VLOOKUP(O$9,Assessments!$B$141:$H$161,4,FALSE),"")</f>
        <v>0.11601011926273942</v>
      </c>
      <c r="P28" s="946">
        <f>IFERROR(VLOOKUP(P$9,Assessments!$B$141:$H$161,4,FALSE),"")</f>
        <v>0.11456196894227952</v>
      </c>
      <c r="Q28" s="946">
        <f>IFERROR(VLOOKUP(Q$9,Assessments!$B$141:$H$161,4,FALSE),"")</f>
        <v>0.13577924114142365</v>
      </c>
      <c r="R28" s="946">
        <f>IFERROR(VLOOKUP(R$9,Assessments!$B$141:$H$161,4,FALSE),"")</f>
        <v>0.11141768492970701</v>
      </c>
      <c r="S28" s="946">
        <f>IFERROR(VLOOKUP(S$9,Assessments!$B$141:$H$161,4,FALSE),"")</f>
        <v>0.16209476309226933</v>
      </c>
      <c r="T28" s="946">
        <f>IFERROR(VLOOKUP(T$9,Assessments!$B$141:$H$161,4,FALSE),"")</f>
        <v>0.16398037841625787</v>
      </c>
      <c r="U28" s="946">
        <f>IFERROR(VLOOKUP(U$9,Assessments!$B$141:$H$161,4,FALSE),"")</f>
        <v>0.23540983606557378</v>
      </c>
      <c r="V28" s="947">
        <f>IFERROR(VLOOKUP(V$9,Assessments!$B$141:$H$161,4,FALSE),"")</f>
        <v>9.4514210178453406E-2</v>
      </c>
      <c r="W28" s="969">
        <f>IFERROR(VLOOKUP(W$9,Assessments!$B$141:$H$161,4,FALSE),"")</f>
        <v>0.22625418060200669</v>
      </c>
      <c r="X28" s="975">
        <f>IFERROR(VLOOKUP(X$9,Assessments!$B$141:$H$161,4,FALSE),"")</f>
        <v>0.17250761863299957</v>
      </c>
      <c r="Y28" s="319"/>
      <c r="Z28" s="320"/>
      <c r="AU28" s="290">
        <f t="shared" ref="AU28:AU84" si="1">ROW(AV28)-8</f>
        <v>20</v>
      </c>
    </row>
    <row r="29" spans="1:47" s="290" customFormat="1" ht="21" customHeight="1">
      <c r="A29" s="318"/>
      <c r="B29" s="1599"/>
      <c r="C29" s="1364" t="s">
        <v>1263</v>
      </c>
      <c r="D29" s="945">
        <f>IFERROR(VLOOKUP(D$9,Assessments!$B$141:$H$161,5,FALSE),"")</f>
        <v>0.14968376669009137</v>
      </c>
      <c r="E29" s="946">
        <f>IFERROR(VLOOKUP(E$9,Assessments!$B$141:$H$161,5,FALSE),"")</f>
        <v>0.15580341582432902</v>
      </c>
      <c r="F29" s="946">
        <f>IFERROR(VLOOKUP(F$9,Assessments!$B$141:$H$161,5,FALSE),"")</f>
        <v>0.15552968568102446</v>
      </c>
      <c r="G29" s="946">
        <f>IFERROR(VLOOKUP(G$9,Assessments!$B$141:$H$161,5,FALSE),"")</f>
        <v>0.14255268766279897</v>
      </c>
      <c r="H29" s="946" t="str">
        <f>IFERROR(VLOOKUP(H$9,Assessments!$B$141:$H$161,5,FALSE),"")</f>
        <v/>
      </c>
      <c r="I29" s="946">
        <f>IFERROR(VLOOKUP(I$9,Assessments!$B$141:$H$161,5,FALSE),"")</f>
        <v>8.1632653061224483E-2</v>
      </c>
      <c r="J29" s="946">
        <f>IFERROR(VLOOKUP(J$9,Assessments!$B$141:$H$161,5,FALSE),"")</f>
        <v>0.17375461254612545</v>
      </c>
      <c r="K29" s="946">
        <f>IFERROR(VLOOKUP(K$9,Assessments!$B$141:$H$161,5,FALSE),"")</f>
        <v>0.12032732006695183</v>
      </c>
      <c r="L29" s="946">
        <f>IFERROR(VLOOKUP(L$9,Assessments!$B$141:$H$161,5,FALSE),"")</f>
        <v>0.2173551427779318</v>
      </c>
      <c r="M29" s="946">
        <f>IFERROR(VLOOKUP(M$9,Assessments!$B$141:$H$161,5,FALSE),"")</f>
        <v>0.1738725307491614</v>
      </c>
      <c r="N29" s="946">
        <f>IFERROR(VLOOKUP(N$9,Assessments!$B$141:$H$161,5,FALSE),"")</f>
        <v>0.24879674194742687</v>
      </c>
      <c r="O29" s="946">
        <f>IFERROR(VLOOKUP(O$9,Assessments!$B$141:$H$161,5,FALSE),"")</f>
        <v>0.14889772316588362</v>
      </c>
      <c r="P29" s="946">
        <f>IFERROR(VLOOKUP(P$9,Assessments!$B$141:$H$161,5,FALSE),"")</f>
        <v>0.27160855552300028</v>
      </c>
      <c r="Q29" s="946">
        <f>IFERROR(VLOOKUP(Q$9,Assessments!$B$141:$H$161,5,FALSE),"")</f>
        <v>0.16023831922232676</v>
      </c>
      <c r="R29" s="946">
        <f>IFERROR(VLOOKUP(R$9,Assessments!$B$141:$H$161,5,FALSE),"")</f>
        <v>0.10800157666535277</v>
      </c>
      <c r="S29" s="946">
        <f>IFERROR(VLOOKUP(S$9,Assessments!$B$141:$H$161,5,FALSE),"")</f>
        <v>0.14256026600166252</v>
      </c>
      <c r="T29" s="946">
        <f>IFERROR(VLOOKUP(T$9,Assessments!$B$141:$H$161,5,FALSE),"")</f>
        <v>0.16748423265592152</v>
      </c>
      <c r="U29" s="946">
        <f>IFERROR(VLOOKUP(U$9,Assessments!$B$141:$H$161,5,FALSE),"")</f>
        <v>0.19409836065573771</v>
      </c>
      <c r="V29" s="947">
        <f>IFERROR(VLOOKUP(V$9,Assessments!$B$141:$H$161,5,FALSE),"")</f>
        <v>0.10508922670191673</v>
      </c>
      <c r="W29" s="969">
        <f>IFERROR(VLOOKUP(W$9,Assessments!$B$141:$H$161,5,FALSE),"")</f>
        <v>0.14096989966555185</v>
      </c>
      <c r="X29" s="975">
        <f>IFERROR(VLOOKUP(X$9,Assessments!$B$141:$H$161,5,FALSE),"")</f>
        <v>0.15952484607251693</v>
      </c>
      <c r="Y29" s="319"/>
      <c r="Z29" s="320"/>
      <c r="AU29" s="290">
        <f t="shared" si="1"/>
        <v>21</v>
      </c>
    </row>
    <row r="30" spans="1:47" s="290" customFormat="1" ht="21" customHeight="1">
      <c r="A30" s="318"/>
      <c r="B30" s="1599"/>
      <c r="C30" s="1364" t="s">
        <v>1264</v>
      </c>
      <c r="D30" s="945">
        <f>IFERROR(VLOOKUP(D$9,Assessments!$B$141:$H$161,6,FALSE),"")</f>
        <v>0.17498243148278286</v>
      </c>
      <c r="E30" s="946">
        <f>IFERROR(VLOOKUP(E$9,Assessments!$B$141:$H$161,6,FALSE),"")</f>
        <v>0.41826420355524574</v>
      </c>
      <c r="F30" s="946">
        <f>IFERROR(VLOOKUP(F$9,Assessments!$B$141:$H$161,6,FALSE),"")</f>
        <v>0.30023282887077996</v>
      </c>
      <c r="G30" s="946">
        <f>IFERROR(VLOOKUP(G$9,Assessments!$B$141:$H$161,6,FALSE),"")</f>
        <v>0.29836609045702106</v>
      </c>
      <c r="H30" s="946" t="str">
        <f>IFERROR(VLOOKUP(H$9,Assessments!$B$141:$H$161,6,FALSE),"")</f>
        <v/>
      </c>
      <c r="I30" s="946">
        <f>IFERROR(VLOOKUP(I$9,Assessments!$B$141:$H$161,6,FALSE),"")</f>
        <v>0.11337868480725624</v>
      </c>
      <c r="J30" s="946">
        <f>IFERROR(VLOOKUP(J$9,Assessments!$B$141:$H$161,6,FALSE),"")</f>
        <v>0.45013837638376386</v>
      </c>
      <c r="K30" s="946">
        <f>IFERROR(VLOOKUP(K$9,Assessments!$B$141:$H$161,6,FALSE),"")</f>
        <v>0.52780360795982895</v>
      </c>
      <c r="L30" s="946">
        <f>IFERROR(VLOOKUP(L$9,Assessments!$B$141:$H$161,6,FALSE),"")</f>
        <v>0.32187413362905459</v>
      </c>
      <c r="M30" s="946">
        <f>IFERROR(VLOOKUP(M$9,Assessments!$B$141:$H$161,6,FALSE),"")</f>
        <v>0.40122996645546033</v>
      </c>
      <c r="N30" s="946">
        <f>IFERROR(VLOOKUP(N$9,Assessments!$B$141:$H$161,6,FALSE),"")</f>
        <v>0.25138837467604591</v>
      </c>
      <c r="O30" s="946">
        <f>IFERROR(VLOOKUP(O$9,Assessments!$B$141:$H$161,6,FALSE),"")</f>
        <v>0.30936031803397179</v>
      </c>
      <c r="P30" s="946">
        <f>IFERROR(VLOOKUP(P$9,Assessments!$B$141:$H$161,6,FALSE),"")</f>
        <v>0.4781716964547319</v>
      </c>
      <c r="Q30" s="946">
        <f>IFERROR(VLOOKUP(Q$9,Assessments!$B$141:$H$161,6,FALSE),"")</f>
        <v>0.4487300094073377</v>
      </c>
      <c r="R30" s="946">
        <f>IFERROR(VLOOKUP(R$9,Assessments!$B$141:$H$161,6,FALSE),"")</f>
        <v>0.56917619235317307</v>
      </c>
      <c r="S30" s="946">
        <f>IFERROR(VLOOKUP(S$9,Assessments!$B$141:$H$161,6,FALSE),"")</f>
        <v>0.30756442227763925</v>
      </c>
      <c r="T30" s="946">
        <f>IFERROR(VLOOKUP(T$9,Assessments!$B$141:$H$161,6,FALSE),"")</f>
        <v>0.49532819434711517</v>
      </c>
      <c r="U30" s="946">
        <f>IFERROR(VLOOKUP(U$9,Assessments!$B$141:$H$161,6,FALSE),"")</f>
        <v>0.33573770491803279</v>
      </c>
      <c r="V30" s="947">
        <f>IFERROR(VLOOKUP(V$9,Assessments!$B$141:$H$161,6,FALSE),"")</f>
        <v>0.61202908129543954</v>
      </c>
      <c r="W30" s="969">
        <f>IFERROR(VLOOKUP(W$9,Assessments!$B$141:$H$161,6,FALSE),"")</f>
        <v>0.32541806020066888</v>
      </c>
      <c r="X30" s="975">
        <f>IFERROR(VLOOKUP(X$9,Assessments!$B$141:$H$161,6,FALSE),"")</f>
        <v>0.38304620934137695</v>
      </c>
      <c r="Y30" s="319"/>
      <c r="Z30" s="320"/>
      <c r="AU30" s="290">
        <f t="shared" si="1"/>
        <v>22</v>
      </c>
    </row>
    <row r="31" spans="1:47" s="290" customFormat="1" ht="21" customHeight="1" thickBot="1">
      <c r="A31" s="318"/>
      <c r="B31" s="1599"/>
      <c r="C31" s="1365" t="s">
        <v>1049</v>
      </c>
      <c r="D31" s="939">
        <f>IFERROR(VLOOKUP(D$9,Assessments!$B$141:$H$161,7,FALSE),"")</f>
        <v>0.17779339423752635</v>
      </c>
      <c r="E31" s="940">
        <f>IFERROR(VLOOKUP(E$9,Assessments!$B$141:$H$161,7,FALSE),"")</f>
        <v>0.14011850819100732</v>
      </c>
      <c r="F31" s="940">
        <f>IFERROR(VLOOKUP(F$9,Assessments!$B$141:$H$161,7,FALSE),"")</f>
        <v>0.2289871944121071</v>
      </c>
      <c r="G31" s="940">
        <f>IFERROR(VLOOKUP(G$9,Assessments!$B$141:$H$161,7,FALSE),"")</f>
        <v>0.33767463888231114</v>
      </c>
      <c r="H31" s="940" t="str">
        <f>IFERROR(VLOOKUP(H$9,Assessments!$B$141:$H$161,7,FALSE),"")</f>
        <v/>
      </c>
      <c r="I31" s="940">
        <f>IFERROR(VLOOKUP(I$9,Assessments!$B$141:$H$161,7,FALSE),"")</f>
        <v>3.5273368606701938E-2</v>
      </c>
      <c r="J31" s="940">
        <f>IFERROR(VLOOKUP(J$9,Assessments!$B$141:$H$161,7,FALSE),"")</f>
        <v>0.15156826568265683</v>
      </c>
      <c r="K31" s="940">
        <f>IFERROR(VLOOKUP(K$9,Assessments!$B$141:$H$161,7,FALSE),"")</f>
        <v>0.2183373628417333</v>
      </c>
      <c r="L31" s="940">
        <f>IFERROR(VLOOKUP(L$9,Assessments!$B$141:$H$161,7,FALSE),"")</f>
        <v>0.18907679512059883</v>
      </c>
      <c r="M31" s="940">
        <f>IFERROR(VLOOKUP(M$9,Assessments!$B$141:$H$161,7,FALSE),"")</f>
        <v>0.18822213939619828</v>
      </c>
      <c r="N31" s="940" t="str">
        <f>IFERROR(VLOOKUP(N$9,Assessments!$B$141:$H$161,7,FALSE),"")</f>
        <v/>
      </c>
      <c r="O31" s="940">
        <f>IFERROR(VLOOKUP(O$9,Assessments!$B$141:$H$161,7,FALSE),"")</f>
        <v>0.37874954824719914</v>
      </c>
      <c r="P31" s="940">
        <f>IFERROR(VLOOKUP(P$9,Assessments!$B$141:$H$161,7,FALSE),"")</f>
        <v>0.13565777907998827</v>
      </c>
      <c r="Q31" s="940">
        <f>IFERROR(VLOOKUP(Q$9,Assessments!$B$141:$H$161,7,FALSE),"")</f>
        <v>0.1191596111633741</v>
      </c>
      <c r="R31" s="940">
        <f>IFERROR(VLOOKUP(R$9,Assessments!$B$141:$H$161,7,FALSE),"")</f>
        <v>0.14781237682301931</v>
      </c>
      <c r="S31" s="940">
        <f>IFERROR(VLOOKUP(S$9,Assessments!$B$141:$H$161,7,FALSE),"")</f>
        <v>2.6184538653366583E-2</v>
      </c>
      <c r="T31" s="940">
        <f>IFERROR(VLOOKUP(T$9,Assessments!$B$141:$H$161,7,FALSE),"")</f>
        <v>0.10441485634197617</v>
      </c>
      <c r="U31" s="940">
        <f>IFERROR(VLOOKUP(U$9,Assessments!$B$141:$H$161,7,FALSE),"")</f>
        <v>9.6393442622950826E-2</v>
      </c>
      <c r="V31" s="941">
        <f>IFERROR(VLOOKUP(V$9,Assessments!$B$141:$H$161,7,FALSE),"")</f>
        <v>0.18836748182419036</v>
      </c>
      <c r="W31" s="976">
        <f>IFERROR(VLOOKUP(W$9,Assessments!$B$141:$H$161,7,FALSE),"")</f>
        <v>0.13612040133779263</v>
      </c>
      <c r="X31" s="977">
        <f>IFERROR(VLOOKUP(X$9,Assessments!$B$141:$H$161,7,FALSE),"")</f>
        <v>0.1554045649605075</v>
      </c>
      <c r="Y31" s="319"/>
      <c r="Z31" s="320"/>
      <c r="AU31" s="290">
        <f t="shared" si="1"/>
        <v>23</v>
      </c>
    </row>
    <row r="32" spans="1:47" s="290" customFormat="1" ht="21.75" customHeight="1">
      <c r="A32" s="318"/>
      <c r="B32" s="696"/>
      <c r="C32" s="697"/>
      <c r="D32" s="698"/>
      <c r="E32" s="698"/>
      <c r="F32" s="698"/>
      <c r="G32" s="698"/>
      <c r="H32" s="698"/>
      <c r="I32" s="698"/>
      <c r="J32" s="698"/>
      <c r="K32" s="698"/>
      <c r="L32" s="698"/>
      <c r="M32" s="698"/>
      <c r="N32" s="698"/>
      <c r="O32" s="698"/>
      <c r="P32" s="698"/>
      <c r="Q32" s="698"/>
      <c r="R32" s="698"/>
      <c r="S32" s="698"/>
      <c r="T32" s="698"/>
      <c r="U32" s="698"/>
      <c r="V32" s="698"/>
      <c r="W32" s="699"/>
      <c r="X32" s="699"/>
      <c r="Y32" s="319"/>
      <c r="Z32" s="320"/>
      <c r="AU32" s="290">
        <f t="shared" si="1"/>
        <v>24</v>
      </c>
    </row>
    <row r="33" spans="1:47" s="290" customFormat="1" ht="15" customHeight="1">
      <c r="A33" s="318"/>
      <c r="B33" s="1344"/>
      <c r="C33" s="1345"/>
      <c r="D33" s="1346"/>
      <c r="E33" s="1346"/>
      <c r="F33" s="1346"/>
      <c r="G33" s="1346"/>
      <c r="H33" s="1346"/>
      <c r="I33" s="1346"/>
      <c r="J33" s="1346"/>
      <c r="K33" s="1346"/>
      <c r="L33" s="1346"/>
      <c r="M33" s="1346"/>
      <c r="N33" s="1346"/>
      <c r="O33" s="1346"/>
      <c r="P33" s="1346"/>
      <c r="Q33" s="1346"/>
      <c r="R33" s="1346"/>
      <c r="S33" s="1346"/>
      <c r="T33" s="1346"/>
      <c r="U33" s="1346"/>
      <c r="V33" s="1346"/>
      <c r="W33" s="1347"/>
      <c r="X33" s="1347"/>
      <c r="Y33" s="319"/>
      <c r="Z33" s="320"/>
      <c r="AU33" s="290">
        <f t="shared" si="1"/>
        <v>25</v>
      </c>
    </row>
    <row r="34" spans="1:47" s="290" customFormat="1" ht="11.25" customHeight="1">
      <c r="A34" s="1592"/>
      <c r="B34" s="1593"/>
      <c r="C34" s="1593"/>
      <c r="D34" s="1593"/>
      <c r="E34" s="1593"/>
      <c r="F34" s="1593"/>
      <c r="G34" s="1593"/>
      <c r="H34" s="1593"/>
      <c r="I34" s="1593"/>
      <c r="J34" s="1593"/>
      <c r="K34" s="1593"/>
      <c r="L34" s="1593"/>
      <c r="M34" s="1593"/>
      <c r="N34" s="1593"/>
      <c r="O34" s="1593"/>
      <c r="P34" s="1593"/>
      <c r="Q34" s="1593"/>
      <c r="R34" s="1593"/>
      <c r="S34" s="1593"/>
      <c r="T34" s="1593"/>
      <c r="U34" s="1593"/>
      <c r="V34" s="1593"/>
      <c r="W34" s="1593"/>
      <c r="X34" s="1593"/>
      <c r="Y34" s="1594"/>
      <c r="Z34" s="320"/>
      <c r="AU34" s="290">
        <f t="shared" si="1"/>
        <v>26</v>
      </c>
    </row>
    <row r="35" spans="1:47" s="290" customFormat="1" ht="11.25" customHeight="1" thickBot="1">
      <c r="A35" s="409"/>
      <c r="B35" s="410"/>
      <c r="C35" s="411"/>
      <c r="D35" s="412"/>
      <c r="E35" s="412"/>
      <c r="F35" s="412"/>
      <c r="G35" s="412"/>
      <c r="H35" s="412"/>
      <c r="I35" s="412"/>
      <c r="J35" s="412"/>
      <c r="K35" s="412"/>
      <c r="L35" s="412"/>
      <c r="M35" s="412"/>
      <c r="N35" s="412"/>
      <c r="O35" s="412"/>
      <c r="P35" s="412"/>
      <c r="Q35" s="412"/>
      <c r="R35" s="412"/>
      <c r="S35" s="412"/>
      <c r="T35" s="412"/>
      <c r="U35" s="412"/>
      <c r="V35" s="412"/>
      <c r="W35" s="413"/>
      <c r="X35" s="413"/>
      <c r="Y35" s="414"/>
      <c r="Z35" s="320"/>
      <c r="AU35" s="290">
        <f t="shared" si="1"/>
        <v>27</v>
      </c>
    </row>
    <row r="36" spans="1:47" ht="73.5" customHeight="1">
      <c r="A36" s="316"/>
      <c r="B36" s="1604" t="s">
        <v>572</v>
      </c>
      <c r="C36" s="1604"/>
      <c r="D36" s="1605" t="s">
        <v>0</v>
      </c>
      <c r="E36" s="1586" t="s">
        <v>28</v>
      </c>
      <c r="F36" s="1586" t="s">
        <v>8</v>
      </c>
      <c r="G36" s="1586" t="s">
        <v>4</v>
      </c>
      <c r="H36" s="1586" t="s">
        <v>6</v>
      </c>
      <c r="I36" s="1586" t="s">
        <v>1</v>
      </c>
      <c r="J36" s="1586" t="s">
        <v>9</v>
      </c>
      <c r="K36" s="1586" t="s">
        <v>2</v>
      </c>
      <c r="L36" s="1586" t="s">
        <v>10</v>
      </c>
      <c r="M36" s="1586" t="s">
        <v>11</v>
      </c>
      <c r="N36" s="1586" t="s">
        <v>12</v>
      </c>
      <c r="O36" s="1586" t="s">
        <v>3</v>
      </c>
      <c r="P36" s="1586" t="s">
        <v>13</v>
      </c>
      <c r="Q36" s="1586" t="s">
        <v>14</v>
      </c>
      <c r="R36" s="1586" t="s">
        <v>7</v>
      </c>
      <c r="S36" s="1586" t="s">
        <v>15</v>
      </c>
      <c r="T36" s="1586" t="s">
        <v>5</v>
      </c>
      <c r="U36" s="1586" t="s">
        <v>27</v>
      </c>
      <c r="V36" s="1602" t="s">
        <v>16</v>
      </c>
      <c r="W36" s="1588" t="s">
        <v>71</v>
      </c>
      <c r="X36" s="1611" t="s">
        <v>109</v>
      </c>
      <c r="Y36" s="314"/>
      <c r="Z36" s="315"/>
      <c r="AA36" s="317" t="s">
        <v>182</v>
      </c>
      <c r="AB36" s="317" t="s">
        <v>0</v>
      </c>
      <c r="AC36" s="317" t="s">
        <v>28</v>
      </c>
      <c r="AD36" s="317" t="s">
        <v>8</v>
      </c>
      <c r="AE36" s="317" t="s">
        <v>4</v>
      </c>
      <c r="AF36" s="317" t="s">
        <v>6</v>
      </c>
      <c r="AG36" s="317" t="s">
        <v>1</v>
      </c>
      <c r="AH36" s="317" t="s">
        <v>9</v>
      </c>
      <c r="AI36" s="317" t="s">
        <v>2</v>
      </c>
      <c r="AJ36" s="317" t="s">
        <v>10</v>
      </c>
      <c r="AK36" s="317" t="s">
        <v>11</v>
      </c>
      <c r="AL36" s="317" t="s">
        <v>12</v>
      </c>
      <c r="AM36" s="317" t="s">
        <v>3</v>
      </c>
      <c r="AN36" s="317" t="s">
        <v>13</v>
      </c>
      <c r="AO36" s="317" t="s">
        <v>14</v>
      </c>
      <c r="AP36" s="317" t="s">
        <v>7</v>
      </c>
      <c r="AQ36" s="317" t="s">
        <v>15</v>
      </c>
      <c r="AR36" s="317" t="s">
        <v>5</v>
      </c>
      <c r="AS36" s="317" t="s">
        <v>27</v>
      </c>
      <c r="AT36" s="317" t="s">
        <v>16</v>
      </c>
      <c r="AU36" s="290">
        <f t="shared" si="1"/>
        <v>28</v>
      </c>
    </row>
    <row r="37" spans="1:47" ht="12.75" customHeight="1" thickBot="1">
      <c r="A37" s="316"/>
      <c r="B37" s="1028" t="s">
        <v>183</v>
      </c>
      <c r="C37" s="1028" t="s">
        <v>184</v>
      </c>
      <c r="D37" s="1606"/>
      <c r="E37" s="1587"/>
      <c r="F37" s="1587"/>
      <c r="G37" s="1587"/>
      <c r="H37" s="1587"/>
      <c r="I37" s="1587"/>
      <c r="J37" s="1587"/>
      <c r="K37" s="1587"/>
      <c r="L37" s="1587"/>
      <c r="M37" s="1587"/>
      <c r="N37" s="1587"/>
      <c r="O37" s="1587"/>
      <c r="P37" s="1587"/>
      <c r="Q37" s="1587"/>
      <c r="R37" s="1587"/>
      <c r="S37" s="1587"/>
      <c r="T37" s="1587"/>
      <c r="U37" s="1587"/>
      <c r="V37" s="1603"/>
      <c r="W37" s="1589"/>
      <c r="X37" s="1612"/>
      <c r="Y37" s="314"/>
      <c r="Z37" s="315"/>
      <c r="AA37" s="317"/>
      <c r="AB37" s="317"/>
      <c r="AC37" s="317"/>
      <c r="AD37" s="317"/>
      <c r="AE37" s="317"/>
      <c r="AF37" s="317"/>
      <c r="AG37" s="317"/>
      <c r="AH37" s="317"/>
      <c r="AI37" s="317"/>
      <c r="AJ37" s="317"/>
      <c r="AK37" s="317"/>
      <c r="AL37" s="317"/>
      <c r="AM37" s="317"/>
      <c r="AN37" s="317"/>
      <c r="AO37" s="317"/>
      <c r="AP37" s="317"/>
      <c r="AQ37" s="317"/>
      <c r="AR37" s="317"/>
      <c r="AS37" s="317"/>
      <c r="AT37" s="317"/>
      <c r="AU37" s="290">
        <f t="shared" si="1"/>
        <v>29</v>
      </c>
    </row>
    <row r="38" spans="1:47" s="290" customFormat="1" ht="26.25" customHeight="1" thickBot="1">
      <c r="A38" s="318"/>
      <c r="B38" s="1381" t="s">
        <v>197</v>
      </c>
      <c r="C38" s="1361" t="str">
        <f>"Children in Need at "&amp;ReportData!$H$3&amp;", Rate per 10,000 0-17 Year Olds"</f>
        <v>Children in Need at 31st March, Rate per 10,000 0-17 Year Olds</v>
      </c>
      <c r="D38" s="936">
        <f>IFERROR(VLOOKUP(D9,'Children in Need'!$B$11:$O$31,14,FALSE),"")</f>
        <v>322.54686354592104</v>
      </c>
      <c r="E38" s="937">
        <f>IFERROR(VLOOKUP(E9,'Children in Need'!$B$11:$O$31,14,FALSE),"")</f>
        <v>426.64895212788753</v>
      </c>
      <c r="F38" s="937">
        <f>IFERROR(VLOOKUP(F9,'Children in Need'!$B$11:$O$31,14,FALSE),"")</f>
        <v>271.8311183550652</v>
      </c>
      <c r="G38" s="937">
        <f>IFERROR(VLOOKUP(G9,'Children in Need'!$B$11:$O$31,14,FALSE),"")</f>
        <v>357.89433044418274</v>
      </c>
      <c r="H38" s="937" t="str">
        <f>IFERROR(VLOOKUP(H9,'Children in Need'!$B$11:$O$31,14,FALSE),"")</f>
        <v/>
      </c>
      <c r="I38" s="937">
        <f>IFERROR(VLOOKUP(I9,'Children in Need'!$B$11:$O$31,14,FALSE),"")</f>
        <v>625.90664732485698</v>
      </c>
      <c r="J38" s="937">
        <f>IFERROR(VLOOKUP(J9,'Children in Need'!$B$11:$O$31,14,FALSE),"")</f>
        <v>336.3744932994959</v>
      </c>
      <c r="K38" s="937">
        <f>IFERROR(VLOOKUP(K9,'Children in Need'!$B$11:$O$31,14,FALSE),"")</f>
        <v>336.94723109451616</v>
      </c>
      <c r="L38" s="937">
        <f>IFERROR(VLOOKUP(L9,'Children in Need'!$B$11:$O$31,14,FALSE),"")</f>
        <v>343.55811365852986</v>
      </c>
      <c r="M38" s="937">
        <f>IFERROR(VLOOKUP(M9,'Children in Need'!$B$11:$O$31,14,FALSE),"")</f>
        <v>253.23759876725353</v>
      </c>
      <c r="N38" s="937">
        <f>IFERROR(VLOOKUP(N9,'Children in Need'!$B$11:$O$31,14,FALSE),"")</f>
        <v>436.33441274493583</v>
      </c>
      <c r="O38" s="937">
        <f>IFERROR(VLOOKUP(O9,'Children in Need'!$B$11:$O$31,14,FALSE),"")</f>
        <v>450.8423633631258</v>
      </c>
      <c r="P38" s="937">
        <f>IFERROR(VLOOKUP(P9,'Children in Need'!$B$11:$O$31,14,FALSE),"")</f>
        <v>385.7388124595866</v>
      </c>
      <c r="Q38" s="937">
        <f>IFERROR(VLOOKUP(Q9,'Children in Need'!$B$11:$O$31,14,FALSE),"")</f>
        <v>408.75071963154869</v>
      </c>
      <c r="R38" s="937">
        <f>IFERROR(VLOOKUP(R9,'Children in Need'!$B$11:$O$31,14,FALSE),"")</f>
        <v>201.30085217862626</v>
      </c>
      <c r="S38" s="937">
        <f>IFERROR(VLOOKUP(S9,'Children in Need'!$B$11:$O$31,14,FALSE),"")</f>
        <v>301.48619957537153</v>
      </c>
      <c r="T38" s="937">
        <f>IFERROR(VLOOKUP(T9,'Children in Need'!$B$11:$O$31,14,FALSE),"")</f>
        <v>341.10207365033966</v>
      </c>
      <c r="U38" s="937">
        <f>IFERROR(VLOOKUP(U9,'Children in Need'!$B$11:$O$31,14,FALSE),"")</f>
        <v>245.61710568536506</v>
      </c>
      <c r="V38" s="938">
        <f>IFERROR(VLOOKUP(V9,'Children in Need'!$B$11:$O$31,14,FALSE),"")</f>
        <v>230.87223530498221</v>
      </c>
      <c r="W38" s="973">
        <f>IFERROR(VLOOKUP(W9,'Children in Need'!$B$11:$O$31,14,FALSE),"")</f>
        <v>369.62412936374869</v>
      </c>
      <c r="X38" s="1006">
        <f>IFERROR(VLOOKUP(X9,'Children in Need'!$B$11:$O$31,14,FALSE),"")</f>
        <v>332.92089790798065</v>
      </c>
      <c r="Y38" s="319"/>
      <c r="Z38" s="320"/>
      <c r="AU38" s="290">
        <f t="shared" si="1"/>
        <v>30</v>
      </c>
    </row>
    <row r="39" spans="1:47" s="290" customFormat="1" ht="33.75" customHeight="1" thickBot="1">
      <c r="A39" s="318"/>
      <c r="B39" s="1380" t="s">
        <v>18</v>
      </c>
      <c r="C39" s="1379" t="str">
        <f>"Children subject to Section 47 Enquiries during the "&amp;ReportData!$G$3&amp;", Rate per 10,000 0-17 Year Olds"</f>
        <v>Children subject to Section 47 Enquiries during the Year ending 31st March, Rate per 10,000 0-17 Year Olds</v>
      </c>
      <c r="D39" s="951">
        <f>IFERROR(VLOOKUP(D9,'Section 47 Enquiries'!$B$11:$O$31,14,FALSE),"")</f>
        <v>243.65553112018711</v>
      </c>
      <c r="E39" s="952">
        <f>IFERROR(VLOOKUP(E9,'Section 47 Enquiries'!$B$11:$O$31,14,FALSE),"")</f>
        <v>262.28946127801822</v>
      </c>
      <c r="F39" s="952">
        <f>IFERROR(VLOOKUP(F9,'Section 47 Enquiries'!$B$11:$O$31,14,FALSE),"")</f>
        <v>212.90433801404211</v>
      </c>
      <c r="G39" s="952">
        <f>IFERROR(VLOOKUP(G9,'Section 47 Enquiries'!$B$11:$O$31,14,FALSE),"")</f>
        <v>122.86933189197536</v>
      </c>
      <c r="H39" s="952" t="str">
        <f>IFERROR(VLOOKUP(H9,'Section 47 Enquiries'!$B$11:$O$31,14,FALSE),"")</f>
        <v/>
      </c>
      <c r="I39" s="952">
        <f>IFERROR(VLOOKUP(I9,'Section 47 Enquiries'!$B$11:$O$31,14,FALSE),"")</f>
        <v>497.48272036863216</v>
      </c>
      <c r="J39" s="952">
        <f>IFERROR(VLOOKUP(J9,'Section 47 Enquiries'!$B$11:$O$31,14,FALSE),"")</f>
        <v>210.68980168345141</v>
      </c>
      <c r="K39" s="952">
        <f>IFERROR(VLOOKUP(K9,'Section 47 Enquiries'!$B$11:$O$31,14,FALSE),"")</f>
        <v>301.25811627453623</v>
      </c>
      <c r="L39" s="952">
        <f>IFERROR(VLOOKUP(L9,'Section 47 Enquiries'!$B$11:$O$31,14,FALSE),"")</f>
        <v>166.7651139470033</v>
      </c>
      <c r="M39" s="952">
        <f>IFERROR(VLOOKUP(M9,'Section 47 Enquiries'!$B$11:$O$31,14,FALSE),"")</f>
        <v>122.15992918264975</v>
      </c>
      <c r="N39" s="952">
        <f>IFERROR(VLOOKUP(N9,'Section 47 Enquiries'!$B$11:$O$31,14,FALSE),"")</f>
        <v>334.93275344505633</v>
      </c>
      <c r="O39" s="952">
        <f>IFERROR(VLOOKUP(O9,'Section 47 Enquiries'!$B$11:$O$31,14,FALSE),"")</f>
        <v>288.17000184555354</v>
      </c>
      <c r="P39" s="952">
        <f>IFERROR(VLOOKUP(P9,'Section 47 Enquiries'!$B$11:$O$31,14,FALSE),"")</f>
        <v>275.36845860554308</v>
      </c>
      <c r="Q39" s="952">
        <f>IFERROR(VLOOKUP(Q9,'Section 47 Enquiries'!$B$11:$O$31,14,FALSE),"")</f>
        <v>262.04514323149306</v>
      </c>
      <c r="R39" s="952">
        <f>IFERROR(VLOOKUP(R9,'Section 47 Enquiries'!$B$11:$O$31,14,FALSE),"")</f>
        <v>93.009425155831238</v>
      </c>
      <c r="S39" s="952">
        <f>IFERROR(VLOOKUP(S9,'Section 47 Enquiries'!$B$11:$O$31,14,FALSE),"")</f>
        <v>202.689313517339</v>
      </c>
      <c r="T39" s="952">
        <f>IFERROR(VLOOKUP(T9,'Section 47 Enquiries'!$B$11:$O$31,14,FALSE),"")</f>
        <v>170.88621737575974</v>
      </c>
      <c r="U39" s="952">
        <f>IFERROR(VLOOKUP(U9,'Section 47 Enquiries'!$B$11:$O$31,14,FALSE),"")</f>
        <v>189.31769785012105</v>
      </c>
      <c r="V39" s="953">
        <f>IFERROR(VLOOKUP(V9,'Section 47 Enquiries'!$B$11:$O$31,14,FALSE),"")</f>
        <v>131.59717412383986</v>
      </c>
      <c r="W39" s="1008">
        <f>IFERROR(VLOOKUP(W9,'Section 47 Enquiries'!$B$11:$O$31,14,FALSE),"")</f>
        <v>237.59035126033845</v>
      </c>
      <c r="X39" s="1009">
        <f>IFERROR(VLOOKUP(X9,'Section 47 Enquiries'!$B$11:$O$31,14,FALSE),"")</f>
        <v>187.12111349897313</v>
      </c>
      <c r="Y39" s="319"/>
      <c r="Z39" s="320"/>
      <c r="AU39" s="290">
        <f t="shared" si="1"/>
        <v>31</v>
      </c>
    </row>
    <row r="40" spans="1:47" s="290" customFormat="1" ht="38.25" customHeight="1">
      <c r="A40" s="318"/>
      <c r="B40" s="1595" t="s">
        <v>87</v>
      </c>
      <c r="C40" s="1414" t="str">
        <f>"Children subject to an Initial Child Protection Conference during the "&amp;ReportData!$G$3&amp;", Rate per 10,000 0-17 Year Olds"</f>
        <v>Children subject to an Initial Child Protection Conference during the Year ending 31st March, Rate per 10,000 0-17 Year Olds</v>
      </c>
      <c r="D40" s="989">
        <f>IFERROR(VLOOKUP(D9,'Initial CP Conferences'!$B$11:$O$31,14,FALSE),"")</f>
        <v>48.521660208747861</v>
      </c>
      <c r="E40" s="990">
        <f>IFERROR(VLOOKUP(E9,'Initial CP Conferences'!$B$11:$O$31,14,FALSE),"")</f>
        <v>73.501050015000217</v>
      </c>
      <c r="F40" s="990">
        <f>IFERROR(VLOOKUP(F9,'Initial CP Conferences'!$B$11:$O$31,14,FALSE),"")</f>
        <v>50.777331995987964</v>
      </c>
      <c r="G40" s="990">
        <f>IFERROR(VLOOKUP(G9,'Initial CP Conferences'!$B$11:$O$31,14,FALSE),"")</f>
        <v>79.628592938632906</v>
      </c>
      <c r="H40" s="990" t="str">
        <f>IFERROR(VLOOKUP(H9,'Initial CP Conferences'!$B$11:$O$31,14,FALSE),"")</f>
        <v/>
      </c>
      <c r="I40" s="990">
        <f>IFERROR(VLOOKUP(I9,'Initial CP Conferences'!$B$11:$O$31,14,FALSE),"")</f>
        <v>117.7574878402594</v>
      </c>
      <c r="J40" s="990">
        <f>IFERROR(VLOOKUP(J9,'Initial CP Conferences'!$B$11:$O$31,14,FALSE),"")</f>
        <v>44.727443932799744</v>
      </c>
      <c r="K40" s="990">
        <f>IFERROR(VLOOKUP(K9,'Initial CP Conferences'!$B$11:$O$31,14,FALSE),"")</f>
        <v>71.228275376010316</v>
      </c>
      <c r="L40" s="990">
        <f>IFERROR(VLOOKUP(L9,'Initial CP Conferences'!$B$11:$O$31,14,FALSE),"")</f>
        <v>46.018379878291682</v>
      </c>
      <c r="M40" s="990">
        <f>IFERROR(VLOOKUP(M9,'Initial CP Conferences'!$B$11:$O$31,14,FALSE),"")</f>
        <v>48.785285728336774</v>
      </c>
      <c r="N40" s="990">
        <f>IFERROR(VLOOKUP(N9,'Initial CP Conferences'!$B$11:$O$31,14,FALSE),"")</f>
        <v>80.601318930673401</v>
      </c>
      <c r="O40" s="990">
        <f>IFERROR(VLOOKUP(O9,'Initial CP Conferences'!$B$11:$O$31,14,FALSE),"")</f>
        <v>81.468006011231509</v>
      </c>
      <c r="P40" s="990">
        <f>IFERROR(VLOOKUP(P9,'Initial CP Conferences'!$B$11:$O$31,14,FALSE),"")</f>
        <v>70.012709313474105</v>
      </c>
      <c r="Q40" s="990">
        <f>IFERROR(VLOOKUP(Q9,'Initial CP Conferences'!$B$11:$O$31,14,FALSE),"")</f>
        <v>74.444642963492342</v>
      </c>
      <c r="R40" s="990">
        <f>IFERROR(VLOOKUP(R9,'Initial CP Conferences'!$B$11:$O$31,14,FALSE),"")</f>
        <v>26.875244662591466</v>
      </c>
      <c r="S40" s="990">
        <f>IFERROR(VLOOKUP(S9,'Initial CP Conferences'!$B$11:$O$31,14,FALSE),"")</f>
        <v>72.753007784854915</v>
      </c>
      <c r="T40" s="990">
        <f>IFERROR(VLOOKUP(T9,'Initial CP Conferences'!$B$11:$O$31,14,FALSE),"")</f>
        <v>56.813103324991069</v>
      </c>
      <c r="U40" s="990">
        <f>IFERROR(VLOOKUP(U9,'Initial CP Conferences'!$B$11:$O$31,14,FALSE),"")</f>
        <v>67.092558560135345</v>
      </c>
      <c r="V40" s="991">
        <f>IFERROR(VLOOKUP(V9,'Initial CP Conferences'!$B$11:$O$31,14,FALSE),"")</f>
        <v>37.632174354712106</v>
      </c>
      <c r="W40" s="1010">
        <f>IFERROR(VLOOKUP(W9,'Initial CP Conferences'!$B$11:$O$31,14,FALSE),"")</f>
        <v>62.993438819457168</v>
      </c>
      <c r="X40" s="1011">
        <f>IFERROR(VLOOKUP(X9,'Initial CP Conferences'!$B$11:$O$31,14,FALSE),"")</f>
        <v>60.215127606898314</v>
      </c>
      <c r="Y40" s="319"/>
      <c r="Z40" s="320"/>
      <c r="AU40" s="290">
        <f t="shared" si="1"/>
        <v>32</v>
      </c>
    </row>
    <row r="41" spans="1:47" s="290" customFormat="1" ht="26.25" customHeight="1">
      <c r="A41" s="318"/>
      <c r="B41" s="1596"/>
      <c r="C41" s="1375" t="str">
        <f>"Number of Initial CP Conferences as a percentage of Section 47 Enquiries in the "&amp;ReportData!$G$3</f>
        <v>Number of Initial CP Conferences as a percentage of Section 47 Enquiries in the Year ending 31st March</v>
      </c>
      <c r="D41" s="945">
        <f>IFERROR(VLOOKUP(D9,'Initial CP Conferences'!$B$109:$H$129,7,FALSE),"")</f>
        <v>0.1991404011461318</v>
      </c>
      <c r="E41" s="946">
        <f>IFERROR(VLOOKUP(E9,'Initial CP Conferences'!$B$109:$H$129,7,FALSE),"")</f>
        <v>0.28022875816993464</v>
      </c>
      <c r="F41" s="946">
        <f>IFERROR(VLOOKUP(F9,'Initial CP Conferences'!$B$109:$H$129,7,FALSE),"")</f>
        <v>0.23849834376150167</v>
      </c>
      <c r="G41" s="946">
        <f>IFERROR(VLOOKUP(G9,'Initial CP Conferences'!$B$109:$H$129,7,FALSE),"")</f>
        <v>0.64807541241162603</v>
      </c>
      <c r="H41" s="946" t="str">
        <f>IFERROR(VLOOKUP(H9,'Initial CP Conferences'!$B$109:$H$129,7,FALSE),"")</f>
        <v/>
      </c>
      <c r="I41" s="946">
        <f>IFERROR(VLOOKUP(I9,'Initial CP Conferences'!$B$109:$H$129,7,FALSE),"")</f>
        <v>0.23670668953687821</v>
      </c>
      <c r="J41" s="946">
        <f>IFERROR(VLOOKUP(J9,'Initial CP Conferences'!$B$109:$H$129,7,FALSE),"")</f>
        <v>0.21229050279329609</v>
      </c>
      <c r="K41" s="946">
        <f>IFERROR(VLOOKUP(K9,'Initial CP Conferences'!$B$109:$H$129,7,FALSE),"")</f>
        <v>0.23643603782976605</v>
      </c>
      <c r="L41" s="946">
        <f>IFERROR(VLOOKUP(L9,'Initial CP Conferences'!$B$109:$H$129,7,FALSE),"")</f>
        <v>0.27594728171334432</v>
      </c>
      <c r="M41" s="946">
        <f>IFERROR(VLOOKUP(M9,'Initial CP Conferences'!$B$109:$H$129,7,FALSE),"")</f>
        <v>0.39935587761674718</v>
      </c>
      <c r="N41" s="946">
        <f>IFERROR(VLOOKUP(N9,'Initial CP Conferences'!$B$109:$H$129,7,FALSE),"")</f>
        <v>0.24064925899788286</v>
      </c>
      <c r="O41" s="946">
        <f>IFERROR(VLOOKUP(O9,'Initial CP Conferences'!$B$109:$H$129,7,FALSE),"")</f>
        <v>0.28270814272644101</v>
      </c>
      <c r="P41" s="946">
        <f>IFERROR(VLOOKUP(P9,'Initial CP Conferences'!$B$109:$H$129,7,FALSE),"")</f>
        <v>0.25425101214574897</v>
      </c>
      <c r="Q41" s="946">
        <f>IFERROR(VLOOKUP(Q9,'Initial CP Conferences'!$B$109:$H$129,7,FALSE),"")</f>
        <v>0.28409090909090912</v>
      </c>
      <c r="R41" s="946">
        <f>IFERROR(VLOOKUP(R9,'Initial CP Conferences'!$B$109:$H$129,7,FALSE),"")</f>
        <v>0.28895184135977336</v>
      </c>
      <c r="S41" s="946">
        <f>IFERROR(VLOOKUP(S9,'Initial CP Conferences'!$B$109:$H$129,7,FALSE),"")</f>
        <v>0.35893854748603354</v>
      </c>
      <c r="T41" s="946">
        <f>IFERROR(VLOOKUP(T9,'Initial CP Conferences'!$B$109:$H$129,7,FALSE),"")</f>
        <v>0.33246158875449494</v>
      </c>
      <c r="U41" s="946">
        <f>IFERROR(VLOOKUP(U9,'Initial CP Conferences'!$B$109:$H$129,7,FALSE),"")</f>
        <v>0.3543913713405239</v>
      </c>
      <c r="V41" s="947">
        <f>IFERROR(VLOOKUP(V9,'Initial CP Conferences'!$B$109:$H$129,7,FALSE),"")</f>
        <v>0.28596491228070176</v>
      </c>
      <c r="W41" s="1012">
        <f>IFERROR(VLOOKUP(W9,'Initial CP Conferences'!$B$109:$H$129,7,FALSE),"")</f>
        <v>0.26513466765505311</v>
      </c>
      <c r="X41" s="1013">
        <f>IFERROR(VLOOKUP(X9,'Initial CP Conferences'!$B$109:$H$129,7,FALSE),"")</f>
        <v>0.32179761268483875</v>
      </c>
      <c r="Y41" s="319"/>
      <c r="Z41" s="320"/>
      <c r="AU41" s="290">
        <f t="shared" si="1"/>
        <v>33</v>
      </c>
    </row>
    <row r="42" spans="1:47" s="290" customFormat="1" ht="26.25" customHeight="1" thickBot="1">
      <c r="A42" s="318"/>
      <c r="B42" s="1597"/>
      <c r="C42" s="1369" t="s">
        <v>198</v>
      </c>
      <c r="D42" s="992">
        <f>IFERROR(VLOOKUP(D9,'Initial CP Conferences'!$B$142:$H$162,7,FALSE),"")</f>
        <v>0.74100719424460426</v>
      </c>
      <c r="E42" s="993">
        <f>IFERROR(VLOOKUP(E9,'Initial CP Conferences'!$B$142:$H$162,7,FALSE),"")</f>
        <v>0.89504373177842567</v>
      </c>
      <c r="F42" s="993">
        <f>IFERROR(VLOOKUP(F9,'Initial CP Conferences'!$B$142:$H$162,7,FALSE),"")</f>
        <v>0.69444444444444442</v>
      </c>
      <c r="G42" s="993">
        <f>IFERROR(VLOOKUP(G9,'Initial CP Conferences'!$B$142:$H$162,7,FALSE),"")</f>
        <v>0.78181818181818186</v>
      </c>
      <c r="H42" s="993" t="str">
        <f>IFERROR(VLOOKUP(H9,'Initial CP Conferences'!$B$142:$H$162,7,FALSE),"")</f>
        <v/>
      </c>
      <c r="I42" s="993">
        <f>IFERROR(VLOOKUP(I9,'Initial CP Conferences'!$B$142:$H$162,7,FALSE),"")</f>
        <v>0.72826086956521741</v>
      </c>
      <c r="J42" s="993">
        <f>IFERROR(VLOOKUP(J9,'Initial CP Conferences'!$B$142:$H$162,7,FALSE),"")</f>
        <v>0.87548138639281126</v>
      </c>
      <c r="K42" s="993">
        <f>IFERROR(VLOOKUP(K9,'Initial CP Conferences'!$B$142:$H$162,7,FALSE),"")</f>
        <v>0.85894736842105268</v>
      </c>
      <c r="L42" s="993">
        <f>IFERROR(VLOOKUP(L9,'Initial CP Conferences'!$B$142:$H$162,7,FALSE),"")</f>
        <v>0.68955223880597016</v>
      </c>
      <c r="M42" s="993">
        <f>IFERROR(VLOOKUP(M9,'Initial CP Conferences'!$B$142:$H$162,7,FALSE),"")</f>
        <v>0.80913978494623651</v>
      </c>
      <c r="N42" s="993">
        <f>IFERROR(VLOOKUP(N9,'Initial CP Conferences'!$B$142:$H$162,7,FALSE),"")</f>
        <v>0.84457478005865105</v>
      </c>
      <c r="O42" s="993">
        <f>IFERROR(VLOOKUP(O9,'Initial CP Conferences'!$B$142:$H$162,7,FALSE),"")</f>
        <v>0.68284789644012944</v>
      </c>
      <c r="P42" s="993">
        <f>IFERROR(VLOOKUP(P9,'Initial CP Conferences'!$B$142:$H$162,7,FALSE),"")</f>
        <v>0.83121019108280259</v>
      </c>
      <c r="Q42" s="993">
        <f>IFERROR(VLOOKUP(Q9,'Initial CP Conferences'!$B$142:$H$162,7,FALSE),"")</f>
        <v>0.72</v>
      </c>
      <c r="R42" s="993">
        <f>IFERROR(VLOOKUP(R9,'Initial CP Conferences'!$B$142:$H$162,7,FALSE),"")</f>
        <v>0.81792717086834732</v>
      </c>
      <c r="S42" s="993">
        <f>IFERROR(VLOOKUP(S9,'Initial CP Conferences'!$B$142:$H$162,7,FALSE),"")</f>
        <v>0.82490272373540852</v>
      </c>
      <c r="T42" s="993">
        <f>IFERROR(VLOOKUP(T9,'Initial CP Conferences'!$B$142:$H$162,7,FALSE),"")</f>
        <v>0.71386430678466073</v>
      </c>
      <c r="U42" s="993">
        <f>IFERROR(VLOOKUP(U9,'Initial CP Conferences'!$B$142:$H$162,7,FALSE),"")</f>
        <v>0.75652173913043474</v>
      </c>
      <c r="V42" s="994">
        <f>IFERROR(VLOOKUP(V9,'Initial CP Conferences'!$B$142:$H$162,7,FALSE),"")</f>
        <v>0.93251533742331283</v>
      </c>
      <c r="W42" s="971">
        <f>IFERROR(VLOOKUP(W9,'Initial CP Conferences'!$B$142:$H$162,7,FALSE),"")</f>
        <v>0.7931034482758621</v>
      </c>
      <c r="X42" s="972">
        <f>IFERROR(VLOOKUP(X9,'Initial CP Conferences'!$B$142:$H$162,7,FALSE),"")</f>
        <v>0.79695501730103802</v>
      </c>
      <c r="Y42" s="319"/>
      <c r="Z42" s="320"/>
      <c r="AU42" s="290">
        <f t="shared" si="1"/>
        <v>34</v>
      </c>
    </row>
    <row r="43" spans="1:47" s="290" customFormat="1" ht="26.25" customHeight="1">
      <c r="A43" s="318"/>
      <c r="B43" s="1598" t="s">
        <v>20</v>
      </c>
      <c r="C43" s="1363" t="str">
        <f>"Children subject to a Child Protection Plan at "&amp;ReportData!$H$3&amp;", Rate per 10,000 0-17 Year Olds"</f>
        <v>Children subject to a Child Protection Plan at 31st March, Rate per 10,000 0-17 Year Olds</v>
      </c>
      <c r="D43" s="936">
        <f>IFERROR(VLOOKUP(D9,'Child Protection Plans'!$B$11:$O$31,14,FALSE),"")</f>
        <v>39.0965895207177</v>
      </c>
      <c r="E43" s="937">
        <f>IFERROR(VLOOKUP(E9,'Child Protection Plans'!$B$11:$O$31,14,FALSE),"")</f>
        <v>56.143659195131363</v>
      </c>
      <c r="F43" s="937">
        <f>IFERROR(VLOOKUP(F9,'Child Protection Plans'!$B$11:$O$31,14,FALSE),"")</f>
        <v>33.694834503510535</v>
      </c>
      <c r="G43" s="937">
        <f>IFERROR(VLOOKUP(G9,'Child Protection Plans'!$B$11:$O$31,14,FALSE),"")</f>
        <v>66.115862015713375</v>
      </c>
      <c r="H43" s="937" t="str">
        <f>IFERROR(VLOOKUP(H9,'Child Protection Plans'!$B$11:$O$31,14,FALSE),"")</f>
        <v/>
      </c>
      <c r="I43" s="937">
        <f>IFERROR(VLOOKUP(I9,'Child Protection Plans'!$B$11:$O$31,14,FALSE),"")</f>
        <v>78.504991893506272</v>
      </c>
      <c r="J43" s="937">
        <f>IFERROR(VLOOKUP(J9,'Child Protection Plans'!$B$11:$O$31,14,FALSE),"")</f>
        <v>34.765683313620336</v>
      </c>
      <c r="K43" s="937">
        <f>IFERROR(VLOOKUP(K9,'Child Protection Plans'!$B$11:$O$31,14,FALSE),"")</f>
        <v>42.137148169808214</v>
      </c>
      <c r="L43" s="937">
        <f>IFERROR(VLOOKUP(L9,'Child Protection Plans'!$B$11:$O$31,14,FALSE),"")</f>
        <v>26.512081541821779</v>
      </c>
      <c r="M43" s="937">
        <f>IFERROR(VLOOKUP(M9,'Child Protection Plans'!$B$11:$O$31,14,FALSE),"")</f>
        <v>34.884102160584902</v>
      </c>
      <c r="N43" s="937">
        <f>IFERROR(VLOOKUP(N9,'Child Protection Plans'!$B$11:$O$31,14,FALSE),"")</f>
        <v>53.655423452383772</v>
      </c>
      <c r="O43" s="937">
        <f>IFERROR(VLOOKUP(O9,'Child Protection Plans'!$B$11:$O$31,14,FALSE),"")</f>
        <v>61.957868649318463</v>
      </c>
      <c r="P43" s="937">
        <f>IFERROR(VLOOKUP(P9,'Child Protection Plans'!$B$11:$O$31,14,FALSE),"")</f>
        <v>43.479230306138376</v>
      </c>
      <c r="Q43" s="937">
        <f>IFERROR(VLOOKUP(Q9,'Child Protection Plans'!$B$11:$O$31,14,FALSE),"")</f>
        <v>54.791257221130365</v>
      </c>
      <c r="R43" s="937">
        <f>IFERROR(VLOOKUP(R9,'Child Protection Plans'!$B$11:$O$31,14,FALSE),"")</f>
        <v>21.793790839832575</v>
      </c>
      <c r="S43" s="937">
        <f>IFERROR(VLOOKUP(S9,'Child Protection Plans'!$B$11:$O$31,14,FALSE),"")</f>
        <v>54.069355980184</v>
      </c>
      <c r="T43" s="937">
        <f>IFERROR(VLOOKUP(T9,'Child Protection Plans'!$B$11:$O$31,14,FALSE),"")</f>
        <v>35.976045763317842</v>
      </c>
      <c r="U43" s="937">
        <f>IFERROR(VLOOKUP(U9,'Child Protection Plans'!$B$11:$O$31,14,FALSE),"")</f>
        <v>28.878970858493041</v>
      </c>
      <c r="V43" s="938">
        <f>IFERROR(VLOOKUP(V9,'Child Protection Plans'!$B$11:$O$31,14,FALSE),"")</f>
        <v>28.859029413122776</v>
      </c>
      <c r="W43" s="973">
        <f>IFERROR(VLOOKUP(W9,'Child Protection Plans'!$B$11:$O$31,14,FALSE),"")</f>
        <v>44.995090083046193</v>
      </c>
      <c r="X43" s="974">
        <f>IFERROR(VLOOKUP(X9,'Child Protection Plans'!$B$11:$O$31,14,FALSE),"")</f>
        <v>41.588025848916615</v>
      </c>
      <c r="Y43" s="319"/>
      <c r="Z43" s="320"/>
      <c r="AU43" s="290">
        <f t="shared" si="1"/>
        <v>35</v>
      </c>
    </row>
    <row r="44" spans="1:47" s="290" customFormat="1" ht="26.25" customHeight="1">
      <c r="A44" s="318"/>
      <c r="B44" s="1599"/>
      <c r="C44" s="1415" t="s">
        <v>681</v>
      </c>
      <c r="D44" s="995">
        <f>IFERROR(VLOOKUP(D9,'Child Protection Plans'!$B$109:$H$129,7,FALSE),"")</f>
        <v>6.25E-2</v>
      </c>
      <c r="E44" s="996" t="str">
        <f>IFERROR(VLOOKUP(E9,'Child Protection Plans'!$B$109:$H$129,7,FALSE),"")</f>
        <v/>
      </c>
      <c r="F44" s="996">
        <f>IFERROR(VLOOKUP(F9,'Child Protection Plans'!$B$109:$H$129,7,FALSE),"")</f>
        <v>6.5116279069767441E-2</v>
      </c>
      <c r="G44" s="996">
        <f>IFERROR(VLOOKUP(G9,'Child Protection Plans'!$B$109:$H$129,7,FALSE),"")</f>
        <v>7.8832116788321166E-2</v>
      </c>
      <c r="H44" s="996" t="str">
        <f>IFERROR(VLOOKUP(H9,'Child Protection Plans'!$B$109:$H$129,7,FALSE),"")</f>
        <v/>
      </c>
      <c r="I44" s="996">
        <f>IFERROR(VLOOKUP(I9,'Child Protection Plans'!$B$109:$H$129,7,FALSE),"")</f>
        <v>0</v>
      </c>
      <c r="J44" s="996">
        <f>IFERROR(VLOOKUP(J9,'Child Protection Plans'!$B$109:$H$129,7,FALSE),"")</f>
        <v>1.8992568125516102E-2</v>
      </c>
      <c r="K44" s="996" t="str">
        <f>IFERROR(VLOOKUP(K9,'Child Protection Plans'!$B$109:$H$129,7,FALSE),"")</f>
        <v/>
      </c>
      <c r="L44" s="996" t="str">
        <f>IFERROR(VLOOKUP(L9,'Child Protection Plans'!$B$109:$H$129,7,FALSE),"")</f>
        <v/>
      </c>
      <c r="M44" s="996">
        <f>IFERROR(VLOOKUP(M9,'Child Protection Plans'!$B$109:$H$129,7,FALSE),"")</f>
        <v>2.4436090225563908E-2</v>
      </c>
      <c r="N44" s="996" t="str">
        <f>IFERROR(VLOOKUP(N9,'Child Protection Plans'!$B$109:$H$129,7,FALSE),"")</f>
        <v/>
      </c>
      <c r="O44" s="996">
        <f>IFERROR(VLOOKUP(O9,'Child Protection Plans'!$B$109:$H$129,7,FALSE),"")</f>
        <v>3.8297872340425532E-2</v>
      </c>
      <c r="P44" s="996" t="str">
        <f>IFERROR(VLOOKUP(P9,'Child Protection Plans'!$B$109:$H$129,7,FALSE),"")</f>
        <v/>
      </c>
      <c r="Q44" s="996">
        <f>IFERROR(VLOOKUP(Q9,'Child Protection Plans'!$B$109:$H$129,7,FALSE),"")</f>
        <v>3.9855072463768113E-2</v>
      </c>
      <c r="R44" s="996">
        <f>IFERROR(VLOOKUP(R9,'Child Protection Plans'!$B$109:$H$129,7,FALSE),"")</f>
        <v>6.3903281519861826E-2</v>
      </c>
      <c r="S44" s="996">
        <f>IFERROR(VLOOKUP(S9,'Child Protection Plans'!$B$109:$H$129,7,FALSE),"")</f>
        <v>5.7591623036649213E-2</v>
      </c>
      <c r="T44" s="996">
        <f>IFERROR(VLOOKUP(T9,'Child Protection Plans'!$B$109:$H$129,7,FALSE),"")</f>
        <v>2.0186335403726708E-2</v>
      </c>
      <c r="U44" s="996">
        <f>IFERROR(VLOOKUP(U9,'Child Protection Plans'!$B$109:$H$129,7,FALSE),"")</f>
        <v>6.0606060606060608E-2</v>
      </c>
      <c r="V44" s="997" t="str">
        <f>IFERROR(VLOOKUP(V9,'Child Protection Plans'!$B$109:$H$129,7,FALSE),"")</f>
        <v/>
      </c>
      <c r="W44" s="1014">
        <f>IFERROR(VLOOKUP(W9,'Child Protection Plans'!$B$109:$H$129,7,FALSE),"")</f>
        <v>3.3288948069241014E-2</v>
      </c>
      <c r="X44" s="1015">
        <f>IFERROR(VLOOKUP(X9,'Child Protection Plans'!$B$109:$H$129,7,FALSE),"")</f>
        <v>2.5450901803607213E-2</v>
      </c>
      <c r="Y44" s="319"/>
      <c r="Z44" s="320"/>
      <c r="AU44" s="290">
        <f t="shared" si="1"/>
        <v>36</v>
      </c>
    </row>
    <row r="45" spans="1:47" s="290" customFormat="1" ht="26.25" customHeight="1">
      <c r="A45" s="318"/>
      <c r="B45" s="1599"/>
      <c r="C45" s="1364" t="s">
        <v>199</v>
      </c>
      <c r="D45" s="945">
        <f>IFERROR(VLOOKUP(D9,'Child Protection Plans'!$B$177:$H$197,7,FALSE),"")</f>
        <v>0.9885057471264368</v>
      </c>
      <c r="E45" s="946">
        <f>IFERROR(VLOOKUP(E9,'Child Protection Plans'!$B$177:$H$197,7,FALSE),"")</f>
        <v>0.86979166666666663</v>
      </c>
      <c r="F45" s="946">
        <f>IFERROR(VLOOKUP(F9,'Child Protection Plans'!$B$177:$H$197,7,FALSE),"")</f>
        <v>0.882943143812709</v>
      </c>
      <c r="G45" s="946">
        <f>IFERROR(VLOOKUP(G9,'Child Protection Plans'!$B$177:$H$197,7,FALSE),"")</f>
        <v>0.89097744360902253</v>
      </c>
      <c r="H45" s="946" t="str">
        <f>IFERROR(VLOOKUP(H9,'Child Protection Plans'!$B$177:$H$197,7,FALSE),"")</f>
        <v/>
      </c>
      <c r="I45" s="946">
        <f>IFERROR(VLOOKUP(I9,'Child Protection Plans'!$B$177:$H$197,7,FALSE),"")</f>
        <v>0.84210526315789469</v>
      </c>
      <c r="J45" s="946">
        <f>IFERROR(VLOOKUP(J9,'Child Protection Plans'!$B$177:$H$197,7,FALSE),"")</f>
        <v>0.99765807962529274</v>
      </c>
      <c r="K45" s="946">
        <f>IFERROR(VLOOKUP(K9,'Child Protection Plans'!$B$177:$H$197,7,FALSE),"")</f>
        <v>0.96721311475409832</v>
      </c>
      <c r="L45" s="946">
        <f>IFERROR(VLOOKUP(L9,'Child Protection Plans'!$B$177:$H$197,7,FALSE),"")</f>
        <v>0.87826086956521743</v>
      </c>
      <c r="M45" s="946">
        <f>IFERROR(VLOOKUP(M9,'Child Protection Plans'!$B$177:$H$197,7,FALSE),"")</f>
        <v>0.97126436781609193</v>
      </c>
      <c r="N45" s="946">
        <f>IFERROR(VLOOKUP(N9,'Child Protection Plans'!$B$177:$H$197,7,FALSE),"")</f>
        <v>1</v>
      </c>
      <c r="O45" s="946">
        <f>IFERROR(VLOOKUP(O9,'Child Protection Plans'!$B$177:$H$197,7,FALSE),"")</f>
        <v>0.76344086021505375</v>
      </c>
      <c r="P45" s="946">
        <f>IFERROR(VLOOKUP(P9,'Child Protection Plans'!$B$177:$H$197,7,FALSE),"")</f>
        <v>0.95</v>
      </c>
      <c r="Q45" s="946">
        <f>IFERROR(VLOOKUP(Q9,'Child Protection Plans'!$B$177:$H$197,7,FALSE),"")</f>
        <v>0.83490566037735847</v>
      </c>
      <c r="R45" s="946">
        <f>IFERROR(VLOOKUP(R9,'Child Protection Plans'!$B$177:$H$197,7,FALSE),"")</f>
        <v>0.96055684454756385</v>
      </c>
      <c r="S45" s="946">
        <f>IFERROR(VLOOKUP(S9,'Child Protection Plans'!$B$177:$H$197,7,FALSE),"")</f>
        <v>0.83870967741935487</v>
      </c>
      <c r="T45" s="946">
        <f>IFERROR(VLOOKUP(T9,'Child Protection Plans'!$B$177:$H$197,7,FALSE),"")</f>
        <v>0.74561403508771928</v>
      </c>
      <c r="U45" s="946">
        <f>IFERROR(VLOOKUP(U9,'Child Protection Plans'!$B$177:$H$197,7,FALSE),"")</f>
        <v>0.90909090909090906</v>
      </c>
      <c r="V45" s="947">
        <f>IFERROR(VLOOKUP(V9,'Child Protection Plans'!$B$177:$H$197,7,FALSE),"")</f>
        <v>0.97674418604651159</v>
      </c>
      <c r="W45" s="969">
        <f>IFERROR(VLOOKUP(W9,'Child Protection Plans'!$B$177:$H$197,7,FALSE),"")</f>
        <v>0.89493433395872424</v>
      </c>
      <c r="X45" s="975">
        <f>IFERROR(VLOOKUP(X9,'Child Protection Plans'!$B$177:$H$197,7,FALSE),"")</f>
        <v>0.8976916500427472</v>
      </c>
      <c r="Y45" s="319"/>
      <c r="Z45" s="320"/>
      <c r="AU45" s="290">
        <f t="shared" si="1"/>
        <v>37</v>
      </c>
    </row>
    <row r="46" spans="1:47" s="290" customFormat="1" ht="26.25" customHeight="1">
      <c r="A46" s="318"/>
      <c r="B46" s="1599"/>
      <c r="C46" s="1364" t="s">
        <v>200</v>
      </c>
      <c r="D46" s="945">
        <f>IFERROR(VLOOKUP(D9,'Child Protection Plans'!$B$210:$H$230,7,FALSE),"")</f>
        <v>5.0955414012738856E-2</v>
      </c>
      <c r="E46" s="946">
        <f>IFERROR(VLOOKUP(E9,'Child Protection Plans'!$B$210:$H$230,7,FALSE),"")</f>
        <v>5.128205128205128E-2</v>
      </c>
      <c r="F46" s="946">
        <f>IFERROR(VLOOKUP(F9,'Child Protection Plans'!$B$210:$H$230,7,FALSE),"")</f>
        <v>6.1128526645768025E-2</v>
      </c>
      <c r="G46" s="946">
        <f>IFERROR(VLOOKUP(G9,'Child Protection Plans'!$B$210:$H$230,7,FALSE),"")</f>
        <v>6.9337442218798145E-2</v>
      </c>
      <c r="H46" s="946" t="str">
        <f>IFERROR(VLOOKUP(H9,'Child Protection Plans'!$B$210:$H$230,7,FALSE),"")</f>
        <v/>
      </c>
      <c r="I46" s="946">
        <f>IFERROR(VLOOKUP(I9,'Child Protection Plans'!$B$210:$H$230,7,FALSE),"")</f>
        <v>4.9056603773584909E-2</v>
      </c>
      <c r="J46" s="946">
        <f>IFERROR(VLOOKUP(J9,'Child Protection Plans'!$B$210:$H$230,7,FALSE),"")</f>
        <v>4.9626104690686609E-2</v>
      </c>
      <c r="K46" s="946">
        <f>IFERROR(VLOOKUP(K9,'Child Protection Plans'!$B$210:$H$230,7,FALSE),"")</f>
        <v>1.5306122448979591E-2</v>
      </c>
      <c r="L46" s="946" t="str">
        <f>IFERROR(VLOOKUP(L9,'Child Protection Plans'!$B$210:$H$230,7,FALSE),"")</f>
        <v/>
      </c>
      <c r="M46" s="946">
        <f>IFERROR(VLOOKUP(M9,'Child Protection Plans'!$B$210:$H$230,7,FALSE),"")</f>
        <v>1.4802631578947368E-2</v>
      </c>
      <c r="N46" s="946">
        <f>IFERROR(VLOOKUP(N9,'Child Protection Plans'!$B$210:$H$230,7,FALSE),"")</f>
        <v>3.0769230769230771E-2</v>
      </c>
      <c r="O46" s="946">
        <f>IFERROR(VLOOKUP(O9,'Child Protection Plans'!$B$210:$H$230,7,FALSE),"")</f>
        <v>8.5308056872037921E-2</v>
      </c>
      <c r="P46" s="946">
        <f>IFERROR(VLOOKUP(P9,'Child Protection Plans'!$B$210:$H$230,7,FALSE),"")</f>
        <v>3.4161490683229816E-2</v>
      </c>
      <c r="Q46" s="946">
        <f>IFERROR(VLOOKUP(Q9,'Child Protection Plans'!$B$210:$H$230,7,FALSE),"")</f>
        <v>6.5040650406504072E-2</v>
      </c>
      <c r="R46" s="946">
        <f>IFERROR(VLOOKUP(R9,'Child Protection Plans'!$B$210:$H$230,7,FALSE),"")</f>
        <v>8.1927710843373497E-2</v>
      </c>
      <c r="S46" s="946">
        <f>IFERROR(VLOOKUP(S9,'Child Protection Plans'!$B$210:$H$230,7,FALSE),"")</f>
        <v>3.7463976945244955E-2</v>
      </c>
      <c r="T46" s="946">
        <f>IFERROR(VLOOKUP(T9,'Child Protection Plans'!$B$210:$H$230,7,FALSE),"")</f>
        <v>1.5300546448087432E-2</v>
      </c>
      <c r="U46" s="946" t="str">
        <f>IFERROR(VLOOKUP(U9,'Child Protection Plans'!$B$210:$H$230,7,FALSE),"")</f>
        <v/>
      </c>
      <c r="V46" s="947">
        <f>IFERROR(VLOOKUP(V9,'Child Protection Plans'!$B$210:$H$230,7,FALSE),"")</f>
        <v>5.0955414012738856E-2</v>
      </c>
      <c r="W46" s="969">
        <f>IFERROR(VLOOKUP(W9,'Child Protection Plans'!$B$210:$H$230,7,FALSE),"")</f>
        <v>4.3922369765066395E-2</v>
      </c>
      <c r="X46" s="975">
        <f>IFERROR(VLOOKUP(X9,'Child Protection Plans'!$B$210:$H$230,7,FALSE),"")</f>
        <v>3.8174009861619215E-2</v>
      </c>
      <c r="Y46" s="319"/>
      <c r="Z46" s="320"/>
      <c r="AU46" s="290">
        <f t="shared" si="1"/>
        <v>38</v>
      </c>
    </row>
    <row r="47" spans="1:47" s="290" customFormat="1" ht="26.25" customHeight="1" thickBot="1">
      <c r="A47" s="318"/>
      <c r="B47" s="1599"/>
      <c r="C47" s="1364" t="str">
        <f>"% of children who became the subject of a CP Plan for a second or subsequent time in "&amp;ReportData!$G$3&amp;""</f>
        <v>% of children who became the subject of a CP Plan for a second or subsequent time in Year ending 31st March</v>
      </c>
      <c r="D47" s="945">
        <f>IFERROR(VLOOKUP(D9,'Child Protection Plans'!$B$243:$H$263,7,FALSE),"")</f>
        <v>0.23529411764705882</v>
      </c>
      <c r="E47" s="946">
        <f>IFERROR(VLOOKUP(E9,'Child Protection Plans'!$B$243:$H$263,7,FALSE),"")</f>
        <v>0.24210526315789474</v>
      </c>
      <c r="F47" s="946">
        <f>IFERROR(VLOOKUP(F9,'Child Protection Plans'!$B$243:$H$263,7,FALSE),"")</f>
        <v>0.28413284132841327</v>
      </c>
      <c r="G47" s="946">
        <f>IFERROR(VLOOKUP(G9,'Child Protection Plans'!$B$243:$H$263,7,FALSE),"")</f>
        <v>0.26962962962962961</v>
      </c>
      <c r="H47" s="946" t="str">
        <f>IFERROR(VLOOKUP(H9,'Child Protection Plans'!$B$243:$H$263,7,FALSE),"")</f>
        <v/>
      </c>
      <c r="I47" s="946">
        <f>IFERROR(VLOOKUP(I9,'Child Protection Plans'!$B$243:$H$263,7,FALSE),"")</f>
        <v>0.19313304721030042</v>
      </c>
      <c r="J47" s="946">
        <f>IFERROR(VLOOKUP(J9,'Child Protection Plans'!$B$243:$H$263,7,FALSE),"")</f>
        <v>0.19792438843587842</v>
      </c>
      <c r="K47" s="946">
        <f>IFERROR(VLOOKUP(K9,'Child Protection Plans'!$B$243:$H$263,7,FALSE),"")</f>
        <v>0.26493506493506491</v>
      </c>
      <c r="L47" s="946">
        <f>IFERROR(VLOOKUP(L9,'Child Protection Plans'!$B$243:$H$263,7,FALSE),"")</f>
        <v>0.23076923076923078</v>
      </c>
      <c r="M47" s="946">
        <f>IFERROR(VLOOKUP(M9,'Child Protection Plans'!$B$243:$H$263,7,FALSE),"")</f>
        <v>0.27586206896551724</v>
      </c>
      <c r="N47" s="946">
        <f>IFERROR(VLOOKUP(N9,'Child Protection Plans'!$B$243:$H$263,7,FALSE),"")</f>
        <v>0.29836065573770493</v>
      </c>
      <c r="O47" s="946">
        <f>IFERROR(VLOOKUP(O9,'Child Protection Plans'!$B$243:$H$263,7,FALSE),"")</f>
        <v>0.30038022813688214</v>
      </c>
      <c r="P47" s="946">
        <f>IFERROR(VLOOKUP(P9,'Child Protection Plans'!$B$243:$H$263,7,FALSE),"")</f>
        <v>0.19691119691119691</v>
      </c>
      <c r="Q47" s="946">
        <f>IFERROR(VLOOKUP(Q9,'Child Protection Plans'!$B$243:$H$263,7,FALSE),"")</f>
        <v>0.29268292682926828</v>
      </c>
      <c r="R47" s="946">
        <f>IFERROR(VLOOKUP(R9,'Child Protection Plans'!$B$243:$H$263,7,FALSE),"")</f>
        <v>0.29337539432176657</v>
      </c>
      <c r="S47" s="946">
        <f>IFERROR(VLOOKUP(S9,'Child Protection Plans'!$B$243:$H$263,7,FALSE),"")</f>
        <v>0.30392156862745096</v>
      </c>
      <c r="T47" s="946">
        <f>IFERROR(VLOOKUP(T9,'Child Protection Plans'!$B$243:$H$263,7,FALSE),"")</f>
        <v>0.25837320574162681</v>
      </c>
      <c r="U47" s="946">
        <f>IFERROR(VLOOKUP(U9,'Child Protection Plans'!$B$243:$H$263,7,FALSE),"")</f>
        <v>0.30158730158730157</v>
      </c>
      <c r="V47" s="947">
        <f>IFERROR(VLOOKUP(V9,'Child Protection Plans'!$B$243:$H$263,7,FALSE),"")</f>
        <v>0.216</v>
      </c>
      <c r="W47" s="969">
        <f>IFERROR(VLOOKUP(W9,'Child Protection Plans'!$B$243:$H$263,7,FALSE),"")</f>
        <v>0.25303867403314917</v>
      </c>
      <c r="X47" s="975">
        <f>IFERROR(VLOOKUP(X9,'Child Protection Plans'!$B$243:$H$263,7,FALSE),"")</f>
        <v>0.24682015778457575</v>
      </c>
      <c r="Y47" s="319"/>
      <c r="Z47" s="320"/>
      <c r="AU47" s="290">
        <f t="shared" si="1"/>
        <v>39</v>
      </c>
    </row>
    <row r="48" spans="1:47" s="290" customFormat="1" ht="26.25" customHeight="1">
      <c r="A48" s="318"/>
      <c r="B48" s="1600" t="s">
        <v>26</v>
      </c>
      <c r="C48" s="1376" t="str">
        <f>"Number of Care Applications to Court during the "&amp;ReportData!$G$3&amp;", Rate per 10,000 0-17 Year Olds"</f>
        <v>Number of Care Applications to Court during the Year ending 31st March, Rate per 10,000 0-17 Year Olds</v>
      </c>
      <c r="D48" s="954">
        <f>IFERROR(VLOOKUP(D9,'Court Applications'!$B$11:$O$31,14,FALSE),"")</f>
        <v>5.9343037665375089</v>
      </c>
      <c r="E48" s="955">
        <f>IFERROR(VLOOKUP(E9,'Court Applications'!$B$11:$O$31,14,FALSE),"")</f>
        <v>9.6429948999271424</v>
      </c>
      <c r="F48" s="955">
        <f>IFERROR(VLOOKUP(F9,'Court Applications'!$B$11:$O$31,14,FALSE),"")</f>
        <v>6.0337261785356064</v>
      </c>
      <c r="G48" s="955">
        <f>IFERROR(VLOOKUP(G9,'Court Applications'!$B$11:$O$31,14,FALSE),"")</f>
        <v>6.7563654614597608</v>
      </c>
      <c r="H48" s="955">
        <f>IFERROR(VLOOKUP(H9,'Court Applications'!$B$11:$O$31,14,FALSE),"")</f>
        <v>7.7728370855362208</v>
      </c>
      <c r="I48" s="955">
        <f>IFERROR(VLOOKUP(I9,'Court Applications'!$B$11:$O$31,14,FALSE),"")</f>
        <v>13.226384503797252</v>
      </c>
      <c r="J48" s="955">
        <f>IFERROR(VLOOKUP(J9,'Court Applications'!$B$11:$O$31,14,FALSE),"")</f>
        <v>5.8851899911578611</v>
      </c>
      <c r="K48" s="955">
        <f>IFERROR(VLOOKUP(K9,'Court Applications'!$B$11:$O$31,14,FALSE),"")</f>
        <v>10.046935684616193</v>
      </c>
      <c r="L48" s="955">
        <f>IFERROR(VLOOKUP(L9,'Court Applications'!$B$11:$O$31,14,FALSE),"")</f>
        <v>12.225778534829733</v>
      </c>
      <c r="M48" s="955">
        <f>IFERROR(VLOOKUP(M9,'Court Applications'!$B$11:$O$31,14,FALSE),"")</f>
        <v>5.1801580276056516</v>
      </c>
      <c r="N48" s="955">
        <f>IFERROR(VLOOKUP(N9,'Court Applications'!$B$11:$O$31,14,FALSE),"")</f>
        <v>14.654785260122438</v>
      </c>
      <c r="O48" s="955">
        <f>IFERROR(VLOOKUP(O9,'Court Applications'!$B$11:$O$31,14,FALSE),"")</f>
        <v>14.23712726409871</v>
      </c>
      <c r="P48" s="955">
        <f>IFERROR(VLOOKUP(P9,'Court Applications'!$B$11:$O$31,14,FALSE),"")</f>
        <v>5.5742602956587666</v>
      </c>
      <c r="Q48" s="955">
        <f>IFERROR(VLOOKUP(Q9,'Court Applications'!$B$11:$O$31,14,FALSE),"")</f>
        <v>8.7348381077164348</v>
      </c>
      <c r="R48" s="955">
        <f>IFERROR(VLOOKUP(R9,'Court Applications'!$B$11:$O$31,14,FALSE),"")</f>
        <v>4.2533650516426267</v>
      </c>
      <c r="S48" s="955">
        <f>IFERROR(VLOOKUP(S9,'Court Applications'!$B$11:$O$31,14,FALSE),"")</f>
        <v>9.624911535739562</v>
      </c>
      <c r="T48" s="955">
        <f>IFERROR(VLOOKUP(T9,'Court Applications'!$B$11:$O$31,14,FALSE),"")</f>
        <v>7.5415623882731495</v>
      </c>
      <c r="U48" s="955">
        <f>IFERROR(VLOOKUP(U9,'Court Applications'!$B$11:$O$31,14,FALSE),"")</f>
        <v>8.7512032904524375</v>
      </c>
      <c r="V48" s="956">
        <f>IFERROR(VLOOKUP(V9,'Court Applications'!$B$11:$O$31,14,FALSE),"")</f>
        <v>6.6952948238444847</v>
      </c>
      <c r="W48" s="979">
        <f>IFERROR(VLOOKUP(W9,'Court Applications'!$B$11:$O$31,14,FALSE),"")</f>
        <v>7.3055398809319785</v>
      </c>
      <c r="X48" s="1016">
        <f>IFERROR(VLOOKUP(X9,'Court Applications'!$B$11:$O$31,14,FALSE),"")</f>
        <v>9.5385762693557261</v>
      </c>
      <c r="Y48" s="319"/>
      <c r="Z48" s="320"/>
      <c r="AU48" s="290">
        <f t="shared" si="1"/>
        <v>40</v>
      </c>
    </row>
    <row r="49" spans="1:50" s="290" customFormat="1" ht="38.25" customHeight="1" thickBot="1">
      <c r="A49" s="318"/>
      <c r="B49" s="1601"/>
      <c r="C49" s="1377" t="str">
        <f>"Number of Children subject to Care Applications to Court during the "&amp;ReportData!$G$3&amp;", Rate per 10,000 0-17 Year Olds"</f>
        <v>Number of Children subject to Care Applications to Court during the Year ending 31st March, Rate per 10,000 0-17 Year Olds</v>
      </c>
      <c r="D49" s="998">
        <f>IFERROR(VLOOKUP(D$9,'Court Applications'!$B$114:$O$134,14,FALSE),"")</f>
        <v>7.6796872272838339</v>
      </c>
      <c r="E49" s="999">
        <f>IFERROR(VLOOKUP(E$9,'Court Applications'!$B$114:$O$134,14,FALSE),"")</f>
        <v>18.000257146530664</v>
      </c>
      <c r="F49" s="999">
        <f>IFERROR(VLOOKUP(F$9,'Court Applications'!$B$114:$O$134,14,FALSE),"")</f>
        <v>10.265170511534604</v>
      </c>
      <c r="G49" s="999">
        <f>IFERROR(VLOOKUP(G$9,'Court Applications'!$B$114:$O$134,14,FALSE),"")</f>
        <v>11.77537980425844</v>
      </c>
      <c r="H49" s="999">
        <f>IFERROR(VLOOKUP(H$9,'Court Applications'!$B$114:$O$134,14,FALSE),"")</f>
        <v>12.954728475893702</v>
      </c>
      <c r="I49" s="999">
        <f>IFERROR(VLOOKUP(I$9,'Court Applications'!$B$114:$O$134,14,FALSE),"")</f>
        <v>22.186193361208293</v>
      </c>
      <c r="J49" s="999">
        <f>IFERROR(VLOOKUP(J$9,'Court Applications'!$B$114:$O$134,14,FALSE),"")</f>
        <v>9.1866380349781238</v>
      </c>
      <c r="K49" s="999">
        <f>IFERROR(VLOOKUP(K$9,'Court Applications'!$B$114:$O$134,14,FALSE),"")</f>
        <v>16.794877562343483</v>
      </c>
      <c r="L49" s="999">
        <f>IFERROR(VLOOKUP(L$9,'Court Applications'!$B$114:$O$134,14,FALSE),"")</f>
        <v>21.017349616055608</v>
      </c>
      <c r="M49" s="999">
        <f>IFERROR(VLOOKUP(M$9,'Court Applications'!$B$114:$O$134,14,FALSE),"")</f>
        <v>7.6718796105045737</v>
      </c>
      <c r="N49" s="999">
        <f>IFERROR(VLOOKUP(N$9,'Court Applications'!$B$114:$O$134,14,FALSE),"")</f>
        <v>25.76405795731203</v>
      </c>
      <c r="O49" s="999">
        <f>IFERROR(VLOOKUP(O$9,'Court Applications'!$B$114:$O$134,14,FALSE),"")</f>
        <v>22.673943420601653</v>
      </c>
      <c r="P49" s="999">
        <f>IFERROR(VLOOKUP(P$9,'Court Applications'!$B$114:$O$134,14,FALSE),"")</f>
        <v>8.2499052375749731</v>
      </c>
      <c r="Q49" s="999">
        <f>IFERROR(VLOOKUP(Q$9,'Court Applications'!$B$114:$O$134,14,FALSE),"")</f>
        <v>14.293371448990529</v>
      </c>
      <c r="R49" s="999">
        <f>IFERROR(VLOOKUP(R$9,'Court Applications'!$B$114:$O$134,14,FALSE),"")</f>
        <v>6.5870697702430068</v>
      </c>
      <c r="S49" s="999">
        <f>IFERROR(VLOOKUP(S$9,'Court Applications'!$B$114:$O$134,14,FALSE),"")</f>
        <v>18.117480537862704</v>
      </c>
      <c r="T49" s="999">
        <f>IFERROR(VLOOKUP(T$9,'Court Applications'!$B$114:$O$134,14,FALSE),"")</f>
        <v>11.843046120843763</v>
      </c>
      <c r="U49" s="999">
        <f>IFERROR(VLOOKUP(U$9,'Court Applications'!$B$114:$O$134,14,FALSE),"")</f>
        <v>14.585338817420729</v>
      </c>
      <c r="V49" s="1000">
        <f>IFERROR(VLOOKUP(V$9,'Court Applications'!$B$114:$O$134,14,FALSE),"")</f>
        <v>10.850995059334164</v>
      </c>
      <c r="W49" s="1017">
        <f>IFERROR(VLOOKUP(W$9,'Court Applications'!$B$114:$O$134,14,FALSE),"")</f>
        <v>11.739791911559898</v>
      </c>
      <c r="X49" s="1018">
        <f>IFERROR(VLOOKUP(X$9,'Court Applications'!$B$114:$O$134,14,FALSE),"")</f>
        <v>15.740942769709182</v>
      </c>
      <c r="Y49" s="319"/>
      <c r="Z49" s="320"/>
      <c r="AU49" s="290">
        <f t="shared" si="1"/>
        <v>41</v>
      </c>
    </row>
    <row r="50" spans="1:50" s="290" customFormat="1" ht="26.25" customHeight="1">
      <c r="A50" s="318"/>
      <c r="B50" s="1598" t="s">
        <v>687</v>
      </c>
      <c r="C50" s="1370" t="str">
        <f>"Children who were Looked After at "&amp;ReportData!$H$3&amp;", Rate per 10,000 0-17 Year Olds"</f>
        <v>Children who were Looked After at 31st March, Rate per 10,000 0-17 Year Olds</v>
      </c>
      <c r="D50" s="936">
        <f>IFERROR(VLOOKUP(D9,'Looked After Children'!$B$11:$O$31,14,FALSE),"")</f>
        <v>48.870736900897121</v>
      </c>
      <c r="E50" s="937">
        <f>IFERROR(VLOOKUP(E9,'Looked After Children'!$B$11:$O$31,14,FALSE),"")</f>
        <v>75.858226546093519</v>
      </c>
      <c r="F50" s="937">
        <f>IFERROR(VLOOKUP(F9,'Looked After Children'!$B$11:$O$31,14,FALSE),"")</f>
        <v>40.98232196589769</v>
      </c>
      <c r="G50" s="937">
        <f>IFERROR(VLOOKUP(G9,'Looked After Children'!$B$11:$O$31,14,FALSE),"")</f>
        <v>63.413315831129474</v>
      </c>
      <c r="H50" s="937">
        <f>IFERROR(VLOOKUP(H9,'Looked After Children'!$B$11:$O$31,14,FALSE),"")</f>
        <v>67.119498616995202</v>
      </c>
      <c r="I50" s="937">
        <f>IFERROR(VLOOKUP(I9,'Looked After Children'!$B$11:$O$31,14,FALSE),"")</f>
        <v>119.03746053417527</v>
      </c>
      <c r="J50" s="937">
        <f>IFERROR(VLOOKUP(J9,'Looked After Children'!$B$11:$O$31,14,FALSE),"")</f>
        <v>56.268157964241013</v>
      </c>
      <c r="K50" s="937">
        <f>IFERROR(VLOOKUP(K9,'Looked After Children'!$B$11:$O$31,14,FALSE),"")</f>
        <v>71.378229639959812</v>
      </c>
      <c r="L50" s="937">
        <f>IFERROR(VLOOKUP(L9,'Looked After Children'!$B$11:$O$31,14,FALSE),"")</f>
        <v>56.321002239103265</v>
      </c>
      <c r="M50" s="937">
        <f>IFERROR(VLOOKUP(M9,'Looked After Children'!$B$11:$O$31,14,FALSE),"")</f>
        <v>50.490147864004456</v>
      </c>
      <c r="N50" s="937">
        <f>IFERROR(VLOOKUP(N9,'Looked After Children'!$B$11:$O$31,14,FALSE),"")</f>
        <v>95.019736686600325</v>
      </c>
      <c r="O50" s="937">
        <f>IFERROR(VLOOKUP(O9,'Looked After Children'!$B$11:$O$31,14,FALSE),"")</f>
        <v>70.131034300930679</v>
      </c>
      <c r="P50" s="937">
        <f>IFERROR(VLOOKUP(P9,'Looked After Children'!$B$11:$O$31,14,FALSE),"")</f>
        <v>44.817052777096478</v>
      </c>
      <c r="Q50" s="937">
        <f>IFERROR(VLOOKUP(Q9,'Looked After Children'!$B$11:$O$31,14,FALSE),"")</f>
        <v>96.877295376491375</v>
      </c>
      <c r="R50" s="937">
        <f>IFERROR(VLOOKUP(R9,'Looked After Children'!$B$11:$O$31,14,FALSE),"")</f>
        <v>36.247703935680086</v>
      </c>
      <c r="S50" s="937">
        <f>IFERROR(VLOOKUP(S9,'Looked After Children'!$B$11:$O$31,14,FALSE),"")</f>
        <v>52.937013446567583</v>
      </c>
      <c r="T50" s="937">
        <f>IFERROR(VLOOKUP(T9,'Looked After Children'!$B$11:$O$31,14,FALSE),"")</f>
        <v>50.612263139077584</v>
      </c>
      <c r="U50" s="937">
        <f>IFERROR(VLOOKUP(U9,'Looked After Children'!$B$11:$O$31,14,FALSE),"")</f>
        <v>40.838948688778039</v>
      </c>
      <c r="V50" s="938">
        <f>IFERROR(VLOOKUP(V9,'Looked After Children'!$B$11:$O$31,14,FALSE),"")</f>
        <v>31.629496236782565</v>
      </c>
      <c r="W50" s="973">
        <f>IFERROR(VLOOKUP(W9,'Looked After Children'!$B$11:$O$31,14,FALSE),"")</f>
        <v>57.196033521582287</v>
      </c>
      <c r="X50" s="974">
        <f>IFERROR(VLOOKUP(X9,'Looked After Children'!$B$11:$O$31,14,FALSE),"")</f>
        <v>69.69953109709212</v>
      </c>
      <c r="Y50" s="319"/>
      <c r="Z50" s="320"/>
      <c r="AU50" s="290">
        <f t="shared" si="1"/>
        <v>42</v>
      </c>
    </row>
    <row r="51" spans="1:50" s="290" customFormat="1" ht="26.25" customHeight="1">
      <c r="A51" s="318"/>
      <c r="B51" s="1599"/>
      <c r="C51" s="1371" t="str">
        <f>"% Children Looked After at "&amp;ReportData!$H$3&amp;" (age &lt;16) who had been looked after for more than 2.5 years"</f>
        <v>% Children Looked After at 31st March (age &lt;16) who had been looked after for more than 2.5 years</v>
      </c>
      <c r="D51" s="945">
        <f>IFERROR(VLOOKUP(D9,'Looked After Children'!$B$109:$H$129,7,FALSE),"")</f>
        <v>0.47368421052631576</v>
      </c>
      <c r="E51" s="946">
        <f>IFERROR(VLOOKUP(E9,'Looked After Children'!$B$109:$H$129,7,FALSE),"")</f>
        <v>0.49789029535864981</v>
      </c>
      <c r="F51" s="946">
        <f>IFERROR(VLOOKUP(F9,'Looked After Children'!$B$109:$H$129,7,FALSE),"")</f>
        <v>0.40793201133144474</v>
      </c>
      <c r="G51" s="946">
        <f>IFERROR(VLOOKUP(G9,'Looked After Children'!$B$109:$H$129,7,FALSE),"")</f>
        <v>0.50627615062761511</v>
      </c>
      <c r="H51" s="946">
        <f>IFERROR(VLOOKUP(H9,'Looked After Children'!$B$109:$H$129,7,FALSE),"")</f>
        <v>0.50112866817155755</v>
      </c>
      <c r="I51" s="946">
        <f>IFERROR(VLOOKUP(I9,'Looked After Children'!$B$109:$H$129,7,FALSE),"")</f>
        <v>0.52631578947368418</v>
      </c>
      <c r="J51" s="946">
        <f>IFERROR(VLOOKUP(J9,'Looked After Children'!$B$109:$H$129,7,FALSE),"")</f>
        <v>0.39506172839506171</v>
      </c>
      <c r="K51" s="946">
        <f>IFERROR(VLOOKUP(K9,'Looked After Children'!$B$109:$H$129,7,FALSE),"")</f>
        <v>0.47814207650273222</v>
      </c>
      <c r="L51" s="946">
        <f>IFERROR(VLOOKUP(L9,'Looked After Children'!$B$109:$H$129,7,FALSE),"")</f>
        <v>0.34527687296416937</v>
      </c>
      <c r="M51" s="946">
        <f>IFERROR(VLOOKUP(M9,'Looked After Children'!$B$109:$H$129,7,FALSE),"")</f>
        <v>0.54761904761904767</v>
      </c>
      <c r="N51" s="946">
        <f>IFERROR(VLOOKUP(N9,'Looked After Children'!$B$109:$H$129,7,FALSE),"")</f>
        <v>0.45608108108108109</v>
      </c>
      <c r="O51" s="946">
        <f>IFERROR(VLOOKUP(O9,'Looked After Children'!$B$109:$H$129,7,FALSE),"")</f>
        <v>0.50515463917525771</v>
      </c>
      <c r="P51" s="946">
        <f>IFERROR(VLOOKUP(P9,'Looked After Children'!$B$109:$H$129,7,FALSE),"")</f>
        <v>0.43307086614173229</v>
      </c>
      <c r="Q51" s="946">
        <f>IFERROR(VLOOKUP(Q9,'Looked After Children'!$B$109:$H$129,7,FALSE),"")</f>
        <v>0.54415954415954415</v>
      </c>
      <c r="R51" s="946">
        <f>IFERROR(VLOOKUP(R9,'Looked After Children'!$B$109:$H$129,7,FALSE),"")</f>
        <v>0.51060606060606062</v>
      </c>
      <c r="S51" s="946">
        <f>IFERROR(VLOOKUP(S9,'Looked After Children'!$B$109:$H$129,7,FALSE),"")</f>
        <v>0.38461538461538464</v>
      </c>
      <c r="T51" s="946">
        <f>IFERROR(VLOOKUP(T9,'Looked After Children'!$B$109:$H$129,7,FALSE),"")</f>
        <v>0.43217665615141954</v>
      </c>
      <c r="U51" s="946">
        <f>IFERROR(VLOOKUP(U9,'Looked After Children'!$B$109:$H$129,7,FALSE),"")</f>
        <v>0.37254901960784315</v>
      </c>
      <c r="V51" s="947">
        <f>IFERROR(VLOOKUP(V9,'Looked After Children'!$B$109:$H$129,7,FALSE),"")</f>
        <v>0.35365853658536583</v>
      </c>
      <c r="W51" s="969">
        <f>IFERROR(VLOOKUP(W9,'Looked After Children'!$B$109:$H$129,7,FALSE),"")</f>
        <v>0.46631439894319682</v>
      </c>
      <c r="X51" s="975">
        <f>IFERROR(VLOOKUP(X9,'Looked After Children'!$B$109:$H$129,7,FALSE),"")</f>
        <v>0.47533191280118015</v>
      </c>
      <c r="Y51" s="319"/>
      <c r="Z51" s="320"/>
      <c r="AU51" s="290">
        <f t="shared" si="1"/>
        <v>43</v>
      </c>
    </row>
    <row r="52" spans="1:50" s="290" customFormat="1" ht="26.25" customHeight="1">
      <c r="A52" s="318"/>
      <c r="B52" s="1599"/>
      <c r="C52" s="1371" t="s">
        <v>201</v>
      </c>
      <c r="D52" s="945">
        <f>IFERROR(VLOOKUP(D9,'Looked After Children'!$B$142:$H$162,7,FALSE),"")</f>
        <v>0.63888888888888884</v>
      </c>
      <c r="E52" s="946">
        <f>IFERROR(VLOOKUP(E9,'Looked After Children'!$B$142:$H$162,7,FALSE),"")</f>
        <v>0.76271186440677963</v>
      </c>
      <c r="F52" s="946">
        <f>IFERROR(VLOOKUP(F9,'Looked After Children'!$B$142:$H$162,7,FALSE),"")</f>
        <v>0.66666666666666663</v>
      </c>
      <c r="G52" s="946">
        <f>IFERROR(VLOOKUP(G9,'Looked After Children'!$B$142:$H$162,7,FALSE),"")</f>
        <v>0.66942148760330578</v>
      </c>
      <c r="H52" s="946">
        <f>IFERROR(VLOOKUP(H9,'Looked After Children'!$B$142:$H$162,7,FALSE),"")</f>
        <v>0.56606606606606602</v>
      </c>
      <c r="I52" s="946">
        <f>IFERROR(VLOOKUP(I9,'Looked After Children'!$B$142:$H$162,7,FALSE),"")</f>
        <v>0.72727272727272729</v>
      </c>
      <c r="J52" s="946">
        <f>IFERROR(VLOOKUP(J9,'Looked After Children'!$B$142:$H$162,7,FALSE),"")</f>
        <v>0.6696428571428571</v>
      </c>
      <c r="K52" s="946">
        <f>IFERROR(VLOOKUP(K9,'Looked After Children'!$B$142:$H$162,7,FALSE),"")</f>
        <v>0.62285714285714289</v>
      </c>
      <c r="L52" s="946">
        <f>IFERROR(VLOOKUP(L9,'Looked After Children'!$B$142:$H$162,7,FALSE),"")</f>
        <v>0.6132075471698113</v>
      </c>
      <c r="M52" s="946">
        <f>IFERROR(VLOOKUP(M9,'Looked After Children'!$B$142:$H$162,7,FALSE),"")</f>
        <v>0.6811594202898551</v>
      </c>
      <c r="N52" s="946">
        <f>IFERROR(VLOOKUP(N9,'Looked After Children'!$B$142:$H$162,7,FALSE),"")</f>
        <v>0.75555555555555554</v>
      </c>
      <c r="O52" s="946">
        <f>IFERROR(VLOOKUP(O9,'Looked After Children'!$B$142:$H$162,7,FALSE),"")</f>
        <v>0.7142857142857143</v>
      </c>
      <c r="P52" s="946">
        <f>IFERROR(VLOOKUP(P9,'Looked After Children'!$B$142:$H$162,7,FALSE),"")</f>
        <v>0.67272727272727273</v>
      </c>
      <c r="Q52" s="946">
        <f>IFERROR(VLOOKUP(Q9,'Looked After Children'!$B$142:$H$162,7,FALSE),"")</f>
        <v>0.60732984293193715</v>
      </c>
      <c r="R52" s="946">
        <f>IFERROR(VLOOKUP(R9,'Looked After Children'!$B$142:$H$162,7,FALSE),"")</f>
        <v>0.71216617210682498</v>
      </c>
      <c r="S52" s="946">
        <f>IFERROR(VLOOKUP(S9,'Looked After Children'!$B$142:$H$162,7,FALSE),"")</f>
        <v>0.64</v>
      </c>
      <c r="T52" s="946">
        <f>IFERROR(VLOOKUP(T9,'Looked After Children'!$B$142:$H$162,7,FALSE),"")</f>
        <v>0.68978102189781021</v>
      </c>
      <c r="U52" s="946">
        <f>IFERROR(VLOOKUP(U9,'Looked After Children'!$B$142:$H$162,7,FALSE),"")</f>
        <v>0.60526315789473684</v>
      </c>
      <c r="V52" s="947">
        <f>IFERROR(VLOOKUP(V9,'Looked After Children'!$B$142:$H$162,7,FALSE),"")</f>
        <v>0.58620689655172409</v>
      </c>
      <c r="W52" s="969">
        <f>IFERROR(VLOOKUP(W9,'Looked After Children'!$B$142:$H$162,7,FALSE),"")</f>
        <v>0.65722379603399439</v>
      </c>
      <c r="X52" s="975">
        <f>IFERROR(VLOOKUP(X9,'Looked After Children'!$B$142:$H$162,7,FALSE),"")</f>
        <v>0.68103448275862066</v>
      </c>
      <c r="Y52" s="319"/>
      <c r="Z52" s="320"/>
      <c r="AU52" s="290">
        <f t="shared" si="1"/>
        <v>44</v>
      </c>
    </row>
    <row r="53" spans="1:50" s="290" customFormat="1" ht="26.25" customHeight="1">
      <c r="A53" s="318"/>
      <c r="B53" s="1599"/>
      <c r="C53" s="1371" t="str">
        <f>"% Children Looked After at "&amp;ReportData!$H$3&amp;" who had 3 or more placements during the previous 12 months"</f>
        <v>% Children Looked After at 31st March who had 3 or more placements during the previous 12 months</v>
      </c>
      <c r="D53" s="945">
        <f>IFERROR(VLOOKUP(D9,'Looked After Children'!$B$175:$H$195,7,FALSE),"")</f>
        <v>0.10714285714285714</v>
      </c>
      <c r="E53" s="946">
        <f>IFERROR(VLOOKUP(E9,'Looked After Children'!$B$175:$H$195,7,FALSE),"")</f>
        <v>0.12429378531073447</v>
      </c>
      <c r="F53" s="946">
        <f>IFERROR(VLOOKUP(F9,'Looked After Children'!$B$175:$H$195,7,FALSE),"")</f>
        <v>8.7954110898661564E-2</v>
      </c>
      <c r="G53" s="946">
        <f>IFERROR(VLOOKUP(G9,'Looked After Children'!$B$175:$H$195,7,FALSE),"")</f>
        <v>0.14307458143074581</v>
      </c>
      <c r="H53" s="946">
        <f>IFERROR(VLOOKUP(H9,'Looked After Children'!$B$175:$H$195,7,FALSE),"")</f>
        <v>0.1210224308815858</v>
      </c>
      <c r="I53" s="946">
        <f>IFERROR(VLOOKUP(I9,'Looked After Children'!$B$175:$H$195,7,FALSE),"")</f>
        <v>0.11827956989247312</v>
      </c>
      <c r="J53" s="946">
        <f>IFERROR(VLOOKUP(J9,'Looked After Children'!$B$175:$H$195,7,FALSE),"")</f>
        <v>0.11275510204081633</v>
      </c>
      <c r="K53" s="946">
        <f>IFERROR(VLOOKUP(K9,'Looked After Children'!$B$175:$H$195,7,FALSE),"")</f>
        <v>0.13655462184873948</v>
      </c>
      <c r="L53" s="946">
        <f>IFERROR(VLOOKUP(L9,'Looked After Children'!$B$175:$H$195,7,FALSE),"")</f>
        <v>0.16341463414634147</v>
      </c>
      <c r="M53" s="946">
        <f>IFERROR(VLOOKUP(M9,'Looked After Children'!$B$175:$H$195,7,FALSE),"")</f>
        <v>0.13116883116883116</v>
      </c>
      <c r="N53" s="946">
        <f>IFERROR(VLOOKUP(N9,'Looked After Children'!$B$175:$H$195,7,FALSE),"")</f>
        <v>9.2039800995024873E-2</v>
      </c>
      <c r="O53" s="946">
        <f>IFERROR(VLOOKUP(O9,'Looked After Children'!$B$175:$H$195,7,FALSE),"")</f>
        <v>0.12030075187969924</v>
      </c>
      <c r="P53" s="946">
        <f>IFERROR(VLOOKUP(P9,'Looked After Children'!$B$175:$H$195,7,FALSE),"")</f>
        <v>0.13930348258706468</v>
      </c>
      <c r="Q53" s="946">
        <f>IFERROR(VLOOKUP(Q9,'Looked After Children'!$B$175:$H$195,7,FALSE),"")</f>
        <v>0.18442622950819673</v>
      </c>
      <c r="R53" s="946">
        <f>IFERROR(VLOOKUP(R9,'Looked After Children'!$B$175:$H$195,7,FALSE),"")</f>
        <v>0.11734164070612668</v>
      </c>
      <c r="S53" s="946">
        <f>IFERROR(VLOOKUP(S9,'Looked After Children'!$B$175:$H$195,7,FALSE),"")</f>
        <v>0.15508021390374332</v>
      </c>
      <c r="T53" s="946">
        <f>IFERROR(VLOOKUP(T9,'Looked After Children'!$B$175:$H$195,7,FALSE),"")</f>
        <v>0.10927152317880795</v>
      </c>
      <c r="U53" s="946">
        <f>IFERROR(VLOOKUP(U9,'Looked After Children'!$B$175:$H$195,7,FALSE),"")</f>
        <v>0.15714285714285714</v>
      </c>
      <c r="V53" s="947">
        <f>IFERROR(VLOOKUP(V9,'Looked After Children'!$B$175:$H$195,7,FALSE),"")</f>
        <v>0</v>
      </c>
      <c r="W53" s="969">
        <f>IFERROR(VLOOKUP(W9,'Looked After Children'!$B$175:$H$195,7,FALSE),"")</f>
        <v>0.12258410880458125</v>
      </c>
      <c r="X53" s="975">
        <f>IFERROR(VLOOKUP(X9,'Looked After Children'!$B$175:$H$195,7,FALSE),"")</f>
        <v>0.10391008011479134</v>
      </c>
      <c r="Y53" s="319"/>
      <c r="Z53" s="320"/>
      <c r="AU53" s="290">
        <f t="shared" si="1"/>
        <v>45</v>
      </c>
    </row>
    <row r="54" spans="1:50" s="290" customFormat="1" ht="26.25" customHeight="1" thickBot="1">
      <c r="A54" s="318"/>
      <c r="B54" s="1599"/>
      <c r="C54" s="1378" t="str">
        <f>"% Children Looked After at "&amp;ReportData!$H$3&amp;" who were Unaccompanied Asylum Seeking Children (UASC)"</f>
        <v>% Children Looked After at 31st March who were Unaccompanied Asylum Seeking Children (UASC)</v>
      </c>
      <c r="D54" s="992">
        <f>IFERROR(VLOOKUP(D9,'Looked After Children'!$B$243:$H$263,7,FALSE),"")</f>
        <v>0.15714285714285714</v>
      </c>
      <c r="E54" s="993">
        <f>IFERROR(VLOOKUP(E9,'Looked After Children'!$B$243:$H$263,7,FALSE),"")</f>
        <v>0.1440677966101695</v>
      </c>
      <c r="F54" s="993">
        <f>IFERROR(VLOOKUP(F9,'Looked After Children'!$B$243:$H$263,7,FALSE),"")</f>
        <v>0.124282982791587</v>
      </c>
      <c r="G54" s="993">
        <f>IFERROR(VLOOKUP(G9,'Looked After Children'!$B$243:$H$263,7,FALSE),"")</f>
        <v>0.1111111111111111</v>
      </c>
      <c r="H54" s="993">
        <f>IFERROR(VLOOKUP(H9,'Looked After Children'!$B$243:$H$263,7,FALSE),"")</f>
        <v>0.15910276473656756</v>
      </c>
      <c r="I54" s="993">
        <f>IFERROR(VLOOKUP(I9,'Looked After Children'!$B$243:$H$263,7,FALSE),"")</f>
        <v>7.5268817204301078E-2</v>
      </c>
      <c r="J54" s="993">
        <f>IFERROR(VLOOKUP(J9,'Looked After Children'!$B$243:$H$263,7,FALSE),"")</f>
        <v>0.25408163265306122</v>
      </c>
      <c r="K54" s="993">
        <f>IFERROR(VLOOKUP(K9,'Looked After Children'!$B$243:$H$263,7,FALSE),"")</f>
        <v>4.6218487394957986E-2</v>
      </c>
      <c r="L54" s="993">
        <f>IFERROR(VLOOKUP(L9,'Looked After Children'!$B$243:$H$263,7,FALSE),"")</f>
        <v>0.11219512195121951</v>
      </c>
      <c r="M54" s="993">
        <f>IFERROR(VLOOKUP(M9,'Looked After Children'!$B$243:$H$263,7,FALSE),"")</f>
        <v>0.12337662337662338</v>
      </c>
      <c r="N54" s="993">
        <f>IFERROR(VLOOKUP(N9,'Looked After Children'!$B$243:$H$263,7,FALSE),"")</f>
        <v>9.7014925373134331E-2</v>
      </c>
      <c r="O54" s="993">
        <f>IFERROR(VLOOKUP(O9,'Looked After Children'!$B$243:$H$263,7,FALSE),"")</f>
        <v>0.10902255639097744</v>
      </c>
      <c r="P54" s="993">
        <f>IFERROR(VLOOKUP(P9,'Looked After Children'!$B$243:$H$263,7,FALSE),"")</f>
        <v>0.12935323383084577</v>
      </c>
      <c r="Q54" s="993">
        <f>IFERROR(VLOOKUP(Q9,'Looked After Children'!$B$243:$H$263,7,FALSE),"")</f>
        <v>7.9918032786885251E-2</v>
      </c>
      <c r="R54" s="993">
        <f>IFERROR(VLOOKUP(R9,'Looked After Children'!$B$243:$H$263,7,FALSE),"")</f>
        <v>0.1059190031152648</v>
      </c>
      <c r="S54" s="993">
        <f>IFERROR(VLOOKUP(S9,'Looked After Children'!$B$243:$H$263,7,FALSE),"")</f>
        <v>0.13368983957219252</v>
      </c>
      <c r="T54" s="993">
        <f>IFERROR(VLOOKUP(T9,'Looked After Children'!$B$243:$H$263,7,FALSE),"")</f>
        <v>9.3818984547461362E-2</v>
      </c>
      <c r="U54" s="993">
        <f>IFERROR(VLOOKUP(U9,'Looked After Children'!$B$243:$H$263,7,FALSE),"")</f>
        <v>0.15714285714285714</v>
      </c>
      <c r="V54" s="994">
        <f>IFERROR(VLOOKUP(V9,'Looked After Children'!$B$243:$H$263,7,FALSE),"")</f>
        <v>0.26277372262773724</v>
      </c>
      <c r="W54" s="1019">
        <f>IFERROR(VLOOKUP(W9,'Looked After Children'!$B$243:$H$263,7,FALSE),"")</f>
        <v>0.14316392269148176</v>
      </c>
      <c r="X54" s="1020">
        <f>IFERROR(VLOOKUP(X9,'Looked After Children'!$B$243:$H$263,7,FALSE),"")</f>
        <v>8.8245844792538566E-2</v>
      </c>
      <c r="Y54" s="319"/>
      <c r="Z54" s="320"/>
      <c r="AU54" s="290">
        <f t="shared" si="1"/>
        <v>46</v>
      </c>
    </row>
    <row r="55" spans="1:50" s="290" customFormat="1" ht="21" customHeight="1">
      <c r="A55" s="318"/>
      <c r="B55" s="1599"/>
      <c r="C55" s="1370" t="s">
        <v>682</v>
      </c>
      <c r="D55" s="954">
        <f>IFERROR(VLOOKUP(D$9,'Looked After Children'!$B$308:$H$328,3,FALSE),"")</f>
        <v>65.359477124183002</v>
      </c>
      <c r="E55" s="955">
        <f>IFERROR(VLOOKUP(E$9,'Looked After Children'!$B$308:$H$328,3,FALSE),"")</f>
        <v>54.545454545454547</v>
      </c>
      <c r="F55" s="955">
        <f>IFERROR(VLOOKUP(F$9,'Looked After Children'!$B$308:$H$328,3,FALSE),"")</f>
        <v>40.49949375632805</v>
      </c>
      <c r="G55" s="955">
        <f>IFERROR(VLOOKUP(G$9,'Looked After Children'!$B$308:$H$328,3,FALSE),"")</f>
        <v>43.486855109705473</v>
      </c>
      <c r="H55" s="955">
        <f>IFERROR(VLOOKUP(H$9,'Looked After Children'!$B$308:$H$328,3,FALSE),"")</f>
        <v>39.179370280666767</v>
      </c>
      <c r="I55" s="955">
        <f>IFERROR(VLOOKUP(I$9,'Looked After Children'!$B$308:$H$328,3,FALSE),"")</f>
        <v>66.115702479338836</v>
      </c>
      <c r="J55" s="955">
        <f>IFERROR(VLOOKUP(J$9,'Looked After Children'!$B$308:$H$328,3,FALSE),"")</f>
        <v>38.413026029125099</v>
      </c>
      <c r="K55" s="955">
        <f>IFERROR(VLOOKUP(K$9,'Looked After Children'!$B$308:$H$328,3,FALSE),"")</f>
        <v>63.013698630136986</v>
      </c>
      <c r="L55" s="955">
        <f>IFERROR(VLOOKUP(L$9,'Looked After Children'!$B$308:$H$328,3,FALSE),"")</f>
        <v>66.796548844976343</v>
      </c>
      <c r="M55" s="955">
        <f>IFERROR(VLOOKUP(M$9,'Looked After Children'!$B$308:$H$328,3,FALSE),"")</f>
        <v>29.259210001329961</v>
      </c>
      <c r="N55" s="955">
        <f>IFERROR(VLOOKUP(N$9,'Looked After Children'!$B$308:$H$328,3,FALSE),"")</f>
        <v>88.745461879790241</v>
      </c>
      <c r="O55" s="955">
        <f>IFERROR(VLOOKUP(O$9,'Looked After Children'!$B$308:$H$328,3,FALSE),"")</f>
        <v>52.824055262088585</v>
      </c>
      <c r="P55" s="955">
        <f>IFERROR(VLOOKUP(P$9,'Looked After Children'!$B$308:$H$328,3,FALSE),"")</f>
        <v>31.286664059444661</v>
      </c>
      <c r="Q55" s="955">
        <f>IFERROR(VLOOKUP(Q$9,'Looked After Children'!$B$308:$H$328,3,FALSE),"")</f>
        <v>41.296060991105463</v>
      </c>
      <c r="R55" s="955">
        <f>IFERROR(VLOOKUP(R$9,'Looked After Children'!$B$308:$H$328,3,FALSE),"")</f>
        <v>20.565161093761901</v>
      </c>
      <c r="S55" s="955">
        <f>IFERROR(VLOOKUP(S$9,'Looked After Children'!$B$308:$H$328,3,FALSE),"")</f>
        <v>47.761194029850749</v>
      </c>
      <c r="T55" s="955">
        <f>IFERROR(VLOOKUP(T$9,'Looked After Children'!$B$308:$H$328,3,FALSE),"")</f>
        <v>37.572583399749519</v>
      </c>
      <c r="U55" s="955">
        <f>IFERROR(VLOOKUP(U$9,'Looked After Children'!$B$308:$H$328,3,FALSE),"")</f>
        <v>47.225501770956313</v>
      </c>
      <c r="V55" s="956">
        <f>IFERROR(VLOOKUP(V$9,'Looked After Children'!$B$308:$H$328,3,FALSE),"")</f>
        <v>45.019696117051211</v>
      </c>
      <c r="W55" s="979">
        <f>IFERROR(VLOOKUP(W$9,'Looked After Children'!$B$308:$H$328,3,FALSE),"")</f>
        <v>40.890821506577439</v>
      </c>
      <c r="X55" s="1021">
        <f>IFERROR(VLOOKUP(X$9,'Looked After Children'!$B$308:$H$328,3,FALSE),"")</f>
        <v>57.080158600204754</v>
      </c>
      <c r="Y55" s="319"/>
      <c r="Z55" s="320"/>
      <c r="AU55" s="290">
        <f t="shared" si="1"/>
        <v>47</v>
      </c>
    </row>
    <row r="56" spans="1:50" s="290" customFormat="1" ht="21" customHeight="1">
      <c r="A56" s="318"/>
      <c r="B56" s="1599"/>
      <c r="C56" s="1371" t="s">
        <v>683</v>
      </c>
      <c r="D56" s="1001">
        <f>IFERROR(VLOOKUP(D$9,'Looked After Children'!$B$308:$H$328,4,FALSE),"")</f>
        <v>18.098058571898651</v>
      </c>
      <c r="E56" s="1002">
        <f>IFERROR(VLOOKUP(E$9,'Looked After Children'!$B$308:$H$328,4,FALSE),"")</f>
        <v>28.055409433631425</v>
      </c>
      <c r="F56" s="1002">
        <f>IFERROR(VLOOKUP(F$9,'Looked After Children'!$B$308:$H$328,4,FALSE),"")</f>
        <v>16.489281966721631</v>
      </c>
      <c r="G56" s="1002">
        <f>IFERROR(VLOOKUP(G$9,'Looked After Children'!$B$308:$H$328,4,FALSE),"")</f>
        <v>30.756886868146562</v>
      </c>
      <c r="H56" s="1002">
        <f>IFERROR(VLOOKUP(H$9,'Looked After Children'!$B$308:$H$328,4,FALSE),"")</f>
        <v>28.39940929228672</v>
      </c>
      <c r="I56" s="1002">
        <f>IFERROR(VLOOKUP(I$9,'Looked After Children'!$B$308:$H$328,4,FALSE),"")</f>
        <v>59.22635572829909</v>
      </c>
      <c r="J56" s="1002">
        <f>IFERROR(VLOOKUP(J$9,'Looked After Children'!$B$308:$H$328,4,FALSE),"")</f>
        <v>23.256757304920427</v>
      </c>
      <c r="K56" s="1002">
        <f>IFERROR(VLOOKUP(K$9,'Looked After Children'!$B$308:$H$328,4,FALSE),"")</f>
        <v>36.202735317779563</v>
      </c>
      <c r="L56" s="1002">
        <f>IFERROR(VLOOKUP(L$9,'Looked After Children'!$B$308:$H$328,4,FALSE),"")</f>
        <v>38.020404283632217</v>
      </c>
      <c r="M56" s="1002">
        <f>IFERROR(VLOOKUP(M$9,'Looked After Children'!$B$308:$H$328,4,FALSE),"")</f>
        <v>17.179447134155865</v>
      </c>
      <c r="N56" s="1002">
        <f>IFERROR(VLOOKUP(N$9,'Looked After Children'!$B$308:$H$328,4,FALSE),"")</f>
        <v>58.237835806875822</v>
      </c>
      <c r="O56" s="1002">
        <f>IFERROR(VLOOKUP(O$9,'Looked After Children'!$B$308:$H$328,4,FALSE),"")</f>
        <v>27.915632754342429</v>
      </c>
      <c r="P56" s="1002">
        <f>IFERROR(VLOOKUP(P$9,'Looked After Children'!$B$308:$H$328,4,FALSE),"")</f>
        <v>23.8914373088685</v>
      </c>
      <c r="Q56" s="1002">
        <f>IFERROR(VLOOKUP(Q$9,'Looked After Children'!$B$308:$H$328,4,FALSE),"")</f>
        <v>30.270102452654456</v>
      </c>
      <c r="R56" s="1002">
        <f>IFERROR(VLOOKUP(R$9,'Looked After Children'!$B$308:$H$328,4,FALSE),"")</f>
        <v>17.792057487346909</v>
      </c>
      <c r="S56" s="1002">
        <f>IFERROR(VLOOKUP(S$9,'Looked After Children'!$B$308:$H$328,4,FALSE),"")</f>
        <v>29.451137884872825</v>
      </c>
      <c r="T56" s="1002">
        <f>IFERROR(VLOOKUP(T$9,'Looked After Children'!$B$308:$H$328,4,FALSE),"")</f>
        <v>22.910103876493714</v>
      </c>
      <c r="U56" s="1002">
        <f>IFERROR(VLOOKUP(U$9,'Looked After Children'!$B$308:$H$328,4,FALSE),"")</f>
        <v>22.698255071641366</v>
      </c>
      <c r="V56" s="1003">
        <f>IFERROR(VLOOKUP(V$9,'Looked After Children'!$B$308:$H$328,4,FALSE),"")</f>
        <v>11.010521164668461</v>
      </c>
      <c r="W56" s="1022">
        <f>IFERROR(VLOOKUP(W$9,'Looked After Children'!$B$308:$H$328,4,FALSE),"")</f>
        <v>25.406738791008788</v>
      </c>
      <c r="X56" s="1023">
        <f>IFERROR(VLOOKUP(X$9,'Looked After Children'!$B$308:$H$328,4,FALSE),"")</f>
        <v>39.61254392342844</v>
      </c>
      <c r="Y56" s="319"/>
      <c r="Z56" s="320"/>
      <c r="AU56" s="290">
        <f t="shared" si="1"/>
        <v>48</v>
      </c>
    </row>
    <row r="57" spans="1:50" s="290" customFormat="1" ht="21" customHeight="1">
      <c r="A57" s="318"/>
      <c r="B57" s="1599"/>
      <c r="C57" s="1371" t="s">
        <v>684</v>
      </c>
      <c r="D57" s="1001">
        <f>IFERROR(VLOOKUP(D$9,'Looked After Children'!$B$308:$H$328,5,FALSE),"")</f>
        <v>16.491930733890918</v>
      </c>
      <c r="E57" s="1002">
        <f>IFERROR(VLOOKUP(E$9,'Looked After Children'!$B$308:$H$328,5,FALSE),"")</f>
        <v>34.487422234243979</v>
      </c>
      <c r="F57" s="1002">
        <f>IFERROR(VLOOKUP(F$9,'Looked After Children'!$B$308:$H$328,5,FALSE),"")</f>
        <v>22.373195820032198</v>
      </c>
      <c r="G57" s="1002">
        <f>IFERROR(VLOOKUP(G$9,'Looked After Children'!$B$308:$H$328,5,FALSE),"")</f>
        <v>33.791394458211307</v>
      </c>
      <c r="H57" s="1002">
        <f>IFERROR(VLOOKUP(H$9,'Looked After Children'!$B$308:$H$328,5,FALSE),"")</f>
        <v>41.108004110800408</v>
      </c>
      <c r="I57" s="1002">
        <f>IFERROR(VLOOKUP(I$9,'Looked After Children'!$B$308:$H$328,5,FALSE),"")</f>
        <v>83.094555873925501</v>
      </c>
      <c r="J57" s="1002">
        <f>IFERROR(VLOOKUP(J$9,'Looked After Children'!$B$308:$H$328,5,FALSE),"")</f>
        <v>23.617178710076324</v>
      </c>
      <c r="K57" s="1002">
        <f>IFERROR(VLOOKUP(K$9,'Looked After Children'!$B$308:$H$328,5,FALSE),"")</f>
        <v>43.529664660361128</v>
      </c>
      <c r="L57" s="1002">
        <f>IFERROR(VLOOKUP(L$9,'Looked After Children'!$B$308:$H$328,5,FALSE),"")</f>
        <v>27.301826398041801</v>
      </c>
      <c r="M57" s="1002">
        <f>IFERROR(VLOOKUP(M$9,'Looked After Children'!$B$308:$H$328,5,FALSE),"")</f>
        <v>23.268932449583978</v>
      </c>
      <c r="N57" s="1002">
        <f>IFERROR(VLOOKUP(N$9,'Looked After Children'!$B$308:$H$328,5,FALSE),"")</f>
        <v>53.824577363353804</v>
      </c>
      <c r="O57" s="1002">
        <f>IFERROR(VLOOKUP(O$9,'Looked After Children'!$B$308:$H$328,5,FALSE),"")</f>
        <v>33.958891867739055</v>
      </c>
      <c r="P57" s="1002">
        <f>IFERROR(VLOOKUP(P$9,'Looked After Children'!$B$308:$H$328,5,FALSE),"")</f>
        <v>26.389320086929526</v>
      </c>
      <c r="Q57" s="1002">
        <f>IFERROR(VLOOKUP(Q$9,'Looked After Children'!$B$308:$H$328,5,FALSE),"")</f>
        <v>57.735205353628132</v>
      </c>
      <c r="R57" s="1002">
        <f>IFERROR(VLOOKUP(R$9,'Looked After Children'!$B$308:$H$328,5,FALSE),"")</f>
        <v>19.947749765131334</v>
      </c>
      <c r="S57" s="1002">
        <f>IFERROR(VLOOKUP(S$9,'Looked After Children'!$B$308:$H$328,5,FALSE),"")</f>
        <v>40.156802753609334</v>
      </c>
      <c r="T57" s="1002">
        <f>IFERROR(VLOOKUP(T$9,'Looked After Children'!$B$308:$H$328,5,FALSE),"")</f>
        <v>27.179675000481907</v>
      </c>
      <c r="U57" s="1002">
        <f>IFERROR(VLOOKUP(U$9,'Looked After Children'!$B$308:$H$328,5,FALSE),"")</f>
        <v>25.247424762674207</v>
      </c>
      <c r="V57" s="1003">
        <f>IFERROR(VLOOKUP(V$9,'Looked After Children'!$B$308:$H$328,5,FALSE),"")</f>
        <v>16.715419974926871</v>
      </c>
      <c r="W57" s="1022">
        <f>IFERROR(VLOOKUP(W$9,'Looked After Children'!$B$308:$H$328,5,FALSE),"")</f>
        <v>30.149134252015571</v>
      </c>
      <c r="X57" s="1023">
        <f>IFERROR(VLOOKUP(X$9,'Looked After Children'!$B$308:$H$328,5,FALSE),"")</f>
        <v>42.946164038334736</v>
      </c>
      <c r="Y57" s="319"/>
      <c r="Z57" s="320"/>
      <c r="AU57" s="290">
        <f t="shared" si="1"/>
        <v>49</v>
      </c>
    </row>
    <row r="58" spans="1:50" s="290" customFormat="1" ht="21" customHeight="1">
      <c r="A58" s="318"/>
      <c r="B58" s="1599"/>
      <c r="C58" s="1371" t="s">
        <v>685</v>
      </c>
      <c r="D58" s="1001">
        <f>IFERROR(VLOOKUP(D$9,'Looked After Children'!$B$308:$H$328,6,FALSE),"")</f>
        <v>46.906410542774182</v>
      </c>
      <c r="E58" s="1002">
        <f>IFERROR(VLOOKUP(E$9,'Looked After Children'!$B$308:$H$328,6,FALSE),"")</f>
        <v>84.565309971405981</v>
      </c>
      <c r="F58" s="1002">
        <f>IFERROR(VLOOKUP(F$9,'Looked After Children'!$B$308:$H$328,6,FALSE),"")</f>
        <v>49.983995272449704</v>
      </c>
      <c r="G58" s="1002">
        <f>IFERROR(VLOOKUP(G$9,'Looked After Children'!$B$308:$H$328,6,FALSE),"")</f>
        <v>79.57559681697613</v>
      </c>
      <c r="H58" s="1002">
        <f>IFERROR(VLOOKUP(H$9,'Looked After Children'!$B$308:$H$328,6,FALSE),"")</f>
        <v>81.22733972393462</v>
      </c>
      <c r="I58" s="1002">
        <f>IFERROR(VLOOKUP(I$9,'Looked After Children'!$B$308:$H$328,6,FALSE),"")</f>
        <v>132.09568011424491</v>
      </c>
      <c r="J58" s="1002">
        <f>IFERROR(VLOOKUP(J$9,'Looked After Children'!$B$308:$H$328,6,FALSE),"")</f>
        <v>60.259607857415936</v>
      </c>
      <c r="K58" s="1002">
        <f>IFERROR(VLOOKUP(K$9,'Looked After Children'!$B$308:$H$328,6,FALSE),"")</f>
        <v>103.47229131429708</v>
      </c>
      <c r="L58" s="1002">
        <f>IFERROR(VLOOKUP(L$9,'Looked After Children'!$B$308:$H$328,6,FALSE),"")</f>
        <v>79.602470088768825</v>
      </c>
      <c r="M58" s="1002">
        <f>IFERROR(VLOOKUP(M$9,'Looked After Children'!$B$308:$H$328,6,FALSE),"")</f>
        <v>71.052574572709744</v>
      </c>
      <c r="N58" s="1002">
        <f>IFERROR(VLOOKUP(N$9,'Looked After Children'!$B$308:$H$328,6,FALSE),"")</f>
        <v>103.63836824696803</v>
      </c>
      <c r="O58" s="1002">
        <f>IFERROR(VLOOKUP(O$9,'Looked After Children'!$B$308:$H$328,6,FALSE),"")</f>
        <v>111.01540817303092</v>
      </c>
      <c r="P58" s="1002">
        <f>IFERROR(VLOOKUP(P$9,'Looked After Children'!$B$308:$H$328,6,FALSE),"")</f>
        <v>47.472110135295509</v>
      </c>
      <c r="Q58" s="1002">
        <f>IFERROR(VLOOKUP(Q$9,'Looked After Children'!$B$308:$H$328,6,FALSE),"")</f>
        <v>146.2535523670895</v>
      </c>
      <c r="R58" s="1002">
        <f>IFERROR(VLOOKUP(R$9,'Looked After Children'!$B$308:$H$328,6,FALSE),"")</f>
        <v>44.633292865814475</v>
      </c>
      <c r="S58" s="1002">
        <f>IFERROR(VLOOKUP(S$9,'Looked After Children'!$B$308:$H$328,6,FALSE),"")</f>
        <v>48.511207761793244</v>
      </c>
      <c r="T58" s="1002">
        <f>IFERROR(VLOOKUP(T$9,'Looked After Children'!$B$308:$H$328,6,FALSE),"")</f>
        <v>66.547406082289797</v>
      </c>
      <c r="U58" s="1002">
        <f>IFERROR(VLOOKUP(U$9,'Looked After Children'!$B$308:$H$328,6,FALSE),"")</f>
        <v>45.156343188208233</v>
      </c>
      <c r="V58" s="1003">
        <f>IFERROR(VLOOKUP(V$9,'Looked After Children'!$B$308:$H$328,6,FALSE),"")</f>
        <v>35.148012184644223</v>
      </c>
      <c r="W58" s="1022">
        <f>IFERROR(VLOOKUP(W$9,'Looked After Children'!$B$308:$H$328,6,FALSE),"")</f>
        <v>69.039301379669922</v>
      </c>
      <c r="X58" s="1023">
        <f>IFERROR(VLOOKUP(X$9,'Looked After Children'!$B$308:$H$328,6,FALSE),"")</f>
        <v>83.71400484177947</v>
      </c>
      <c r="Y58" s="319"/>
      <c r="Z58" s="320"/>
      <c r="AU58" s="290">
        <f t="shared" si="1"/>
        <v>50</v>
      </c>
    </row>
    <row r="59" spans="1:50" s="290" customFormat="1" ht="21" customHeight="1" thickBot="1">
      <c r="A59" s="318"/>
      <c r="B59" s="1623"/>
      <c r="C59" s="1372" t="s">
        <v>686</v>
      </c>
      <c r="D59" s="998">
        <f>IFERROR(VLOOKUP(D$9,'Looked After Children'!$B$308:$H$328,7,FALSE),"")</f>
        <v>201.70185943901669</v>
      </c>
      <c r="E59" s="999">
        <f>IFERROR(VLOOKUP(E$9,'Looked After Children'!$B$308:$H$328,7,FALSE),"")</f>
        <v>208.92857142857144</v>
      </c>
      <c r="F59" s="999">
        <f>IFERROR(VLOOKUP(F$9,'Looked After Children'!$B$308:$H$328,7,FALSE),"")</f>
        <v>128.7781228694796</v>
      </c>
      <c r="G59" s="999">
        <f>IFERROR(VLOOKUP(G$9,'Looked After Children'!$B$308:$H$328,7,FALSE),"")</f>
        <v>148.65874927331618</v>
      </c>
      <c r="H59" s="999">
        <f>IFERROR(VLOOKUP(H$9,'Looked After Children'!$B$308:$H$328,7,FALSE),"")</f>
        <v>189.53068592057761</v>
      </c>
      <c r="I59" s="999">
        <f>IFERROR(VLOOKUP(I$9,'Looked After Children'!$B$308:$H$328,7,FALSE),"")</f>
        <v>228.83295194508008</v>
      </c>
      <c r="J59" s="999">
        <f>IFERROR(VLOOKUP(J$9,'Looked After Children'!$B$308:$H$328,7,FALSE),"")</f>
        <v>228.32817337461302</v>
      </c>
      <c r="K59" s="999">
        <f>IFERROR(VLOOKUP(K$9,'Looked After Children'!$B$308:$H$328,7,FALSE),"")</f>
        <v>164.99175041247938</v>
      </c>
      <c r="L59" s="999">
        <f>IFERROR(VLOOKUP(L$9,'Looked After Children'!$B$308:$H$328,7,FALSE),"")</f>
        <v>163.46611648944611</v>
      </c>
      <c r="M59" s="999">
        <f>IFERROR(VLOOKUP(M$9,'Looked After Children'!$B$308:$H$328,7,FALSE),"")</f>
        <v>174.98848759950002</v>
      </c>
      <c r="N59" s="999">
        <f>IFERROR(VLOOKUP(N$9,'Looked After Children'!$B$308:$H$328,7,FALSE),"")</f>
        <v>248.18543666588619</v>
      </c>
      <c r="O59" s="999">
        <f>IFERROR(VLOOKUP(O$9,'Looked After Children'!$B$308:$H$328,7,FALSE),"")</f>
        <v>216.80216802168022</v>
      </c>
      <c r="P59" s="999">
        <f>IFERROR(VLOOKUP(P$9,'Looked After Children'!$B$308:$H$328,7,FALSE),"")</f>
        <v>203.5203520352035</v>
      </c>
      <c r="Q59" s="999">
        <f>IFERROR(VLOOKUP(Q$9,'Looked After Children'!$B$308:$H$328,7,FALSE),"")</f>
        <v>297.56733275412688</v>
      </c>
      <c r="R59" s="999">
        <f>IFERROR(VLOOKUP(R$9,'Looked After Children'!$B$308:$H$328,7,FALSE),"")</f>
        <v>109.92599042228996</v>
      </c>
      <c r="S59" s="999">
        <f>IFERROR(VLOOKUP(S$9,'Looked After Children'!$B$308:$H$328,7,FALSE),"")</f>
        <v>134.75177304964541</v>
      </c>
      <c r="T59" s="999">
        <f>IFERROR(VLOOKUP(T$9,'Looked After Children'!$B$308:$H$328,7,FALSE),"")</f>
        <v>148.55270344074276</v>
      </c>
      <c r="U59" s="999">
        <f>IFERROR(VLOOKUP(U$9,'Looked After Children'!$B$308:$H$328,7,FALSE),"")</f>
        <v>95.71788413098237</v>
      </c>
      <c r="V59" s="1000">
        <f>IFERROR(VLOOKUP(V$9,'Looked After Children'!$B$308:$H$328,7,FALSE),"")</f>
        <v>138.08686919407481</v>
      </c>
      <c r="W59" s="1017">
        <f>IFERROR(VLOOKUP(W$9,'Looked After Children'!$B$308:$H$328,7,FALSE),"")</f>
        <v>174.96074288040634</v>
      </c>
      <c r="X59" s="1024">
        <f>IFERROR(VLOOKUP(X$9,'Looked After Children'!$B$308:$H$328,7,FALSE),"")</f>
        <v>184.05417148771426</v>
      </c>
      <c r="Y59" s="319"/>
      <c r="Z59" s="320"/>
      <c r="AU59" s="290">
        <f t="shared" si="1"/>
        <v>51</v>
      </c>
    </row>
    <row r="60" spans="1:50" s="290" customFormat="1" ht="24.75" customHeight="1">
      <c r="A60" s="318"/>
      <c r="B60" s="696"/>
      <c r="C60" s="697"/>
      <c r="D60" s="698"/>
      <c r="E60" s="698"/>
      <c r="F60" s="698"/>
      <c r="G60" s="698"/>
      <c r="H60" s="698"/>
      <c r="I60" s="698"/>
      <c r="J60" s="698"/>
      <c r="K60" s="698"/>
      <c r="L60" s="698"/>
      <c r="M60" s="698"/>
      <c r="N60" s="698"/>
      <c r="O60" s="698"/>
      <c r="P60" s="698"/>
      <c r="Q60" s="698"/>
      <c r="R60" s="698"/>
      <c r="S60" s="698"/>
      <c r="T60" s="698"/>
      <c r="U60" s="698"/>
      <c r="V60" s="698"/>
      <c r="W60" s="699"/>
      <c r="X60" s="699"/>
      <c r="Y60" s="319"/>
      <c r="Z60" s="320"/>
      <c r="AU60" s="290">
        <f t="shared" si="1"/>
        <v>52</v>
      </c>
    </row>
    <row r="61" spans="1:50" s="290" customFormat="1" ht="15" customHeight="1">
      <c r="A61" s="318"/>
      <c r="B61" s="1344"/>
      <c r="C61" s="1345"/>
      <c r="D61" s="1346"/>
      <c r="E61" s="1346"/>
      <c r="F61" s="1346"/>
      <c r="G61" s="1346"/>
      <c r="H61" s="1346"/>
      <c r="I61" s="1346"/>
      <c r="J61" s="1346"/>
      <c r="K61" s="1346"/>
      <c r="L61" s="1346"/>
      <c r="M61" s="1346"/>
      <c r="N61" s="1346"/>
      <c r="O61" s="1346"/>
      <c r="P61" s="1346"/>
      <c r="Q61" s="1346"/>
      <c r="R61" s="1346"/>
      <c r="S61" s="1346"/>
      <c r="T61" s="1346"/>
      <c r="U61" s="1346"/>
      <c r="V61" s="1346"/>
      <c r="W61" s="1347"/>
      <c r="X61" s="1347"/>
      <c r="Y61" s="319"/>
      <c r="Z61" s="320"/>
      <c r="AU61" s="290">
        <f t="shared" si="1"/>
        <v>53</v>
      </c>
    </row>
    <row r="62" spans="1:50" s="290" customFormat="1" ht="11.25" customHeight="1">
      <c r="A62" s="1592"/>
      <c r="B62" s="1593"/>
      <c r="C62" s="1593"/>
      <c r="D62" s="1593"/>
      <c r="E62" s="1593"/>
      <c r="F62" s="1593"/>
      <c r="G62" s="1593"/>
      <c r="H62" s="1593"/>
      <c r="I62" s="1593"/>
      <c r="J62" s="1593"/>
      <c r="K62" s="1593"/>
      <c r="L62" s="1593"/>
      <c r="M62" s="1593"/>
      <c r="N62" s="1593"/>
      <c r="O62" s="1593"/>
      <c r="P62" s="1593"/>
      <c r="Q62" s="1593"/>
      <c r="R62" s="1593"/>
      <c r="S62" s="1593"/>
      <c r="T62" s="1593"/>
      <c r="U62" s="1593"/>
      <c r="V62" s="1593"/>
      <c r="W62" s="1593"/>
      <c r="X62" s="1593"/>
      <c r="Y62" s="1594"/>
      <c r="Z62" s="320"/>
      <c r="AU62" s="290">
        <f t="shared" si="1"/>
        <v>54</v>
      </c>
    </row>
    <row r="63" spans="1:50" s="290" customFormat="1" ht="11.25" customHeight="1" thickBot="1">
      <c r="A63" s="409"/>
      <c r="B63" s="410"/>
      <c r="C63" s="411"/>
      <c r="D63" s="412"/>
      <c r="E63" s="412"/>
      <c r="F63" s="412"/>
      <c r="G63" s="412"/>
      <c r="H63" s="412"/>
      <c r="I63" s="412"/>
      <c r="J63" s="412"/>
      <c r="K63" s="412"/>
      <c r="L63" s="412"/>
      <c r="M63" s="412"/>
      <c r="N63" s="412"/>
      <c r="O63" s="412"/>
      <c r="P63" s="412"/>
      <c r="Q63" s="412"/>
      <c r="R63" s="412"/>
      <c r="S63" s="412"/>
      <c r="T63" s="412"/>
      <c r="U63" s="412"/>
      <c r="V63" s="412"/>
      <c r="W63" s="413"/>
      <c r="X63" s="413"/>
      <c r="Y63" s="414"/>
      <c r="Z63" s="320"/>
      <c r="AU63" s="290">
        <f t="shared" si="1"/>
        <v>55</v>
      </c>
    </row>
    <row r="64" spans="1:50" ht="73.5" customHeight="1">
      <c r="A64" s="316"/>
      <c r="B64" s="1604" t="s">
        <v>572</v>
      </c>
      <c r="C64" s="1604"/>
      <c r="D64" s="1605" t="s">
        <v>0</v>
      </c>
      <c r="E64" s="1586" t="s">
        <v>28</v>
      </c>
      <c r="F64" s="1586" t="s">
        <v>8</v>
      </c>
      <c r="G64" s="1586" t="s">
        <v>4</v>
      </c>
      <c r="H64" s="1586" t="s">
        <v>6</v>
      </c>
      <c r="I64" s="1586" t="s">
        <v>1</v>
      </c>
      <c r="J64" s="1586" t="s">
        <v>9</v>
      </c>
      <c r="K64" s="1586" t="s">
        <v>2</v>
      </c>
      <c r="L64" s="1586" t="s">
        <v>10</v>
      </c>
      <c r="M64" s="1586" t="s">
        <v>11</v>
      </c>
      <c r="N64" s="1586" t="s">
        <v>12</v>
      </c>
      <c r="O64" s="1586" t="s">
        <v>3</v>
      </c>
      <c r="P64" s="1586" t="s">
        <v>13</v>
      </c>
      <c r="Q64" s="1586" t="s">
        <v>14</v>
      </c>
      <c r="R64" s="1586" t="s">
        <v>7</v>
      </c>
      <c r="S64" s="1586" t="s">
        <v>15</v>
      </c>
      <c r="T64" s="1586" t="s">
        <v>5</v>
      </c>
      <c r="U64" s="1586" t="s">
        <v>27</v>
      </c>
      <c r="V64" s="1602" t="s">
        <v>16</v>
      </c>
      <c r="W64" s="1590" t="s">
        <v>71</v>
      </c>
      <c r="X64" s="1609" t="s">
        <v>109</v>
      </c>
      <c r="Y64" s="314"/>
      <c r="Z64" s="315"/>
      <c r="AA64" s="317" t="s">
        <v>182</v>
      </c>
      <c r="AB64" s="317" t="s">
        <v>0</v>
      </c>
      <c r="AC64" s="317" t="s">
        <v>28</v>
      </c>
      <c r="AD64" s="317" t="s">
        <v>8</v>
      </c>
      <c r="AE64" s="317" t="s">
        <v>4</v>
      </c>
      <c r="AF64" s="317" t="s">
        <v>6</v>
      </c>
      <c r="AG64" s="317" t="s">
        <v>1</v>
      </c>
      <c r="AH64" s="317" t="s">
        <v>9</v>
      </c>
      <c r="AI64" s="317" t="s">
        <v>2</v>
      </c>
      <c r="AJ64" s="317" t="s">
        <v>10</v>
      </c>
      <c r="AK64" s="317" t="s">
        <v>11</v>
      </c>
      <c r="AL64" s="317" t="s">
        <v>12</v>
      </c>
      <c r="AM64" s="317" t="s">
        <v>3</v>
      </c>
      <c r="AN64" s="317" t="s">
        <v>13</v>
      </c>
      <c r="AO64" s="317" t="s">
        <v>14</v>
      </c>
      <c r="AP64" s="317" t="s">
        <v>7</v>
      </c>
      <c r="AQ64" s="317" t="s">
        <v>15</v>
      </c>
      <c r="AR64" s="317" t="s">
        <v>5</v>
      </c>
      <c r="AS64" s="317" t="s">
        <v>27</v>
      </c>
      <c r="AT64" s="317" t="s">
        <v>16</v>
      </c>
      <c r="AU64" s="290">
        <f t="shared" si="1"/>
        <v>56</v>
      </c>
      <c r="AX64" s="290"/>
    </row>
    <row r="65" spans="1:50" ht="12.75" customHeight="1" thickBot="1">
      <c r="A65" s="316"/>
      <c r="B65" s="1028" t="s">
        <v>183</v>
      </c>
      <c r="C65" s="1028" t="s">
        <v>184</v>
      </c>
      <c r="D65" s="1606"/>
      <c r="E65" s="1587"/>
      <c r="F65" s="1587"/>
      <c r="G65" s="1587"/>
      <c r="H65" s="1587"/>
      <c r="I65" s="1587"/>
      <c r="J65" s="1587"/>
      <c r="K65" s="1587"/>
      <c r="L65" s="1587"/>
      <c r="M65" s="1587"/>
      <c r="N65" s="1587"/>
      <c r="O65" s="1587"/>
      <c r="P65" s="1587"/>
      <c r="Q65" s="1587"/>
      <c r="R65" s="1587"/>
      <c r="S65" s="1587"/>
      <c r="T65" s="1587"/>
      <c r="U65" s="1587"/>
      <c r="V65" s="1603"/>
      <c r="W65" s="1591"/>
      <c r="X65" s="1610"/>
      <c r="Y65" s="314"/>
      <c r="Z65" s="315"/>
      <c r="AA65" s="317"/>
      <c r="AB65" s="317"/>
      <c r="AC65" s="317"/>
      <c r="AD65" s="317"/>
      <c r="AE65" s="317"/>
      <c r="AF65" s="317"/>
      <c r="AG65" s="317"/>
      <c r="AH65" s="317"/>
      <c r="AI65" s="317"/>
      <c r="AJ65" s="317"/>
      <c r="AK65" s="317"/>
      <c r="AL65" s="317"/>
      <c r="AM65" s="317"/>
      <c r="AN65" s="317"/>
      <c r="AO65" s="317"/>
      <c r="AP65" s="317"/>
      <c r="AQ65" s="317"/>
      <c r="AR65" s="317"/>
      <c r="AS65" s="317"/>
      <c r="AT65" s="317"/>
      <c r="AU65" s="290">
        <f t="shared" si="1"/>
        <v>57</v>
      </c>
      <c r="AX65" s="290"/>
    </row>
    <row r="66" spans="1:50" s="290" customFormat="1" ht="26.25" customHeight="1">
      <c r="A66" s="318"/>
      <c r="B66" s="1613" t="s">
        <v>1050</v>
      </c>
      <c r="C66" s="1367" t="str">
        <f>"Children who Started to be Looked After during the "&amp;ReportData!$G$3&amp;", Rate per 10,000 0-17 Year Olds"</f>
        <v>Children who Started to be Looked After during the Year ending 31st March, Rate per 10,000 0-17 Year Olds</v>
      </c>
      <c r="D66" s="954">
        <f>IFERROR(VLOOKUP(D$9,New_Ceased_LAC!$B$7:$P$31,14,FALSE),"")</f>
        <v>13.963067685970607</v>
      </c>
      <c r="E66" s="955">
        <f>IFERROR(VLOOKUP(E$9,New_Ceased_LAC!$B$7:$P$31,14,FALSE),"")</f>
        <v>30.000428577551109</v>
      </c>
      <c r="F66" s="955">
        <f>IFERROR(VLOOKUP(F$9,New_Ceased_LAC!$B$7:$P$31,14,FALSE),"")</f>
        <v>18.022818455366099</v>
      </c>
      <c r="G66" s="955">
        <f>IFERROR(VLOOKUP(G$9,New_Ceased_LAC!$B$7:$P$31,14,FALSE),"")</f>
        <v>23.164681582147754</v>
      </c>
      <c r="H66" s="955">
        <f>IFERROR(VLOOKUP(H$9,New_Ceased_LAC!$B$7:$P$31,14,FALSE),"")</f>
        <v>24.018766849900217</v>
      </c>
      <c r="I66" s="955">
        <f>IFERROR(VLOOKUP(I$9,New_Ceased_LAC!$B$7:$P$31,14,FALSE),"")</f>
        <v>29.43937196006485</v>
      </c>
      <c r="J66" s="955">
        <f>IFERROR(VLOOKUP(J$9,New_Ceased_LAC!$B$7:$P$31,14,FALSE),"")</f>
        <v>78.68929641835949</v>
      </c>
      <c r="K66" s="955">
        <f>IFERROR(VLOOKUP(K$9,New_Ceased_LAC!$B$7:$P$31,14,FALSE),"")</f>
        <v>28.491310150404125</v>
      </c>
      <c r="L66" s="955">
        <f>IFERROR(VLOOKUP(L$9,New_Ceased_LAC!$B$7:$P$31,14,FALSE),"")</f>
        <v>32.69365495830872</v>
      </c>
      <c r="M66" s="955">
        <f>IFERROR(VLOOKUP(M$9,New_Ceased_LAC!$B$7:$P$31,14,FALSE),"")</f>
        <v>14.3601849119701</v>
      </c>
      <c r="N66" s="955">
        <f>IFERROR(VLOOKUP(N$9,New_Ceased_LAC!$B$7:$P$31,14,FALSE),"")</f>
        <v>39.709740704847896</v>
      </c>
      <c r="O66" s="955">
        <f>IFERROR(VLOOKUP(O$9,New_Ceased_LAC!$B$7:$P$31,14,FALSE),"")</f>
        <v>29.528856547760288</v>
      </c>
      <c r="P66" s="955">
        <f>IFERROR(VLOOKUP(P$9,New_Ceased_LAC!$B$7:$P$31,14,FALSE),"")</f>
        <v>16.276840063323597</v>
      </c>
      <c r="Q66" s="955">
        <f>IFERROR(VLOOKUP(Q$9,New_Ceased_LAC!$B$7:$P$31,14,FALSE),"")</f>
        <v>32.358604808131339</v>
      </c>
      <c r="R66" s="955">
        <f>IFERROR(VLOOKUP(R$9,New_Ceased_LAC!$B$7:$P$31,14,FALSE),"")</f>
        <v>13.475262729982836</v>
      </c>
      <c r="S66" s="955">
        <f>IFERROR(VLOOKUP(S$9,New_Ceased_LAC!$B$7:$P$31,14,FALSE),"")</f>
        <v>19.815994338287329</v>
      </c>
      <c r="T66" s="955">
        <f>IFERROR(VLOOKUP(T$9,New_Ceased_LAC!$B$7:$P$31,14,FALSE),"")</f>
        <v>22.904004290311047</v>
      </c>
      <c r="U66" s="955">
        <f>IFERROR(VLOOKUP(U$9,New_Ceased_LAC!$B$7:$P$31,14,FALSE),"")</f>
        <v>18.37752690995012</v>
      </c>
      <c r="V66" s="956">
        <f>IFERROR(VLOOKUP(V$9,New_Ceased_LAC!$B$7:$P$31,14,FALSE),"")</f>
        <v>13.390589647688969</v>
      </c>
      <c r="W66" s="979">
        <f>IFERROR(VLOOKUP(W$9,New_Ceased_LAC!$B$7:$P$31,14,FALSE),"")</f>
        <v>32.076845275520661</v>
      </c>
      <c r="X66" s="980">
        <f>IFERROR(VLOOKUP(X$9,New_Ceased_LAC!$B$7:$P$31,14,FALSE),"")</f>
        <v>27.544774635404693</v>
      </c>
      <c r="Y66" s="319"/>
      <c r="Z66" s="320"/>
      <c r="AU66" s="290">
        <f t="shared" si="1"/>
        <v>58</v>
      </c>
    </row>
    <row r="67" spans="1:50" s="290" customFormat="1" ht="38.25" customHeight="1">
      <c r="A67" s="318"/>
      <c r="B67" s="1614"/>
      <c r="C67" s="1368" t="str">
        <f>"% Children who Started to be Looked After during the "&amp;ReportData!$G$3&amp;", who were Remanded into Local Authority Care"</f>
        <v>% Children who Started to be Looked After during the Year ending 31st March, who were Remanded into Local Authority Care</v>
      </c>
      <c r="D67" s="945">
        <f>IFERROR(VLOOKUP(D$9,New_Ceased_LAC!$B$140:$H$162,7,FALSE),"")</f>
        <v>0</v>
      </c>
      <c r="E67" s="946" t="str">
        <f>IFERROR(VLOOKUP(E$9,New_Ceased_LAC!$B$140:$H$162,7,FALSE),"")</f>
        <v/>
      </c>
      <c r="F67" s="946">
        <f>IFERROR(VLOOKUP(F$9,New_Ceased_LAC!$B$140:$H$162,7,FALSE),"")</f>
        <v>3.0434782608695653E-2</v>
      </c>
      <c r="G67" s="946" t="str">
        <f>IFERROR(VLOOKUP(G$9,New_Ceased_LAC!$B$140:$H$162,7,FALSE),"")</f>
        <v/>
      </c>
      <c r="H67" s="946" t="str">
        <f>IFERROR(VLOOKUP(H$9,New_Ceased_LAC!$B$140:$H$162,7,FALSE),"")</f>
        <v/>
      </c>
      <c r="I67" s="946" t="str">
        <f>IFERROR(VLOOKUP(I$9,New_Ceased_LAC!$B$140:$H$162,7,FALSE),"")</f>
        <v/>
      </c>
      <c r="J67" s="946">
        <f>IFERROR(VLOOKUP(J$9,New_Ceased_LAC!$B$140:$H$162,7,FALSE),"")</f>
        <v>6.2021160160525357E-3</v>
      </c>
      <c r="K67" s="946" t="str">
        <f>IFERROR(VLOOKUP(K$9,New_Ceased_LAC!$B$140:$H$162,7,FALSE),"")</f>
        <v/>
      </c>
      <c r="L67" s="946" t="str">
        <f>IFERROR(VLOOKUP(L$9,New_Ceased_LAC!$B$140:$H$162,7,FALSE),"")</f>
        <v/>
      </c>
      <c r="M67" s="946" t="str">
        <f>IFERROR(VLOOKUP(M$9,New_Ceased_LAC!$B$140:$H$162,7,FALSE),"")</f>
        <v/>
      </c>
      <c r="N67" s="946" t="str">
        <f>IFERROR(VLOOKUP(N$9,New_Ceased_LAC!$B$140:$H$162,7,FALSE),"")</f>
        <v/>
      </c>
      <c r="O67" s="946" t="str">
        <f>IFERROR(VLOOKUP(O$9,New_Ceased_LAC!$B$140:$H$162,7,FALSE),"")</f>
        <v/>
      </c>
      <c r="P67" s="946" t="str">
        <f>IFERROR(VLOOKUP(P$9,New_Ceased_LAC!$B$140:$H$162,7,FALSE),"")</f>
        <v/>
      </c>
      <c r="Q67" s="946">
        <f>IFERROR(VLOOKUP(Q$9,New_Ceased_LAC!$B$140:$H$162,7,FALSE),"")</f>
        <v>4.9079754601226995E-2</v>
      </c>
      <c r="R67" s="946" t="str">
        <f>IFERROR(VLOOKUP(R$9,New_Ceased_LAC!$B$140:$H$162,7,FALSE),"")</f>
        <v/>
      </c>
      <c r="S67" s="946" t="str">
        <f>IFERROR(VLOOKUP(S$9,New_Ceased_LAC!$B$140:$H$162,7,FALSE),"")</f>
        <v/>
      </c>
      <c r="T67" s="946" t="str">
        <f>IFERROR(VLOOKUP(T$9,New_Ceased_LAC!$B$140:$H$162,7,FALSE),"")</f>
        <v/>
      </c>
      <c r="U67" s="946">
        <f>IFERROR(VLOOKUP(U$9,New_Ceased_LAC!$B$140:$H$162,7,FALSE),"")</f>
        <v>0</v>
      </c>
      <c r="V67" s="947">
        <f>IFERROR(VLOOKUP(V$9,New_Ceased_LAC!$B$140:$H$162,7,FALSE),"")</f>
        <v>0</v>
      </c>
      <c r="W67" s="969">
        <f>IFERROR(VLOOKUP(W$9,New_Ceased_LAC!$B$140:$H$162,7,FALSE),"")</f>
        <v>1.1164274322169059E-2</v>
      </c>
      <c r="X67" s="970">
        <f>IFERROR(VLOOKUP(X$9,New_Ceased_LAC!$B$140:$H$162,7,FALSE),"")</f>
        <v>1.5128593040847202E-2</v>
      </c>
      <c r="Y67" s="319"/>
      <c r="Z67" s="320"/>
      <c r="AU67" s="290">
        <f t="shared" si="1"/>
        <v>59</v>
      </c>
    </row>
    <row r="68" spans="1:50" s="290" customFormat="1" ht="26.25" customHeight="1">
      <c r="A68" s="318"/>
      <c r="B68" s="1614"/>
      <c r="C68" s="1368" t="str">
        <f>"Children who Ceased to be Looked After during the "&amp;ReportData!$G$3&amp;", Rate per 10,000 0-17 Year Olds"</f>
        <v>Children who Ceased to be Looked After during the Year ending 31st March, Rate per 10,000 0-17 Year Olds</v>
      </c>
      <c r="D68" s="1001">
        <f>IFERROR(VLOOKUP(D$9,New_Ceased_LAC!$B$176:$P$200,14,FALSE),"")</f>
        <v>19.897371452508114</v>
      </c>
      <c r="E68" s="1002">
        <f>IFERROR(VLOOKUP(E$9,New_Ceased_LAC!$B$176:$P$200,14,FALSE),"")</f>
        <v>28.928984699781424</v>
      </c>
      <c r="F68" s="1002">
        <f>IFERROR(VLOOKUP(F$9,New_Ceased_LAC!$B$176:$P$200,14,FALSE),"")</f>
        <v>15.985456369107322</v>
      </c>
      <c r="G68" s="1002">
        <f>IFERROR(VLOOKUP(G$9,New_Ceased_LAC!$B$176:$P$200,14,FALSE),"")</f>
        <v>22.68208404918634</v>
      </c>
      <c r="H68" s="1002">
        <f>IFERROR(VLOOKUP(H$9,New_Ceased_LAC!$B$176:$P$200,14,FALSE),"")</f>
        <v>22.443191764994221</v>
      </c>
      <c r="I68" s="1002">
        <f>IFERROR(VLOOKUP(I$9,New_Ceased_LAC!$B$176:$P$200,14,FALSE),"")</f>
        <v>35.83923542964417</v>
      </c>
      <c r="J68" s="1002">
        <f>IFERROR(VLOOKUP(J$9,New_Ceased_LAC!$B$176:$P$200,14,FALSE),"")</f>
        <v>78.517046955203668</v>
      </c>
      <c r="K68" s="1002">
        <f>IFERROR(VLOOKUP(K$9,New_Ceased_LAC!$B$176:$P$200,14,FALSE),"")</f>
        <v>27.741538830656651</v>
      </c>
      <c r="L68" s="1002">
        <f>IFERROR(VLOOKUP(L$9,New_Ceased_LAC!$B$176:$P$200,14,FALSE),"")</f>
        <v>24.863661964091925</v>
      </c>
      <c r="M68" s="1002">
        <f>IFERROR(VLOOKUP(M$9,New_Ceased_LAC!$B$176:$P$200,14,FALSE),"")</f>
        <v>21.966492901872069</v>
      </c>
      <c r="N68" s="1002">
        <f>IFERROR(VLOOKUP(N$9,New_Ceased_LAC!$B$176:$P$200,14,FALSE),"")</f>
        <v>36.873330654501622</v>
      </c>
      <c r="O68" s="1002">
        <f>IFERROR(VLOOKUP(O$9,New_Ceased_LAC!$B$176:$P$200,14,FALSE),"")</f>
        <v>25.574098974399536</v>
      </c>
      <c r="P68" s="1002">
        <f>IFERROR(VLOOKUP(P$9,New_Ceased_LAC!$B$176:$P$200,14,FALSE),"")</f>
        <v>27.648331066467478</v>
      </c>
      <c r="Q68" s="1002">
        <f>IFERROR(VLOOKUP(Q$9,New_Ceased_LAC!$B$176:$P$200,14,FALSE),"")</f>
        <v>42.483076251166302</v>
      </c>
      <c r="R68" s="1002">
        <f>IFERROR(VLOOKUP(R$9,New_Ceased_LAC!$B$176:$P$200,14,FALSE),"")</f>
        <v>15.771327049896112</v>
      </c>
      <c r="S68" s="1002">
        <f>IFERROR(VLOOKUP(S$9,New_Ceased_LAC!$B$176:$P$200,14,FALSE),"")</f>
        <v>22.929936305732483</v>
      </c>
      <c r="T68" s="1002">
        <f>IFERROR(VLOOKUP(T$9,New_Ceased_LAC!$B$176:$P$200,14,FALSE),"")</f>
        <v>22.40123346442617</v>
      </c>
      <c r="U68" s="1002">
        <f>IFERROR(VLOOKUP(U$9,New_Ceased_LAC!$B$176:$P$200,14,FALSE),"")</f>
        <v>21.878008226131094</v>
      </c>
      <c r="V68" s="1003">
        <f>IFERROR(VLOOKUP(V$9,New_Ceased_LAC!$B$176:$P$200,14,FALSE),"")</f>
        <v>12.928845177079005</v>
      </c>
      <c r="W68" s="1022">
        <f>IFERROR(VLOOKUP(W$9,New_Ceased_LAC!$B$176:$P$200,14,FALSE),"")</f>
        <v>32.278143071612227</v>
      </c>
      <c r="X68" s="1025">
        <f>IFERROR(VLOOKUP(X$9,New_Ceased_LAC!$B$176:$P$200,14,FALSE),"")</f>
        <v>28.019828237286106</v>
      </c>
      <c r="Y68" s="319"/>
      <c r="Z68" s="320"/>
      <c r="AU68" s="290">
        <f t="shared" si="1"/>
        <v>60</v>
      </c>
    </row>
    <row r="69" spans="1:50" s="290" customFormat="1" ht="26.25" customHeight="1" thickBot="1">
      <c r="A69" s="318"/>
      <c r="B69" s="1597"/>
      <c r="C69" s="1369" t="str">
        <f>"Net Number of Children becoming Looked After during the "&amp;ReportData!$G$3&amp;", Rate per 10,000 0-17 Year Olds"</f>
        <v>Net Number of Children becoming Looked After during the Year ending 31st March, Rate per 10,000 0-17 Year Olds</v>
      </c>
      <c r="D69" s="998">
        <f>IFERROR(VLOOKUP(D$9,New_Ceased_LAC!$B$310:$Q$334,14,FALSE),"")</f>
        <v>-5.9343037665375089</v>
      </c>
      <c r="E69" s="999">
        <f>IFERROR(VLOOKUP(E$9,New_Ceased_LAC!$B$310:$Q$334,14,FALSE),"")</f>
        <v>1.0714438777696824</v>
      </c>
      <c r="F69" s="999">
        <f>IFERROR(VLOOKUP(F$9,New_Ceased_LAC!$B$310:$Q$334,14,FALSE),"")</f>
        <v>2.0373620862587765</v>
      </c>
      <c r="G69" s="999">
        <f>IFERROR(VLOOKUP(G$9,New_Ceased_LAC!$B$310:$Q$334,14,FALSE),"")</f>
        <v>0.4825975329614115</v>
      </c>
      <c r="H69" s="999">
        <f>IFERROR(VLOOKUP(H$9,New_Ceased_LAC!$B$310:$Q$334,14,FALSE),"")</f>
        <v>1.5755750849059906</v>
      </c>
      <c r="I69" s="999">
        <f>IFERROR(VLOOKUP(I$9,New_Ceased_LAC!$B$310:$Q$334,14,FALSE),"")</f>
        <v>-6.3998634695793166</v>
      </c>
      <c r="J69" s="999">
        <f>IFERROR(VLOOKUP(J$9,New_Ceased_LAC!$B$310:$Q$334,14,FALSE),"")</f>
        <v>0.17224946315583983</v>
      </c>
      <c r="K69" s="999">
        <f>IFERROR(VLOOKUP(K$9,New_Ceased_LAC!$B$310:$Q$334,14,FALSE),"")</f>
        <v>0.74977131974747702</v>
      </c>
      <c r="L69" s="999">
        <f>IFERROR(VLOOKUP(L$9,New_Ceased_LAC!$B$310:$Q$334,14,FALSE),"")</f>
        <v>7.8299929942167941</v>
      </c>
      <c r="M69" s="999">
        <f>IFERROR(VLOOKUP(M$9,New_Ceased_LAC!$B$310:$Q$334,14,FALSE),"")</f>
        <v>-7.6063079899019703</v>
      </c>
      <c r="N69" s="999">
        <f>IFERROR(VLOOKUP(N$9,New_Ceased_LAC!$B$310:$Q$334,14,FALSE),"")</f>
        <v>2.8364100503462781</v>
      </c>
      <c r="O69" s="999">
        <f>IFERROR(VLOOKUP(O$9,New_Ceased_LAC!$B$310:$Q$334,14,FALSE),"")</f>
        <v>3.954757573360753</v>
      </c>
      <c r="P69" s="999">
        <f>IFERROR(VLOOKUP(P$9,New_Ceased_LAC!$B$310:$Q$334,14,FALSE),"")</f>
        <v>-11.371491003143884</v>
      </c>
      <c r="Q69" s="999">
        <f>IFERROR(VLOOKUP(Q$9,New_Ceased_LAC!$B$310:$Q$334,14,FALSE),"")</f>
        <v>-10.12447144303496</v>
      </c>
      <c r="R69" s="999">
        <f>IFERROR(VLOOKUP(R$9,New_Ceased_LAC!$B$310:$Q$334,14,FALSE),"")</f>
        <v>-2.2960643199132766</v>
      </c>
      <c r="S69" s="999">
        <f>IFERROR(VLOOKUP(S$9,New_Ceased_LAC!$B$310:$Q$334,14,FALSE),"")</f>
        <v>-3.1139419674451521</v>
      </c>
      <c r="T69" s="999">
        <f>IFERROR(VLOOKUP(T$9,New_Ceased_LAC!$B$310:$Q$334,14,FALSE),"")</f>
        <v>0.50277082588487665</v>
      </c>
      <c r="U69" s="999">
        <f>IFERROR(VLOOKUP(U$9,New_Ceased_LAC!$B$310:$Q$334,14,FALSE),"")</f>
        <v>-3.5004813161809749</v>
      </c>
      <c r="V69" s="1000">
        <f>IFERROR(VLOOKUP(V$9,New_Ceased_LAC!$B$310:$Q$334,14,FALSE),"")</f>
        <v>0.46174447060996449</v>
      </c>
      <c r="W69" s="1017">
        <f>IFERROR(VLOOKUP(W$9,New_Ceased_LAC!$B$310:$Q$334,14,FALSE),"")</f>
        <v>-0.72902348058937272</v>
      </c>
      <c r="X69" s="1348">
        <f>IFERROR(VLOOKUP(X$9,New_Ceased_LAC!$B$310:$Q$334,14,FALSE),"")</f>
        <v>-0.47505360188141227</v>
      </c>
      <c r="Y69" s="319"/>
      <c r="Z69" s="320"/>
      <c r="AU69" s="290">
        <f t="shared" si="1"/>
        <v>61</v>
      </c>
    </row>
    <row r="70" spans="1:50" s="290" customFormat="1" ht="38.25">
      <c r="A70" s="318"/>
      <c r="B70" s="1600" t="s">
        <v>1050</v>
      </c>
      <c r="C70" s="1361" t="str">
        <f>"% Children who ceased to be Looked After during the "&amp;ReportData!$G$3&amp;" who were granted a Child Arrangement Order"</f>
        <v>% Children who ceased to be Looked After during the Year ending 31st March who were granted a Child Arrangement Order</v>
      </c>
      <c r="D70" s="942" t="str">
        <f>IFERROR(VLOOKUP(D$9,New_Ceased_LAC!$B$243:$H$263,7,FALSE),"")</f>
        <v/>
      </c>
      <c r="E70" s="943" t="str">
        <f>IFERROR(VLOOKUP(E$9,New_Ceased_LAC!$B$243:$H$263,7,FALSE),"")</f>
        <v/>
      </c>
      <c r="F70" s="943" t="str">
        <f>IFERROR(VLOOKUP(F$9,New_Ceased_LAC!$B$243:$H$263,7,FALSE),"")</f>
        <v/>
      </c>
      <c r="G70" s="943">
        <f>IFERROR(VLOOKUP(G$9,New_Ceased_LAC!$B$243:$H$263,7,FALSE),"")</f>
        <v>5.106382978723404E-2</v>
      </c>
      <c r="H70" s="943">
        <f>IFERROR(VLOOKUP(H$9,New_Ceased_LAC!$B$243:$H$263,7,FALSE),"")</f>
        <v>3.7441497659906398E-2</v>
      </c>
      <c r="I70" s="943" t="str">
        <f>IFERROR(VLOOKUP(I$9,New_Ceased_LAC!$B$243:$H$263,7,FALSE),"")</f>
        <v/>
      </c>
      <c r="J70" s="943">
        <f>IFERROR(VLOOKUP(J$9,New_Ceased_LAC!$B$243:$H$263,7,FALSE),"")</f>
        <v>1.0968921389396709E-2</v>
      </c>
      <c r="K70" s="943">
        <f>IFERROR(VLOOKUP(K$9,New_Ceased_LAC!$B$243:$H$263,7,FALSE),"")</f>
        <v>3.2432432432432434E-2</v>
      </c>
      <c r="L70" s="943" t="str">
        <f>IFERROR(VLOOKUP(L$9,New_Ceased_LAC!$B$243:$H$263,7,FALSE),"")</f>
        <v/>
      </c>
      <c r="M70" s="943">
        <f>IFERROR(VLOOKUP(M$9,New_Ceased_LAC!$B$243:$H$263,7,FALSE),"")</f>
        <v>6.2686567164179099E-2</v>
      </c>
      <c r="N70" s="943">
        <f>IFERROR(VLOOKUP(N$9,New_Ceased_LAC!$B$243:$H$263,7,FALSE),"")</f>
        <v>6.4102564102564097E-2</v>
      </c>
      <c r="O70" s="943">
        <f>IFERROR(VLOOKUP(O$9,New_Ceased_LAC!$B$243:$H$263,7,FALSE),"")</f>
        <v>0</v>
      </c>
      <c r="P70" s="943">
        <f>IFERROR(VLOOKUP(P$9,New_Ceased_LAC!$B$243:$H$263,7,FALSE),"")</f>
        <v>6.4516129032258063E-2</v>
      </c>
      <c r="Q70" s="943">
        <f>IFERROR(VLOOKUP(Q$9,New_Ceased_LAC!$B$243:$H$263,7,FALSE),"")</f>
        <v>3.2710280373831772E-2</v>
      </c>
      <c r="R70" s="943">
        <f>IFERROR(VLOOKUP(R$9,New_Ceased_LAC!$B$243:$H$263,7,FALSE),"")</f>
        <v>1.6706443914081145E-2</v>
      </c>
      <c r="S70" s="943" t="str">
        <f>IFERROR(VLOOKUP(S$9,New_Ceased_LAC!$B$243:$H$263,7,FALSE),"")</f>
        <v/>
      </c>
      <c r="T70" s="943" t="str">
        <f>IFERROR(VLOOKUP(T$9,New_Ceased_LAC!$B$243:$H$263,7,FALSE),"")</f>
        <v/>
      </c>
      <c r="U70" s="943" t="str">
        <f>IFERROR(VLOOKUP(U$9,New_Ceased_LAC!$B$243:$H$263,7,FALSE),"")</f>
        <v/>
      </c>
      <c r="V70" s="944" t="str">
        <f>IFERROR(VLOOKUP(V$9,New_Ceased_LAC!$B$243:$H$263,7,FALSE),"")</f>
        <v/>
      </c>
      <c r="W70" s="983">
        <f>IFERROR(VLOOKUP(W$9,New_Ceased_LAC!$B$243:$H$263,7,FALSE),"")</f>
        <v>2.1806853582554516E-2</v>
      </c>
      <c r="X70" s="1349">
        <f>IFERROR(VLOOKUP(X$9,New_Ceased_LAC!$B$243:$H$263,7,FALSE),"")</f>
        <v>3.4205829863176683E-2</v>
      </c>
      <c r="Y70" s="319"/>
      <c r="Z70" s="320"/>
      <c r="AU70" s="290">
        <f t="shared" si="1"/>
        <v>62</v>
      </c>
    </row>
    <row r="71" spans="1:50" s="290" customFormat="1" ht="39" thickBot="1">
      <c r="A71" s="318"/>
      <c r="B71" s="1601"/>
      <c r="C71" s="1362" t="str">
        <f>"% Children who ceased to be Looked After during the "&amp;ReportData!$G$3&amp;" who were granted a Special Guardianship Order"</f>
        <v>% Children who ceased to be Looked After during the Year ending 31st March who were granted a Special Guardianship Order</v>
      </c>
      <c r="D71" s="948" t="str">
        <f>IFERROR(VLOOKUP(D$9,New_Ceased_LAC!$B$276:$H$296,7,FALSE),"")</f>
        <v/>
      </c>
      <c r="E71" s="949">
        <f>IFERROR(VLOOKUP(E$9,New_Ceased_LAC!$B$276:$H$296,7,FALSE),"")</f>
        <v>0.1037037037037037</v>
      </c>
      <c r="F71" s="949">
        <f>IFERROR(VLOOKUP(F$9,New_Ceased_LAC!$B$276:$H$296,7,FALSE),"")</f>
        <v>8.8235294117647065E-2</v>
      </c>
      <c r="G71" s="949">
        <f>IFERROR(VLOOKUP(G$9,New_Ceased_LAC!$B$276:$H$296,7,FALSE),"")</f>
        <v>0.16170212765957448</v>
      </c>
      <c r="H71" s="949">
        <f>IFERROR(VLOOKUP(H$9,New_Ceased_LAC!$B$276:$H$296,7,FALSE),"")</f>
        <v>0.11388455538221529</v>
      </c>
      <c r="I71" s="949" t="str">
        <f>IFERROR(VLOOKUP(I$9,New_Ceased_LAC!$B$276:$H$296,7,FALSE),"")</f>
        <v/>
      </c>
      <c r="J71" s="949">
        <f>IFERROR(VLOOKUP(J$9,New_Ceased_LAC!$B$276:$H$296,7,FALSE),"")</f>
        <v>1.4259597806215722E-2</v>
      </c>
      <c r="K71" s="949">
        <f>IFERROR(VLOOKUP(K$9,New_Ceased_LAC!$B$276:$H$296,7,FALSE),"")</f>
        <v>0.12432432432432433</v>
      </c>
      <c r="L71" s="949">
        <f>IFERROR(VLOOKUP(L$9,New_Ceased_LAC!$B$276:$H$296,7,FALSE),"")</f>
        <v>0.18232044198895028</v>
      </c>
      <c r="M71" s="949">
        <f>IFERROR(VLOOKUP(M$9,New_Ceased_LAC!$B$276:$H$296,7,FALSE),"")</f>
        <v>8.3582089552238809E-2</v>
      </c>
      <c r="N71" s="949">
        <f>IFERROR(VLOOKUP(N$9,New_Ceased_LAC!$B$276:$H$296,7,FALSE),"")</f>
        <v>0.10256410256410256</v>
      </c>
      <c r="O71" s="949">
        <f>IFERROR(VLOOKUP(O$9,New_Ceased_LAC!$B$276:$H$296,7,FALSE),"")</f>
        <v>0.15463917525773196</v>
      </c>
      <c r="P71" s="949">
        <f>IFERROR(VLOOKUP(P$9,New_Ceased_LAC!$B$276:$H$296,7,FALSE),"")</f>
        <v>0.10483870967741936</v>
      </c>
      <c r="Q71" s="949">
        <f>IFERROR(VLOOKUP(Q$9,New_Ceased_LAC!$B$276:$H$296,7,FALSE),"")</f>
        <v>0.13084112149532709</v>
      </c>
      <c r="R71" s="949">
        <f>IFERROR(VLOOKUP(R$9,New_Ceased_LAC!$B$276:$H$296,7,FALSE),"")</f>
        <v>7.1599045346062054E-2</v>
      </c>
      <c r="S71" s="949">
        <f>IFERROR(VLOOKUP(S$9,New_Ceased_LAC!$B$276:$H$296,7,FALSE),"")</f>
        <v>0.12345679012345678</v>
      </c>
      <c r="T71" s="949">
        <f>IFERROR(VLOOKUP(T$9,New_Ceased_LAC!$B$276:$H$296,7,FALSE),"")</f>
        <v>0.10224438902743142</v>
      </c>
      <c r="U71" s="949" t="str">
        <f>IFERROR(VLOOKUP(U$9,New_Ceased_LAC!$B$276:$H$296,7,FALSE),"")</f>
        <v/>
      </c>
      <c r="V71" s="950" t="str">
        <f>IFERROR(VLOOKUP(V$9,New_Ceased_LAC!$B$276:$H$296,7,FALSE),"")</f>
        <v/>
      </c>
      <c r="W71" s="971">
        <f>IFERROR(VLOOKUP(W$9,New_Ceased_LAC!$B$276:$H$296,7,FALSE),"")</f>
        <v>6.6978193146417439E-2</v>
      </c>
      <c r="X71" s="972">
        <f>IFERROR(VLOOKUP(X$9,New_Ceased_LAC!$B$276:$H$296,7,FALSE),"")</f>
        <v>0.11481261154074955</v>
      </c>
      <c r="Y71" s="319"/>
      <c r="Z71" s="320"/>
      <c r="AU71" s="290">
        <f t="shared" si="1"/>
        <v>63</v>
      </c>
    </row>
    <row r="72" spans="1:50" s="290" customFormat="1" ht="26.25" customHeight="1">
      <c r="A72" s="318"/>
      <c r="B72" s="1598" t="s">
        <v>593</v>
      </c>
      <c r="C72" s="1363" t="str">
        <f>"Number of Care Leavers Aged 19-21 at "&amp;ReportData!$H$3&amp;", Rate per 10,000 19-21 Year Olds"</f>
        <v>Number of Care Leavers Aged 19-21 at 31st March, Rate per 10,000 19-21 Year Olds</v>
      </c>
      <c r="D72" s="936">
        <f>IFERROR(VLOOKUP(D$9,Care_Leavers!$B$7:$Q$31,14,FALSE),"")</f>
        <v>262.22537207654142</v>
      </c>
      <c r="E72" s="937">
        <f>IFERROR(VLOOKUP(E$9,Care_Leavers!$B$7:$Q$31,14,FALSE),"")</f>
        <v>109.25990013348495</v>
      </c>
      <c r="F72" s="937">
        <f>IFERROR(VLOOKUP(F$9,Care_Leavers!$B$7:$Q$31,14,FALSE),"")</f>
        <v>196.45888915837983</v>
      </c>
      <c r="G72" s="937">
        <f>IFERROR(VLOOKUP(G$9,Care_Leavers!$B$7:$Q$31,14,FALSE),"")</f>
        <v>205.35302261190586</v>
      </c>
      <c r="H72" s="937">
        <f>IFERROR(VLOOKUP(H$9,Care_Leavers!$B$7:$Q$31,14,FALSE),"")</f>
        <v>196.41426558744718</v>
      </c>
      <c r="I72" s="937">
        <f>IFERROR(VLOOKUP(I$9,Care_Leavers!$B$7:$Q$31,14,FALSE),"")</f>
        <v>316.1917998610146</v>
      </c>
      <c r="J72" s="937">
        <f>IFERROR(VLOOKUP(J$9,Care_Leavers!$B$7:$Q$31,14,FALSE),"")</f>
        <v>268.3590613009726</v>
      </c>
      <c r="K72" s="937">
        <f>IFERROR(VLOOKUP(K$9,Care_Leavers!$B$7:$Q$31,14,FALSE),"")</f>
        <v>173.36394948335246</v>
      </c>
      <c r="L72" s="937">
        <f>IFERROR(VLOOKUP(L$9,Care_Leavers!$B$7:$Q$31,14,FALSE),"")</f>
        <v>268.49391693469443</v>
      </c>
      <c r="M72" s="937">
        <f>IFERROR(VLOOKUP(M$9,Care_Leavers!$B$7:$Q$31,14,FALSE),"")</f>
        <v>121.27479552505406</v>
      </c>
      <c r="N72" s="937">
        <f>IFERROR(VLOOKUP(N$9,Care_Leavers!$B$7:$Q$31,14,FALSE),"")</f>
        <v>164.01661653058301</v>
      </c>
      <c r="O72" s="937">
        <f>IFERROR(VLOOKUP(O$9,Care_Leavers!$B$7:$Q$31,14,FALSE),"")</f>
        <v>134.06940063091483</v>
      </c>
      <c r="P72" s="937">
        <f>IFERROR(VLOOKUP(P$9,Care_Leavers!$B$7:$Q$31,14,FALSE),"")</f>
        <v>234.01587964897618</v>
      </c>
      <c r="Q72" s="937">
        <f>IFERROR(VLOOKUP(Q$9,Care_Leavers!$B$7:$Q$31,14,FALSE),"")</f>
        <v>102.29633970909478</v>
      </c>
      <c r="R72" s="937">
        <f>IFERROR(VLOOKUP(R$9,Care_Leavers!$B$7:$Q$31,14,FALSE),"")</f>
        <v>168.91338754570759</v>
      </c>
      <c r="S72" s="937">
        <f>IFERROR(VLOOKUP(S$9,Care_Leavers!$B$7:$Q$31,14,FALSE),"")</f>
        <v>309.02004454342983</v>
      </c>
      <c r="T72" s="937">
        <f>IFERROR(VLOOKUP(T$9,Care_Leavers!$B$7:$Q$31,14,FALSE),"")</f>
        <v>221.90506882740206</v>
      </c>
      <c r="U72" s="937">
        <f>IFERROR(VLOOKUP(U$9,Care_Leavers!$B$7:$Q$31,14,FALSE),"")</f>
        <v>212.63091082196129</v>
      </c>
      <c r="V72" s="938">
        <f>IFERROR(VLOOKUP(V$9,Care_Leavers!$B$7:$Q$31,14,FALSE),"")</f>
        <v>154.80498592681946</v>
      </c>
      <c r="W72" s="973">
        <f>IFERROR(VLOOKUP(W$9,Care_Leavers!$B$7:$Q$31,14,FALSE),"")</f>
        <v>187.01190564124605</v>
      </c>
      <c r="X72" s="974">
        <f>IFERROR(VLOOKUP(X$9,Care_Leavers!$B$7:$Q$31,14,FALSE),"")</f>
        <v>179.56476896773216</v>
      </c>
      <c r="Y72" s="319"/>
      <c r="Z72" s="320"/>
      <c r="AU72" s="290">
        <f t="shared" si="1"/>
        <v>64</v>
      </c>
    </row>
    <row r="73" spans="1:50" s="290" customFormat="1" ht="26.25" customHeight="1">
      <c r="A73" s="318"/>
      <c r="B73" s="1599"/>
      <c r="C73" s="1364" t="s">
        <v>688</v>
      </c>
      <c r="D73" s="945">
        <f>IFERROR(VLOOKUP(D$9,Care_Leavers!$B$107:$H$128,7,FALSE),"")</f>
        <v>0.93243243243243246</v>
      </c>
      <c r="E73" s="946">
        <f>IFERROR(VLOOKUP(E$9,Care_Leavers!$B$107:$H$128,7,FALSE),"")</f>
        <v>0.95927601809954754</v>
      </c>
      <c r="F73" s="946">
        <f>IFERROR(VLOOKUP(F$9,Care_Leavers!$B$107:$H$128,7,FALSE),"")</f>
        <v>0.92181069958847739</v>
      </c>
      <c r="G73" s="946">
        <f>IFERROR(VLOOKUP(G$9,Care_Leavers!$B$107:$H$128,7,FALSE),"")</f>
        <v>0.92509363295880154</v>
      </c>
      <c r="H73" s="946">
        <f>IFERROR(VLOOKUP(H$9,Care_Leavers!$B$107:$H$128,7,FALSE),"")</f>
        <v>0.35864978902953587</v>
      </c>
      <c r="I73" s="946">
        <f>IFERROR(VLOOKUP(I$9,Care_Leavers!$B$107:$H$128,7,FALSE),"")</f>
        <v>0.92307692307692313</v>
      </c>
      <c r="J73" s="946">
        <f>IFERROR(VLOOKUP(J$9,Care_Leavers!$B$107:$H$128,7,FALSE),"")</f>
        <v>0.92186201163757275</v>
      </c>
      <c r="K73" s="946">
        <f>IFERROR(VLOOKUP(K$9,Care_Leavers!$B$107:$H$128,7,FALSE),"")</f>
        <v>0.9668874172185431</v>
      </c>
      <c r="L73" s="946">
        <f>IFERROR(VLOOKUP(L$9,Care_Leavers!$B$107:$H$128,7,FALSE),"")</f>
        <v>0.92708333333333337</v>
      </c>
      <c r="M73" s="946">
        <f>IFERROR(VLOOKUP(M$9,Care_Leavers!$B$107:$H$128,7,FALSE),"")</f>
        <v>0.90180878552971577</v>
      </c>
      <c r="N73" s="946">
        <f>IFERROR(VLOOKUP(N$9,Care_Leavers!$B$107:$H$128,7,FALSE),"")</f>
        <v>0.93013100436681218</v>
      </c>
      <c r="O73" s="946">
        <f>IFERROR(VLOOKUP(O$9,Care_Leavers!$B$107:$H$128,7,FALSE),"")</f>
        <v>0.8529411764705882</v>
      </c>
      <c r="P73" s="946">
        <f>IFERROR(VLOOKUP(P$9,Care_Leavers!$B$107:$H$128,7,FALSE),"")</f>
        <v>0.75</v>
      </c>
      <c r="Q73" s="946">
        <f>IFERROR(VLOOKUP(Q$9,Care_Leavers!$B$107:$H$128,7,FALSE),"")</f>
        <v>0.86458333333333337</v>
      </c>
      <c r="R73" s="946">
        <f>IFERROR(VLOOKUP(R$9,Care_Leavers!$B$107:$H$128,7,FALSE),"")</f>
        <v>0.93376413570274641</v>
      </c>
      <c r="S73" s="946">
        <f>IFERROR(VLOOKUP(S$9,Care_Leavers!$B$107:$H$128,7,FALSE),"")</f>
        <v>0.87387387387387383</v>
      </c>
      <c r="T73" s="946">
        <f>IFERROR(VLOOKUP(T$9,Care_Leavers!$B$107:$H$128,7,FALSE),"")</f>
        <v>0.95643153526970959</v>
      </c>
      <c r="U73" s="946">
        <f>IFERROR(VLOOKUP(U$9,Care_Leavers!$B$107:$H$128,7,FALSE),"")</f>
        <v>0.97014925373134331</v>
      </c>
      <c r="V73" s="947">
        <f>IFERROR(VLOOKUP(V$9,Care_Leavers!$B$107:$H$128,7,FALSE),"")</f>
        <v>0.96103896103896103</v>
      </c>
      <c r="W73" s="969">
        <f>IFERROR(VLOOKUP(W$9,Care_Leavers!$B$107:$H$128,7,FALSE),"")</f>
        <v>0.84995507637017076</v>
      </c>
      <c r="X73" s="975">
        <f>IFERROR(VLOOKUP(X$9,Care_Leavers!$B$107:$H$129,7,FALSE),"")</f>
        <v>0.9188891943909816</v>
      </c>
      <c r="Y73" s="319"/>
      <c r="Z73" s="320"/>
      <c r="AU73" s="290">
        <f t="shared" si="1"/>
        <v>65</v>
      </c>
    </row>
    <row r="74" spans="1:50" s="290" customFormat="1" ht="26.25" customHeight="1">
      <c r="A74" s="318"/>
      <c r="B74" s="1599"/>
      <c r="C74" s="1364" t="s">
        <v>689</v>
      </c>
      <c r="D74" s="945">
        <f>IFERROR(VLOOKUP(D$9,Care_Leavers!$B$140:$H$161,7,FALSE),"")</f>
        <v>0.8783783783783784</v>
      </c>
      <c r="E74" s="946">
        <f>IFERROR(VLOOKUP(E$9,Care_Leavers!$B$140:$H$161,7,FALSE),"")</f>
        <v>0.91855203619909498</v>
      </c>
      <c r="F74" s="946">
        <f>IFERROR(VLOOKUP(F$9,Care_Leavers!$B$140:$H$161,7,FALSE),"")</f>
        <v>0.88065843621399176</v>
      </c>
      <c r="G74" s="946">
        <f>IFERROR(VLOOKUP(G$9,Care_Leavers!$B$140:$H$161,7,FALSE),"")</f>
        <v>0.90636704119850187</v>
      </c>
      <c r="H74" s="946">
        <f>IFERROR(VLOOKUP(H$9,Care_Leavers!$B$140:$H$161,7,FALSE),"")</f>
        <v>0.3263009845288326</v>
      </c>
      <c r="I74" s="946">
        <f>IFERROR(VLOOKUP(I$9,Care_Leavers!$B$140:$H$161,7,FALSE),"")</f>
        <v>0.87912087912087911</v>
      </c>
      <c r="J74" s="946">
        <f>IFERROR(VLOOKUP(J$9,Care_Leavers!$B$140:$H$161,7,FALSE),"")</f>
        <v>0.83624272651704068</v>
      </c>
      <c r="K74" s="946">
        <f>IFERROR(VLOOKUP(K$9,Care_Leavers!$B$140:$H$161,7,FALSE),"")</f>
        <v>0.93377483443708609</v>
      </c>
      <c r="L74" s="946">
        <f>IFERROR(VLOOKUP(L$9,Care_Leavers!$B$140:$H$161,7,FALSE),"")</f>
        <v>0.875</v>
      </c>
      <c r="M74" s="946">
        <f>IFERROR(VLOOKUP(M$9,Care_Leavers!$B$140:$H$161,7,FALSE),"")</f>
        <v>0.89922480620155043</v>
      </c>
      <c r="N74" s="946">
        <f>IFERROR(VLOOKUP(N$9,Care_Leavers!$B$140:$H$161,7,FALSE),"")</f>
        <v>0.85152838427947597</v>
      </c>
      <c r="O74" s="946">
        <f>IFERROR(VLOOKUP(O$9,Care_Leavers!$B$140:$H$161,7,FALSE),"")</f>
        <v>0.80882352941176472</v>
      </c>
      <c r="P74" s="946">
        <f>IFERROR(VLOOKUP(P$9,Care_Leavers!$B$140:$H$161,7,FALSE),"")</f>
        <v>0.8839285714285714</v>
      </c>
      <c r="Q74" s="946">
        <f>IFERROR(VLOOKUP(Q$9,Care_Leavers!$B$140:$H$161,7,FALSE),"")</f>
        <v>0.78645833333333337</v>
      </c>
      <c r="R74" s="946">
        <f>IFERROR(VLOOKUP(R$9,Care_Leavers!$B$140:$H$161,7,FALSE),"")</f>
        <v>0.88206785137318255</v>
      </c>
      <c r="S74" s="946">
        <f>IFERROR(VLOOKUP(S$9,Care_Leavers!$B$140:$H$161,7,FALSE),"")</f>
        <v>0.87387387387387383</v>
      </c>
      <c r="T74" s="946">
        <f>IFERROR(VLOOKUP(T$9,Care_Leavers!$B$140:$H$161,7,FALSE),"")</f>
        <v>0.88796680497925307</v>
      </c>
      <c r="U74" s="946">
        <f>IFERROR(VLOOKUP(U$9,Care_Leavers!$B$140:$H$161,7,FALSE),"")</f>
        <v>0.89552238805970152</v>
      </c>
      <c r="V74" s="947">
        <f>IFERROR(VLOOKUP(V$9,Care_Leavers!$B$140:$H$161,7,FALSE),"")</f>
        <v>0.93506493506493504</v>
      </c>
      <c r="W74" s="969">
        <f>IFERROR(VLOOKUP(W$9,Care_Leavers!$B$140:$H$161,7,FALSE),"")</f>
        <v>0.80143755615453727</v>
      </c>
      <c r="X74" s="975">
        <f>IFERROR(VLOOKUP(X$9,Care_Leavers!$B$140:$H$162,7,FALSE),"")</f>
        <v>0.86967280725872975</v>
      </c>
      <c r="Y74" s="319"/>
      <c r="Z74" s="320"/>
      <c r="AU74" s="290">
        <f t="shared" si="1"/>
        <v>66</v>
      </c>
    </row>
    <row r="75" spans="1:50" s="290" customFormat="1" ht="26.25" customHeight="1">
      <c r="A75" s="318"/>
      <c r="B75" s="1599"/>
      <c r="C75" s="1365" t="s">
        <v>693</v>
      </c>
      <c r="D75" s="939">
        <f>IFERROR(VLOOKUP(D$9,Care_Leavers!$B$173:$H$194,7,FALSE),"")</f>
        <v>0.54054054054054057</v>
      </c>
      <c r="E75" s="940">
        <f>IFERROR(VLOOKUP(E$9,Care_Leavers!$B$173:$H$194,7,FALSE),"")</f>
        <v>0.64253393665158376</v>
      </c>
      <c r="F75" s="940">
        <f>IFERROR(VLOOKUP(F$9,Care_Leavers!$B$173:$H$194,7,FALSE),"")</f>
        <v>0.51440329218106995</v>
      </c>
      <c r="G75" s="940">
        <f>IFERROR(VLOOKUP(G$9,Care_Leavers!$B$173:$H$194,7,FALSE),"")</f>
        <v>0.58052434456928836</v>
      </c>
      <c r="H75" s="940">
        <f>IFERROR(VLOOKUP(H$9,Care_Leavers!$B$173:$H$194,7,FALSE),"")</f>
        <v>0.21518987341772153</v>
      </c>
      <c r="I75" s="940">
        <f>IFERROR(VLOOKUP(I$9,Care_Leavers!$B$173:$H$194,7,FALSE),"")</f>
        <v>0.68131868131868134</v>
      </c>
      <c r="J75" s="940">
        <f>IFERROR(VLOOKUP(J$9,Care_Leavers!$B$173:$H$194,7,FALSE),"")</f>
        <v>0.55195344970906068</v>
      </c>
      <c r="K75" s="940">
        <f>IFERROR(VLOOKUP(K$9,Care_Leavers!$B$173:$H$194,7,FALSE),"")</f>
        <v>0.49668874172185429</v>
      </c>
      <c r="L75" s="940">
        <f>IFERROR(VLOOKUP(L$9,Care_Leavers!$B$173:$H$194,7,FALSE),"")</f>
        <v>0.58854166666666663</v>
      </c>
      <c r="M75" s="940">
        <f>IFERROR(VLOOKUP(M$9,Care_Leavers!$B$173:$H$194,7,FALSE),"")</f>
        <v>0.60723514211886309</v>
      </c>
      <c r="N75" s="940">
        <f>IFERROR(VLOOKUP(N$9,Care_Leavers!$B$173:$H$194,7,FALSE),"")</f>
        <v>0.51528384279475981</v>
      </c>
      <c r="O75" s="940">
        <f>IFERROR(VLOOKUP(O$9,Care_Leavers!$B$173:$H$194,7,FALSE),"")</f>
        <v>0.43382352941176472</v>
      </c>
      <c r="P75" s="940">
        <f>IFERROR(VLOOKUP(P$9,Care_Leavers!$B$173:$H$194,7,FALSE),"")</f>
        <v>0.4375</v>
      </c>
      <c r="Q75" s="940">
        <f>IFERROR(VLOOKUP(Q$9,Care_Leavers!$B$173:$H$194,7,FALSE),"")</f>
        <v>0.44270833333333331</v>
      </c>
      <c r="R75" s="940">
        <f>IFERROR(VLOOKUP(R$9,Care_Leavers!$B$173:$H$194,7,FALSE),"")</f>
        <v>0.55411954765751215</v>
      </c>
      <c r="S75" s="940">
        <f>IFERROR(VLOOKUP(S$9,Care_Leavers!$B$173:$H$194,7,FALSE),"")</f>
        <v>0.65765765765765771</v>
      </c>
      <c r="T75" s="940">
        <f>IFERROR(VLOOKUP(T$9,Care_Leavers!$B$173:$H$194,7,FALSE),"")</f>
        <v>0.56639004149377592</v>
      </c>
      <c r="U75" s="940">
        <f>IFERROR(VLOOKUP(U$9,Care_Leavers!$B$173:$H$194,7,FALSE),"")</f>
        <v>0.59701492537313428</v>
      </c>
      <c r="V75" s="941">
        <f>IFERROR(VLOOKUP(V$9,Care_Leavers!$B$173:$H$194,7,FALSE),"")</f>
        <v>0.53246753246753242</v>
      </c>
      <c r="W75" s="976">
        <f>IFERROR(VLOOKUP(W$9,Care_Leavers!$B$173:$H$194,7,FALSE),"")</f>
        <v>0.51166965888689409</v>
      </c>
      <c r="X75" s="977">
        <f>IFERROR(VLOOKUP(X$9,Care_Leavers!$B$173:$H$195,7,FALSE),"")</f>
        <v>0.53753093208688485</v>
      </c>
      <c r="Y75" s="319"/>
      <c r="Z75" s="320"/>
      <c r="AU75" s="290">
        <f t="shared" si="1"/>
        <v>67</v>
      </c>
    </row>
    <row r="76" spans="1:50" s="290" customFormat="1" ht="26.25" thickBot="1">
      <c r="A76" s="318"/>
      <c r="B76" s="1623"/>
      <c r="C76" s="1366" t="s">
        <v>1108</v>
      </c>
      <c r="D76" s="948">
        <f>IFERROR(VLOOKUP(D$9,Care_Leavers!$B$208:$H$227,7,FALSE),"")</f>
        <v>0.53846153846153844</v>
      </c>
      <c r="E76" s="949">
        <f>IFERROR(VLOOKUP(E$9,Care_Leavers!$B$208:$H$227,7,FALSE),"")</f>
        <v>0.27868852459016391</v>
      </c>
      <c r="F76" s="949">
        <f>IFERROR(VLOOKUP(F$9,Care_Leavers!$B$208:$H$227,7,FALSE),"")</f>
        <v>0.22916666666666666</v>
      </c>
      <c r="G76" s="949">
        <f>IFERROR(VLOOKUP(G$9,Care_Leavers!$B$208:$H$227,7,FALSE),"")</f>
        <v>0.35714285714285715</v>
      </c>
      <c r="H76" s="949">
        <f>IFERROR(VLOOKUP(H$9,Care_Leavers!$B$208:$H$227,7,FALSE),"")</f>
        <v>0.13815789473684212</v>
      </c>
      <c r="I76" s="949" t="str">
        <f>IFERROR(VLOOKUP(I$9,Care_Leavers!$B$208:$H$227,7,FALSE),"")</f>
        <v/>
      </c>
      <c r="J76" s="949">
        <f>IFERROR(VLOOKUP(J$9,Care_Leavers!$B$208:$H$227,7,FALSE),"")</f>
        <v>8.8050314465408799E-2</v>
      </c>
      <c r="K76" s="949">
        <f>IFERROR(VLOOKUP(K$9,Care_Leavers!$B$208:$H$227,7,FALSE),"")</f>
        <v>0.20512820512820512</v>
      </c>
      <c r="L76" s="949">
        <f>IFERROR(VLOOKUP(L$9,Care_Leavers!$B$208:$H$227,7,FALSE),"")</f>
        <v>0.34210526315789475</v>
      </c>
      <c r="M76" s="949">
        <f>IFERROR(VLOOKUP(M$9,Care_Leavers!$B$208:$H$227,7,FALSE),"")</f>
        <v>0.27659574468085107</v>
      </c>
      <c r="N76" s="949">
        <f>IFERROR(VLOOKUP(N$9,Care_Leavers!$B$208:$H$227,7,FALSE),"")</f>
        <v>0.18461538461538463</v>
      </c>
      <c r="O76" s="949">
        <f>IFERROR(VLOOKUP(O$9,Care_Leavers!$B$208:$H$227,7,FALSE),"")</f>
        <v>0.36</v>
      </c>
      <c r="P76" s="949">
        <f>IFERROR(VLOOKUP(P$9,Care_Leavers!$B$208:$H$227,7,FALSE),"")</f>
        <v>0.25</v>
      </c>
      <c r="Q76" s="949">
        <f>IFERROR(VLOOKUP(Q$9,Care_Leavers!$B$208:$H$227,7,FALSE),"")</f>
        <v>0.40909090909090912</v>
      </c>
      <c r="R76" s="949">
        <f>IFERROR(VLOOKUP(R$9,Care_Leavers!$B$208:$H$227,7,FALSE),"")</f>
        <v>0.31578947368421051</v>
      </c>
      <c r="S76" s="949">
        <f>IFERROR(VLOOKUP(S$9,Care_Leavers!$B$208:$H$227,7,FALSE),"")</f>
        <v>0.47826086956521741</v>
      </c>
      <c r="T76" s="949">
        <f>IFERROR(VLOOKUP(T$9,Care_Leavers!$B$208:$H$227,7,FALSE),"")</f>
        <v>0.39325842696629215</v>
      </c>
      <c r="U76" s="949" t="str">
        <f>IFERROR(VLOOKUP(U$9,Care_Leavers!$B$208:$H$227,7,FALSE),"")</f>
        <v/>
      </c>
      <c r="V76" s="950" t="str">
        <f>IFERROR(VLOOKUP(V$9,Care_Leavers!$B$208:$H$227,7,FALSE),"")</f>
        <v/>
      </c>
      <c r="W76" s="971">
        <f>IFERROR(VLOOKUP(W$9,Care_Leavers!$B$208:$H$227,7,FALSE),"")</f>
        <v>0.25714285714285712</v>
      </c>
      <c r="X76" s="978">
        <f>IFERROR(VLOOKUP(X$9,Care_Leavers!$B$208:$H$228,7,FALSE),"")</f>
        <v>0.32369146005509641</v>
      </c>
      <c r="Y76" s="319"/>
      <c r="Z76" s="320"/>
      <c r="AU76" s="290">
        <f t="shared" si="1"/>
        <v>68</v>
      </c>
    </row>
    <row r="77" spans="1:50" s="290" customFormat="1" ht="26.25" customHeight="1">
      <c r="A77" s="318"/>
      <c r="B77" s="1600" t="s">
        <v>29</v>
      </c>
      <c r="C77" s="1367" t="str">
        <f>"Children placed for Adoption at "&amp;ReportData!$H$3&amp;", Rate per 10,000 0-17 Year Olds"</f>
        <v>Children placed for Adoption at 31st March, Rate per 10,000 0-17 Year Olds</v>
      </c>
      <c r="D77" s="954">
        <f>IFERROR(VLOOKUP(D9,Permanence!$B$11:$O$31,14,FALSE),"")</f>
        <v>0</v>
      </c>
      <c r="E77" s="955">
        <f>IFERROR(VLOOKUP(E9,Permanence!$B$11:$O$31,14,FALSE),"")</f>
        <v>2.1428877555393648</v>
      </c>
      <c r="F77" s="955" t="str">
        <f>IFERROR(VLOOKUP(F9,Permanence!$B$11:$O$31,14,FALSE),"")</f>
        <v/>
      </c>
      <c r="G77" s="955">
        <f>IFERROR(VLOOKUP(G9,Permanence!$B$11:$O$31,14,FALSE),"")</f>
        <v>1.3512730922919522</v>
      </c>
      <c r="H77" s="955">
        <f>IFERROR(VLOOKUP(H9,Permanence!$B$11:$O$31,14,FALSE),"")</f>
        <v>0.91033227127901684</v>
      </c>
      <c r="I77" s="955" t="str">
        <f>IFERROR(VLOOKUP(I9,Permanence!$B$11:$O$31,14,FALSE),"")</f>
        <v/>
      </c>
      <c r="J77" s="955">
        <f>IFERROR(VLOOKUP(J9,Permanence!$B$11:$O$31,14,FALSE),"")</f>
        <v>1.3779957052467187</v>
      </c>
      <c r="K77" s="955">
        <f>IFERROR(VLOOKUP(K9,Permanence!$B$11:$O$31,14,FALSE),"")</f>
        <v>1.1996341115959632</v>
      </c>
      <c r="L77" s="955">
        <f>IFERROR(VLOOKUP(L9,Permanence!$B$11:$O$31,14,FALSE),"")</f>
        <v>1.5110512795856972</v>
      </c>
      <c r="M77" s="955" t="str">
        <f>IFERROR(VLOOKUP(M9,Permanence!$B$11:$O$31,14,FALSE),"")</f>
        <v/>
      </c>
      <c r="N77" s="955">
        <f>IFERROR(VLOOKUP(N9,Permanence!$B$11:$O$31,14,FALSE),"")</f>
        <v>2.3636750419552319</v>
      </c>
      <c r="O77" s="955" t="str">
        <f>IFERROR(VLOOKUP(O9,Permanence!$B$11:$O$31,14,FALSE),"")</f>
        <v/>
      </c>
      <c r="P77" s="955">
        <f>IFERROR(VLOOKUP(P9,Permanence!$B$11:$O$31,14,FALSE),"")</f>
        <v>2.2297041182635065</v>
      </c>
      <c r="Q77" s="955">
        <f>IFERROR(VLOOKUP(Q9,Permanence!$B$11:$O$31,14,FALSE),"")</f>
        <v>2.9777857185396939</v>
      </c>
      <c r="R77" s="955">
        <f>IFERROR(VLOOKUP(R9,Permanence!$B$11:$O$31,14,FALSE),"")</f>
        <v>0.56460598030654341</v>
      </c>
      <c r="S77" s="955">
        <f>IFERROR(VLOOKUP(S9,Permanence!$B$11:$O$31,14,FALSE),"")</f>
        <v>1.981599433828733</v>
      </c>
      <c r="T77" s="955">
        <f>IFERROR(VLOOKUP(T9,Permanence!$B$11:$O$31,14,FALSE),"")</f>
        <v>1.6200393278512693</v>
      </c>
      <c r="U77" s="955" t="str">
        <f>IFERROR(VLOOKUP(U9,Permanence!$B$11:$O$31,14,FALSE),"")</f>
        <v/>
      </c>
      <c r="V77" s="956" t="str">
        <f>IFERROR(VLOOKUP(V9,Permanence!$B$11:$O$31,14,FALSE),"")</f>
        <v/>
      </c>
      <c r="W77" s="979">
        <f>IFERROR(VLOOKUP(W9,Permanence!$B$11:$O$31,14,FALSE),"")</f>
        <v>1.4650810667573742</v>
      </c>
      <c r="X77" s="980">
        <f>IFERROR(VLOOKUP(X9,Permanence!$B$11:$O$31,14,FALSE),"")</f>
        <v>1.591846279988592</v>
      </c>
      <c r="Y77" s="319"/>
      <c r="Z77" s="320"/>
      <c r="AU77" s="290">
        <f t="shared" si="1"/>
        <v>69</v>
      </c>
    </row>
    <row r="78" spans="1:50" s="290" customFormat="1" ht="38.25" customHeight="1">
      <c r="A78" s="318"/>
      <c r="B78" s="1596"/>
      <c r="C78" s="1368" t="str">
        <f>"Average days, between a child entering care and moving in with their adoptive family, adjusted for Foster Carer Adoptions (children adopted in "&amp;ReportData!$G$3&amp;")"</f>
        <v>Average days, between a child entering care and moving in with their adoptive family, adjusted for Foster Carer Adoptions (children adopted in Year ending 31st March)</v>
      </c>
      <c r="D78" s="957">
        <f>IFERROR(VLOOKUP(D9,Permanence!$B$79:$O$99,14,FALSE),"")</f>
        <v>139.66666666666666</v>
      </c>
      <c r="E78" s="958">
        <f>IFERROR(VLOOKUP(E9,Permanence!$B$79:$O$99,14,FALSE),"")</f>
        <v>724.68181818181813</v>
      </c>
      <c r="F78" s="958">
        <f>IFERROR(VLOOKUP(F9,Permanence!$B$79:$O$99,14,FALSE),"")</f>
        <v>275.5</v>
      </c>
      <c r="G78" s="958">
        <f>IFERROR(VLOOKUP(G9,Permanence!$B$79:$O$99,14,FALSE),"")</f>
        <v>503.15789473684208</v>
      </c>
      <c r="H78" s="958">
        <f>IFERROR(VLOOKUP(H9,Permanence!$B$79:$O$99,14,FALSE),"")</f>
        <v>393.34285714285716</v>
      </c>
      <c r="I78" s="958">
        <f>IFERROR(VLOOKUP(I9,Permanence!$B$79:$O$99,14,FALSE),"")</f>
        <v>425.85714285714283</v>
      </c>
      <c r="J78" s="958">
        <f>IFERROR(VLOOKUP(J9,Permanence!$B$79:$O$99,14,FALSE),"")</f>
        <v>345.9264705882353</v>
      </c>
      <c r="K78" s="958">
        <f>IFERROR(VLOOKUP(K9,Permanence!$B$79:$O$99,14,FALSE),"")</f>
        <v>472.66666666666669</v>
      </c>
      <c r="L78" s="958">
        <f>IFERROR(VLOOKUP(L9,Permanence!$B$79:$O$99,14,FALSE),"")</f>
        <v>490.70588235294116</v>
      </c>
      <c r="M78" s="958">
        <f>IFERROR(VLOOKUP(M9,Permanence!$B$79:$O$99,14,FALSE),"")</f>
        <v>519.44000000000005</v>
      </c>
      <c r="N78" s="958">
        <f>IFERROR(VLOOKUP(N9,Permanence!$B$79:$O$99,14,FALSE),"")</f>
        <v>324.22222222222223</v>
      </c>
      <c r="O78" s="958">
        <f>IFERROR(VLOOKUP(O9,Permanence!$B$79:$O$99,14,FALSE),"")</f>
        <v>584.4</v>
      </c>
      <c r="P78" s="958">
        <f>IFERROR(VLOOKUP(P9,Permanence!$B$79:$O$99,14,FALSE),"")</f>
        <v>594.75</v>
      </c>
      <c r="Q78" s="958">
        <f>IFERROR(VLOOKUP(Q9,Permanence!$B$79:$O$99,14,FALSE),"")</f>
        <v>445.53333333333336</v>
      </c>
      <c r="R78" s="958">
        <f>IFERROR(VLOOKUP(R9,Permanence!$B$79:$O$99,14,FALSE),"")</f>
        <v>605.20000000000005</v>
      </c>
      <c r="S78" s="958">
        <f>IFERROR(VLOOKUP(S9,Permanence!$B$79:$O$99,14,FALSE),"")</f>
        <v>133.5</v>
      </c>
      <c r="T78" s="958">
        <f>IFERROR(VLOOKUP(T9,Permanence!$B$79:$O$99,14,FALSE),"")</f>
        <v>474.0625</v>
      </c>
      <c r="U78" s="958">
        <f>IFERROR(VLOOKUP(U9,Permanence!$B$79:$O$99,14,FALSE),"")</f>
        <v>445</v>
      </c>
      <c r="V78" s="959">
        <f>IFERROR(VLOOKUP(V9,Permanence!$B$79:$O$99,14,FALSE),"")</f>
        <v>645.25</v>
      </c>
      <c r="W78" s="981">
        <f>IFERROR(VLOOKUP(W9,Permanence!$B$79:$O$99,14,FALSE),"")</f>
        <v>446.51948051948051</v>
      </c>
      <c r="X78" s="982">
        <f>IFERROR(VLOOKUP(X9,Permanence!$B$79:$O$99,14,FALSE),"")</f>
        <v>485.03991949010401</v>
      </c>
      <c r="Y78" s="319"/>
      <c r="Z78" s="320"/>
      <c r="AU78" s="290">
        <f t="shared" si="1"/>
        <v>70</v>
      </c>
    </row>
    <row r="79" spans="1:50" s="290" customFormat="1" ht="26.25" customHeight="1" thickBot="1">
      <c r="A79" s="318"/>
      <c r="B79" s="1601"/>
      <c r="C79" s="1369" t="s">
        <v>202</v>
      </c>
      <c r="D79" s="948" t="str">
        <f>IFERROR(VLOOKUP(D9,Permanence!$B$177:$H$197,7,FALSE),"")</f>
        <v/>
      </c>
      <c r="E79" s="949">
        <f>IFERROR(VLOOKUP(E9,Permanence!$B$177:$H$197,7,FALSE),"")</f>
        <v>0.16296296296296298</v>
      </c>
      <c r="F79" s="949">
        <f>IFERROR(VLOOKUP(F9,Permanence!$B$177:$H$197,7,FALSE),"")</f>
        <v>5.8823529411764705E-2</v>
      </c>
      <c r="G79" s="949">
        <f>IFERROR(VLOOKUP(G9,Permanence!$B$177:$H$197,7,FALSE),"")</f>
        <v>8.085106382978724E-2</v>
      </c>
      <c r="H79" s="949">
        <f>IFERROR(VLOOKUP(H9,Permanence!$B$177:$H$197,7,FALSE),"")</f>
        <v>0.10920436817472699</v>
      </c>
      <c r="I79" s="949">
        <f>IFERROR(VLOOKUP(I9,Permanence!$B$177:$H$197,7,FALSE),"")</f>
        <v>8.3333333333333329E-2</v>
      </c>
      <c r="J79" s="949">
        <f>IFERROR(VLOOKUP(J9,Permanence!$B$177:$H$197,7,FALSE),"")</f>
        <v>2.4862888482632541E-2</v>
      </c>
      <c r="K79" s="949">
        <f>IFERROR(VLOOKUP(K9,Permanence!$B$177:$H$197,7,FALSE),"")</f>
        <v>9.7297297297297303E-2</v>
      </c>
      <c r="L79" s="949">
        <f>IFERROR(VLOOKUP(L9,Permanence!$B$177:$H$197,7,FALSE),"")</f>
        <v>0.10497237569060773</v>
      </c>
      <c r="M79" s="949">
        <f>IFERROR(VLOOKUP(M9,Permanence!$B$177:$H$197,7,FALSE),"")</f>
        <v>7.4626865671641784E-2</v>
      </c>
      <c r="N79" s="949">
        <f>IFERROR(VLOOKUP(N9,Permanence!$B$177:$H$197,7,FALSE),"")</f>
        <v>0.11538461538461539</v>
      </c>
      <c r="O79" s="949" t="str">
        <f>IFERROR(VLOOKUP(O9,Permanence!$B$177:$H$197,7,FALSE),"")</f>
        <v/>
      </c>
      <c r="P79" s="949" t="str">
        <f>IFERROR(VLOOKUP(P9,Permanence!$B$177:$H$197,7,FALSE),"")</f>
        <v/>
      </c>
      <c r="Q79" s="949">
        <f>IFERROR(VLOOKUP(Q9,Permanence!$B$177:$H$197,7,FALSE),"")</f>
        <v>0.14018691588785046</v>
      </c>
      <c r="R79" s="949">
        <f>IFERROR(VLOOKUP(R9,Permanence!$B$177:$H$197,7,FALSE),"")</f>
        <v>6.205250596658711E-2</v>
      </c>
      <c r="S79" s="949" t="str">
        <f>IFERROR(VLOOKUP(S9,Permanence!$B$177:$H$197,7,FALSE),"")</f>
        <v/>
      </c>
      <c r="T79" s="949">
        <f>IFERROR(VLOOKUP(T9,Permanence!$B$177:$H$197,7,FALSE),"")</f>
        <v>7.9800498753117205E-2</v>
      </c>
      <c r="U79" s="949" t="str">
        <f>IFERROR(VLOOKUP(U9,Permanence!$B$177:$H$197,7,FALSE),"")</f>
        <v/>
      </c>
      <c r="V79" s="950" t="str">
        <f>IFERROR(VLOOKUP(V9,Permanence!$B$177:$H$197,7,FALSE),"")</f>
        <v/>
      </c>
      <c r="W79" s="971">
        <f>IFERROR(VLOOKUP(W9,Permanence!$B$177:$H$197,7,FALSE),"")</f>
        <v>6.0747663551401869E-2</v>
      </c>
      <c r="X79" s="972">
        <f>IFERROR(VLOOKUP(X9,Permanence!$B$177:$H$197,7,FALSE),"")</f>
        <v>8.8637715645449131E-2</v>
      </c>
      <c r="Y79" s="319"/>
      <c r="Z79" s="320"/>
      <c r="AU79" s="290">
        <f t="shared" si="1"/>
        <v>71</v>
      </c>
    </row>
    <row r="80" spans="1:50" s="290" customFormat="1" ht="26.25" customHeight="1">
      <c r="A80" s="318"/>
      <c r="B80" s="1598" t="s">
        <v>691</v>
      </c>
      <c r="C80" s="1370" t="str">
        <f>"% Young People aged 16-17 who are Participating in Education, Employment or Training (EET) at "&amp;ReportData!H3</f>
        <v>% Young People aged 16-17 who are Participating in Education, Employment or Training (EET) at 31st March</v>
      </c>
      <c r="D80" s="942">
        <f>IFERROR(VLOOKUP(D$9,Participation!$B$7:$P$31,14,FALSE),"")</f>
        <v>0.94721402214022155</v>
      </c>
      <c r="E80" s="943">
        <f>IFERROR(VLOOKUP(E$9,Participation!$B$7:$P$31,14,FALSE),"")</f>
        <v>0.92788844163312245</v>
      </c>
      <c r="F80" s="943">
        <f>IFERROR(VLOOKUP(F$9,Participation!$B$7:$P$31,14,FALSE),"")</f>
        <v>0.91745286195286202</v>
      </c>
      <c r="G80" s="943">
        <f>IFERROR(VLOOKUP(G$9,Participation!$B$7:$P$31,14,FALSE),"")</f>
        <v>0.88260731121586766</v>
      </c>
      <c r="H80" s="943">
        <f>IFERROR(VLOOKUP(H$9,Participation!$B$7:$P$31,14,FALSE),"")</f>
        <v>0.91127250972180673</v>
      </c>
      <c r="I80" s="943">
        <f>IFERROR(VLOOKUP(I$9,Participation!$B$7:$P$31,14,FALSE),"")</f>
        <v>0.90335795454545464</v>
      </c>
      <c r="J80" s="943">
        <f>IFERROR(VLOOKUP(J$9,Participation!$B$7:$P$31,14,FALSE),"")</f>
        <v>0.90326417412673332</v>
      </c>
      <c r="K80" s="943">
        <f>IFERROR(VLOOKUP(K$9,Participation!$B$7:$P$31,14,FALSE),"")</f>
        <v>0.90451658218682118</v>
      </c>
      <c r="L80" s="943">
        <f>IFERROR(VLOOKUP(L$9,Participation!$B$7:$P$31,14,FALSE),"")</f>
        <v>0.93990363609157568</v>
      </c>
      <c r="M80" s="943">
        <f>IFERROR(VLOOKUP(M$9,Participation!$B$7:$P$31,14,FALSE),"")</f>
        <v>0.93606701990548469</v>
      </c>
      <c r="N80" s="943">
        <f>IFERROR(VLOOKUP(N$9,Participation!$B$7:$P$31,14,FALSE),"")</f>
        <v>0.89658726469904726</v>
      </c>
      <c r="O80" s="943">
        <f>IFERROR(VLOOKUP(O$9,Participation!$B$7:$P$31,14,FALSE),"")</f>
        <v>0.90638095238095229</v>
      </c>
      <c r="P80" s="943">
        <f>IFERROR(VLOOKUP(P$9,Participation!$B$7:$P$31,14,FALSE),"")</f>
        <v>0.93884676145339652</v>
      </c>
      <c r="Q80" s="943">
        <f>IFERROR(VLOOKUP(Q$9,Participation!$B$7:$P$31,14,FALSE),"")</f>
        <v>0.88582137096774172</v>
      </c>
      <c r="R80" s="943">
        <f>IFERROR(VLOOKUP(R$9,Participation!$B$7:$P$31,14,FALSE),"")</f>
        <v>0.89567395433420893</v>
      </c>
      <c r="S80" s="943">
        <f>IFERROR(VLOOKUP(S$9,Participation!$B$7:$P$31,14,FALSE),"")</f>
        <v>0.91299999999999992</v>
      </c>
      <c r="T80" s="943">
        <f>IFERROR(VLOOKUP(T$9,Participation!$B$7:$P$31,14,FALSE),"")</f>
        <v>0.88773774365032487</v>
      </c>
      <c r="U80" s="943">
        <f>IFERROR(VLOOKUP(U$9,Participation!$B$7:$P$31,14,FALSE),"")</f>
        <v>0.94757766990291259</v>
      </c>
      <c r="V80" s="944">
        <f>IFERROR(VLOOKUP(V$9,Participation!$B$7:$P$31,14,FALSE),"")</f>
        <v>0.94680272796160647</v>
      </c>
      <c r="W80" s="983">
        <f>IFERROR(VLOOKUP(W$9,Participation!$B$7:$P$31,14,FALSE),"")</f>
        <v>0.90883986138016681</v>
      </c>
      <c r="X80" s="984">
        <f>IFERROR(VLOOKUP(X$9,Participation!$B$7:$P$31,14,FALSE),"")</f>
        <v>0.92053331187614851</v>
      </c>
      <c r="Y80" s="319"/>
      <c r="Z80" s="320"/>
      <c r="AU80" s="290">
        <f t="shared" si="1"/>
        <v>72</v>
      </c>
    </row>
    <row r="81" spans="1:47" s="290" customFormat="1" ht="38.25" customHeight="1">
      <c r="A81" s="318"/>
      <c r="B81" s="1599"/>
      <c r="C81" s="1371" t="str">
        <f>"% Young People aged 16-17 who are not Participating in Education, Employment or Training (NEET) "&amp;ReportData!H4</f>
        <v>% Young People aged 16-17 who are not Participating in Education, Employment or Training (NEET) Dec/ Jan/ Feb 3-month average</v>
      </c>
      <c r="D81" s="960">
        <f>IFERROR(VLOOKUP(D$9,Participation!$B$72:$H$94,7,FALSE),"")</f>
        <v>1.8000000000000002E-2</v>
      </c>
      <c r="E81" s="961">
        <f>IFERROR(VLOOKUP(E$9,Participation!$B$72:$H$94,7,FALSE),"")</f>
        <v>3.3000000000000002E-2</v>
      </c>
      <c r="F81" s="961">
        <f>IFERROR(VLOOKUP(F$9,Participation!$B$72:$H$94,7,FALSE),"")</f>
        <v>1.4980752265618734E-2</v>
      </c>
      <c r="G81" s="961">
        <f>IFERROR(VLOOKUP(G$9,Participation!$B$72:$H$94,7,FALSE),"")</f>
        <v>4.1921662669864114E-2</v>
      </c>
      <c r="H81" s="961">
        <f>IFERROR(VLOOKUP(H$9,Participation!$B$72:$H$94,7,FALSE),"")</f>
        <v>3.0007976601967561E-2</v>
      </c>
      <c r="I81" s="961">
        <f>IFERROR(VLOOKUP(I$9,Participation!$B$72:$H$94,7,FALSE),"")</f>
        <v>3.6837818181818187E-2</v>
      </c>
      <c r="J81" s="961">
        <f>IFERROR(VLOOKUP(J$9,Participation!$B$72:$H$94,7,FALSE),"")</f>
        <v>3.3018347818453163E-2</v>
      </c>
      <c r="K81" s="961">
        <f>IFERROR(VLOOKUP(K$9,Participation!$B$72:$H$94,7,FALSE),"")</f>
        <v>2.9608752354731194E-2</v>
      </c>
      <c r="L81" s="961">
        <f>IFERROR(VLOOKUP(L$9,Participation!$B$72:$H$94,7,FALSE),"")</f>
        <v>1.9913212629058808E-2</v>
      </c>
      <c r="M81" s="961">
        <f>IFERROR(VLOOKUP(M$9,Participation!$B$72:$H$94,7,FALSE),"")</f>
        <v>1.8001288844336247E-2</v>
      </c>
      <c r="N81" s="961">
        <f>IFERROR(VLOOKUP(N$9,Participation!$B$72:$H$94,7,FALSE),"")</f>
        <v>3.8485416666666668E-2</v>
      </c>
      <c r="O81" s="961">
        <f>IFERROR(VLOOKUP(O$9,Participation!$B$72:$H$94,7,FALSE),"")</f>
        <v>2.7515850144092215E-2</v>
      </c>
      <c r="P81" s="961">
        <f>IFERROR(VLOOKUP(P$9,Participation!$B$72:$H$94,7,FALSE),"")</f>
        <v>2.6000000000000002E-2</v>
      </c>
      <c r="Q81" s="961">
        <f>IFERROR(VLOOKUP(Q$9,Participation!$B$72:$H$94,7,FALSE),"")</f>
        <v>4.1016542263465801E-2</v>
      </c>
      <c r="R81" s="961">
        <f>IFERROR(VLOOKUP(R$9,Participation!$B$72:$H$94,7,FALSE),"")</f>
        <v>8.9131879711437153E-3</v>
      </c>
      <c r="S81" s="961">
        <f>IFERROR(VLOOKUP(S$9,Participation!$B$72:$H$94,7,FALSE),"")</f>
        <v>1.9038328530259368E-2</v>
      </c>
      <c r="T81" s="961">
        <f>IFERROR(VLOOKUP(T$9,Participation!$B$72:$H$94,7,FALSE),"")</f>
        <v>1.9998818385915159E-2</v>
      </c>
      <c r="U81" s="961">
        <f>IFERROR(VLOOKUP(U$9,Participation!$B$72:$H$94,7,FALSE),"")</f>
        <v>1.1031976744186047E-2</v>
      </c>
      <c r="V81" s="962">
        <f>IFERROR(VLOOKUP(V$9,Participation!$B$72:$H$94,7,FALSE),"")</f>
        <v>1.998483699772555E-2</v>
      </c>
      <c r="W81" s="985">
        <f>IFERROR(VLOOKUP(W$9,Participation!$B$72:$H$94,7,FALSE),"")</f>
        <v>2.4948220577781646E-2</v>
      </c>
      <c r="X81" s="986">
        <f>IFERROR(VLOOKUP(X$9,Participation!$B$72:$H$94,7,FALSE),"")</f>
        <v>2.7933643292756723E-2</v>
      </c>
      <c r="Y81" s="319"/>
      <c r="Z81" s="320"/>
      <c r="AU81" s="290">
        <f t="shared" si="1"/>
        <v>73</v>
      </c>
    </row>
    <row r="82" spans="1:47" s="290" customFormat="1" ht="26.25" thickBot="1">
      <c r="A82" s="318"/>
      <c r="B82" s="1623"/>
      <c r="C82" s="1372" t="str">
        <f>"% Young People aged 16-17 whose Current Activity is Not Known "&amp;ReportData!$H$4</f>
        <v>% Young People aged 16-17 whose Current Activity is Not Known Dec/ Jan/ Feb 3-month average</v>
      </c>
      <c r="D82" s="963">
        <f>IFERROR(VLOOKUP(D$9,Participation!$B$105:$H$127,7,FALSE),"")</f>
        <v>1.7000000000000001E-2</v>
      </c>
      <c r="E82" s="964">
        <f>IFERROR(VLOOKUP(E$9,Participation!$B$105:$H$127,7,FALSE),"")</f>
        <v>6.0000000000000001E-3</v>
      </c>
      <c r="F82" s="964">
        <f>IFERROR(VLOOKUP(F$9,Participation!$B$105:$H$127,7,FALSE),"")</f>
        <v>6.9910177239554103E-2</v>
      </c>
      <c r="G82" s="964">
        <f>IFERROR(VLOOKUP(G$9,Participation!$B$105:$H$127,7,FALSE),"")</f>
        <v>8.9832134292565959E-3</v>
      </c>
      <c r="H82" s="964">
        <f>IFERROR(VLOOKUP(H$9,Participation!$B$105:$H$127,7,FALSE),"")</f>
        <v>1.800478596118054E-2</v>
      </c>
      <c r="I82" s="964">
        <f>IFERROR(VLOOKUP(I$9,Participation!$B$105:$H$127,7,FALSE),"")</f>
        <v>5.1163636363636368E-3</v>
      </c>
      <c r="J82" s="964">
        <f>IFERROR(VLOOKUP(J$9,Participation!$B$105:$H$127,7,FALSE),"")</f>
        <v>2.5013899862464519E-2</v>
      </c>
      <c r="K82" s="964">
        <f>IFERROR(VLOOKUP(K$9,Participation!$B$105:$H$127,7,FALSE),"")</f>
        <v>3.1582669178379943E-2</v>
      </c>
      <c r="L82" s="964">
        <f>IFERROR(VLOOKUP(L$9,Participation!$B$105:$H$127,7,FALSE),"")</f>
        <v>1.2943588208888225E-2</v>
      </c>
      <c r="M82" s="964">
        <f>IFERROR(VLOOKUP(M$9,Participation!$B$105:$H$127,7,FALSE),"")</f>
        <v>2.6001861664041247E-2</v>
      </c>
      <c r="N82" s="964">
        <f>IFERROR(VLOOKUP(N$9,Participation!$B$105:$H$127,7,FALSE),"")</f>
        <v>1.5788888888888887E-2</v>
      </c>
      <c r="O82" s="964">
        <f>IFERROR(VLOOKUP(O$9,Participation!$B$105:$H$127,7,FALSE),"")</f>
        <v>3.9308357348703171E-3</v>
      </c>
      <c r="P82" s="964">
        <f>IFERROR(VLOOKUP(P$9,Participation!$B$105:$H$127,7,FALSE),"")</f>
        <v>2.2000000000000002E-2</v>
      </c>
      <c r="Q82" s="964">
        <f>IFERROR(VLOOKUP(Q$9,Participation!$B$105:$H$127,7,FALSE),"")</f>
        <v>3.2012911034900143E-2</v>
      </c>
      <c r="R82" s="964">
        <f>IFERROR(VLOOKUP(R$9,Participation!$B$105:$H$127,7,FALSE),"")</f>
        <v>0.14162065331928347</v>
      </c>
      <c r="S82" s="964">
        <f>IFERROR(VLOOKUP(S$9,Participation!$B$105:$H$127,7,FALSE),"")</f>
        <v>6.0121037463976949E-3</v>
      </c>
      <c r="T82" s="964">
        <f>IFERROR(VLOOKUP(T$9,Participation!$B$105:$H$127,7,FALSE),"")</f>
        <v>7.4995568947181845E-2</v>
      </c>
      <c r="U82" s="964">
        <f>IFERROR(VLOOKUP(U$9,Participation!$B$105:$H$127,7,FALSE),"")</f>
        <v>4.3124999999999997E-2</v>
      </c>
      <c r="V82" s="965">
        <f>IFERROR(VLOOKUP(V$9,Participation!$B$105:$H$127,7,FALSE),"")</f>
        <v>2.1983320697498109E-2</v>
      </c>
      <c r="W82" s="987">
        <f>IFERROR(VLOOKUP(W$9,Participation!$B$105:$H$127,7,FALSE),"")</f>
        <v>4.2910939393784424E-2</v>
      </c>
      <c r="X82" s="988">
        <f>IFERROR(VLOOKUP(X$9,Participation!$B$105:$H$127,7,FALSE),"")</f>
        <v>2.3943122822362911E-2</v>
      </c>
      <c r="Y82" s="319"/>
      <c r="Z82" s="320"/>
      <c r="AU82" s="290">
        <f t="shared" si="1"/>
        <v>74</v>
      </c>
    </row>
    <row r="83" spans="1:47" s="290" customFormat="1" ht="26.25" customHeight="1">
      <c r="A83" s="318"/>
      <c r="B83" s="1607" t="s">
        <v>596</v>
      </c>
      <c r="C83" s="1373" t="str">
        <f>"Rate of First Time Entrants to the Youth Justice System in the year ending "&amp;ReportData!$H$3&amp;", per 100,000 10-17 year olds"</f>
        <v>Rate of First Time Entrants to the Youth Justice System in the year ending 31st March, per 100,000 10-17 year olds</v>
      </c>
      <c r="D83" s="954">
        <f>IFERROR(VLOOKUP(D$9,YouthJustice!$B$11:$O$31,14,FALSE),"")</f>
        <v>133.74816983894581</v>
      </c>
      <c r="E83" s="955">
        <f>IFERROR(VLOOKUP(E$9,YouthJustice!$B$11:$O$31,14,FALSE),"")</f>
        <v>195.94830597275586</v>
      </c>
      <c r="F83" s="955">
        <f>IFERROR(VLOOKUP(F$9,YouthJustice!$B$11:$O$31,14,FALSE),"")</f>
        <v>159.30326450571002</v>
      </c>
      <c r="G83" s="955">
        <f>IFERROR(VLOOKUP(G$9,YouthJustice!$B$11:$O$31,14,FALSE),"")</f>
        <v>124.54595704358812</v>
      </c>
      <c r="H83" s="955">
        <f>IFERROR(VLOOKUP(H$9,YouthJustice!$B$11:$O$31,14,FALSE),"")</f>
        <v>87.405526601036428</v>
      </c>
      <c r="I83" s="955">
        <f>IFERROR(VLOOKUP(I$9,YouthJustice!$B$11:$O$31,14,FALSE),"")</f>
        <v>338.8364779874214</v>
      </c>
      <c r="J83" s="955">
        <f>IFERROR(VLOOKUP(J$9,YouthJustice!$B$11:$O$31,14,FALSE),"")</f>
        <v>161.80879311821644</v>
      </c>
      <c r="K83" s="955">
        <f>IFERROR(VLOOKUP(K$9,YouthJustice!$B$11:$O$31,14,FALSE),"")</f>
        <v>177.55149424524859</v>
      </c>
      <c r="L83" s="955">
        <f>IFERROR(VLOOKUP(L$9,YouthJustice!$B$11:$O$31,14,FALSE),"")</f>
        <v>128.56514729591089</v>
      </c>
      <c r="M83" s="955">
        <f>IFERROR(VLOOKUP(M$9,YouthJustice!$B$11:$O$31,14,FALSE),"")</f>
        <v>182.19470359369117</v>
      </c>
      <c r="N83" s="955">
        <f>IFERROR(VLOOKUP(N$9,YouthJustice!$B$11:$O$31,14,FALSE),"")</f>
        <v>223.42493825863065</v>
      </c>
      <c r="O83" s="955">
        <f>IFERROR(VLOOKUP(O$9,YouthJustice!$B$11:$O$31,14,FALSE),"")</f>
        <v>254.63763793617656</v>
      </c>
      <c r="P83" s="955">
        <f>IFERROR(VLOOKUP(P$9,YouthJustice!$B$11:$O$31,14,FALSE),"")</f>
        <v>157.69626328419611</v>
      </c>
      <c r="Q83" s="955">
        <f>IFERROR(VLOOKUP(Q$9,YouthJustice!$B$11:$O$31,14,FALSE),"")</f>
        <v>140.37974120681224</v>
      </c>
      <c r="R83" s="955">
        <f>IFERROR(VLOOKUP(R$9,YouthJustice!$B$11:$O$31,14,FALSE),"")</f>
        <v>62.186631181237082</v>
      </c>
      <c r="S83" s="955">
        <f>IFERROR(VLOOKUP(S$9,YouthJustice!$B$11:$O$31,14,FALSE),"")</f>
        <v>131.46892655367233</v>
      </c>
      <c r="T83" s="955">
        <f>IFERROR(VLOOKUP(T$9,YouthJustice!$B$11:$O$31,14,FALSE),"")</f>
        <v>81.725660582304187</v>
      </c>
      <c r="U83" s="955">
        <f>IFERROR(VLOOKUP(U$9,YouthJustice!$B$11:$O$31,14,FALSE),"")</f>
        <v>94.421344421344429</v>
      </c>
      <c r="V83" s="966">
        <f>IFERROR(VLOOKUP(V$9,YouthJustice!$B$11:$O$31,14,FALSE),"")</f>
        <v>76.688125558009489</v>
      </c>
      <c r="W83" s="979">
        <f>IFERROR(VLOOKUP(W$9,YouthJustice!$B$11:$O$31,14,FALSE),"")</f>
        <v>130.35600992961554</v>
      </c>
      <c r="X83" s="980">
        <f>IFERROR(VLOOKUP(X$9,YouthJustice!$B$11:$O$31,14,FALSE),"")</f>
        <v>140.66212350333254</v>
      </c>
      <c r="Y83" s="319"/>
      <c r="Z83" s="320"/>
      <c r="AU83" s="290">
        <f t="shared" si="1"/>
        <v>75</v>
      </c>
    </row>
    <row r="84" spans="1:47" s="290" customFormat="1" ht="26.25" customHeight="1" thickBot="1">
      <c r="A84" s="318"/>
      <c r="B84" s="1608"/>
      <c r="C84" s="1374" t="s">
        <v>692</v>
      </c>
      <c r="D84" s="967">
        <f>IFERROR(VLOOKUP(D$9,YouthJustice!$B$72:$H$94,7,FALSE),"")</f>
        <v>0.2608695652173913</v>
      </c>
      <c r="E84" s="949">
        <f>IFERROR(VLOOKUP(E$9,YouthJustice!$B$72:$H$94,7,FALSE),"")</f>
        <v>0.35483870967741937</v>
      </c>
      <c r="F84" s="949">
        <f>IFERROR(VLOOKUP(F$9,YouthJustice!$B$72:$H$94,7,FALSE),"")</f>
        <v>0.23529411764705882</v>
      </c>
      <c r="G84" s="949">
        <f>IFERROR(VLOOKUP(G$9,YouthJustice!$B$72:$H$94,7,FALSE),"")</f>
        <v>0.24647887323943662</v>
      </c>
      <c r="H84" s="949">
        <f>IFERROR(VLOOKUP(H$9,YouthJustice!$B$72:$H$94,7,FALSE),"")</f>
        <v>0.3086053412462908</v>
      </c>
      <c r="I84" s="949">
        <f>IFERROR(VLOOKUP(I$9,YouthJustice!$B$72:$H$94,7,FALSE),"")</f>
        <v>0.34615384615384615</v>
      </c>
      <c r="J84" s="949">
        <f>IFERROR(VLOOKUP(J$9,YouthJustice!$B$72:$H$94,7,FALSE),"")</f>
        <v>0.2857142857142857</v>
      </c>
      <c r="K84" s="949">
        <f>IFERROR(VLOOKUP(K$9,YouthJustice!$B$72:$H$94,7,FALSE),"")</f>
        <v>0.38028169014084506</v>
      </c>
      <c r="L84" s="949">
        <f>IFERROR(VLOOKUP(L$9,YouthJustice!$B$72:$H$94,7,FALSE),"")</f>
        <v>0.2558139534883721</v>
      </c>
      <c r="M84" s="949">
        <f>IFERROR(VLOOKUP(M$9,YouthJustice!$B$72:$H$94,7,FALSE),"")</f>
        <v>0.23148148148148148</v>
      </c>
      <c r="N84" s="949">
        <f>IFERROR(VLOOKUP(N$9,YouthJustice!$B$72:$H$94,7,FALSE),"")</f>
        <v>0.41025641025641024</v>
      </c>
      <c r="O84" s="949">
        <f>IFERROR(VLOOKUP(O$9,YouthJustice!$B$72:$H$94,7,FALSE),"")</f>
        <v>0.28125</v>
      </c>
      <c r="P84" s="949">
        <f>IFERROR(VLOOKUP(P$9,YouthJustice!$B$72:$H$94,7,FALSE),"")</f>
        <v>0.18</v>
      </c>
      <c r="Q84" s="949">
        <f>IFERROR(VLOOKUP(Q$9,YouthJustice!$B$72:$H$94,7,FALSE),"")</f>
        <v>0.41605839416058393</v>
      </c>
      <c r="R84" s="949">
        <f>IFERROR(VLOOKUP(R$9,YouthJustice!$B$72:$H$94,7,FALSE),"")</f>
        <v>0.27717391304347827</v>
      </c>
      <c r="S84" s="949">
        <f>IFERROR(VLOOKUP(S$9,YouthJustice!$B$72:$H$94,7,FALSE),"")</f>
        <v>0.2</v>
      </c>
      <c r="T84" s="949">
        <f>IFERROR(VLOOKUP(T$9,YouthJustice!$B$72:$H$94,7,FALSE),"")</f>
        <v>0.16842105263157894</v>
      </c>
      <c r="U84" s="949">
        <f>IFERROR(VLOOKUP(U$9,YouthJustice!$B$72:$H$94,7,FALSE),"")</f>
        <v>3.2258064516129031E-2</v>
      </c>
      <c r="V84" s="968">
        <f>IFERROR(VLOOKUP(V$9,YouthJustice!$B$72:$H$94,7,FALSE),"")</f>
        <v>0.32500000000000001</v>
      </c>
      <c r="W84" s="971">
        <f>IFERROR(VLOOKUP(W$9,YouthJustice!$B$72:$H$94,7,FALSE),"")</f>
        <v>0.28545861297539149</v>
      </c>
      <c r="X84" s="972">
        <f>IFERROR(VLOOKUP("England and Wales",YouthJustice!$B$72:$H$94,7,FALSE),"")</f>
        <v>0.31213184609600203</v>
      </c>
      <c r="Y84" s="319"/>
      <c r="Z84" s="320"/>
      <c r="AU84" s="290">
        <f t="shared" si="1"/>
        <v>76</v>
      </c>
    </row>
    <row r="85" spans="1:47" s="290" customFormat="1" ht="39.75" customHeight="1">
      <c r="A85" s="801"/>
      <c r="B85" s="1351"/>
      <c r="C85" s="1352"/>
      <c r="D85" s="1351"/>
      <c r="E85" s="1351"/>
      <c r="F85" s="1351"/>
      <c r="G85" s="1351"/>
      <c r="H85" s="1351"/>
      <c r="I85" s="1351"/>
      <c r="J85" s="1351"/>
      <c r="K85" s="1351"/>
      <c r="L85" s="1351"/>
      <c r="M85" s="1351"/>
      <c r="N85" s="1351"/>
      <c r="O85" s="1351"/>
      <c r="P85" s="1351"/>
      <c r="Q85" s="1351"/>
      <c r="R85" s="1351"/>
      <c r="S85" s="1351"/>
      <c r="T85" s="1351"/>
      <c r="U85" s="1351"/>
      <c r="V85" s="1351"/>
      <c r="W85" s="1351"/>
      <c r="X85" s="1351"/>
      <c r="Y85" s="802"/>
      <c r="Z85" s="320"/>
    </row>
    <row r="86" spans="1:47" s="290" customFormat="1" ht="22.5" customHeight="1">
      <c r="A86" s="801"/>
      <c r="B86" s="1351"/>
      <c r="C86" s="1352"/>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802"/>
      <c r="Z86" s="320"/>
    </row>
    <row r="87" spans="1:47" s="290" customFormat="1" ht="11.25" customHeight="1">
      <c r="A87" s="1312"/>
      <c r="B87" s="1313"/>
      <c r="C87" s="1353"/>
      <c r="D87" s="1313"/>
      <c r="E87" s="1313"/>
      <c r="F87" s="1313"/>
      <c r="G87" s="1313"/>
      <c r="H87" s="1313"/>
      <c r="I87" s="1313"/>
      <c r="J87" s="1313"/>
      <c r="K87" s="1313"/>
      <c r="L87" s="1313"/>
      <c r="M87" s="1313"/>
      <c r="N87" s="1313"/>
      <c r="O87" s="1313"/>
      <c r="P87" s="1313"/>
      <c r="Q87" s="1313"/>
      <c r="R87" s="1313"/>
      <c r="S87" s="1313"/>
      <c r="T87" s="1313"/>
      <c r="U87" s="1313"/>
      <c r="V87" s="1313"/>
      <c r="W87" s="1313"/>
      <c r="X87" s="1313"/>
      <c r="Y87" s="1314"/>
      <c r="Z87" s="320"/>
    </row>
    <row r="88" spans="1:47" s="290" customFormat="1" ht="22.5" customHeight="1">
      <c r="A88" s="1357"/>
      <c r="B88" s="1358"/>
      <c r="C88" s="1359"/>
      <c r="D88" s="1358"/>
      <c r="E88" s="1358"/>
      <c r="F88" s="1358"/>
      <c r="G88" s="1358"/>
      <c r="H88" s="1358"/>
      <c r="I88" s="1358"/>
      <c r="J88" s="1358"/>
      <c r="K88" s="1358"/>
      <c r="L88" s="1358"/>
      <c r="M88" s="1358"/>
      <c r="N88" s="1358"/>
      <c r="O88" s="1358"/>
      <c r="P88" s="1358"/>
      <c r="Q88" s="1358"/>
      <c r="R88" s="1358"/>
      <c r="S88" s="1358"/>
      <c r="T88" s="1358"/>
      <c r="U88" s="1358"/>
      <c r="V88" s="1358"/>
      <c r="W88" s="1358"/>
      <c r="X88" s="1358"/>
      <c r="Y88" s="1360"/>
      <c r="Z88" s="320"/>
    </row>
    <row r="89" spans="1:47" s="290" customFormat="1" ht="22.5" customHeight="1">
      <c r="A89" s="801"/>
      <c r="B89" s="1411" t="s">
        <v>1104</v>
      </c>
      <c r="C89" s="1352"/>
      <c r="D89" s="1351"/>
      <c r="E89" s="1351"/>
      <c r="F89" s="1351"/>
      <c r="G89" s="1351"/>
      <c r="H89" s="1351"/>
      <c r="I89" s="1351"/>
      <c r="J89" s="1351"/>
      <c r="K89" s="1351"/>
      <c r="L89" s="1351"/>
      <c r="M89" s="1351"/>
      <c r="N89" s="1351"/>
      <c r="O89" s="1351"/>
      <c r="P89" s="1351"/>
      <c r="Q89" s="1351"/>
      <c r="R89" s="1351"/>
      <c r="S89" s="1351"/>
      <c r="T89" s="1351"/>
      <c r="U89" s="1351"/>
      <c r="V89" s="1351"/>
      <c r="W89" s="1351"/>
      <c r="X89" s="1351"/>
      <c r="Y89" s="802"/>
      <c r="Z89" s="320"/>
    </row>
    <row r="90" spans="1:47" s="290" customFormat="1" ht="22.5" customHeight="1">
      <c r="A90" s="801"/>
      <c r="B90" s="1416" t="s">
        <v>1105</v>
      </c>
      <c r="C90" s="1352"/>
      <c r="D90" s="1351"/>
      <c r="E90" s="1351"/>
      <c r="F90" s="1351"/>
      <c r="G90" s="1351"/>
      <c r="H90" s="1351"/>
      <c r="I90" s="1351"/>
      <c r="J90" s="1351"/>
      <c r="K90" s="1351"/>
      <c r="L90" s="1351"/>
      <c r="M90" s="1351"/>
      <c r="N90" s="1351"/>
      <c r="O90" s="1351"/>
      <c r="P90" s="1351"/>
      <c r="Q90" s="1351"/>
      <c r="R90" s="1351"/>
      <c r="S90" s="1351"/>
      <c r="T90" s="1351"/>
      <c r="U90" s="1351"/>
      <c r="V90" s="1351"/>
      <c r="W90" s="1351"/>
      <c r="X90" s="1351"/>
      <c r="Y90" s="802"/>
      <c r="Z90" s="320"/>
    </row>
    <row r="91" spans="1:47" s="290" customFormat="1" ht="11.25" customHeight="1" thickBot="1">
      <c r="A91" s="801"/>
      <c r="B91" s="1416"/>
      <c r="C91" s="1352"/>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802"/>
      <c r="Z91" s="320"/>
    </row>
    <row r="92" spans="1:47" s="290" customFormat="1" ht="86.25" customHeight="1" thickBot="1">
      <c r="A92" s="801"/>
      <c r="B92" s="1417"/>
      <c r="C92" s="1352"/>
      <c r="D92" s="1354" t="s">
        <v>0</v>
      </c>
      <c r="E92" s="1355" t="s">
        <v>28</v>
      </c>
      <c r="F92" s="1355" t="s">
        <v>8</v>
      </c>
      <c r="G92" s="1355" t="s">
        <v>4</v>
      </c>
      <c r="H92" s="1355" t="s">
        <v>6</v>
      </c>
      <c r="I92" s="1355" t="s">
        <v>1</v>
      </c>
      <c r="J92" s="1355" t="s">
        <v>9</v>
      </c>
      <c r="K92" s="1355" t="s">
        <v>2</v>
      </c>
      <c r="L92" s="1355" t="s">
        <v>10</v>
      </c>
      <c r="M92" s="1355" t="s">
        <v>11</v>
      </c>
      <c r="N92" s="1355" t="s">
        <v>12</v>
      </c>
      <c r="O92" s="1355" t="s">
        <v>3</v>
      </c>
      <c r="P92" s="1355" t="s">
        <v>13</v>
      </c>
      <c r="Q92" s="1355" t="s">
        <v>14</v>
      </c>
      <c r="R92" s="1355" t="s">
        <v>7</v>
      </c>
      <c r="S92" s="1355" t="s">
        <v>15</v>
      </c>
      <c r="T92" s="1355" t="s">
        <v>5</v>
      </c>
      <c r="U92" s="1355" t="s">
        <v>27</v>
      </c>
      <c r="V92" s="1356" t="s">
        <v>16</v>
      </c>
      <c r="W92" s="1351"/>
      <c r="X92" s="1351"/>
      <c r="Y92" s="802"/>
      <c r="Z92" s="320"/>
    </row>
    <row r="93" spans="1:47" s="290" customFormat="1" ht="26.25" customHeight="1">
      <c r="A93" s="801"/>
      <c r="B93" s="1633" t="s">
        <v>864</v>
      </c>
      <c r="C93" s="1634"/>
      <c r="D93" s="936">
        <f>RANK(VLOOKUP(Home!D$92,IDACI!$B$9:$C$27,2,FALSE),IDACI!$C$9:$C$27,1)</f>
        <v>6</v>
      </c>
      <c r="E93" s="937">
        <f>RANK(VLOOKUP(Home!E$92,IDACI!$B$9:$C$27,2,FALSE),IDACI!$C$9:$C$27,1)</f>
        <v>12</v>
      </c>
      <c r="F93" s="937">
        <f>RANK(VLOOKUP(Home!F$92,IDACI!$B$9:$C$27,2,FALSE),IDACI!$C$9:$C$27,1)</f>
        <v>4</v>
      </c>
      <c r="G93" s="937">
        <f>RANK(VLOOKUP(Home!G$92,IDACI!$B$9:$C$27,2,FALSE),IDACI!$C$9:$C$27,1)</f>
        <v>15</v>
      </c>
      <c r="H93" s="937">
        <f>RANK(VLOOKUP(Home!H$92,IDACI!$B$9:$C$27,2,FALSE),IDACI!$C$9:$C$27,1)</f>
        <v>7</v>
      </c>
      <c r="I93" s="937">
        <f>RANK(VLOOKUP(Home!I$92,IDACI!$B$9:$C$27,2,FALSE),IDACI!$C$9:$C$27,1)</f>
        <v>16</v>
      </c>
      <c r="J93" s="937">
        <f>RANK(VLOOKUP(Home!J$92,IDACI!$B$9:$C$27,2,FALSE),IDACI!$C$9:$C$27,1)</f>
        <v>13</v>
      </c>
      <c r="K93" s="937">
        <f>RANK(VLOOKUP(Home!K$92,IDACI!$B$9:$C$27,2,FALSE),IDACI!$C$9:$C$27,1)</f>
        <v>17</v>
      </c>
      <c r="L93" s="937">
        <f>RANK(VLOOKUP(Home!L$92,IDACI!$B$9:$C$27,2,FALSE),IDACI!$C$9:$C$27,1)</f>
        <v>11</v>
      </c>
      <c r="M93" s="937">
        <f>RANK(VLOOKUP(Home!M$92,IDACI!$B$9:$C$27,2,FALSE),IDACI!$C$9:$C$27,1)</f>
        <v>7</v>
      </c>
      <c r="N93" s="937">
        <f>RANK(VLOOKUP(Home!N$92,IDACI!$B$9:$C$27,2,FALSE),IDACI!$C$9:$C$27,1)</f>
        <v>18</v>
      </c>
      <c r="O93" s="937">
        <f>RANK(VLOOKUP(Home!O$92,IDACI!$B$9:$C$27,2,FALSE),IDACI!$C$9:$C$27,1)</f>
        <v>14</v>
      </c>
      <c r="P93" s="937">
        <f>RANK(VLOOKUP(Home!P$92,IDACI!$B$9:$C$27,2,FALSE),IDACI!$C$9:$C$27,1)</f>
        <v>10</v>
      </c>
      <c r="Q93" s="937">
        <f>RANK(VLOOKUP(Home!Q$92,IDACI!$B$9:$C$27,2,FALSE),IDACI!$C$9:$C$27,1)</f>
        <v>19</v>
      </c>
      <c r="R93" s="937">
        <f>RANK(VLOOKUP(Home!R$92,IDACI!$B$9:$C$27,2,FALSE),IDACI!$C$9:$C$27,1)</f>
        <v>3</v>
      </c>
      <c r="S93" s="937">
        <f>RANK(VLOOKUP(Home!S$92,IDACI!$B$9:$C$27,2,FALSE),IDACI!$C$9:$C$27,1)</f>
        <v>5</v>
      </c>
      <c r="T93" s="937">
        <f>RANK(VLOOKUP(Home!T$92,IDACI!$B$9:$C$27,2,FALSE),IDACI!$C$9:$C$27,1)</f>
        <v>9</v>
      </c>
      <c r="U93" s="937">
        <f>RANK(VLOOKUP(Home!U$92,IDACI!$B$9:$C$27,2,FALSE),IDACI!$C$9:$C$27,1)</f>
        <v>2</v>
      </c>
      <c r="V93" s="938">
        <f>RANK(VLOOKUP(Home!V$92,IDACI!$B$9:$C$27,2,FALSE),IDACI!$C$9:$C$27,1)</f>
        <v>1</v>
      </c>
      <c r="W93" s="1351"/>
      <c r="X93" s="1351"/>
      <c r="Y93" s="802"/>
      <c r="Z93" s="320"/>
    </row>
    <row r="94" spans="1:47" s="290" customFormat="1" ht="26.25" customHeight="1">
      <c r="A94" s="801"/>
      <c r="B94" s="1629" t="str">
        <f>"Referrals received to Children's Social Care (CSC) during the "&amp;ReportData!$G$3&amp;", Rate per 10,000 0-17 Year Olds"</f>
        <v>Referrals received to Children's Social Care (CSC) during the Year ending 31st March, Rate per 10,000 0-17 Year Olds</v>
      </c>
      <c r="C94" s="1630"/>
      <c r="D94" s="957">
        <f>IFERROR(VLOOKUP(Home!D92,Referrals!$B$11:$S$31,16,FALSE),"")</f>
        <v>9</v>
      </c>
      <c r="E94" s="958">
        <f>IFERROR(VLOOKUP(Home!E92,Referrals!$B$11:$S$31,16,FALSE),"")</f>
        <v>13</v>
      </c>
      <c r="F94" s="958">
        <f>IFERROR(VLOOKUP(Home!F92,Referrals!$B$11:$S$31,16,FALSE),"")</f>
        <v>8</v>
      </c>
      <c r="G94" s="958">
        <f>IFERROR(VLOOKUP(Home!G92,Referrals!$B$11:$S$31,16,FALSE),"")</f>
        <v>4</v>
      </c>
      <c r="H94" s="958" t="str">
        <f>IFERROR(VLOOKUP(Home!H92,Referrals!$B$11:$S$31,16,FALSE),"")</f>
        <v/>
      </c>
      <c r="I94" s="958">
        <f>IFERROR(VLOOKUP(Home!I92,Referrals!$B$11:$S$31,16,FALSE),"")</f>
        <v>18</v>
      </c>
      <c r="J94" s="958">
        <f>IFERROR(VLOOKUP(Home!J92,Referrals!$B$11:$S$31,16,FALSE),"")</f>
        <v>12</v>
      </c>
      <c r="K94" s="958">
        <f>IFERROR(VLOOKUP(Home!K92,Referrals!$B$11:$S$31,16,FALSE),"")</f>
        <v>17</v>
      </c>
      <c r="L94" s="958">
        <f>IFERROR(VLOOKUP(Home!L92,Referrals!$B$11:$S$31,16,FALSE),"")</f>
        <v>5</v>
      </c>
      <c r="M94" s="958">
        <f>IFERROR(VLOOKUP(Home!M92,Referrals!$B$11:$S$31,16,FALSE),"")</f>
        <v>2</v>
      </c>
      <c r="N94" s="958">
        <f>IFERROR(VLOOKUP(Home!N92,Referrals!$B$11:$S$31,16,FALSE),"")</f>
        <v>14</v>
      </c>
      <c r="O94" s="958">
        <f>IFERROR(VLOOKUP(Home!O92,Referrals!$B$11:$S$31,16,FALSE),"")</f>
        <v>16</v>
      </c>
      <c r="P94" s="958">
        <f>IFERROR(VLOOKUP(Home!P92,Referrals!$B$11:$S$31,16,FALSE),"")</f>
        <v>15</v>
      </c>
      <c r="Q94" s="958">
        <f>IFERROR(VLOOKUP(Home!Q92,Referrals!$B$11:$S$31,16,FALSE),"")</f>
        <v>11</v>
      </c>
      <c r="R94" s="958">
        <f>IFERROR(VLOOKUP(Home!R92,Referrals!$B$11:$S$31,16,FALSE),"")</f>
        <v>1</v>
      </c>
      <c r="S94" s="958">
        <f>IFERROR(VLOOKUP(Home!S92,Referrals!$B$11:$S$31,16,FALSE),"")</f>
        <v>7</v>
      </c>
      <c r="T94" s="958">
        <f>IFERROR(VLOOKUP(Home!T92,Referrals!$B$11:$S$31,16,FALSE),"")</f>
        <v>6</v>
      </c>
      <c r="U94" s="958">
        <f>IFERROR(VLOOKUP(Home!U92,Referrals!$B$11:$S$31,16,FALSE),"")</f>
        <v>10</v>
      </c>
      <c r="V94" s="959">
        <f>IFERROR(VLOOKUP(Home!V92,Referrals!$B$11:$S$31,16,FALSE),"")</f>
        <v>3</v>
      </c>
      <c r="W94" s="1351"/>
      <c r="X94" s="1351"/>
      <c r="Y94" s="802"/>
      <c r="Z94" s="320"/>
    </row>
    <row r="95" spans="1:47" s="290" customFormat="1" ht="26.25" customHeight="1">
      <c r="A95" s="801"/>
      <c r="B95" s="1627" t="str">
        <f>"Re-referrals to CSC during the "&amp;ReportData!$G$3&amp;", Rate per 10,000 0-17 Year Olds"</f>
        <v>Re-referrals to CSC during the Year ending 31st March, Rate per 10,000 0-17 Year Olds</v>
      </c>
      <c r="C95" s="1628"/>
      <c r="D95" s="957">
        <f>IFERROR(VLOOKUP(Home!D92,'Re-referrals'!$B$11:$S$31,16,FALSE),"")</f>
        <v>10</v>
      </c>
      <c r="E95" s="958">
        <f>IFERROR(VLOOKUP(Home!E92,'Re-referrals'!$B$11:$S$31,16,FALSE),"")</f>
        <v>13</v>
      </c>
      <c r="F95" s="958">
        <f>IFERROR(VLOOKUP(Home!F92,'Re-referrals'!$B$11:$S$31,16,FALSE),"")</f>
        <v>9</v>
      </c>
      <c r="G95" s="958">
        <f>IFERROR(VLOOKUP(Home!G92,'Re-referrals'!$B$11:$S$31,16,FALSE),"")</f>
        <v>3</v>
      </c>
      <c r="H95" s="958" t="str">
        <f>IFERROR(VLOOKUP(Home!H92,'Re-referrals'!$B$11:$S$31,16,FALSE),"")</f>
        <v/>
      </c>
      <c r="I95" s="958">
        <f>IFERROR(VLOOKUP(Home!I92,'Re-referrals'!$B$11:$S$31,16,FALSE),"")</f>
        <v>18</v>
      </c>
      <c r="J95" s="958">
        <f>IFERROR(VLOOKUP(Home!J92,'Re-referrals'!$B$11:$S$31,16,FALSE),"")</f>
        <v>12</v>
      </c>
      <c r="K95" s="958">
        <f>IFERROR(VLOOKUP(Home!K92,'Re-referrals'!$B$11:$S$31,16,FALSE),"")</f>
        <v>16</v>
      </c>
      <c r="L95" s="958">
        <f>IFERROR(VLOOKUP(Home!L92,'Re-referrals'!$B$11:$S$31,16,FALSE),"")</f>
        <v>6</v>
      </c>
      <c r="M95" s="958">
        <f>IFERROR(VLOOKUP(Home!M92,'Re-referrals'!$B$11:$S$31,16,FALSE),"")</f>
        <v>2</v>
      </c>
      <c r="N95" s="958">
        <f>IFERROR(VLOOKUP(Home!N92,'Re-referrals'!$B$11:$S$31,16,FALSE),"")</f>
        <v>15</v>
      </c>
      <c r="O95" s="958">
        <f>IFERROR(VLOOKUP(Home!O92,'Re-referrals'!$B$11:$S$31,16,FALSE),"")</f>
        <v>17</v>
      </c>
      <c r="P95" s="958">
        <f>IFERROR(VLOOKUP(Home!P92,'Re-referrals'!$B$11:$S$31,16,FALSE),"")</f>
        <v>14</v>
      </c>
      <c r="Q95" s="958">
        <f>IFERROR(VLOOKUP(Home!Q92,'Re-referrals'!$B$11:$S$31,16,FALSE),"")</f>
        <v>11</v>
      </c>
      <c r="R95" s="958">
        <f>IFERROR(VLOOKUP(Home!R92,'Re-referrals'!$B$11:$S$31,16,FALSE),"")</f>
        <v>1</v>
      </c>
      <c r="S95" s="958">
        <f>IFERROR(VLOOKUP(Home!S92,'Re-referrals'!$B$11:$S$31,16,FALSE),"")</f>
        <v>7</v>
      </c>
      <c r="T95" s="958">
        <f>IFERROR(VLOOKUP(Home!T92,'Re-referrals'!$B$11:$S$31,16,FALSE),"")</f>
        <v>5</v>
      </c>
      <c r="U95" s="958">
        <f>IFERROR(VLOOKUP(Home!U92,'Re-referrals'!$B$11:$S$31,16,FALSE),"")</f>
        <v>8</v>
      </c>
      <c r="V95" s="959">
        <f>IFERROR(VLOOKUP(Home!V92,'Re-referrals'!$B$11:$S$31,16,FALSE),"")</f>
        <v>4</v>
      </c>
      <c r="W95" s="1351"/>
      <c r="X95" s="1351"/>
      <c r="Y95" s="802"/>
      <c r="Z95" s="320"/>
    </row>
    <row r="96" spans="1:47" s="290" customFormat="1" ht="26.25" customHeight="1">
      <c r="A96" s="801"/>
      <c r="B96" s="1629" t="str">
        <f>"CSC Single Assessments Completed during the "&amp;ReportData!$G$3&amp;", Rate per 10,000 0-17 Year Olds"</f>
        <v>CSC Single Assessments Completed during the Year ending 31st March, Rate per 10,000 0-17 Year Olds</v>
      </c>
      <c r="C96" s="1630"/>
      <c r="D96" s="957">
        <f>IFERROR(VLOOKUP(Home!D92,Assessments!$B$11:$S$31,16,FALSE),"")</f>
        <v>8</v>
      </c>
      <c r="E96" s="958">
        <f>IFERROR(VLOOKUP(Home!E92,Assessments!$B$11:$S$31,16,FALSE),"")</f>
        <v>9</v>
      </c>
      <c r="F96" s="958">
        <f>IFERROR(VLOOKUP(Home!F92,Assessments!$B$11:$S$31,16,FALSE),"")</f>
        <v>13</v>
      </c>
      <c r="G96" s="958">
        <f>IFERROR(VLOOKUP(Home!G92,Assessments!$B$11:$S$31,16,FALSE),"")</f>
        <v>4</v>
      </c>
      <c r="H96" s="958" t="str">
        <f>IFERROR(VLOOKUP(Home!H92,Assessments!$B$11:$S$31,16,FALSE),"")</f>
        <v/>
      </c>
      <c r="I96" s="958">
        <f>IFERROR(VLOOKUP(Home!I92,Assessments!$B$11:$S$31,16,FALSE),"")</f>
        <v>18</v>
      </c>
      <c r="J96" s="958">
        <f>IFERROR(VLOOKUP(Home!J92,Assessments!$B$11:$S$31,16,FALSE),"")</f>
        <v>10</v>
      </c>
      <c r="K96" s="958">
        <f>IFERROR(VLOOKUP(Home!K92,Assessments!$B$11:$S$31,16,FALSE),"")</f>
        <v>17</v>
      </c>
      <c r="L96" s="958">
        <f>IFERROR(VLOOKUP(Home!L92,Assessments!$B$11:$S$31,16,FALSE),"")</f>
        <v>7</v>
      </c>
      <c r="M96" s="958">
        <f>IFERROR(VLOOKUP(Home!M92,Assessments!$B$11:$S$31,16,FALSE),"")</f>
        <v>2</v>
      </c>
      <c r="N96" s="958">
        <f>IFERROR(VLOOKUP(Home!N92,Assessments!$B$11:$S$31,16,FALSE),"")</f>
        <v>12</v>
      </c>
      <c r="O96" s="958">
        <f>IFERROR(VLOOKUP(Home!O92,Assessments!$B$11:$S$31,16,FALSE),"")</f>
        <v>15</v>
      </c>
      <c r="P96" s="958">
        <f>IFERROR(VLOOKUP(Home!P92,Assessments!$B$11:$S$31,16,FALSE),"")</f>
        <v>16</v>
      </c>
      <c r="Q96" s="958">
        <f>IFERROR(VLOOKUP(Home!Q92,Assessments!$B$11:$S$31,16,FALSE),"")</f>
        <v>11</v>
      </c>
      <c r="R96" s="958">
        <f>IFERROR(VLOOKUP(Home!R92,Assessments!$B$11:$S$31,16,FALSE),"")</f>
        <v>1</v>
      </c>
      <c r="S96" s="958">
        <f>IFERROR(VLOOKUP(Home!S92,Assessments!$B$11:$S$31,16,FALSE),"")</f>
        <v>14</v>
      </c>
      <c r="T96" s="958">
        <f>IFERROR(VLOOKUP(Home!T92,Assessments!$B$11:$S$31,16,FALSE),"")</f>
        <v>6</v>
      </c>
      <c r="U96" s="958">
        <f>IFERROR(VLOOKUP(Home!U92,Assessments!$B$11:$S$31,16,FALSE),"")</f>
        <v>5</v>
      </c>
      <c r="V96" s="959">
        <f>IFERROR(VLOOKUP(Home!V92,Assessments!$B$11:$S$31,16,FALSE),"")</f>
        <v>3</v>
      </c>
      <c r="W96" s="1351"/>
      <c r="X96" s="1351"/>
      <c r="Y96" s="802"/>
      <c r="Z96" s="320"/>
    </row>
    <row r="97" spans="1:26" s="290" customFormat="1" ht="26.25" customHeight="1">
      <c r="A97" s="801"/>
      <c r="B97" s="1627" t="str">
        <f>"Children in Need at "&amp;ReportData!$H$3&amp;", Rate per 10,000 0-17 Year Olds"</f>
        <v>Children in Need at 31st March, Rate per 10,000 0-17 Year Olds</v>
      </c>
      <c r="C97" s="1628"/>
      <c r="D97" s="957">
        <f>IFERROR(VLOOKUP(Home!D92,'Children in Need'!$B$11:$S$31,16,FALSE),"")</f>
        <v>7</v>
      </c>
      <c r="E97" s="958">
        <f>IFERROR(VLOOKUP(Home!E92,'Children in Need'!$B$11:$S$31,16,FALSE),"")</f>
        <v>15</v>
      </c>
      <c r="F97" s="958">
        <f>IFERROR(VLOOKUP(Home!F92,'Children in Need'!$B$11:$S$31,16,FALSE),"")</f>
        <v>5</v>
      </c>
      <c r="G97" s="958">
        <f>IFERROR(VLOOKUP(Home!G92,'Children in Need'!$B$11:$S$31,16,FALSE),"")</f>
        <v>12</v>
      </c>
      <c r="H97" s="958" t="str">
        <f>IFERROR(VLOOKUP(Home!H92,'Children in Need'!$B$11:$S$31,16,FALSE),"")</f>
        <v/>
      </c>
      <c r="I97" s="958">
        <f>IFERROR(VLOOKUP(Home!I92,'Children in Need'!$B$11:$S$31,16,FALSE),"")</f>
        <v>18</v>
      </c>
      <c r="J97" s="958">
        <f>IFERROR(VLOOKUP(Home!J92,'Children in Need'!$B$11:$S$31,16,FALSE),"")</f>
        <v>8</v>
      </c>
      <c r="K97" s="958">
        <f>IFERROR(VLOOKUP(Home!K92,'Children in Need'!$B$11:$S$31,16,FALSE),"")</f>
        <v>9</v>
      </c>
      <c r="L97" s="958">
        <f>IFERROR(VLOOKUP(Home!L92,'Children in Need'!$B$11:$S$31,16,FALSE),"")</f>
        <v>11</v>
      </c>
      <c r="M97" s="958">
        <f>IFERROR(VLOOKUP(Home!M92,'Children in Need'!$B$11:$S$31,16,FALSE),"")</f>
        <v>4</v>
      </c>
      <c r="N97" s="958">
        <f>IFERROR(VLOOKUP(Home!N92,'Children in Need'!$B$11:$S$31,16,FALSE),"")</f>
        <v>16</v>
      </c>
      <c r="O97" s="958">
        <f>IFERROR(VLOOKUP(Home!O92,'Children in Need'!$B$11:$S$31,16,FALSE),"")</f>
        <v>17</v>
      </c>
      <c r="P97" s="958">
        <f>IFERROR(VLOOKUP(Home!P92,'Children in Need'!$B$11:$S$31,16,FALSE),"")</f>
        <v>13</v>
      </c>
      <c r="Q97" s="958">
        <f>IFERROR(VLOOKUP(Home!Q92,'Children in Need'!$B$11:$S$31,16,FALSE),"")</f>
        <v>14</v>
      </c>
      <c r="R97" s="958">
        <f>IFERROR(VLOOKUP(Home!R92,'Children in Need'!$B$11:$S$31,16,FALSE),"")</f>
        <v>1</v>
      </c>
      <c r="S97" s="958">
        <f>IFERROR(VLOOKUP(Home!S92,'Children in Need'!$B$11:$S$31,16,FALSE),"")</f>
        <v>6</v>
      </c>
      <c r="T97" s="958">
        <f>IFERROR(VLOOKUP(Home!T92,'Children in Need'!$B$11:$S$31,16,FALSE),"")</f>
        <v>10</v>
      </c>
      <c r="U97" s="958">
        <f>IFERROR(VLOOKUP(Home!U92,'Children in Need'!$B$11:$S$31,16,FALSE),"")</f>
        <v>3</v>
      </c>
      <c r="V97" s="959">
        <f>IFERROR(VLOOKUP(Home!V92,'Children in Need'!$B$11:$S$31,16,FALSE),"")</f>
        <v>2</v>
      </c>
      <c r="W97" s="1351"/>
      <c r="X97" s="1351"/>
      <c r="Y97" s="802"/>
      <c r="Z97" s="320"/>
    </row>
    <row r="98" spans="1:26" s="290" customFormat="1" ht="26.25" customHeight="1">
      <c r="A98" s="801"/>
      <c r="B98" s="1629" t="str">
        <f>"Children subject to Section 47 Enquiries during the "&amp;ReportData!$G$3&amp;", Rate per 10,000 0-17 Year Olds"</f>
        <v>Children subject to Section 47 Enquiries during the Year ending 31st March, Rate per 10,000 0-17 Year Olds</v>
      </c>
      <c r="C98" s="1630"/>
      <c r="D98" s="957">
        <f>IFERROR(VLOOKUP(Home!D92,'Section 47 Enquiries'!$B$11:$S$31,16,FALSE),"")</f>
        <v>11</v>
      </c>
      <c r="E98" s="958">
        <f>IFERROR(VLOOKUP(Home!E92,'Section 47 Enquiries'!$B$11:$S$31,16,FALSE),"")</f>
        <v>13</v>
      </c>
      <c r="F98" s="958">
        <f>IFERROR(VLOOKUP(Home!F92,'Section 47 Enquiries'!$B$11:$S$31,16,FALSE),"")</f>
        <v>10</v>
      </c>
      <c r="G98" s="958">
        <f>IFERROR(VLOOKUP(Home!G92,'Section 47 Enquiries'!$B$11:$S$31,16,FALSE),"")</f>
        <v>3</v>
      </c>
      <c r="H98" s="958" t="str">
        <f>IFERROR(VLOOKUP(Home!H92,'Section 47 Enquiries'!$B$11:$S$31,16,FALSE),"")</f>
        <v/>
      </c>
      <c r="I98" s="958">
        <f>IFERROR(VLOOKUP(Home!I92,'Section 47 Enquiries'!$B$11:$S$31,16,FALSE),"")</f>
        <v>18</v>
      </c>
      <c r="J98" s="958">
        <f>IFERROR(VLOOKUP(Home!J92,'Section 47 Enquiries'!$B$11:$S$31,16,FALSE),"")</f>
        <v>9</v>
      </c>
      <c r="K98" s="958">
        <f>IFERROR(VLOOKUP(Home!K92,'Section 47 Enquiries'!$B$11:$S$31,16,FALSE),"")</f>
        <v>16</v>
      </c>
      <c r="L98" s="958">
        <f>IFERROR(VLOOKUP(Home!L92,'Section 47 Enquiries'!$B$11:$S$31,16,FALSE),"")</f>
        <v>5</v>
      </c>
      <c r="M98" s="958">
        <f>IFERROR(VLOOKUP(Home!M92,'Section 47 Enquiries'!$B$11:$S$31,16,FALSE),"")</f>
        <v>2</v>
      </c>
      <c r="N98" s="958">
        <f>IFERROR(VLOOKUP(Home!N92,'Section 47 Enquiries'!$B$11:$S$31,16,FALSE),"")</f>
        <v>17</v>
      </c>
      <c r="O98" s="958">
        <f>IFERROR(VLOOKUP(Home!O92,'Section 47 Enquiries'!$B$11:$S$31,16,FALSE),"")</f>
        <v>15</v>
      </c>
      <c r="P98" s="958">
        <f>IFERROR(VLOOKUP(Home!P92,'Section 47 Enquiries'!$B$11:$S$31,16,FALSE),"")</f>
        <v>14</v>
      </c>
      <c r="Q98" s="958">
        <f>IFERROR(VLOOKUP(Home!Q92,'Section 47 Enquiries'!$B$11:$S$31,16,FALSE),"")</f>
        <v>12</v>
      </c>
      <c r="R98" s="958">
        <f>IFERROR(VLOOKUP(Home!R92,'Section 47 Enquiries'!$B$11:$S$31,16,FALSE),"")</f>
        <v>1</v>
      </c>
      <c r="S98" s="958">
        <f>IFERROR(VLOOKUP(Home!S92,'Section 47 Enquiries'!$B$11:$S$31,16,FALSE),"")</f>
        <v>8</v>
      </c>
      <c r="T98" s="958">
        <f>IFERROR(VLOOKUP(Home!T92,'Section 47 Enquiries'!$B$11:$S$31,16,FALSE),"")</f>
        <v>6</v>
      </c>
      <c r="U98" s="958">
        <f>IFERROR(VLOOKUP(Home!U92,'Section 47 Enquiries'!$B$11:$S$31,16,FALSE),"")</f>
        <v>7</v>
      </c>
      <c r="V98" s="959">
        <f>IFERROR(VLOOKUP(Home!V92,'Section 47 Enquiries'!$B$11:$S$31,16,FALSE),"")</f>
        <v>4</v>
      </c>
      <c r="W98" s="1351"/>
      <c r="X98" s="1351"/>
      <c r="Y98" s="802"/>
      <c r="Z98" s="320"/>
    </row>
    <row r="99" spans="1:26" s="290" customFormat="1" ht="26.25" customHeight="1">
      <c r="A99" s="801"/>
      <c r="B99" s="1627" t="str">
        <f>"Children subject to an Initial Child Protection Conference during the "&amp;ReportData!$G$3&amp;", Rate per 10,000 0-17 Year Olds"</f>
        <v>Children subject to an Initial Child Protection Conference during the Year ending 31st March, Rate per 10,000 0-17 Year Olds</v>
      </c>
      <c r="C99" s="1628"/>
      <c r="D99" s="957">
        <f>IFERROR(VLOOKUP(Home!D92,'Initial CP Conferences'!$B$11:$S$31,16,FALSE),"")</f>
        <v>5</v>
      </c>
      <c r="E99" s="958">
        <f>IFERROR(VLOOKUP(Home!E92,'Initial CP Conferences'!$B$11:$S$31,16,FALSE),"")</f>
        <v>13</v>
      </c>
      <c r="F99" s="958">
        <f>IFERROR(VLOOKUP(Home!F92,'Initial CP Conferences'!$B$11:$S$31,16,FALSE),"")</f>
        <v>7</v>
      </c>
      <c r="G99" s="958">
        <f>IFERROR(VLOOKUP(Home!G92,'Initial CP Conferences'!$B$11:$S$31,16,FALSE),"")</f>
        <v>15</v>
      </c>
      <c r="H99" s="958" t="str">
        <f>IFERROR(VLOOKUP(Home!H92,'Initial CP Conferences'!$B$11:$S$31,16,FALSE),"")</f>
        <v/>
      </c>
      <c r="I99" s="958">
        <f>IFERROR(VLOOKUP(Home!I92,'Initial CP Conferences'!$B$11:$S$31,16,FALSE),"")</f>
        <v>18</v>
      </c>
      <c r="J99" s="958">
        <f>IFERROR(VLOOKUP(Home!J92,'Initial CP Conferences'!$B$11:$S$31,16,FALSE),"")</f>
        <v>3</v>
      </c>
      <c r="K99" s="958">
        <f>IFERROR(VLOOKUP(Home!K92,'Initial CP Conferences'!$B$11:$S$31,16,FALSE),"")</f>
        <v>11</v>
      </c>
      <c r="L99" s="958">
        <f>IFERROR(VLOOKUP(Home!L92,'Initial CP Conferences'!$B$11:$S$31,16,FALSE),"")</f>
        <v>4</v>
      </c>
      <c r="M99" s="958">
        <f>IFERROR(VLOOKUP(Home!M92,'Initial CP Conferences'!$B$11:$S$31,16,FALSE),"")</f>
        <v>6</v>
      </c>
      <c r="N99" s="958">
        <f>IFERROR(VLOOKUP(Home!N92,'Initial CP Conferences'!$B$11:$S$31,16,FALSE),"")</f>
        <v>16</v>
      </c>
      <c r="O99" s="958">
        <f>IFERROR(VLOOKUP(Home!O92,'Initial CP Conferences'!$B$11:$S$31,16,FALSE),"")</f>
        <v>17</v>
      </c>
      <c r="P99" s="958">
        <f>IFERROR(VLOOKUP(Home!P92,'Initial CP Conferences'!$B$11:$S$31,16,FALSE),"")</f>
        <v>10</v>
      </c>
      <c r="Q99" s="958">
        <f>IFERROR(VLOOKUP(Home!Q92,'Initial CP Conferences'!$B$11:$S$31,16,FALSE),"")</f>
        <v>14</v>
      </c>
      <c r="R99" s="958">
        <f>IFERROR(VLOOKUP(Home!R92,'Initial CP Conferences'!$B$11:$S$31,16,FALSE),"")</f>
        <v>1</v>
      </c>
      <c r="S99" s="958">
        <f>IFERROR(VLOOKUP(Home!S92,'Initial CP Conferences'!$B$11:$S$31,16,FALSE),"")</f>
        <v>12</v>
      </c>
      <c r="T99" s="958">
        <f>IFERROR(VLOOKUP(Home!T92,'Initial CP Conferences'!$B$11:$S$31,16,FALSE),"")</f>
        <v>8</v>
      </c>
      <c r="U99" s="958">
        <f>IFERROR(VLOOKUP(Home!U92,'Initial CP Conferences'!$B$11:$S$31,16,FALSE),"")</f>
        <v>9</v>
      </c>
      <c r="V99" s="959">
        <f>IFERROR(VLOOKUP(Home!V92,'Initial CP Conferences'!$B$11:$S$31,16,FALSE),"")</f>
        <v>2</v>
      </c>
      <c r="W99" s="1351"/>
      <c r="X99" s="1351"/>
      <c r="Y99" s="802"/>
      <c r="Z99" s="320"/>
    </row>
    <row r="100" spans="1:26" s="290" customFormat="1" ht="26.25" customHeight="1">
      <c r="A100" s="801"/>
      <c r="B100" s="1629" t="str">
        <f>"Children subject to a Child Protection Plan at "&amp;ReportData!$H$3&amp;", Rate per 10,000 0-17 Year Olds"</f>
        <v>Children subject to a Child Protection Plan at 31st March, Rate per 10,000 0-17 Year Olds</v>
      </c>
      <c r="C100" s="1630"/>
      <c r="D100" s="957">
        <f>IFERROR(VLOOKUP(Home!D92,'Child Protection Plans'!$B$11:$S$31,16,FALSE),"")</f>
        <v>9</v>
      </c>
      <c r="E100" s="958">
        <f>IFERROR(VLOOKUP(Home!E92,'Child Protection Plans'!$B$11:$S$31,16,FALSE),"")</f>
        <v>15</v>
      </c>
      <c r="F100" s="958">
        <f>IFERROR(VLOOKUP(Home!F92,'Child Protection Plans'!$B$11:$S$31,16,FALSE),"")</f>
        <v>5</v>
      </c>
      <c r="G100" s="958">
        <f>IFERROR(VLOOKUP(Home!G92,'Child Protection Plans'!$B$11:$S$31,16,FALSE),"")</f>
        <v>17</v>
      </c>
      <c r="H100" s="958" t="str">
        <f>IFERROR(VLOOKUP(Home!H92,'Child Protection Plans'!$B$11:$S$31,16,FALSE),"")</f>
        <v/>
      </c>
      <c r="I100" s="958">
        <f>IFERROR(VLOOKUP(Home!I92,'Child Protection Plans'!$B$11:$S$31,16,FALSE),"")</f>
        <v>18</v>
      </c>
      <c r="J100" s="958">
        <f>IFERROR(VLOOKUP(Home!J92,'Child Protection Plans'!$B$11:$S$31,16,FALSE),"")</f>
        <v>6</v>
      </c>
      <c r="K100" s="958">
        <f>IFERROR(VLOOKUP(Home!K92,'Child Protection Plans'!$B$11:$S$31,16,FALSE),"")</f>
        <v>10</v>
      </c>
      <c r="L100" s="958">
        <f>IFERROR(VLOOKUP(Home!L92,'Child Protection Plans'!$B$11:$S$31,16,FALSE),"")</f>
        <v>2</v>
      </c>
      <c r="M100" s="958">
        <f>IFERROR(VLOOKUP(Home!M92,'Child Protection Plans'!$B$11:$S$31,16,FALSE),"")</f>
        <v>7</v>
      </c>
      <c r="N100" s="958">
        <f>IFERROR(VLOOKUP(Home!N92,'Child Protection Plans'!$B$11:$S$31,16,FALSE),"")</f>
        <v>12</v>
      </c>
      <c r="O100" s="958">
        <f>IFERROR(VLOOKUP(Home!O92,'Child Protection Plans'!$B$11:$S$31,16,FALSE),"")</f>
        <v>16</v>
      </c>
      <c r="P100" s="958">
        <f>IFERROR(VLOOKUP(Home!P92,'Child Protection Plans'!$B$11:$S$31,16,FALSE),"")</f>
        <v>11</v>
      </c>
      <c r="Q100" s="958">
        <f>IFERROR(VLOOKUP(Home!Q92,'Child Protection Plans'!$B$11:$S$31,16,FALSE),"")</f>
        <v>14</v>
      </c>
      <c r="R100" s="958">
        <f>IFERROR(VLOOKUP(Home!R92,'Child Protection Plans'!$B$11:$S$31,16,FALSE),"")</f>
        <v>1</v>
      </c>
      <c r="S100" s="958">
        <f>IFERROR(VLOOKUP(Home!S92,'Child Protection Plans'!$B$11:$S$31,16,FALSE),"")</f>
        <v>13</v>
      </c>
      <c r="T100" s="958">
        <f>IFERROR(VLOOKUP(Home!T92,'Child Protection Plans'!$B$11:$S$31,16,FALSE),"")</f>
        <v>8</v>
      </c>
      <c r="U100" s="958">
        <f>IFERROR(VLOOKUP(Home!U92,'Child Protection Plans'!$B$11:$S$31,16,FALSE),"")</f>
        <v>4</v>
      </c>
      <c r="V100" s="959">
        <f>IFERROR(VLOOKUP(Home!V92,'Child Protection Plans'!$B$11:$S$31,16,FALSE),"")</f>
        <v>3</v>
      </c>
      <c r="W100" s="1351"/>
      <c r="X100" s="1351"/>
      <c r="Y100" s="802"/>
      <c r="Z100" s="320"/>
    </row>
    <row r="101" spans="1:26" s="290" customFormat="1" ht="26.25" customHeight="1">
      <c r="A101" s="801"/>
      <c r="B101" s="1637" t="str">
        <f>"Number of Care Applications to Court during the "&amp;ReportData!$G$3&amp;", Rate per 10,000 0-17 Year Olds"</f>
        <v>Number of Care Applications to Court during the Year ending 31st March, Rate per 10,000 0-17 Year Olds</v>
      </c>
      <c r="C101" s="1638"/>
      <c r="D101" s="957">
        <f>IFERROR(VLOOKUP(Home!D92,'Court Applications'!$B$11:$S$31,16,FALSE),"")</f>
        <v>5</v>
      </c>
      <c r="E101" s="958">
        <f>IFERROR(VLOOKUP(Home!E92,'Court Applications'!$B$11:$S$31,16,FALSE),"")</f>
        <v>14</v>
      </c>
      <c r="F101" s="958">
        <f>IFERROR(VLOOKUP(Home!F92,'Court Applications'!$B$11:$S$31,16,FALSE),"")</f>
        <v>6</v>
      </c>
      <c r="G101" s="958">
        <f>IFERROR(VLOOKUP(Home!G92,'Court Applications'!$B$11:$S$31,16,FALSE),"")</f>
        <v>8</v>
      </c>
      <c r="H101" s="958">
        <f>IFERROR(VLOOKUP(Home!H92,'Court Applications'!$B$11:$S$31,16,FALSE),"")</f>
        <v>10</v>
      </c>
      <c r="I101" s="958">
        <f>IFERROR(VLOOKUP(Home!I92,'Court Applications'!$B$11:$S$31,16,FALSE),"")</f>
        <v>17</v>
      </c>
      <c r="J101" s="958">
        <f>IFERROR(VLOOKUP(Home!J92,'Court Applications'!$B$11:$S$31,16,FALSE),"")</f>
        <v>4</v>
      </c>
      <c r="K101" s="958">
        <f>IFERROR(VLOOKUP(Home!K92,'Court Applications'!$B$11:$S$31,16,FALSE),"")</f>
        <v>15</v>
      </c>
      <c r="L101" s="958">
        <f>IFERROR(VLOOKUP(Home!L92,'Court Applications'!$B$11:$S$31,16,FALSE),"")</f>
        <v>16</v>
      </c>
      <c r="M101" s="958">
        <f>IFERROR(VLOOKUP(Home!M92,'Court Applications'!$B$11:$S$31,16,FALSE),"")</f>
        <v>2</v>
      </c>
      <c r="N101" s="958">
        <f>IFERROR(VLOOKUP(Home!N92,'Court Applications'!$B$11:$S$31,16,FALSE),"")</f>
        <v>19</v>
      </c>
      <c r="O101" s="958">
        <f>IFERROR(VLOOKUP(Home!O92,'Court Applications'!$B$11:$S$31,16,FALSE),"")</f>
        <v>18</v>
      </c>
      <c r="P101" s="958">
        <f>IFERROR(VLOOKUP(Home!P92,'Court Applications'!$B$11:$S$31,16,FALSE),"")</f>
        <v>3</v>
      </c>
      <c r="Q101" s="958">
        <f>IFERROR(VLOOKUP(Home!Q92,'Court Applications'!$B$11:$S$31,16,FALSE),"")</f>
        <v>11</v>
      </c>
      <c r="R101" s="958">
        <f>IFERROR(VLOOKUP(Home!R92,'Court Applications'!$B$11:$S$31,16,FALSE),"")</f>
        <v>1</v>
      </c>
      <c r="S101" s="958">
        <f>IFERROR(VLOOKUP(Home!S92,'Court Applications'!$B$11:$S$31,16,FALSE),"")</f>
        <v>13</v>
      </c>
      <c r="T101" s="958">
        <f>IFERROR(VLOOKUP(Home!T92,'Court Applications'!$B$11:$S$31,16,FALSE),"")</f>
        <v>9</v>
      </c>
      <c r="U101" s="958">
        <f>IFERROR(VLOOKUP(Home!U92,'Court Applications'!$B$11:$S$31,16,FALSE),"")</f>
        <v>12</v>
      </c>
      <c r="V101" s="959">
        <f>IFERROR(VLOOKUP(Home!V92,'Court Applications'!$B$11:$S$31,16,FALSE),"")</f>
        <v>7</v>
      </c>
      <c r="W101" s="1351"/>
      <c r="X101" s="1351"/>
      <c r="Y101" s="802"/>
      <c r="Z101" s="320"/>
    </row>
    <row r="102" spans="1:26" s="290" customFormat="1" ht="26.25" customHeight="1">
      <c r="A102" s="801"/>
      <c r="B102" s="1635" t="str">
        <f>"Number of Children subject to Care Applications to Court during the "&amp;ReportData!$G$3&amp;", Rate per 10,000 0-17 Year Olds"</f>
        <v>Number of Children subject to Care Applications to Court during the Year ending 31st March, Rate per 10,000 0-17 Year Olds</v>
      </c>
      <c r="C102" s="1636"/>
      <c r="D102" s="957">
        <f>IFERROR(VLOOKUP(Home!D$92,'Court Applications'!$B$114:$S$134,16,FALSE),"")</f>
        <v>3</v>
      </c>
      <c r="E102" s="958">
        <f>IFERROR(VLOOKUP(Home!E$92,'Court Applications'!$B$114:$S$134,16,FALSE),"")</f>
        <v>14</v>
      </c>
      <c r="F102" s="958">
        <f>IFERROR(VLOOKUP(Home!F$92,'Court Applications'!$B$114:$S$134,16,FALSE),"")</f>
        <v>6</v>
      </c>
      <c r="G102" s="958">
        <f>IFERROR(VLOOKUP(Home!G$92,'Court Applications'!$B$114:$S$134,16,FALSE),"")</f>
        <v>8</v>
      </c>
      <c r="H102" s="958">
        <f>IFERROR(VLOOKUP(Home!H$92,'Court Applications'!$B$114:$S$134,16,FALSE),"")</f>
        <v>10</v>
      </c>
      <c r="I102" s="958">
        <f>IFERROR(VLOOKUP(Home!I$92,'Court Applications'!$B$114:$S$134,16,FALSE),"")</f>
        <v>17</v>
      </c>
      <c r="J102" s="958">
        <f>IFERROR(VLOOKUP(Home!J$92,'Court Applications'!$B$114:$S$134,16,FALSE),"")</f>
        <v>5</v>
      </c>
      <c r="K102" s="958">
        <f>IFERROR(VLOOKUP(Home!K$92,'Court Applications'!$B$114:$S$134,16,FALSE),"")</f>
        <v>13</v>
      </c>
      <c r="L102" s="958">
        <f>IFERROR(VLOOKUP(Home!L$92,'Court Applications'!$B$114:$S$134,16,FALSE),"")</f>
        <v>16</v>
      </c>
      <c r="M102" s="958">
        <f>IFERROR(VLOOKUP(Home!M$92,'Court Applications'!$B$114:$S$134,16,FALSE),"")</f>
        <v>2</v>
      </c>
      <c r="N102" s="958">
        <f>IFERROR(VLOOKUP(Home!N$92,'Court Applications'!$B$114:$S$134,16,FALSE),"")</f>
        <v>19</v>
      </c>
      <c r="O102" s="958">
        <f>IFERROR(VLOOKUP(Home!O$92,'Court Applications'!$B$114:$S$134,16,FALSE),"")</f>
        <v>18</v>
      </c>
      <c r="P102" s="958">
        <f>IFERROR(VLOOKUP(Home!P$92,'Court Applications'!$B$114:$S$134,16,FALSE),"")</f>
        <v>4</v>
      </c>
      <c r="Q102" s="958">
        <f>IFERROR(VLOOKUP(Home!Q$92,'Court Applications'!$B$114:$S$134,16,FALSE),"")</f>
        <v>11</v>
      </c>
      <c r="R102" s="958">
        <f>IFERROR(VLOOKUP(Home!R$92,'Court Applications'!$B$114:$S$134,16,FALSE),"")</f>
        <v>1</v>
      </c>
      <c r="S102" s="958">
        <f>IFERROR(VLOOKUP(Home!S$92,'Court Applications'!$B$114:$S$134,16,FALSE),"")</f>
        <v>15</v>
      </c>
      <c r="T102" s="958">
        <f>IFERROR(VLOOKUP(Home!T$92,'Court Applications'!$B$114:$S$134,16,FALSE),"")</f>
        <v>9</v>
      </c>
      <c r="U102" s="958">
        <f>IFERROR(VLOOKUP(Home!U$92,'Court Applications'!$B$114:$S$134,16,FALSE),"")</f>
        <v>12</v>
      </c>
      <c r="V102" s="959">
        <f>IFERROR(VLOOKUP(Home!V$92,'Court Applications'!$B$114:$S$134,16,FALSE),"")</f>
        <v>7</v>
      </c>
      <c r="W102" s="1351"/>
      <c r="X102" s="1351"/>
      <c r="Y102" s="802"/>
      <c r="Z102" s="320"/>
    </row>
    <row r="103" spans="1:26" s="290" customFormat="1" ht="26.25" customHeight="1">
      <c r="A103" s="801"/>
      <c r="B103" s="1627" t="str">
        <f>"Children who were Looked After at "&amp;ReportData!$H$3&amp;", Rate per 10,000 0-17 Year Olds"</f>
        <v>Children who were Looked After at 31st March, Rate per 10,000 0-17 Year Olds</v>
      </c>
      <c r="C103" s="1628"/>
      <c r="D103" s="957">
        <f>IFERROR(VLOOKUP(Home!D92,'Looked After Children'!$B$11:$S$31,16,FALSE),"")</f>
        <v>6</v>
      </c>
      <c r="E103" s="958">
        <f>IFERROR(VLOOKUP(Home!E92,'Looked After Children'!$B$11:$S$31,16,FALSE),"")</f>
        <v>16</v>
      </c>
      <c r="F103" s="958">
        <f>IFERROR(VLOOKUP(Home!F92,'Looked After Children'!$B$11:$S$31,16,FALSE),"")</f>
        <v>4</v>
      </c>
      <c r="G103" s="958">
        <f>IFERROR(VLOOKUP(Home!G92,'Looked After Children'!$B$11:$S$31,16,FALSE),"")</f>
        <v>12</v>
      </c>
      <c r="H103" s="958">
        <f>IFERROR(VLOOKUP(Home!H92,'Looked After Children'!$B$11:$S$31,16,FALSE),"")</f>
        <v>13</v>
      </c>
      <c r="I103" s="958">
        <f>IFERROR(VLOOKUP(Home!I92,'Looked After Children'!$B$11:$S$31,16,FALSE),"")</f>
        <v>19</v>
      </c>
      <c r="J103" s="958">
        <f>IFERROR(VLOOKUP(Home!J92,'Looked After Children'!$B$11:$S$31,16,FALSE),"")</f>
        <v>10</v>
      </c>
      <c r="K103" s="958">
        <f>IFERROR(VLOOKUP(Home!K92,'Looked After Children'!$B$11:$S$31,16,FALSE),"")</f>
        <v>15</v>
      </c>
      <c r="L103" s="958">
        <f>IFERROR(VLOOKUP(Home!L92,'Looked After Children'!$B$11:$S$31,16,FALSE),"")</f>
        <v>11</v>
      </c>
      <c r="M103" s="958">
        <f>IFERROR(VLOOKUP(Home!M92,'Looked After Children'!$B$11:$S$31,16,FALSE),"")</f>
        <v>7</v>
      </c>
      <c r="N103" s="958">
        <f>IFERROR(VLOOKUP(Home!N92,'Looked After Children'!$B$11:$S$31,16,FALSE),"")</f>
        <v>17</v>
      </c>
      <c r="O103" s="958">
        <f>IFERROR(VLOOKUP(Home!O92,'Looked After Children'!$B$11:$S$31,16,FALSE),"")</f>
        <v>14</v>
      </c>
      <c r="P103" s="958">
        <f>IFERROR(VLOOKUP(Home!P92,'Looked After Children'!$B$11:$S$31,16,FALSE),"")</f>
        <v>5</v>
      </c>
      <c r="Q103" s="958">
        <f>IFERROR(VLOOKUP(Home!Q92,'Looked After Children'!$B$11:$S$31,16,FALSE),"")</f>
        <v>18</v>
      </c>
      <c r="R103" s="958">
        <f>IFERROR(VLOOKUP(Home!R92,'Looked After Children'!$B$11:$S$31,16,FALSE),"")</f>
        <v>2</v>
      </c>
      <c r="S103" s="958">
        <f>IFERROR(VLOOKUP(Home!S92,'Looked After Children'!$B$11:$S$31,16,FALSE),"")</f>
        <v>9</v>
      </c>
      <c r="T103" s="958">
        <f>IFERROR(VLOOKUP(Home!T92,'Looked After Children'!$B$11:$S$31,16,FALSE),"")</f>
        <v>8</v>
      </c>
      <c r="U103" s="958">
        <f>IFERROR(VLOOKUP(Home!U92,'Looked After Children'!$B$11:$S$31,16,FALSE),"")</f>
        <v>3</v>
      </c>
      <c r="V103" s="959">
        <f>IFERROR(VLOOKUP(Home!V92,'Looked After Children'!$B$11:$S$31,16,FALSE),"")</f>
        <v>1</v>
      </c>
      <c r="W103" s="1351"/>
      <c r="X103" s="1351"/>
      <c r="Y103" s="802"/>
      <c r="Z103" s="320"/>
    </row>
    <row r="104" spans="1:26" s="290" customFormat="1" ht="26.25" customHeight="1">
      <c r="A104" s="801"/>
      <c r="B104" s="1629" t="str">
        <f>"Children who Started to be Looked After during the "&amp;ReportData!$G$3&amp;", Rate per 10,000 0-17 Year Olds"</f>
        <v>Children who Started to be Looked After during the Year ending 31st March, Rate per 10,000 0-17 Year Olds</v>
      </c>
      <c r="C104" s="1630"/>
      <c r="D104" s="957">
        <f>IFERROR(VLOOKUP(Home!D$92,New_Ceased_LAC!$B$11:$S$31,16,FALSE),"")</f>
        <v>3</v>
      </c>
      <c r="E104" s="958">
        <f>IFERROR(VLOOKUP(Home!E$92,New_Ceased_LAC!$B$11:$S$31,16,FALSE),"")</f>
        <v>15</v>
      </c>
      <c r="F104" s="958">
        <f>IFERROR(VLOOKUP(Home!F$92,New_Ceased_LAC!$B$11:$S$31,16,FALSE),"")</f>
        <v>6</v>
      </c>
      <c r="G104" s="958">
        <f>IFERROR(VLOOKUP(Home!G$92,New_Ceased_LAC!$B$11:$S$31,16,FALSE),"")</f>
        <v>10</v>
      </c>
      <c r="H104" s="958">
        <f>IFERROR(VLOOKUP(Home!H$92,New_Ceased_LAC!$B$11:$S$31,16,FALSE),"")</f>
        <v>11</v>
      </c>
      <c r="I104" s="958">
        <f>IFERROR(VLOOKUP(Home!I$92,New_Ceased_LAC!$B$11:$S$31,16,FALSE),"")</f>
        <v>13</v>
      </c>
      <c r="J104" s="958">
        <f>IFERROR(VLOOKUP(Home!J$92,New_Ceased_LAC!$B$11:$S$31,16,FALSE),"")</f>
        <v>19</v>
      </c>
      <c r="K104" s="958">
        <f>IFERROR(VLOOKUP(Home!K$92,New_Ceased_LAC!$B$11:$S$31,16,FALSE),"")</f>
        <v>12</v>
      </c>
      <c r="L104" s="958">
        <f>IFERROR(VLOOKUP(Home!L$92,New_Ceased_LAC!$B$11:$S$31,16,FALSE),"")</f>
        <v>17</v>
      </c>
      <c r="M104" s="958">
        <f>IFERROR(VLOOKUP(Home!M$92,New_Ceased_LAC!$B$11:$S$31,16,FALSE),"")</f>
        <v>4</v>
      </c>
      <c r="N104" s="958">
        <f>IFERROR(VLOOKUP(Home!N$92,New_Ceased_LAC!$B$11:$S$31,16,FALSE),"")</f>
        <v>18</v>
      </c>
      <c r="O104" s="958">
        <f>IFERROR(VLOOKUP(Home!O$92,New_Ceased_LAC!$B$11:$S$31,16,FALSE),"")</f>
        <v>14</v>
      </c>
      <c r="P104" s="958">
        <f>IFERROR(VLOOKUP(Home!P$92,New_Ceased_LAC!$B$11:$S$31,16,FALSE),"")</f>
        <v>5</v>
      </c>
      <c r="Q104" s="958">
        <f>IFERROR(VLOOKUP(Home!Q$92,New_Ceased_LAC!$B$11:$S$31,16,FALSE),"")</f>
        <v>16</v>
      </c>
      <c r="R104" s="958">
        <f>IFERROR(VLOOKUP(Home!R$92,New_Ceased_LAC!$B$11:$S$31,16,FALSE),"")</f>
        <v>2</v>
      </c>
      <c r="S104" s="958">
        <f>IFERROR(VLOOKUP(Home!S$92,New_Ceased_LAC!$B$11:$S$31,16,FALSE),"")</f>
        <v>8</v>
      </c>
      <c r="T104" s="958">
        <f>IFERROR(VLOOKUP(Home!T$92,New_Ceased_LAC!$B$11:$S$31,16,FALSE),"")</f>
        <v>9</v>
      </c>
      <c r="U104" s="958">
        <f>IFERROR(VLOOKUP(Home!U$92,New_Ceased_LAC!$B$11:$S$31,16,FALSE),"")</f>
        <v>7</v>
      </c>
      <c r="V104" s="959">
        <f>IFERROR(VLOOKUP(Home!V$92,New_Ceased_LAC!$B$11:$S$31,16,FALSE),"")</f>
        <v>1</v>
      </c>
      <c r="W104" s="1351"/>
      <c r="X104" s="1351"/>
      <c r="Y104" s="802"/>
      <c r="Z104" s="320"/>
    </row>
    <row r="105" spans="1:26" s="290" customFormat="1" ht="26.25" customHeight="1">
      <c r="A105" s="801"/>
      <c r="B105" s="1627" t="str">
        <f>"Children who Ceased to be Looked After during the "&amp;ReportData!$G$3&amp;", Rate per 10,000 0-17 Year Olds"</f>
        <v>Children who Ceased to be Looked After during the Year ending 31st March, Rate per 10,000 0-17 Year Olds</v>
      </c>
      <c r="C105" s="1628"/>
      <c r="D105" s="957">
        <f>IFERROR(VLOOKUP(Home!D$92,New_Ceased_LAC!$B$176:$S$200,16,FALSE),"")</f>
        <v>4</v>
      </c>
      <c r="E105" s="958">
        <f>IFERROR(VLOOKUP(Home!E$92,New_Ceased_LAC!$B$176:$S$200,16,FALSE),"")</f>
        <v>15</v>
      </c>
      <c r="F105" s="958">
        <f>IFERROR(VLOOKUP(Home!F$92,New_Ceased_LAC!$B$176:$S$200,16,FALSE),"")</f>
        <v>3</v>
      </c>
      <c r="G105" s="958">
        <f>IFERROR(VLOOKUP(Home!G$92,New_Ceased_LAC!$B$176:$S$200,16,FALSE),"")</f>
        <v>9</v>
      </c>
      <c r="H105" s="958">
        <f>IFERROR(VLOOKUP(Home!H$92,New_Ceased_LAC!$B$176:$S$200,16,FALSE),"")</f>
        <v>8</v>
      </c>
      <c r="I105" s="958">
        <f>IFERROR(VLOOKUP(Home!I$92,New_Ceased_LAC!$B$176:$S$200,16,FALSE),"")</f>
        <v>16</v>
      </c>
      <c r="J105" s="958">
        <f>IFERROR(VLOOKUP(Home!J$92,New_Ceased_LAC!$B$176:$S$200,16,FALSE),"")</f>
        <v>19</v>
      </c>
      <c r="K105" s="958">
        <f>IFERROR(VLOOKUP(Home!K$92,New_Ceased_LAC!$B$176:$S$200,16,FALSE),"")</f>
        <v>14</v>
      </c>
      <c r="L105" s="958">
        <f>IFERROR(VLOOKUP(Home!L$92,New_Ceased_LAC!$B$176:$S$200,16,FALSE),"")</f>
        <v>11</v>
      </c>
      <c r="M105" s="958">
        <f>IFERROR(VLOOKUP(Home!M$92,New_Ceased_LAC!$B$176:$S$200,16,FALSE),"")</f>
        <v>6</v>
      </c>
      <c r="N105" s="958">
        <f>IFERROR(VLOOKUP(Home!N$92,New_Ceased_LAC!$B$176:$S$200,16,FALSE),"")</f>
        <v>17</v>
      </c>
      <c r="O105" s="958">
        <f>IFERROR(VLOOKUP(Home!O$92,New_Ceased_LAC!$B$176:$S$200,16,FALSE),"")</f>
        <v>12</v>
      </c>
      <c r="P105" s="958">
        <f>IFERROR(VLOOKUP(Home!P$92,New_Ceased_LAC!$B$176:$S$200,16,FALSE),"")</f>
        <v>13</v>
      </c>
      <c r="Q105" s="958">
        <f>IFERROR(VLOOKUP(Home!Q$92,New_Ceased_LAC!$B$176:$S$200,16,FALSE),"")</f>
        <v>18</v>
      </c>
      <c r="R105" s="958">
        <f>IFERROR(VLOOKUP(Home!R$92,New_Ceased_LAC!$B$176:$S$200,16,FALSE),"")</f>
        <v>2</v>
      </c>
      <c r="S105" s="958">
        <f>IFERROR(VLOOKUP(Home!S$92,New_Ceased_LAC!$B$176:$S$200,16,FALSE),"")</f>
        <v>10</v>
      </c>
      <c r="T105" s="958">
        <f>IFERROR(VLOOKUP(Home!T$92,New_Ceased_LAC!$B$176:$S$200,16,FALSE),"")</f>
        <v>7</v>
      </c>
      <c r="U105" s="958">
        <f>IFERROR(VLOOKUP(Home!U$92,New_Ceased_LAC!$B$176:$S$200,16,FALSE),"")</f>
        <v>5</v>
      </c>
      <c r="V105" s="959">
        <f>IFERROR(VLOOKUP(Home!V$92,New_Ceased_LAC!$B$176:$S$200,16,FALSE),"")</f>
        <v>1</v>
      </c>
      <c r="W105" s="1351"/>
      <c r="X105" s="1351"/>
      <c r="Y105" s="802"/>
      <c r="Z105" s="320"/>
    </row>
    <row r="106" spans="1:26" s="290" customFormat="1" ht="26.25" customHeight="1">
      <c r="A106" s="801"/>
      <c r="B106" s="1629" t="str">
        <f>"Net Number of Children becoming Looked After during the "&amp;ReportData!$G$3&amp;", Rate per 10,000 0-17 Year Olds"</f>
        <v>Net Number of Children becoming Looked After during the Year ending 31st March, Rate per 10,000 0-17 Year Olds</v>
      </c>
      <c r="C106" s="1630"/>
      <c r="D106" s="957">
        <f>IFERROR(VLOOKUP(Home!D$92,New_Ceased_LAC!$B$310:$S$334,16,FALSE),"")</f>
        <v>5</v>
      </c>
      <c r="E106" s="958">
        <f>IFERROR(VLOOKUP(Home!E$92,New_Ceased_LAC!$B$310:$S$334,16,FALSE),"")</f>
        <v>14</v>
      </c>
      <c r="F106" s="958">
        <f>IFERROR(VLOOKUP(Home!F$92,New_Ceased_LAC!$B$310:$S$334,16,FALSE),"")</f>
        <v>16</v>
      </c>
      <c r="G106" s="958">
        <f>IFERROR(VLOOKUP(Home!G$92,New_Ceased_LAC!$B$310:$S$334,16,FALSE),"")</f>
        <v>11</v>
      </c>
      <c r="H106" s="958">
        <f>IFERROR(VLOOKUP(Home!H$92,New_Ceased_LAC!$B$310:$S$334,16,FALSE),"")</f>
        <v>15</v>
      </c>
      <c r="I106" s="958">
        <f>IFERROR(VLOOKUP(Home!I$92,New_Ceased_LAC!$B$310:$S$334,16,FALSE),"")</f>
        <v>4</v>
      </c>
      <c r="J106" s="958">
        <f>IFERROR(VLOOKUP(Home!J$92,New_Ceased_LAC!$B$310:$S$334,16,FALSE),"")</f>
        <v>9</v>
      </c>
      <c r="K106" s="958">
        <f>IFERROR(VLOOKUP(Home!K$92,New_Ceased_LAC!$B$310:$S$334,16,FALSE),"")</f>
        <v>13</v>
      </c>
      <c r="L106" s="958">
        <f>IFERROR(VLOOKUP(Home!L$92,New_Ceased_LAC!$B$310:$S$334,16,FALSE),"")</f>
        <v>19</v>
      </c>
      <c r="M106" s="958">
        <f>IFERROR(VLOOKUP(Home!M$92,New_Ceased_LAC!$B$310:$S$334,16,FALSE),"")</f>
        <v>3</v>
      </c>
      <c r="N106" s="958">
        <f>IFERROR(VLOOKUP(Home!N$92,New_Ceased_LAC!$B$310:$S$334,16,FALSE),"")</f>
        <v>17</v>
      </c>
      <c r="O106" s="958">
        <f>IFERROR(VLOOKUP(Home!O$92,New_Ceased_LAC!$B$310:$S$334,16,FALSE),"")</f>
        <v>18</v>
      </c>
      <c r="P106" s="958">
        <f>IFERROR(VLOOKUP(Home!P$92,New_Ceased_LAC!$B$310:$S$334,16,FALSE),"")</f>
        <v>1</v>
      </c>
      <c r="Q106" s="958">
        <f>IFERROR(VLOOKUP(Home!Q$92,New_Ceased_LAC!$B$310:$S$334,16,FALSE),"")</f>
        <v>2</v>
      </c>
      <c r="R106" s="958">
        <f>IFERROR(VLOOKUP(Home!R$92,New_Ceased_LAC!$B$310:$S$334,16,FALSE),"")</f>
        <v>8</v>
      </c>
      <c r="S106" s="958">
        <f>IFERROR(VLOOKUP(Home!S$92,New_Ceased_LAC!$B$310:$S$334,16,FALSE),"")</f>
        <v>7</v>
      </c>
      <c r="T106" s="958">
        <f>IFERROR(VLOOKUP(Home!T$92,New_Ceased_LAC!$B$310:$S$334,16,FALSE),"")</f>
        <v>12</v>
      </c>
      <c r="U106" s="958">
        <f>IFERROR(VLOOKUP(Home!U$92,New_Ceased_LAC!$B$310:$S$334,16,FALSE),"")</f>
        <v>6</v>
      </c>
      <c r="V106" s="959">
        <f>IFERROR(VLOOKUP(Home!V$92,New_Ceased_LAC!$B$310:$S$334,16,FALSE),"")</f>
        <v>10</v>
      </c>
      <c r="W106" s="1351"/>
      <c r="X106" s="1351"/>
      <c r="Y106" s="802"/>
      <c r="Z106" s="320"/>
    </row>
    <row r="107" spans="1:26" s="290" customFormat="1" ht="26.25" customHeight="1">
      <c r="A107" s="801"/>
      <c r="B107" s="1627" t="str">
        <f>"Number of Care Leavers Aged 19-21 at "&amp;ReportData!$H$3&amp;", Rate per 10,000 19-21 Year Olds"</f>
        <v>Number of Care Leavers Aged 19-21 at 31st March, Rate per 10,000 19-21 Year Olds</v>
      </c>
      <c r="C107" s="1628"/>
      <c r="D107" s="957">
        <f>IFERROR(VLOOKUP(Home!D$92,Care_Leavers!$B$7:$S$31,16,FALSE),"")</f>
        <v>15</v>
      </c>
      <c r="E107" s="958">
        <f>IFERROR(VLOOKUP(Home!E$92,Care_Leavers!$B$7:$S$31,16,FALSE),"")</f>
        <v>2</v>
      </c>
      <c r="F107" s="958">
        <f>IFERROR(VLOOKUP(Home!F$92,Care_Leavers!$B$7:$S$31,16,FALSE),"")</f>
        <v>10</v>
      </c>
      <c r="G107" s="958">
        <f>IFERROR(VLOOKUP(Home!G$92,Care_Leavers!$B$7:$S$31,16,FALSE),"")</f>
        <v>11</v>
      </c>
      <c r="H107" s="958">
        <f>IFERROR(VLOOKUP(Home!H$92,Care_Leavers!$B$7:$S$31,16,FALSE),"")</f>
        <v>9</v>
      </c>
      <c r="I107" s="958">
        <f>IFERROR(VLOOKUP(Home!I$92,Care_Leavers!$B$7:$S$31,16,FALSE),"")</f>
        <v>19</v>
      </c>
      <c r="J107" s="958">
        <f>IFERROR(VLOOKUP(Home!J$92,Care_Leavers!$B$7:$S$31,16,FALSE),"")</f>
        <v>16</v>
      </c>
      <c r="K107" s="958">
        <f>IFERROR(VLOOKUP(Home!K$92,Care_Leavers!$B$7:$S$31,16,FALSE),"")</f>
        <v>8</v>
      </c>
      <c r="L107" s="958">
        <f>IFERROR(VLOOKUP(Home!L$92,Care_Leavers!$B$7:$S$31,16,FALSE),"")</f>
        <v>17</v>
      </c>
      <c r="M107" s="958">
        <f>IFERROR(VLOOKUP(Home!M$92,Care_Leavers!$B$7:$S$31,16,FALSE),"")</f>
        <v>3</v>
      </c>
      <c r="N107" s="958">
        <f>IFERROR(VLOOKUP(Home!N$92,Care_Leavers!$B$7:$S$31,16,FALSE),"")</f>
        <v>6</v>
      </c>
      <c r="O107" s="958">
        <f>IFERROR(VLOOKUP(Home!O$92,Care_Leavers!$B$7:$S$31,16,FALSE),"")</f>
        <v>4</v>
      </c>
      <c r="P107" s="958">
        <f>IFERROR(VLOOKUP(Home!P$92,Care_Leavers!$B$7:$S$31,16,FALSE),"")</f>
        <v>14</v>
      </c>
      <c r="Q107" s="958">
        <f>IFERROR(VLOOKUP(Home!Q$92,Care_Leavers!$B$7:$S$31,16,FALSE),"")</f>
        <v>1</v>
      </c>
      <c r="R107" s="958">
        <f>IFERROR(VLOOKUP(Home!R$92,Care_Leavers!$B$7:$S$31,16,FALSE),"")</f>
        <v>7</v>
      </c>
      <c r="S107" s="958">
        <f>IFERROR(VLOOKUP(Home!S$92,Care_Leavers!$B$7:$S$31,16,FALSE),"")</f>
        <v>18</v>
      </c>
      <c r="T107" s="958">
        <f>IFERROR(VLOOKUP(Home!T$92,Care_Leavers!$B$7:$S$31,16,FALSE),"")</f>
        <v>13</v>
      </c>
      <c r="U107" s="958">
        <f>IFERROR(VLOOKUP(Home!U$92,Care_Leavers!$B$7:$S$31,16,FALSE),"")</f>
        <v>12</v>
      </c>
      <c r="V107" s="959">
        <f>IFERROR(VLOOKUP(Home!V$92,Care_Leavers!$B$7:$S$31,16,FALSE),"")</f>
        <v>5</v>
      </c>
      <c r="W107" s="1351"/>
      <c r="X107" s="1351"/>
      <c r="Y107" s="802"/>
      <c r="Z107" s="320"/>
    </row>
    <row r="108" spans="1:26" s="290" customFormat="1" ht="26.25" customHeight="1">
      <c r="A108" s="801"/>
      <c r="B108" s="1629" t="str">
        <f>"Children placed for Adoption at "&amp;ReportData!$H$3&amp;", Rate per 10,000 0-17 Year Olds"</f>
        <v>Children placed for Adoption at 31st March, Rate per 10,000 0-17 Year Olds</v>
      </c>
      <c r="C108" s="1630"/>
      <c r="D108" s="957">
        <f>IFERROR(VLOOKUP(Home!D92,Permanence!$B$11:$S$31,16,FALSE),"--")</f>
        <v>1</v>
      </c>
      <c r="E108" s="958">
        <f>IFERROR(VLOOKUP(Home!E92,Permanence!$B$11:$S$31,16,FALSE),"--")</f>
        <v>10</v>
      </c>
      <c r="F108" s="958" t="str">
        <f>IFERROR(VLOOKUP(Home!F92,Permanence!$B$11:$S$31,16,FALSE),"--")</f>
        <v>--</v>
      </c>
      <c r="G108" s="958">
        <f>IFERROR(VLOOKUP(Home!G92,Permanence!$B$11:$S$31,16,FALSE),"--")</f>
        <v>5</v>
      </c>
      <c r="H108" s="958">
        <f>IFERROR(VLOOKUP(Home!H92,Permanence!$B$11:$S$31,16,FALSE),"--")</f>
        <v>3</v>
      </c>
      <c r="I108" s="958" t="str">
        <f>IFERROR(VLOOKUP(Home!I92,Permanence!$B$11:$S$31,16,FALSE),"--")</f>
        <v>--</v>
      </c>
      <c r="J108" s="958">
        <f>IFERROR(VLOOKUP(Home!J92,Permanence!$B$11:$S$31,16,FALSE),"--")</f>
        <v>6</v>
      </c>
      <c r="K108" s="958">
        <f>IFERROR(VLOOKUP(Home!K92,Permanence!$B$11:$S$31,16,FALSE),"--")</f>
        <v>4</v>
      </c>
      <c r="L108" s="958">
        <f>IFERROR(VLOOKUP(Home!L92,Permanence!$B$11:$S$31,16,FALSE),"--")</f>
        <v>7</v>
      </c>
      <c r="M108" s="958" t="str">
        <f>IFERROR(VLOOKUP(Home!M92,Permanence!$B$11:$S$31,16,FALSE),"--")</f>
        <v>--</v>
      </c>
      <c r="N108" s="958">
        <f>IFERROR(VLOOKUP(Home!N92,Permanence!$B$11:$S$31,16,FALSE),"--")</f>
        <v>12</v>
      </c>
      <c r="O108" s="958" t="str">
        <f>IFERROR(VLOOKUP(Home!O92,Permanence!$B$11:$S$31,16,FALSE),"--")</f>
        <v>--</v>
      </c>
      <c r="P108" s="958">
        <f>IFERROR(VLOOKUP(Home!P92,Permanence!$B$11:$S$31,16,FALSE),"--")</f>
        <v>11</v>
      </c>
      <c r="Q108" s="958">
        <f>IFERROR(VLOOKUP(Home!Q92,Permanence!$B$11:$S$31,16,FALSE),"--")</f>
        <v>13</v>
      </c>
      <c r="R108" s="958">
        <f>IFERROR(VLOOKUP(Home!R92,Permanence!$B$11:$S$31,16,FALSE),"--")</f>
        <v>2</v>
      </c>
      <c r="S108" s="958">
        <f>IFERROR(VLOOKUP(Home!S92,Permanence!$B$11:$S$31,16,FALSE),"--")</f>
        <v>9</v>
      </c>
      <c r="T108" s="958">
        <f>IFERROR(VLOOKUP(Home!T92,Permanence!$B$11:$S$31,16,FALSE),"--")</f>
        <v>8</v>
      </c>
      <c r="U108" s="958" t="str">
        <f>IFERROR(VLOOKUP(Home!U92,Permanence!$B$11:$S$31,16,FALSE),"--")</f>
        <v>--</v>
      </c>
      <c r="V108" s="959" t="str">
        <f>IFERROR(VLOOKUP(Home!V92,Permanence!$B$11:$S$31,16,FALSE),"--")</f>
        <v>--</v>
      </c>
      <c r="W108" s="1351"/>
      <c r="X108" s="1351"/>
      <c r="Y108" s="802"/>
      <c r="Z108" s="320"/>
    </row>
    <row r="109" spans="1:26" s="290" customFormat="1" ht="26.25" customHeight="1">
      <c r="A109" s="801"/>
      <c r="B109" s="1627" t="str">
        <f>"% Young People aged 16-17 who are not Participating in Education, Employment or Training (NEET) "&amp;ReportData!H84</f>
        <v>% Young People aged 16-17 who are not Participating in Education, Employment or Training (NEET) mid-2023</v>
      </c>
      <c r="C109" s="1628"/>
      <c r="D109" s="957">
        <f>RANK(VLOOKUP(Home!D$92,Participation!$B$74:$H$92,7,FALSE),Participation!$H$74:$H$92,1)</f>
        <v>4</v>
      </c>
      <c r="E109" s="958">
        <f>RANK(VLOOKUP(Home!E$92,Participation!$B$74:$H$92,7,FALSE),Participation!$H$74:$H$92,1)</f>
        <v>14</v>
      </c>
      <c r="F109" s="958">
        <f>RANK(VLOOKUP(Home!F$92,Participation!$B$74:$H$92,7,FALSE),Participation!$H$74:$H$92,1)</f>
        <v>3</v>
      </c>
      <c r="G109" s="958">
        <f>RANK(VLOOKUP(Home!G$92,Participation!$B$74:$H$92,7,FALSE),Participation!$H$74:$H$92,1)</f>
        <v>19</v>
      </c>
      <c r="H109" s="958">
        <f>RANK(VLOOKUP(Home!H$92,Participation!$B$74:$H$92,7,FALSE),Participation!$H$74:$H$92,1)</f>
        <v>13</v>
      </c>
      <c r="I109" s="958">
        <f>RANK(VLOOKUP(Home!I$92,Participation!$B$74:$H$92,7,FALSE),Participation!$H$74:$H$92,1)</f>
        <v>16</v>
      </c>
      <c r="J109" s="958">
        <f>RANK(VLOOKUP(Home!J$92,Participation!$B$74:$H$92,7,FALSE),Participation!$H$74:$H$92,1)</f>
        <v>15</v>
      </c>
      <c r="K109" s="958">
        <f>RANK(VLOOKUP(Home!K$92,Participation!$B$74:$H$92,7,FALSE),Participation!$H$74:$H$92,1)</f>
        <v>12</v>
      </c>
      <c r="L109" s="958">
        <f>RANK(VLOOKUP(Home!L$92,Participation!$B$74:$H$92,7,FALSE),Participation!$H$74:$H$92,1)</f>
        <v>7</v>
      </c>
      <c r="M109" s="958">
        <f>RANK(VLOOKUP(Home!M$92,Participation!$B$74:$H$92,7,FALSE),Participation!$H$74:$H$92,1)</f>
        <v>5</v>
      </c>
      <c r="N109" s="958">
        <f>RANK(VLOOKUP(Home!N$92,Participation!$B$74:$H$92,7,FALSE),Participation!$H$74:$H$92,1)</f>
        <v>17</v>
      </c>
      <c r="O109" s="958">
        <f>RANK(VLOOKUP(Home!O$92,Participation!$B$74:$H$92,7,FALSE),Participation!$H$74:$H$92,1)</f>
        <v>11</v>
      </c>
      <c r="P109" s="958">
        <f>RANK(VLOOKUP(Home!P$92,Participation!$B$74:$H$92,7,FALSE),Participation!$H$74:$H$92,1)</f>
        <v>10</v>
      </c>
      <c r="Q109" s="958">
        <f>RANK(VLOOKUP(Home!Q$92,Participation!$B$74:$H$92,7,FALSE),Participation!$H$74:$H$92,1)</f>
        <v>18</v>
      </c>
      <c r="R109" s="958">
        <f>RANK(VLOOKUP(Home!R$92,Participation!$B$74:$H$92,7,FALSE),Participation!$H$74:$H$92,1)</f>
        <v>1</v>
      </c>
      <c r="S109" s="958">
        <f>RANK(VLOOKUP(Home!S$92,Participation!$B$74:$H$92,7,FALSE),Participation!$H$74:$H$92,1)</f>
        <v>6</v>
      </c>
      <c r="T109" s="958">
        <f>RANK(VLOOKUP(Home!T$92,Participation!$B$74:$H$92,7,FALSE),Participation!$H$74:$H$92,1)</f>
        <v>9</v>
      </c>
      <c r="U109" s="958">
        <f>RANK(VLOOKUP(Home!U$92,Participation!$B$74:$H$92,7,FALSE),Participation!$H$74:$H$92,1)</f>
        <v>2</v>
      </c>
      <c r="V109" s="959">
        <f>RANK(VLOOKUP(Home!V$92,Participation!$B$74:$H$92,7,FALSE),Participation!$H$74:$H$92,1)</f>
        <v>8</v>
      </c>
      <c r="W109" s="1351"/>
      <c r="X109" s="1351"/>
      <c r="Y109" s="802"/>
      <c r="Z109" s="320"/>
    </row>
    <row r="110" spans="1:26" s="290" customFormat="1" ht="26.25" customHeight="1" thickBot="1">
      <c r="A110" s="801"/>
      <c r="B110" s="1625" t="str">
        <f>"Rate of First Time Entrants to the Youth Justice System in the year ending "&amp;ReportData!$H$3&amp;", per 100,000 10-17 year olds"</f>
        <v>Rate of First Time Entrants to the Youth Justice System in the year ending 31st March, per 100,000 10-17 year olds</v>
      </c>
      <c r="C110" s="1626"/>
      <c r="D110" s="1341">
        <f>IFERROR(VLOOKUP(Home!D$92,YouthJustice!$B$11:$S$31,16,FALSE),"")</f>
        <v>8</v>
      </c>
      <c r="E110" s="1342">
        <f>IFERROR(VLOOKUP(Home!E$92,YouthJustice!$B$11:$S$31,16,FALSE),"")</f>
        <v>14</v>
      </c>
      <c r="F110" s="1342">
        <f>IFERROR(VLOOKUP(Home!F$92,YouthJustice!$B$11:$S$31,16,FALSE),"")</f>
        <v>10</v>
      </c>
      <c r="G110" s="1342">
        <f>IFERROR(VLOOKUP(Home!G$92,YouthJustice!$B$11:$S$31,16,FALSE),"")</f>
        <v>5</v>
      </c>
      <c r="H110" s="1342">
        <f>IFERROR(VLOOKUP(Home!H$92,YouthJustice!$B$11:$S$31,16,FALSE),"")</f>
        <v>3</v>
      </c>
      <c r="I110" s="1342">
        <f>IFERROR(VLOOKUP(Home!I$92,YouthJustice!$B$11:$S$31,16,FALSE),"")</f>
        <v>17</v>
      </c>
      <c r="J110" s="1342">
        <f>IFERROR(VLOOKUP(Home!J$92,YouthJustice!$B$11:$S$31,16,FALSE),"")</f>
        <v>11</v>
      </c>
      <c r="K110" s="1342">
        <f>IFERROR(VLOOKUP(Home!K$92,YouthJustice!$B$11:$S$31,16,FALSE),"")</f>
        <v>12</v>
      </c>
      <c r="L110" s="1342">
        <f>IFERROR(VLOOKUP(Home!L$92,YouthJustice!$B$11:$S$31,16,FALSE),"")</f>
        <v>6</v>
      </c>
      <c r="M110" s="1342">
        <f>IFERROR(VLOOKUP(Home!M$92,YouthJustice!$B$11:$S$31,16,FALSE),"")</f>
        <v>13</v>
      </c>
      <c r="N110" s="1342">
        <f>IFERROR(VLOOKUP(Home!N$92,YouthJustice!$B$11:$S$31,16,FALSE),"")</f>
        <v>15</v>
      </c>
      <c r="O110" s="1342">
        <f>IFERROR(VLOOKUP(Home!O$92,YouthJustice!$B$11:$S$31,16,FALSE),"")</f>
        <v>16</v>
      </c>
      <c r="P110" s="1342">
        <f>IFERROR(VLOOKUP(Home!P$92,YouthJustice!$B$11:$S$31,16,FALSE),"")</f>
        <v>9</v>
      </c>
      <c r="Q110" s="1342" t="str">
        <f>IFERROR(VLOOKUP(Home!Q$92,YouthJustice!$B$11:$S$31,16,FALSE),"")</f>
        <v>--</v>
      </c>
      <c r="R110" s="1342">
        <f>IFERROR(VLOOKUP(Home!R$92,YouthJustice!$B$11:$S$31,16,FALSE),"")</f>
        <v>1</v>
      </c>
      <c r="S110" s="1342">
        <f>IFERROR(VLOOKUP(Home!S$92,YouthJustice!$B$11:$S$31,16,FALSE),"")</f>
        <v>7</v>
      </c>
      <c r="T110" s="1342" t="str">
        <f>IFERROR(VLOOKUP(Home!T$92,YouthJustice!$B$11:$S$31,16,FALSE),"")</f>
        <v>--</v>
      </c>
      <c r="U110" s="1342">
        <f>IFERROR(VLOOKUP(Home!U$92,YouthJustice!$B$11:$S$31,16,FALSE),"")</f>
        <v>4</v>
      </c>
      <c r="V110" s="1343">
        <f>IFERROR(VLOOKUP(Home!V$92,YouthJustice!$B$11:$S$31,16,FALSE),"")</f>
        <v>2</v>
      </c>
      <c r="W110" s="1351"/>
      <c r="X110" s="1351"/>
      <c r="Y110" s="802"/>
      <c r="Z110" s="320"/>
    </row>
    <row r="111" spans="1:26" s="290" customFormat="1" ht="36" customHeight="1">
      <c r="A111" s="801"/>
      <c r="B111" s="1351"/>
      <c r="C111" s="1352"/>
      <c r="D111" s="1351"/>
      <c r="E111" s="1351"/>
      <c r="F111" s="1351"/>
      <c r="G111" s="1351"/>
      <c r="H111" s="1351"/>
      <c r="I111" s="1351"/>
      <c r="J111" s="1351"/>
      <c r="K111" s="1351"/>
      <c r="L111" s="1351"/>
      <c r="M111" s="1351"/>
      <c r="N111" s="1351"/>
      <c r="O111" s="1351"/>
      <c r="P111" s="1351"/>
      <c r="Q111" s="1351"/>
      <c r="R111" s="1351"/>
      <c r="S111" s="1351"/>
      <c r="T111" s="1351"/>
      <c r="U111" s="1351"/>
      <c r="V111" s="1351"/>
      <c r="W111" s="1351"/>
      <c r="X111" s="1351"/>
      <c r="Y111" s="802"/>
      <c r="Z111" s="320"/>
    </row>
    <row r="112" spans="1:26" s="290" customFormat="1" ht="22.5" customHeight="1">
      <c r="A112" s="801"/>
      <c r="B112" s="1351"/>
      <c r="C112" s="1352"/>
      <c r="D112" s="1351"/>
      <c r="E112" s="1351"/>
      <c r="F112" s="1351"/>
      <c r="G112" s="1351"/>
      <c r="H112" s="1351"/>
      <c r="I112" s="1351"/>
      <c r="J112" s="1351"/>
      <c r="K112" s="1351"/>
      <c r="L112" s="1351"/>
      <c r="M112" s="1351"/>
      <c r="N112" s="1351"/>
      <c r="O112" s="1351"/>
      <c r="P112" s="1351"/>
      <c r="Q112" s="1351"/>
      <c r="R112" s="1351"/>
      <c r="S112" s="1351"/>
      <c r="T112" s="1351"/>
      <c r="U112" s="1351"/>
      <c r="V112" s="1351"/>
      <c r="W112" s="1351"/>
      <c r="X112" s="1351"/>
      <c r="Y112" s="802"/>
      <c r="Z112" s="320"/>
    </row>
    <row r="113" spans="1:26" s="290" customFormat="1" ht="22.5" customHeight="1">
      <c r="A113" s="801"/>
      <c r="B113" s="1351"/>
      <c r="C113" s="1352"/>
      <c r="D113" s="1351"/>
      <c r="E113" s="1351"/>
      <c r="F113" s="1351"/>
      <c r="G113" s="1351"/>
      <c r="H113" s="1351"/>
      <c r="I113" s="1351"/>
      <c r="J113" s="1351"/>
      <c r="K113" s="1351"/>
      <c r="L113" s="1351"/>
      <c r="M113" s="1351"/>
      <c r="N113" s="1351"/>
      <c r="O113" s="1351"/>
      <c r="P113" s="1351"/>
      <c r="Q113" s="1351"/>
      <c r="R113" s="1351"/>
      <c r="S113" s="1351"/>
      <c r="T113" s="1351"/>
      <c r="U113" s="1351"/>
      <c r="V113" s="1351"/>
      <c r="W113" s="1351"/>
      <c r="X113" s="1351"/>
      <c r="Y113" s="802"/>
      <c r="Z113" s="320"/>
    </row>
    <row r="114" spans="1:26" s="290" customFormat="1" ht="12.75">
      <c r="A114" s="1592"/>
      <c r="B114" s="1593"/>
      <c r="C114" s="1593"/>
      <c r="D114" s="1593"/>
      <c r="E114" s="1593"/>
      <c r="F114" s="1593"/>
      <c r="G114" s="1593"/>
      <c r="H114" s="1593"/>
      <c r="I114" s="1593"/>
      <c r="J114" s="1593"/>
      <c r="K114" s="1593"/>
      <c r="L114" s="1593"/>
      <c r="M114" s="1593"/>
      <c r="N114" s="1593"/>
      <c r="O114" s="1593"/>
      <c r="P114" s="1593"/>
      <c r="Q114" s="1593"/>
      <c r="R114" s="1593"/>
      <c r="S114" s="1593"/>
      <c r="T114" s="1593"/>
      <c r="U114" s="1593"/>
      <c r="V114" s="1593"/>
      <c r="W114" s="1593"/>
      <c r="X114" s="1593"/>
      <c r="Y114" s="1594"/>
      <c r="Z114" s="320"/>
    </row>
    <row r="115" spans="1:26">
      <c r="A115" s="1398"/>
      <c r="B115" s="1398"/>
      <c r="C115" s="1407"/>
      <c r="D115" s="1398"/>
      <c r="E115" s="1408"/>
      <c r="F115" s="1398"/>
      <c r="G115" s="1398"/>
      <c r="H115" s="1398"/>
      <c r="I115" s="1398"/>
      <c r="J115" s="1398"/>
      <c r="K115" s="1398"/>
      <c r="L115" s="1398"/>
      <c r="M115" s="1398"/>
      <c r="N115" s="1398"/>
      <c r="O115" s="1398"/>
      <c r="P115" s="1398"/>
      <c r="Q115" s="1398"/>
      <c r="R115" s="1398"/>
      <c r="S115" s="1398"/>
      <c r="T115" s="1398"/>
      <c r="U115" s="1398"/>
      <c r="V115" s="1398"/>
      <c r="W115" s="1398"/>
      <c r="X115" s="1398"/>
      <c r="Y115" s="1398"/>
      <c r="Z115" s="1418"/>
    </row>
    <row r="116" spans="1:26">
      <c r="A116" s="1398"/>
      <c r="B116" s="1398"/>
      <c r="C116" s="1407"/>
      <c r="D116" s="1398"/>
      <c r="E116" s="1408"/>
      <c r="F116" s="1398"/>
      <c r="G116" s="1398"/>
      <c r="H116" s="1398"/>
      <c r="I116" s="1398"/>
      <c r="J116" s="1398"/>
      <c r="K116" s="1398"/>
      <c r="L116" s="1398"/>
      <c r="M116" s="1398"/>
      <c r="N116" s="1398"/>
      <c r="O116" s="1398"/>
      <c r="P116" s="1398"/>
      <c r="Q116" s="1398"/>
      <c r="R116" s="1398"/>
      <c r="S116" s="1398"/>
      <c r="T116" s="1398"/>
      <c r="U116" s="1398"/>
      <c r="V116" s="1398"/>
      <c r="W116" s="1398"/>
      <c r="X116" s="1398"/>
      <c r="Y116" s="1398"/>
      <c r="Z116" s="1418"/>
    </row>
    <row r="117" spans="1:26">
      <c r="A117" s="1398"/>
      <c r="B117" s="1398"/>
      <c r="C117" s="1407"/>
      <c r="D117" s="1398"/>
      <c r="E117" s="1408"/>
      <c r="F117" s="1398"/>
      <c r="G117" s="1398"/>
      <c r="H117" s="1398"/>
      <c r="I117" s="1398"/>
      <c r="J117" s="1398"/>
      <c r="K117" s="1398"/>
      <c r="L117" s="1398"/>
      <c r="M117" s="1398"/>
      <c r="N117" s="1398"/>
      <c r="O117" s="1398"/>
      <c r="P117" s="1398"/>
      <c r="Q117" s="1398"/>
      <c r="R117" s="1398"/>
      <c r="S117" s="1398"/>
      <c r="T117" s="1398"/>
      <c r="U117" s="1398"/>
      <c r="V117" s="1398"/>
      <c r="W117" s="1398"/>
      <c r="X117" s="1398"/>
      <c r="Y117" s="1398"/>
      <c r="Z117" s="1418"/>
    </row>
    <row r="118" spans="1:26">
      <c r="A118" s="1398"/>
      <c r="B118" s="1398"/>
      <c r="C118" s="1407"/>
      <c r="D118" s="1398"/>
      <c r="E118" s="1408"/>
      <c r="F118" s="1398"/>
      <c r="G118" s="1398"/>
      <c r="H118" s="1398"/>
      <c r="I118" s="1398"/>
      <c r="J118" s="1398"/>
      <c r="K118" s="1398"/>
      <c r="L118" s="1398"/>
      <c r="M118" s="1398"/>
      <c r="N118" s="1398"/>
      <c r="O118" s="1398"/>
      <c r="P118" s="1398"/>
      <c r="Q118" s="1398"/>
      <c r="R118" s="1398"/>
      <c r="S118" s="1398"/>
      <c r="T118" s="1398"/>
      <c r="U118" s="1398"/>
      <c r="V118" s="1398"/>
      <c r="W118" s="1398"/>
      <c r="X118" s="1398"/>
      <c r="Y118" s="1398"/>
      <c r="Z118" s="1418"/>
    </row>
    <row r="119" spans="1:26">
      <c r="A119" s="1398"/>
      <c r="B119" s="1398"/>
      <c r="C119" s="1407"/>
      <c r="D119" s="1398"/>
      <c r="E119" s="1408"/>
      <c r="F119" s="1398"/>
      <c r="G119" s="1398"/>
      <c r="H119" s="1398"/>
      <c r="I119" s="1398"/>
      <c r="J119" s="1398"/>
      <c r="K119" s="1398"/>
      <c r="L119" s="1398"/>
      <c r="M119" s="1398"/>
      <c r="N119" s="1398"/>
      <c r="O119" s="1398"/>
      <c r="P119" s="1398"/>
      <c r="Q119" s="1398"/>
      <c r="R119" s="1398"/>
      <c r="S119" s="1398"/>
      <c r="T119" s="1398"/>
      <c r="U119" s="1398"/>
      <c r="V119" s="1398"/>
      <c r="W119" s="1398"/>
      <c r="X119" s="1398"/>
      <c r="Y119" s="1398"/>
      <c r="Z119" s="1418"/>
    </row>
    <row r="120" spans="1:26">
      <c r="A120" s="1398"/>
      <c r="B120" s="1398"/>
      <c r="C120" s="1407"/>
      <c r="D120" s="1398"/>
      <c r="E120" s="1408"/>
      <c r="F120" s="1398"/>
      <c r="G120" s="1398"/>
      <c r="H120" s="1398"/>
      <c r="I120" s="1398"/>
      <c r="J120" s="1398"/>
      <c r="K120" s="1398"/>
      <c r="L120" s="1398"/>
      <c r="M120" s="1398"/>
      <c r="N120" s="1398"/>
      <c r="O120" s="1398"/>
      <c r="P120" s="1398"/>
      <c r="Q120" s="1398"/>
      <c r="R120" s="1398"/>
      <c r="S120" s="1398"/>
      <c r="T120" s="1398"/>
      <c r="U120" s="1398"/>
      <c r="V120" s="1398"/>
      <c r="W120" s="1398"/>
      <c r="X120" s="1398"/>
      <c r="Y120" s="1398"/>
      <c r="Z120" s="1418"/>
    </row>
    <row r="121" spans="1:26">
      <c r="A121" s="1398"/>
      <c r="B121" s="1398"/>
      <c r="C121" s="1407"/>
      <c r="D121" s="1398"/>
      <c r="E121" s="1408"/>
      <c r="F121" s="1398"/>
      <c r="G121" s="1398"/>
      <c r="H121" s="1398"/>
      <c r="I121" s="1398"/>
      <c r="J121" s="1398"/>
      <c r="K121" s="1398"/>
      <c r="L121" s="1398"/>
      <c r="M121" s="1398"/>
      <c r="N121" s="1398"/>
      <c r="O121" s="1398"/>
      <c r="P121" s="1398"/>
      <c r="Q121" s="1398"/>
      <c r="R121" s="1398"/>
      <c r="S121" s="1398"/>
      <c r="T121" s="1398"/>
      <c r="U121" s="1398"/>
      <c r="V121" s="1398"/>
      <c r="W121" s="1398"/>
      <c r="X121" s="1398"/>
      <c r="Y121" s="1398"/>
      <c r="Z121" s="1418"/>
    </row>
    <row r="122" spans="1:26">
      <c r="A122" s="1398"/>
      <c r="B122" s="1398"/>
      <c r="C122" s="1407"/>
      <c r="D122" s="1398"/>
      <c r="E122" s="1408"/>
      <c r="F122" s="1398"/>
      <c r="G122" s="1398"/>
      <c r="H122" s="1398"/>
      <c r="I122" s="1398"/>
      <c r="J122" s="1398"/>
      <c r="K122" s="1398"/>
      <c r="L122" s="1398"/>
      <c r="M122" s="1398"/>
      <c r="N122" s="1398"/>
      <c r="O122" s="1398"/>
      <c r="P122" s="1398"/>
      <c r="Q122" s="1398"/>
      <c r="R122" s="1398"/>
      <c r="S122" s="1398"/>
      <c r="T122" s="1398"/>
      <c r="U122" s="1398"/>
      <c r="V122" s="1398"/>
      <c r="W122" s="1398"/>
      <c r="X122" s="1398"/>
      <c r="Y122" s="1398"/>
      <c r="Z122" s="1418"/>
    </row>
    <row r="123" spans="1:26">
      <c r="A123" s="1398"/>
      <c r="B123" s="1398"/>
      <c r="C123" s="1407"/>
      <c r="D123" s="1398"/>
      <c r="E123" s="1408"/>
      <c r="F123" s="1398"/>
      <c r="G123" s="1398"/>
      <c r="H123" s="1398"/>
      <c r="I123" s="1398"/>
      <c r="J123" s="1398"/>
      <c r="K123" s="1398"/>
      <c r="L123" s="1398"/>
      <c r="M123" s="1398"/>
      <c r="N123" s="1398"/>
      <c r="O123" s="1398"/>
      <c r="P123" s="1398"/>
      <c r="Q123" s="1398"/>
      <c r="R123" s="1398"/>
      <c r="S123" s="1398"/>
      <c r="T123" s="1398"/>
      <c r="U123" s="1398"/>
      <c r="V123" s="1398"/>
      <c r="W123" s="1398"/>
      <c r="X123" s="1398"/>
      <c r="Y123" s="1398"/>
      <c r="Z123" s="1418"/>
    </row>
    <row r="124" spans="1:26">
      <c r="A124" s="1398"/>
      <c r="B124" s="1398"/>
      <c r="C124" s="1407"/>
      <c r="D124" s="1398"/>
      <c r="E124" s="1408"/>
      <c r="F124" s="1398"/>
      <c r="G124" s="1398"/>
      <c r="H124" s="1398"/>
      <c r="I124" s="1398"/>
      <c r="J124" s="1398"/>
      <c r="K124" s="1398"/>
      <c r="L124" s="1398"/>
      <c r="M124" s="1398"/>
      <c r="N124" s="1398"/>
      <c r="O124" s="1398"/>
      <c r="P124" s="1398"/>
      <c r="Q124" s="1398"/>
      <c r="R124" s="1398"/>
      <c r="S124" s="1398"/>
      <c r="T124" s="1398"/>
      <c r="U124" s="1398"/>
      <c r="V124" s="1398"/>
      <c r="W124" s="1398"/>
      <c r="X124" s="1398"/>
      <c r="Y124" s="1398"/>
      <c r="Z124" s="1418"/>
    </row>
    <row r="125" spans="1:26">
      <c r="A125" s="1398"/>
      <c r="B125" s="1398"/>
      <c r="C125" s="1407"/>
      <c r="D125" s="1398"/>
      <c r="E125" s="1408"/>
      <c r="F125" s="1398"/>
      <c r="G125" s="1398"/>
      <c r="H125" s="1398"/>
      <c r="I125" s="1398"/>
      <c r="J125" s="1398"/>
      <c r="K125" s="1398"/>
      <c r="L125" s="1398"/>
      <c r="M125" s="1398"/>
      <c r="N125" s="1398"/>
      <c r="O125" s="1398"/>
      <c r="P125" s="1398"/>
      <c r="Q125" s="1398"/>
      <c r="R125" s="1398"/>
      <c r="S125" s="1398"/>
      <c r="T125" s="1398"/>
      <c r="U125" s="1398"/>
      <c r="V125" s="1398"/>
      <c r="W125" s="1398"/>
      <c r="X125" s="1398"/>
      <c r="Y125" s="1398"/>
      <c r="Z125" s="1418"/>
    </row>
    <row r="126" spans="1:26">
      <c r="A126" s="1398"/>
      <c r="B126" s="1398"/>
      <c r="C126" s="1407"/>
      <c r="D126" s="1398"/>
      <c r="E126" s="1408"/>
      <c r="F126" s="1398"/>
      <c r="G126" s="1398"/>
      <c r="H126" s="1398"/>
      <c r="I126" s="1398"/>
      <c r="J126" s="1398"/>
      <c r="K126" s="1398"/>
      <c r="L126" s="1398"/>
      <c r="M126" s="1398"/>
      <c r="N126" s="1398"/>
      <c r="O126" s="1398"/>
      <c r="P126" s="1398"/>
      <c r="Q126" s="1398"/>
      <c r="R126" s="1398"/>
      <c r="S126" s="1398"/>
      <c r="T126" s="1398"/>
      <c r="U126" s="1398"/>
      <c r="V126" s="1398"/>
      <c r="W126" s="1398"/>
      <c r="X126" s="1398"/>
      <c r="Y126" s="1398"/>
      <c r="Z126" s="1418"/>
    </row>
    <row r="127" spans="1:26">
      <c r="A127" s="1398"/>
      <c r="B127" s="1398"/>
      <c r="C127" s="1407"/>
      <c r="D127" s="1398"/>
      <c r="E127" s="1408"/>
      <c r="F127" s="1398"/>
      <c r="G127" s="1398"/>
      <c r="H127" s="1398"/>
      <c r="I127" s="1398"/>
      <c r="J127" s="1398"/>
      <c r="K127" s="1398"/>
      <c r="L127" s="1398"/>
      <c r="M127" s="1398"/>
      <c r="N127" s="1398"/>
      <c r="O127" s="1398"/>
      <c r="P127" s="1398"/>
      <c r="Q127" s="1398"/>
      <c r="R127" s="1398"/>
      <c r="S127" s="1398"/>
      <c r="T127" s="1398"/>
      <c r="U127" s="1398"/>
      <c r="V127" s="1398"/>
      <c r="W127" s="1398"/>
      <c r="X127" s="1398"/>
      <c r="Y127" s="1398"/>
      <c r="Z127" s="1418"/>
    </row>
    <row r="128" spans="1:26">
      <c r="A128" s="1398"/>
      <c r="B128" s="1398"/>
      <c r="C128" s="1407"/>
      <c r="D128" s="1398"/>
      <c r="E128" s="1408"/>
      <c r="F128" s="1398"/>
      <c r="G128" s="1398"/>
      <c r="H128" s="1398"/>
      <c r="I128" s="1398"/>
      <c r="J128" s="1398"/>
      <c r="K128" s="1398"/>
      <c r="L128" s="1398"/>
      <c r="M128" s="1398"/>
      <c r="N128" s="1398"/>
      <c r="O128" s="1398"/>
      <c r="P128" s="1398"/>
      <c r="Q128" s="1398"/>
      <c r="R128" s="1398"/>
      <c r="S128" s="1398"/>
      <c r="T128" s="1398"/>
      <c r="U128" s="1398"/>
      <c r="V128" s="1398"/>
      <c r="W128" s="1398"/>
      <c r="X128" s="1398"/>
      <c r="Y128" s="1398"/>
      <c r="Z128" s="1418"/>
    </row>
    <row r="129" spans="1:26">
      <c r="A129" s="1398"/>
      <c r="B129" s="1398"/>
      <c r="C129" s="1407"/>
      <c r="D129" s="1398"/>
      <c r="E129" s="1408"/>
      <c r="F129" s="1398"/>
      <c r="G129" s="1398"/>
      <c r="H129" s="1398"/>
      <c r="I129" s="1398"/>
      <c r="J129" s="1398"/>
      <c r="K129" s="1398"/>
      <c r="L129" s="1398"/>
      <c r="M129" s="1398"/>
      <c r="N129" s="1398"/>
      <c r="O129" s="1398"/>
      <c r="P129" s="1398"/>
      <c r="Q129" s="1398"/>
      <c r="R129" s="1398"/>
      <c r="S129" s="1398"/>
      <c r="T129" s="1398"/>
      <c r="U129" s="1398"/>
      <c r="V129" s="1398"/>
      <c r="W129" s="1398"/>
      <c r="X129" s="1398"/>
      <c r="Y129" s="1398"/>
      <c r="Z129" s="1418"/>
    </row>
    <row r="130" spans="1:26">
      <c r="A130" s="1398"/>
      <c r="B130" s="1398"/>
      <c r="C130" s="1407"/>
      <c r="D130" s="1398"/>
      <c r="E130" s="1408"/>
      <c r="F130" s="1398"/>
      <c r="G130" s="1398"/>
      <c r="H130" s="1398"/>
      <c r="I130" s="1398"/>
      <c r="J130" s="1398"/>
      <c r="K130" s="1398"/>
      <c r="L130" s="1398"/>
      <c r="M130" s="1398"/>
      <c r="N130" s="1398"/>
      <c r="O130" s="1398"/>
      <c r="P130" s="1398"/>
      <c r="Q130" s="1398"/>
      <c r="R130" s="1398"/>
      <c r="S130" s="1398"/>
      <c r="T130" s="1398"/>
      <c r="U130" s="1398"/>
      <c r="V130" s="1398"/>
      <c r="W130" s="1398"/>
      <c r="X130" s="1398"/>
      <c r="Y130" s="1398"/>
      <c r="Z130" s="1418"/>
    </row>
    <row r="131" spans="1:26">
      <c r="A131" s="1398"/>
      <c r="B131" s="1398"/>
      <c r="C131" s="1407"/>
      <c r="D131" s="1398"/>
      <c r="E131" s="1408"/>
      <c r="F131" s="1398"/>
      <c r="G131" s="1398"/>
      <c r="H131" s="1398"/>
      <c r="I131" s="1398"/>
      <c r="J131" s="1398"/>
      <c r="K131" s="1398"/>
      <c r="L131" s="1398"/>
      <c r="M131" s="1398"/>
      <c r="N131" s="1398"/>
      <c r="O131" s="1398"/>
      <c r="P131" s="1398"/>
      <c r="Q131" s="1398"/>
      <c r="R131" s="1398"/>
      <c r="S131" s="1398"/>
      <c r="T131" s="1398"/>
      <c r="U131" s="1398"/>
      <c r="V131" s="1398"/>
      <c r="W131" s="1398"/>
      <c r="X131" s="1398"/>
      <c r="Y131" s="1398"/>
      <c r="Z131" s="1418"/>
    </row>
    <row r="132" spans="1:26">
      <c r="A132" s="1398"/>
      <c r="B132" s="1398"/>
      <c r="C132" s="1407"/>
      <c r="D132" s="1398"/>
      <c r="E132" s="1408"/>
      <c r="F132" s="1398"/>
      <c r="G132" s="1398"/>
      <c r="H132" s="1398"/>
      <c r="I132" s="1398"/>
      <c r="J132" s="1398"/>
      <c r="K132" s="1398"/>
      <c r="L132" s="1398"/>
      <c r="M132" s="1398"/>
      <c r="N132" s="1398"/>
      <c r="O132" s="1398"/>
      <c r="P132" s="1398"/>
      <c r="Q132" s="1398"/>
      <c r="R132" s="1398"/>
      <c r="S132" s="1398"/>
      <c r="T132" s="1398"/>
      <c r="U132" s="1398"/>
      <c r="V132" s="1398"/>
      <c r="W132" s="1398"/>
      <c r="X132" s="1398"/>
      <c r="Y132" s="1398"/>
      <c r="Z132" s="1418"/>
    </row>
    <row r="133" spans="1:26">
      <c r="A133" s="1398"/>
      <c r="B133" s="1398"/>
      <c r="C133" s="1407"/>
      <c r="D133" s="1398"/>
      <c r="E133" s="1408"/>
      <c r="F133" s="1398"/>
      <c r="G133" s="1398"/>
      <c r="H133" s="1398"/>
      <c r="I133" s="1398"/>
      <c r="J133" s="1398"/>
      <c r="K133" s="1398"/>
      <c r="L133" s="1398"/>
      <c r="M133" s="1398"/>
      <c r="N133" s="1398"/>
      <c r="O133" s="1398"/>
      <c r="P133" s="1398"/>
      <c r="Q133" s="1398"/>
      <c r="R133" s="1398"/>
      <c r="S133" s="1398"/>
      <c r="T133" s="1398"/>
      <c r="U133" s="1398"/>
      <c r="V133" s="1398"/>
      <c r="W133" s="1398"/>
      <c r="X133" s="1398"/>
      <c r="Y133" s="1398"/>
      <c r="Z133" s="1418"/>
    </row>
    <row r="134" spans="1:26">
      <c r="A134" s="1398"/>
      <c r="B134" s="1398"/>
      <c r="C134" s="1407"/>
      <c r="D134" s="1398"/>
      <c r="E134" s="1408"/>
      <c r="F134" s="1398"/>
      <c r="G134" s="1398"/>
      <c r="H134" s="1398"/>
      <c r="I134" s="1398"/>
      <c r="J134" s="1398"/>
      <c r="K134" s="1398"/>
      <c r="L134" s="1398"/>
      <c r="M134" s="1398"/>
      <c r="N134" s="1398"/>
      <c r="O134" s="1398"/>
      <c r="P134" s="1398"/>
      <c r="Q134" s="1398"/>
      <c r="R134" s="1398"/>
      <c r="S134" s="1398"/>
      <c r="T134" s="1398"/>
      <c r="U134" s="1398"/>
      <c r="V134" s="1398"/>
      <c r="W134" s="1398"/>
      <c r="X134" s="1398"/>
      <c r="Y134" s="1398"/>
      <c r="Z134" s="1418"/>
    </row>
    <row r="135" spans="1:26">
      <c r="A135" s="1398"/>
      <c r="B135" s="1398"/>
      <c r="C135" s="1407"/>
      <c r="D135" s="1398"/>
      <c r="E135" s="1408"/>
      <c r="F135" s="1398"/>
      <c r="G135" s="1398"/>
      <c r="H135" s="1398"/>
      <c r="I135" s="1398"/>
      <c r="J135" s="1398"/>
      <c r="K135" s="1398"/>
      <c r="L135" s="1398"/>
      <c r="M135" s="1398"/>
      <c r="N135" s="1398"/>
      <c r="O135" s="1398"/>
      <c r="P135" s="1398"/>
      <c r="Q135" s="1398"/>
      <c r="R135" s="1398"/>
      <c r="S135" s="1398"/>
      <c r="T135" s="1398"/>
      <c r="U135" s="1398"/>
      <c r="V135" s="1398"/>
      <c r="W135" s="1398"/>
      <c r="X135" s="1398"/>
      <c r="Y135" s="1398"/>
      <c r="Z135" s="1418"/>
    </row>
    <row r="136" spans="1:26">
      <c r="A136" s="1398"/>
      <c r="B136" s="1398"/>
      <c r="C136" s="1407"/>
      <c r="D136" s="1398"/>
      <c r="E136" s="1408"/>
      <c r="F136" s="1398"/>
      <c r="G136" s="1398"/>
      <c r="H136" s="1398"/>
      <c r="I136" s="1398"/>
      <c r="J136" s="1398"/>
      <c r="K136" s="1398"/>
      <c r="L136" s="1398"/>
      <c r="M136" s="1398"/>
      <c r="N136" s="1398"/>
      <c r="O136" s="1398"/>
      <c r="P136" s="1398"/>
      <c r="Q136" s="1398"/>
      <c r="R136" s="1398"/>
      <c r="S136" s="1398"/>
      <c r="T136" s="1398"/>
      <c r="U136" s="1398"/>
      <c r="V136" s="1398"/>
      <c r="W136" s="1398"/>
      <c r="X136" s="1398"/>
      <c r="Y136" s="1398"/>
      <c r="Z136" s="1418"/>
    </row>
    <row r="137" spans="1:26">
      <c r="A137" s="1398"/>
      <c r="B137" s="1398"/>
      <c r="C137" s="1407"/>
      <c r="D137" s="1398"/>
      <c r="E137" s="1408"/>
      <c r="F137" s="1398"/>
      <c r="G137" s="1398"/>
      <c r="H137" s="1398"/>
      <c r="I137" s="1398"/>
      <c r="J137" s="1398"/>
      <c r="K137" s="1398"/>
      <c r="L137" s="1398"/>
      <c r="M137" s="1398"/>
      <c r="N137" s="1398"/>
      <c r="O137" s="1398"/>
      <c r="P137" s="1398"/>
      <c r="Q137" s="1398"/>
      <c r="R137" s="1398"/>
      <c r="S137" s="1398"/>
      <c r="T137" s="1398"/>
      <c r="U137" s="1398"/>
      <c r="V137" s="1398"/>
      <c r="W137" s="1398"/>
      <c r="X137" s="1398"/>
      <c r="Y137" s="1398"/>
      <c r="Z137" s="1418"/>
    </row>
    <row r="138" spans="1:26">
      <c r="A138" s="1398"/>
      <c r="B138" s="1398"/>
      <c r="C138" s="1407"/>
      <c r="D138" s="1398"/>
      <c r="E138" s="1408"/>
      <c r="F138" s="1398"/>
      <c r="G138" s="1398"/>
      <c r="H138" s="1398"/>
      <c r="I138" s="1398"/>
      <c r="J138" s="1398"/>
      <c r="K138" s="1398"/>
      <c r="L138" s="1398"/>
      <c r="M138" s="1398"/>
      <c r="N138" s="1398"/>
      <c r="O138" s="1398"/>
      <c r="P138" s="1398"/>
      <c r="Q138" s="1398"/>
      <c r="R138" s="1398"/>
      <c r="S138" s="1398"/>
      <c r="T138" s="1398"/>
      <c r="U138" s="1398"/>
      <c r="V138" s="1398"/>
      <c r="W138" s="1398"/>
      <c r="X138" s="1398"/>
      <c r="Y138" s="1398"/>
      <c r="Z138" s="1418"/>
    </row>
    <row r="139" spans="1:26">
      <c r="A139" s="1398"/>
      <c r="B139" s="1398"/>
      <c r="C139" s="1407"/>
      <c r="D139" s="1398"/>
      <c r="E139" s="1408"/>
      <c r="F139" s="1398"/>
      <c r="G139" s="1398"/>
      <c r="H139" s="1398"/>
      <c r="I139" s="1398"/>
      <c r="J139" s="1398"/>
      <c r="K139" s="1398"/>
      <c r="L139" s="1398"/>
      <c r="M139" s="1398"/>
      <c r="N139" s="1398"/>
      <c r="O139" s="1398"/>
      <c r="P139" s="1398"/>
      <c r="Q139" s="1398"/>
      <c r="R139" s="1398"/>
      <c r="S139" s="1398"/>
      <c r="T139" s="1398"/>
      <c r="U139" s="1398"/>
      <c r="V139" s="1398"/>
      <c r="W139" s="1398"/>
      <c r="X139" s="1398"/>
      <c r="Y139" s="1398"/>
      <c r="Z139" s="1418"/>
    </row>
    <row r="140" spans="1:26">
      <c r="A140" s="1398"/>
      <c r="B140" s="1398"/>
      <c r="C140" s="1407"/>
      <c r="D140" s="1398"/>
      <c r="E140" s="1408"/>
      <c r="F140" s="1398"/>
      <c r="G140" s="1398"/>
      <c r="H140" s="1398"/>
      <c r="I140" s="1398"/>
      <c r="J140" s="1398"/>
      <c r="K140" s="1398"/>
      <c r="L140" s="1398"/>
      <c r="M140" s="1398"/>
      <c r="N140" s="1398"/>
      <c r="O140" s="1398"/>
      <c r="P140" s="1398"/>
      <c r="Q140" s="1398"/>
      <c r="R140" s="1398"/>
      <c r="S140" s="1398"/>
      <c r="T140" s="1398"/>
      <c r="U140" s="1398"/>
      <c r="V140" s="1398"/>
      <c r="W140" s="1398"/>
      <c r="X140" s="1398"/>
      <c r="Y140" s="1398"/>
      <c r="Z140" s="1418"/>
    </row>
    <row r="141" spans="1:26">
      <c r="A141" s="1398"/>
      <c r="B141" s="1398"/>
      <c r="C141" s="1407"/>
      <c r="D141" s="1398"/>
      <c r="E141" s="1408"/>
      <c r="F141" s="1398"/>
      <c r="G141" s="1398"/>
      <c r="H141" s="1398"/>
      <c r="I141" s="1398"/>
      <c r="J141" s="1398"/>
      <c r="K141" s="1398"/>
      <c r="L141" s="1398"/>
      <c r="M141" s="1398"/>
      <c r="N141" s="1398"/>
      <c r="O141" s="1398"/>
      <c r="P141" s="1398"/>
      <c r="Q141" s="1398"/>
      <c r="R141" s="1398"/>
      <c r="S141" s="1398"/>
      <c r="T141" s="1398"/>
      <c r="U141" s="1398"/>
      <c r="V141" s="1398"/>
      <c r="W141" s="1398"/>
      <c r="X141" s="1398"/>
      <c r="Y141" s="1398"/>
      <c r="Z141" s="1418"/>
    </row>
    <row r="142" spans="1:26">
      <c r="A142" s="1398"/>
      <c r="B142" s="1398"/>
      <c r="C142" s="1407"/>
      <c r="D142" s="1398"/>
      <c r="E142" s="1408"/>
      <c r="F142" s="1398"/>
      <c r="G142" s="1398"/>
      <c r="H142" s="1398"/>
      <c r="I142" s="1398"/>
      <c r="J142" s="1398"/>
      <c r="K142" s="1398"/>
      <c r="L142" s="1398"/>
      <c r="M142" s="1398"/>
      <c r="N142" s="1398"/>
      <c r="O142" s="1398"/>
      <c r="P142" s="1398"/>
      <c r="Q142" s="1398"/>
      <c r="R142" s="1398"/>
      <c r="S142" s="1398"/>
      <c r="T142" s="1398"/>
      <c r="U142" s="1398"/>
      <c r="V142" s="1398"/>
      <c r="W142" s="1398"/>
      <c r="X142" s="1398"/>
      <c r="Y142" s="1398"/>
      <c r="Z142" s="1418"/>
    </row>
    <row r="143" spans="1:26">
      <c r="A143" s="1398"/>
      <c r="B143" s="1398"/>
      <c r="C143" s="1407"/>
      <c r="D143" s="1398"/>
      <c r="E143" s="1408"/>
      <c r="F143" s="1398"/>
      <c r="G143" s="1398"/>
      <c r="H143" s="1398"/>
      <c r="I143" s="1398"/>
      <c r="J143" s="1398"/>
      <c r="K143" s="1398"/>
      <c r="L143" s="1398"/>
      <c r="M143" s="1398"/>
      <c r="N143" s="1398"/>
      <c r="O143" s="1398"/>
      <c r="P143" s="1398"/>
      <c r="Q143" s="1398"/>
      <c r="R143" s="1398"/>
      <c r="S143" s="1398"/>
      <c r="T143" s="1398"/>
      <c r="U143" s="1398"/>
      <c r="V143" s="1398"/>
      <c r="W143" s="1398"/>
      <c r="X143" s="1398"/>
      <c r="Y143" s="1398"/>
      <c r="Z143" s="1418"/>
    </row>
    <row r="144" spans="1:26">
      <c r="A144" s="1398"/>
      <c r="B144" s="1398"/>
      <c r="C144" s="1407"/>
      <c r="D144" s="1398"/>
      <c r="E144" s="1408"/>
      <c r="F144" s="1398"/>
      <c r="G144" s="1398"/>
      <c r="H144" s="1398"/>
      <c r="I144" s="1398"/>
      <c r="J144" s="1398"/>
      <c r="K144" s="1398"/>
      <c r="L144" s="1398"/>
      <c r="M144" s="1398"/>
      <c r="N144" s="1398"/>
      <c r="O144" s="1398"/>
      <c r="P144" s="1398"/>
      <c r="Q144" s="1398"/>
      <c r="R144" s="1398"/>
      <c r="S144" s="1398"/>
      <c r="T144" s="1398"/>
      <c r="U144" s="1398"/>
      <c r="V144" s="1398"/>
      <c r="W144" s="1398"/>
      <c r="X144" s="1398"/>
      <c r="Y144" s="1398"/>
      <c r="Z144" s="1418"/>
    </row>
    <row r="145" spans="1:26">
      <c r="A145" s="1398"/>
      <c r="B145" s="1398"/>
      <c r="C145" s="1407"/>
      <c r="D145" s="1398"/>
      <c r="E145" s="1408"/>
      <c r="F145" s="1398"/>
      <c r="G145" s="1398"/>
      <c r="H145" s="1398"/>
      <c r="I145" s="1398"/>
      <c r="J145" s="1398"/>
      <c r="K145" s="1398"/>
      <c r="L145" s="1398"/>
      <c r="M145" s="1398"/>
      <c r="N145" s="1398"/>
      <c r="O145" s="1398"/>
      <c r="P145" s="1398"/>
      <c r="Q145" s="1398"/>
      <c r="R145" s="1398"/>
      <c r="S145" s="1398"/>
      <c r="T145" s="1398"/>
      <c r="U145" s="1398"/>
      <c r="V145" s="1398"/>
      <c r="W145" s="1398"/>
      <c r="X145" s="1398"/>
      <c r="Y145" s="1398"/>
      <c r="Z145" s="1418"/>
    </row>
    <row r="146" spans="1:26">
      <c r="A146" s="1398"/>
      <c r="B146" s="1398"/>
      <c r="C146" s="1407"/>
      <c r="D146" s="1398"/>
      <c r="E146" s="1408"/>
      <c r="F146" s="1398"/>
      <c r="G146" s="1398"/>
      <c r="H146" s="1398"/>
      <c r="I146" s="1398"/>
      <c r="J146" s="1398"/>
      <c r="K146" s="1398"/>
      <c r="L146" s="1398"/>
      <c r="M146" s="1398"/>
      <c r="N146" s="1398"/>
      <c r="O146" s="1398"/>
      <c r="P146" s="1398"/>
      <c r="Q146" s="1398"/>
      <c r="R146" s="1398"/>
      <c r="S146" s="1398"/>
      <c r="T146" s="1398"/>
      <c r="U146" s="1398"/>
      <c r="V146" s="1398"/>
      <c r="W146" s="1398"/>
      <c r="X146" s="1398"/>
      <c r="Y146" s="1398"/>
      <c r="Z146" s="1418"/>
    </row>
    <row r="147" spans="1:26">
      <c r="A147" s="1398"/>
      <c r="B147" s="1398"/>
      <c r="C147" s="1407"/>
      <c r="D147" s="1398"/>
      <c r="E147" s="1408"/>
      <c r="F147" s="1398"/>
      <c r="G147" s="1398"/>
      <c r="H147" s="1398"/>
      <c r="I147" s="1398"/>
      <c r="J147" s="1398"/>
      <c r="K147" s="1398"/>
      <c r="L147" s="1398"/>
      <c r="M147" s="1398"/>
      <c r="N147" s="1398"/>
      <c r="O147" s="1398"/>
      <c r="P147" s="1398"/>
      <c r="Q147" s="1398"/>
      <c r="R147" s="1398"/>
      <c r="S147" s="1398"/>
      <c r="T147" s="1398"/>
      <c r="U147" s="1398"/>
      <c r="V147" s="1398"/>
      <c r="W147" s="1398"/>
      <c r="X147" s="1398"/>
      <c r="Y147" s="1398"/>
      <c r="Z147" s="1418"/>
    </row>
    <row r="148" spans="1:26">
      <c r="A148" s="1398"/>
      <c r="B148" s="1398"/>
      <c r="C148" s="1407"/>
      <c r="D148" s="1398"/>
      <c r="E148" s="1408"/>
      <c r="F148" s="1398"/>
      <c r="G148" s="1398"/>
      <c r="H148" s="1398"/>
      <c r="I148" s="1398"/>
      <c r="J148" s="1398"/>
      <c r="K148" s="1398"/>
      <c r="L148" s="1398"/>
      <c r="M148" s="1398"/>
      <c r="N148" s="1398"/>
      <c r="O148" s="1398"/>
      <c r="P148" s="1398"/>
      <c r="Q148" s="1398"/>
      <c r="R148" s="1398"/>
      <c r="S148" s="1398"/>
      <c r="T148" s="1398"/>
      <c r="U148" s="1398"/>
      <c r="V148" s="1398"/>
      <c r="W148" s="1398"/>
      <c r="X148" s="1398"/>
      <c r="Y148" s="1398"/>
      <c r="Z148" s="1418"/>
    </row>
    <row r="149" spans="1:26">
      <c r="A149" s="1398"/>
      <c r="B149" s="1398"/>
      <c r="C149" s="1407"/>
      <c r="D149" s="1398"/>
      <c r="E149" s="1408"/>
      <c r="F149" s="1398"/>
      <c r="G149" s="1398"/>
      <c r="H149" s="1398"/>
      <c r="I149" s="1398"/>
      <c r="J149" s="1398"/>
      <c r="K149" s="1398"/>
      <c r="L149" s="1398"/>
      <c r="M149" s="1398"/>
      <c r="N149" s="1398"/>
      <c r="O149" s="1398"/>
      <c r="P149" s="1398"/>
      <c r="Q149" s="1398"/>
      <c r="R149" s="1398"/>
      <c r="S149" s="1398"/>
      <c r="T149" s="1398"/>
      <c r="U149" s="1398"/>
      <c r="V149" s="1398"/>
      <c r="W149" s="1398"/>
      <c r="X149" s="1398"/>
      <c r="Y149" s="1398"/>
      <c r="Z149" s="1418"/>
    </row>
    <row r="150" spans="1:26">
      <c r="A150" s="1398"/>
      <c r="B150" s="1398"/>
      <c r="C150" s="1407"/>
      <c r="D150" s="1398"/>
      <c r="E150" s="1408"/>
      <c r="F150" s="1398"/>
      <c r="G150" s="1398"/>
      <c r="H150" s="1398"/>
      <c r="I150" s="1398"/>
      <c r="J150" s="1398"/>
      <c r="K150" s="1398"/>
      <c r="L150" s="1398"/>
      <c r="M150" s="1398"/>
      <c r="N150" s="1398"/>
      <c r="O150" s="1398"/>
      <c r="P150" s="1398"/>
      <c r="Q150" s="1398"/>
      <c r="R150" s="1398"/>
      <c r="S150" s="1398"/>
      <c r="T150" s="1398"/>
      <c r="U150" s="1398"/>
      <c r="V150" s="1398"/>
      <c r="W150" s="1398"/>
      <c r="X150" s="1398"/>
      <c r="Y150" s="1398"/>
      <c r="Z150" s="1418"/>
    </row>
    <row r="151" spans="1:26">
      <c r="A151" s="1398"/>
      <c r="B151" s="1398"/>
      <c r="C151" s="1407"/>
      <c r="D151" s="1398"/>
      <c r="E151" s="1408"/>
      <c r="F151" s="1398"/>
      <c r="G151" s="1398"/>
      <c r="H151" s="1398"/>
      <c r="I151" s="1398"/>
      <c r="J151" s="1398"/>
      <c r="K151" s="1398"/>
      <c r="L151" s="1398"/>
      <c r="M151" s="1398"/>
      <c r="N151" s="1398"/>
      <c r="O151" s="1398"/>
      <c r="P151" s="1398"/>
      <c r="Q151" s="1398"/>
      <c r="R151" s="1398"/>
      <c r="S151" s="1398"/>
      <c r="T151" s="1398"/>
      <c r="U151" s="1398"/>
      <c r="V151" s="1398"/>
      <c r="W151" s="1398"/>
      <c r="X151" s="1398"/>
      <c r="Y151" s="1398"/>
      <c r="Z151" s="1418"/>
    </row>
    <row r="152" spans="1:26">
      <c r="A152" s="1419"/>
      <c r="B152" s="321"/>
      <c r="C152" s="1026"/>
      <c r="D152" s="321"/>
      <c r="E152" s="322"/>
      <c r="F152" s="321"/>
      <c r="G152" s="321"/>
      <c r="H152" s="321"/>
      <c r="I152" s="321"/>
      <c r="J152" s="321"/>
      <c r="K152" s="321"/>
      <c r="L152" s="321"/>
      <c r="M152" s="321"/>
      <c r="N152" s="321"/>
      <c r="O152" s="321"/>
      <c r="P152" s="321"/>
      <c r="Q152" s="321"/>
      <c r="R152" s="321"/>
      <c r="S152" s="321"/>
      <c r="T152" s="321"/>
      <c r="U152" s="321"/>
      <c r="V152" s="321"/>
      <c r="W152" s="321"/>
      <c r="X152" s="321"/>
      <c r="Y152" s="321"/>
      <c r="Z152" s="701"/>
    </row>
  </sheetData>
  <sheetProtection sheet="1" objects="1" scenarios="1"/>
  <mergeCells count="104">
    <mergeCell ref="B109:C109"/>
    <mergeCell ref="B108:C108"/>
    <mergeCell ref="B107:C107"/>
    <mergeCell ref="B106:C106"/>
    <mergeCell ref="H36:H37"/>
    <mergeCell ref="G36:G37"/>
    <mergeCell ref="B12:B13"/>
    <mergeCell ref="B24:B25"/>
    <mergeCell ref="B26:B31"/>
    <mergeCell ref="B80:B82"/>
    <mergeCell ref="B95:C95"/>
    <mergeCell ref="B94:C94"/>
    <mergeCell ref="B93:C93"/>
    <mergeCell ref="B100:C100"/>
    <mergeCell ref="B99:C99"/>
    <mergeCell ref="B98:C98"/>
    <mergeCell ref="B97:C97"/>
    <mergeCell ref="B96:C96"/>
    <mergeCell ref="B105:C105"/>
    <mergeCell ref="B104:C104"/>
    <mergeCell ref="B103:C103"/>
    <mergeCell ref="B102:C102"/>
    <mergeCell ref="B101:C101"/>
    <mergeCell ref="B1:C3"/>
    <mergeCell ref="R36:R37"/>
    <mergeCell ref="B77:B79"/>
    <mergeCell ref="Q64:Q65"/>
    <mergeCell ref="R64:R65"/>
    <mergeCell ref="B50:B59"/>
    <mergeCell ref="M64:M65"/>
    <mergeCell ref="N64:N65"/>
    <mergeCell ref="O64:O65"/>
    <mergeCell ref="B72:B76"/>
    <mergeCell ref="B70:B71"/>
    <mergeCell ref="M9:M10"/>
    <mergeCell ref="L9:L10"/>
    <mergeCell ref="K9:K10"/>
    <mergeCell ref="J64:J65"/>
    <mergeCell ref="K64:K65"/>
    <mergeCell ref="L64:L65"/>
    <mergeCell ref="A62:Y62"/>
    <mergeCell ref="B64:C64"/>
    <mergeCell ref="D64:D65"/>
    <mergeCell ref="E64:E65"/>
    <mergeCell ref="F64:F65"/>
    <mergeCell ref="G64:G65"/>
    <mergeCell ref="D5:H5"/>
    <mergeCell ref="B5:C5"/>
    <mergeCell ref="E9:E10"/>
    <mergeCell ref="D9:D10"/>
    <mergeCell ref="B9:C9"/>
    <mergeCell ref="N36:N37"/>
    <mergeCell ref="O36:O37"/>
    <mergeCell ref="B14:B23"/>
    <mergeCell ref="A34:Y34"/>
    <mergeCell ref="I36:I37"/>
    <mergeCell ref="J36:J37"/>
    <mergeCell ref="K36:K37"/>
    <mergeCell ref="L36:L37"/>
    <mergeCell ref="M36:M37"/>
    <mergeCell ref="X9:X10"/>
    <mergeCell ref="W9:W10"/>
    <mergeCell ref="V9:V10"/>
    <mergeCell ref="U9:U10"/>
    <mergeCell ref="F9:F10"/>
    <mergeCell ref="T9:T10"/>
    <mergeCell ref="J9:J10"/>
    <mergeCell ref="P9:P10"/>
    <mergeCell ref="T36:T37"/>
    <mergeCell ref="U36:U37"/>
    <mergeCell ref="V36:V37"/>
    <mergeCell ref="W36:W37"/>
    <mergeCell ref="S36:S37"/>
    <mergeCell ref="Q36:Q37"/>
    <mergeCell ref="W64:W65"/>
    <mergeCell ref="A114:Y114"/>
    <mergeCell ref="B40:B42"/>
    <mergeCell ref="B43:B47"/>
    <mergeCell ref="B48:B49"/>
    <mergeCell ref="V64:V65"/>
    <mergeCell ref="P64:P65"/>
    <mergeCell ref="B36:C36"/>
    <mergeCell ref="D36:D37"/>
    <mergeCell ref="E36:E37"/>
    <mergeCell ref="F36:F37"/>
    <mergeCell ref="B83:B84"/>
    <mergeCell ref="X64:X65"/>
    <mergeCell ref="S64:S65"/>
    <mergeCell ref="T64:T65"/>
    <mergeCell ref="U64:U65"/>
    <mergeCell ref="X36:X37"/>
    <mergeCell ref="H64:H65"/>
    <mergeCell ref="I64:I65"/>
    <mergeCell ref="B66:B69"/>
    <mergeCell ref="B110:C110"/>
    <mergeCell ref="O9:O10"/>
    <mergeCell ref="S9:S10"/>
    <mergeCell ref="R9:R10"/>
    <mergeCell ref="Q9:Q10"/>
    <mergeCell ref="N9:N10"/>
    <mergeCell ref="I9:I10"/>
    <mergeCell ref="H9:H10"/>
    <mergeCell ref="G9:G10"/>
    <mergeCell ref="P36:P37"/>
  </mergeCells>
  <conditionalFormatting sqref="D11:V11">
    <cfRule type="colorScale" priority="3323">
      <colorScale>
        <cfvo type="min"/>
        <cfvo type="max"/>
        <color rgb="FFECF2FA"/>
        <color theme="4" tint="0.39997558519241921"/>
      </colorScale>
    </cfRule>
  </conditionalFormatting>
  <conditionalFormatting sqref="D11:V31 D38:V59 D66:V84">
    <cfRule type="expression" dxfId="634" priority="74">
      <formula>D$9=$D$5</formula>
    </cfRule>
  </conditionalFormatting>
  <conditionalFormatting sqref="D12:V12">
    <cfRule type="colorScale" priority="5443">
      <colorScale>
        <cfvo type="min"/>
        <cfvo type="max"/>
        <color rgb="FFECF2FA"/>
        <color theme="4" tint="0.39997558519241921"/>
      </colorScale>
    </cfRule>
  </conditionalFormatting>
  <conditionalFormatting sqref="D13:V13">
    <cfRule type="colorScale" priority="3327">
      <colorScale>
        <cfvo type="min"/>
        <cfvo type="max"/>
        <color rgb="FFECF2FA"/>
        <color theme="4" tint="0.39997558519241921"/>
      </colorScale>
    </cfRule>
  </conditionalFormatting>
  <conditionalFormatting sqref="D14:V14">
    <cfRule type="colorScale" priority="3329">
      <colorScale>
        <cfvo type="min"/>
        <cfvo type="max"/>
        <color rgb="FFECF2FA"/>
        <color theme="4" tint="0.39997558519241921"/>
      </colorScale>
    </cfRule>
  </conditionalFormatting>
  <conditionalFormatting sqref="D15:V15">
    <cfRule type="colorScale" priority="3331">
      <colorScale>
        <cfvo type="min"/>
        <cfvo type="max"/>
        <color rgb="FFECF2FA"/>
        <color theme="4" tint="0.39997558519241921"/>
      </colorScale>
    </cfRule>
  </conditionalFormatting>
  <conditionalFormatting sqref="D16:V16">
    <cfRule type="colorScale" priority="3333">
      <colorScale>
        <cfvo type="min"/>
        <cfvo type="max"/>
        <color rgb="FFECF2FA"/>
        <color theme="4" tint="0.39997558519241921"/>
      </colorScale>
    </cfRule>
  </conditionalFormatting>
  <conditionalFormatting sqref="D17:V17">
    <cfRule type="colorScale" priority="3335">
      <colorScale>
        <cfvo type="min"/>
        <cfvo type="max"/>
        <color rgb="FFECF2FA"/>
        <color theme="4" tint="0.39997558519241921"/>
      </colorScale>
    </cfRule>
  </conditionalFormatting>
  <conditionalFormatting sqref="D18:V18">
    <cfRule type="colorScale" priority="3337">
      <colorScale>
        <cfvo type="min"/>
        <cfvo type="max"/>
        <color rgb="FFECF2FA"/>
        <color theme="4" tint="0.39997558519241921"/>
      </colorScale>
    </cfRule>
  </conditionalFormatting>
  <conditionalFormatting sqref="D19:V19">
    <cfRule type="colorScale" priority="3339">
      <colorScale>
        <cfvo type="min"/>
        <cfvo type="max"/>
        <color rgb="FFECF2FA"/>
        <color theme="4" tint="0.39997558519241921"/>
      </colorScale>
    </cfRule>
  </conditionalFormatting>
  <conditionalFormatting sqref="D20:V20">
    <cfRule type="colorScale" priority="3341">
      <colorScale>
        <cfvo type="min"/>
        <cfvo type="max"/>
        <color rgb="FFECF2FA"/>
        <color theme="4" tint="0.39997558519241921"/>
      </colorScale>
    </cfRule>
  </conditionalFormatting>
  <conditionalFormatting sqref="D21:V21">
    <cfRule type="colorScale" priority="3343">
      <colorScale>
        <cfvo type="min"/>
        <cfvo type="max"/>
        <color rgb="FFECF2FA"/>
        <color theme="4" tint="0.39997558519241921"/>
      </colorScale>
    </cfRule>
  </conditionalFormatting>
  <conditionalFormatting sqref="D22:V22">
    <cfRule type="colorScale" priority="3345">
      <colorScale>
        <cfvo type="min"/>
        <cfvo type="max"/>
        <color rgb="FFECF2FA"/>
        <color theme="4" tint="0.39997558519241921"/>
      </colorScale>
    </cfRule>
  </conditionalFormatting>
  <conditionalFormatting sqref="D23:V23">
    <cfRule type="colorScale" priority="3347">
      <colorScale>
        <cfvo type="min"/>
        <cfvo type="max"/>
        <color rgb="FFECF2FA"/>
        <color theme="4" tint="0.39997558519241921"/>
      </colorScale>
    </cfRule>
  </conditionalFormatting>
  <conditionalFormatting sqref="D24:V24">
    <cfRule type="colorScale" priority="3349">
      <colorScale>
        <cfvo type="min"/>
        <cfvo type="max"/>
        <color rgb="FFECF2FA"/>
        <color theme="4" tint="0.39997558519241921"/>
      </colorScale>
    </cfRule>
  </conditionalFormatting>
  <conditionalFormatting sqref="D25:V25">
    <cfRule type="colorScale" priority="3351">
      <colorScale>
        <cfvo type="min"/>
        <cfvo type="max"/>
        <color rgb="FFECF2FA"/>
        <color theme="4" tint="0.39997558519241921"/>
      </colorScale>
    </cfRule>
  </conditionalFormatting>
  <conditionalFormatting sqref="D26:V26">
    <cfRule type="colorScale" priority="3353">
      <colorScale>
        <cfvo type="min"/>
        <cfvo type="max"/>
        <color rgb="FFECF2FA"/>
        <color theme="4" tint="0.39997558519241921"/>
      </colorScale>
    </cfRule>
  </conditionalFormatting>
  <conditionalFormatting sqref="D27:V27">
    <cfRule type="colorScale" priority="3391">
      <colorScale>
        <cfvo type="min"/>
        <cfvo type="max"/>
        <color rgb="FFECF2FA"/>
        <color theme="4" tint="0.39997558519241921"/>
      </colorScale>
    </cfRule>
  </conditionalFormatting>
  <conditionalFormatting sqref="D28:V28">
    <cfRule type="colorScale" priority="3399">
      <colorScale>
        <cfvo type="min"/>
        <cfvo type="max"/>
        <color rgb="FFECF2FA"/>
        <color theme="4" tint="0.39997558519241921"/>
      </colorScale>
    </cfRule>
  </conditionalFormatting>
  <conditionalFormatting sqref="D29:V29">
    <cfRule type="colorScale" priority="3397">
      <colorScale>
        <cfvo type="min"/>
        <cfvo type="max"/>
        <color rgb="FFECF2FA"/>
        <color theme="4" tint="0.39997558519241921"/>
      </colorScale>
    </cfRule>
  </conditionalFormatting>
  <conditionalFormatting sqref="D30:V30">
    <cfRule type="colorScale" priority="3395">
      <colorScale>
        <cfvo type="min"/>
        <cfvo type="max"/>
        <color rgb="FFECF2FA"/>
        <color theme="4" tint="0.39997558519241921"/>
      </colorScale>
    </cfRule>
  </conditionalFormatting>
  <conditionalFormatting sqref="D31:V31">
    <cfRule type="colorScale" priority="3401">
      <colorScale>
        <cfvo type="min"/>
        <cfvo type="max"/>
        <color rgb="FFECF2FA"/>
        <color theme="4" tint="0.39997558519241921"/>
      </colorScale>
    </cfRule>
  </conditionalFormatting>
  <conditionalFormatting sqref="D35:V35">
    <cfRule type="colorScale" priority="3435">
      <colorScale>
        <cfvo type="min"/>
        <cfvo type="max"/>
        <color theme="4" tint="0.79998168889431442"/>
        <color theme="4" tint="0.39997558519241921"/>
      </colorScale>
    </cfRule>
  </conditionalFormatting>
  <conditionalFormatting sqref="D38:V38">
    <cfRule type="colorScale" priority="3393">
      <colorScale>
        <cfvo type="min"/>
        <cfvo type="max"/>
        <color rgb="FFECF2FA"/>
        <color theme="4" tint="0.39997558519241921"/>
      </colorScale>
    </cfRule>
  </conditionalFormatting>
  <conditionalFormatting sqref="D39:V39">
    <cfRule type="colorScale" priority="3403">
      <colorScale>
        <cfvo type="min"/>
        <cfvo type="max"/>
        <color rgb="FFECF2FA"/>
        <color theme="4" tint="0.39997558519241921"/>
      </colorScale>
    </cfRule>
  </conditionalFormatting>
  <conditionalFormatting sqref="D40:V40">
    <cfRule type="colorScale" priority="3405">
      <colorScale>
        <cfvo type="min"/>
        <cfvo type="max"/>
        <color rgb="FFECF2FA"/>
        <color theme="4" tint="0.39997558519241921"/>
      </colorScale>
    </cfRule>
  </conditionalFormatting>
  <conditionalFormatting sqref="D41:V41">
    <cfRule type="colorScale" priority="3425">
      <colorScale>
        <cfvo type="min"/>
        <cfvo type="max"/>
        <color rgb="FFECF2FA"/>
        <color theme="4" tint="0.39997558519241921"/>
      </colorScale>
    </cfRule>
  </conditionalFormatting>
  <conditionalFormatting sqref="D42:V42">
    <cfRule type="colorScale" priority="3421">
      <colorScale>
        <cfvo type="min"/>
        <cfvo type="max"/>
        <color rgb="FFECF2FA"/>
        <color theme="4" tint="0.39997558519241921"/>
      </colorScale>
    </cfRule>
  </conditionalFormatting>
  <conditionalFormatting sqref="D43:V43">
    <cfRule type="colorScale" priority="3423">
      <colorScale>
        <cfvo type="min"/>
        <cfvo type="max"/>
        <color rgb="FFECF2FA"/>
        <color theme="4" tint="0.39997558519241921"/>
      </colorScale>
    </cfRule>
  </conditionalFormatting>
  <conditionalFormatting sqref="D44:V44">
    <cfRule type="colorScale" priority="3431">
      <colorScale>
        <cfvo type="min"/>
        <cfvo type="max"/>
        <color rgb="FFECF2FA"/>
        <color theme="4" tint="0.39997558519241921"/>
      </colorScale>
    </cfRule>
  </conditionalFormatting>
  <conditionalFormatting sqref="D45:V45">
    <cfRule type="colorScale" priority="3427">
      <colorScale>
        <cfvo type="min"/>
        <cfvo type="max"/>
        <color rgb="FFECF2FA"/>
        <color theme="4" tint="0.39997558519241921"/>
      </colorScale>
    </cfRule>
  </conditionalFormatting>
  <conditionalFormatting sqref="D46:V46">
    <cfRule type="colorScale" priority="3419">
      <colorScale>
        <cfvo type="min"/>
        <cfvo type="max"/>
        <color rgb="FFECF2FA"/>
        <color theme="4" tint="0.39997558519241921"/>
      </colorScale>
    </cfRule>
  </conditionalFormatting>
  <conditionalFormatting sqref="D47:V47">
    <cfRule type="colorScale" priority="3429">
      <colorScale>
        <cfvo type="min"/>
        <cfvo type="max"/>
        <color rgb="FFECF2FA"/>
        <color theme="4" tint="0.39997558519241921"/>
      </colorScale>
    </cfRule>
  </conditionalFormatting>
  <conditionalFormatting sqref="D48:V48">
    <cfRule type="colorScale" priority="3417">
      <colorScale>
        <cfvo type="min"/>
        <cfvo type="max"/>
        <color rgb="FFECF2FA"/>
        <color theme="4" tint="0.39997558519241921"/>
      </colorScale>
    </cfRule>
  </conditionalFormatting>
  <conditionalFormatting sqref="D49:V49">
    <cfRule type="colorScale" priority="3355">
      <colorScale>
        <cfvo type="min"/>
        <cfvo type="max"/>
        <color rgb="FFECF2FA"/>
        <color theme="4" tint="0.39997558519241921"/>
      </colorScale>
    </cfRule>
  </conditionalFormatting>
  <conditionalFormatting sqref="D50:V50">
    <cfRule type="colorScale" priority="3415">
      <colorScale>
        <cfvo type="min"/>
        <cfvo type="max"/>
        <color rgb="FFECF2FA"/>
        <color theme="4" tint="0.39997558519241921"/>
      </colorScale>
    </cfRule>
  </conditionalFormatting>
  <conditionalFormatting sqref="D51:V51">
    <cfRule type="colorScale" priority="3413">
      <colorScale>
        <cfvo type="min"/>
        <cfvo type="max"/>
        <color rgb="FFECF2FA"/>
        <color theme="4" tint="0.39997558519241921"/>
      </colorScale>
    </cfRule>
  </conditionalFormatting>
  <conditionalFormatting sqref="D52:V52">
    <cfRule type="colorScale" priority="3411">
      <colorScale>
        <cfvo type="min"/>
        <cfvo type="max"/>
        <color rgb="FFECF2FA"/>
        <color theme="4" tint="0.39997558519241921"/>
      </colorScale>
    </cfRule>
  </conditionalFormatting>
  <conditionalFormatting sqref="D53:V53">
    <cfRule type="colorScale" priority="3409">
      <colorScale>
        <cfvo type="min"/>
        <cfvo type="max"/>
        <color rgb="FFECF2FA"/>
        <color theme="4" tint="0.39997558519241921"/>
      </colorScale>
    </cfRule>
  </conditionalFormatting>
  <conditionalFormatting sqref="D54:V54">
    <cfRule type="colorScale" priority="3407">
      <colorScale>
        <cfvo type="min"/>
        <cfvo type="max"/>
        <color rgb="FFECF2FA"/>
        <color theme="4" tint="0.39997558519241921"/>
      </colorScale>
    </cfRule>
  </conditionalFormatting>
  <conditionalFormatting sqref="D55:V59">
    <cfRule type="colorScale" priority="3313">
      <colorScale>
        <cfvo type="min"/>
        <cfvo type="max"/>
        <color theme="4" tint="0.79998168889431442"/>
        <color theme="4" tint="0.39997558519241921"/>
      </colorScale>
    </cfRule>
  </conditionalFormatting>
  <conditionalFormatting sqref="D56:V56">
    <cfRule type="colorScale" priority="3315">
      <colorScale>
        <cfvo type="min"/>
        <cfvo type="max"/>
        <color theme="4" tint="0.79998168889431442"/>
        <color theme="4" tint="0.39997558519241921"/>
      </colorScale>
    </cfRule>
  </conditionalFormatting>
  <conditionalFormatting sqref="D57:V57">
    <cfRule type="colorScale" priority="3317">
      <colorScale>
        <cfvo type="min"/>
        <cfvo type="max"/>
        <color theme="4" tint="0.79998168889431442"/>
        <color theme="4" tint="0.39997558519241921"/>
      </colorScale>
    </cfRule>
  </conditionalFormatting>
  <conditionalFormatting sqref="D58:V58">
    <cfRule type="colorScale" priority="3319">
      <colorScale>
        <cfvo type="min"/>
        <cfvo type="max"/>
        <color theme="4" tint="0.79998168889431442"/>
        <color theme="4" tint="0.39997558519241921"/>
      </colorScale>
    </cfRule>
  </conditionalFormatting>
  <conditionalFormatting sqref="D59:V59">
    <cfRule type="colorScale" priority="3321">
      <colorScale>
        <cfvo type="min"/>
        <cfvo type="max"/>
        <color theme="4" tint="0.79998168889431442"/>
        <color theme="4" tint="0.39997558519241921"/>
      </colorScale>
    </cfRule>
  </conditionalFormatting>
  <conditionalFormatting sqref="D66:V66">
    <cfRule type="colorScale" priority="3389">
      <colorScale>
        <cfvo type="min"/>
        <cfvo type="max"/>
        <color rgb="FFECF2FA"/>
        <color theme="4" tint="0.39997558519241921"/>
      </colorScale>
    </cfRule>
  </conditionalFormatting>
  <conditionalFormatting sqref="D67:V67">
    <cfRule type="colorScale" priority="3387">
      <colorScale>
        <cfvo type="min"/>
        <cfvo type="max"/>
        <color rgb="FFECF2FA"/>
        <color theme="4" tint="0.39997558519241921"/>
      </colorScale>
    </cfRule>
  </conditionalFormatting>
  <conditionalFormatting sqref="D68:V68">
    <cfRule type="colorScale" priority="3385">
      <colorScale>
        <cfvo type="min"/>
        <cfvo type="max"/>
        <color rgb="FFECF2FA"/>
        <color theme="4" tint="0.39997558519241921"/>
      </colorScale>
    </cfRule>
  </conditionalFormatting>
  <conditionalFormatting sqref="D69:V69">
    <cfRule type="colorScale" priority="3383">
      <colorScale>
        <cfvo type="min"/>
        <cfvo type="max"/>
        <color rgb="FFECF2FA"/>
        <color theme="4" tint="0.39997558519241921"/>
      </colorScale>
    </cfRule>
  </conditionalFormatting>
  <conditionalFormatting sqref="D70:V70">
    <cfRule type="colorScale" priority="3365">
      <colorScale>
        <cfvo type="min"/>
        <cfvo type="max"/>
        <color rgb="FFECF2FA"/>
        <color theme="4" tint="0.39997558519241921"/>
      </colorScale>
    </cfRule>
  </conditionalFormatting>
  <conditionalFormatting sqref="D71:V71">
    <cfRule type="colorScale" priority="3367">
      <colorScale>
        <cfvo type="min"/>
        <cfvo type="max"/>
        <color rgb="FFECF2FA"/>
        <color theme="4" tint="0.39997558519241921"/>
      </colorScale>
    </cfRule>
  </conditionalFormatting>
  <conditionalFormatting sqref="D72:V72">
    <cfRule type="colorScale" priority="3381">
      <colorScale>
        <cfvo type="min"/>
        <cfvo type="max"/>
        <color rgb="FFECF2FA"/>
        <color theme="4" tint="0.39997558519241921"/>
      </colorScale>
    </cfRule>
  </conditionalFormatting>
  <conditionalFormatting sqref="D73:V73">
    <cfRule type="colorScale" priority="3379">
      <colorScale>
        <cfvo type="min"/>
        <cfvo type="max"/>
        <color rgb="FFECF2FA"/>
        <color theme="4" tint="0.39997558519241921"/>
      </colorScale>
    </cfRule>
  </conditionalFormatting>
  <conditionalFormatting sqref="D74:V74">
    <cfRule type="colorScale" priority="3377">
      <colorScale>
        <cfvo type="min"/>
        <cfvo type="max"/>
        <color rgb="FFECF2FA"/>
        <color theme="4" tint="0.39997558519241921"/>
      </colorScale>
    </cfRule>
  </conditionalFormatting>
  <conditionalFormatting sqref="D75:V75">
    <cfRule type="colorScale" priority="3375">
      <colorScale>
        <cfvo type="min"/>
        <cfvo type="max"/>
        <color rgb="FFECF2FA"/>
        <color theme="4" tint="0.39997558519241921"/>
      </colorScale>
    </cfRule>
  </conditionalFormatting>
  <conditionalFormatting sqref="D76:V76">
    <cfRule type="colorScale" priority="3433">
      <colorScale>
        <cfvo type="min"/>
        <cfvo type="max"/>
        <color rgb="FFECF2FA"/>
        <color theme="4" tint="0.39997558519241921"/>
      </colorScale>
    </cfRule>
  </conditionalFormatting>
  <conditionalFormatting sqref="D77:V77">
    <cfRule type="colorScale" priority="3373">
      <colorScale>
        <cfvo type="min"/>
        <cfvo type="max"/>
        <color rgb="FFECF2FA"/>
        <color theme="4" tint="0.39997558519241921"/>
      </colorScale>
    </cfRule>
  </conditionalFormatting>
  <conditionalFormatting sqref="D78:V78">
    <cfRule type="colorScale" priority="3371">
      <colorScale>
        <cfvo type="min"/>
        <cfvo type="max"/>
        <color rgb="FFECF2FA"/>
        <color theme="4" tint="0.39997558519241921"/>
      </colorScale>
    </cfRule>
  </conditionalFormatting>
  <conditionalFormatting sqref="D79:V79">
    <cfRule type="colorScale" priority="3369">
      <colorScale>
        <cfvo type="min"/>
        <cfvo type="max"/>
        <color rgb="FFECF2FA"/>
        <color theme="4" tint="0.39997558519241921"/>
      </colorScale>
    </cfRule>
  </conditionalFormatting>
  <conditionalFormatting sqref="D80:V80">
    <cfRule type="colorScale" priority="3363">
      <colorScale>
        <cfvo type="min"/>
        <cfvo type="max"/>
        <color rgb="FFECF2FA"/>
        <color theme="4" tint="0.39997558519241921"/>
      </colorScale>
    </cfRule>
  </conditionalFormatting>
  <conditionalFormatting sqref="D81:V81">
    <cfRule type="colorScale" priority="3361">
      <colorScale>
        <cfvo type="min"/>
        <cfvo type="max"/>
        <color rgb="FFECF2FA"/>
        <color theme="4" tint="0.39997558519241921"/>
      </colorScale>
    </cfRule>
  </conditionalFormatting>
  <conditionalFormatting sqref="D82:V82">
    <cfRule type="colorScale" priority="3359">
      <colorScale>
        <cfvo type="min"/>
        <cfvo type="max"/>
        <color rgb="FFECF2FA"/>
        <color theme="4" tint="0.39997558519241921"/>
      </colorScale>
    </cfRule>
  </conditionalFormatting>
  <conditionalFormatting sqref="D83:V83">
    <cfRule type="colorScale" priority="3437">
      <colorScale>
        <cfvo type="min"/>
        <cfvo type="max"/>
        <color rgb="FFECF2FA"/>
        <color theme="4" tint="0.39997558519241921"/>
      </colorScale>
    </cfRule>
  </conditionalFormatting>
  <conditionalFormatting sqref="D84:V84">
    <cfRule type="colorScale" priority="3357">
      <colorScale>
        <cfvo type="min"/>
        <cfvo type="max"/>
        <color rgb="FFECF2FA"/>
        <color theme="4" tint="0.39997558519241921"/>
      </colorScale>
    </cfRule>
  </conditionalFormatting>
  <conditionalFormatting sqref="D92:V92">
    <cfRule type="expression" dxfId="633" priority="21">
      <formula>D92=$D$5</formula>
    </cfRule>
  </conditionalFormatting>
  <conditionalFormatting sqref="D93:V93">
    <cfRule type="colorScale" priority="2">
      <colorScale>
        <cfvo type="min"/>
        <cfvo type="max"/>
        <color rgb="FFECF2FA"/>
        <color theme="4" tint="0.39997558519241921"/>
      </colorScale>
    </cfRule>
  </conditionalFormatting>
  <conditionalFormatting sqref="D93:V110">
    <cfRule type="expression" dxfId="632" priority="5447">
      <formula>E$92=$D$5</formula>
    </cfRule>
  </conditionalFormatting>
  <conditionalFormatting sqref="D94:V94">
    <cfRule type="colorScale" priority="19">
      <colorScale>
        <cfvo type="min"/>
        <cfvo type="max"/>
        <color rgb="FFECF2FA"/>
        <color theme="4" tint="0.39997558519241921"/>
      </colorScale>
    </cfRule>
  </conditionalFormatting>
  <conditionalFormatting sqref="D95:V95">
    <cfRule type="colorScale" priority="3">
      <colorScale>
        <cfvo type="min"/>
        <cfvo type="max"/>
        <color rgb="FFECF2FA"/>
        <color theme="4" tint="0.39997558519241921"/>
      </colorScale>
    </cfRule>
  </conditionalFormatting>
  <conditionalFormatting sqref="D95:V98">
    <cfRule type="expression" dxfId="631" priority="1">
      <formula>D95=$D$5</formula>
    </cfRule>
  </conditionalFormatting>
  <conditionalFormatting sqref="D96:V96">
    <cfRule type="colorScale" priority="4">
      <colorScale>
        <cfvo type="min"/>
        <cfvo type="max"/>
        <color rgb="FFECF2FA"/>
        <color theme="4" tint="0.39997558519241921"/>
      </colorScale>
    </cfRule>
  </conditionalFormatting>
  <conditionalFormatting sqref="D97:V97">
    <cfRule type="colorScale" priority="12">
      <colorScale>
        <cfvo type="min"/>
        <cfvo type="max"/>
        <color rgb="FFECF2FA"/>
        <color theme="4" tint="0.39997558519241921"/>
      </colorScale>
    </cfRule>
  </conditionalFormatting>
  <conditionalFormatting sqref="D98:V98">
    <cfRule type="colorScale" priority="13">
      <colorScale>
        <cfvo type="min"/>
        <cfvo type="max"/>
        <color rgb="FFECF2FA"/>
        <color theme="4" tint="0.39997558519241921"/>
      </colorScale>
    </cfRule>
  </conditionalFormatting>
  <conditionalFormatting sqref="D99:V99">
    <cfRule type="colorScale" priority="14">
      <colorScale>
        <cfvo type="min"/>
        <cfvo type="max"/>
        <color rgb="FFECF2FA"/>
        <color theme="4" tint="0.39997558519241921"/>
      </colorScale>
    </cfRule>
  </conditionalFormatting>
  <conditionalFormatting sqref="D100:V100">
    <cfRule type="colorScale" priority="17">
      <colorScale>
        <cfvo type="min"/>
        <cfvo type="max"/>
        <color rgb="FFECF2FA"/>
        <color theme="4" tint="0.39997558519241921"/>
      </colorScale>
    </cfRule>
  </conditionalFormatting>
  <conditionalFormatting sqref="D101:V101">
    <cfRule type="colorScale" priority="16">
      <colorScale>
        <cfvo type="min"/>
        <cfvo type="max"/>
        <color rgb="FFECF2FA"/>
        <color theme="4" tint="0.39997558519241921"/>
      </colorScale>
    </cfRule>
  </conditionalFormatting>
  <conditionalFormatting sqref="D102:V102">
    <cfRule type="colorScale" priority="5">
      <colorScale>
        <cfvo type="min"/>
        <cfvo type="max"/>
        <color rgb="FFECF2FA"/>
        <color theme="4" tint="0.39997558519241921"/>
      </colorScale>
    </cfRule>
  </conditionalFormatting>
  <conditionalFormatting sqref="D103:V103">
    <cfRule type="colorScale" priority="15">
      <colorScale>
        <cfvo type="min"/>
        <cfvo type="max"/>
        <color rgb="FFECF2FA"/>
        <color theme="4" tint="0.39997558519241921"/>
      </colorScale>
    </cfRule>
  </conditionalFormatting>
  <conditionalFormatting sqref="D103:V106 D9:V10 D24:V26 D36:V39 D50:V53 D64:V71 D79:V79">
    <cfRule type="expression" dxfId="630" priority="86">
      <formula>D9=$D$5</formula>
    </cfRule>
  </conditionalFormatting>
  <conditionalFormatting sqref="D104:V104">
    <cfRule type="colorScale" priority="11">
      <colorScale>
        <cfvo type="min"/>
        <cfvo type="max"/>
        <color rgb="FFECF2FA"/>
        <color theme="4" tint="0.39997558519241921"/>
      </colorScale>
    </cfRule>
  </conditionalFormatting>
  <conditionalFormatting sqref="D105:V105">
    <cfRule type="colorScale" priority="10">
      <colorScale>
        <cfvo type="min"/>
        <cfvo type="max"/>
        <color rgb="FFECF2FA"/>
        <color theme="4" tint="0.39997558519241921"/>
      </colorScale>
    </cfRule>
  </conditionalFormatting>
  <conditionalFormatting sqref="D106:V106">
    <cfRule type="colorScale" priority="9">
      <colorScale>
        <cfvo type="min"/>
        <cfvo type="max"/>
        <color rgb="FFECF2FA"/>
        <color theme="4" tint="0.39997558519241921"/>
      </colorScale>
    </cfRule>
  </conditionalFormatting>
  <conditionalFormatting sqref="D107:V107">
    <cfRule type="colorScale" priority="8">
      <colorScale>
        <cfvo type="min"/>
        <cfvo type="max"/>
        <color rgb="FFECF2FA"/>
        <color theme="4" tint="0.39997558519241921"/>
      </colorScale>
    </cfRule>
  </conditionalFormatting>
  <conditionalFormatting sqref="D108:V108">
    <cfRule type="colorScale" priority="7">
      <colorScale>
        <cfvo type="min"/>
        <cfvo type="max"/>
        <color rgb="FFECF2FA"/>
        <color theme="4" tint="0.39997558519241921"/>
      </colorScale>
    </cfRule>
  </conditionalFormatting>
  <conditionalFormatting sqref="D109:V109">
    <cfRule type="colorScale" priority="6">
      <colorScale>
        <cfvo type="min"/>
        <cfvo type="max"/>
        <color rgb="FFECF2FA"/>
        <color theme="4" tint="0.39997558519241921"/>
      </colorScale>
    </cfRule>
  </conditionalFormatting>
  <conditionalFormatting sqref="D110:V110">
    <cfRule type="colorScale" priority="18">
      <colorScale>
        <cfvo type="min"/>
        <cfvo type="max"/>
        <color rgb="FFECF2FA"/>
        <color theme="4" tint="0.39997558519241921"/>
      </colorScale>
    </cfRule>
  </conditionalFormatting>
  <dataValidations count="1">
    <dataValidation type="list" allowBlank="1" showInputMessage="1" showErrorMessage="1" sqref="D5:H5" xr:uid="{00000000-0002-0000-0800-000000000000}">
      <formula1>$AA$9:$AT$9</formula1>
    </dataValidation>
  </dataValidations>
  <hyperlinks>
    <hyperlink ref="B12:B13" location="Referrals!A1" display="Referrals" xr:uid="{00000000-0004-0000-0800-000002000000}"/>
    <hyperlink ref="B14:B23" location="Referral_Source!A1" display="Referral Source (rate per 10,000)" xr:uid="{00000000-0004-0000-0800-000003000000}"/>
    <hyperlink ref="B24" location="'Re-referrals'!A1" display="Re-Referrals" xr:uid="{00000000-0004-0000-0800-000004000000}"/>
    <hyperlink ref="B38" location="'Children in Need'!A1" display="CIN" xr:uid="{00000000-0004-0000-0800-000005000000}"/>
    <hyperlink ref="B39" location="'Section 47 Enquiries'!A1" display="Section 47 Enquiries" xr:uid="{00000000-0004-0000-0800-000006000000}"/>
    <hyperlink ref="B40:B42" location="'Initial CP Conferences'!A1" display="Initial CP conferences" xr:uid="{00000000-0004-0000-0800-000007000000}"/>
    <hyperlink ref="B48" location="'Court Applications'!A1" display="Court Applications" xr:uid="{00000000-0004-0000-0800-000008000000}"/>
    <hyperlink ref="B11" location="IDACI!A1" display="Early Help Clients" xr:uid="{00000000-0004-0000-0800-00000B000000}"/>
    <hyperlink ref="B72:B75" location="Care_Leavers!A1" display="Adoption" xr:uid="{00000000-0004-0000-0800-00000D000000}"/>
    <hyperlink ref="B83" location="'Re-referrals'!A1" display="Re-Referrals" xr:uid="{00000000-0004-0000-0800-00000E000000}"/>
    <hyperlink ref="B83" location="Offending!A1" display="Re-Referrals" xr:uid="{00000000-0004-0000-0800-00000F000000}"/>
    <hyperlink ref="B43:B47" location="'Child Protection Plans'!A1" display="Child Protection Plans" xr:uid="{00000000-0004-0000-0800-000014000000}"/>
    <hyperlink ref="B80:B82" location="NEET!A1" display="Participation in Education, Employment or Training (NEET)" xr:uid="{00000000-0004-0000-0800-000016000000}"/>
    <hyperlink ref="B50:B53" location="'Looked After Children'!A1" display="Children Looked After (at last day in period)" xr:uid="{6747C5D6-7150-4126-AFD6-19726879E6D8}"/>
    <hyperlink ref="B26" location="Assessments!A1" display="Assessments" xr:uid="{7B3903ED-DA58-47A8-9ED0-7717CA5F075C}"/>
    <hyperlink ref="B77:B78" location="Adoption!A1" display="Adoption" xr:uid="{363A09CC-15C6-47AE-8A80-9CF17625B426}"/>
    <hyperlink ref="B50:B59" location="'Looked After Children'!A1" display="Children Looked After (at last day in period)" xr:uid="{CD49F819-C5B7-4904-8078-A83F6DCE50BC}"/>
  </hyperlinks>
  <printOptions horizontalCentered="1"/>
  <pageMargins left="0.55118110236220474" right="0.55118110236220474" top="0.55118110236220474" bottom="0.55118110236220474" header="0.51181102362204722" footer="0.74803149606299213"/>
  <pageSetup paperSize="9" scale="72" fitToHeight="0" orientation="landscape" r:id="rId1"/>
  <headerFooter scaleWithDoc="0" alignWithMargins="0"/>
  <rowBreaks count="3" manualBreakCount="3">
    <brk id="34" max="24" man="1"/>
    <brk id="62" max="24" man="1"/>
    <brk id="87" max="24" man="1"/>
  </rowBreaks>
  <colBreaks count="1" manualBreakCount="1">
    <brk id="22" max="99"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FFC000"/>
  </sheetPr>
  <dimension ref="A1:Q478"/>
  <sheetViews>
    <sheetView showGridLines="0" showRowColHeaders="0" workbookViewId="0"/>
  </sheetViews>
  <sheetFormatPr defaultColWidth="9.140625" defaultRowHeight="15"/>
  <cols>
    <col min="1" max="1" width="1.7109375" style="53" customWidth="1"/>
    <col min="2" max="2" width="4.5703125" style="53" customWidth="1"/>
    <col min="3" max="3" width="8.5703125" style="707" customWidth="1"/>
    <col min="4" max="4" width="44.85546875" style="53" bestFit="1" customWidth="1"/>
    <col min="5" max="5" width="63.140625" style="53" customWidth="1"/>
    <col min="6" max="6" width="9.5703125" style="1506" bestFit="1" customWidth="1"/>
    <col min="7" max="7" width="3.85546875" style="1506" bestFit="1" customWidth="1"/>
    <col min="8" max="8" width="1.7109375" style="53" customWidth="1"/>
    <col min="9" max="9" width="6.42578125" style="53" customWidth="1"/>
    <col min="10" max="10" width="12.140625" style="53" customWidth="1"/>
    <col min="11" max="11" width="9.140625" style="53" customWidth="1"/>
    <col min="12" max="12" width="12.140625" style="53" customWidth="1"/>
    <col min="13" max="16" width="9.140625" style="53" customWidth="1"/>
    <col min="17" max="16384" width="9.140625" style="53"/>
  </cols>
  <sheetData>
    <row r="1" spans="1:17" s="52" customFormat="1" ht="17.25" customHeight="1">
      <c r="A1" s="81"/>
      <c r="B1" s="82"/>
      <c r="C1" s="702"/>
      <c r="D1" s="167"/>
      <c r="E1" s="167"/>
      <c r="F1" s="1492"/>
      <c r="G1" s="1492"/>
      <c r="H1" s="169"/>
      <c r="I1" s="207"/>
      <c r="J1" s="53"/>
      <c r="K1" s="53"/>
      <c r="L1" s="53"/>
      <c r="M1" s="135"/>
      <c r="N1" s="135"/>
      <c r="O1" s="135"/>
      <c r="P1" s="135"/>
      <c r="Q1" s="135"/>
    </row>
    <row r="2" spans="1:17" s="52" customFormat="1" ht="21.75" customHeight="1">
      <c r="A2" s="87"/>
      <c r="B2" s="1043" t="s">
        <v>694</v>
      </c>
      <c r="D2" s="40"/>
      <c r="E2" s="40"/>
      <c r="F2" s="1493"/>
      <c r="G2" s="1493"/>
      <c r="H2" s="170"/>
      <c r="I2" s="122"/>
      <c r="J2" s="53"/>
      <c r="K2" s="53"/>
      <c r="L2" s="53"/>
      <c r="M2" s="56"/>
      <c r="N2" s="56"/>
      <c r="O2" s="56"/>
      <c r="P2" s="56"/>
      <c r="Q2" s="56"/>
    </row>
    <row r="3" spans="1:17" s="52" customFormat="1" ht="17.25" customHeight="1">
      <c r="A3" s="199"/>
      <c r="B3" s="1252"/>
      <c r="C3" s="703"/>
      <c r="D3" s="203"/>
      <c r="E3" s="215"/>
      <c r="F3" s="1494"/>
      <c r="G3" s="1494"/>
      <c r="H3" s="206"/>
      <c r="I3" s="122"/>
      <c r="J3" s="53"/>
      <c r="K3" s="53"/>
      <c r="L3" s="53"/>
      <c r="M3" s="56"/>
      <c r="N3" s="56"/>
      <c r="O3" s="56"/>
      <c r="P3" s="56"/>
      <c r="Q3" s="56"/>
    </row>
    <row r="4" spans="1:17" ht="11.25" customHeight="1">
      <c r="A4" s="176"/>
      <c r="B4" s="177"/>
      <c r="C4" s="704"/>
      <c r="D4" s="177"/>
      <c r="E4" s="177"/>
      <c r="F4" s="1495"/>
      <c r="G4" s="1495"/>
      <c r="H4" s="190"/>
      <c r="I4" s="119"/>
    </row>
    <row r="5" spans="1:17" s="60" customFormat="1" ht="16.5" customHeight="1">
      <c r="A5" s="211"/>
      <c r="B5" s="1428"/>
      <c r="C5" s="1428" t="s">
        <v>1152</v>
      </c>
      <c r="D5" s="1428" t="s">
        <v>695</v>
      </c>
      <c r="E5" s="1429" t="s">
        <v>698</v>
      </c>
      <c r="F5" s="1673" t="s">
        <v>1253</v>
      </c>
      <c r="G5" s="1674"/>
      <c r="H5" s="192"/>
      <c r="I5" s="119"/>
      <c r="J5" s="53"/>
      <c r="K5" s="53"/>
      <c r="L5" s="53"/>
    </row>
    <row r="6" spans="1:17" s="60" customFormat="1" ht="15" customHeight="1">
      <c r="A6" s="211"/>
      <c r="B6" s="1651" t="s">
        <v>1150</v>
      </c>
      <c r="C6" s="1652"/>
      <c r="D6" s="1652"/>
      <c r="E6" s="1652"/>
      <c r="F6" s="1652"/>
      <c r="G6" s="1653"/>
      <c r="H6" s="192"/>
      <c r="I6" s="119"/>
      <c r="J6" s="53"/>
      <c r="K6" s="53"/>
      <c r="L6" s="53"/>
    </row>
    <row r="7" spans="1:17" ht="36">
      <c r="A7" s="210"/>
      <c r="B7" s="1507">
        <v>16</v>
      </c>
      <c r="C7" s="1443" t="s">
        <v>1109</v>
      </c>
      <c r="D7" s="1508" t="s">
        <v>1110</v>
      </c>
      <c r="E7" s="1509" t="s">
        <v>1225</v>
      </c>
      <c r="F7" s="1529" t="s">
        <v>1224</v>
      </c>
      <c r="G7" s="1488" t="s">
        <v>1252</v>
      </c>
      <c r="H7" s="191"/>
      <c r="I7" s="119"/>
    </row>
    <row r="8" spans="1:17" ht="36" customHeight="1" thickBot="1">
      <c r="A8" s="210"/>
      <c r="B8" s="1486">
        <v>20</v>
      </c>
      <c r="C8" s="1441" t="s">
        <v>1151</v>
      </c>
      <c r="D8" s="1433" t="s">
        <v>1124</v>
      </c>
      <c r="E8" s="1432" t="s">
        <v>1227</v>
      </c>
      <c r="F8" s="1530" t="s">
        <v>1224</v>
      </c>
      <c r="G8" s="1510" t="s">
        <v>1252</v>
      </c>
      <c r="H8" s="191"/>
      <c r="I8" s="119"/>
    </row>
    <row r="9" spans="1:17" ht="12.75" customHeight="1">
      <c r="A9" s="210"/>
      <c r="B9" s="1448"/>
      <c r="C9" s="1458" t="s">
        <v>1113</v>
      </c>
      <c r="D9" s="1654" t="s">
        <v>1153</v>
      </c>
      <c r="E9" s="1655"/>
      <c r="F9" s="1531" t="s">
        <v>1224</v>
      </c>
      <c r="G9" s="1487" t="s">
        <v>1252</v>
      </c>
      <c r="H9" s="191"/>
      <c r="I9" s="119"/>
    </row>
    <row r="10" spans="1:17" ht="12.75" customHeight="1">
      <c r="A10" s="210"/>
      <c r="B10" s="1449"/>
      <c r="C10" s="1454" t="s">
        <v>1158</v>
      </c>
      <c r="D10" s="1656" t="s">
        <v>1126</v>
      </c>
      <c r="E10" s="1657"/>
      <c r="F10" s="1645" t="s">
        <v>1224</v>
      </c>
      <c r="G10" s="1646"/>
      <c r="H10" s="191"/>
      <c r="I10" s="119"/>
    </row>
    <row r="11" spans="1:17" ht="12.75" customHeight="1">
      <c r="A11" s="210"/>
      <c r="B11" s="1449"/>
      <c r="C11" s="1459" t="s">
        <v>1159</v>
      </c>
      <c r="D11" s="1658" t="s">
        <v>1135</v>
      </c>
      <c r="E11" s="1659"/>
      <c r="F11" s="1647"/>
      <c r="G11" s="1648"/>
      <c r="H11" s="191"/>
      <c r="I11" s="119"/>
    </row>
    <row r="12" spans="1:17" ht="12.75" customHeight="1">
      <c r="A12" s="210"/>
      <c r="B12" s="1449"/>
      <c r="C12" s="1454" t="s">
        <v>1160</v>
      </c>
      <c r="D12" s="1656" t="s">
        <v>1127</v>
      </c>
      <c r="E12" s="1657"/>
      <c r="F12" s="1647"/>
      <c r="G12" s="1648"/>
      <c r="H12" s="191"/>
      <c r="I12" s="119"/>
    </row>
    <row r="13" spans="1:17" ht="12.75" customHeight="1">
      <c r="A13" s="210"/>
      <c r="B13" s="1449"/>
      <c r="C13" s="1459" t="s">
        <v>1161</v>
      </c>
      <c r="D13" s="1658" t="s">
        <v>1136</v>
      </c>
      <c r="E13" s="1659"/>
      <c r="F13" s="1649"/>
      <c r="G13" s="1650"/>
      <c r="H13" s="191"/>
      <c r="I13" s="119"/>
    </row>
    <row r="14" spans="1:17" ht="12.75" customHeight="1">
      <c r="A14" s="210"/>
      <c r="B14" s="1449"/>
      <c r="C14" s="1454" t="s">
        <v>1114</v>
      </c>
      <c r="D14" s="1666" t="s">
        <v>35</v>
      </c>
      <c r="E14" s="1667"/>
      <c r="F14" s="1642" t="s">
        <v>1224</v>
      </c>
      <c r="G14" s="1639" t="s">
        <v>1252</v>
      </c>
      <c r="H14" s="191"/>
      <c r="I14" s="119"/>
    </row>
    <row r="15" spans="1:17" ht="12.75" customHeight="1">
      <c r="A15" s="210"/>
      <c r="B15" s="1449"/>
      <c r="C15" s="1459" t="s">
        <v>1115</v>
      </c>
      <c r="D15" s="1664" t="s">
        <v>36</v>
      </c>
      <c r="E15" s="1665"/>
      <c r="F15" s="1643"/>
      <c r="G15" s="1640"/>
      <c r="H15" s="191"/>
      <c r="I15" s="119"/>
    </row>
    <row r="16" spans="1:17" ht="12.75" customHeight="1">
      <c r="A16" s="210"/>
      <c r="B16" s="1449"/>
      <c r="C16" s="1454" t="s">
        <v>1116</v>
      </c>
      <c r="D16" s="1662" t="s">
        <v>1154</v>
      </c>
      <c r="E16" s="1663"/>
      <c r="F16" s="1644"/>
      <c r="G16" s="1641"/>
      <c r="H16" s="191"/>
      <c r="I16" s="119"/>
    </row>
    <row r="17" spans="1:9" ht="12.75" customHeight="1">
      <c r="A17" s="210"/>
      <c r="B17" s="1449"/>
      <c r="C17" s="1459" t="s">
        <v>1162</v>
      </c>
      <c r="D17" s="1658" t="s">
        <v>1128</v>
      </c>
      <c r="E17" s="1659"/>
      <c r="F17" s="1645" t="s">
        <v>1224</v>
      </c>
      <c r="G17" s="1646"/>
      <c r="H17" s="191"/>
      <c r="I17" s="119"/>
    </row>
    <row r="18" spans="1:9" ht="12.75" customHeight="1">
      <c r="A18" s="210"/>
      <c r="B18" s="1449"/>
      <c r="C18" s="1459" t="s">
        <v>1163</v>
      </c>
      <c r="D18" s="1656" t="s">
        <v>1129</v>
      </c>
      <c r="E18" s="1657"/>
      <c r="F18" s="1647"/>
      <c r="G18" s="1648"/>
      <c r="H18" s="191"/>
      <c r="I18" s="119"/>
    </row>
    <row r="19" spans="1:9" ht="12.75" customHeight="1">
      <c r="A19" s="210"/>
      <c r="B19" s="1449"/>
      <c r="C19" s="1459" t="s">
        <v>1164</v>
      </c>
      <c r="D19" s="1658" t="s">
        <v>1130</v>
      </c>
      <c r="E19" s="1659"/>
      <c r="F19" s="1647"/>
      <c r="G19" s="1648"/>
      <c r="H19" s="191"/>
      <c r="I19" s="119"/>
    </row>
    <row r="20" spans="1:9" ht="12.75" customHeight="1">
      <c r="A20" s="210"/>
      <c r="B20" s="1449"/>
      <c r="C20" s="1459" t="s">
        <v>1165</v>
      </c>
      <c r="D20" s="1656" t="s">
        <v>1131</v>
      </c>
      <c r="E20" s="1657"/>
      <c r="F20" s="1647"/>
      <c r="G20" s="1648"/>
      <c r="H20" s="191"/>
      <c r="I20" s="119"/>
    </row>
    <row r="21" spans="1:9" ht="12.75" customHeight="1">
      <c r="A21" s="210"/>
      <c r="B21" s="1449"/>
      <c r="C21" s="1459" t="s">
        <v>1166</v>
      </c>
      <c r="D21" s="1658" t="s">
        <v>1132</v>
      </c>
      <c r="E21" s="1659"/>
      <c r="F21" s="1647"/>
      <c r="G21" s="1648"/>
      <c r="H21" s="191"/>
      <c r="I21" s="119"/>
    </row>
    <row r="22" spans="1:9" ht="12.75" customHeight="1">
      <c r="A22" s="210"/>
      <c r="B22" s="1449"/>
      <c r="C22" s="1459" t="s">
        <v>1167</v>
      </c>
      <c r="D22" s="1656" t="s">
        <v>1137</v>
      </c>
      <c r="E22" s="1657"/>
      <c r="F22" s="1649"/>
      <c r="G22" s="1650"/>
      <c r="H22" s="191"/>
      <c r="I22" s="119"/>
    </row>
    <row r="23" spans="1:9" ht="12.75" customHeight="1">
      <c r="A23" s="210"/>
      <c r="B23" s="1449"/>
      <c r="C23" s="1459" t="s">
        <v>1117</v>
      </c>
      <c r="D23" s="1664" t="s">
        <v>43</v>
      </c>
      <c r="E23" s="1665"/>
      <c r="F23" s="1642" t="s">
        <v>1224</v>
      </c>
      <c r="G23" s="1639" t="s">
        <v>1252</v>
      </c>
      <c r="H23" s="191"/>
      <c r="I23" s="119"/>
    </row>
    <row r="24" spans="1:9" ht="12.75" customHeight="1">
      <c r="A24" s="210"/>
      <c r="B24" s="1449"/>
      <c r="C24" s="1454" t="s">
        <v>1118</v>
      </c>
      <c r="D24" s="1662" t="s">
        <v>1155</v>
      </c>
      <c r="E24" s="1663"/>
      <c r="F24" s="1644"/>
      <c r="G24" s="1641"/>
      <c r="H24" s="191"/>
      <c r="I24" s="119"/>
    </row>
    <row r="25" spans="1:9" ht="12.75" customHeight="1">
      <c r="A25" s="210"/>
      <c r="B25" s="1449"/>
      <c r="C25" s="1459" t="s">
        <v>1168</v>
      </c>
      <c r="D25" s="1658" t="s">
        <v>1140</v>
      </c>
      <c r="E25" s="1659"/>
      <c r="F25" s="1645" t="s">
        <v>1224</v>
      </c>
      <c r="G25" s="1646"/>
      <c r="H25" s="191"/>
      <c r="I25" s="119"/>
    </row>
    <row r="26" spans="1:9" ht="12.75" customHeight="1">
      <c r="A26" s="210"/>
      <c r="B26" s="1449"/>
      <c r="C26" s="1459" t="s">
        <v>1169</v>
      </c>
      <c r="D26" s="1656" t="s">
        <v>1138</v>
      </c>
      <c r="E26" s="1657"/>
      <c r="F26" s="1647"/>
      <c r="G26" s="1648"/>
      <c r="H26" s="191"/>
      <c r="I26" s="119"/>
    </row>
    <row r="27" spans="1:9" ht="12.75" customHeight="1">
      <c r="A27" s="210"/>
      <c r="B27" s="1449"/>
      <c r="C27" s="1459" t="s">
        <v>1170</v>
      </c>
      <c r="D27" s="1658" t="s">
        <v>1139</v>
      </c>
      <c r="E27" s="1659"/>
      <c r="F27" s="1647"/>
      <c r="G27" s="1648"/>
      <c r="H27" s="191"/>
      <c r="I27" s="119"/>
    </row>
    <row r="28" spans="1:9" ht="12.75" customHeight="1">
      <c r="A28" s="210"/>
      <c r="B28" s="1449"/>
      <c r="C28" s="1459" t="s">
        <v>1171</v>
      </c>
      <c r="D28" s="1656" t="s">
        <v>1133</v>
      </c>
      <c r="E28" s="1657"/>
      <c r="F28" s="1649"/>
      <c r="G28" s="1650"/>
      <c r="H28" s="191"/>
      <c r="I28" s="119"/>
    </row>
    <row r="29" spans="1:9" ht="12.75" customHeight="1">
      <c r="A29" s="210"/>
      <c r="B29" s="1449"/>
      <c r="C29" s="1459" t="s">
        <v>1119</v>
      </c>
      <c r="D29" s="1664" t="s">
        <v>23</v>
      </c>
      <c r="E29" s="1665"/>
      <c r="F29" s="1642" t="s">
        <v>1224</v>
      </c>
      <c r="G29" s="1639" t="s">
        <v>1252</v>
      </c>
      <c r="H29" s="191"/>
      <c r="I29" s="119"/>
    </row>
    <row r="30" spans="1:9" ht="12.75" customHeight="1">
      <c r="A30" s="210"/>
      <c r="B30" s="1449"/>
      <c r="C30" s="1454" t="s">
        <v>1120</v>
      </c>
      <c r="D30" s="1666" t="s">
        <v>1125</v>
      </c>
      <c r="E30" s="1667"/>
      <c r="F30" s="1643"/>
      <c r="G30" s="1640"/>
      <c r="H30" s="191"/>
      <c r="I30" s="119"/>
    </row>
    <row r="31" spans="1:9" ht="12.75" customHeight="1">
      <c r="A31" s="210"/>
      <c r="B31" s="1449"/>
      <c r="C31" s="1459" t="s">
        <v>1121</v>
      </c>
      <c r="D31" s="1664" t="s">
        <v>1156</v>
      </c>
      <c r="E31" s="1665"/>
      <c r="F31" s="1643"/>
      <c r="G31" s="1640"/>
      <c r="H31" s="191"/>
      <c r="I31" s="119"/>
    </row>
    <row r="32" spans="1:9" ht="12.75" customHeight="1">
      <c r="A32" s="210"/>
      <c r="B32" s="1449"/>
      <c r="C32" s="1454" t="s">
        <v>1122</v>
      </c>
      <c r="D32" s="1666" t="s">
        <v>61</v>
      </c>
      <c r="E32" s="1667"/>
      <c r="F32" s="1643"/>
      <c r="G32" s="1640"/>
      <c r="H32" s="191"/>
      <c r="I32" s="119"/>
    </row>
    <row r="33" spans="1:12" ht="12.75" customHeight="1" thickBot="1">
      <c r="A33" s="210"/>
      <c r="B33" s="1450"/>
      <c r="C33" s="1460" t="s">
        <v>1123</v>
      </c>
      <c r="D33" s="1668" t="s">
        <v>62</v>
      </c>
      <c r="E33" s="1669"/>
      <c r="F33" s="1661"/>
      <c r="G33" s="1660"/>
      <c r="H33" s="191"/>
      <c r="I33" s="119"/>
    </row>
    <row r="34" spans="1:12" ht="42" customHeight="1">
      <c r="A34" s="1422"/>
      <c r="B34" s="1444"/>
      <c r="C34" s="1423"/>
      <c r="D34" s="1424"/>
      <c r="E34" s="1424"/>
      <c r="F34" s="1496"/>
      <c r="G34" s="1496"/>
      <c r="H34" s="1425"/>
      <c r="I34" s="119"/>
    </row>
    <row r="35" spans="1:12">
      <c r="A35" s="176"/>
      <c r="B35" s="177"/>
      <c r="C35" s="704"/>
      <c r="D35" s="177"/>
      <c r="E35" s="177"/>
      <c r="F35" s="1495"/>
      <c r="G35" s="1495"/>
      <c r="H35" s="190"/>
      <c r="I35" s="119"/>
    </row>
    <row r="36" spans="1:12" s="60" customFormat="1" ht="16.5" customHeight="1">
      <c r="A36" s="211"/>
      <c r="B36" s="1428"/>
      <c r="C36" s="1426" t="s">
        <v>1152</v>
      </c>
      <c r="D36" s="1426" t="s">
        <v>695</v>
      </c>
      <c r="E36" s="1427" t="s">
        <v>698</v>
      </c>
      <c r="F36" s="1673" t="s">
        <v>1253</v>
      </c>
      <c r="G36" s="1674"/>
      <c r="H36" s="192"/>
      <c r="I36" s="119"/>
      <c r="J36" s="53"/>
      <c r="K36" s="53"/>
      <c r="L36" s="53"/>
    </row>
    <row r="37" spans="1:12" s="60" customFormat="1" ht="15" customHeight="1">
      <c r="A37" s="211"/>
      <c r="B37" s="1651" t="s">
        <v>1150</v>
      </c>
      <c r="C37" s="1652"/>
      <c r="D37" s="1652"/>
      <c r="E37" s="1652"/>
      <c r="F37" s="1652"/>
      <c r="G37" s="1653"/>
      <c r="H37" s="192"/>
      <c r="I37" s="119"/>
      <c r="J37" s="53"/>
      <c r="K37" s="53"/>
      <c r="L37" s="53"/>
    </row>
    <row r="38" spans="1:12">
      <c r="A38" s="210"/>
      <c r="B38" s="1511">
        <v>19</v>
      </c>
      <c r="C38" s="1442" t="s">
        <v>1172</v>
      </c>
      <c r="D38" s="1431" t="s">
        <v>1111</v>
      </c>
      <c r="E38" s="1451" t="s">
        <v>1157</v>
      </c>
      <c r="F38" s="1532" t="s">
        <v>1224</v>
      </c>
      <c r="G38" s="1483" t="s">
        <v>1252</v>
      </c>
      <c r="H38" s="191"/>
      <c r="I38" s="119"/>
    </row>
    <row r="39" spans="1:12" ht="36">
      <c r="A39" s="210"/>
      <c r="B39" s="1453">
        <v>23</v>
      </c>
      <c r="C39" s="1440" t="s">
        <v>1134</v>
      </c>
      <c r="D39" s="1045" t="s">
        <v>1112</v>
      </c>
      <c r="E39" s="1452" t="s">
        <v>1232</v>
      </c>
      <c r="F39" s="1533" t="s">
        <v>1224</v>
      </c>
      <c r="G39" s="1485" t="s">
        <v>1252</v>
      </c>
      <c r="H39" s="191"/>
      <c r="I39" s="119"/>
    </row>
    <row r="40" spans="1:12" s="60" customFormat="1" ht="15" customHeight="1">
      <c r="A40" s="211"/>
      <c r="B40" s="1651" t="s">
        <v>736</v>
      </c>
      <c r="C40" s="1652"/>
      <c r="D40" s="1652"/>
      <c r="E40" s="1652"/>
      <c r="F40" s="1652"/>
      <c r="G40" s="1653"/>
      <c r="H40" s="192"/>
      <c r="I40" s="119"/>
      <c r="J40" s="53"/>
      <c r="K40" s="53"/>
      <c r="L40" s="53"/>
    </row>
    <row r="41" spans="1:12" s="1464" customFormat="1">
      <c r="A41" s="1461"/>
      <c r="B41" s="1512">
        <v>27</v>
      </c>
      <c r="C41" s="1442" t="s">
        <v>1141</v>
      </c>
      <c r="D41" s="1431" t="s">
        <v>1142</v>
      </c>
      <c r="E41" s="1456" t="s">
        <v>1267</v>
      </c>
      <c r="F41" s="1532" t="s">
        <v>1224</v>
      </c>
      <c r="G41" s="1483" t="s">
        <v>1252</v>
      </c>
      <c r="H41" s="1462"/>
      <c r="I41" s="1463"/>
    </row>
    <row r="42" spans="1:12">
      <c r="A42" s="210"/>
      <c r="B42" s="1511">
        <v>31</v>
      </c>
      <c r="C42" s="1467" t="s">
        <v>1151</v>
      </c>
      <c r="D42" s="1513" t="s">
        <v>1143</v>
      </c>
      <c r="E42" s="1670" t="s">
        <v>1265</v>
      </c>
      <c r="F42" s="1645" t="s">
        <v>1224</v>
      </c>
      <c r="G42" s="1646"/>
      <c r="H42" s="191"/>
      <c r="I42" s="119"/>
    </row>
    <row r="43" spans="1:12" ht="13.5" customHeight="1">
      <c r="A43" s="210"/>
      <c r="B43" s="1489"/>
      <c r="C43" s="1459" t="s">
        <v>1173</v>
      </c>
      <c r="D43" s="1457" t="s">
        <v>1145</v>
      </c>
      <c r="E43" s="1671"/>
      <c r="F43" s="1647"/>
      <c r="G43" s="1648"/>
      <c r="H43" s="191"/>
      <c r="I43" s="119"/>
    </row>
    <row r="44" spans="1:12" ht="13.5" customHeight="1">
      <c r="A44" s="210"/>
      <c r="B44" s="1490"/>
      <c r="C44" s="1454" t="s">
        <v>1174</v>
      </c>
      <c r="D44" s="1514" t="s">
        <v>1146</v>
      </c>
      <c r="E44" s="1671"/>
      <c r="F44" s="1647"/>
      <c r="G44" s="1648"/>
      <c r="H44" s="191"/>
      <c r="I44" s="119"/>
    </row>
    <row r="45" spans="1:12" ht="13.5" customHeight="1">
      <c r="A45" s="210"/>
      <c r="B45" s="1490"/>
      <c r="C45" s="1459" t="s">
        <v>1175</v>
      </c>
      <c r="D45" s="1457" t="s">
        <v>1147</v>
      </c>
      <c r="E45" s="1671"/>
      <c r="F45" s="1647"/>
      <c r="G45" s="1648"/>
      <c r="H45" s="191"/>
      <c r="I45" s="119"/>
    </row>
    <row r="46" spans="1:12" ht="13.5" customHeight="1">
      <c r="A46" s="210"/>
      <c r="B46" s="1490"/>
      <c r="C46" s="1454" t="s">
        <v>1176</v>
      </c>
      <c r="D46" s="1514" t="s">
        <v>1148</v>
      </c>
      <c r="E46" s="1671"/>
      <c r="F46" s="1647"/>
      <c r="G46" s="1648"/>
      <c r="H46" s="191"/>
      <c r="I46" s="119"/>
    </row>
    <row r="47" spans="1:12" ht="13.5" customHeight="1">
      <c r="A47" s="210"/>
      <c r="B47" s="1491"/>
      <c r="C47" s="1459" t="s">
        <v>1177</v>
      </c>
      <c r="D47" s="1457" t="s">
        <v>1149</v>
      </c>
      <c r="E47" s="1672"/>
      <c r="F47" s="1649"/>
      <c r="G47" s="1650"/>
      <c r="H47" s="191"/>
      <c r="I47" s="119"/>
    </row>
    <row r="48" spans="1:12">
      <c r="A48" s="210"/>
      <c r="B48" s="1421">
        <v>30</v>
      </c>
      <c r="C48" s="1466" t="s">
        <v>1210</v>
      </c>
      <c r="D48" s="1032" t="s">
        <v>1144</v>
      </c>
      <c r="E48" s="1030" t="s">
        <v>1266</v>
      </c>
      <c r="F48" s="1533" t="s">
        <v>1224</v>
      </c>
      <c r="G48" s="1485" t="s">
        <v>1252</v>
      </c>
      <c r="H48" s="191"/>
      <c r="I48" s="119"/>
    </row>
    <row r="49" spans="1:12" ht="24">
      <c r="A49" s="210"/>
      <c r="B49" s="1507">
        <v>32</v>
      </c>
      <c r="C49" s="1466" t="s">
        <v>1211</v>
      </c>
      <c r="D49" s="1515" t="s">
        <v>25</v>
      </c>
      <c r="E49" s="1470" t="s">
        <v>1268</v>
      </c>
      <c r="F49" s="1533" t="s">
        <v>1224</v>
      </c>
      <c r="G49" s="1485" t="s">
        <v>1252</v>
      </c>
      <c r="H49" s="191"/>
      <c r="I49" s="119"/>
    </row>
    <row r="50" spans="1:12" ht="24">
      <c r="A50" s="210"/>
      <c r="B50" s="1512">
        <v>35</v>
      </c>
      <c r="C50" s="1516" t="s">
        <v>1212</v>
      </c>
      <c r="D50" s="1431" t="s">
        <v>18</v>
      </c>
      <c r="E50" s="1456" t="s">
        <v>1269</v>
      </c>
      <c r="F50" s="1532" t="s">
        <v>1224</v>
      </c>
      <c r="G50" s="1483" t="s">
        <v>1252</v>
      </c>
      <c r="H50" s="191"/>
      <c r="I50" s="185"/>
    </row>
    <row r="51" spans="1:12" ht="24">
      <c r="A51" s="210"/>
      <c r="B51" s="1453">
        <v>38</v>
      </c>
      <c r="C51" s="1466" t="s">
        <v>1213</v>
      </c>
      <c r="D51" s="1045" t="s">
        <v>699</v>
      </c>
      <c r="E51" s="1030" t="s">
        <v>1270</v>
      </c>
      <c r="F51" s="1533" t="s">
        <v>1224</v>
      </c>
      <c r="G51" s="1485" t="s">
        <v>1252</v>
      </c>
      <c r="H51" s="191"/>
      <c r="I51" s="185"/>
    </row>
    <row r="52" spans="1:12" ht="24">
      <c r="A52" s="210"/>
      <c r="B52" s="1512">
        <v>42</v>
      </c>
      <c r="C52" s="1516" t="s">
        <v>1214</v>
      </c>
      <c r="D52" s="1431" t="s">
        <v>1294</v>
      </c>
      <c r="E52" s="1456" t="s">
        <v>1293</v>
      </c>
      <c r="F52" s="1532" t="s">
        <v>1224</v>
      </c>
      <c r="G52" s="1483" t="s">
        <v>1252</v>
      </c>
      <c r="H52" s="191"/>
      <c r="I52" s="185"/>
    </row>
    <row r="53" spans="1:12" s="60" customFormat="1" ht="15" customHeight="1">
      <c r="A53" s="211"/>
      <c r="B53" s="1651" t="s">
        <v>737</v>
      </c>
      <c r="C53" s="1652"/>
      <c r="D53" s="1652"/>
      <c r="E53" s="1652"/>
      <c r="F53" s="1652"/>
      <c r="G53" s="1653"/>
      <c r="H53" s="192"/>
      <c r="I53" s="119"/>
      <c r="J53" s="53"/>
      <c r="K53" s="53"/>
      <c r="L53" s="53"/>
    </row>
    <row r="54" spans="1:12" ht="25.5">
      <c r="A54" s="1436"/>
      <c r="B54" s="1507">
        <v>43</v>
      </c>
      <c r="C54" s="1435" t="s">
        <v>1215</v>
      </c>
      <c r="D54" s="1521" t="s">
        <v>700</v>
      </c>
      <c r="E54" s="1522" t="s">
        <v>1295</v>
      </c>
      <c r="F54" s="1533" t="s">
        <v>1224</v>
      </c>
      <c r="G54" s="1485" t="s">
        <v>1252</v>
      </c>
      <c r="H54" s="191"/>
      <c r="I54" s="185"/>
    </row>
    <row r="55" spans="1:12" ht="25.5">
      <c r="A55" s="1436"/>
      <c r="B55" s="1512">
        <v>46</v>
      </c>
      <c r="C55" s="1520" t="s">
        <v>1179</v>
      </c>
      <c r="D55" s="1518" t="s">
        <v>703</v>
      </c>
      <c r="E55" s="1519" t="s">
        <v>1296</v>
      </c>
      <c r="F55" s="1532" t="s">
        <v>1224</v>
      </c>
      <c r="G55" s="1483" t="s">
        <v>1252</v>
      </c>
      <c r="H55" s="191"/>
      <c r="I55" s="185"/>
    </row>
    <row r="56" spans="1:12" ht="51">
      <c r="A56" s="1436"/>
      <c r="B56" s="1507">
        <v>47</v>
      </c>
      <c r="C56" s="1420" t="s">
        <v>1178</v>
      </c>
      <c r="D56" s="1521" t="s">
        <v>702</v>
      </c>
      <c r="E56" s="1522" t="s">
        <v>1230</v>
      </c>
      <c r="F56" s="1533" t="s">
        <v>1224</v>
      </c>
      <c r="G56" s="1485" t="s">
        <v>1252</v>
      </c>
      <c r="H56" s="191"/>
      <c r="I56" s="185"/>
    </row>
    <row r="57" spans="1:12" ht="51">
      <c r="A57" s="1436"/>
      <c r="B57" s="1523" t="s">
        <v>1151</v>
      </c>
      <c r="C57" s="1517" t="s">
        <v>1216</v>
      </c>
      <c r="D57" s="1518" t="s">
        <v>701</v>
      </c>
      <c r="E57" s="1519" t="s">
        <v>704</v>
      </c>
      <c r="F57" s="1532" t="s">
        <v>1224</v>
      </c>
      <c r="G57" s="1483" t="s">
        <v>1252</v>
      </c>
      <c r="H57" s="191"/>
      <c r="I57" s="185"/>
    </row>
    <row r="58" spans="1:12" ht="42" customHeight="1">
      <c r="A58" s="429"/>
      <c r="B58" s="1444"/>
      <c r="C58" s="1047"/>
      <c r="D58" s="1048"/>
      <c r="E58" s="1048"/>
      <c r="F58" s="1496"/>
      <c r="G58" s="1496"/>
      <c r="H58" s="432"/>
      <c r="I58" s="185"/>
    </row>
    <row r="59" spans="1:12" ht="11.25" customHeight="1">
      <c r="A59" s="176"/>
      <c r="B59" s="177"/>
      <c r="C59" s="1049"/>
      <c r="D59" s="1050"/>
      <c r="E59" s="1050"/>
      <c r="F59" s="1495"/>
      <c r="G59" s="1495"/>
      <c r="H59" s="190"/>
      <c r="I59" s="175"/>
    </row>
    <row r="60" spans="1:12" s="60" customFormat="1" ht="16.5" customHeight="1">
      <c r="A60" s="211"/>
      <c r="B60" s="1428"/>
      <c r="C60" s="1426" t="s">
        <v>1152</v>
      </c>
      <c r="D60" s="1426" t="s">
        <v>695</v>
      </c>
      <c r="E60" s="1427" t="s">
        <v>698</v>
      </c>
      <c r="F60" s="1673" t="s">
        <v>1253</v>
      </c>
      <c r="G60" s="1674"/>
      <c r="H60" s="192"/>
      <c r="I60" s="119"/>
      <c r="J60" s="53"/>
      <c r="K60" s="53"/>
      <c r="L60" s="53"/>
    </row>
    <row r="61" spans="1:12" s="60" customFormat="1" ht="15" customHeight="1">
      <c r="A61" s="211"/>
      <c r="B61" s="1651" t="s">
        <v>737</v>
      </c>
      <c r="C61" s="1652"/>
      <c r="D61" s="1652"/>
      <c r="E61" s="1652"/>
      <c r="F61" s="1652"/>
      <c r="G61" s="1653"/>
      <c r="H61" s="192"/>
      <c r="I61" s="119"/>
      <c r="J61" s="53"/>
      <c r="K61" s="53"/>
      <c r="L61" s="53"/>
    </row>
    <row r="62" spans="1:12" ht="36">
      <c r="A62" s="1436"/>
      <c r="B62" s="1507">
        <v>48</v>
      </c>
      <c r="C62" s="1438" t="s">
        <v>1180</v>
      </c>
      <c r="D62" s="1046" t="s">
        <v>705</v>
      </c>
      <c r="E62" s="1470" t="s">
        <v>1231</v>
      </c>
      <c r="F62" s="1533" t="s">
        <v>1224</v>
      </c>
      <c r="G62" s="1485" t="s">
        <v>1252</v>
      </c>
      <c r="H62" s="191"/>
      <c r="I62" s="185"/>
    </row>
    <row r="63" spans="1:12" ht="36">
      <c r="A63" s="1436"/>
      <c r="B63" s="1523" t="s">
        <v>1151</v>
      </c>
      <c r="C63" s="1517" t="s">
        <v>1217</v>
      </c>
      <c r="D63" s="1431" t="s">
        <v>709</v>
      </c>
      <c r="E63" s="1456" t="s">
        <v>706</v>
      </c>
      <c r="F63" s="1532" t="s">
        <v>1224</v>
      </c>
      <c r="G63" s="1483" t="s">
        <v>1252</v>
      </c>
      <c r="H63" s="191"/>
      <c r="I63" s="185"/>
    </row>
    <row r="64" spans="1:12" ht="36">
      <c r="A64" s="1436"/>
      <c r="B64" s="1507">
        <v>49</v>
      </c>
      <c r="C64" s="1435" t="s">
        <v>1218</v>
      </c>
      <c r="D64" s="1515" t="s">
        <v>708</v>
      </c>
      <c r="E64" s="1470" t="s">
        <v>707</v>
      </c>
      <c r="F64" s="1533" t="s">
        <v>1224</v>
      </c>
      <c r="G64" s="1485" t="s">
        <v>1252</v>
      </c>
      <c r="H64" s="191"/>
      <c r="I64" s="185"/>
    </row>
    <row r="65" spans="1:12" ht="36">
      <c r="A65" s="210"/>
      <c r="B65" s="1512">
        <v>50</v>
      </c>
      <c r="C65" s="1520" t="s">
        <v>1204</v>
      </c>
      <c r="D65" s="1431" t="s">
        <v>710</v>
      </c>
      <c r="E65" s="1456" t="s">
        <v>1234</v>
      </c>
      <c r="F65" s="1677" t="s">
        <v>1233</v>
      </c>
      <c r="G65" s="1678"/>
      <c r="H65" s="191"/>
      <c r="I65" s="185"/>
    </row>
    <row r="66" spans="1:12" ht="24">
      <c r="A66" s="210"/>
      <c r="B66" s="1507">
        <v>53</v>
      </c>
      <c r="C66" s="1420" t="s">
        <v>1181</v>
      </c>
      <c r="D66" s="1515" t="s">
        <v>711</v>
      </c>
      <c r="E66" s="1524" t="s">
        <v>1235</v>
      </c>
      <c r="F66" s="1675" t="s">
        <v>1233</v>
      </c>
      <c r="G66" s="1676"/>
      <c r="H66" s="191"/>
      <c r="I66" s="185"/>
    </row>
    <row r="67" spans="1:12" s="60" customFormat="1" ht="15" customHeight="1">
      <c r="A67" s="211"/>
      <c r="B67" s="1651" t="s">
        <v>21</v>
      </c>
      <c r="C67" s="1652"/>
      <c r="D67" s="1652"/>
      <c r="E67" s="1652"/>
      <c r="F67" s="1652"/>
      <c r="G67" s="1653"/>
      <c r="H67" s="192"/>
      <c r="I67" s="119"/>
      <c r="J67" s="53"/>
      <c r="K67" s="53"/>
      <c r="L67" s="53"/>
    </row>
    <row r="68" spans="1:12" ht="24" customHeight="1">
      <c r="A68" s="210"/>
      <c r="B68" s="1512">
        <v>56</v>
      </c>
      <c r="C68" s="1517" t="s">
        <v>1219</v>
      </c>
      <c r="D68" s="1431" t="s">
        <v>21</v>
      </c>
      <c r="E68" s="1456" t="s">
        <v>1236</v>
      </c>
      <c r="F68" s="1532" t="s">
        <v>1237</v>
      </c>
      <c r="G68" s="1483" t="s">
        <v>1252</v>
      </c>
      <c r="H68" s="191"/>
      <c r="I68" s="185"/>
    </row>
    <row r="69" spans="1:12">
      <c r="A69" s="210"/>
      <c r="B69" s="1525">
        <v>63</v>
      </c>
      <c r="C69" s="1467" t="s">
        <v>1151</v>
      </c>
      <c r="D69" s="1526" t="s">
        <v>1238</v>
      </c>
      <c r="E69" s="1682" t="s">
        <v>1248</v>
      </c>
      <c r="F69" s="1685" t="s">
        <v>1237</v>
      </c>
      <c r="G69" s="1639"/>
      <c r="H69" s="191"/>
      <c r="I69" s="185"/>
    </row>
    <row r="70" spans="1:12" ht="13.5" customHeight="1">
      <c r="A70" s="210"/>
      <c r="B70" s="1489"/>
      <c r="C70" s="1520" t="s">
        <v>1205</v>
      </c>
      <c r="D70" s="1430" t="s">
        <v>137</v>
      </c>
      <c r="E70" s="1683"/>
      <c r="F70" s="1686"/>
      <c r="G70" s="1640"/>
      <c r="H70" s="191"/>
      <c r="I70" s="185"/>
    </row>
    <row r="71" spans="1:12" ht="13.5" customHeight="1">
      <c r="A71" s="210"/>
      <c r="B71" s="1490"/>
      <c r="C71" s="1420" t="s">
        <v>1182</v>
      </c>
      <c r="D71" s="1468" t="s">
        <v>643</v>
      </c>
      <c r="E71" s="1683"/>
      <c r="F71" s="1686"/>
      <c r="G71" s="1640"/>
      <c r="H71" s="191"/>
      <c r="I71" s="185"/>
    </row>
    <row r="72" spans="1:12" ht="13.5" customHeight="1">
      <c r="A72" s="210"/>
      <c r="B72" s="1490"/>
      <c r="C72" s="1520" t="s">
        <v>1183</v>
      </c>
      <c r="D72" s="1430" t="s">
        <v>642</v>
      </c>
      <c r="E72" s="1683"/>
      <c r="F72" s="1686"/>
      <c r="G72" s="1640"/>
      <c r="H72" s="191"/>
      <c r="I72" s="185"/>
    </row>
    <row r="73" spans="1:12" ht="13.5" customHeight="1">
      <c r="A73" s="210"/>
      <c r="B73" s="1490"/>
      <c r="C73" s="1420" t="s">
        <v>1184</v>
      </c>
      <c r="D73" s="1468" t="s">
        <v>644</v>
      </c>
      <c r="E73" s="1683"/>
      <c r="F73" s="1686"/>
      <c r="G73" s="1640"/>
      <c r="H73" s="191"/>
      <c r="I73" s="185"/>
    </row>
    <row r="74" spans="1:12" ht="13.5" customHeight="1">
      <c r="A74" s="210"/>
      <c r="B74" s="1490"/>
      <c r="C74" s="1520" t="s">
        <v>1185</v>
      </c>
      <c r="D74" s="1430" t="s">
        <v>645</v>
      </c>
      <c r="E74" s="1684"/>
      <c r="F74" s="1687"/>
      <c r="G74" s="1641"/>
      <c r="H74" s="191"/>
      <c r="I74" s="185"/>
    </row>
    <row r="75" spans="1:12">
      <c r="A75" s="210"/>
      <c r="B75" s="1491"/>
      <c r="C75" s="1420" t="s">
        <v>1186</v>
      </c>
      <c r="D75" s="1045" t="s">
        <v>712</v>
      </c>
      <c r="E75" s="1030" t="s">
        <v>1240</v>
      </c>
      <c r="F75" s="1679" t="s">
        <v>1237</v>
      </c>
      <c r="G75" s="1679"/>
      <c r="H75" s="191"/>
      <c r="I75" s="185"/>
    </row>
    <row r="76" spans="1:12" ht="60">
      <c r="A76" s="210"/>
      <c r="B76" s="1512">
        <v>59</v>
      </c>
      <c r="C76" s="1520" t="s">
        <v>1187</v>
      </c>
      <c r="D76" s="1431" t="s">
        <v>713</v>
      </c>
      <c r="E76" s="1456" t="s">
        <v>715</v>
      </c>
      <c r="F76" s="1677" t="s">
        <v>1237</v>
      </c>
      <c r="G76" s="1678"/>
      <c r="H76" s="191"/>
      <c r="I76" s="185"/>
    </row>
    <row r="77" spans="1:12" ht="36">
      <c r="A77" s="210"/>
      <c r="B77" s="1453">
        <v>60</v>
      </c>
      <c r="C77" s="1420" t="s">
        <v>1188</v>
      </c>
      <c r="D77" s="1045" t="s">
        <v>714</v>
      </c>
      <c r="E77" s="1030" t="s">
        <v>716</v>
      </c>
      <c r="F77" s="1675" t="s">
        <v>1237</v>
      </c>
      <c r="G77" s="1676"/>
      <c r="H77" s="191"/>
      <c r="I77" s="185"/>
    </row>
    <row r="78" spans="1:12" ht="24">
      <c r="A78" s="210"/>
      <c r="B78" s="1512">
        <v>61</v>
      </c>
      <c r="C78" s="1527" t="s">
        <v>1189</v>
      </c>
      <c r="D78" s="1431" t="s">
        <v>719</v>
      </c>
      <c r="E78" s="1456" t="s">
        <v>720</v>
      </c>
      <c r="F78" s="1677" t="s">
        <v>1237</v>
      </c>
      <c r="G78" s="1678"/>
      <c r="H78" s="191"/>
      <c r="I78" s="185"/>
    </row>
    <row r="79" spans="1:12" ht="24">
      <c r="A79" s="210"/>
      <c r="B79" s="1453">
        <v>62</v>
      </c>
      <c r="C79" s="1420" t="s">
        <v>1220</v>
      </c>
      <c r="D79" s="1045" t="s">
        <v>717</v>
      </c>
      <c r="E79" s="1030" t="s">
        <v>718</v>
      </c>
      <c r="F79" s="1484" t="s">
        <v>1237</v>
      </c>
      <c r="G79" s="1534" t="s">
        <v>1252</v>
      </c>
      <c r="H79" s="191"/>
      <c r="I79" s="185"/>
    </row>
    <row r="80" spans="1:12" ht="40.5" customHeight="1">
      <c r="A80" s="429"/>
      <c r="B80" s="1444"/>
      <c r="C80" s="1047"/>
      <c r="D80" s="1048"/>
      <c r="E80" s="1048"/>
      <c r="F80" s="1496"/>
      <c r="G80" s="1496"/>
      <c r="H80" s="432"/>
      <c r="I80" s="185"/>
    </row>
    <row r="81" spans="1:12" ht="11.25" customHeight="1">
      <c r="A81" s="176"/>
      <c r="B81" s="177"/>
      <c r="C81" s="1049"/>
      <c r="D81" s="1050"/>
      <c r="E81" s="1050"/>
      <c r="F81" s="1495"/>
      <c r="G81" s="1495"/>
      <c r="H81" s="190"/>
      <c r="I81" s="175"/>
    </row>
    <row r="82" spans="1:12" s="60" customFormat="1" ht="16.5" customHeight="1">
      <c r="A82" s="211"/>
      <c r="B82" s="1428"/>
      <c r="C82" s="1426" t="s">
        <v>1152</v>
      </c>
      <c r="D82" s="1426" t="s">
        <v>695</v>
      </c>
      <c r="E82" s="1427" t="s">
        <v>698</v>
      </c>
      <c r="F82" s="1673" t="s">
        <v>1253</v>
      </c>
      <c r="G82" s="1674"/>
      <c r="H82" s="192"/>
      <c r="I82" s="119"/>
      <c r="J82" s="53"/>
      <c r="K82" s="53"/>
      <c r="L82" s="53"/>
    </row>
    <row r="83" spans="1:12" s="60" customFormat="1" ht="15" customHeight="1">
      <c r="A83" s="211"/>
      <c r="B83" s="1651" t="s">
        <v>21</v>
      </c>
      <c r="C83" s="1652"/>
      <c r="D83" s="1652"/>
      <c r="E83" s="1652"/>
      <c r="F83" s="1652"/>
      <c r="G83" s="1653"/>
      <c r="H83" s="192"/>
      <c r="I83" s="119"/>
      <c r="J83" s="53"/>
      <c r="K83" s="53"/>
      <c r="L83" s="53"/>
    </row>
    <row r="84" spans="1:12" ht="24" customHeight="1">
      <c r="A84" s="210"/>
      <c r="B84" s="1512">
        <v>65</v>
      </c>
      <c r="C84" s="1517" t="s">
        <v>1221</v>
      </c>
      <c r="D84" s="1431" t="s">
        <v>721</v>
      </c>
      <c r="E84" s="1456" t="s">
        <v>723</v>
      </c>
      <c r="F84" s="1482" t="s">
        <v>1237</v>
      </c>
      <c r="G84" s="1535" t="s">
        <v>1252</v>
      </c>
      <c r="H84" s="191"/>
      <c r="I84" s="185"/>
    </row>
    <row r="85" spans="1:12" ht="24">
      <c r="A85" s="210"/>
      <c r="B85" s="1453">
        <v>68</v>
      </c>
      <c r="C85" s="1438" t="s">
        <v>1190</v>
      </c>
      <c r="D85" s="1045" t="s">
        <v>1254</v>
      </c>
      <c r="E85" s="1452" t="s">
        <v>722</v>
      </c>
      <c r="F85" s="1675" t="s">
        <v>1237</v>
      </c>
      <c r="G85" s="1676"/>
      <c r="H85" s="191"/>
      <c r="I85" s="185"/>
    </row>
    <row r="86" spans="1:12" ht="24" customHeight="1">
      <c r="A86" s="210"/>
      <c r="B86" s="1512">
        <v>69</v>
      </c>
      <c r="C86" s="1517" t="s">
        <v>1222</v>
      </c>
      <c r="D86" s="1431" t="s">
        <v>647</v>
      </c>
      <c r="E86" s="1456" t="s">
        <v>1242</v>
      </c>
      <c r="F86" s="1482" t="s">
        <v>1237</v>
      </c>
      <c r="G86" s="1535" t="s">
        <v>1252</v>
      </c>
      <c r="H86" s="191"/>
      <c r="I86" s="185"/>
    </row>
    <row r="87" spans="1:12" ht="24">
      <c r="A87" s="210"/>
      <c r="B87" s="1453">
        <v>71</v>
      </c>
      <c r="C87" s="1438" t="s">
        <v>1206</v>
      </c>
      <c r="D87" s="1032" t="s">
        <v>1247</v>
      </c>
      <c r="E87" s="1030" t="s">
        <v>1200</v>
      </c>
      <c r="F87" s="1675" t="s">
        <v>1237</v>
      </c>
      <c r="G87" s="1676"/>
      <c r="H87" s="191"/>
      <c r="I87" s="185"/>
    </row>
    <row r="88" spans="1:12" ht="24">
      <c r="A88" s="210"/>
      <c r="B88" s="1512">
        <v>72</v>
      </c>
      <c r="C88" s="1528" t="s">
        <v>1241</v>
      </c>
      <c r="D88" s="1455" t="s">
        <v>1279</v>
      </c>
      <c r="E88" s="1456" t="s">
        <v>1201</v>
      </c>
      <c r="F88" s="1677" t="s">
        <v>1237</v>
      </c>
      <c r="G88" s="1678"/>
      <c r="H88" s="191"/>
      <c r="I88" s="185"/>
    </row>
    <row r="89" spans="1:12" ht="24">
      <c r="A89" s="210"/>
      <c r="B89" s="1465">
        <v>73</v>
      </c>
      <c r="C89" s="1437" t="s">
        <v>1192</v>
      </c>
      <c r="D89" s="1032" t="s">
        <v>1239</v>
      </c>
      <c r="E89" s="1030" t="s">
        <v>1297</v>
      </c>
      <c r="F89" s="1675" t="s">
        <v>1237</v>
      </c>
      <c r="G89" s="1676"/>
      <c r="H89" s="191"/>
      <c r="I89" s="185"/>
    </row>
    <row r="90" spans="1:12" s="60" customFormat="1" ht="15" customHeight="1">
      <c r="A90" s="211"/>
      <c r="B90" s="1651" t="s">
        <v>29</v>
      </c>
      <c r="C90" s="1652"/>
      <c r="D90" s="1652"/>
      <c r="E90" s="1652"/>
      <c r="F90" s="1652"/>
      <c r="G90" s="1653"/>
      <c r="H90" s="192"/>
      <c r="I90" s="119"/>
      <c r="J90" s="53"/>
      <c r="K90" s="53"/>
      <c r="L90" s="53"/>
    </row>
    <row r="91" spans="1:12">
      <c r="A91" s="210"/>
      <c r="B91" s="1512">
        <v>75</v>
      </c>
      <c r="C91" s="1527" t="s">
        <v>1191</v>
      </c>
      <c r="D91" s="1455" t="s">
        <v>731</v>
      </c>
      <c r="E91" s="1456" t="s">
        <v>732</v>
      </c>
      <c r="F91" s="1677" t="s">
        <v>1237</v>
      </c>
      <c r="G91" s="1678"/>
      <c r="H91" s="191"/>
      <c r="I91" s="185"/>
    </row>
    <row r="92" spans="1:12" ht="72">
      <c r="A92" s="210"/>
      <c r="B92" s="1453">
        <v>77</v>
      </c>
      <c r="C92" s="1437" t="s">
        <v>1193</v>
      </c>
      <c r="D92" s="1045" t="s">
        <v>733</v>
      </c>
      <c r="E92" s="1470" t="s">
        <v>734</v>
      </c>
      <c r="F92" s="1675" t="s">
        <v>1237</v>
      </c>
      <c r="G92" s="1676"/>
      <c r="H92" s="191"/>
      <c r="I92" s="185"/>
    </row>
    <row r="93" spans="1:12" ht="36">
      <c r="A93" s="210"/>
      <c r="B93" s="1512">
        <v>77</v>
      </c>
      <c r="C93" s="1527" t="s">
        <v>930</v>
      </c>
      <c r="D93" s="1431" t="s">
        <v>1244</v>
      </c>
      <c r="E93" s="1456" t="s">
        <v>1281</v>
      </c>
      <c r="F93" s="1680" t="s">
        <v>1243</v>
      </c>
      <c r="G93" s="1681"/>
      <c r="H93" s="191"/>
      <c r="I93" s="185"/>
    </row>
    <row r="94" spans="1:12" s="60" customFormat="1" ht="15" customHeight="1">
      <c r="A94" s="211"/>
      <c r="B94" s="1651" t="s">
        <v>593</v>
      </c>
      <c r="C94" s="1652" t="s">
        <v>593</v>
      </c>
      <c r="D94" s="1652"/>
      <c r="E94" s="1652"/>
      <c r="F94" s="1652"/>
      <c r="G94" s="1653"/>
      <c r="H94" s="192"/>
      <c r="I94" s="119"/>
      <c r="J94" s="53"/>
      <c r="K94" s="53"/>
      <c r="L94" s="53"/>
    </row>
    <row r="95" spans="1:12">
      <c r="A95" s="210"/>
      <c r="B95" s="1453">
        <v>80</v>
      </c>
      <c r="C95" s="1437" t="s">
        <v>1195</v>
      </c>
      <c r="D95" s="1045" t="s">
        <v>724</v>
      </c>
      <c r="E95" s="1030" t="s">
        <v>725</v>
      </c>
      <c r="F95" s="1675" t="s">
        <v>1237</v>
      </c>
      <c r="G95" s="1676"/>
      <c r="H95" s="191"/>
      <c r="I95" s="185"/>
    </row>
    <row r="96" spans="1:12" ht="24">
      <c r="A96" s="210"/>
      <c r="B96" s="1512">
        <v>83</v>
      </c>
      <c r="C96" s="1527" t="s">
        <v>1196</v>
      </c>
      <c r="D96" s="1431" t="s">
        <v>726</v>
      </c>
      <c r="E96" s="1456" t="s">
        <v>727</v>
      </c>
      <c r="F96" s="1677" t="s">
        <v>1237</v>
      </c>
      <c r="G96" s="1678"/>
      <c r="H96" s="191"/>
      <c r="I96" s="185"/>
    </row>
    <row r="97" spans="1:12" ht="24">
      <c r="A97" s="210"/>
      <c r="B97" s="1453">
        <v>84</v>
      </c>
      <c r="C97" s="1437" t="s">
        <v>1197</v>
      </c>
      <c r="D97" s="1045" t="s">
        <v>728</v>
      </c>
      <c r="E97" s="1030" t="s">
        <v>729</v>
      </c>
      <c r="F97" s="1675" t="s">
        <v>1237</v>
      </c>
      <c r="G97" s="1676"/>
      <c r="H97" s="191"/>
      <c r="I97" s="185"/>
    </row>
    <row r="98" spans="1:12" ht="24">
      <c r="A98" s="210"/>
      <c r="B98" s="1512">
        <v>85</v>
      </c>
      <c r="C98" s="1527" t="s">
        <v>1198</v>
      </c>
      <c r="D98" s="1431" t="s">
        <v>696</v>
      </c>
      <c r="E98" s="1456" t="s">
        <v>730</v>
      </c>
      <c r="F98" s="1677" t="s">
        <v>1237</v>
      </c>
      <c r="G98" s="1678"/>
      <c r="H98" s="191"/>
      <c r="I98" s="185"/>
    </row>
    <row r="99" spans="1:12" ht="24">
      <c r="A99" s="210"/>
      <c r="B99" s="1469">
        <v>86</v>
      </c>
      <c r="C99" s="1438" t="s">
        <v>1194</v>
      </c>
      <c r="D99" s="1032" t="s">
        <v>1246</v>
      </c>
      <c r="E99" s="1030" t="s">
        <v>1245</v>
      </c>
      <c r="F99" s="1675" t="s">
        <v>1237</v>
      </c>
      <c r="G99" s="1676"/>
      <c r="H99" s="191"/>
      <c r="I99" s="185"/>
    </row>
    <row r="100" spans="1:12" s="60" customFormat="1" ht="15" customHeight="1">
      <c r="A100" s="211"/>
      <c r="B100" s="1651" t="s">
        <v>738</v>
      </c>
      <c r="C100" s="1652" t="s">
        <v>738</v>
      </c>
      <c r="D100" s="1652"/>
      <c r="E100" s="1652"/>
      <c r="F100" s="1652"/>
      <c r="G100" s="1653"/>
      <c r="H100" s="192"/>
      <c r="I100" s="119"/>
      <c r="J100" s="53"/>
      <c r="K100" s="53"/>
      <c r="L100" s="53"/>
    </row>
    <row r="101" spans="1:12" ht="29.25" customHeight="1">
      <c r="A101" s="210"/>
      <c r="B101" s="1512">
        <v>87</v>
      </c>
      <c r="C101" s="1528" t="s">
        <v>1207</v>
      </c>
      <c r="D101" s="1455" t="s">
        <v>662</v>
      </c>
      <c r="E101" s="1456" t="s">
        <v>917</v>
      </c>
      <c r="F101" s="1677" t="s">
        <v>1249</v>
      </c>
      <c r="G101" s="1678"/>
      <c r="H101" s="191"/>
      <c r="I101" s="185"/>
    </row>
    <row r="102" spans="1:12" customFormat="1" ht="36" customHeight="1">
      <c r="A102" s="1479"/>
      <c r="B102" s="1480"/>
      <c r="C102" s="1480"/>
      <c r="D102" s="1480"/>
      <c r="E102" s="1480"/>
      <c r="F102" s="1497"/>
      <c r="G102" s="1497"/>
      <c r="H102" s="1481"/>
      <c r="I102" s="185"/>
      <c r="J102" s="53"/>
    </row>
    <row r="103" spans="1:12" customFormat="1" ht="11.25" customHeight="1">
      <c r="A103" s="1471"/>
      <c r="B103" s="168"/>
      <c r="C103" s="168"/>
      <c r="D103" s="168"/>
      <c r="E103" s="168"/>
      <c r="F103" s="1498"/>
      <c r="G103" s="1498"/>
      <c r="H103" s="1472"/>
      <c r="I103" s="185"/>
      <c r="J103" s="53"/>
    </row>
    <row r="104" spans="1:12" s="60" customFormat="1" ht="15" customHeight="1">
      <c r="A104" s="211"/>
      <c r="B104" s="1651" t="s">
        <v>738</v>
      </c>
      <c r="C104" s="1652" t="s">
        <v>738</v>
      </c>
      <c r="D104" s="1652"/>
      <c r="E104" s="1652"/>
      <c r="F104" s="1652"/>
      <c r="G104" s="1653"/>
      <c r="H104" s="192"/>
      <c r="I104" s="119"/>
      <c r="J104" s="53"/>
      <c r="K104" s="53"/>
      <c r="L104" s="53"/>
    </row>
    <row r="105" spans="1:12" ht="29.25" customHeight="1">
      <c r="A105" s="210"/>
      <c r="B105" s="1453">
        <v>89</v>
      </c>
      <c r="C105" s="1437" t="s">
        <v>1208</v>
      </c>
      <c r="D105" s="1045" t="s">
        <v>594</v>
      </c>
      <c r="E105" s="1030" t="s">
        <v>918</v>
      </c>
      <c r="F105" s="1675" t="s">
        <v>1249</v>
      </c>
      <c r="G105" s="1676"/>
      <c r="H105" s="191"/>
      <c r="I105" s="185"/>
    </row>
    <row r="106" spans="1:12" ht="29.25" customHeight="1">
      <c r="A106" s="210"/>
      <c r="B106" s="1453">
        <v>90</v>
      </c>
      <c r="C106" s="1437" t="s">
        <v>1209</v>
      </c>
      <c r="D106" s="1045" t="s">
        <v>595</v>
      </c>
      <c r="E106" s="1030" t="s">
        <v>916</v>
      </c>
      <c r="F106" s="1675" t="s">
        <v>1249</v>
      </c>
      <c r="G106" s="1676"/>
      <c r="H106" s="191"/>
      <c r="I106" s="185"/>
    </row>
    <row r="107" spans="1:12" s="60" customFormat="1" ht="15" customHeight="1">
      <c r="A107" s="211"/>
      <c r="B107" s="1651" t="s">
        <v>1203</v>
      </c>
      <c r="C107" s="1652" t="s">
        <v>1203</v>
      </c>
      <c r="D107" s="1652"/>
      <c r="E107" s="1652"/>
      <c r="F107" s="1652"/>
      <c r="G107" s="1653"/>
      <c r="H107" s="192"/>
      <c r="I107" s="119"/>
      <c r="J107" s="53"/>
      <c r="K107" s="53"/>
      <c r="L107" s="53"/>
    </row>
    <row r="108" spans="1:12" ht="29.25" customHeight="1">
      <c r="A108" s="210"/>
      <c r="B108" s="1453">
        <v>91</v>
      </c>
      <c r="C108" s="1438" t="s">
        <v>1223</v>
      </c>
      <c r="D108" s="1032" t="s">
        <v>1202</v>
      </c>
      <c r="E108" s="1030" t="s">
        <v>1251</v>
      </c>
      <c r="F108" s="1675" t="s">
        <v>1202</v>
      </c>
      <c r="G108" s="1676"/>
      <c r="H108" s="191"/>
      <c r="I108" s="185"/>
    </row>
    <row r="109" spans="1:12" ht="29.25" customHeight="1">
      <c r="A109" s="210"/>
      <c r="B109" s="1453">
        <v>93</v>
      </c>
      <c r="C109" s="1438" t="s">
        <v>1199</v>
      </c>
      <c r="D109" s="1032" t="s">
        <v>697</v>
      </c>
      <c r="E109" s="1030" t="s">
        <v>735</v>
      </c>
      <c r="F109" s="1675" t="s">
        <v>1250</v>
      </c>
      <c r="G109" s="1676"/>
      <c r="H109" s="191"/>
      <c r="I109" s="185"/>
    </row>
    <row r="110" spans="1:12" ht="74.25" customHeight="1">
      <c r="A110" s="210"/>
      <c r="B110" s="2"/>
      <c r="C110" s="1447"/>
      <c r="D110" s="1434"/>
      <c r="E110" s="1434"/>
      <c r="F110" s="1499"/>
      <c r="G110" s="1499"/>
      <c r="H110" s="191"/>
      <c r="I110" s="185"/>
    </row>
    <row r="111" spans="1:12" ht="75" customHeight="1">
      <c r="A111" s="210"/>
      <c r="B111" s="2"/>
      <c r="C111" s="1473"/>
      <c r="D111" s="2"/>
      <c r="E111" s="2"/>
      <c r="F111" s="1500"/>
      <c r="G111" s="1500"/>
      <c r="H111" s="191"/>
      <c r="I111" s="185"/>
    </row>
    <row r="112" spans="1:12" ht="74.25" customHeight="1">
      <c r="A112" s="210"/>
      <c r="B112" s="2"/>
      <c r="C112" s="1473"/>
      <c r="D112" s="2"/>
      <c r="E112" s="2"/>
      <c r="F112" s="1500"/>
      <c r="G112" s="1500"/>
      <c r="H112" s="191"/>
      <c r="I112" s="185"/>
    </row>
    <row r="113" spans="1:11" ht="42" customHeight="1">
      <c r="A113" s="1474"/>
      <c r="B113" s="1445"/>
      <c r="C113" s="1475"/>
      <c r="D113" s="50"/>
      <c r="E113" s="50"/>
      <c r="F113" s="1501"/>
      <c r="G113" s="1501"/>
      <c r="H113" s="194"/>
      <c r="I113" s="185"/>
    </row>
    <row r="114" spans="1:11" ht="74.25" customHeight="1">
      <c r="A114" s="1474"/>
      <c r="B114" s="1445"/>
      <c r="C114" s="1475"/>
      <c r="D114" s="50"/>
      <c r="E114" s="50"/>
      <c r="F114" s="1501"/>
      <c r="G114" s="1501"/>
      <c r="H114" s="194"/>
      <c r="I114" s="185"/>
    </row>
    <row r="115" spans="1:11" ht="33.75" customHeight="1">
      <c r="A115" s="1476"/>
      <c r="B115" s="1446"/>
      <c r="C115" s="1439"/>
      <c r="D115" s="1477"/>
      <c r="E115" s="1477"/>
      <c r="F115" s="1502"/>
      <c r="G115" s="1502"/>
      <c r="H115" s="1478"/>
      <c r="I115" s="185"/>
    </row>
    <row r="116" spans="1:11" s="52" customFormat="1">
      <c r="A116" s="106"/>
      <c r="B116" s="5"/>
      <c r="C116" s="705"/>
      <c r="D116" s="5"/>
      <c r="E116" s="5"/>
      <c r="F116" s="1503"/>
      <c r="G116" s="1503"/>
      <c r="H116" s="9"/>
      <c r="I116" s="104"/>
      <c r="K116" s="53"/>
    </row>
    <row r="117" spans="1:11" s="52" customFormat="1">
      <c r="A117" s="106"/>
      <c r="B117" s="5"/>
      <c r="C117" s="705"/>
      <c r="D117" s="5"/>
      <c r="E117" s="5"/>
      <c r="F117" s="1503"/>
      <c r="G117" s="1503"/>
      <c r="H117" s="9"/>
      <c r="I117" s="104"/>
      <c r="K117" s="53"/>
    </row>
    <row r="118" spans="1:11" s="52" customFormat="1" ht="15.75">
      <c r="A118" s="106"/>
      <c r="B118" s="5"/>
      <c r="C118" s="1317"/>
      <c r="D118" s="5"/>
      <c r="E118" s="5"/>
      <c r="F118" s="1504"/>
      <c r="G118" s="1504"/>
      <c r="H118" s="9"/>
      <c r="I118" s="104"/>
      <c r="K118" s="53"/>
    </row>
    <row r="119" spans="1:11" s="52" customFormat="1">
      <c r="A119" s="106"/>
      <c r="B119" s="5"/>
      <c r="C119" s="1318"/>
      <c r="D119" s="5"/>
      <c r="E119" s="5"/>
      <c r="F119" s="1536"/>
      <c r="G119" s="1536"/>
      <c r="H119" s="9"/>
      <c r="I119" s="185"/>
      <c r="J119" s="53"/>
      <c r="K119" s="53"/>
    </row>
    <row r="120" spans="1:11" s="52" customFormat="1">
      <c r="A120" s="106"/>
      <c r="B120" s="5"/>
      <c r="C120" s="420"/>
      <c r="D120" s="420"/>
      <c r="E120" s="631"/>
      <c r="F120" s="420"/>
      <c r="G120" s="420"/>
      <c r="H120" s="9"/>
      <c r="I120" s="185"/>
      <c r="J120" s="53"/>
      <c r="K120" s="53"/>
    </row>
    <row r="121" spans="1:11" s="52" customFormat="1">
      <c r="A121" s="106"/>
      <c r="B121" s="5"/>
      <c r="C121" s="420"/>
      <c r="D121" s="420"/>
      <c r="E121" s="631"/>
      <c r="F121" s="420"/>
      <c r="G121" s="420"/>
      <c r="H121" s="9"/>
      <c r="I121" s="185"/>
      <c r="J121" s="53"/>
      <c r="K121" s="53"/>
    </row>
    <row r="122" spans="1:11" s="52" customFormat="1">
      <c r="A122" s="106"/>
      <c r="B122" s="5"/>
      <c r="C122" s="420"/>
      <c r="D122" s="420"/>
      <c r="E122" s="47"/>
      <c r="F122" s="420"/>
      <c r="G122" s="420"/>
      <c r="H122" s="9"/>
      <c r="I122" s="185"/>
      <c r="J122" s="53"/>
      <c r="K122" s="53"/>
    </row>
    <row r="123" spans="1:11" s="52" customFormat="1">
      <c r="A123" s="106"/>
      <c r="B123" s="5"/>
      <c r="C123" s="420"/>
      <c r="D123" s="420"/>
      <c r="E123" s="47"/>
      <c r="F123" s="420"/>
      <c r="G123" s="420"/>
      <c r="H123" s="9"/>
      <c r="I123" s="185"/>
      <c r="J123" s="53"/>
      <c r="K123" s="53"/>
    </row>
    <row r="124" spans="1:11" s="52" customFormat="1">
      <c r="A124" s="106"/>
      <c r="B124" s="5"/>
      <c r="C124" s="420"/>
      <c r="D124" s="420"/>
      <c r="E124" s="631"/>
      <c r="F124" s="420"/>
      <c r="G124" s="420"/>
      <c r="H124" s="9"/>
      <c r="I124" s="185"/>
      <c r="J124" s="53"/>
      <c r="K124" s="53"/>
    </row>
    <row r="125" spans="1:11" s="52" customFormat="1">
      <c r="A125" s="106"/>
      <c r="B125" s="5"/>
      <c r="C125" s="420"/>
      <c r="D125" s="420"/>
      <c r="E125" s="631"/>
      <c r="F125" s="420"/>
      <c r="G125" s="420"/>
      <c r="H125" s="9"/>
      <c r="I125" s="185"/>
      <c r="J125" s="53"/>
      <c r="K125" s="53"/>
    </row>
    <row r="126" spans="1:11" s="52" customFormat="1">
      <c r="A126" s="106"/>
      <c r="B126" s="5"/>
      <c r="C126" s="420"/>
      <c r="D126" s="420"/>
      <c r="E126" s="47"/>
      <c r="F126" s="420"/>
      <c r="G126" s="420"/>
      <c r="H126" s="9"/>
      <c r="I126" s="185"/>
      <c r="J126" s="53"/>
      <c r="K126" s="53"/>
    </row>
    <row r="127" spans="1:11" s="52" customFormat="1">
      <c r="A127" s="106"/>
      <c r="B127" s="5"/>
      <c r="C127" s="420"/>
      <c r="D127" s="420"/>
      <c r="E127" s="47"/>
      <c r="F127" s="420"/>
      <c r="G127" s="420"/>
      <c r="H127" s="9"/>
      <c r="I127" s="185"/>
      <c r="J127" s="53"/>
      <c r="K127" s="53"/>
    </row>
    <row r="128" spans="1:11" s="52" customFormat="1">
      <c r="A128" s="106"/>
      <c r="B128" s="5"/>
      <c r="C128" s="420"/>
      <c r="D128" s="420"/>
      <c r="E128" s="47"/>
      <c r="F128" s="420"/>
      <c r="G128" s="420"/>
      <c r="H128" s="9"/>
      <c r="I128" s="185"/>
      <c r="J128" s="53"/>
      <c r="K128" s="53"/>
    </row>
    <row r="129" spans="1:11" s="52" customFormat="1">
      <c r="A129" s="106"/>
      <c r="B129" s="5"/>
      <c r="C129" s="420"/>
      <c r="D129" s="420"/>
      <c r="E129" s="47"/>
      <c r="F129" s="420"/>
      <c r="G129" s="420"/>
      <c r="H129" s="9"/>
      <c r="I129" s="185"/>
      <c r="J129" s="53"/>
      <c r="K129" s="53"/>
    </row>
    <row r="130" spans="1:11" s="52" customFormat="1">
      <c r="A130" s="106"/>
      <c r="B130" s="5"/>
      <c r="C130" s="420"/>
      <c r="D130" s="420"/>
      <c r="E130" s="47"/>
      <c r="F130" s="420"/>
      <c r="G130" s="420"/>
      <c r="H130" s="9"/>
      <c r="I130" s="185"/>
      <c r="J130" s="53"/>
      <c r="K130" s="53"/>
    </row>
    <row r="131" spans="1:11" s="52" customFormat="1">
      <c r="A131" s="106"/>
      <c r="B131" s="5"/>
      <c r="C131" s="420"/>
      <c r="D131" s="420"/>
      <c r="E131" s="47"/>
      <c r="F131" s="420"/>
      <c r="G131" s="420"/>
      <c r="H131" s="9"/>
      <c r="I131" s="185"/>
      <c r="J131" s="53"/>
      <c r="K131" s="53"/>
    </row>
    <row r="132" spans="1:11" s="52" customFormat="1">
      <c r="A132" s="106"/>
      <c r="B132" s="5"/>
      <c r="C132" s="420"/>
      <c r="D132" s="420"/>
      <c r="E132" s="47"/>
      <c r="F132" s="420"/>
      <c r="G132" s="420"/>
      <c r="H132" s="9"/>
      <c r="I132" s="185"/>
      <c r="J132" s="53"/>
      <c r="K132" s="53"/>
    </row>
    <row r="133" spans="1:11" s="52" customFormat="1">
      <c r="A133" s="106"/>
      <c r="B133" s="5"/>
      <c r="C133" s="420"/>
      <c r="D133" s="420"/>
      <c r="E133" s="47"/>
      <c r="F133" s="420"/>
      <c r="G133" s="420"/>
      <c r="H133" s="9"/>
      <c r="I133" s="185"/>
      <c r="J133" s="53"/>
      <c r="K133" s="53"/>
    </row>
    <row r="134" spans="1:11" s="52" customFormat="1">
      <c r="A134" s="106"/>
      <c r="B134" s="5"/>
      <c r="C134" s="420"/>
      <c r="D134" s="420"/>
      <c r="E134" s="47"/>
      <c r="F134" s="420"/>
      <c r="G134" s="420"/>
      <c r="H134" s="9"/>
      <c r="I134" s="185"/>
      <c r="J134" s="53"/>
      <c r="K134" s="53"/>
    </row>
    <row r="135" spans="1:11" s="52" customFormat="1">
      <c r="A135" s="106"/>
      <c r="B135" s="5"/>
      <c r="C135" s="420"/>
      <c r="D135" s="420"/>
      <c r="E135" s="47"/>
      <c r="F135" s="420"/>
      <c r="G135" s="420"/>
      <c r="H135" s="9"/>
      <c r="I135" s="185"/>
      <c r="J135" s="53"/>
      <c r="K135" s="53"/>
    </row>
    <row r="136" spans="1:11" s="52" customFormat="1">
      <c r="A136" s="106"/>
      <c r="B136" s="5"/>
      <c r="C136" s="420"/>
      <c r="D136" s="420"/>
      <c r="E136" s="47"/>
      <c r="F136" s="420"/>
      <c r="G136" s="420"/>
      <c r="H136" s="9"/>
      <c r="I136" s="185"/>
      <c r="J136" s="53"/>
      <c r="K136" s="53"/>
    </row>
    <row r="137" spans="1:11" s="52" customFormat="1">
      <c r="A137" s="106"/>
      <c r="B137" s="5"/>
      <c r="C137" s="420"/>
      <c r="D137" s="420"/>
      <c r="E137" s="47"/>
      <c r="F137" s="420"/>
      <c r="G137" s="420"/>
      <c r="H137" s="9"/>
      <c r="I137" s="185"/>
      <c r="J137" s="53"/>
      <c r="K137" s="53"/>
    </row>
    <row r="138" spans="1:11" s="52" customFormat="1">
      <c r="A138" s="106"/>
      <c r="B138" s="5"/>
      <c r="C138" s="420"/>
      <c r="D138" s="420"/>
      <c r="E138" s="47"/>
      <c r="F138" s="420"/>
      <c r="G138" s="420"/>
      <c r="H138" s="9"/>
      <c r="I138" s="185"/>
      <c r="J138" s="53"/>
      <c r="K138" s="53"/>
    </row>
    <row r="139" spans="1:11" s="52" customFormat="1">
      <c r="A139" s="106"/>
      <c r="B139" s="5"/>
      <c r="C139" s="420"/>
      <c r="D139" s="420"/>
      <c r="E139" s="47"/>
      <c r="F139" s="420"/>
      <c r="G139" s="420"/>
      <c r="H139" s="9"/>
      <c r="I139" s="185"/>
      <c r="J139" s="53"/>
      <c r="K139" s="53"/>
    </row>
    <row r="140" spans="1:11" s="52" customFormat="1">
      <c r="A140" s="106"/>
      <c r="B140" s="5"/>
      <c r="C140" s="420"/>
      <c r="D140" s="420"/>
      <c r="E140" s="47"/>
      <c r="F140" s="420"/>
      <c r="G140" s="420"/>
      <c r="H140" s="9"/>
      <c r="I140" s="185"/>
      <c r="J140" s="53"/>
      <c r="K140" s="53"/>
    </row>
    <row r="141" spans="1:11" s="52" customFormat="1">
      <c r="A141" s="106"/>
      <c r="B141" s="5"/>
      <c r="C141" s="420"/>
      <c r="D141" s="420"/>
      <c r="E141" s="47"/>
      <c r="F141" s="420"/>
      <c r="G141" s="420"/>
      <c r="H141" s="9"/>
      <c r="I141" s="185"/>
      <c r="J141" s="53"/>
      <c r="K141" s="53"/>
    </row>
    <row r="142" spans="1:11" s="52" customFormat="1">
      <c r="A142" s="106"/>
      <c r="B142" s="5"/>
      <c r="C142" s="420"/>
      <c r="D142" s="420"/>
      <c r="E142" s="47"/>
      <c r="F142" s="420"/>
      <c r="G142" s="420"/>
      <c r="H142" s="9"/>
      <c r="I142" s="185"/>
      <c r="J142" s="53"/>
      <c r="K142" s="53"/>
    </row>
    <row r="143" spans="1:11" s="52" customFormat="1">
      <c r="A143" s="106"/>
      <c r="B143" s="5"/>
      <c r="C143" s="420"/>
      <c r="D143" s="420"/>
      <c r="E143" s="631"/>
      <c r="F143" s="420"/>
      <c r="G143" s="420"/>
      <c r="H143" s="9"/>
      <c r="I143" s="185"/>
      <c r="J143" s="53"/>
      <c r="K143" s="53"/>
    </row>
    <row r="144" spans="1:11" s="52" customFormat="1">
      <c r="A144" s="106"/>
      <c r="B144" s="5"/>
      <c r="C144" s="420"/>
      <c r="D144" s="420"/>
      <c r="E144" s="631"/>
      <c r="F144" s="420"/>
      <c r="G144" s="420"/>
      <c r="H144" s="9"/>
      <c r="I144" s="185"/>
      <c r="J144" s="53"/>
      <c r="K144" s="53"/>
    </row>
    <row r="145" spans="1:11" s="52" customFormat="1">
      <c r="A145" s="106"/>
      <c r="B145" s="5"/>
      <c r="C145" s="420"/>
      <c r="D145" s="420"/>
      <c r="E145" s="631"/>
      <c r="F145" s="420"/>
      <c r="G145" s="420"/>
      <c r="H145" s="9"/>
      <c r="I145" s="185"/>
      <c r="J145" s="53"/>
      <c r="K145" s="53"/>
    </row>
    <row r="146" spans="1:11" s="52" customFormat="1">
      <c r="A146" s="106"/>
      <c r="B146" s="5"/>
      <c r="C146" s="420"/>
      <c r="D146" s="420"/>
      <c r="E146" s="631"/>
      <c r="F146" s="420"/>
      <c r="G146" s="420"/>
      <c r="H146" s="9"/>
      <c r="I146" s="185"/>
      <c r="J146" s="53"/>
      <c r="K146" s="53"/>
    </row>
    <row r="147" spans="1:11" s="52" customFormat="1">
      <c r="A147" s="106"/>
      <c r="B147" s="5"/>
      <c r="C147" s="420"/>
      <c r="D147" s="420"/>
      <c r="E147" s="47"/>
      <c r="F147" s="420"/>
      <c r="G147" s="420"/>
      <c r="H147" s="9"/>
      <c r="I147" s="185"/>
      <c r="J147" s="53"/>
      <c r="K147" s="53"/>
    </row>
    <row r="148" spans="1:11" s="52" customFormat="1">
      <c r="A148" s="106"/>
      <c r="B148" s="5"/>
      <c r="C148" s="420"/>
      <c r="D148" s="420"/>
      <c r="E148" s="47"/>
      <c r="F148" s="420"/>
      <c r="G148" s="420"/>
      <c r="H148" s="9"/>
      <c r="I148" s="185"/>
      <c r="J148" s="53"/>
      <c r="K148" s="53"/>
    </row>
    <row r="149" spans="1:11" s="52" customFormat="1">
      <c r="A149" s="106"/>
      <c r="B149" s="5"/>
      <c r="C149" s="420"/>
      <c r="D149" s="420"/>
      <c r="E149" s="631"/>
      <c r="F149" s="420"/>
      <c r="G149" s="420"/>
      <c r="H149" s="9"/>
      <c r="I149" s="185"/>
      <c r="J149" s="53"/>
      <c r="K149" s="53"/>
    </row>
    <row r="150" spans="1:11" s="52" customFormat="1">
      <c r="A150" s="106"/>
      <c r="B150" s="5"/>
      <c r="C150" s="420"/>
      <c r="D150" s="420"/>
      <c r="E150" s="631"/>
      <c r="F150" s="420"/>
      <c r="G150" s="420"/>
      <c r="H150" s="9"/>
      <c r="I150" s="185"/>
      <c r="J150" s="53"/>
      <c r="K150" s="53"/>
    </row>
    <row r="151" spans="1:11" s="52" customFormat="1">
      <c r="A151" s="106"/>
      <c r="B151" s="5"/>
      <c r="C151" s="420"/>
      <c r="D151" s="420"/>
      <c r="E151" s="631"/>
      <c r="F151" s="420"/>
      <c r="G151" s="420"/>
      <c r="H151" s="9"/>
      <c r="I151" s="185"/>
      <c r="J151" s="53"/>
      <c r="K151" s="53"/>
    </row>
    <row r="152" spans="1:11" s="52" customFormat="1">
      <c r="A152" s="106"/>
      <c r="B152" s="5"/>
      <c r="C152" s="420"/>
      <c r="D152" s="420"/>
      <c r="E152" s="631"/>
      <c r="F152" s="420"/>
      <c r="G152" s="420"/>
      <c r="H152" s="9"/>
      <c r="I152" s="185"/>
      <c r="J152" s="53"/>
      <c r="K152" s="53"/>
    </row>
    <row r="153" spans="1:11">
      <c r="A153" s="189"/>
      <c r="B153" s="187"/>
      <c r="C153" s="706"/>
      <c r="D153" s="187"/>
      <c r="E153" s="216"/>
      <c r="F153" s="1505"/>
      <c r="G153" s="1505"/>
      <c r="H153" s="187"/>
      <c r="I153" s="188"/>
    </row>
    <row r="168" spans="10:11">
      <c r="J168" s="52"/>
      <c r="K168" s="52"/>
    </row>
    <row r="169" spans="10:11">
      <c r="J169" s="52"/>
      <c r="K169" s="52"/>
    </row>
    <row r="170" spans="10:11">
      <c r="J170" s="52"/>
      <c r="K170" s="52"/>
    </row>
    <row r="212" spans="10:11">
      <c r="J212" s="52"/>
      <c r="K212" s="52"/>
    </row>
    <row r="213" spans="10:11">
      <c r="J213" s="52"/>
      <c r="K213" s="52"/>
    </row>
    <row r="214" spans="10:11">
      <c r="J214" s="52"/>
      <c r="K214" s="52"/>
    </row>
    <row r="256" spans="10:11">
      <c r="J256" s="52"/>
      <c r="K256" s="52"/>
    </row>
    <row r="257" spans="10:11">
      <c r="J257" s="52"/>
      <c r="K257" s="52"/>
    </row>
    <row r="258" spans="10:11">
      <c r="J258" s="52"/>
      <c r="K258" s="52"/>
    </row>
    <row r="300" spans="10:11">
      <c r="J300" s="52"/>
      <c r="K300" s="52"/>
    </row>
    <row r="301" spans="10:11">
      <c r="J301" s="52"/>
      <c r="K301" s="52"/>
    </row>
    <row r="302" spans="10:11">
      <c r="J302" s="52"/>
      <c r="K302" s="52"/>
    </row>
    <row r="344" spans="10:11">
      <c r="J344" s="52"/>
      <c r="K344" s="52"/>
    </row>
    <row r="345" spans="10:11">
      <c r="J345" s="52"/>
      <c r="K345" s="52"/>
    </row>
    <row r="346" spans="10:11">
      <c r="J346" s="52"/>
      <c r="K346" s="52"/>
    </row>
    <row r="388" spans="10:11">
      <c r="J388" s="52"/>
      <c r="K388" s="52"/>
    </row>
    <row r="389" spans="10:11">
      <c r="J389" s="52"/>
      <c r="K389" s="52"/>
    </row>
    <row r="390" spans="10:11">
      <c r="J390" s="52"/>
      <c r="K390" s="52"/>
    </row>
    <row r="432" spans="10:11">
      <c r="J432" s="52"/>
      <c r="K432" s="52"/>
    </row>
    <row r="433" spans="10:11">
      <c r="J433" s="52"/>
      <c r="K433" s="52"/>
    </row>
    <row r="434" spans="10:11">
      <c r="J434" s="52"/>
      <c r="K434" s="52"/>
    </row>
    <row r="476" spans="10:11">
      <c r="J476" s="52"/>
      <c r="K476" s="52"/>
    </row>
    <row r="477" spans="10:11">
      <c r="J477" s="52"/>
      <c r="K477" s="52"/>
    </row>
    <row r="478" spans="10:11">
      <c r="J478" s="52"/>
      <c r="K478" s="52"/>
    </row>
  </sheetData>
  <mergeCells count="77">
    <mergeCell ref="F60:G60"/>
    <mergeCell ref="F82:G82"/>
    <mergeCell ref="E69:E74"/>
    <mergeCell ref="F69:G74"/>
    <mergeCell ref="F108:G108"/>
    <mergeCell ref="B61:G61"/>
    <mergeCell ref="F109:G109"/>
    <mergeCell ref="F85:G85"/>
    <mergeCell ref="F98:G98"/>
    <mergeCell ref="F99:G99"/>
    <mergeCell ref="F101:G101"/>
    <mergeCell ref="F105:G105"/>
    <mergeCell ref="F106:G106"/>
    <mergeCell ref="F92:G92"/>
    <mergeCell ref="F93:G93"/>
    <mergeCell ref="F95:G95"/>
    <mergeCell ref="F96:G96"/>
    <mergeCell ref="F97:G97"/>
    <mergeCell ref="B94:G94"/>
    <mergeCell ref="B100:G100"/>
    <mergeCell ref="B107:G107"/>
    <mergeCell ref="B104:G104"/>
    <mergeCell ref="F5:G5"/>
    <mergeCell ref="F87:G87"/>
    <mergeCell ref="F88:G88"/>
    <mergeCell ref="F89:G89"/>
    <mergeCell ref="F91:G91"/>
    <mergeCell ref="F75:G75"/>
    <mergeCell ref="F77:G77"/>
    <mergeCell ref="F78:G78"/>
    <mergeCell ref="F76:G76"/>
    <mergeCell ref="F66:G66"/>
    <mergeCell ref="F65:G65"/>
    <mergeCell ref="F42:G47"/>
    <mergeCell ref="B67:G67"/>
    <mergeCell ref="B83:G83"/>
    <mergeCell ref="B90:G90"/>
    <mergeCell ref="B53:G53"/>
    <mergeCell ref="D33:E33"/>
    <mergeCell ref="D32:E32"/>
    <mergeCell ref="D31:E31"/>
    <mergeCell ref="D30:E30"/>
    <mergeCell ref="E42:E47"/>
    <mergeCell ref="B40:G40"/>
    <mergeCell ref="B37:G37"/>
    <mergeCell ref="F36:G36"/>
    <mergeCell ref="D19:E19"/>
    <mergeCell ref="D20:E20"/>
    <mergeCell ref="D21:E21"/>
    <mergeCell ref="D22:E22"/>
    <mergeCell ref="D29:E29"/>
    <mergeCell ref="D24:E24"/>
    <mergeCell ref="D23:E23"/>
    <mergeCell ref="D25:E25"/>
    <mergeCell ref="D26:E26"/>
    <mergeCell ref="D27:E27"/>
    <mergeCell ref="D28:E28"/>
    <mergeCell ref="D17:E17"/>
    <mergeCell ref="D16:E16"/>
    <mergeCell ref="D15:E15"/>
    <mergeCell ref="D14:E14"/>
    <mergeCell ref="D18:E18"/>
    <mergeCell ref="F25:G28"/>
    <mergeCell ref="G29:G33"/>
    <mergeCell ref="F23:F24"/>
    <mergeCell ref="G23:G24"/>
    <mergeCell ref="F17:G22"/>
    <mergeCell ref="F29:F33"/>
    <mergeCell ref="G14:G16"/>
    <mergeCell ref="F14:F16"/>
    <mergeCell ref="F10:G13"/>
    <mergeCell ref="B6:G6"/>
    <mergeCell ref="D9:E9"/>
    <mergeCell ref="D10:E10"/>
    <mergeCell ref="D11:E11"/>
    <mergeCell ref="D12:E12"/>
    <mergeCell ref="D13:E13"/>
  </mergeCells>
  <phoneticPr fontId="4" type="noConversion"/>
  <hyperlinks>
    <hyperlink ref="C124:E125" location="IDACI!A1" display="IDACI" xr:uid="{00000000-0004-0000-0900-00000E000000}"/>
    <hyperlink ref="C120:E121" location="Indicators!A1" display="Indicators" xr:uid="{00000000-0004-0000-0900-000018000000}"/>
    <hyperlink ref="C143:E144" location="New_Ceased_LAC!A1" display="New/ Ceased Looked After Children" xr:uid="{00000000-0004-0000-0900-00001D000000}"/>
    <hyperlink ref="C145:E146" location="Care_Leavers!A1" display="Care Leavers" xr:uid="{00000000-0004-0000-0900-00001E000000}"/>
    <hyperlink ref="C149:E150" location="NEET!A1" display="Participation (NEET)" xr:uid="{00000000-0004-0000-0900-000022000000}"/>
    <hyperlink ref="C151:E152" location="Offending!A1" display="Offending" xr:uid="{00000000-0004-0000-0900-000023000000}"/>
    <hyperlink ref="F65" r:id="rId1" xr:uid="{DC7ABBD6-148C-4F7A-AB0C-0D2295A6E081}"/>
    <hyperlink ref="F66" r:id="rId2" xr:uid="{C821EF39-ADB3-4C98-8D2C-84544FC4F119}"/>
    <hyperlink ref="F108" r:id="rId3" xr:uid="{CAB79072-07C0-46AE-BAAA-0A52A672BAD4}"/>
    <hyperlink ref="F105" r:id="rId4" xr:uid="{CB71C1AA-6E87-4051-A12C-B5D9AD30FD9F}"/>
    <hyperlink ref="F106" r:id="rId5" xr:uid="{D30ED735-4BB7-48CD-858F-C688AE7C6161}"/>
    <hyperlink ref="F101" r:id="rId6" xr:uid="{AD05A679-1A6D-4CFC-98A3-B76CDA243969}"/>
    <hyperlink ref="F85" r:id="rId7" xr:uid="{E510A651-B65B-4C9F-B7E5-3333EACD7EFD}"/>
    <hyperlink ref="F87:F89" r:id="rId8" display="SSDA903" xr:uid="{B75FE855-8A48-4624-B208-7D0861787556}"/>
    <hyperlink ref="F91:F92" r:id="rId9" display="SSDA903" xr:uid="{941B7BF4-CD09-4E20-874D-83191A7BB4AA}"/>
    <hyperlink ref="F95:F99" r:id="rId10" display="SSDA903" xr:uid="{872680B1-E83B-44B6-B9FA-247646A5C46F}"/>
    <hyperlink ref="F76:F78" r:id="rId11" display="SSDA903" xr:uid="{03BD1625-F431-48C2-8A9F-9DCC706DCDA1}"/>
    <hyperlink ref="F69:F75" r:id="rId12" display="SSDA903" xr:uid="{BF65909C-CFFE-4441-86F7-BA79BDAB39BB}"/>
    <hyperlink ref="F93" r:id="rId13" xr:uid="{6EF2D9B6-0A18-4F7A-8DA9-85F784BE8A25}"/>
    <hyperlink ref="F10" r:id="rId14" xr:uid="{DCA4C0C5-F384-4B84-9F4F-AE9EC9664A84}"/>
    <hyperlink ref="F42:F47" r:id="rId15" display="CIN Census" xr:uid="{A85F8A77-6FD9-4F38-952A-6B5D71F16045}"/>
    <hyperlink ref="F55:F56" r:id="rId16" display="CIN Census" xr:uid="{BC13BDA4-A227-4CF0-A906-CCEA6ECB6384}"/>
    <hyperlink ref="F17" r:id="rId17" xr:uid="{6250D882-D31C-445F-8A3E-F43A7A557998}"/>
    <hyperlink ref="F25" r:id="rId18" xr:uid="{ADD8D7DE-7F2B-4330-9BC9-1A38256E6645}"/>
    <hyperlink ref="F64" r:id="rId19" xr:uid="{F7DD6CB3-C810-4CCA-8FEE-DE78C21C82E4}"/>
    <hyperlink ref="F68" r:id="rId20" xr:uid="{D9D9BE69-1CCA-42B9-90FF-03FAC52BC9ED}"/>
    <hyperlink ref="F78:G78" r:id="rId21" display="SSDA903" xr:uid="{B8268030-B777-40CB-9162-B0300FDE8C5C}"/>
    <hyperlink ref="F79" r:id="rId22" xr:uid="{7EE09C9B-B9F7-4247-96D6-59DFC799093B}"/>
    <hyperlink ref="F84" r:id="rId23" xr:uid="{B3776B20-6BD7-4D9C-B50F-4ADAC5A7E6D1}"/>
    <hyperlink ref="F86" r:id="rId24" xr:uid="{311FBBBF-59F2-470F-AE45-B156C08799B2}"/>
    <hyperlink ref="G84" r:id="rId25" xr:uid="{06F2D388-9733-4C68-89C2-04247AE85244}"/>
    <hyperlink ref="G86" r:id="rId26" xr:uid="{E1D41DE0-9459-4598-8589-9A5CAF34FB0E}"/>
    <hyperlink ref="G68" r:id="rId27" xr:uid="{BC914516-CEB6-4C4C-84B4-3F9F1D23769B}"/>
    <hyperlink ref="G64" r:id="rId28" xr:uid="{0CE2EB83-6C5C-4E94-B01E-F2C620D164BD}"/>
    <hyperlink ref="F63" r:id="rId29" xr:uid="{5395C7A4-6335-4DFA-97DE-7DAF1EA9E8C3}"/>
    <hyperlink ref="G63" r:id="rId30" xr:uid="{69512AC0-3668-4F77-A09E-1B188FD1E7ED}"/>
    <hyperlink ref="F62" r:id="rId31" xr:uid="{A92BC1D6-B314-4E21-B73C-135CA275618E}"/>
    <hyperlink ref="G62" r:id="rId32" xr:uid="{EEA5971C-47AA-42C9-A35E-131C9C3A61B1}"/>
    <hyperlink ref="F57" r:id="rId33" xr:uid="{52A17B93-2301-4FEE-9704-9348203FFB6B}"/>
    <hyperlink ref="G57" r:id="rId34" xr:uid="{04BFBE02-0102-4D09-9A1D-1CC1E8622218}"/>
    <hyperlink ref="F56" r:id="rId35" xr:uid="{D1AED018-8183-4F35-B87B-4A79F374A0AB}"/>
    <hyperlink ref="G56" r:id="rId36" xr:uid="{3933A892-1404-4AE1-8140-E9B929AB7FFB}"/>
    <hyperlink ref="F55" r:id="rId37" xr:uid="{FC1A9704-44E1-4BD2-80B9-3CB2F65CE5F4}"/>
    <hyperlink ref="G55" r:id="rId38" xr:uid="{EB2626E3-761C-4DD6-9154-C89FB3793435}"/>
    <hyperlink ref="F54" r:id="rId39" xr:uid="{514A19E8-06F6-4B0B-921A-97A77068B62F}"/>
    <hyperlink ref="G54" r:id="rId40" xr:uid="{AD2F7E9B-61AF-4D7D-840B-E1F4B39AE13D}"/>
    <hyperlink ref="F52" r:id="rId41" xr:uid="{38A40CBA-12F2-45EB-8B69-07F1FB8BE48A}"/>
    <hyperlink ref="G52" r:id="rId42" xr:uid="{958FA42E-C09D-48AC-9B8E-F1A9D0121660}"/>
    <hyperlink ref="F51" r:id="rId43" xr:uid="{68FA5B68-6570-4290-AE90-F27ABE22A092}"/>
    <hyperlink ref="G51" r:id="rId44" xr:uid="{E75DA2E0-1768-47D2-9328-66325554CDE3}"/>
    <hyperlink ref="F50" r:id="rId45" xr:uid="{EF85A91F-333F-4FA7-B011-E6A84425AD9A}"/>
    <hyperlink ref="G50" r:id="rId46" xr:uid="{04813B76-7686-496C-9DBB-63C87181FEBB}"/>
    <hyperlink ref="F49" r:id="rId47" xr:uid="{9106EEF4-0B55-43E1-B7A8-C5B404FB2591}"/>
    <hyperlink ref="G49" r:id="rId48" xr:uid="{DE4F2664-ED6C-4A90-8F2A-5F52503F377D}"/>
    <hyperlink ref="F48" r:id="rId49" xr:uid="{B3521671-C043-438A-9936-98B4460DF4C8}"/>
    <hyperlink ref="G48" r:id="rId50" xr:uid="{7F11360F-F5EC-4358-88E4-8DA9809F88D6}"/>
    <hyperlink ref="F41" r:id="rId51" xr:uid="{606B78DF-FAD3-4291-A43A-EB73541660D3}"/>
    <hyperlink ref="G41" r:id="rId52" xr:uid="{B6C064AF-C1C9-40CC-93AB-9754B6B5CD9D}"/>
    <hyperlink ref="F39" r:id="rId53" xr:uid="{E91C2AB7-7FBF-4040-BFDB-D9BE21F3C364}"/>
    <hyperlink ref="G39" r:id="rId54" xr:uid="{CDB253E4-A879-4220-B903-6CBAEF9DA04A}"/>
    <hyperlink ref="F38" r:id="rId55" xr:uid="{7B072D90-44A7-41DB-94E6-E10FC1850F68}"/>
    <hyperlink ref="G38" r:id="rId56" xr:uid="{16104783-409C-42EC-AB9B-D0049B3CAE8C}"/>
    <hyperlink ref="F23" r:id="rId57" xr:uid="{69196048-6C30-4B44-B3DF-DC3A62EFB582}"/>
    <hyperlink ref="G23" r:id="rId58" xr:uid="{0E219AB6-9830-48F7-9545-60F973C370BF}"/>
    <hyperlink ref="F14" r:id="rId59" xr:uid="{90C0B35A-DA54-4EF5-8F7C-10F663738DE1}"/>
    <hyperlink ref="G14" r:id="rId60" xr:uid="{7AC5541A-3B0B-4F02-B6FF-E9B3E8BC39DE}"/>
    <hyperlink ref="F9" r:id="rId61" xr:uid="{8684CE33-0185-4DAF-9CAB-80180D34A8CF}"/>
    <hyperlink ref="G9" r:id="rId62" xr:uid="{EC752137-DD34-474F-847B-750D39932BAF}"/>
    <hyperlink ref="F8" r:id="rId63" xr:uid="{ADBADDF8-E5CF-4B74-8764-80D999AC20FA}"/>
    <hyperlink ref="G8" r:id="rId64" xr:uid="{1DDBF23D-7E17-4787-9BF5-E53EB311FDAA}"/>
    <hyperlink ref="F7" r:id="rId65" xr:uid="{13F51CE0-6CD8-4259-A119-9CF6DAAA2BDB}"/>
    <hyperlink ref="G7" r:id="rId66" xr:uid="{050A2293-72DE-4C22-A753-1BFAB2C9BCFE}"/>
  </hyperlinks>
  <printOptions horizontalCentered="1" verticalCentered="1"/>
  <pageMargins left="0.55118110236220474" right="0.55118110236220474" top="0.55118110236220474" bottom="0.55118110236220474" header="0.39370078740157483" footer="0.74803149606299213"/>
  <pageSetup paperSize="9" orientation="landscape" r:id="rId67"/>
  <headerFooter alignWithMargins="0">
    <oddFooter>&amp;C&amp;"Arial,Bold"&amp;9&amp;F - Page &amp;P</oddFooter>
  </headerFooter>
  <drawing r:id="rId6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778BC-44B3-461A-8CFD-5F57A39572A2}">
  <sheetPr codeName="Sheet11">
    <tabColor rgb="FFFFC000"/>
  </sheetPr>
  <dimension ref="A1:A42"/>
  <sheetViews>
    <sheetView workbookViewId="0"/>
  </sheetViews>
  <sheetFormatPr defaultRowHeight="12.75"/>
  <cols>
    <col min="1" max="1" width="2.85546875" customWidth="1"/>
    <col min="2" max="2" width="25.42578125" customWidth="1"/>
    <col min="3" max="3" width="2.85546875" customWidth="1"/>
    <col min="4" max="4" width="25.42578125" customWidth="1"/>
    <col min="5" max="5" width="2.85546875" customWidth="1"/>
    <col min="6" max="6" width="25.42578125" customWidth="1"/>
    <col min="7" max="7" width="2.85546875" customWidth="1"/>
    <col min="8" max="8" width="25.42578125" customWidth="1"/>
    <col min="9" max="9" width="2.85546875" customWidth="1"/>
    <col min="10" max="10" width="25.42578125" customWidth="1"/>
    <col min="11" max="11" width="2.85546875" customWidth="1"/>
    <col min="12" max="12" width="27" customWidth="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FFC000"/>
  </sheetPr>
  <dimension ref="A1:AG378"/>
  <sheetViews>
    <sheetView showGridLines="0" showRowColHeaders="0" workbookViewId="0"/>
  </sheetViews>
  <sheetFormatPr defaultColWidth="9.140625" defaultRowHeight="11.25" customHeight="1"/>
  <cols>
    <col min="1" max="1" width="2.140625" style="53" customWidth="1"/>
    <col min="2" max="2" width="21.7109375" style="53" customWidth="1"/>
    <col min="3" max="3" width="18" style="53" customWidth="1"/>
    <col min="4" max="4" width="14.5703125" style="53" customWidth="1"/>
    <col min="5" max="23" width="4.140625" style="53" customWidth="1"/>
    <col min="24" max="24" width="2.5703125" style="53" customWidth="1"/>
    <col min="25" max="25" width="6.42578125" style="53" customWidth="1"/>
    <col min="26" max="26" width="12.140625" style="53" hidden="1" customWidth="1"/>
    <col min="27" max="27" width="9.140625" style="53" hidden="1" customWidth="1"/>
    <col min="28" max="28" width="12.140625" style="53" hidden="1" customWidth="1"/>
    <col min="29" max="30" width="9.140625" style="53" hidden="1" customWidth="1"/>
    <col min="31" max="32" width="9.140625" style="53" customWidth="1"/>
    <col min="33" max="16384" width="9.140625" style="53"/>
  </cols>
  <sheetData>
    <row r="1" spans="1:33" s="52" customFormat="1" ht="16.5" customHeight="1">
      <c r="A1" s="81"/>
      <c r="B1" s="167"/>
      <c r="C1" s="167"/>
      <c r="D1" s="167"/>
      <c r="E1" s="167"/>
      <c r="F1" s="167"/>
      <c r="G1" s="167"/>
      <c r="H1" s="167"/>
      <c r="I1" s="167"/>
      <c r="J1" s="168"/>
      <c r="K1" s="167"/>
      <c r="L1" s="167"/>
      <c r="M1" s="167"/>
      <c r="N1" s="167"/>
      <c r="O1" s="167"/>
      <c r="P1" s="167"/>
      <c r="Q1" s="167"/>
      <c r="R1" s="167"/>
      <c r="S1" s="167"/>
      <c r="T1" s="167"/>
      <c r="U1" s="167"/>
      <c r="V1" s="202"/>
      <c r="W1" s="202"/>
      <c r="X1" s="169"/>
      <c r="Y1" s="207"/>
      <c r="Z1" s="135"/>
      <c r="AA1" s="135"/>
      <c r="AB1" s="135"/>
      <c r="AC1" s="135"/>
      <c r="AD1" s="135"/>
      <c r="AE1" s="135"/>
      <c r="AF1" s="135"/>
      <c r="AG1" s="135"/>
    </row>
    <row r="2" spans="1:33" s="52" customFormat="1" ht="23.25">
      <c r="A2" s="87"/>
      <c r="B2" s="1043" t="s">
        <v>1255</v>
      </c>
      <c r="C2" s="40"/>
      <c r="D2" s="40"/>
      <c r="E2" s="40"/>
      <c r="F2" s="40"/>
      <c r="G2" s="40"/>
      <c r="H2" s="40"/>
      <c r="I2" s="40"/>
      <c r="J2" s="47"/>
      <c r="K2" s="40"/>
      <c r="L2" s="40"/>
      <c r="M2" s="40"/>
      <c r="N2" s="40"/>
      <c r="O2" s="40"/>
      <c r="P2" s="40"/>
      <c r="Q2" s="40"/>
      <c r="R2" s="40"/>
      <c r="S2" s="40"/>
      <c r="T2" s="40"/>
      <c r="U2" s="40"/>
      <c r="V2" s="45"/>
      <c r="W2" s="45"/>
      <c r="X2" s="170"/>
      <c r="Y2" s="122"/>
      <c r="Z2" s="56"/>
      <c r="AA2" s="54" t="str">
        <f>Home!$D$5</f>
        <v>(none)</v>
      </c>
      <c r="AB2" s="56"/>
      <c r="AC2" s="56"/>
      <c r="AD2" s="56"/>
      <c r="AE2" s="56"/>
      <c r="AF2" s="56"/>
      <c r="AG2" s="56"/>
    </row>
    <row r="3" spans="1:33" s="52" customFormat="1" ht="16.5" customHeight="1">
      <c r="A3" s="199"/>
      <c r="B3" s="203"/>
      <c r="C3" s="203"/>
      <c r="D3" s="215"/>
      <c r="E3" s="203"/>
      <c r="F3" s="203"/>
      <c r="G3" s="203"/>
      <c r="H3" s="203"/>
      <c r="I3" s="203"/>
      <c r="J3" s="204"/>
      <c r="K3" s="203"/>
      <c r="L3" s="203"/>
      <c r="M3" s="203"/>
      <c r="N3" s="203"/>
      <c r="O3" s="203"/>
      <c r="P3" s="203"/>
      <c r="Q3" s="203"/>
      <c r="R3" s="203"/>
      <c r="S3" s="203"/>
      <c r="T3" s="203"/>
      <c r="U3" s="203"/>
      <c r="V3" s="205"/>
      <c r="W3" s="205"/>
      <c r="X3" s="206"/>
      <c r="Y3" s="122"/>
      <c r="Z3" s="56"/>
      <c r="AA3" s="56"/>
      <c r="AB3" s="56"/>
      <c r="AC3" s="56"/>
      <c r="AD3" s="56"/>
      <c r="AE3" s="56"/>
      <c r="AF3" s="56"/>
      <c r="AG3" s="56"/>
    </row>
    <row r="4" spans="1:33" ht="11.25" customHeight="1">
      <c r="A4" s="176"/>
      <c r="B4" s="177"/>
      <c r="C4" s="177"/>
      <c r="D4" s="177"/>
      <c r="E4" s="177"/>
      <c r="F4" s="177"/>
      <c r="G4" s="177"/>
      <c r="H4" s="177"/>
      <c r="I4" s="177"/>
      <c r="J4" s="177"/>
      <c r="K4" s="177"/>
      <c r="L4" s="177"/>
      <c r="M4" s="177"/>
      <c r="N4" s="177"/>
      <c r="O4" s="177"/>
      <c r="P4" s="177"/>
      <c r="Q4" s="177"/>
      <c r="R4" s="177"/>
      <c r="S4" s="177"/>
      <c r="T4" s="177"/>
      <c r="U4" s="177"/>
      <c r="V4" s="177"/>
      <c r="W4" s="177"/>
      <c r="X4" s="190"/>
      <c r="Y4" s="119"/>
    </row>
    <row r="5" spans="1:33" ht="18">
      <c r="A5" s="178"/>
      <c r="B5" s="1090" t="s">
        <v>78</v>
      </c>
      <c r="C5" s="42"/>
      <c r="D5" s="42"/>
      <c r="E5" s="42"/>
      <c r="F5" s="42"/>
      <c r="G5" s="42"/>
      <c r="H5" s="42"/>
      <c r="I5" s="42"/>
      <c r="J5" s="42"/>
      <c r="K5" s="42"/>
      <c r="L5" s="42"/>
      <c r="M5" s="42"/>
      <c r="N5" s="42"/>
      <c r="O5" s="42"/>
      <c r="P5" s="42"/>
      <c r="Q5" s="42"/>
      <c r="R5" s="42"/>
      <c r="S5" s="42"/>
      <c r="T5" s="42"/>
      <c r="U5" s="42"/>
      <c r="V5" s="42"/>
      <c r="W5" s="42"/>
      <c r="X5" s="191"/>
      <c r="Y5" s="119"/>
    </row>
    <row r="6" spans="1:33" ht="20.25" customHeight="1">
      <c r="A6" s="178"/>
      <c r="B6" s="1692" t="s">
        <v>92</v>
      </c>
      <c r="C6" s="1693"/>
      <c r="D6" s="1693"/>
      <c r="E6" s="1693"/>
      <c r="F6" s="1693"/>
      <c r="G6" s="1693"/>
      <c r="H6" s="1693"/>
      <c r="I6" s="1693"/>
      <c r="J6" s="1693"/>
      <c r="K6" s="1693"/>
      <c r="L6" s="1693"/>
      <c r="M6" s="1693"/>
      <c r="N6" s="1693"/>
      <c r="O6" s="1693"/>
      <c r="P6" s="1693"/>
      <c r="Q6" s="1693"/>
      <c r="R6" s="1693"/>
      <c r="S6" s="1693"/>
      <c r="T6" s="1693"/>
      <c r="U6" s="1693"/>
      <c r="V6" s="1693"/>
      <c r="W6" s="1693"/>
      <c r="X6" s="191"/>
      <c r="Y6" s="119"/>
    </row>
    <row r="7" spans="1:33" s="60" customFormat="1" ht="13.5" customHeight="1">
      <c r="A7" s="179"/>
      <c r="B7" s="1698" t="s">
        <v>1056</v>
      </c>
      <c r="C7" s="1704" t="s">
        <v>1057</v>
      </c>
      <c r="D7" s="1701" t="s">
        <v>106</v>
      </c>
      <c r="E7" s="1707" t="s">
        <v>72</v>
      </c>
      <c r="F7" s="1708"/>
      <c r="G7" s="1708"/>
      <c r="H7" s="1708"/>
      <c r="I7" s="1708"/>
      <c r="J7" s="1708"/>
      <c r="K7" s="1708"/>
      <c r="L7" s="1708"/>
      <c r="M7" s="1708"/>
      <c r="N7" s="1708"/>
      <c r="O7" s="1708"/>
      <c r="P7" s="1708"/>
      <c r="Q7" s="1708"/>
      <c r="R7" s="1708"/>
      <c r="S7" s="1708"/>
      <c r="T7" s="1708"/>
      <c r="U7" s="1708"/>
      <c r="V7" s="1708"/>
      <c r="W7" s="1709"/>
      <c r="X7" s="192"/>
      <c r="Y7" s="186"/>
    </row>
    <row r="8" spans="1:33" ht="66" customHeight="1">
      <c r="A8" s="178"/>
      <c r="B8" s="1699"/>
      <c r="C8" s="1705"/>
      <c r="D8" s="1702"/>
      <c r="E8" s="1696" t="s">
        <v>0</v>
      </c>
      <c r="F8" s="1688" t="s">
        <v>28</v>
      </c>
      <c r="G8" s="1688" t="s">
        <v>8</v>
      </c>
      <c r="H8" s="1688" t="s">
        <v>4</v>
      </c>
      <c r="I8" s="1688" t="s">
        <v>6</v>
      </c>
      <c r="J8" s="1688" t="s">
        <v>1</v>
      </c>
      <c r="K8" s="1688" t="s">
        <v>9</v>
      </c>
      <c r="L8" s="1688" t="s">
        <v>2</v>
      </c>
      <c r="M8" s="1688" t="s">
        <v>10</v>
      </c>
      <c r="N8" s="1688" t="s">
        <v>11</v>
      </c>
      <c r="O8" s="1688" t="s">
        <v>12</v>
      </c>
      <c r="P8" s="1688" t="s">
        <v>3</v>
      </c>
      <c r="Q8" s="1688" t="s">
        <v>13</v>
      </c>
      <c r="R8" s="1688" t="s">
        <v>14</v>
      </c>
      <c r="S8" s="1688" t="s">
        <v>7</v>
      </c>
      <c r="T8" s="1688" t="s">
        <v>15</v>
      </c>
      <c r="U8" s="1688" t="s">
        <v>5</v>
      </c>
      <c r="V8" s="1688" t="s">
        <v>27</v>
      </c>
      <c r="W8" s="1694" t="s">
        <v>16</v>
      </c>
      <c r="X8" s="191"/>
      <c r="Y8" s="185"/>
    </row>
    <row r="9" spans="1:33" ht="12.75" customHeight="1">
      <c r="A9" s="178"/>
      <c r="B9" s="1700"/>
      <c r="C9" s="1706"/>
      <c r="D9" s="1703"/>
      <c r="E9" s="1697"/>
      <c r="F9" s="1689"/>
      <c r="G9" s="1689"/>
      <c r="H9" s="1689"/>
      <c r="I9" s="1689"/>
      <c r="J9" s="1689"/>
      <c r="K9" s="1689"/>
      <c r="L9" s="1689"/>
      <c r="M9" s="1689"/>
      <c r="N9" s="1689"/>
      <c r="O9" s="1689"/>
      <c r="P9" s="1689"/>
      <c r="Q9" s="1689"/>
      <c r="R9" s="1689"/>
      <c r="S9" s="1689"/>
      <c r="T9" s="1689"/>
      <c r="U9" s="1689"/>
      <c r="V9" s="1689"/>
      <c r="W9" s="1695"/>
      <c r="X9" s="191"/>
      <c r="Y9" s="185"/>
    </row>
    <row r="10" spans="1:33" ht="15.75" customHeight="1">
      <c r="A10" s="178"/>
      <c r="B10" s="1029" t="s">
        <v>0</v>
      </c>
      <c r="C10" s="1030" t="s">
        <v>739</v>
      </c>
      <c r="D10" s="1031" t="s">
        <v>108</v>
      </c>
      <c r="E10" s="1034"/>
      <c r="F10" s="1035"/>
      <c r="G10" s="18" t="s">
        <v>30</v>
      </c>
      <c r="H10" s="1036"/>
      <c r="I10" s="18" t="s">
        <v>30</v>
      </c>
      <c r="J10" s="1036"/>
      <c r="K10" s="1036"/>
      <c r="L10" s="1036"/>
      <c r="M10" s="1036"/>
      <c r="N10" s="18" t="s">
        <v>30</v>
      </c>
      <c r="O10" s="1036"/>
      <c r="P10" s="1036"/>
      <c r="Q10" s="1036"/>
      <c r="R10" s="1036"/>
      <c r="S10" s="1036"/>
      <c r="T10" s="18" t="s">
        <v>30</v>
      </c>
      <c r="U10" s="18" t="s">
        <v>30</v>
      </c>
      <c r="V10" s="1036"/>
      <c r="W10" s="1037"/>
      <c r="X10" s="191"/>
      <c r="Y10" s="185"/>
    </row>
    <row r="11" spans="1:33" ht="15.75" customHeight="1">
      <c r="A11" s="178"/>
      <c r="B11" s="1032" t="s">
        <v>28</v>
      </c>
      <c r="C11" s="1030" t="s">
        <v>1051</v>
      </c>
      <c r="D11" s="1033" t="s">
        <v>108</v>
      </c>
      <c r="E11" s="1034"/>
      <c r="F11" s="1035"/>
      <c r="G11" s="1036"/>
      <c r="H11" s="18" t="s">
        <v>30</v>
      </c>
      <c r="I11" s="1036"/>
      <c r="J11" s="1036"/>
      <c r="K11" s="1036"/>
      <c r="L11" s="1036"/>
      <c r="M11" s="1036"/>
      <c r="N11" s="1036"/>
      <c r="O11" s="1036"/>
      <c r="P11" s="18" t="s">
        <v>30</v>
      </c>
      <c r="Q11" s="1036"/>
      <c r="R11" s="1036"/>
      <c r="S11" s="1036"/>
      <c r="T11" s="1036"/>
      <c r="U11" s="1036"/>
      <c r="V11" s="1038"/>
      <c r="W11" s="1039"/>
      <c r="X11" s="191"/>
      <c r="Y11" s="185"/>
    </row>
    <row r="12" spans="1:33" ht="15.75" customHeight="1">
      <c r="A12" s="178"/>
      <c r="B12" s="1029" t="s">
        <v>8</v>
      </c>
      <c r="C12" s="1030" t="s">
        <v>1052</v>
      </c>
      <c r="D12" s="1033" t="s">
        <v>108</v>
      </c>
      <c r="E12" s="222" t="s">
        <v>30</v>
      </c>
      <c r="F12" s="1035"/>
      <c r="G12" s="1036"/>
      <c r="H12" s="1036"/>
      <c r="I12" s="18" t="s">
        <v>30</v>
      </c>
      <c r="J12" s="1036"/>
      <c r="K12" s="1036"/>
      <c r="L12" s="1036"/>
      <c r="M12" s="1036"/>
      <c r="N12" s="18" t="s">
        <v>30</v>
      </c>
      <c r="O12" s="1036"/>
      <c r="P12" s="1036"/>
      <c r="Q12" s="1036"/>
      <c r="R12" s="1036"/>
      <c r="S12" s="18" t="s">
        <v>30</v>
      </c>
      <c r="T12" s="18" t="s">
        <v>30</v>
      </c>
      <c r="U12" s="1036"/>
      <c r="V12" s="18" t="s">
        <v>30</v>
      </c>
      <c r="W12" s="1039"/>
      <c r="X12" s="191"/>
      <c r="Y12" s="185"/>
    </row>
    <row r="13" spans="1:33" ht="15.75" customHeight="1">
      <c r="A13" s="178"/>
      <c r="B13" s="1032" t="s">
        <v>4</v>
      </c>
      <c r="C13" s="1030" t="s">
        <v>1052</v>
      </c>
      <c r="D13" s="1033" t="s">
        <v>108</v>
      </c>
      <c r="E13" s="1034"/>
      <c r="F13" s="1035"/>
      <c r="G13" s="1036"/>
      <c r="H13" s="1036"/>
      <c r="I13" s="1036"/>
      <c r="J13" s="1036"/>
      <c r="K13" s="18" t="s">
        <v>30</v>
      </c>
      <c r="L13" s="1036"/>
      <c r="M13" s="1036"/>
      <c r="N13" s="1036"/>
      <c r="O13" s="1036"/>
      <c r="P13" s="1036"/>
      <c r="Q13" s="1036"/>
      <c r="R13" s="1036"/>
      <c r="S13" s="1036"/>
      <c r="T13" s="1036"/>
      <c r="U13" s="1036"/>
      <c r="V13" s="1038"/>
      <c r="W13" s="1039"/>
      <c r="X13" s="191"/>
      <c r="Y13" s="185"/>
    </row>
    <row r="14" spans="1:33" ht="15.75" customHeight="1">
      <c r="A14" s="178"/>
      <c r="B14" s="1032" t="s">
        <v>6</v>
      </c>
      <c r="C14" s="1030" t="s">
        <v>739</v>
      </c>
      <c r="D14" s="1033" t="s">
        <v>108</v>
      </c>
      <c r="E14" s="1034"/>
      <c r="F14" s="1035"/>
      <c r="G14" s="1036"/>
      <c r="H14" s="1036"/>
      <c r="I14" s="1036"/>
      <c r="J14" s="1036"/>
      <c r="K14" s="1036"/>
      <c r="L14" s="1036"/>
      <c r="M14" s="1036"/>
      <c r="N14" s="1036"/>
      <c r="O14" s="1036"/>
      <c r="P14" s="1036"/>
      <c r="Q14" s="1036"/>
      <c r="R14" s="1036"/>
      <c r="S14" s="1036"/>
      <c r="T14" s="1040"/>
      <c r="U14" s="18" t="s">
        <v>30</v>
      </c>
      <c r="V14" s="1038"/>
      <c r="W14" s="1039"/>
      <c r="X14" s="191"/>
      <c r="Y14" s="185"/>
    </row>
    <row r="15" spans="1:33" ht="15.75" customHeight="1">
      <c r="A15" s="178"/>
      <c r="B15" s="1032" t="s">
        <v>1</v>
      </c>
      <c r="C15" s="1030" t="s">
        <v>1054</v>
      </c>
      <c r="D15" s="1033" t="s">
        <v>1055</v>
      </c>
      <c r="E15" s="1034"/>
      <c r="F15" s="1035"/>
      <c r="G15" s="1036"/>
      <c r="H15" s="18" t="s">
        <v>30</v>
      </c>
      <c r="I15" s="1036"/>
      <c r="J15" s="1036"/>
      <c r="K15" s="1036"/>
      <c r="L15" s="1036"/>
      <c r="M15" s="1036"/>
      <c r="N15" s="1036"/>
      <c r="O15" s="1036"/>
      <c r="P15" s="1036"/>
      <c r="Q15" s="1036"/>
      <c r="R15" s="1036"/>
      <c r="S15" s="1036"/>
      <c r="T15" s="1040"/>
      <c r="U15" s="1040"/>
      <c r="V15" s="1040"/>
      <c r="W15" s="1039"/>
      <c r="X15" s="191"/>
      <c r="Y15" s="185"/>
    </row>
    <row r="16" spans="1:33" ht="15.75" customHeight="1">
      <c r="A16" s="178"/>
      <c r="B16" s="1032" t="s">
        <v>9</v>
      </c>
      <c r="C16" s="1030" t="s">
        <v>1052</v>
      </c>
      <c r="D16" s="1033" t="s">
        <v>108</v>
      </c>
      <c r="E16" s="1034"/>
      <c r="F16" s="1035"/>
      <c r="G16" s="1036"/>
      <c r="H16" s="18" t="s">
        <v>30</v>
      </c>
      <c r="I16" s="1036"/>
      <c r="J16" s="1036"/>
      <c r="K16" s="1036"/>
      <c r="L16" s="1036"/>
      <c r="M16" s="1036"/>
      <c r="N16" s="1036"/>
      <c r="O16" s="1036"/>
      <c r="P16" s="1036"/>
      <c r="Q16" s="1036"/>
      <c r="R16" s="1036"/>
      <c r="S16" s="1036"/>
      <c r="T16" s="1036"/>
      <c r="U16" s="1036"/>
      <c r="V16" s="1038"/>
      <c r="W16" s="1039"/>
      <c r="X16" s="191"/>
      <c r="Y16" s="185"/>
    </row>
    <row r="17" spans="1:25" ht="15.75" customHeight="1">
      <c r="A17" s="178"/>
      <c r="B17" s="1032" t="s">
        <v>2</v>
      </c>
      <c r="C17" s="1030" t="s">
        <v>739</v>
      </c>
      <c r="D17" s="1033" t="s">
        <v>108</v>
      </c>
      <c r="E17" s="1034"/>
      <c r="F17" s="1035"/>
      <c r="G17" s="1036"/>
      <c r="H17" s="1036"/>
      <c r="I17" s="1036"/>
      <c r="J17" s="1036"/>
      <c r="K17" s="18" t="s">
        <v>30</v>
      </c>
      <c r="L17" s="1036"/>
      <c r="M17" s="1036"/>
      <c r="N17" s="1036"/>
      <c r="O17" s="1036"/>
      <c r="P17" s="1036"/>
      <c r="Q17" s="1036"/>
      <c r="R17" s="1036"/>
      <c r="S17" s="1036"/>
      <c r="T17" s="1036"/>
      <c r="U17" s="1036"/>
      <c r="V17" s="1038"/>
      <c r="W17" s="1039"/>
      <c r="X17" s="191"/>
      <c r="Y17" s="185"/>
    </row>
    <row r="18" spans="1:25" ht="15.75" customHeight="1">
      <c r="A18" s="178"/>
      <c r="B18" s="1029" t="s">
        <v>10</v>
      </c>
      <c r="C18" s="1030" t="s">
        <v>1052</v>
      </c>
      <c r="D18" s="1033" t="s">
        <v>108</v>
      </c>
      <c r="E18" s="1034"/>
      <c r="F18" s="1035"/>
      <c r="G18" s="1036"/>
      <c r="H18" s="1036"/>
      <c r="I18" s="1036"/>
      <c r="J18" s="1036"/>
      <c r="K18" s="18" t="s">
        <v>30</v>
      </c>
      <c r="L18" s="1036"/>
      <c r="M18" s="1036"/>
      <c r="N18" s="1036"/>
      <c r="O18" s="1036"/>
      <c r="P18" s="18" t="s">
        <v>30</v>
      </c>
      <c r="Q18" s="1036"/>
      <c r="R18" s="1036"/>
      <c r="S18" s="1036"/>
      <c r="T18" s="1036"/>
      <c r="U18" s="1036"/>
      <c r="V18" s="1038"/>
      <c r="W18" s="1039"/>
      <c r="X18" s="191"/>
      <c r="Y18" s="185"/>
    </row>
    <row r="19" spans="1:25" ht="15.75" customHeight="1">
      <c r="A19" s="178"/>
      <c r="B19" s="1032" t="s">
        <v>11</v>
      </c>
      <c r="C19" s="1030" t="s">
        <v>1052</v>
      </c>
      <c r="D19" s="1033" t="s">
        <v>108</v>
      </c>
      <c r="E19" s="222" t="s">
        <v>30</v>
      </c>
      <c r="F19" s="1035"/>
      <c r="G19" s="18" t="s">
        <v>30</v>
      </c>
      <c r="H19" s="1036"/>
      <c r="I19" s="18" t="s">
        <v>30</v>
      </c>
      <c r="J19" s="1036"/>
      <c r="K19" s="1036"/>
      <c r="L19" s="1036"/>
      <c r="M19" s="1036"/>
      <c r="N19" s="1036"/>
      <c r="O19" s="1036"/>
      <c r="P19" s="1036"/>
      <c r="Q19" s="1036"/>
      <c r="R19" s="1036"/>
      <c r="S19" s="1036"/>
      <c r="T19" s="18" t="s">
        <v>30</v>
      </c>
      <c r="U19" s="18" t="s">
        <v>30</v>
      </c>
      <c r="V19" s="1038"/>
      <c r="W19" s="1039"/>
      <c r="X19" s="191"/>
      <c r="Y19" s="185"/>
    </row>
    <row r="20" spans="1:25" ht="15.75" customHeight="1">
      <c r="A20" s="178"/>
      <c r="B20" s="1029" t="s">
        <v>12</v>
      </c>
      <c r="C20" s="1030" t="s">
        <v>739</v>
      </c>
      <c r="D20" s="1033" t="s">
        <v>108</v>
      </c>
      <c r="E20" s="1034"/>
      <c r="F20" s="1035"/>
      <c r="G20" s="1036"/>
      <c r="H20" s="1036"/>
      <c r="I20" s="1036"/>
      <c r="J20" s="1036"/>
      <c r="K20" s="1036"/>
      <c r="L20" s="1036"/>
      <c r="M20" s="1036"/>
      <c r="N20" s="1036"/>
      <c r="O20" s="1036"/>
      <c r="P20" s="1036"/>
      <c r="Q20" s="1036"/>
      <c r="R20" s="18" t="s">
        <v>30</v>
      </c>
      <c r="S20" s="1036"/>
      <c r="T20" s="1036"/>
      <c r="U20" s="1036"/>
      <c r="V20" s="1038"/>
      <c r="W20" s="1039"/>
      <c r="X20" s="191"/>
      <c r="Y20" s="185"/>
    </row>
    <row r="21" spans="1:25" ht="15.75" customHeight="1">
      <c r="A21" s="178"/>
      <c r="B21" s="1029" t="s">
        <v>3</v>
      </c>
      <c r="C21" s="1030" t="s">
        <v>739</v>
      </c>
      <c r="D21" s="1033" t="s">
        <v>108</v>
      </c>
      <c r="E21" s="1034"/>
      <c r="F21" s="18" t="s">
        <v>30</v>
      </c>
      <c r="G21" s="1036"/>
      <c r="H21" s="1036"/>
      <c r="I21" s="1036"/>
      <c r="J21" s="1036"/>
      <c r="K21" s="1036"/>
      <c r="L21" s="1036"/>
      <c r="M21" s="18" t="s">
        <v>30</v>
      </c>
      <c r="N21" s="1036"/>
      <c r="O21" s="1036"/>
      <c r="P21" s="1036"/>
      <c r="Q21" s="1036"/>
      <c r="R21" s="18" t="s">
        <v>30</v>
      </c>
      <c r="S21" s="1036"/>
      <c r="T21" s="1036"/>
      <c r="U21" s="1036"/>
      <c r="V21" s="1038"/>
      <c r="W21" s="1039"/>
      <c r="X21" s="191"/>
      <c r="Y21" s="185"/>
    </row>
    <row r="22" spans="1:25" ht="15.75" customHeight="1">
      <c r="A22" s="178"/>
      <c r="B22" s="1032" t="s">
        <v>13</v>
      </c>
      <c r="C22" s="1030" t="s">
        <v>1052</v>
      </c>
      <c r="D22" s="1033" t="s">
        <v>108</v>
      </c>
      <c r="E22" s="1034"/>
      <c r="F22" s="1035"/>
      <c r="G22" s="1036"/>
      <c r="H22" s="1036"/>
      <c r="I22" s="1036"/>
      <c r="J22" s="1036"/>
      <c r="K22" s="1036"/>
      <c r="L22" s="1036"/>
      <c r="M22" s="1036"/>
      <c r="N22" s="1036"/>
      <c r="O22" s="1036"/>
      <c r="P22" s="18" t="s">
        <v>30</v>
      </c>
      <c r="Q22" s="1036"/>
      <c r="R22" s="1036"/>
      <c r="S22" s="1036"/>
      <c r="T22" s="1036"/>
      <c r="U22" s="1036"/>
      <c r="V22" s="1038"/>
      <c r="W22" s="1039"/>
      <c r="X22" s="191"/>
      <c r="Y22" s="185"/>
    </row>
    <row r="23" spans="1:25" ht="15.75" customHeight="1">
      <c r="A23" s="178"/>
      <c r="B23" s="1029" t="s">
        <v>14</v>
      </c>
      <c r="C23" s="1030" t="s">
        <v>1053</v>
      </c>
      <c r="D23" s="1033" t="s">
        <v>108</v>
      </c>
      <c r="E23" s="1034"/>
      <c r="F23" s="1035"/>
      <c r="G23" s="1036"/>
      <c r="H23" s="1036"/>
      <c r="I23" s="1036"/>
      <c r="J23" s="1036"/>
      <c r="K23" s="1036"/>
      <c r="L23" s="1036"/>
      <c r="M23" s="1036"/>
      <c r="N23" s="1036"/>
      <c r="O23" s="18" t="s">
        <v>30</v>
      </c>
      <c r="P23" s="1036"/>
      <c r="Q23" s="1036"/>
      <c r="R23" s="1036"/>
      <c r="S23" s="1036"/>
      <c r="T23" s="1036"/>
      <c r="U23" s="1036"/>
      <c r="V23" s="1038"/>
      <c r="W23" s="1039"/>
      <c r="X23" s="191"/>
      <c r="Y23" s="185"/>
    </row>
    <row r="24" spans="1:25" ht="15.75" customHeight="1">
      <c r="A24" s="178"/>
      <c r="B24" s="1032" t="s">
        <v>7</v>
      </c>
      <c r="C24" s="1030" t="s">
        <v>1052</v>
      </c>
      <c r="D24" s="1033" t="s">
        <v>108</v>
      </c>
      <c r="E24" s="222" t="s">
        <v>30</v>
      </c>
      <c r="F24" s="1041"/>
      <c r="G24" s="18" t="s">
        <v>30</v>
      </c>
      <c r="H24" s="1036"/>
      <c r="I24" s="18" t="s">
        <v>30</v>
      </c>
      <c r="J24" s="1036"/>
      <c r="K24" s="1036"/>
      <c r="L24" s="1036"/>
      <c r="M24" s="1036"/>
      <c r="N24" s="18" t="s">
        <v>30</v>
      </c>
      <c r="O24" s="1036"/>
      <c r="P24" s="1036"/>
      <c r="Q24" s="1036"/>
      <c r="R24" s="1036"/>
      <c r="S24" s="1036"/>
      <c r="T24" s="18" t="s">
        <v>30</v>
      </c>
      <c r="U24" s="1036"/>
      <c r="V24" s="18" t="s">
        <v>30</v>
      </c>
      <c r="W24" s="19" t="s">
        <v>30</v>
      </c>
      <c r="X24" s="191"/>
      <c r="Y24" s="185"/>
    </row>
    <row r="25" spans="1:25" ht="15.75" customHeight="1">
      <c r="A25" s="178"/>
      <c r="B25" s="1032" t="s">
        <v>15</v>
      </c>
      <c r="C25" s="1030" t="s">
        <v>1053</v>
      </c>
      <c r="D25" s="1033" t="s">
        <v>108</v>
      </c>
      <c r="E25" s="222" t="s">
        <v>30</v>
      </c>
      <c r="F25" s="1041"/>
      <c r="G25" s="18" t="s">
        <v>30</v>
      </c>
      <c r="H25" s="1036"/>
      <c r="I25" s="18" t="s">
        <v>30</v>
      </c>
      <c r="J25" s="1036"/>
      <c r="K25" s="1036"/>
      <c r="L25" s="1036"/>
      <c r="M25" s="1036"/>
      <c r="N25" s="18" t="s">
        <v>30</v>
      </c>
      <c r="O25" s="1036"/>
      <c r="P25" s="1036"/>
      <c r="Q25" s="1036"/>
      <c r="R25" s="1036"/>
      <c r="S25" s="18" t="s">
        <v>30</v>
      </c>
      <c r="T25" s="1036"/>
      <c r="U25" s="1036"/>
      <c r="V25" s="1038"/>
      <c r="W25" s="1039"/>
      <c r="X25" s="191"/>
      <c r="Y25" s="185"/>
    </row>
    <row r="26" spans="1:25" ht="15.75" customHeight="1">
      <c r="A26" s="178"/>
      <c r="B26" s="1032" t="s">
        <v>5</v>
      </c>
      <c r="C26" s="1030" t="s">
        <v>739</v>
      </c>
      <c r="D26" s="1033" t="s">
        <v>108</v>
      </c>
      <c r="E26" s="1034"/>
      <c r="F26" s="1035"/>
      <c r="G26" s="1042"/>
      <c r="H26" s="1042"/>
      <c r="I26" s="18" t="s">
        <v>30</v>
      </c>
      <c r="J26" s="1036"/>
      <c r="K26" s="1036"/>
      <c r="L26" s="1036"/>
      <c r="M26" s="1036"/>
      <c r="N26" s="1036"/>
      <c r="O26" s="1036"/>
      <c r="P26" s="1036"/>
      <c r="Q26" s="1036"/>
      <c r="R26" s="1036"/>
      <c r="S26" s="1036"/>
      <c r="T26" s="1036"/>
      <c r="U26" s="1036"/>
      <c r="V26" s="1038"/>
      <c r="W26" s="1039"/>
      <c r="X26" s="191"/>
      <c r="Y26" s="185"/>
    </row>
    <row r="27" spans="1:25" ht="15.75" customHeight="1">
      <c r="A27" s="178"/>
      <c r="B27" s="1032" t="s">
        <v>27</v>
      </c>
      <c r="C27" s="1030" t="s">
        <v>107</v>
      </c>
      <c r="D27" s="1033" t="s">
        <v>108</v>
      </c>
      <c r="E27" s="222" t="s">
        <v>30</v>
      </c>
      <c r="F27" s="1041"/>
      <c r="G27" s="18" t="s">
        <v>30</v>
      </c>
      <c r="H27" s="1036"/>
      <c r="I27" s="18" t="s">
        <v>30</v>
      </c>
      <c r="J27" s="1036"/>
      <c r="K27" s="1036"/>
      <c r="L27" s="1036"/>
      <c r="M27" s="1036"/>
      <c r="N27" s="18" t="s">
        <v>30</v>
      </c>
      <c r="O27" s="1036"/>
      <c r="P27" s="1036"/>
      <c r="Q27" s="1036"/>
      <c r="R27" s="1036"/>
      <c r="S27" s="18" t="s">
        <v>30</v>
      </c>
      <c r="T27" s="18" t="s">
        <v>30</v>
      </c>
      <c r="U27" s="1036"/>
      <c r="V27" s="1038"/>
      <c r="W27" s="19" t="s">
        <v>30</v>
      </c>
      <c r="X27" s="191"/>
      <c r="Y27" s="185"/>
    </row>
    <row r="28" spans="1:25" ht="15.75" customHeight="1">
      <c r="A28" s="178"/>
      <c r="B28" s="1032" t="s">
        <v>16</v>
      </c>
      <c r="C28" s="1030" t="s">
        <v>739</v>
      </c>
      <c r="D28" s="1033" t="s">
        <v>108</v>
      </c>
      <c r="E28" s="222" t="s">
        <v>30</v>
      </c>
      <c r="F28" s="1041"/>
      <c r="G28" s="18" t="s">
        <v>30</v>
      </c>
      <c r="H28" s="1036"/>
      <c r="I28" s="18" t="s">
        <v>30</v>
      </c>
      <c r="J28" s="1036"/>
      <c r="K28" s="1036"/>
      <c r="L28" s="1036"/>
      <c r="M28" s="1036"/>
      <c r="N28" s="18" t="s">
        <v>30</v>
      </c>
      <c r="O28" s="1036"/>
      <c r="P28" s="1036"/>
      <c r="Q28" s="1036"/>
      <c r="R28" s="1036"/>
      <c r="S28" s="18" t="s">
        <v>30</v>
      </c>
      <c r="T28" s="18" t="s">
        <v>30</v>
      </c>
      <c r="U28" s="1036"/>
      <c r="V28" s="18" t="s">
        <v>30</v>
      </c>
      <c r="W28" s="1039"/>
      <c r="X28" s="191"/>
      <c r="Y28" s="185"/>
    </row>
    <row r="29" spans="1:25" ht="8.25" customHeight="1">
      <c r="A29" s="178"/>
      <c r="B29" s="2"/>
      <c r="C29" s="2"/>
      <c r="D29" s="2"/>
      <c r="E29" s="2"/>
      <c r="F29" s="2"/>
      <c r="G29" s="2"/>
      <c r="H29" s="2"/>
      <c r="I29" s="2"/>
      <c r="J29" s="2"/>
      <c r="K29" s="2"/>
      <c r="L29" s="2"/>
      <c r="M29" s="2"/>
      <c r="N29" s="2"/>
      <c r="O29" s="2"/>
      <c r="P29" s="2"/>
      <c r="Q29" s="2"/>
      <c r="R29" s="2"/>
      <c r="S29" s="2"/>
      <c r="T29" s="2"/>
      <c r="U29" s="2"/>
      <c r="V29" s="2"/>
      <c r="W29" s="2"/>
      <c r="X29" s="191"/>
      <c r="Y29" s="185"/>
    </row>
    <row r="30" spans="1:25" ht="15" customHeight="1">
      <c r="A30" s="193"/>
      <c r="B30" s="50"/>
      <c r="C30" s="50"/>
      <c r="D30" s="50"/>
      <c r="E30" s="50"/>
      <c r="F30" s="50"/>
      <c r="G30" s="50"/>
      <c r="H30" s="50"/>
      <c r="I30" s="50"/>
      <c r="J30" s="50"/>
      <c r="K30" s="50"/>
      <c r="L30" s="50"/>
      <c r="M30" s="50"/>
      <c r="N30" s="50"/>
      <c r="O30" s="50"/>
      <c r="P30" s="50"/>
      <c r="Q30" s="50"/>
      <c r="R30" s="50"/>
      <c r="S30" s="50"/>
      <c r="T30" s="50"/>
      <c r="U30" s="50"/>
      <c r="V30" s="50"/>
      <c r="W30" s="50"/>
      <c r="X30" s="194"/>
      <c r="Y30" s="185"/>
    </row>
    <row r="31" spans="1:25" ht="11.45" customHeight="1">
      <c r="A31" s="195"/>
      <c r="B31" s="196"/>
      <c r="C31" s="196"/>
      <c r="D31" s="181"/>
      <c r="E31" s="196"/>
      <c r="F31" s="196"/>
      <c r="G31" s="196"/>
      <c r="H31" s="196"/>
      <c r="I31" s="196"/>
      <c r="J31" s="196"/>
      <c r="K31" s="196"/>
      <c r="L31" s="196"/>
      <c r="M31" s="196"/>
      <c r="N31" s="196"/>
      <c r="O31" s="196"/>
      <c r="P31" s="196"/>
      <c r="Q31" s="196"/>
      <c r="R31" s="197"/>
      <c r="S31" s="197"/>
      <c r="T31" s="197"/>
      <c r="U31" s="197"/>
      <c r="V31" s="197"/>
      <c r="W31" s="197"/>
      <c r="X31" s="198"/>
      <c r="Y31" s="185"/>
    </row>
    <row r="32" spans="1:25" s="52" customFormat="1" ht="11.25" customHeight="1">
      <c r="A32" s="116"/>
      <c r="B32" s="866"/>
      <c r="C32" s="40"/>
      <c r="D32" s="40"/>
      <c r="E32" s="40"/>
      <c r="F32" s="40"/>
      <c r="G32" s="554"/>
      <c r="H32" s="40"/>
      <c r="I32" s="40"/>
      <c r="J32" s="40"/>
      <c r="K32" s="40"/>
      <c r="L32" s="40"/>
      <c r="M32" s="40"/>
      <c r="N32" s="40"/>
      <c r="O32" s="40"/>
      <c r="P32" s="40"/>
      <c r="Q32" s="40"/>
      <c r="R32" s="40"/>
      <c r="S32" s="40"/>
      <c r="T32" s="40"/>
      <c r="U32" s="40"/>
      <c r="V32" s="40"/>
      <c r="W32" s="40"/>
      <c r="X32" s="40"/>
      <c r="Y32" s="119"/>
    </row>
    <row r="33" spans="1:25" s="52" customFormat="1" ht="11.25" customHeight="1">
      <c r="A33" s="116"/>
      <c r="B33" s="866"/>
      <c r="C33" s="40"/>
      <c r="D33" s="40"/>
      <c r="E33" s="40"/>
      <c r="F33" s="40"/>
      <c r="G33" s="554"/>
      <c r="H33" s="40"/>
      <c r="I33" s="40"/>
      <c r="J33" s="40"/>
      <c r="K33" s="40"/>
      <c r="L33" s="40"/>
      <c r="M33" s="40"/>
      <c r="N33" s="40"/>
      <c r="O33" s="40"/>
      <c r="P33" s="40"/>
      <c r="Q33" s="40"/>
      <c r="R33" s="40"/>
      <c r="S33" s="40"/>
      <c r="T33" s="40"/>
      <c r="U33" s="40"/>
      <c r="V33" s="40"/>
      <c r="W33" s="40"/>
      <c r="X33" s="40"/>
      <c r="Y33" s="119"/>
    </row>
    <row r="34" spans="1:25" s="52" customFormat="1" ht="11.25" customHeight="1">
      <c r="A34" s="116"/>
      <c r="B34" s="1690"/>
      <c r="C34" s="40"/>
      <c r="D34" s="40"/>
      <c r="E34" s="40"/>
      <c r="F34" s="40"/>
      <c r="G34" s="554"/>
      <c r="H34" s="40"/>
      <c r="I34" s="40"/>
      <c r="J34" s="40"/>
      <c r="K34" s="40"/>
      <c r="L34" s="40"/>
      <c r="M34" s="40"/>
      <c r="N34" s="40"/>
      <c r="O34" s="40"/>
      <c r="P34" s="40"/>
      <c r="Q34" s="40"/>
      <c r="R34" s="40"/>
      <c r="S34" s="40"/>
      <c r="T34" s="40"/>
      <c r="U34" s="40"/>
      <c r="V34" s="40"/>
      <c r="W34" s="40"/>
      <c r="X34" s="40"/>
      <c r="Y34" s="119"/>
    </row>
    <row r="35" spans="1:25" s="52" customFormat="1" ht="11.25" customHeight="1">
      <c r="A35" s="116"/>
      <c r="B35" s="1691"/>
      <c r="C35" s="40"/>
      <c r="D35" s="40"/>
      <c r="E35" s="554"/>
      <c r="F35" s="554"/>
      <c r="G35" s="554"/>
      <c r="H35" s="40"/>
      <c r="I35" s="40"/>
      <c r="J35" s="40"/>
      <c r="K35" s="40"/>
      <c r="L35" s="40"/>
      <c r="M35" s="40"/>
      <c r="N35" s="40"/>
      <c r="O35" s="40"/>
      <c r="P35" s="40"/>
      <c r="Q35" s="40"/>
      <c r="R35" s="40"/>
      <c r="S35" s="40"/>
      <c r="T35" s="40"/>
      <c r="U35" s="40"/>
      <c r="V35" s="40"/>
      <c r="W35" s="40"/>
      <c r="X35" s="40"/>
      <c r="Y35" s="119"/>
    </row>
    <row r="36" spans="1:25" s="52" customFormat="1" ht="11.25" customHeight="1">
      <c r="A36" s="116"/>
      <c r="B36" s="1561"/>
      <c r="C36" s="1561"/>
      <c r="D36" s="1561"/>
      <c r="E36" s="1561"/>
      <c r="F36" s="1561"/>
      <c r="G36" s="554"/>
      <c r="H36" s="40"/>
      <c r="I36" s="40"/>
      <c r="J36" s="40"/>
      <c r="K36" s="40"/>
      <c r="L36" s="40"/>
      <c r="M36" s="40"/>
      <c r="N36" s="40"/>
      <c r="O36" s="40"/>
      <c r="P36" s="40"/>
      <c r="Q36" s="40"/>
      <c r="R36" s="40"/>
      <c r="S36" s="40"/>
      <c r="T36" s="40"/>
      <c r="U36" s="40"/>
      <c r="V36" s="40"/>
      <c r="W36" s="40"/>
      <c r="X36" s="40"/>
      <c r="Y36" s="119"/>
    </row>
    <row r="37" spans="1:25" s="52" customFormat="1" ht="11.25" customHeight="1">
      <c r="A37" s="116"/>
      <c r="B37" s="1561"/>
      <c r="C37" s="1561"/>
      <c r="D37" s="1561"/>
      <c r="E37" s="1561"/>
      <c r="F37" s="1561"/>
      <c r="G37" s="554"/>
      <c r="H37" s="40"/>
      <c r="I37" s="40"/>
      <c r="J37" s="40"/>
      <c r="K37" s="40"/>
      <c r="L37" s="40"/>
      <c r="M37" s="40"/>
      <c r="N37" s="40"/>
      <c r="O37" s="40"/>
      <c r="P37" s="40"/>
      <c r="Q37" s="40"/>
      <c r="R37" s="40"/>
      <c r="S37" s="40"/>
      <c r="T37" s="40"/>
      <c r="U37" s="40"/>
      <c r="V37" s="40"/>
      <c r="W37" s="40"/>
      <c r="X37" s="40"/>
      <c r="Y37" s="119"/>
    </row>
    <row r="38" spans="1:25" s="52" customFormat="1" ht="11.25" customHeight="1">
      <c r="A38" s="116"/>
      <c r="B38" s="1561"/>
      <c r="C38" s="1561"/>
      <c r="D38" s="1561"/>
      <c r="E38" s="1561"/>
      <c r="F38" s="1561"/>
      <c r="G38" s="554"/>
      <c r="H38" s="40"/>
      <c r="I38" s="40"/>
      <c r="J38" s="40"/>
      <c r="K38" s="40"/>
      <c r="L38" s="40"/>
      <c r="M38" s="40"/>
      <c r="N38" s="40"/>
      <c r="O38" s="40"/>
      <c r="P38" s="40"/>
      <c r="Q38" s="40"/>
      <c r="R38" s="40"/>
      <c r="S38" s="40"/>
      <c r="T38" s="40"/>
      <c r="U38" s="40"/>
      <c r="V38" s="40"/>
      <c r="W38" s="40"/>
      <c r="X38" s="40"/>
      <c r="Y38" s="119"/>
    </row>
    <row r="39" spans="1:25" s="52" customFormat="1" ht="11.25" customHeight="1">
      <c r="A39" s="116"/>
      <c r="B39" s="1561"/>
      <c r="C39" s="1561"/>
      <c r="D39" s="1561"/>
      <c r="E39" s="1561"/>
      <c r="F39" s="1561"/>
      <c r="G39" s="554"/>
      <c r="H39" s="40"/>
      <c r="I39" s="40"/>
      <c r="J39" s="40"/>
      <c r="K39" s="40"/>
      <c r="L39" s="40"/>
      <c r="M39" s="40"/>
      <c r="N39" s="40"/>
      <c r="O39" s="40"/>
      <c r="P39" s="40"/>
      <c r="Q39" s="40"/>
      <c r="R39" s="40"/>
      <c r="S39" s="40"/>
      <c r="T39" s="40"/>
      <c r="U39" s="40"/>
      <c r="V39" s="40"/>
      <c r="W39" s="40"/>
      <c r="X39" s="40"/>
      <c r="Y39" s="119"/>
    </row>
    <row r="40" spans="1:25" s="52" customFormat="1" ht="11.25" customHeight="1">
      <c r="A40" s="116"/>
      <c r="B40" s="1561"/>
      <c r="C40" s="1561"/>
      <c r="D40" s="1561"/>
      <c r="E40" s="1561"/>
      <c r="F40" s="1561"/>
      <c r="G40" s="554"/>
      <c r="H40" s="40"/>
      <c r="I40" s="40"/>
      <c r="J40" s="40"/>
      <c r="K40" s="40"/>
      <c r="L40" s="40"/>
      <c r="M40" s="40"/>
      <c r="N40" s="40"/>
      <c r="O40" s="40"/>
      <c r="P40" s="40"/>
      <c r="Q40" s="40"/>
      <c r="R40" s="40"/>
      <c r="S40" s="40"/>
      <c r="T40" s="40"/>
      <c r="U40" s="40"/>
      <c r="V40" s="40"/>
      <c r="W40" s="40"/>
      <c r="X40" s="40"/>
      <c r="Y40" s="119"/>
    </row>
    <row r="41" spans="1:25" s="52" customFormat="1" ht="11.25" customHeight="1">
      <c r="A41" s="116"/>
      <c r="B41" s="1561"/>
      <c r="C41" s="1561"/>
      <c r="D41" s="1561"/>
      <c r="E41" s="1561"/>
      <c r="F41" s="1561"/>
      <c r="G41" s="554"/>
      <c r="H41" s="40"/>
      <c r="I41" s="40"/>
      <c r="J41" s="40"/>
      <c r="K41" s="40"/>
      <c r="L41" s="40"/>
      <c r="M41" s="40"/>
      <c r="N41" s="40"/>
      <c r="O41" s="40"/>
      <c r="P41" s="40"/>
      <c r="Q41" s="40"/>
      <c r="R41" s="40"/>
      <c r="S41" s="40"/>
      <c r="T41" s="40"/>
      <c r="U41" s="40"/>
      <c r="V41" s="40"/>
      <c r="W41" s="40"/>
      <c r="X41" s="40"/>
      <c r="Y41" s="119"/>
    </row>
    <row r="42" spans="1:25" s="52" customFormat="1" ht="11.25" customHeight="1">
      <c r="A42" s="116"/>
      <c r="B42" s="1561"/>
      <c r="C42" s="1561"/>
      <c r="D42" s="1561"/>
      <c r="E42" s="1561"/>
      <c r="F42" s="1561"/>
      <c r="G42" s="554"/>
      <c r="H42" s="40"/>
      <c r="I42" s="40"/>
      <c r="J42" s="40"/>
      <c r="K42" s="40"/>
      <c r="L42" s="40"/>
      <c r="M42" s="40"/>
      <c r="N42" s="40"/>
      <c r="O42" s="40"/>
      <c r="P42" s="40"/>
      <c r="Q42" s="40"/>
      <c r="R42" s="40"/>
      <c r="S42" s="40"/>
      <c r="T42" s="40"/>
      <c r="U42" s="40"/>
      <c r="V42" s="40"/>
      <c r="W42" s="40"/>
      <c r="X42" s="40"/>
      <c r="Y42" s="119"/>
    </row>
    <row r="43" spans="1:25" s="52" customFormat="1" ht="11.25" customHeight="1">
      <c r="A43" s="116"/>
      <c r="B43" s="1561"/>
      <c r="C43" s="1561"/>
      <c r="D43" s="1561"/>
      <c r="E43" s="1561"/>
      <c r="F43" s="1561"/>
      <c r="G43" s="554"/>
      <c r="H43" s="40"/>
      <c r="I43" s="40"/>
      <c r="J43" s="40"/>
      <c r="K43" s="40"/>
      <c r="L43" s="40"/>
      <c r="M43" s="40"/>
      <c r="N43" s="40"/>
      <c r="O43" s="40"/>
      <c r="P43" s="40"/>
      <c r="Q43" s="40"/>
      <c r="R43" s="40"/>
      <c r="S43" s="40"/>
      <c r="T43" s="40"/>
      <c r="U43" s="40"/>
      <c r="V43" s="40"/>
      <c r="W43" s="40"/>
      <c r="X43" s="40"/>
      <c r="Y43" s="119"/>
    </row>
    <row r="44" spans="1:25" s="52" customFormat="1" ht="11.25" customHeight="1">
      <c r="A44" s="116"/>
      <c r="B44" s="1561"/>
      <c r="C44" s="1561"/>
      <c r="D44" s="1561"/>
      <c r="E44" s="1561"/>
      <c r="F44" s="1561"/>
      <c r="G44" s="554"/>
      <c r="H44" s="40"/>
      <c r="I44" s="40"/>
      <c r="J44" s="40"/>
      <c r="K44" s="40"/>
      <c r="L44" s="40"/>
      <c r="M44" s="40"/>
      <c r="N44" s="40"/>
      <c r="O44" s="40"/>
      <c r="P44" s="40"/>
      <c r="Q44" s="40"/>
      <c r="R44" s="40"/>
      <c r="S44" s="40"/>
      <c r="T44" s="40"/>
      <c r="U44" s="40"/>
      <c r="V44" s="40"/>
      <c r="W44" s="40"/>
      <c r="X44" s="40"/>
      <c r="Y44" s="119"/>
    </row>
    <row r="45" spans="1:25" s="52" customFormat="1" ht="11.25" customHeight="1">
      <c r="A45" s="116"/>
      <c r="B45" s="1561"/>
      <c r="C45" s="1561"/>
      <c r="D45" s="1561"/>
      <c r="E45" s="1561"/>
      <c r="F45" s="1561"/>
      <c r="G45" s="554"/>
      <c r="H45" s="40"/>
      <c r="I45" s="40"/>
      <c r="J45" s="40"/>
      <c r="K45" s="40"/>
      <c r="L45" s="40"/>
      <c r="M45" s="40"/>
      <c r="N45" s="40"/>
      <c r="O45" s="40"/>
      <c r="P45" s="40"/>
      <c r="Q45" s="40"/>
      <c r="R45" s="40"/>
      <c r="S45" s="40"/>
      <c r="T45" s="40"/>
      <c r="U45" s="40"/>
      <c r="V45" s="40"/>
      <c r="W45" s="40"/>
      <c r="X45" s="40"/>
      <c r="Y45" s="119"/>
    </row>
    <row r="46" spans="1:25" s="52" customFormat="1" ht="11.25" customHeight="1">
      <c r="A46" s="116"/>
      <c r="B46" s="1561"/>
      <c r="C46" s="1561"/>
      <c r="D46" s="1561"/>
      <c r="E46" s="1561"/>
      <c r="F46" s="1561"/>
      <c r="G46" s="554"/>
      <c r="H46" s="40"/>
      <c r="I46" s="40"/>
      <c r="J46" s="40"/>
      <c r="K46" s="40"/>
      <c r="L46" s="40"/>
      <c r="M46" s="40"/>
      <c r="N46" s="40"/>
      <c r="O46" s="40"/>
      <c r="P46" s="40"/>
      <c r="Q46" s="40"/>
      <c r="R46" s="40"/>
      <c r="S46" s="40"/>
      <c r="T46" s="40"/>
      <c r="U46" s="40"/>
      <c r="V46" s="40"/>
      <c r="W46" s="40"/>
      <c r="X46" s="40"/>
      <c r="Y46" s="119"/>
    </row>
    <row r="47" spans="1:25" s="52" customFormat="1" ht="11.25" customHeight="1">
      <c r="A47" s="116"/>
      <c r="B47" s="1561"/>
      <c r="C47" s="1561"/>
      <c r="D47" s="1561"/>
      <c r="E47" s="1561"/>
      <c r="F47" s="1561"/>
      <c r="G47" s="554"/>
      <c r="H47" s="40"/>
      <c r="I47" s="40"/>
      <c r="J47" s="40"/>
      <c r="K47" s="40"/>
      <c r="L47" s="40"/>
      <c r="M47" s="40"/>
      <c r="N47" s="40"/>
      <c r="O47" s="40"/>
      <c r="P47" s="40"/>
      <c r="Q47" s="40"/>
      <c r="R47" s="40"/>
      <c r="S47" s="40"/>
      <c r="T47" s="40"/>
      <c r="U47" s="40"/>
      <c r="V47" s="40"/>
      <c r="W47" s="40"/>
      <c r="X47" s="40"/>
      <c r="Y47" s="119"/>
    </row>
    <row r="48" spans="1:25" s="52" customFormat="1" ht="11.25" customHeight="1">
      <c r="A48" s="116"/>
      <c r="B48" s="1561"/>
      <c r="C48" s="1561"/>
      <c r="D48" s="1561"/>
      <c r="E48" s="1561"/>
      <c r="F48" s="1561"/>
      <c r="G48" s="554"/>
      <c r="H48" s="40"/>
      <c r="I48" s="40"/>
      <c r="J48" s="40"/>
      <c r="K48" s="40"/>
      <c r="L48" s="40"/>
      <c r="M48" s="40"/>
      <c r="N48" s="40"/>
      <c r="O48" s="40"/>
      <c r="P48" s="40"/>
      <c r="Q48" s="40"/>
      <c r="R48" s="40"/>
      <c r="S48" s="40"/>
      <c r="T48" s="40"/>
      <c r="U48" s="40"/>
      <c r="V48" s="40"/>
      <c r="W48" s="40"/>
      <c r="X48" s="40"/>
      <c r="Y48" s="119"/>
    </row>
    <row r="49" spans="1:25" s="52" customFormat="1" ht="11.25" customHeight="1">
      <c r="A49" s="116"/>
      <c r="B49" s="1561"/>
      <c r="C49" s="1561"/>
      <c r="D49" s="1561"/>
      <c r="E49" s="1561"/>
      <c r="F49" s="1561"/>
      <c r="G49" s="554"/>
      <c r="H49" s="40"/>
      <c r="I49" s="40"/>
      <c r="J49" s="40"/>
      <c r="K49" s="40"/>
      <c r="L49" s="40"/>
      <c r="M49" s="40"/>
      <c r="N49" s="40"/>
      <c r="O49" s="40"/>
      <c r="P49" s="40"/>
      <c r="Q49" s="40"/>
      <c r="R49" s="40"/>
      <c r="S49" s="40"/>
      <c r="T49" s="40"/>
      <c r="U49" s="40"/>
      <c r="V49" s="40"/>
      <c r="W49" s="40"/>
      <c r="X49" s="40"/>
      <c r="Y49" s="119"/>
    </row>
    <row r="50" spans="1:25" s="52" customFormat="1" ht="11.25" customHeight="1">
      <c r="A50" s="116"/>
      <c r="B50" s="1561"/>
      <c r="C50" s="1561"/>
      <c r="D50" s="1561"/>
      <c r="E50" s="1561"/>
      <c r="F50" s="1561"/>
      <c r="G50" s="554"/>
      <c r="H50" s="40"/>
      <c r="I50" s="40"/>
      <c r="J50" s="40"/>
      <c r="K50" s="40"/>
      <c r="L50" s="40"/>
      <c r="M50" s="40"/>
      <c r="N50" s="40"/>
      <c r="O50" s="40"/>
      <c r="P50" s="40"/>
      <c r="Q50" s="40"/>
      <c r="R50" s="40"/>
      <c r="S50" s="40"/>
      <c r="T50" s="40"/>
      <c r="U50" s="40"/>
      <c r="V50" s="40"/>
      <c r="W50" s="40"/>
      <c r="X50" s="40"/>
      <c r="Y50" s="119"/>
    </row>
    <row r="51" spans="1:25" s="52" customFormat="1" ht="11.25" customHeight="1">
      <c r="A51" s="116"/>
      <c r="B51" s="1561"/>
      <c r="C51" s="1561"/>
      <c r="D51" s="1561"/>
      <c r="E51" s="1561"/>
      <c r="F51" s="1561"/>
      <c r="G51" s="554"/>
      <c r="H51" s="40"/>
      <c r="I51" s="40"/>
      <c r="J51" s="40"/>
      <c r="K51" s="40"/>
      <c r="L51" s="40"/>
      <c r="M51" s="40"/>
      <c r="N51" s="40"/>
      <c r="O51" s="40"/>
      <c r="P51" s="40"/>
      <c r="Q51" s="40"/>
      <c r="R51" s="40"/>
      <c r="S51" s="40"/>
      <c r="T51" s="40"/>
      <c r="U51" s="40"/>
      <c r="V51" s="40"/>
      <c r="W51" s="40"/>
      <c r="X51" s="40"/>
      <c r="Y51" s="119"/>
    </row>
    <row r="52" spans="1:25" s="52" customFormat="1" ht="11.25" customHeight="1">
      <c r="A52" s="116"/>
      <c r="B52" s="1561"/>
      <c r="C52" s="1561"/>
      <c r="D52" s="1561"/>
      <c r="E52" s="1561"/>
      <c r="F52" s="1561"/>
      <c r="G52" s="554"/>
      <c r="H52" s="40"/>
      <c r="I52" s="40"/>
      <c r="J52" s="40"/>
      <c r="K52" s="40"/>
      <c r="L52" s="40"/>
      <c r="M52" s="40"/>
      <c r="N52" s="40"/>
      <c r="O52" s="40"/>
      <c r="P52" s="40"/>
      <c r="Q52" s="40"/>
      <c r="R52" s="40"/>
      <c r="S52" s="40"/>
      <c r="T52" s="40"/>
      <c r="U52" s="40"/>
      <c r="V52" s="40"/>
      <c r="W52" s="40"/>
      <c r="X52" s="40"/>
      <c r="Y52" s="119"/>
    </row>
    <row r="53" spans="1:25" s="52" customFormat="1" ht="11.25" customHeight="1">
      <c r="A53" s="116"/>
      <c r="B53" s="1561"/>
      <c r="C53" s="1561"/>
      <c r="D53" s="1561"/>
      <c r="E53" s="1561"/>
      <c r="F53" s="1561"/>
      <c r="G53" s="554"/>
      <c r="H53" s="40"/>
      <c r="I53" s="40"/>
      <c r="J53" s="40"/>
      <c r="K53" s="40"/>
      <c r="L53" s="40"/>
      <c r="M53" s="40"/>
      <c r="N53" s="40"/>
      <c r="O53" s="40"/>
      <c r="P53" s="40"/>
      <c r="Q53" s="40"/>
      <c r="R53" s="40"/>
      <c r="S53" s="40"/>
      <c r="T53" s="40"/>
      <c r="U53" s="40"/>
      <c r="V53" s="40"/>
      <c r="W53" s="40"/>
      <c r="X53" s="40"/>
      <c r="Y53" s="119"/>
    </row>
    <row r="54" spans="1:25" s="52" customFormat="1" ht="11.25" customHeight="1">
      <c r="A54" s="116"/>
      <c r="B54" s="1561"/>
      <c r="C54" s="1561"/>
      <c r="D54" s="1561"/>
      <c r="E54" s="1561"/>
      <c r="F54" s="1561"/>
      <c r="G54" s="554"/>
      <c r="H54" s="40"/>
      <c r="I54" s="40"/>
      <c r="J54" s="40"/>
      <c r="K54" s="40"/>
      <c r="L54" s="40"/>
      <c r="M54" s="40"/>
      <c r="N54" s="40"/>
      <c r="O54" s="40"/>
      <c r="P54" s="40"/>
      <c r="Q54" s="40"/>
      <c r="R54" s="40"/>
      <c r="S54" s="40"/>
      <c r="T54" s="40"/>
      <c r="U54" s="40"/>
      <c r="V54" s="40"/>
      <c r="W54" s="40"/>
      <c r="X54" s="40"/>
      <c r="Y54" s="119"/>
    </row>
    <row r="55" spans="1:25" s="52" customFormat="1" ht="11.25" customHeight="1">
      <c r="A55" s="116"/>
      <c r="B55" s="1561"/>
      <c r="C55" s="1561"/>
      <c r="D55" s="1561"/>
      <c r="E55" s="1561"/>
      <c r="F55" s="1561"/>
      <c r="G55" s="554"/>
      <c r="H55" s="40"/>
      <c r="I55" s="40"/>
      <c r="J55" s="40"/>
      <c r="K55" s="40"/>
      <c r="L55" s="40"/>
      <c r="M55" s="40"/>
      <c r="N55" s="40"/>
      <c r="O55" s="40"/>
      <c r="P55" s="40"/>
      <c r="Q55" s="40"/>
      <c r="R55" s="40"/>
      <c r="S55" s="40"/>
      <c r="T55" s="40"/>
      <c r="U55" s="40"/>
      <c r="V55" s="40"/>
      <c r="W55" s="40"/>
      <c r="X55" s="40"/>
      <c r="Y55" s="119"/>
    </row>
    <row r="56" spans="1:25" s="52" customFormat="1" ht="11.25" customHeight="1">
      <c r="A56" s="116"/>
      <c r="B56" s="1561"/>
      <c r="C56" s="1561"/>
      <c r="D56" s="1561"/>
      <c r="E56" s="1561"/>
      <c r="F56" s="1561"/>
      <c r="G56" s="554"/>
      <c r="H56" s="40"/>
      <c r="I56" s="40"/>
      <c r="J56" s="40"/>
      <c r="K56" s="40"/>
      <c r="L56" s="40"/>
      <c r="M56" s="40"/>
      <c r="N56" s="40"/>
      <c r="O56" s="40"/>
      <c r="P56" s="40"/>
      <c r="Q56" s="40"/>
      <c r="R56" s="40"/>
      <c r="S56" s="40"/>
      <c r="T56" s="40"/>
      <c r="U56" s="40"/>
      <c r="V56" s="40"/>
      <c r="W56" s="40"/>
      <c r="X56" s="40"/>
      <c r="Y56" s="119"/>
    </row>
    <row r="57" spans="1:25" s="52" customFormat="1" ht="11.25" customHeight="1">
      <c r="A57" s="116"/>
      <c r="B57" s="1561"/>
      <c r="C57" s="1561"/>
      <c r="D57" s="1561"/>
      <c r="E57" s="1561"/>
      <c r="F57" s="1561"/>
      <c r="G57" s="554"/>
      <c r="H57" s="40"/>
      <c r="I57" s="40"/>
      <c r="J57" s="40"/>
      <c r="K57" s="40"/>
      <c r="L57" s="40"/>
      <c r="M57" s="40"/>
      <c r="N57" s="40"/>
      <c r="O57" s="40"/>
      <c r="P57" s="40"/>
      <c r="Q57" s="40"/>
      <c r="R57" s="40"/>
      <c r="S57" s="40"/>
      <c r="T57" s="40"/>
      <c r="U57" s="40"/>
      <c r="V57" s="40"/>
      <c r="W57" s="40"/>
      <c r="X57" s="40"/>
      <c r="Y57" s="119"/>
    </row>
    <row r="58" spans="1:25" s="52" customFormat="1" ht="11.25" customHeight="1">
      <c r="A58" s="116"/>
      <c r="B58" s="1561"/>
      <c r="C58" s="1561"/>
      <c r="D58" s="1561"/>
      <c r="E58" s="1561"/>
      <c r="F58" s="1561"/>
      <c r="G58" s="554"/>
      <c r="H58" s="40"/>
      <c r="I58" s="40"/>
      <c r="J58" s="40"/>
      <c r="K58" s="40"/>
      <c r="L58" s="40"/>
      <c r="M58" s="40"/>
      <c r="N58" s="40"/>
      <c r="O58" s="40"/>
      <c r="P58" s="40"/>
      <c r="Q58" s="40"/>
      <c r="R58" s="40"/>
      <c r="S58" s="40"/>
      <c r="T58" s="40"/>
      <c r="U58" s="40"/>
      <c r="V58" s="40"/>
      <c r="W58" s="40"/>
      <c r="X58" s="40"/>
      <c r="Y58" s="119"/>
    </row>
    <row r="59" spans="1:25" s="52" customFormat="1" ht="11.25" customHeight="1">
      <c r="A59" s="116"/>
      <c r="B59" s="1561"/>
      <c r="C59" s="1561"/>
      <c r="D59" s="1561"/>
      <c r="E59" s="1561"/>
      <c r="F59" s="1561"/>
      <c r="G59" s="554"/>
      <c r="H59" s="40"/>
      <c r="I59" s="40"/>
      <c r="J59" s="40"/>
      <c r="K59" s="40"/>
      <c r="L59" s="40"/>
      <c r="M59" s="40"/>
      <c r="N59" s="40"/>
      <c r="O59" s="40"/>
      <c r="P59" s="40"/>
      <c r="Q59" s="40"/>
      <c r="R59" s="40"/>
      <c r="S59" s="40"/>
      <c r="T59" s="40"/>
      <c r="U59" s="40"/>
      <c r="V59" s="40"/>
      <c r="W59" s="40"/>
      <c r="X59" s="40"/>
      <c r="Y59" s="119"/>
    </row>
    <row r="60" spans="1:25" s="52" customFormat="1" ht="11.25" customHeight="1">
      <c r="A60" s="116"/>
      <c r="B60" s="1561"/>
      <c r="C60" s="1561"/>
      <c r="D60" s="1561"/>
      <c r="E60" s="1561"/>
      <c r="F60" s="1561"/>
      <c r="G60" s="554"/>
      <c r="H60" s="40"/>
      <c r="I60" s="40"/>
      <c r="J60" s="40"/>
      <c r="K60" s="40"/>
      <c r="L60" s="40"/>
      <c r="M60" s="40"/>
      <c r="N60" s="40"/>
      <c r="O60" s="40"/>
      <c r="P60" s="40"/>
      <c r="Q60" s="40"/>
      <c r="R60" s="40"/>
      <c r="S60" s="40"/>
      <c r="T60" s="40"/>
      <c r="U60" s="40"/>
      <c r="V60" s="40"/>
      <c r="W60" s="40"/>
      <c r="X60" s="40"/>
      <c r="Y60" s="119"/>
    </row>
    <row r="61" spans="1:25" s="52" customFormat="1" ht="11.25" customHeight="1">
      <c r="A61" s="116"/>
      <c r="B61" s="1561"/>
      <c r="C61" s="1561"/>
      <c r="D61" s="1561"/>
      <c r="E61" s="1561"/>
      <c r="F61" s="1561"/>
      <c r="G61" s="554"/>
      <c r="H61" s="40"/>
      <c r="I61" s="40"/>
      <c r="J61" s="40"/>
      <c r="K61" s="40"/>
      <c r="L61" s="40"/>
      <c r="M61" s="40"/>
      <c r="N61" s="40"/>
      <c r="O61" s="40"/>
      <c r="P61" s="40"/>
      <c r="Q61" s="40"/>
      <c r="R61" s="40"/>
      <c r="S61" s="40"/>
      <c r="T61" s="40"/>
      <c r="U61" s="40"/>
      <c r="V61" s="40"/>
      <c r="W61" s="40"/>
      <c r="X61" s="40"/>
      <c r="Y61" s="119"/>
    </row>
    <row r="62" spans="1:25" s="52" customFormat="1" ht="11.25" customHeight="1">
      <c r="A62" s="116"/>
      <c r="B62" s="1561"/>
      <c r="C62" s="1561"/>
      <c r="D62" s="1561"/>
      <c r="E62" s="1561"/>
      <c r="F62" s="1561"/>
      <c r="G62" s="554"/>
      <c r="H62" s="40"/>
      <c r="I62" s="40"/>
      <c r="J62" s="40"/>
      <c r="K62" s="40"/>
      <c r="L62" s="40"/>
      <c r="M62" s="40"/>
      <c r="N62" s="40"/>
      <c r="O62" s="40"/>
      <c r="P62" s="40"/>
      <c r="Q62" s="40"/>
      <c r="R62" s="40"/>
      <c r="S62" s="40"/>
      <c r="T62" s="40"/>
      <c r="U62" s="40"/>
      <c r="V62" s="40"/>
      <c r="W62" s="40"/>
      <c r="X62" s="40"/>
      <c r="Y62" s="119"/>
    </row>
    <row r="63" spans="1:25" s="52" customFormat="1" ht="11.25" customHeight="1">
      <c r="A63" s="116"/>
      <c r="B63" s="1561"/>
      <c r="C63" s="1561"/>
      <c r="D63" s="1561"/>
      <c r="E63" s="1561"/>
      <c r="F63" s="1561"/>
      <c r="G63" s="554"/>
      <c r="H63" s="40"/>
      <c r="I63" s="40"/>
      <c r="J63" s="40"/>
      <c r="K63" s="40"/>
      <c r="L63" s="40"/>
      <c r="M63" s="40"/>
      <c r="N63" s="40"/>
      <c r="O63" s="40"/>
      <c r="P63" s="40"/>
      <c r="Q63" s="40"/>
      <c r="R63" s="40"/>
      <c r="S63" s="40"/>
      <c r="T63" s="40"/>
      <c r="U63" s="40"/>
      <c r="V63" s="40"/>
      <c r="W63" s="40"/>
      <c r="X63" s="40"/>
      <c r="Y63" s="119"/>
    </row>
    <row r="64" spans="1:25" s="52" customFormat="1" ht="11.25" customHeight="1">
      <c r="A64" s="116"/>
      <c r="B64" s="1561"/>
      <c r="C64" s="1561"/>
      <c r="D64" s="1561"/>
      <c r="E64" s="1561"/>
      <c r="F64" s="1561"/>
      <c r="G64" s="554"/>
      <c r="H64" s="40"/>
      <c r="I64" s="40"/>
      <c r="J64" s="40"/>
      <c r="K64" s="40"/>
      <c r="L64" s="40"/>
      <c r="M64" s="40"/>
      <c r="N64" s="40"/>
      <c r="O64" s="40"/>
      <c r="P64" s="40"/>
      <c r="Q64" s="40"/>
      <c r="R64" s="40"/>
      <c r="S64" s="40"/>
      <c r="T64" s="40"/>
      <c r="U64" s="40"/>
      <c r="V64" s="40"/>
      <c r="W64" s="40"/>
      <c r="X64" s="40"/>
      <c r="Y64" s="119"/>
    </row>
    <row r="65" spans="1:27" s="52" customFormat="1" ht="11.25" customHeight="1">
      <c r="A65" s="116"/>
      <c r="B65" s="1561"/>
      <c r="C65" s="1561"/>
      <c r="D65" s="1561"/>
      <c r="E65" s="1561"/>
      <c r="F65" s="1561"/>
      <c r="G65" s="554"/>
      <c r="H65" s="40"/>
      <c r="I65" s="40"/>
      <c r="J65" s="40"/>
      <c r="K65" s="40"/>
      <c r="L65" s="40"/>
      <c r="M65" s="40"/>
      <c r="N65" s="40"/>
      <c r="O65" s="40"/>
      <c r="P65" s="40"/>
      <c r="Q65" s="40"/>
      <c r="R65" s="40"/>
      <c r="S65" s="40"/>
      <c r="T65" s="40"/>
      <c r="U65" s="40"/>
      <c r="V65" s="40"/>
      <c r="W65" s="40"/>
      <c r="X65" s="40"/>
      <c r="Y65" s="119"/>
    </row>
    <row r="66" spans="1:27" s="52" customFormat="1" ht="11.25" customHeight="1">
      <c r="A66" s="116"/>
      <c r="B66" s="1561"/>
      <c r="C66" s="1561"/>
      <c r="D66" s="1561"/>
      <c r="E66" s="1561"/>
      <c r="F66" s="1561"/>
      <c r="G66" s="554"/>
      <c r="H66" s="40"/>
      <c r="I66" s="40"/>
      <c r="J66" s="40"/>
      <c r="K66" s="40"/>
      <c r="L66" s="40"/>
      <c r="M66" s="40"/>
      <c r="N66" s="40"/>
      <c r="O66" s="40"/>
      <c r="P66" s="40"/>
      <c r="Q66" s="40"/>
      <c r="R66" s="40"/>
      <c r="S66" s="40"/>
      <c r="T66" s="40"/>
      <c r="U66" s="40"/>
      <c r="V66" s="40"/>
      <c r="W66" s="40"/>
      <c r="X66" s="40"/>
      <c r="Y66" s="119"/>
    </row>
    <row r="67" spans="1:27" s="52" customFormat="1" ht="11.25" customHeight="1">
      <c r="A67" s="116"/>
      <c r="B67" s="1561"/>
      <c r="C67" s="1561"/>
      <c r="D67" s="1561"/>
      <c r="E67" s="1561"/>
      <c r="F67" s="1561"/>
      <c r="G67" s="554"/>
      <c r="H67" s="40"/>
      <c r="I67" s="40"/>
      <c r="J67" s="40"/>
      <c r="K67" s="40"/>
      <c r="L67" s="40"/>
      <c r="M67" s="40"/>
      <c r="N67" s="40"/>
      <c r="O67" s="40"/>
      <c r="P67" s="40"/>
      <c r="Q67" s="40"/>
      <c r="R67" s="40"/>
      <c r="S67" s="40"/>
      <c r="T67" s="40"/>
      <c r="U67" s="40"/>
      <c r="V67" s="40"/>
      <c r="W67" s="40"/>
      <c r="X67" s="40"/>
      <c r="Y67" s="119"/>
    </row>
    <row r="68" spans="1:27" s="52" customFormat="1" ht="11.25" customHeight="1">
      <c r="A68" s="116"/>
      <c r="B68" s="1561"/>
      <c r="C68" s="1561"/>
      <c r="D68" s="1561"/>
      <c r="E68" s="1561"/>
      <c r="F68" s="1561"/>
      <c r="G68" s="554"/>
      <c r="H68" s="40"/>
      <c r="I68" s="40"/>
      <c r="J68" s="40"/>
      <c r="K68" s="40"/>
      <c r="L68" s="40"/>
      <c r="M68" s="40"/>
      <c r="N68" s="40"/>
      <c r="O68" s="40"/>
      <c r="P68" s="40"/>
      <c r="Q68" s="40"/>
      <c r="R68" s="40"/>
      <c r="S68" s="40"/>
      <c r="T68" s="40"/>
      <c r="U68" s="40"/>
      <c r="V68" s="40"/>
      <c r="W68" s="40"/>
      <c r="X68" s="40"/>
      <c r="Y68" s="119"/>
    </row>
    <row r="69" spans="1:27" ht="11.25" customHeight="1">
      <c r="A69" s="711"/>
      <c r="B69" s="713"/>
      <c r="C69" s="713"/>
      <c r="D69" s="713"/>
      <c r="E69" s="713"/>
      <c r="F69" s="713"/>
      <c r="G69" s="713"/>
      <c r="H69" s="713"/>
      <c r="I69" s="713"/>
      <c r="J69" s="713"/>
      <c r="K69" s="713"/>
      <c r="L69" s="713"/>
      <c r="M69" s="713"/>
      <c r="N69" s="713"/>
      <c r="O69" s="713"/>
      <c r="P69" s="713"/>
      <c r="Q69" s="713"/>
      <c r="R69" s="713"/>
      <c r="S69" s="713"/>
      <c r="T69" s="713"/>
      <c r="U69" s="713"/>
      <c r="V69" s="713"/>
      <c r="W69" s="713"/>
      <c r="X69" s="713"/>
      <c r="Y69" s="867"/>
    </row>
    <row r="70" spans="1:27" ht="11.25" customHeight="1">
      <c r="Z70" s="52"/>
      <c r="AA70" s="52"/>
    </row>
    <row r="112" spans="26:27" ht="11.25" customHeight="1">
      <c r="Z112" s="52"/>
      <c r="AA112" s="52"/>
    </row>
    <row r="113" spans="26:27" ht="11.25" customHeight="1">
      <c r="Z113" s="52"/>
      <c r="AA113" s="52"/>
    </row>
    <row r="114" spans="26:27" ht="11.25" customHeight="1">
      <c r="Z114" s="52"/>
      <c r="AA114" s="52"/>
    </row>
    <row r="156" spans="26:27" ht="11.25" customHeight="1">
      <c r="Z156" s="52"/>
      <c r="AA156" s="52"/>
    </row>
    <row r="157" spans="26:27" ht="11.25" customHeight="1">
      <c r="Z157" s="52"/>
      <c r="AA157" s="52"/>
    </row>
    <row r="158" spans="26:27" ht="11.25" customHeight="1">
      <c r="Z158" s="52"/>
      <c r="AA158" s="52"/>
    </row>
    <row r="200" spans="26:27" ht="11.25" customHeight="1">
      <c r="Z200" s="52"/>
      <c r="AA200" s="52"/>
    </row>
    <row r="201" spans="26:27" ht="11.25" customHeight="1">
      <c r="Z201" s="52"/>
      <c r="AA201" s="52"/>
    </row>
    <row r="202" spans="26:27" ht="11.25" customHeight="1">
      <c r="Z202" s="52"/>
      <c r="AA202" s="52"/>
    </row>
    <row r="244" spans="26:27" ht="11.25" customHeight="1">
      <c r="Z244" s="52"/>
      <c r="AA244" s="52"/>
    </row>
    <row r="245" spans="26:27" ht="11.25" customHeight="1">
      <c r="Z245" s="52"/>
      <c r="AA245" s="52"/>
    </row>
    <row r="246" spans="26:27" ht="11.25" customHeight="1">
      <c r="Z246" s="52"/>
      <c r="AA246" s="52"/>
    </row>
    <row r="288" spans="26:27" ht="11.25" customHeight="1">
      <c r="Z288" s="52"/>
      <c r="AA288" s="52"/>
    </row>
    <row r="289" spans="26:27" ht="11.25" customHeight="1">
      <c r="Z289" s="52"/>
      <c r="AA289" s="52"/>
    </row>
    <row r="290" spans="26:27" ht="11.25" customHeight="1">
      <c r="Z290" s="52"/>
      <c r="AA290" s="52"/>
    </row>
    <row r="332" spans="26:27" ht="11.25" customHeight="1">
      <c r="Z332" s="52"/>
      <c r="AA332" s="52"/>
    </row>
    <row r="333" spans="26:27" ht="11.25" customHeight="1">
      <c r="Z333" s="52"/>
      <c r="AA333" s="52"/>
    </row>
    <row r="334" spans="26:27" ht="11.25" customHeight="1">
      <c r="Z334" s="52"/>
      <c r="AA334" s="52"/>
    </row>
    <row r="376" spans="26:27" ht="11.25" customHeight="1">
      <c r="Z376" s="52"/>
      <c r="AA376" s="52"/>
    </row>
    <row r="377" spans="26:27" ht="11.25" customHeight="1">
      <c r="Z377" s="52"/>
      <c r="AA377" s="52"/>
    </row>
    <row r="378" spans="26:27" ht="11.25" customHeight="1">
      <c r="Z378" s="52"/>
      <c r="AA378" s="52"/>
    </row>
  </sheetData>
  <mergeCells count="42">
    <mergeCell ref="B6:W6"/>
    <mergeCell ref="V8:V9"/>
    <mergeCell ref="W8:W9"/>
    <mergeCell ref="E8:E9"/>
    <mergeCell ref="F8:F9"/>
    <mergeCell ref="G8:G9"/>
    <mergeCell ref="T8:T9"/>
    <mergeCell ref="U8:U9"/>
    <mergeCell ref="M8:M9"/>
    <mergeCell ref="Q8:Q9"/>
    <mergeCell ref="N8:N9"/>
    <mergeCell ref="O8:O9"/>
    <mergeCell ref="B7:B9"/>
    <mergeCell ref="D7:D9"/>
    <mergeCell ref="C7:C9"/>
    <mergeCell ref="E7:W7"/>
    <mergeCell ref="S8:S9"/>
    <mergeCell ref="H8:H9"/>
    <mergeCell ref="I8:I9"/>
    <mergeCell ref="B44:F45"/>
    <mergeCell ref="B46:F47"/>
    <mergeCell ref="J8:J9"/>
    <mergeCell ref="K8:K9"/>
    <mergeCell ref="L8:L9"/>
    <mergeCell ref="P8:P9"/>
    <mergeCell ref="R8:R9"/>
    <mergeCell ref="B34:B35"/>
    <mergeCell ref="B36:F37"/>
    <mergeCell ref="B38:F39"/>
    <mergeCell ref="B40:F41"/>
    <mergeCell ref="B42:F43"/>
    <mergeCell ref="B48:F49"/>
    <mergeCell ref="B50:F51"/>
    <mergeCell ref="B52:F53"/>
    <mergeCell ref="B65:F66"/>
    <mergeCell ref="B67:F68"/>
    <mergeCell ref="B54:F55"/>
    <mergeCell ref="B56:F57"/>
    <mergeCell ref="B58:F58"/>
    <mergeCell ref="B59:F60"/>
    <mergeCell ref="B61:F62"/>
    <mergeCell ref="B63:F64"/>
  </mergeCells>
  <phoneticPr fontId="4" type="noConversion"/>
  <conditionalFormatting sqref="B10:D28">
    <cfRule type="expression" dxfId="629" priority="3422">
      <formula>$B10=$AA$2</formula>
    </cfRule>
  </conditionalFormatting>
  <conditionalFormatting sqref="E10:W28">
    <cfRule type="expression" dxfId="628" priority="3421">
      <formula>$B10=$AA$2</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rgb="FFFFC000"/>
  </sheetPr>
  <dimension ref="A1:AH401"/>
  <sheetViews>
    <sheetView showGridLines="0" showRowColHeaders="0" workbookViewId="0"/>
  </sheetViews>
  <sheetFormatPr defaultColWidth="9.140625" defaultRowHeight="11.25" customHeight="1"/>
  <cols>
    <col min="1" max="1" width="2.140625" style="52" customWidth="1"/>
    <col min="2" max="2" width="20" style="52" customWidth="1"/>
    <col min="3" max="3" width="9.28515625" style="52" customWidth="1"/>
    <col min="4" max="4" width="12.5703125" style="52" customWidth="1"/>
    <col min="5" max="5" width="10.7109375" style="52" customWidth="1"/>
    <col min="6" max="6" width="1.42578125" style="52" customWidth="1"/>
    <col min="7" max="7" width="10.140625" style="52" customWidth="1"/>
    <col min="8" max="8" width="6.5703125" style="52" customWidth="1"/>
    <col min="9" max="9" width="8.140625" style="52" customWidth="1"/>
    <col min="10" max="10" width="4.28515625" style="52" customWidth="1"/>
    <col min="11" max="15" width="8.42578125" style="52" customWidth="1"/>
    <col min="16" max="16" width="8.28515625" style="52" customWidth="1"/>
    <col min="17" max="17" width="2.140625" style="52" customWidth="1"/>
    <col min="18" max="18" width="6.42578125" style="52" customWidth="1"/>
    <col min="19" max="19" width="12.140625" style="52" hidden="1" customWidth="1"/>
    <col min="20" max="20" width="15.42578125" style="52" hidden="1" customWidth="1"/>
    <col min="21" max="21" width="20.42578125" style="52" hidden="1" customWidth="1"/>
    <col min="22" max="22" width="4.42578125" style="52" customWidth="1"/>
    <col min="23" max="23" width="13.5703125" style="52" customWidth="1"/>
    <col min="24" max="24" width="4.42578125" style="52" customWidth="1"/>
    <col min="25" max="25" width="9.140625" style="52"/>
    <col min="26" max="26" width="12.140625" style="53" customWidth="1"/>
    <col min="27" max="27" width="9.140625" style="53"/>
    <col min="28" max="28" width="12.140625" style="53" customWidth="1"/>
    <col min="29" max="31" width="9.140625" style="52"/>
    <col min="32" max="32" width="9.140625" style="52" customWidth="1"/>
    <col min="33" max="16384" width="9.140625" style="52"/>
  </cols>
  <sheetData>
    <row r="1" spans="1:34" ht="18.75" customHeight="1">
      <c r="A1" s="81"/>
      <c r="B1" s="82"/>
      <c r="C1" s="82"/>
      <c r="D1" s="82"/>
      <c r="E1" s="82"/>
      <c r="F1" s="82"/>
      <c r="G1" s="82"/>
      <c r="H1" s="82"/>
      <c r="I1" s="83"/>
      <c r="J1" s="82"/>
      <c r="K1" s="82"/>
      <c r="L1" s="82"/>
      <c r="M1" s="82"/>
      <c r="N1" s="82"/>
      <c r="O1" s="82"/>
      <c r="P1" s="82"/>
      <c r="Q1" s="84"/>
      <c r="R1" s="207"/>
      <c r="V1" s="55"/>
      <c r="W1" s="55"/>
      <c r="X1" s="135"/>
      <c r="Y1" s="135"/>
      <c r="Z1" s="135"/>
      <c r="AA1" s="135"/>
      <c r="AB1" s="135"/>
      <c r="AC1" s="135"/>
      <c r="AD1" s="135"/>
      <c r="AE1" s="135"/>
      <c r="AF1" s="135"/>
      <c r="AG1" s="135"/>
      <c r="AH1" s="135"/>
    </row>
    <row r="2" spans="1:34" ht="18.75" customHeight="1">
      <c r="A2" s="87"/>
      <c r="B2" s="888" t="s">
        <v>75</v>
      </c>
      <c r="C2" s="5"/>
      <c r="D2" s="5"/>
      <c r="E2" s="5"/>
      <c r="F2" s="5"/>
      <c r="G2" s="5"/>
      <c r="H2" s="5"/>
      <c r="I2" s="1"/>
      <c r="J2" s="5"/>
      <c r="K2" s="5"/>
      <c r="L2" s="5"/>
      <c r="M2" s="5"/>
      <c r="N2" s="5"/>
      <c r="O2" s="5"/>
      <c r="P2" s="5"/>
      <c r="Q2" s="86"/>
      <c r="R2" s="122"/>
      <c r="V2" s="55"/>
      <c r="W2" s="55"/>
      <c r="X2" s="56"/>
      <c r="Y2" s="56"/>
      <c r="Z2" s="56"/>
      <c r="AA2" s="56"/>
      <c r="AB2" s="56"/>
      <c r="AC2" s="56"/>
      <c r="AD2" s="56"/>
      <c r="AE2" s="56"/>
      <c r="AF2" s="56"/>
      <c r="AG2" s="56"/>
      <c r="AH2" s="56"/>
    </row>
    <row r="3" spans="1:34" ht="18.75" customHeight="1">
      <c r="A3" s="87"/>
      <c r="B3" s="5"/>
      <c r="C3" s="5"/>
      <c r="D3" s="5"/>
      <c r="E3" s="5"/>
      <c r="F3" s="5"/>
      <c r="G3" s="5"/>
      <c r="H3" s="5"/>
      <c r="I3" s="1"/>
      <c r="J3" s="5"/>
      <c r="K3" s="5"/>
      <c r="L3" s="5"/>
      <c r="M3" s="5"/>
      <c r="N3" s="5"/>
      <c r="O3" s="5"/>
      <c r="P3" s="5"/>
      <c r="Q3" s="86"/>
      <c r="R3" s="122"/>
      <c r="V3" s="55"/>
      <c r="W3" s="55"/>
      <c r="X3" s="56"/>
      <c r="Y3" s="56"/>
      <c r="Z3" s="56"/>
      <c r="AA3" s="56"/>
      <c r="AB3" s="56"/>
      <c r="AC3" s="56"/>
      <c r="AD3" s="56"/>
      <c r="AE3" s="56"/>
      <c r="AF3" s="56"/>
      <c r="AG3" s="56"/>
      <c r="AH3" s="56"/>
    </row>
    <row r="4" spans="1:34" ht="11.25" customHeight="1">
      <c r="A4" s="81"/>
      <c r="B4" s="82"/>
      <c r="C4" s="82"/>
      <c r="D4" s="82"/>
      <c r="E4" s="82"/>
      <c r="F4" s="82"/>
      <c r="G4" s="82"/>
      <c r="H4" s="82"/>
      <c r="I4" s="82"/>
      <c r="J4" s="82"/>
      <c r="K4" s="82"/>
      <c r="L4" s="82"/>
      <c r="M4" s="82"/>
      <c r="N4" s="82"/>
      <c r="O4" s="82"/>
      <c r="P4" s="82"/>
      <c r="Q4" s="169"/>
      <c r="R4" s="119"/>
      <c r="X4" s="53"/>
      <c r="Y4" s="53"/>
      <c r="AA4" s="52"/>
      <c r="AB4" s="52"/>
    </row>
    <row r="5" spans="1:34" ht="18.75" customHeight="1">
      <c r="A5" s="87"/>
      <c r="B5" s="1090" t="s">
        <v>1058</v>
      </c>
      <c r="C5" s="77"/>
      <c r="D5" s="77"/>
      <c r="E5" s="77"/>
      <c r="F5" s="77"/>
      <c r="G5" s="77"/>
      <c r="H5" s="77"/>
      <c r="I5" s="77"/>
      <c r="J5" s="77"/>
      <c r="K5" s="77"/>
      <c r="L5" s="77"/>
      <c r="M5" s="77"/>
      <c r="N5" s="40"/>
      <c r="O5" s="40"/>
      <c r="P5" s="5"/>
      <c r="Q5" s="170"/>
      <c r="R5" s="119"/>
      <c r="S5" s="58" t="e">
        <f>VLOOKUP(T5,$S$9:$T$27,2,FALSE)</f>
        <v>#N/A</v>
      </c>
      <c r="T5" s="54" t="str">
        <f>Home!$D$5</f>
        <v>(none)</v>
      </c>
      <c r="U5" s="183" t="str">
        <f>"Selected LA- "&amp;T5</f>
        <v>Selected LA- (none)</v>
      </c>
      <c r="X5" s="53"/>
      <c r="Y5" s="53"/>
      <c r="AA5" s="52"/>
      <c r="AB5" s="52"/>
    </row>
    <row r="6" spans="1:34" ht="66.75" customHeight="1">
      <c r="A6" s="87"/>
      <c r="B6" s="1710" t="s">
        <v>863</v>
      </c>
      <c r="C6" s="1711"/>
      <c r="D6" s="1711"/>
      <c r="E6" s="1711"/>
      <c r="F6" s="1711"/>
      <c r="G6" s="1711"/>
      <c r="H6" s="1711"/>
      <c r="I6" s="1711"/>
      <c r="J6" s="1711"/>
      <c r="K6" s="1711"/>
      <c r="L6" s="1711"/>
      <c r="M6" s="1711"/>
      <c r="N6" s="1711"/>
      <c r="O6" s="1711"/>
      <c r="P6" s="5"/>
      <c r="Q6" s="170"/>
      <c r="R6" s="119"/>
    </row>
    <row r="7" spans="1:34" ht="7.5" customHeight="1">
      <c r="A7" s="208"/>
      <c r="B7" s="1712"/>
      <c r="C7" s="1712"/>
      <c r="D7" s="1712"/>
      <c r="E7" s="1712"/>
      <c r="F7" s="1712"/>
      <c r="G7" s="1712"/>
      <c r="H7" s="1712"/>
      <c r="I7" s="1712"/>
      <c r="J7" s="1712"/>
      <c r="K7" s="1712"/>
      <c r="L7" s="1712"/>
      <c r="M7" s="1712"/>
      <c r="N7" s="1712"/>
      <c r="O7" s="1712"/>
      <c r="P7" s="1712"/>
      <c r="Q7" s="170"/>
      <c r="R7" s="119"/>
    </row>
    <row r="8" spans="1:34" ht="38.25" customHeight="1">
      <c r="A8" s="87"/>
      <c r="B8" s="930" t="s">
        <v>177</v>
      </c>
      <c r="C8" s="1069" t="s">
        <v>862</v>
      </c>
      <c r="D8" s="1070" t="s">
        <v>884</v>
      </c>
      <c r="E8" s="1071" t="s">
        <v>91</v>
      </c>
      <c r="F8" s="21"/>
      <c r="G8" s="21"/>
      <c r="H8" s="21"/>
      <c r="I8" s="21"/>
      <c r="J8" s="21"/>
      <c r="K8" s="174"/>
      <c r="L8" s="20"/>
      <c r="M8" s="20"/>
      <c r="N8" s="20"/>
      <c r="O8" s="5"/>
      <c r="P8" s="5"/>
      <c r="Q8" s="170"/>
      <c r="R8" s="119"/>
    </row>
    <row r="9" spans="1:34" s="61" customFormat="1" ht="14.25" customHeight="1">
      <c r="A9" s="1051">
        <f>VLOOKUP(B9,ReportData!$AQ$4:$AR$25,2,FALSE)</f>
        <v>0</v>
      </c>
      <c r="B9" s="885" t="s">
        <v>0</v>
      </c>
      <c r="C9" s="1058">
        <v>8.9</v>
      </c>
      <c r="D9" s="1059">
        <v>24849</v>
      </c>
      <c r="E9" s="1060">
        <f t="shared" ref="E9:E27" si="0">D9*(C9/100)</f>
        <v>2211.5610000000001</v>
      </c>
      <c r="F9" s="1052"/>
      <c r="G9" s="1052"/>
      <c r="H9" s="22"/>
      <c r="I9" s="59"/>
      <c r="J9" s="59"/>
      <c r="K9" s="59"/>
      <c r="L9" s="1053"/>
      <c r="M9" s="1054"/>
      <c r="N9" s="1053"/>
      <c r="O9" s="59"/>
      <c r="P9" s="59"/>
      <c r="Q9" s="608"/>
      <c r="R9" s="121"/>
      <c r="S9" s="1055" t="str">
        <f>B9</f>
        <v>Bracknell Forest</v>
      </c>
      <c r="T9" s="1056">
        <v>1</v>
      </c>
      <c r="U9" s="1057" t="str">
        <f>IF(B9=$T$5,C9," ")</f>
        <v xml:space="preserve"> </v>
      </c>
      <c r="X9" s="60"/>
      <c r="Y9" s="60"/>
      <c r="Z9" s="60"/>
    </row>
    <row r="10" spans="1:34" s="61" customFormat="1" ht="14.25" customHeight="1">
      <c r="A10" s="1051">
        <f>VLOOKUP(B10,ReportData!$AQ$4:$AR$25,2,FALSE)</f>
        <v>0</v>
      </c>
      <c r="B10" s="1061" t="s">
        <v>28</v>
      </c>
      <c r="C10" s="1058">
        <v>15.299999999999999</v>
      </c>
      <c r="D10" s="1059">
        <v>45576</v>
      </c>
      <c r="E10" s="1060">
        <f t="shared" si="0"/>
        <v>6973.1279999999997</v>
      </c>
      <c r="F10" s="1052"/>
      <c r="G10" s="1052"/>
      <c r="H10" s="22"/>
      <c r="I10" s="23"/>
      <c r="J10" s="59"/>
      <c r="K10" s="59"/>
      <c r="L10" s="59"/>
      <c r="M10" s="59"/>
      <c r="N10" s="59"/>
      <c r="O10" s="59"/>
      <c r="P10" s="59"/>
      <c r="Q10" s="608"/>
      <c r="R10" s="121"/>
      <c r="S10" s="1055" t="str">
        <f t="shared" ref="S10:S27" si="1">B10</f>
        <v>Brighton &amp; Hove</v>
      </c>
      <c r="T10" s="1056">
        <v>2</v>
      </c>
      <c r="U10" s="1057" t="str">
        <f t="shared" ref="U10:U27" si="2">IF(B10=$T$5,C10," ")</f>
        <v xml:space="preserve"> </v>
      </c>
      <c r="X10" s="60"/>
      <c r="Y10" s="60"/>
      <c r="Z10" s="60"/>
    </row>
    <row r="11" spans="1:34" s="61" customFormat="1" ht="14.25" customHeight="1">
      <c r="A11" s="1051">
        <f>VLOOKUP(B11,ReportData!$AQ$4:$AR$25,2,FALSE)</f>
        <v>0</v>
      </c>
      <c r="B11" s="1061" t="s">
        <v>8</v>
      </c>
      <c r="C11" s="1058">
        <v>8.5</v>
      </c>
      <c r="D11" s="1059">
        <v>107385</v>
      </c>
      <c r="E11" s="1060">
        <f t="shared" si="0"/>
        <v>9127.7250000000004</v>
      </c>
      <c r="F11" s="1052"/>
      <c r="G11" s="22"/>
      <c r="H11" s="22"/>
      <c r="I11" s="59"/>
      <c r="J11" s="59"/>
      <c r="K11" s="59"/>
      <c r="L11" s="1053"/>
      <c r="M11" s="1054"/>
      <c r="N11" s="1053"/>
      <c r="O11" s="59"/>
      <c r="P11" s="59"/>
      <c r="Q11" s="608"/>
      <c r="R11" s="121"/>
      <c r="S11" s="1055" t="str">
        <f t="shared" si="1"/>
        <v>Buckinghamshire</v>
      </c>
      <c r="T11" s="1056">
        <v>3</v>
      </c>
      <c r="U11" s="1057" t="str">
        <f t="shared" si="2"/>
        <v xml:space="preserve"> </v>
      </c>
      <c r="X11" s="60"/>
      <c r="Y11" s="60"/>
      <c r="Z11" s="60"/>
    </row>
    <row r="12" spans="1:34" s="61" customFormat="1" ht="14.25" customHeight="1">
      <c r="A12" s="1051">
        <f>VLOOKUP(B12,ReportData!$AQ$4:$AR$25,2,FALSE)</f>
        <v>0</v>
      </c>
      <c r="B12" s="1061" t="s">
        <v>4</v>
      </c>
      <c r="C12" s="1058">
        <v>16.100000000000001</v>
      </c>
      <c r="D12" s="1059">
        <v>93130</v>
      </c>
      <c r="E12" s="1060">
        <f t="shared" si="0"/>
        <v>14993.93</v>
      </c>
      <c r="F12" s="1052"/>
      <c r="G12" s="1052"/>
      <c r="H12" s="1052"/>
      <c r="I12" s="59"/>
      <c r="J12" s="59"/>
      <c r="K12" s="59"/>
      <c r="L12" s="1053"/>
      <c r="M12" s="1054"/>
      <c r="N12" s="1053"/>
      <c r="O12" s="59"/>
      <c r="P12" s="59"/>
      <c r="Q12" s="608"/>
      <c r="R12" s="121"/>
      <c r="S12" s="1055" t="str">
        <f t="shared" si="1"/>
        <v>East Sussex</v>
      </c>
      <c r="T12" s="1056">
        <v>4</v>
      </c>
      <c r="U12" s="1057" t="str">
        <f t="shared" si="2"/>
        <v xml:space="preserve"> </v>
      </c>
      <c r="X12" s="60"/>
      <c r="Y12" s="60"/>
      <c r="Z12" s="60"/>
    </row>
    <row r="13" spans="1:34" s="61" customFormat="1" ht="14.25" customHeight="1">
      <c r="A13" s="1051">
        <f>VLOOKUP(B13,ReportData!$AQ$4:$AR$25,2,FALSE)</f>
        <v>0</v>
      </c>
      <c r="B13" s="1061" t="s">
        <v>6</v>
      </c>
      <c r="C13" s="1058">
        <v>10.100000000000001</v>
      </c>
      <c r="D13" s="1059">
        <v>249483</v>
      </c>
      <c r="E13" s="1060">
        <f>D13*(C13/100)</f>
        <v>25197.783000000007</v>
      </c>
      <c r="F13" s="1052"/>
      <c r="G13" s="1052"/>
      <c r="H13" s="1052"/>
      <c r="I13" s="59"/>
      <c r="J13" s="59"/>
      <c r="K13" s="59"/>
      <c r="L13" s="1053"/>
      <c r="M13" s="1054"/>
      <c r="N13" s="1053"/>
      <c r="O13" s="59"/>
      <c r="P13" s="59"/>
      <c r="Q13" s="608"/>
      <c r="R13" s="121"/>
      <c r="S13" s="1055" t="str">
        <f t="shared" si="1"/>
        <v>Hampshire</v>
      </c>
      <c r="T13" s="1056">
        <v>5</v>
      </c>
      <c r="U13" s="1057" t="str">
        <f t="shared" si="2"/>
        <v xml:space="preserve"> </v>
      </c>
      <c r="X13" s="60"/>
      <c r="Y13" s="60"/>
      <c r="Z13" s="60"/>
    </row>
    <row r="14" spans="1:34" s="61" customFormat="1" ht="14.25" customHeight="1">
      <c r="A14" s="1051">
        <f>VLOOKUP(B14,ReportData!$AQ$4:$AR$25,2,FALSE)</f>
        <v>0</v>
      </c>
      <c r="B14" s="1061" t="s">
        <v>1</v>
      </c>
      <c r="C14" s="1058">
        <v>18</v>
      </c>
      <c r="D14" s="1059">
        <v>22123</v>
      </c>
      <c r="E14" s="1060">
        <f t="shared" si="0"/>
        <v>3982.14</v>
      </c>
      <c r="F14" s="1052"/>
      <c r="G14" s="1052"/>
      <c r="H14" s="1052"/>
      <c r="I14" s="59"/>
      <c r="J14" s="59"/>
      <c r="K14" s="59"/>
      <c r="L14" s="1053"/>
      <c r="M14" s="1054"/>
      <c r="N14" s="1053"/>
      <c r="O14" s="59"/>
      <c r="P14" s="59"/>
      <c r="Q14" s="608"/>
      <c r="R14" s="121"/>
      <c r="S14" s="1055" t="str">
        <f t="shared" si="1"/>
        <v>Isle of Wight</v>
      </c>
      <c r="T14" s="1056">
        <v>6</v>
      </c>
      <c r="U14" s="1057" t="str">
        <f t="shared" si="2"/>
        <v xml:space="preserve"> </v>
      </c>
      <c r="X14" s="60"/>
      <c r="Y14" s="60"/>
      <c r="Z14" s="60"/>
    </row>
    <row r="15" spans="1:34" s="61" customFormat="1" ht="14.25" customHeight="1">
      <c r="A15" s="1051">
        <f>VLOOKUP(B15,ReportData!$AQ$4:$AR$25,2,FALSE)</f>
        <v>0</v>
      </c>
      <c r="B15" s="1061" t="s">
        <v>9</v>
      </c>
      <c r="C15" s="1058">
        <v>15.8</v>
      </c>
      <c r="D15" s="1059">
        <v>291866</v>
      </c>
      <c r="E15" s="1060">
        <f t="shared" si="0"/>
        <v>46114.828000000001</v>
      </c>
      <c r="F15" s="22"/>
      <c r="G15" s="22"/>
      <c r="H15" s="1052"/>
      <c r="I15" s="59"/>
      <c r="J15" s="59"/>
      <c r="K15" s="59"/>
      <c r="L15" s="1053"/>
      <c r="M15" s="1054"/>
      <c r="N15" s="1053"/>
      <c r="O15" s="59"/>
      <c r="P15" s="59"/>
      <c r="Q15" s="608"/>
      <c r="R15" s="121"/>
      <c r="S15" s="1055" t="str">
        <f t="shared" si="1"/>
        <v>Kent</v>
      </c>
      <c r="T15" s="1056">
        <v>7</v>
      </c>
      <c r="U15" s="1057" t="str">
        <f t="shared" si="2"/>
        <v xml:space="preserve"> </v>
      </c>
      <c r="X15" s="60"/>
      <c r="Y15" s="60"/>
      <c r="Z15" s="60"/>
    </row>
    <row r="16" spans="1:34" s="61" customFormat="1" ht="14.25" customHeight="1">
      <c r="A16" s="1051">
        <f>VLOOKUP(B16,ReportData!$AQ$4:$AR$25,2,FALSE)</f>
        <v>0</v>
      </c>
      <c r="B16" s="1061" t="s">
        <v>2</v>
      </c>
      <c r="C16" s="1058">
        <v>18.899999999999999</v>
      </c>
      <c r="D16" s="1059">
        <v>55993</v>
      </c>
      <c r="E16" s="1060">
        <f t="shared" si="0"/>
        <v>10582.676999999998</v>
      </c>
      <c r="F16" s="1052"/>
      <c r="G16" s="1052"/>
      <c r="H16" s="1052"/>
      <c r="I16" s="59"/>
      <c r="J16" s="59"/>
      <c r="K16" s="59"/>
      <c r="L16" s="1053"/>
      <c r="M16" s="1054"/>
      <c r="N16" s="1053"/>
      <c r="O16" s="59"/>
      <c r="P16" s="59"/>
      <c r="Q16" s="608"/>
      <c r="R16" s="121"/>
      <c r="S16" s="1055" t="str">
        <f t="shared" si="1"/>
        <v>Medway</v>
      </c>
      <c r="T16" s="1056">
        <v>8</v>
      </c>
      <c r="U16" s="1057" t="str">
        <f t="shared" si="2"/>
        <v xml:space="preserve"> </v>
      </c>
      <c r="X16" s="60"/>
      <c r="Y16" s="60"/>
      <c r="Z16" s="60"/>
    </row>
    <row r="17" spans="1:28" s="61" customFormat="1" ht="14.25" customHeight="1">
      <c r="A17" s="1051">
        <f>VLOOKUP(B17,ReportData!$AQ$4:$AR$25,2,FALSE)</f>
        <v>0</v>
      </c>
      <c r="B17" s="1061" t="s">
        <v>10</v>
      </c>
      <c r="C17" s="1058">
        <v>15</v>
      </c>
      <c r="D17" s="1059">
        <v>59903</v>
      </c>
      <c r="E17" s="1060">
        <f t="shared" si="0"/>
        <v>8985.4499999999989</v>
      </c>
      <c r="F17" s="1052"/>
      <c r="G17" s="1052"/>
      <c r="H17" s="1052"/>
      <c r="I17" s="59"/>
      <c r="J17" s="59"/>
      <c r="K17" s="59"/>
      <c r="L17" s="1053"/>
      <c r="M17" s="1054"/>
      <c r="N17" s="1053"/>
      <c r="O17" s="59"/>
      <c r="P17" s="59"/>
      <c r="Q17" s="608"/>
      <c r="R17" s="121"/>
      <c r="S17" s="1055" t="str">
        <f t="shared" si="1"/>
        <v>Milton Keynes</v>
      </c>
      <c r="T17" s="1056">
        <v>9</v>
      </c>
      <c r="U17" s="1057" t="str">
        <f t="shared" si="2"/>
        <v xml:space="preserve"> </v>
      </c>
      <c r="X17" s="60"/>
      <c r="Y17" s="60"/>
      <c r="Z17" s="60"/>
    </row>
    <row r="18" spans="1:28" s="61" customFormat="1" ht="14.25" customHeight="1">
      <c r="A18" s="1051">
        <f>VLOOKUP(B18,ReportData!$AQ$4:$AR$25,2,FALSE)</f>
        <v>0</v>
      </c>
      <c r="B18" s="1061" t="s">
        <v>11</v>
      </c>
      <c r="C18" s="1058">
        <v>10.100000000000001</v>
      </c>
      <c r="D18" s="1059">
        <v>126119</v>
      </c>
      <c r="E18" s="1060">
        <f t="shared" si="0"/>
        <v>12738.019000000002</v>
      </c>
      <c r="F18" s="1052"/>
      <c r="G18" s="1052"/>
      <c r="H18" s="1052"/>
      <c r="I18" s="59"/>
      <c r="J18" s="59"/>
      <c r="K18" s="59"/>
      <c r="L18" s="1053"/>
      <c r="M18" s="1054"/>
      <c r="N18" s="1053"/>
      <c r="O18" s="59"/>
      <c r="P18" s="59"/>
      <c r="Q18" s="608"/>
      <c r="R18" s="121"/>
      <c r="S18" s="1055" t="str">
        <f t="shared" si="1"/>
        <v>Oxfordshire</v>
      </c>
      <c r="T18" s="1056">
        <v>10</v>
      </c>
      <c r="U18" s="1057" t="str">
        <f t="shared" si="2"/>
        <v xml:space="preserve"> </v>
      </c>
      <c r="X18" s="60"/>
      <c r="Y18" s="60"/>
      <c r="Z18" s="60"/>
    </row>
    <row r="19" spans="1:28" s="61" customFormat="1" ht="14.25" customHeight="1">
      <c r="A19" s="1051">
        <f>VLOOKUP(B19,ReportData!$AQ$4:$AR$25,2,FALSE)</f>
        <v>0</v>
      </c>
      <c r="B19" s="1061" t="s">
        <v>12</v>
      </c>
      <c r="C19" s="1058">
        <v>20.200000000000003</v>
      </c>
      <c r="D19" s="1059">
        <v>39325</v>
      </c>
      <c r="E19" s="1060">
        <f t="shared" si="0"/>
        <v>7943.6500000000015</v>
      </c>
      <c r="F19" s="1052"/>
      <c r="G19" s="1052"/>
      <c r="H19" s="1052"/>
      <c r="I19" s="59"/>
      <c r="J19" s="59"/>
      <c r="K19" s="59"/>
      <c r="L19" s="1053"/>
      <c r="M19" s="1054"/>
      <c r="N19" s="1053"/>
      <c r="O19" s="59"/>
      <c r="P19" s="59"/>
      <c r="Q19" s="608"/>
      <c r="R19" s="121"/>
      <c r="S19" s="1055" t="str">
        <f t="shared" si="1"/>
        <v>Portsmouth</v>
      </c>
      <c r="T19" s="1056">
        <v>11</v>
      </c>
      <c r="U19" s="1057" t="str">
        <f t="shared" si="2"/>
        <v xml:space="preserve"> </v>
      </c>
      <c r="X19" s="60"/>
      <c r="Y19" s="60"/>
      <c r="Z19" s="60"/>
    </row>
    <row r="20" spans="1:28" s="61" customFormat="1" ht="14.25" customHeight="1">
      <c r="A20" s="1051">
        <f>VLOOKUP(B20,ReportData!$AQ$4:$AR$25,2,FALSE)</f>
        <v>0</v>
      </c>
      <c r="B20" s="1061" t="s">
        <v>3</v>
      </c>
      <c r="C20" s="1058">
        <v>16</v>
      </c>
      <c r="D20" s="1059">
        <v>33203</v>
      </c>
      <c r="E20" s="1060">
        <f t="shared" si="0"/>
        <v>5312.4800000000005</v>
      </c>
      <c r="F20" s="1052"/>
      <c r="G20" s="22"/>
      <c r="H20" s="1052"/>
      <c r="I20" s="22"/>
      <c r="J20" s="22"/>
      <c r="K20" s="59"/>
      <c r="L20" s="1053"/>
      <c r="M20" s="1054"/>
      <c r="N20" s="1053"/>
      <c r="O20" s="59"/>
      <c r="P20" s="59"/>
      <c r="Q20" s="608"/>
      <c r="R20" s="121"/>
      <c r="S20" s="1055" t="str">
        <f t="shared" si="1"/>
        <v>Reading</v>
      </c>
      <c r="T20" s="1056">
        <v>12</v>
      </c>
      <c r="U20" s="1057" t="str">
        <f t="shared" si="2"/>
        <v xml:space="preserve"> </v>
      </c>
      <c r="X20" s="60"/>
      <c r="Y20" s="60"/>
      <c r="Z20" s="60"/>
    </row>
    <row r="21" spans="1:28" s="61" customFormat="1" ht="14.25" customHeight="1">
      <c r="A21" s="1051">
        <f>VLOOKUP(B21,ReportData!$AQ$4:$AR$25,2,FALSE)</f>
        <v>0</v>
      </c>
      <c r="B21" s="1061" t="s">
        <v>13</v>
      </c>
      <c r="C21" s="1058">
        <v>14.7</v>
      </c>
      <c r="D21" s="1059">
        <v>37031</v>
      </c>
      <c r="E21" s="1060">
        <f t="shared" si="0"/>
        <v>5443.5569999999998</v>
      </c>
      <c r="F21" s="22"/>
      <c r="G21" s="1052"/>
      <c r="H21" s="1052"/>
      <c r="I21" s="59"/>
      <c r="J21" s="59"/>
      <c r="K21" s="59"/>
      <c r="L21" s="1053"/>
      <c r="M21" s="1054"/>
      <c r="N21" s="1053"/>
      <c r="O21" s="59"/>
      <c r="P21" s="59"/>
      <c r="Q21" s="608"/>
      <c r="R21" s="121"/>
      <c r="S21" s="1055" t="str">
        <f t="shared" si="1"/>
        <v>Slough</v>
      </c>
      <c r="T21" s="1056">
        <v>13</v>
      </c>
      <c r="U21" s="1057" t="str">
        <f t="shared" si="2"/>
        <v xml:space="preserve"> </v>
      </c>
      <c r="X21" s="60"/>
      <c r="Y21" s="60"/>
      <c r="Z21" s="60"/>
    </row>
    <row r="22" spans="1:28" s="61" customFormat="1" ht="14.25" customHeight="1">
      <c r="A22" s="1051">
        <f>VLOOKUP(B22,ReportData!$AQ$4:$AR$25,2,FALSE)</f>
        <v>0</v>
      </c>
      <c r="B22" s="1061" t="s">
        <v>14</v>
      </c>
      <c r="C22" s="1058">
        <v>20.5</v>
      </c>
      <c r="D22" s="1059">
        <v>44295</v>
      </c>
      <c r="E22" s="1060">
        <f t="shared" si="0"/>
        <v>9080.4750000000004</v>
      </c>
      <c r="F22" s="1052"/>
      <c r="G22" s="1052"/>
      <c r="H22" s="1052"/>
      <c r="I22" s="59"/>
      <c r="J22" s="59"/>
      <c r="K22" s="59"/>
      <c r="L22" s="1053"/>
      <c r="M22" s="1054"/>
      <c r="N22" s="1053"/>
      <c r="O22" s="59"/>
      <c r="P22" s="59"/>
      <c r="Q22" s="608"/>
      <c r="R22" s="121"/>
      <c r="S22" s="1055" t="str">
        <f t="shared" si="1"/>
        <v>Southampton</v>
      </c>
      <c r="T22" s="1056">
        <v>15</v>
      </c>
      <c r="U22" s="1057" t="str">
        <f t="shared" si="2"/>
        <v xml:space="preserve"> </v>
      </c>
      <c r="X22" s="60"/>
      <c r="Y22" s="60"/>
      <c r="Z22" s="60"/>
    </row>
    <row r="23" spans="1:28" s="61" customFormat="1" ht="14.25" customHeight="1">
      <c r="A23" s="1051">
        <f>VLOOKUP(B23,ReportData!$AQ$4:$AR$25,2,FALSE)</f>
        <v>0</v>
      </c>
      <c r="B23" s="1061" t="s">
        <v>7</v>
      </c>
      <c r="C23" s="1058">
        <v>8.3000000000000007</v>
      </c>
      <c r="D23" s="1059">
        <v>228466</v>
      </c>
      <c r="E23" s="1060">
        <f t="shared" si="0"/>
        <v>18962.678</v>
      </c>
      <c r="F23" s="22"/>
      <c r="G23" s="22"/>
      <c r="H23" s="1052"/>
      <c r="I23" s="59"/>
      <c r="J23" s="22"/>
      <c r="K23" s="59"/>
      <c r="L23" s="1053"/>
      <c r="M23" s="1054"/>
      <c r="N23" s="1053"/>
      <c r="O23" s="59"/>
      <c r="P23" s="59"/>
      <c r="Q23" s="608"/>
      <c r="R23" s="121"/>
      <c r="S23" s="1055" t="str">
        <f t="shared" si="1"/>
        <v>Surrey</v>
      </c>
      <c r="T23" s="1056">
        <v>16</v>
      </c>
      <c r="U23" s="1057" t="str">
        <f t="shared" si="2"/>
        <v xml:space="preserve"> </v>
      </c>
      <c r="X23" s="60"/>
      <c r="Y23" s="60"/>
      <c r="Z23" s="60"/>
    </row>
    <row r="24" spans="1:28" s="61" customFormat="1" ht="14.25" customHeight="1">
      <c r="A24" s="1051">
        <f>VLOOKUP(B24,ReportData!$AQ$4:$AR$25,2,FALSE)</f>
        <v>0</v>
      </c>
      <c r="B24" s="1061" t="s">
        <v>15</v>
      </c>
      <c r="C24" s="1058">
        <v>8.6999999999999993</v>
      </c>
      <c r="D24" s="1059">
        <v>31625</v>
      </c>
      <c r="E24" s="1060">
        <f t="shared" si="0"/>
        <v>2751.375</v>
      </c>
      <c r="F24" s="22"/>
      <c r="G24" s="22"/>
      <c r="H24" s="1052"/>
      <c r="I24" s="22"/>
      <c r="J24" s="59"/>
      <c r="K24" s="59"/>
      <c r="L24" s="1053"/>
      <c r="M24" s="1054"/>
      <c r="N24" s="1053"/>
      <c r="O24" s="59"/>
      <c r="P24" s="59"/>
      <c r="Q24" s="608"/>
      <c r="R24" s="121"/>
      <c r="S24" s="1055" t="str">
        <f t="shared" si="1"/>
        <v>West Berkshire</v>
      </c>
      <c r="T24" s="1056">
        <v>17</v>
      </c>
      <c r="U24" s="1057" t="str">
        <f t="shared" si="2"/>
        <v xml:space="preserve"> </v>
      </c>
      <c r="X24" s="60"/>
      <c r="Y24" s="60"/>
      <c r="Z24" s="60"/>
    </row>
    <row r="25" spans="1:28" s="61" customFormat="1" ht="14.25" customHeight="1">
      <c r="A25" s="1051">
        <f>VLOOKUP(B25,ReportData!$AQ$4:$AR$25,2,FALSE)</f>
        <v>0</v>
      </c>
      <c r="B25" s="1061" t="s">
        <v>5</v>
      </c>
      <c r="C25" s="1058">
        <v>11</v>
      </c>
      <c r="D25" s="1059">
        <v>151487</v>
      </c>
      <c r="E25" s="1060">
        <f t="shared" si="0"/>
        <v>16663.57</v>
      </c>
      <c r="F25" s="59"/>
      <c r="G25" s="59"/>
      <c r="H25" s="59"/>
      <c r="I25" s="59"/>
      <c r="J25" s="59"/>
      <c r="K25" s="59"/>
      <c r="L25" s="1053"/>
      <c r="M25" s="1054"/>
      <c r="N25" s="1053"/>
      <c r="O25" s="59"/>
      <c r="P25" s="59"/>
      <c r="Q25" s="608"/>
      <c r="R25" s="121"/>
      <c r="S25" s="1055" t="str">
        <f t="shared" si="1"/>
        <v>West Sussex</v>
      </c>
      <c r="T25" s="1056">
        <v>18</v>
      </c>
      <c r="U25" s="1057" t="str">
        <f t="shared" si="2"/>
        <v xml:space="preserve"> </v>
      </c>
      <c r="X25" s="60"/>
      <c r="Y25" s="60"/>
      <c r="Z25" s="60"/>
    </row>
    <row r="26" spans="1:28" s="61" customFormat="1" ht="14.25" customHeight="1">
      <c r="A26" s="1051">
        <f>VLOOKUP(B26,ReportData!$AQ$4:$AR$25,2,FALSE)</f>
        <v>0</v>
      </c>
      <c r="B26" s="1061" t="s">
        <v>27</v>
      </c>
      <c r="C26" s="1058">
        <v>6.7</v>
      </c>
      <c r="D26" s="1059">
        <v>29792</v>
      </c>
      <c r="E26" s="1060">
        <f t="shared" si="0"/>
        <v>1996.0640000000001</v>
      </c>
      <c r="F26" s="59"/>
      <c r="G26" s="59"/>
      <c r="H26" s="59"/>
      <c r="I26" s="59"/>
      <c r="J26" s="59"/>
      <c r="K26" s="59"/>
      <c r="L26" s="1053"/>
      <c r="M26" s="1054"/>
      <c r="N26" s="1053"/>
      <c r="O26" s="59"/>
      <c r="P26" s="59"/>
      <c r="Q26" s="608"/>
      <c r="R26" s="121"/>
      <c r="S26" s="1055" t="str">
        <f t="shared" si="1"/>
        <v>Windsor &amp; Maidenhead</v>
      </c>
      <c r="T26" s="1056">
        <v>19</v>
      </c>
      <c r="U26" s="1057" t="str">
        <f t="shared" si="2"/>
        <v xml:space="preserve"> </v>
      </c>
      <c r="X26" s="60"/>
      <c r="Y26" s="60"/>
      <c r="Z26" s="60"/>
    </row>
    <row r="27" spans="1:28" s="61" customFormat="1" ht="14.25" customHeight="1">
      <c r="A27" s="1051">
        <f>VLOOKUP(B27,ReportData!$AQ$4:$AR$25,2,FALSE)</f>
        <v>0</v>
      </c>
      <c r="B27" s="1061" t="s">
        <v>16</v>
      </c>
      <c r="C27" s="1058">
        <v>5.6000000000000005</v>
      </c>
      <c r="D27" s="1059">
        <v>33327</v>
      </c>
      <c r="E27" s="1060">
        <f t="shared" si="0"/>
        <v>1866.3120000000004</v>
      </c>
      <c r="F27" s="1052"/>
      <c r="G27" s="1052"/>
      <c r="H27" s="1052"/>
      <c r="I27" s="1052"/>
      <c r="J27" s="1052"/>
      <c r="K27" s="1052"/>
      <c r="L27" s="1052"/>
      <c r="M27" s="1052"/>
      <c r="N27" s="1052"/>
      <c r="O27" s="68"/>
      <c r="P27" s="59"/>
      <c r="Q27" s="608"/>
      <c r="R27" s="121"/>
      <c r="S27" s="1055" t="str">
        <f t="shared" si="1"/>
        <v>Wokingham</v>
      </c>
      <c r="T27" s="1056">
        <v>20</v>
      </c>
      <c r="U27" s="1057" t="str">
        <f t="shared" si="2"/>
        <v xml:space="preserve"> </v>
      </c>
      <c r="X27" s="60"/>
      <c r="Y27" s="60"/>
      <c r="Z27" s="60"/>
    </row>
    <row r="28" spans="1:28" s="61" customFormat="1" ht="14.25" customHeight="1">
      <c r="A28" s="179"/>
      <c r="B28" s="886" t="s">
        <v>71</v>
      </c>
      <c r="C28" s="1062">
        <f>E28/D28*100</f>
        <v>12.371268250968637</v>
      </c>
      <c r="D28" s="1063">
        <f>SUM(D9:D21,D22:D23,D24:D27)</f>
        <v>1704978</v>
      </c>
      <c r="E28" s="1064">
        <f>SUM(E9:E21,E22:E23,E24:E27)</f>
        <v>210927.40200000003</v>
      </c>
      <c r="F28" s="59"/>
      <c r="G28" s="59"/>
      <c r="H28" s="59"/>
      <c r="I28" s="59"/>
      <c r="J28" s="59"/>
      <c r="K28" s="59"/>
      <c r="L28" s="1053"/>
      <c r="M28" s="1054"/>
      <c r="N28" s="1053"/>
      <c r="O28" s="59"/>
      <c r="P28" s="59"/>
      <c r="Q28" s="608"/>
      <c r="R28" s="121"/>
      <c r="X28" s="60"/>
      <c r="Y28" s="60"/>
      <c r="Z28" s="60"/>
    </row>
    <row r="29" spans="1:28" s="61" customFormat="1" ht="14.25" customHeight="1">
      <c r="A29" s="211"/>
      <c r="B29" s="1065" t="s">
        <v>109</v>
      </c>
      <c r="C29" s="1066">
        <f>E29/D29*100</f>
        <v>17.084413405029373</v>
      </c>
      <c r="D29" s="1067">
        <v>10405050</v>
      </c>
      <c r="E29" s="1068">
        <v>1777641.7570000088</v>
      </c>
      <c r="F29" s="59"/>
      <c r="G29" s="59"/>
      <c r="H29" s="59"/>
      <c r="I29" s="59"/>
      <c r="J29" s="59"/>
      <c r="K29" s="59"/>
      <c r="L29" s="1053"/>
      <c r="M29" s="1054"/>
      <c r="N29" s="1053"/>
      <c r="O29" s="59"/>
      <c r="P29" s="59"/>
      <c r="Q29" s="608"/>
      <c r="R29" s="121"/>
      <c r="X29" s="60"/>
      <c r="Y29" s="60"/>
      <c r="Z29" s="60"/>
    </row>
    <row r="30" spans="1:28" ht="7.5" customHeight="1">
      <c r="A30" s="208"/>
      <c r="B30" s="389"/>
      <c r="C30" s="389"/>
      <c r="D30" s="389"/>
      <c r="E30" s="389"/>
      <c r="F30" s="64"/>
      <c r="G30" s="64"/>
      <c r="H30" s="64"/>
      <c r="I30" s="64"/>
      <c r="J30" s="64"/>
      <c r="K30" s="64"/>
      <c r="L30" s="64"/>
      <c r="M30" s="64"/>
      <c r="N30" s="64"/>
      <c r="O30" s="64"/>
      <c r="P30" s="5"/>
      <c r="Q30" s="170"/>
      <c r="R30" s="185"/>
    </row>
    <row r="31" spans="1:28" ht="15" customHeight="1">
      <c r="A31" s="1565"/>
      <c r="B31" s="1566"/>
      <c r="C31" s="1566"/>
      <c r="D31" s="1566"/>
      <c r="E31" s="1566"/>
      <c r="F31" s="1566"/>
      <c r="G31" s="1566"/>
      <c r="H31" s="1566"/>
      <c r="I31" s="1566"/>
      <c r="J31" s="1566"/>
      <c r="K31" s="1566"/>
      <c r="L31" s="1566"/>
      <c r="M31" s="1566"/>
      <c r="N31" s="1566"/>
      <c r="O31" s="1566"/>
      <c r="P31" s="1566"/>
      <c r="Q31" s="170"/>
      <c r="R31" s="185"/>
      <c r="Z31" s="52"/>
      <c r="AA31" s="52"/>
      <c r="AB31" s="52"/>
    </row>
    <row r="32" spans="1:28" ht="11.25" customHeight="1">
      <c r="A32" s="1567"/>
      <c r="B32" s="1568"/>
      <c r="C32" s="1568"/>
      <c r="D32" s="1568"/>
      <c r="E32" s="1568"/>
      <c r="F32" s="1568"/>
      <c r="G32" s="1568"/>
      <c r="H32" s="1568"/>
      <c r="I32" s="1568"/>
      <c r="J32" s="1568"/>
      <c r="K32" s="1568"/>
      <c r="L32" s="1568"/>
      <c r="M32" s="1568"/>
      <c r="N32" s="1568"/>
      <c r="O32" s="1568"/>
      <c r="P32" s="1568"/>
      <c r="Q32" s="182"/>
      <c r="R32" s="185"/>
      <c r="Z32" s="52"/>
      <c r="AA32" s="52"/>
      <c r="AB32" s="52"/>
    </row>
    <row r="33" spans="1:28" ht="11.25" customHeight="1">
      <c r="A33" s="81"/>
      <c r="B33" s="82"/>
      <c r="C33" s="82"/>
      <c r="D33" s="82"/>
      <c r="E33" s="82"/>
      <c r="F33" s="82"/>
      <c r="G33" s="82"/>
      <c r="H33" s="82"/>
      <c r="I33" s="82"/>
      <c r="J33" s="82"/>
      <c r="K33" s="82"/>
      <c r="L33" s="82"/>
      <c r="M33" s="82"/>
      <c r="N33" s="82"/>
      <c r="O33" s="82"/>
      <c r="P33" s="82"/>
      <c r="Q33" s="169"/>
      <c r="R33" s="119"/>
      <c r="X33" s="53"/>
      <c r="Y33" s="53"/>
      <c r="AA33" s="52"/>
      <c r="AB33" s="52"/>
    </row>
    <row r="34" spans="1:28" ht="18.75" customHeight="1">
      <c r="A34" s="87"/>
      <c r="B34" s="1090" t="s">
        <v>1256</v>
      </c>
      <c r="C34" s="77"/>
      <c r="D34" s="77"/>
      <c r="E34" s="77"/>
      <c r="F34" s="77"/>
      <c r="G34" s="77"/>
      <c r="H34" s="77"/>
      <c r="I34" s="77"/>
      <c r="J34" s="77"/>
      <c r="K34" s="77"/>
      <c r="L34" s="77"/>
      <c r="M34" s="77"/>
      <c r="N34" s="40"/>
      <c r="O34" s="40"/>
      <c r="P34" s="5"/>
      <c r="Q34" s="170"/>
      <c r="R34" s="119"/>
      <c r="S34" s="58" t="e">
        <f>VLOOKUP(T34,$S$9:$T$27,2,FALSE)</f>
        <v>#N/A</v>
      </c>
      <c r="T34" s="54" t="str">
        <f>Home!$D$5</f>
        <v>(none)</v>
      </c>
      <c r="U34" s="183" t="str">
        <f>"Selected LA- "&amp;T34</f>
        <v>Selected LA- (none)</v>
      </c>
      <c r="X34" s="53"/>
      <c r="Y34" s="53"/>
      <c r="AA34" s="52"/>
      <c r="AB34" s="52"/>
    </row>
    <row r="35" spans="1:28" ht="9" customHeight="1">
      <c r="A35" s="87"/>
      <c r="B35" s="1537"/>
      <c r="C35" s="1538"/>
      <c r="D35" s="1538"/>
      <c r="E35" s="1538"/>
      <c r="F35" s="1538"/>
      <c r="G35" s="1538"/>
      <c r="H35" s="1538"/>
      <c r="I35" s="1538"/>
      <c r="J35" s="1538"/>
      <c r="K35" s="1538"/>
      <c r="L35" s="1538"/>
      <c r="M35" s="1538"/>
      <c r="N35" s="1538"/>
      <c r="O35" s="1538"/>
      <c r="P35" s="40"/>
      <c r="Q35" s="170"/>
      <c r="R35" s="119"/>
    </row>
    <row r="36" spans="1:28" ht="14.25" customHeight="1">
      <c r="A36" s="208"/>
      <c r="B36" s="76" t="s">
        <v>1257</v>
      </c>
      <c r="C36" s="1539"/>
      <c r="D36" s="1539"/>
      <c r="E36" s="1539"/>
      <c r="F36" s="1539"/>
      <c r="G36" s="1539"/>
      <c r="H36" s="1539"/>
      <c r="I36" s="1539"/>
      <c r="J36" s="1539"/>
      <c r="K36" s="1539"/>
      <c r="L36" s="1539"/>
      <c r="M36" s="1539"/>
      <c r="N36" s="1539"/>
      <c r="O36" s="1539"/>
      <c r="P36" s="1539"/>
      <c r="Q36" s="170"/>
      <c r="R36" s="119"/>
    </row>
    <row r="37" spans="1:28" ht="3.75" customHeight="1">
      <c r="A37" s="87"/>
      <c r="B37" s="1382"/>
      <c r="C37" s="1383"/>
      <c r="D37" s="1383"/>
      <c r="E37" s="1383"/>
      <c r="F37" s="582"/>
      <c r="G37" s="582"/>
      <c r="H37" s="582"/>
      <c r="I37" s="582"/>
      <c r="J37" s="582"/>
      <c r="K37" s="77"/>
      <c r="L37" s="1384"/>
      <c r="M37" s="1384"/>
      <c r="N37" s="1384"/>
      <c r="O37" s="40"/>
      <c r="P37" s="40"/>
      <c r="Q37" s="170"/>
      <c r="R37" s="119"/>
    </row>
    <row r="38" spans="1:28" s="61" customFormat="1" ht="43.5" customHeight="1">
      <c r="A38" s="1051"/>
      <c r="B38" s="1713" t="s">
        <v>1258</v>
      </c>
      <c r="C38" s="1713"/>
      <c r="D38" s="1713"/>
      <c r="E38" s="1713"/>
      <c r="F38" s="1713"/>
      <c r="G38" s="1713"/>
      <c r="H38" s="1713"/>
      <c r="I38" s="1713"/>
      <c r="J38" s="1713"/>
      <c r="K38" s="1713"/>
      <c r="L38" s="1713"/>
      <c r="M38" s="1713"/>
      <c r="N38" s="1713"/>
      <c r="O38" s="1713"/>
      <c r="P38" s="1713"/>
      <c r="Q38" s="608"/>
      <c r="R38" s="121"/>
      <c r="S38" s="1055" t="str">
        <f>B38</f>
        <v>Once national data is published for the relevant indicator, the rate per (x)thousand population is calculated for each of the English Local Authorities that provided data. The rates per (x)000 are then plotted against the IDACI scores for each LA on an XY Scatterplot. A Linear trendline is then added to the scatterplot and it is the equation of this line that informs the IDACI expected values.</v>
      </c>
      <c r="T38" s="1056">
        <v>1</v>
      </c>
      <c r="U38" s="1057" t="str">
        <f>IF(B38=$T$5,C38," ")</f>
        <v xml:space="preserve"> </v>
      </c>
      <c r="X38" s="60"/>
      <c r="Y38" s="60"/>
      <c r="Z38" s="60"/>
    </row>
    <row r="39" spans="1:28" s="61" customFormat="1" ht="44.25" customHeight="1">
      <c r="A39" s="1051"/>
      <c r="B39" s="1713" t="s">
        <v>1261</v>
      </c>
      <c r="C39" s="1713"/>
      <c r="D39" s="1713"/>
      <c r="E39" s="1713"/>
      <c r="F39" s="1713"/>
      <c r="G39" s="1713"/>
      <c r="H39" s="1713"/>
      <c r="I39" s="1713"/>
      <c r="J39" s="1713"/>
      <c r="K39" s="1713"/>
      <c r="L39" s="1713"/>
      <c r="M39" s="1713"/>
      <c r="N39" s="1713"/>
      <c r="O39" s="1713"/>
      <c r="P39" s="1713"/>
      <c r="Q39" s="608"/>
      <c r="R39" s="121"/>
      <c r="S39" s="1055" t="str">
        <f t="shared" ref="S39:S53" si="3">B39</f>
        <v>The equation of the line is in the format y = mx + c, where m is the gradient and c is the height at which the line crosses the y-axis, also known as the y -intercept. To calculate the IDACI Expected rate we take the equation from the trendline and substitute the LA's IDACI score for m in order to return the relevant Rate, based on where the IDACI score meets the line.</v>
      </c>
      <c r="T39" s="1056">
        <v>3</v>
      </c>
      <c r="U39" s="1057" t="str">
        <f t="shared" ref="U39:U53" si="4">IF(B39=$T$5,C39," ")</f>
        <v xml:space="preserve"> </v>
      </c>
      <c r="X39" s="60"/>
      <c r="Y39" s="60"/>
      <c r="Z39" s="60"/>
    </row>
    <row r="40" spans="1:28" s="61" customFormat="1" ht="49.5" customHeight="1">
      <c r="A40" s="1051"/>
      <c r="B40" s="1713" t="s">
        <v>1259</v>
      </c>
      <c r="C40" s="1713"/>
      <c r="D40" s="1713"/>
      <c r="E40" s="1713"/>
      <c r="F40" s="1713"/>
      <c r="G40" s="1713"/>
      <c r="H40" s="1713"/>
      <c r="I40" s="1713"/>
      <c r="J40" s="1713"/>
      <c r="K40" s="1713"/>
      <c r="L40" s="1713"/>
      <c r="M40" s="1713"/>
      <c r="N40" s="1713"/>
      <c r="O40" s="1713"/>
      <c r="P40" s="1713"/>
      <c r="Q40" s="608"/>
      <c r="R40" s="121"/>
      <c r="S40" s="1055" t="str">
        <f t="shared" si="3"/>
        <v>The R2 figure gives an indication of how well the trendline fits the data. The closer the R2 figure is to 1, the better the fit. As you can see in the charts below, the R2 figure for IDACI vs. Referral Rate (0.17) is far lower than for IDACI vs. LAC Rate (0.40), indicating that there is a stronger correlation between IDACI and LAC, than for IDACI and Referral.</v>
      </c>
      <c r="T40" s="1056">
        <v>5</v>
      </c>
      <c r="U40" s="1057" t="str">
        <f t="shared" si="4"/>
        <v xml:space="preserve"> </v>
      </c>
      <c r="X40" s="60"/>
      <c r="Y40" s="60"/>
      <c r="Z40" s="60"/>
    </row>
    <row r="41" spans="1:28" s="61" customFormat="1" ht="15" customHeight="1">
      <c r="A41" s="1051"/>
      <c r="B41" s="1385"/>
      <c r="C41" s="1386"/>
      <c r="D41" s="1387"/>
      <c r="E41" s="1388"/>
      <c r="F41" s="1389"/>
      <c r="G41" s="1389"/>
      <c r="H41" s="1389"/>
      <c r="I41" s="120"/>
      <c r="J41" s="120"/>
      <c r="K41" s="120"/>
      <c r="L41" s="1391"/>
      <c r="M41" s="1392"/>
      <c r="N41" s="1391"/>
      <c r="O41" s="120"/>
      <c r="P41" s="120"/>
      <c r="Q41" s="608"/>
      <c r="R41" s="121"/>
      <c r="S41" s="1055">
        <f t="shared" si="3"/>
        <v>0</v>
      </c>
      <c r="T41" s="1056">
        <v>6</v>
      </c>
      <c r="U41" s="1057" t="str">
        <f t="shared" si="4"/>
        <v xml:space="preserve"> </v>
      </c>
      <c r="X41" s="60"/>
      <c r="Y41" s="60"/>
      <c r="Z41" s="60"/>
    </row>
    <row r="42" spans="1:28" s="61" customFormat="1" ht="14.25" customHeight="1">
      <c r="A42" s="1051"/>
      <c r="B42" s="1713"/>
      <c r="C42" s="1713"/>
      <c r="D42" s="1713"/>
      <c r="E42" s="1713"/>
      <c r="F42" s="1713"/>
      <c r="G42" s="1713"/>
      <c r="H42" s="1713"/>
      <c r="I42" s="1713"/>
      <c r="J42" s="1713"/>
      <c r="K42" s="1713"/>
      <c r="L42" s="1713"/>
      <c r="M42" s="1713"/>
      <c r="N42" s="1713"/>
      <c r="O42" s="1713"/>
      <c r="P42" s="1713"/>
      <c r="Q42" s="608"/>
      <c r="R42" s="121"/>
      <c r="S42" s="1055">
        <f t="shared" si="3"/>
        <v>0</v>
      </c>
      <c r="T42" s="1056">
        <v>8</v>
      </c>
      <c r="U42" s="1057" t="str">
        <f t="shared" si="4"/>
        <v xml:space="preserve"> </v>
      </c>
      <c r="X42" s="60"/>
      <c r="Y42" s="60"/>
      <c r="Z42" s="60"/>
    </row>
    <row r="43" spans="1:28" s="61" customFormat="1" ht="14.25" customHeight="1">
      <c r="A43" s="1051"/>
      <c r="B43" s="1713"/>
      <c r="C43" s="1713"/>
      <c r="D43" s="1713"/>
      <c r="E43" s="1713"/>
      <c r="F43" s="1713"/>
      <c r="G43" s="1713"/>
      <c r="H43" s="1713"/>
      <c r="I43" s="1713"/>
      <c r="J43" s="1713"/>
      <c r="K43" s="1713"/>
      <c r="L43" s="1713"/>
      <c r="M43" s="1713"/>
      <c r="N43" s="1713"/>
      <c r="O43" s="1713"/>
      <c r="P43" s="1713"/>
      <c r="Q43" s="608"/>
      <c r="R43" s="121"/>
      <c r="S43" s="1055">
        <f t="shared" si="3"/>
        <v>0</v>
      </c>
      <c r="T43" s="1056">
        <v>9</v>
      </c>
      <c r="U43" s="1057" t="str">
        <f t="shared" si="4"/>
        <v xml:space="preserve"> </v>
      </c>
      <c r="X43" s="60"/>
      <c r="Y43" s="60"/>
      <c r="Z43" s="60"/>
    </row>
    <row r="44" spans="1:28" s="61" customFormat="1" ht="14.25" customHeight="1">
      <c r="A44" s="1051"/>
      <c r="B44" s="1713"/>
      <c r="C44" s="1713"/>
      <c r="D44" s="1713"/>
      <c r="E44" s="1713"/>
      <c r="F44" s="1713"/>
      <c r="G44" s="1713"/>
      <c r="H44" s="1713"/>
      <c r="I44" s="1713"/>
      <c r="J44" s="1713"/>
      <c r="K44" s="1713"/>
      <c r="L44" s="1713"/>
      <c r="M44" s="1713"/>
      <c r="N44" s="1713"/>
      <c r="O44" s="1713"/>
      <c r="P44" s="1713"/>
      <c r="Q44" s="608"/>
      <c r="R44" s="121"/>
      <c r="S44" s="1055">
        <f t="shared" si="3"/>
        <v>0</v>
      </c>
      <c r="T44" s="1056">
        <v>10</v>
      </c>
      <c r="U44" s="1057" t="str">
        <f t="shared" si="4"/>
        <v xml:space="preserve"> </v>
      </c>
      <c r="X44" s="60"/>
      <c r="Y44" s="60"/>
      <c r="Z44" s="60"/>
    </row>
    <row r="45" spans="1:28" s="61" customFormat="1" ht="14.25" customHeight="1">
      <c r="A45" s="1051"/>
      <c r="B45" s="1713"/>
      <c r="C45" s="1713"/>
      <c r="D45" s="1713"/>
      <c r="E45" s="1713"/>
      <c r="F45" s="1713"/>
      <c r="G45" s="1713"/>
      <c r="H45" s="1713"/>
      <c r="I45" s="1713"/>
      <c r="J45" s="1713"/>
      <c r="K45" s="1713"/>
      <c r="L45" s="1713"/>
      <c r="M45" s="1713"/>
      <c r="N45" s="1713"/>
      <c r="O45" s="1713"/>
      <c r="P45" s="1713"/>
      <c r="Q45" s="608"/>
      <c r="R45" s="121"/>
      <c r="S45" s="1055">
        <f t="shared" si="3"/>
        <v>0</v>
      </c>
      <c r="T45" s="1056">
        <v>11</v>
      </c>
      <c r="U45" s="1057" t="str">
        <f t="shared" si="4"/>
        <v xml:space="preserve"> </v>
      </c>
      <c r="X45" s="60"/>
      <c r="Y45" s="60"/>
      <c r="Z45" s="60"/>
    </row>
    <row r="46" spans="1:28" s="61" customFormat="1" ht="14.25" customHeight="1">
      <c r="A46" s="1051"/>
      <c r="B46" s="1385"/>
      <c r="C46" s="1386"/>
      <c r="D46" s="1387"/>
      <c r="E46" s="1388"/>
      <c r="F46" s="1389"/>
      <c r="G46" s="1390"/>
      <c r="H46" s="1389"/>
      <c r="I46" s="1390"/>
      <c r="J46" s="1390"/>
      <c r="K46" s="120"/>
      <c r="L46" s="1391"/>
      <c r="M46" s="1392"/>
      <c r="N46" s="1391"/>
      <c r="O46" s="120"/>
      <c r="P46" s="120"/>
      <c r="Q46" s="608"/>
      <c r="R46" s="121"/>
      <c r="S46" s="1055">
        <f t="shared" si="3"/>
        <v>0</v>
      </c>
      <c r="T46" s="1056">
        <v>12</v>
      </c>
      <c r="U46" s="1057" t="str">
        <f t="shared" si="4"/>
        <v xml:space="preserve"> </v>
      </c>
      <c r="X46" s="60"/>
      <c r="Y46" s="60"/>
      <c r="Z46" s="60"/>
    </row>
    <row r="47" spans="1:28" s="61" customFormat="1" ht="14.25" customHeight="1">
      <c r="A47" s="1051"/>
      <c r="B47" s="1385"/>
      <c r="C47" s="1386"/>
      <c r="D47" s="1387"/>
      <c r="E47" s="1388"/>
      <c r="F47" s="1390"/>
      <c r="G47" s="1389"/>
      <c r="H47" s="1389"/>
      <c r="I47" s="120"/>
      <c r="J47" s="120"/>
      <c r="K47" s="120"/>
      <c r="L47" s="1391"/>
      <c r="M47" s="1392"/>
      <c r="N47" s="1391"/>
      <c r="O47" s="120"/>
      <c r="P47" s="120"/>
      <c r="Q47" s="608"/>
      <c r="R47" s="121"/>
      <c r="S47" s="1055">
        <f t="shared" si="3"/>
        <v>0</v>
      </c>
      <c r="T47" s="1056">
        <v>13</v>
      </c>
      <c r="U47" s="1057" t="str">
        <f t="shared" si="4"/>
        <v xml:space="preserve"> </v>
      </c>
      <c r="X47" s="60"/>
      <c r="Y47" s="60"/>
      <c r="Z47" s="60"/>
    </row>
    <row r="48" spans="1:28" s="61" customFormat="1" ht="14.25" customHeight="1">
      <c r="A48" s="1051"/>
      <c r="B48" s="1385"/>
      <c r="C48" s="1386"/>
      <c r="D48" s="1387"/>
      <c r="E48" s="1388"/>
      <c r="F48" s="1389"/>
      <c r="G48" s="1389"/>
      <c r="H48" s="1389"/>
      <c r="I48" s="120"/>
      <c r="J48" s="120"/>
      <c r="K48" s="120"/>
      <c r="L48" s="1391"/>
      <c r="M48" s="1392"/>
      <c r="N48" s="1391"/>
      <c r="O48" s="120"/>
      <c r="P48" s="120"/>
      <c r="Q48" s="608"/>
      <c r="R48" s="121"/>
      <c r="S48" s="1055">
        <f t="shared" si="3"/>
        <v>0</v>
      </c>
      <c r="T48" s="1056">
        <v>15</v>
      </c>
      <c r="U48" s="1057" t="str">
        <f t="shared" si="4"/>
        <v xml:space="preserve"> </v>
      </c>
      <c r="X48" s="60"/>
      <c r="Y48" s="60"/>
      <c r="Z48" s="60"/>
    </row>
    <row r="49" spans="1:28" s="61" customFormat="1" ht="14.25" customHeight="1">
      <c r="A49" s="1051"/>
      <c r="B49" s="1385"/>
      <c r="C49" s="1386"/>
      <c r="D49" s="1387"/>
      <c r="E49" s="1388"/>
      <c r="F49" s="1390"/>
      <c r="G49" s="1390"/>
      <c r="H49" s="1389"/>
      <c r="I49" s="120"/>
      <c r="J49" s="1390"/>
      <c r="K49" s="120"/>
      <c r="L49" s="1391"/>
      <c r="M49" s="1392"/>
      <c r="N49" s="1391"/>
      <c r="O49" s="120"/>
      <c r="P49" s="120"/>
      <c r="Q49" s="608"/>
      <c r="R49" s="121"/>
      <c r="S49" s="1055">
        <f t="shared" si="3"/>
        <v>0</v>
      </c>
      <c r="T49" s="1056">
        <v>16</v>
      </c>
      <c r="U49" s="1057" t="str">
        <f t="shared" si="4"/>
        <v xml:space="preserve"> </v>
      </c>
      <c r="X49" s="60"/>
      <c r="Y49" s="60"/>
      <c r="Z49" s="60"/>
    </row>
    <row r="50" spans="1:28" s="61" customFormat="1" ht="14.25" customHeight="1">
      <c r="A50" s="1051"/>
      <c r="B50" s="1385"/>
      <c r="C50" s="1386"/>
      <c r="D50" s="1387"/>
      <c r="E50" s="1388"/>
      <c r="F50" s="1390"/>
      <c r="G50" s="1390"/>
      <c r="H50" s="1389"/>
      <c r="I50" s="1390"/>
      <c r="J50" s="120"/>
      <c r="K50" s="120"/>
      <c r="L50" s="1391"/>
      <c r="M50" s="1392"/>
      <c r="N50" s="1391"/>
      <c r="O50" s="120"/>
      <c r="P50" s="120"/>
      <c r="Q50" s="608"/>
      <c r="R50" s="121"/>
      <c r="S50" s="1055">
        <f t="shared" si="3"/>
        <v>0</v>
      </c>
      <c r="T50" s="1056">
        <v>17</v>
      </c>
      <c r="U50" s="1057" t="str">
        <f t="shared" si="4"/>
        <v xml:space="preserve"> </v>
      </c>
      <c r="X50" s="60"/>
      <c r="Y50" s="60"/>
      <c r="Z50" s="60"/>
    </row>
    <row r="51" spans="1:28" s="61" customFormat="1" ht="14.25" customHeight="1">
      <c r="A51" s="1051"/>
      <c r="B51" s="1385"/>
      <c r="C51" s="1386"/>
      <c r="D51" s="1387"/>
      <c r="E51" s="1388"/>
      <c r="F51" s="120"/>
      <c r="G51" s="120"/>
      <c r="H51" s="120"/>
      <c r="I51" s="120"/>
      <c r="J51" s="120"/>
      <c r="K51" s="120"/>
      <c r="L51" s="1391"/>
      <c r="M51" s="1392"/>
      <c r="N51" s="1391"/>
      <c r="O51" s="120"/>
      <c r="P51" s="120"/>
      <c r="Q51" s="608"/>
      <c r="R51" s="121"/>
      <c r="S51" s="1055">
        <f t="shared" si="3"/>
        <v>0</v>
      </c>
      <c r="T51" s="1056">
        <v>18</v>
      </c>
      <c r="U51" s="1057" t="str">
        <f t="shared" si="4"/>
        <v xml:space="preserve"> </v>
      </c>
      <c r="X51" s="60"/>
      <c r="Y51" s="60"/>
      <c r="Z51" s="60"/>
    </row>
    <row r="52" spans="1:28" s="61" customFormat="1" ht="14.25" customHeight="1">
      <c r="A52" s="1051"/>
      <c r="B52" s="1385"/>
      <c r="C52" s="1386"/>
      <c r="D52" s="1387"/>
      <c r="E52" s="1388"/>
      <c r="F52" s="120"/>
      <c r="G52" s="120"/>
      <c r="H52" s="120"/>
      <c r="I52" s="120"/>
      <c r="J52" s="120"/>
      <c r="K52" s="120"/>
      <c r="L52" s="1391"/>
      <c r="M52" s="1392"/>
      <c r="N52" s="1391"/>
      <c r="O52" s="120"/>
      <c r="P52" s="120"/>
      <c r="Q52" s="608"/>
      <c r="R52" s="121"/>
      <c r="S52" s="1055">
        <f t="shared" si="3"/>
        <v>0</v>
      </c>
      <c r="T52" s="1056">
        <v>19</v>
      </c>
      <c r="U52" s="1057" t="str">
        <f t="shared" si="4"/>
        <v xml:space="preserve"> </v>
      </c>
      <c r="X52" s="60"/>
      <c r="Y52" s="60"/>
      <c r="Z52" s="60"/>
    </row>
    <row r="53" spans="1:28" s="61" customFormat="1" ht="14.25" customHeight="1">
      <c r="A53" s="1051"/>
      <c r="B53" s="1385"/>
      <c r="C53" s="1386"/>
      <c r="D53" s="1387"/>
      <c r="E53" s="1388"/>
      <c r="F53" s="1389"/>
      <c r="G53" s="1389"/>
      <c r="H53" s="1389"/>
      <c r="I53" s="1389"/>
      <c r="J53" s="1389"/>
      <c r="K53" s="1389"/>
      <c r="L53" s="1389"/>
      <c r="M53" s="1389"/>
      <c r="N53" s="1389"/>
      <c r="O53" s="1394"/>
      <c r="P53" s="120"/>
      <c r="Q53" s="608"/>
      <c r="R53" s="121"/>
      <c r="S53" s="1055">
        <f t="shared" si="3"/>
        <v>0</v>
      </c>
      <c r="T53" s="1056">
        <v>20</v>
      </c>
      <c r="U53" s="1057" t="str">
        <f t="shared" si="4"/>
        <v xml:space="preserve"> </v>
      </c>
      <c r="X53" s="60"/>
      <c r="Y53" s="60"/>
      <c r="Z53" s="60"/>
    </row>
    <row r="54" spans="1:28" s="61" customFormat="1" ht="14.25" customHeight="1">
      <c r="A54" s="179"/>
      <c r="B54" s="1385"/>
      <c r="C54" s="1386"/>
      <c r="D54" s="1388"/>
      <c r="E54" s="1388"/>
      <c r="F54" s="120"/>
      <c r="G54" s="120"/>
      <c r="H54" s="120"/>
      <c r="I54" s="120"/>
      <c r="J54" s="120"/>
      <c r="K54" s="120"/>
      <c r="L54" s="1391"/>
      <c r="M54" s="1392"/>
      <c r="N54" s="1391"/>
      <c r="O54" s="120"/>
      <c r="P54" s="120"/>
      <c r="Q54" s="608"/>
      <c r="R54" s="121"/>
      <c r="X54" s="60"/>
      <c r="Y54" s="60"/>
      <c r="Z54" s="60"/>
    </row>
    <row r="55" spans="1:28" s="61" customFormat="1" ht="103.5" customHeight="1">
      <c r="A55" s="211"/>
      <c r="B55" s="1714" t="s">
        <v>1260</v>
      </c>
      <c r="C55" s="1714"/>
      <c r="D55" s="1714"/>
      <c r="E55" s="1714"/>
      <c r="F55" s="1714"/>
      <c r="G55" s="1714"/>
      <c r="H55" s="1714"/>
      <c r="I55" s="1714"/>
      <c r="J55" s="1714"/>
      <c r="K55" s="1714"/>
      <c r="L55" s="1714"/>
      <c r="M55" s="1714"/>
      <c r="N55" s="1714"/>
      <c r="O55" s="1714"/>
      <c r="P55" s="1714"/>
      <c r="Q55" s="608"/>
      <c r="R55" s="121"/>
      <c r="X55" s="60"/>
      <c r="Y55" s="60"/>
      <c r="Z55" s="60"/>
    </row>
    <row r="56" spans="1:28" ht="7.5" customHeight="1">
      <c r="A56" s="208"/>
      <c r="B56" s="389"/>
      <c r="C56" s="389"/>
      <c r="D56" s="389"/>
      <c r="E56" s="389"/>
      <c r="F56" s="64"/>
      <c r="G56" s="64"/>
      <c r="H56" s="64"/>
      <c r="I56" s="64"/>
      <c r="J56" s="64"/>
      <c r="K56" s="64"/>
      <c r="L56" s="64"/>
      <c r="M56" s="64"/>
      <c r="N56" s="64"/>
      <c r="O56" s="64"/>
      <c r="P56" s="5"/>
      <c r="Q56" s="170"/>
      <c r="R56" s="185"/>
      <c r="V56" s="61"/>
      <c r="W56" s="61"/>
    </row>
    <row r="57" spans="1:28" ht="15" customHeight="1">
      <c r="A57" s="1565"/>
      <c r="B57" s="1566"/>
      <c r="C57" s="1566"/>
      <c r="D57" s="1566"/>
      <c r="E57" s="1566"/>
      <c r="F57" s="1566"/>
      <c r="G57" s="1566"/>
      <c r="H57" s="1566"/>
      <c r="I57" s="1566"/>
      <c r="J57" s="1566"/>
      <c r="K57" s="1566"/>
      <c r="L57" s="1566"/>
      <c r="M57" s="1566"/>
      <c r="N57" s="1566"/>
      <c r="O57" s="1566"/>
      <c r="P57" s="1566"/>
      <c r="Q57" s="170"/>
      <c r="R57" s="185"/>
      <c r="V57" s="61"/>
      <c r="W57" s="61"/>
    </row>
    <row r="58" spans="1:28" ht="11.25" customHeight="1">
      <c r="A58" s="1567"/>
      <c r="B58" s="1568"/>
      <c r="C58" s="1568"/>
      <c r="D58" s="1568"/>
      <c r="E58" s="1568"/>
      <c r="F58" s="1568"/>
      <c r="G58" s="1568"/>
      <c r="H58" s="1568"/>
      <c r="I58" s="1568"/>
      <c r="J58" s="1568"/>
      <c r="K58" s="1568"/>
      <c r="L58" s="1568"/>
      <c r="M58" s="1568"/>
      <c r="N58" s="1568"/>
      <c r="O58" s="1568"/>
      <c r="P58" s="1568"/>
      <c r="Q58" s="182"/>
      <c r="R58" s="185"/>
      <c r="V58" s="61"/>
      <c r="W58" s="61"/>
    </row>
    <row r="59" spans="1:28" ht="11.25" customHeight="1">
      <c r="A59" s="106"/>
      <c r="B59" s="705"/>
      <c r="C59" s="5"/>
      <c r="D59" s="5"/>
      <c r="E59" s="9"/>
      <c r="F59" s="5"/>
      <c r="G59" s="40"/>
      <c r="H59" s="554"/>
      <c r="I59" s="40"/>
      <c r="J59" s="40"/>
      <c r="K59" s="40"/>
      <c r="L59" s="40"/>
      <c r="M59" s="40"/>
      <c r="N59" s="40"/>
      <c r="O59" s="40"/>
      <c r="P59" s="40"/>
      <c r="Q59" s="40"/>
      <c r="R59" s="119"/>
      <c r="V59" s="61"/>
      <c r="W59" s="61"/>
      <c r="Z59" s="52"/>
      <c r="AA59" s="52"/>
      <c r="AB59" s="52"/>
    </row>
    <row r="60" spans="1:28" ht="11.25" customHeight="1">
      <c r="A60" s="106"/>
      <c r="B60" s="1561"/>
      <c r="C60" s="1561"/>
      <c r="D60" s="1561"/>
      <c r="E60" s="1561"/>
      <c r="F60" s="2"/>
      <c r="G60" s="554"/>
      <c r="H60" s="554"/>
      <c r="I60" s="40"/>
      <c r="J60" s="40"/>
      <c r="K60" s="40"/>
      <c r="L60" s="40"/>
      <c r="M60" s="40"/>
      <c r="N60" s="40"/>
      <c r="O60" s="40"/>
      <c r="P60" s="40"/>
      <c r="Q60" s="40"/>
      <c r="R60" s="119"/>
      <c r="V60" s="61"/>
      <c r="W60" s="61"/>
      <c r="Z60" s="52"/>
      <c r="AA60" s="52"/>
      <c r="AB60" s="52"/>
    </row>
    <row r="61" spans="1:28" ht="11.25" customHeight="1">
      <c r="A61" s="106"/>
      <c r="B61" s="1561"/>
      <c r="C61" s="1561"/>
      <c r="D61" s="1561"/>
      <c r="E61" s="1561"/>
      <c r="F61" s="2"/>
      <c r="G61" s="554"/>
      <c r="H61" s="554"/>
      <c r="I61" s="40"/>
      <c r="J61" s="40"/>
      <c r="K61" s="40"/>
      <c r="L61" s="40"/>
      <c r="M61" s="40"/>
      <c r="N61" s="40"/>
      <c r="O61" s="40"/>
      <c r="P61" s="40"/>
      <c r="Q61" s="40"/>
      <c r="R61" s="119"/>
      <c r="Z61" s="52"/>
      <c r="AA61" s="52"/>
      <c r="AB61" s="52"/>
    </row>
    <row r="62" spans="1:28" ht="11.25" customHeight="1">
      <c r="A62" s="106"/>
      <c r="B62" s="1561"/>
      <c r="C62" s="1561"/>
      <c r="D62" s="1561"/>
      <c r="E62" s="1561"/>
      <c r="F62" s="2"/>
      <c r="G62" s="554"/>
      <c r="H62" s="554"/>
      <c r="I62" s="40"/>
      <c r="J62" s="40"/>
      <c r="K62" s="40"/>
      <c r="L62" s="40"/>
      <c r="M62" s="40"/>
      <c r="N62" s="40"/>
      <c r="O62" s="40"/>
      <c r="P62" s="40"/>
      <c r="Q62" s="40"/>
      <c r="R62" s="119"/>
      <c r="Z62" s="52"/>
      <c r="AA62" s="52"/>
      <c r="AB62" s="52"/>
    </row>
    <row r="63" spans="1:28" ht="11.25" customHeight="1">
      <c r="A63" s="106"/>
      <c r="B63" s="1561"/>
      <c r="C63" s="1561"/>
      <c r="D63" s="1561"/>
      <c r="E63" s="1561"/>
      <c r="F63" s="2"/>
      <c r="G63" s="554"/>
      <c r="H63" s="554"/>
      <c r="I63" s="40"/>
      <c r="J63" s="40"/>
      <c r="K63" s="40"/>
      <c r="L63" s="40"/>
      <c r="M63" s="40"/>
      <c r="N63" s="40"/>
      <c r="O63" s="40"/>
      <c r="P63" s="40"/>
      <c r="Q63" s="40"/>
      <c r="R63" s="119"/>
      <c r="Z63" s="52"/>
      <c r="AA63" s="52"/>
      <c r="AB63" s="52"/>
    </row>
    <row r="64" spans="1:28" ht="11.25" customHeight="1">
      <c r="A64" s="106"/>
      <c r="B64" s="1561"/>
      <c r="C64" s="1561"/>
      <c r="D64" s="1561"/>
      <c r="E64" s="1561"/>
      <c r="F64" s="2"/>
      <c r="G64" s="554"/>
      <c r="H64" s="554"/>
      <c r="I64" s="40"/>
      <c r="J64" s="40"/>
      <c r="K64" s="40"/>
      <c r="L64" s="40"/>
      <c r="M64" s="40"/>
      <c r="N64" s="40"/>
      <c r="O64" s="40"/>
      <c r="P64" s="40"/>
      <c r="Q64" s="40"/>
      <c r="R64" s="119"/>
      <c r="Z64" s="52"/>
      <c r="AA64" s="52"/>
      <c r="AB64" s="52"/>
    </row>
    <row r="65" spans="1:28" ht="11.25" customHeight="1">
      <c r="A65" s="106"/>
      <c r="B65" s="1561"/>
      <c r="C65" s="1561"/>
      <c r="D65" s="1561"/>
      <c r="E65" s="1561"/>
      <c r="F65" s="2"/>
      <c r="G65" s="554"/>
      <c r="H65" s="554"/>
      <c r="I65" s="40"/>
      <c r="J65" s="40"/>
      <c r="K65" s="40"/>
      <c r="L65" s="40"/>
      <c r="M65" s="40"/>
      <c r="N65" s="40"/>
      <c r="O65" s="40"/>
      <c r="P65" s="40"/>
      <c r="Q65" s="40"/>
      <c r="R65" s="119"/>
      <c r="Z65" s="52"/>
      <c r="AA65" s="52"/>
      <c r="AB65" s="52"/>
    </row>
    <row r="66" spans="1:28" ht="11.25" customHeight="1">
      <c r="A66" s="106"/>
      <c r="B66" s="1561"/>
      <c r="C66" s="1561"/>
      <c r="D66" s="1561"/>
      <c r="E66" s="1561"/>
      <c r="F66" s="2"/>
      <c r="G66" s="554"/>
      <c r="H66" s="554"/>
      <c r="I66" s="40"/>
      <c r="J66" s="40"/>
      <c r="K66" s="40"/>
      <c r="L66" s="40"/>
      <c r="M66" s="40"/>
      <c r="N66" s="40"/>
      <c r="O66" s="40"/>
      <c r="P66" s="40"/>
      <c r="Q66" s="40"/>
      <c r="R66" s="119"/>
      <c r="Z66" s="52"/>
      <c r="AA66" s="52"/>
      <c r="AB66" s="52"/>
    </row>
    <row r="67" spans="1:28" ht="11.25" customHeight="1">
      <c r="A67" s="106"/>
      <c r="B67" s="1561"/>
      <c r="C67" s="1561"/>
      <c r="D67" s="1561"/>
      <c r="E67" s="1561"/>
      <c r="F67" s="2"/>
      <c r="G67" s="554"/>
      <c r="H67" s="554"/>
      <c r="I67" s="40"/>
      <c r="J67" s="40"/>
      <c r="K67" s="40"/>
      <c r="L67" s="40"/>
      <c r="M67" s="40"/>
      <c r="N67" s="40"/>
      <c r="O67" s="40"/>
      <c r="P67" s="40"/>
      <c r="Q67" s="40"/>
      <c r="R67" s="119"/>
      <c r="Z67" s="52"/>
      <c r="AA67" s="52"/>
      <c r="AB67" s="52"/>
    </row>
    <row r="68" spans="1:28" ht="11.25" customHeight="1">
      <c r="A68" s="106"/>
      <c r="B68" s="1561"/>
      <c r="C68" s="1561"/>
      <c r="D68" s="1561"/>
      <c r="E68" s="1561"/>
      <c r="F68" s="2"/>
      <c r="G68" s="554"/>
      <c r="H68" s="554"/>
      <c r="I68" s="40"/>
      <c r="J68" s="40"/>
      <c r="K68" s="40"/>
      <c r="L68" s="40"/>
      <c r="M68" s="40"/>
      <c r="N68" s="40"/>
      <c r="O68" s="40"/>
      <c r="P68" s="40"/>
      <c r="Q68" s="40"/>
      <c r="R68" s="119"/>
      <c r="Z68" s="52"/>
      <c r="AA68" s="52"/>
      <c r="AB68" s="52"/>
    </row>
    <row r="69" spans="1:28" ht="11.25" customHeight="1">
      <c r="A69" s="106"/>
      <c r="B69" s="1561"/>
      <c r="C69" s="1561"/>
      <c r="D69" s="1561"/>
      <c r="E69" s="1561"/>
      <c r="F69" s="2"/>
      <c r="G69" s="554"/>
      <c r="H69" s="554"/>
      <c r="I69" s="40"/>
      <c r="J69" s="40"/>
      <c r="K69" s="40"/>
      <c r="L69" s="40"/>
      <c r="M69" s="40"/>
      <c r="N69" s="40"/>
      <c r="O69" s="40"/>
      <c r="P69" s="40"/>
      <c r="Q69" s="40"/>
      <c r="R69" s="119"/>
      <c r="Z69" s="52"/>
      <c r="AA69" s="52"/>
      <c r="AB69" s="52"/>
    </row>
    <row r="70" spans="1:28" ht="11.25" customHeight="1">
      <c r="A70" s="106"/>
      <c r="B70" s="1561"/>
      <c r="C70" s="1561"/>
      <c r="D70" s="1561"/>
      <c r="E70" s="1561"/>
      <c r="F70" s="2"/>
      <c r="G70" s="554"/>
      <c r="H70" s="554"/>
      <c r="I70" s="40"/>
      <c r="J70" s="40"/>
      <c r="K70" s="40"/>
      <c r="L70" s="40"/>
      <c r="M70" s="40"/>
      <c r="N70" s="40"/>
      <c r="O70" s="40"/>
      <c r="P70" s="40"/>
      <c r="Q70" s="40"/>
      <c r="R70" s="119"/>
      <c r="Z70" s="52"/>
      <c r="AA70" s="52"/>
      <c r="AB70" s="52"/>
    </row>
    <row r="71" spans="1:28" ht="11.25" customHeight="1">
      <c r="A71" s="106"/>
      <c r="B71" s="1561"/>
      <c r="C71" s="1561"/>
      <c r="D71" s="1561"/>
      <c r="E71" s="1561"/>
      <c r="F71" s="2"/>
      <c r="G71" s="554"/>
      <c r="H71" s="554"/>
      <c r="I71" s="40"/>
      <c r="J71" s="40"/>
      <c r="K71" s="40"/>
      <c r="L71" s="40"/>
      <c r="M71" s="40"/>
      <c r="N71" s="40"/>
      <c r="O71" s="40"/>
      <c r="P71" s="40"/>
      <c r="Q71" s="40"/>
      <c r="R71" s="119"/>
      <c r="Z71" s="52"/>
      <c r="AA71" s="52"/>
      <c r="AB71" s="52"/>
    </row>
    <row r="72" spans="1:28" ht="11.25" customHeight="1">
      <c r="A72" s="106"/>
      <c r="B72" s="1561"/>
      <c r="C72" s="1561"/>
      <c r="D72" s="1561"/>
      <c r="E72" s="1561"/>
      <c r="F72" s="2"/>
      <c r="G72" s="554"/>
      <c r="H72" s="554"/>
      <c r="I72" s="40"/>
      <c r="J72" s="40"/>
      <c r="K72" s="40"/>
      <c r="L72" s="40"/>
      <c r="M72" s="40"/>
      <c r="N72" s="40"/>
      <c r="O72" s="40"/>
      <c r="P72" s="40"/>
      <c r="Q72" s="40"/>
      <c r="R72" s="119"/>
      <c r="Z72" s="52"/>
      <c r="AA72" s="52"/>
      <c r="AB72" s="52"/>
    </row>
    <row r="73" spans="1:28" ht="11.25" customHeight="1">
      <c r="A73" s="106"/>
      <c r="B73" s="1561"/>
      <c r="C73" s="1561"/>
      <c r="D73" s="1561"/>
      <c r="E73" s="1561"/>
      <c r="F73" s="2"/>
      <c r="G73" s="554"/>
      <c r="H73" s="554"/>
      <c r="I73" s="40"/>
      <c r="J73" s="40"/>
      <c r="K73" s="40"/>
      <c r="L73" s="40"/>
      <c r="M73" s="40"/>
      <c r="N73" s="40"/>
      <c r="O73" s="40"/>
      <c r="P73" s="40"/>
      <c r="Q73" s="40"/>
      <c r="R73" s="119"/>
      <c r="Z73" s="52"/>
      <c r="AA73" s="52"/>
      <c r="AB73" s="52"/>
    </row>
    <row r="74" spans="1:28" ht="11.25" customHeight="1">
      <c r="A74" s="106"/>
      <c r="B74" s="1561"/>
      <c r="C74" s="1561"/>
      <c r="D74" s="1561"/>
      <c r="E74" s="1561"/>
      <c r="F74" s="2"/>
      <c r="G74" s="554"/>
      <c r="H74" s="554"/>
      <c r="I74" s="40"/>
      <c r="J74" s="40"/>
      <c r="K74" s="40"/>
      <c r="L74" s="40"/>
      <c r="M74" s="40"/>
      <c r="N74" s="40"/>
      <c r="O74" s="40"/>
      <c r="P74" s="40"/>
      <c r="Q74" s="40"/>
      <c r="R74" s="119"/>
      <c r="Z74" s="52"/>
      <c r="AA74" s="52"/>
      <c r="AB74" s="52"/>
    </row>
    <row r="75" spans="1:28" ht="11.25" customHeight="1">
      <c r="A75" s="106"/>
      <c r="B75" s="1561"/>
      <c r="C75" s="1561"/>
      <c r="D75" s="1561"/>
      <c r="E75" s="1561"/>
      <c r="F75" s="2"/>
      <c r="G75" s="554"/>
      <c r="H75" s="554"/>
      <c r="I75" s="40"/>
      <c r="J75" s="40"/>
      <c r="K75" s="40"/>
      <c r="L75" s="40"/>
      <c r="M75" s="40"/>
      <c r="N75" s="40"/>
      <c r="O75" s="40"/>
      <c r="P75" s="40"/>
      <c r="Q75" s="40"/>
      <c r="R75" s="119"/>
      <c r="Z75" s="52"/>
      <c r="AA75" s="52"/>
      <c r="AB75" s="52"/>
    </row>
    <row r="76" spans="1:28" ht="11.25" customHeight="1">
      <c r="A76" s="106"/>
      <c r="B76" s="1561"/>
      <c r="C76" s="1561"/>
      <c r="D76" s="1561"/>
      <c r="E76" s="1561"/>
      <c r="F76" s="2"/>
      <c r="G76" s="554"/>
      <c r="H76" s="554"/>
      <c r="I76" s="40"/>
      <c r="J76" s="40"/>
      <c r="K76" s="40"/>
      <c r="L76" s="40"/>
      <c r="M76" s="40"/>
      <c r="N76" s="40"/>
      <c r="O76" s="40"/>
      <c r="P76" s="40"/>
      <c r="Q76" s="40"/>
      <c r="R76" s="119"/>
      <c r="Z76" s="52"/>
      <c r="AA76" s="52"/>
      <c r="AB76" s="52"/>
    </row>
    <row r="77" spans="1:28" ht="11.25" customHeight="1">
      <c r="A77" s="106"/>
      <c r="B77" s="1561"/>
      <c r="C77" s="1561"/>
      <c r="D77" s="1561"/>
      <c r="E77" s="1561"/>
      <c r="F77" s="2"/>
      <c r="G77" s="554"/>
      <c r="H77" s="554"/>
      <c r="I77" s="40"/>
      <c r="J77" s="40"/>
      <c r="K77" s="40"/>
      <c r="L77" s="40"/>
      <c r="M77" s="40"/>
      <c r="N77" s="40"/>
      <c r="O77" s="40"/>
      <c r="P77" s="40"/>
      <c r="Q77" s="40"/>
      <c r="R77" s="119"/>
      <c r="Z77" s="52"/>
      <c r="AA77" s="52"/>
      <c r="AB77" s="52"/>
    </row>
    <row r="78" spans="1:28" ht="11.25" customHeight="1">
      <c r="A78" s="106"/>
      <c r="B78" s="1561"/>
      <c r="C78" s="1561"/>
      <c r="D78" s="1561"/>
      <c r="E78" s="1561"/>
      <c r="F78" s="2"/>
      <c r="G78" s="554"/>
      <c r="H78" s="554"/>
      <c r="I78" s="40"/>
      <c r="J78" s="40"/>
      <c r="K78" s="40"/>
      <c r="L78" s="40"/>
      <c r="M78" s="40"/>
      <c r="N78" s="40"/>
      <c r="O78" s="40"/>
      <c r="P78" s="40"/>
      <c r="Q78" s="40"/>
      <c r="R78" s="119"/>
      <c r="Z78" s="52"/>
      <c r="AA78" s="52"/>
      <c r="AB78" s="52"/>
    </row>
    <row r="79" spans="1:28" ht="11.25" customHeight="1">
      <c r="A79" s="106"/>
      <c r="B79" s="1561"/>
      <c r="C79" s="1561"/>
      <c r="D79" s="1561"/>
      <c r="E79" s="1561"/>
      <c r="F79" s="2"/>
      <c r="G79" s="554"/>
      <c r="H79" s="554"/>
      <c r="I79" s="40"/>
      <c r="J79" s="40"/>
      <c r="K79" s="40"/>
      <c r="L79" s="40"/>
      <c r="M79" s="40"/>
      <c r="N79" s="40"/>
      <c r="O79" s="40"/>
      <c r="P79" s="40"/>
      <c r="Q79" s="40"/>
      <c r="R79" s="119"/>
      <c r="Z79" s="52"/>
      <c r="AA79" s="52"/>
      <c r="AB79" s="52"/>
    </row>
    <row r="80" spans="1:28" ht="11.25" customHeight="1">
      <c r="A80" s="106"/>
      <c r="B80" s="1561"/>
      <c r="C80" s="1561"/>
      <c r="D80" s="1561"/>
      <c r="E80" s="1561"/>
      <c r="F80" s="2"/>
      <c r="G80" s="554"/>
      <c r="H80" s="554"/>
      <c r="I80" s="40"/>
      <c r="J80" s="40"/>
      <c r="K80" s="40"/>
      <c r="L80" s="40"/>
      <c r="M80" s="40"/>
      <c r="N80" s="40"/>
      <c r="O80" s="40"/>
      <c r="P80" s="40"/>
      <c r="Q80" s="40"/>
      <c r="R80" s="119"/>
      <c r="Z80" s="52"/>
      <c r="AA80" s="52"/>
      <c r="AB80" s="52"/>
    </row>
    <row r="81" spans="1:28" ht="11.25" customHeight="1">
      <c r="A81" s="106"/>
      <c r="B81" s="1561"/>
      <c r="C81" s="1561"/>
      <c r="D81" s="1561"/>
      <c r="E81" s="1561"/>
      <c r="F81" s="2"/>
      <c r="G81" s="554"/>
      <c r="H81" s="554"/>
      <c r="I81" s="40"/>
      <c r="J81" s="40"/>
      <c r="K81" s="40"/>
      <c r="L81" s="40"/>
      <c r="M81" s="40"/>
      <c r="N81" s="40"/>
      <c r="O81" s="40"/>
      <c r="P81" s="40"/>
      <c r="Q81" s="40"/>
      <c r="R81" s="119"/>
      <c r="Z81" s="52"/>
      <c r="AA81" s="52"/>
      <c r="AB81" s="52"/>
    </row>
    <row r="82" spans="1:28" ht="11.25" customHeight="1">
      <c r="A82" s="106"/>
      <c r="B82" s="1561"/>
      <c r="C82" s="1561"/>
      <c r="D82" s="1561"/>
      <c r="E82" s="1561"/>
      <c r="F82" s="2"/>
      <c r="G82" s="554"/>
      <c r="H82" s="554"/>
      <c r="I82" s="40"/>
      <c r="J82" s="40"/>
      <c r="K82" s="40"/>
      <c r="L82" s="40"/>
      <c r="M82" s="40"/>
      <c r="N82" s="40"/>
      <c r="O82" s="40"/>
      <c r="P82" s="40"/>
      <c r="Q82" s="40"/>
      <c r="R82" s="119"/>
      <c r="Z82" s="52"/>
      <c r="AA82" s="52"/>
      <c r="AB82" s="52"/>
    </row>
    <row r="83" spans="1:28" ht="11.25" customHeight="1">
      <c r="A83" s="106"/>
      <c r="B83" s="1561"/>
      <c r="C83" s="1561"/>
      <c r="D83" s="1561"/>
      <c r="E83" s="1561"/>
      <c r="F83" s="2"/>
      <c r="G83" s="554"/>
      <c r="H83" s="554"/>
      <c r="I83" s="40"/>
      <c r="J83" s="40"/>
      <c r="K83" s="40"/>
      <c r="L83" s="40"/>
      <c r="M83" s="40"/>
      <c r="N83" s="40"/>
      <c r="O83" s="40"/>
      <c r="P83" s="40"/>
      <c r="Q83" s="40"/>
      <c r="R83" s="119"/>
      <c r="Z83" s="52"/>
      <c r="AA83" s="52"/>
      <c r="AB83" s="52"/>
    </row>
    <row r="84" spans="1:28" ht="11.25" customHeight="1">
      <c r="A84" s="106"/>
      <c r="B84" s="1561"/>
      <c r="C84" s="1561"/>
      <c r="D84" s="1561"/>
      <c r="E84" s="1561"/>
      <c r="F84" s="2"/>
      <c r="G84" s="554"/>
      <c r="H84" s="554"/>
      <c r="I84" s="40"/>
      <c r="J84" s="40"/>
      <c r="K84" s="40"/>
      <c r="L84" s="40"/>
      <c r="M84" s="40"/>
      <c r="N84" s="40"/>
      <c r="O84" s="40"/>
      <c r="P84" s="40"/>
      <c r="Q84" s="40"/>
      <c r="R84" s="119"/>
      <c r="Z84" s="52"/>
      <c r="AA84" s="52"/>
      <c r="AB84" s="52"/>
    </row>
    <row r="85" spans="1:28" ht="11.25" customHeight="1">
      <c r="A85" s="106"/>
      <c r="B85" s="1561"/>
      <c r="C85" s="1561"/>
      <c r="D85" s="1561"/>
      <c r="E85" s="1561"/>
      <c r="F85" s="2"/>
      <c r="G85" s="554"/>
      <c r="H85" s="554"/>
      <c r="I85" s="40"/>
      <c r="J85" s="40"/>
      <c r="K85" s="40"/>
      <c r="L85" s="40"/>
      <c r="M85" s="40"/>
      <c r="N85" s="40"/>
      <c r="O85" s="40"/>
      <c r="P85" s="40"/>
      <c r="Q85" s="40"/>
      <c r="R85" s="119"/>
      <c r="Z85" s="52"/>
      <c r="AA85" s="52"/>
      <c r="AB85" s="52"/>
    </row>
    <row r="86" spans="1:28" ht="11.25" customHeight="1">
      <c r="A86" s="106"/>
      <c r="B86" s="1561"/>
      <c r="C86" s="1561"/>
      <c r="D86" s="1561"/>
      <c r="E86" s="1561"/>
      <c r="F86" s="2"/>
      <c r="G86" s="554"/>
      <c r="H86" s="554"/>
      <c r="I86" s="40"/>
      <c r="J86" s="40"/>
      <c r="K86" s="40"/>
      <c r="L86" s="40"/>
      <c r="M86" s="40"/>
      <c r="N86" s="40"/>
      <c r="O86" s="40"/>
      <c r="P86" s="40"/>
      <c r="Q86" s="40"/>
      <c r="R86" s="119"/>
      <c r="Z86" s="52"/>
      <c r="AA86" s="52"/>
      <c r="AB86" s="52"/>
    </row>
    <row r="87" spans="1:28" ht="11.25" customHeight="1">
      <c r="A87" s="106"/>
      <c r="B87" s="1561"/>
      <c r="C87" s="1561"/>
      <c r="D87" s="1561"/>
      <c r="E87" s="1561"/>
      <c r="F87" s="2"/>
      <c r="G87" s="554"/>
      <c r="H87" s="554"/>
      <c r="I87" s="40"/>
      <c r="J87" s="40"/>
      <c r="K87" s="40"/>
      <c r="L87" s="40"/>
      <c r="M87" s="40"/>
      <c r="N87" s="40"/>
      <c r="O87" s="40"/>
      <c r="P87" s="40"/>
      <c r="Q87" s="40"/>
      <c r="R87" s="119"/>
      <c r="Z87" s="52"/>
      <c r="AA87" s="52"/>
      <c r="AB87" s="52"/>
    </row>
    <row r="88" spans="1:28" ht="11.25" customHeight="1">
      <c r="A88" s="106"/>
      <c r="B88" s="1561"/>
      <c r="C88" s="1561"/>
      <c r="D88" s="1561"/>
      <c r="E88" s="1561"/>
      <c r="F88" s="2"/>
      <c r="G88" s="554"/>
      <c r="H88" s="554"/>
      <c r="I88" s="40"/>
      <c r="J88" s="40"/>
      <c r="K88" s="40"/>
      <c r="L88" s="40"/>
      <c r="M88" s="40"/>
      <c r="N88" s="40"/>
      <c r="O88" s="40"/>
      <c r="P88" s="40"/>
      <c r="Q88" s="40"/>
      <c r="R88" s="119"/>
      <c r="Z88" s="52"/>
      <c r="AA88" s="52"/>
      <c r="AB88" s="52"/>
    </row>
    <row r="89" spans="1:28" ht="11.25" customHeight="1">
      <c r="A89" s="106"/>
      <c r="B89" s="1561"/>
      <c r="C89" s="1561"/>
      <c r="D89" s="1561"/>
      <c r="E89" s="1561"/>
      <c r="F89" s="2"/>
      <c r="G89" s="554"/>
      <c r="H89" s="554"/>
      <c r="I89" s="40"/>
      <c r="J89" s="40"/>
      <c r="K89" s="40"/>
      <c r="L89" s="40"/>
      <c r="M89" s="40"/>
      <c r="N89" s="40"/>
      <c r="O89" s="40"/>
      <c r="P89" s="40"/>
      <c r="Q89" s="40"/>
      <c r="R89" s="119"/>
      <c r="Z89" s="52"/>
      <c r="AA89" s="52"/>
      <c r="AB89" s="52"/>
    </row>
    <row r="90" spans="1:28" ht="11.25" customHeight="1">
      <c r="A90" s="106"/>
      <c r="B90" s="1561"/>
      <c r="C90" s="1561"/>
      <c r="D90" s="1561"/>
      <c r="E90" s="1561"/>
      <c r="F90" s="2"/>
      <c r="G90" s="554"/>
      <c r="H90" s="554"/>
      <c r="I90" s="40"/>
      <c r="J90" s="40"/>
      <c r="K90" s="40"/>
      <c r="L90" s="40"/>
      <c r="M90" s="40"/>
      <c r="N90" s="40"/>
      <c r="O90" s="40"/>
      <c r="P90" s="40"/>
      <c r="Q90" s="40"/>
      <c r="R90" s="119"/>
      <c r="Z90" s="52"/>
      <c r="AA90" s="52"/>
      <c r="AB90" s="52"/>
    </row>
    <row r="91" spans="1:28" ht="11.25" customHeight="1">
      <c r="A91" s="106"/>
      <c r="B91" s="1561"/>
      <c r="C91" s="1561"/>
      <c r="D91" s="1561"/>
      <c r="E91" s="1561"/>
      <c r="F91" s="2"/>
      <c r="G91" s="554"/>
      <c r="H91" s="554"/>
      <c r="I91" s="40"/>
      <c r="J91" s="40"/>
      <c r="K91" s="40"/>
      <c r="L91" s="40"/>
      <c r="M91" s="40"/>
      <c r="N91" s="40"/>
      <c r="O91" s="40"/>
      <c r="P91" s="40"/>
      <c r="Q91" s="40"/>
      <c r="R91" s="119"/>
      <c r="Z91" s="52"/>
      <c r="AA91" s="52"/>
      <c r="AB91" s="52"/>
    </row>
    <row r="92" spans="1:28" ht="11.25" customHeight="1">
      <c r="A92" s="106"/>
      <c r="B92" s="1561"/>
      <c r="C92" s="1561"/>
      <c r="D92" s="1561"/>
      <c r="E92" s="1561"/>
      <c r="F92" s="2"/>
      <c r="G92" s="554"/>
      <c r="H92" s="554"/>
      <c r="I92" s="40"/>
      <c r="J92" s="40"/>
      <c r="K92" s="40"/>
      <c r="L92" s="40"/>
      <c r="M92" s="40"/>
      <c r="N92" s="40"/>
      <c r="O92" s="40"/>
      <c r="P92" s="40"/>
      <c r="Q92" s="40"/>
      <c r="R92" s="119"/>
      <c r="Z92" s="52"/>
      <c r="AA92" s="52"/>
      <c r="AB92" s="52"/>
    </row>
    <row r="93" spans="1:28" ht="11.25" customHeight="1">
      <c r="A93" s="106"/>
      <c r="B93" s="1561"/>
      <c r="C93" s="1561"/>
      <c r="D93" s="1561"/>
      <c r="E93" s="1561"/>
      <c r="F93" s="2"/>
      <c r="G93" s="554"/>
      <c r="H93" s="554"/>
      <c r="I93" s="40"/>
      <c r="J93" s="40"/>
      <c r="K93" s="40"/>
      <c r="L93" s="40"/>
      <c r="M93" s="40"/>
      <c r="N93" s="40"/>
      <c r="O93" s="40"/>
      <c r="P93" s="40"/>
      <c r="Q93" s="40"/>
      <c r="R93" s="119"/>
      <c r="Z93" s="52"/>
      <c r="AA93" s="52"/>
      <c r="AB93" s="52"/>
    </row>
    <row r="94" spans="1:28" ht="11.25" customHeight="1">
      <c r="A94" s="106"/>
      <c r="B94" s="1561"/>
      <c r="C94" s="1561"/>
      <c r="D94" s="1561"/>
      <c r="E94" s="1561"/>
      <c r="F94" s="2"/>
      <c r="G94" s="554"/>
      <c r="H94" s="554"/>
      <c r="I94" s="40"/>
      <c r="J94" s="40"/>
      <c r="K94" s="40"/>
      <c r="L94" s="40"/>
      <c r="M94" s="40"/>
      <c r="N94" s="40"/>
      <c r="O94" s="40"/>
      <c r="P94" s="40"/>
      <c r="Q94" s="40"/>
      <c r="R94" s="119"/>
      <c r="Z94" s="52"/>
      <c r="AA94" s="52"/>
      <c r="AB94" s="52"/>
    </row>
    <row r="95" spans="1:28" ht="11.25" customHeight="1">
      <c r="A95" s="106"/>
      <c r="B95" s="1561"/>
      <c r="C95" s="1561"/>
      <c r="D95" s="1561"/>
      <c r="E95" s="1561"/>
      <c r="F95" s="2"/>
      <c r="G95" s="554"/>
      <c r="H95" s="554"/>
      <c r="I95" s="40"/>
      <c r="J95" s="40"/>
      <c r="K95" s="40"/>
      <c r="L95" s="40"/>
      <c r="M95" s="40"/>
      <c r="N95" s="40"/>
      <c r="O95" s="40"/>
      <c r="P95" s="40"/>
      <c r="Q95" s="40"/>
      <c r="R95" s="119"/>
      <c r="Z95" s="52"/>
      <c r="AA95" s="52"/>
      <c r="AB95" s="52"/>
    </row>
    <row r="96" spans="1:28" ht="11.25" customHeight="1">
      <c r="A96" s="711"/>
      <c r="B96" s="712"/>
      <c r="C96" s="713"/>
      <c r="D96" s="713"/>
      <c r="E96" s="713"/>
      <c r="F96" s="152"/>
      <c r="G96" s="152"/>
      <c r="H96" s="714"/>
      <c r="I96" s="152"/>
      <c r="J96" s="152"/>
      <c r="K96" s="152"/>
      <c r="L96" s="152"/>
      <c r="M96" s="152"/>
      <c r="N96" s="152"/>
      <c r="O96" s="152"/>
      <c r="P96" s="152"/>
      <c r="Q96" s="152"/>
      <c r="R96" s="184"/>
      <c r="T96" s="55"/>
      <c r="U96" s="56"/>
      <c r="V96" s="56"/>
      <c r="W96" s="56"/>
      <c r="X96" s="56"/>
    </row>
    <row r="135" spans="26:27" ht="11.25" customHeight="1">
      <c r="Z135" s="52"/>
      <c r="AA135" s="52"/>
    </row>
    <row r="136" spans="26:27" ht="11.25" customHeight="1">
      <c r="Z136" s="52"/>
      <c r="AA136" s="52"/>
    </row>
    <row r="137" spans="26:27" ht="11.25" customHeight="1">
      <c r="Z137" s="52"/>
      <c r="AA137" s="52"/>
    </row>
    <row r="179" spans="26:27" ht="11.25" customHeight="1">
      <c r="Z179" s="52"/>
      <c r="AA179" s="52"/>
    </row>
    <row r="180" spans="26:27" ht="11.25" customHeight="1">
      <c r="Z180" s="52"/>
      <c r="AA180" s="52"/>
    </row>
    <row r="181" spans="26:27" ht="11.25" customHeight="1">
      <c r="Z181" s="52"/>
      <c r="AA181" s="52"/>
    </row>
    <row r="223" spans="26:27" ht="11.25" customHeight="1">
      <c r="Z223" s="52"/>
      <c r="AA223" s="52"/>
    </row>
    <row r="224" spans="26:27" ht="11.25" customHeight="1">
      <c r="Z224" s="52"/>
      <c r="AA224" s="52"/>
    </row>
    <row r="225" spans="26:27" ht="11.25" customHeight="1">
      <c r="Z225" s="52"/>
      <c r="AA225" s="52"/>
    </row>
    <row r="267" spans="26:27" ht="11.25" customHeight="1">
      <c r="Z267" s="52"/>
      <c r="AA267" s="52"/>
    </row>
    <row r="268" spans="26:27" ht="11.25" customHeight="1">
      <c r="Z268" s="52"/>
      <c r="AA268" s="52"/>
    </row>
    <row r="269" spans="26:27" ht="11.25" customHeight="1">
      <c r="Z269" s="52"/>
      <c r="AA269" s="52"/>
    </row>
    <row r="311" spans="26:27" ht="11.25" customHeight="1">
      <c r="Z311" s="52"/>
      <c r="AA311" s="52"/>
    </row>
    <row r="312" spans="26:27" ht="11.25" customHeight="1">
      <c r="Z312" s="52"/>
      <c r="AA312" s="52"/>
    </row>
    <row r="313" spans="26:27" ht="11.25" customHeight="1">
      <c r="Z313" s="52"/>
      <c r="AA313" s="52"/>
    </row>
    <row r="355" spans="26:27" ht="11.25" customHeight="1">
      <c r="Z355" s="52"/>
      <c r="AA355" s="52"/>
    </row>
    <row r="356" spans="26:27" ht="11.25" customHeight="1">
      <c r="Z356" s="52"/>
      <c r="AA356" s="52"/>
    </row>
    <row r="357" spans="26:27" ht="11.25" customHeight="1">
      <c r="Z357" s="52"/>
      <c r="AA357" s="52"/>
    </row>
    <row r="399" spans="26:27" ht="11.25" customHeight="1">
      <c r="Z399" s="52"/>
      <c r="AA399" s="52"/>
    </row>
    <row r="400" spans="26:27" ht="11.25" customHeight="1">
      <c r="Z400" s="52"/>
      <c r="AA400" s="52"/>
    </row>
    <row r="401" spans="26:27" ht="11.25" customHeight="1">
      <c r="Z401" s="52"/>
      <c r="AA401" s="52"/>
    </row>
  </sheetData>
  <mergeCells count="29">
    <mergeCell ref="B88:E89"/>
    <mergeCell ref="B90:E91"/>
    <mergeCell ref="B92:E93"/>
    <mergeCell ref="B94:E95"/>
    <mergeCell ref="B78:E79"/>
    <mergeCell ref="B80:E81"/>
    <mergeCell ref="B82:E83"/>
    <mergeCell ref="B84:E85"/>
    <mergeCell ref="B86:E87"/>
    <mergeCell ref="B6:O6"/>
    <mergeCell ref="A32:P32"/>
    <mergeCell ref="A31:P31"/>
    <mergeCell ref="B7:P7"/>
    <mergeCell ref="A57:P57"/>
    <mergeCell ref="B42:P45"/>
    <mergeCell ref="B38:P38"/>
    <mergeCell ref="B40:P40"/>
    <mergeCell ref="B39:P39"/>
    <mergeCell ref="B55:P55"/>
    <mergeCell ref="A58:P58"/>
    <mergeCell ref="B74:E75"/>
    <mergeCell ref="B76:E77"/>
    <mergeCell ref="B60:E61"/>
    <mergeCell ref="B62:E63"/>
    <mergeCell ref="B64:E65"/>
    <mergeCell ref="B66:E67"/>
    <mergeCell ref="B68:E69"/>
    <mergeCell ref="B70:E71"/>
    <mergeCell ref="B72:E73"/>
  </mergeCells>
  <phoneticPr fontId="4" type="noConversion"/>
  <conditionalFormatting sqref="A9:A27 A38:A53">
    <cfRule type="containsErrors" dxfId="627" priority="7">
      <formula>ISERROR(A9)</formula>
    </cfRule>
    <cfRule type="cellIs" dxfId="626" priority="8" operator="equal">
      <formula>0</formula>
    </cfRule>
  </conditionalFormatting>
  <conditionalFormatting sqref="B9:E27 B38:B40 B41:E41 B46:E53">
    <cfRule type="expression" dxfId="625" priority="26" stopIfTrue="1">
      <formula>$B9=$T$5</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ignoredErrors>
    <ignoredError sqref="A9:A21 A24:A27 A22:A23" evalError="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rgb="FFFFC000"/>
  </sheetPr>
  <dimension ref="A1:AN420"/>
  <sheetViews>
    <sheetView showGridLines="0" showRowColHeaders="0" workbookViewId="0"/>
  </sheetViews>
  <sheetFormatPr defaultColWidth="9.140625" defaultRowHeight="11.25" customHeight="1"/>
  <cols>
    <col min="1" max="1" width="2.140625" style="53" customWidth="1"/>
    <col min="2" max="2" width="20" style="53" customWidth="1"/>
    <col min="3" max="3" width="1" style="53" customWidth="1"/>
    <col min="4" max="8" width="7.5703125" style="53" customWidth="1"/>
    <col min="9" max="9" width="1" style="53" customWidth="1"/>
    <col min="10" max="14" width="7.28515625" style="53" customWidth="1"/>
    <col min="15" max="15" width="1" style="53" customWidth="1"/>
    <col min="16" max="20" width="7.28515625" style="53" customWidth="1"/>
    <col min="21" max="21" width="2.140625" style="53" customWidth="1"/>
    <col min="22" max="22" width="6.42578125" style="53" customWidth="1"/>
    <col min="23" max="23" width="16.140625" style="52" customWidth="1"/>
    <col min="24" max="24" width="9.5703125" style="52" customWidth="1"/>
    <col min="25" max="25" width="20.42578125" style="52" customWidth="1"/>
    <col min="26" max="26" width="14" style="52" customWidth="1"/>
    <col min="27" max="27" width="5.42578125" style="52" customWidth="1"/>
    <col min="28" max="28" width="12.140625" style="53" customWidth="1"/>
    <col min="29" max="29" width="9.140625" style="53" customWidth="1"/>
    <col min="30" max="30" width="12.140625" style="53" customWidth="1"/>
    <col min="31" max="31" width="9.140625" style="53" customWidth="1"/>
    <col min="32" max="16384" width="9.140625" style="53"/>
  </cols>
  <sheetData>
    <row r="1" spans="1:40" s="52" customFormat="1" ht="18.75" customHeight="1">
      <c r="A1" s="81"/>
      <c r="B1" s="82"/>
      <c r="C1" s="82"/>
      <c r="D1" s="82"/>
      <c r="E1" s="82"/>
      <c r="F1" s="82"/>
      <c r="G1" s="82"/>
      <c r="H1" s="82"/>
      <c r="I1" s="82"/>
      <c r="J1" s="82"/>
      <c r="K1" s="82"/>
      <c r="L1" s="82"/>
      <c r="M1" s="82"/>
      <c r="N1" s="82"/>
      <c r="O1" s="82"/>
      <c r="P1" s="82"/>
      <c r="Q1" s="82"/>
      <c r="R1" s="82"/>
      <c r="S1" s="82"/>
      <c r="T1" s="82"/>
      <c r="U1" s="84"/>
      <c r="V1" s="207"/>
      <c r="Y1" s="135"/>
      <c r="Z1" s="135"/>
      <c r="AA1" s="135"/>
      <c r="AB1" s="135"/>
      <c r="AC1" s="135"/>
      <c r="AD1" s="135"/>
      <c r="AE1" s="135"/>
      <c r="AF1" s="135"/>
      <c r="AG1" s="135"/>
      <c r="AH1" s="135"/>
      <c r="AI1" s="135"/>
      <c r="AJ1" s="135"/>
      <c r="AK1" s="135"/>
      <c r="AL1" s="136"/>
      <c r="AM1" s="136"/>
      <c r="AN1" s="136"/>
    </row>
    <row r="2" spans="1:40" s="52" customFormat="1" ht="18.75" customHeight="1">
      <c r="A2" s="208"/>
      <c r="B2" s="888" t="s">
        <v>17</v>
      </c>
      <c r="C2" s="95"/>
      <c r="D2" s="5"/>
      <c r="E2" s="5"/>
      <c r="F2" s="5"/>
      <c r="G2" s="5"/>
      <c r="H2" s="5"/>
      <c r="I2" s="5"/>
      <c r="J2" s="5"/>
      <c r="K2" s="5"/>
      <c r="L2" s="5"/>
      <c r="M2" s="5"/>
      <c r="N2" s="5"/>
      <c r="O2" s="5"/>
      <c r="P2" s="5"/>
      <c r="Q2" s="5"/>
      <c r="R2" s="5"/>
      <c r="S2" s="5"/>
      <c r="T2" s="5"/>
      <c r="U2" s="86"/>
      <c r="V2" s="122"/>
      <c r="Y2" s="56"/>
      <c r="Z2" s="56"/>
      <c r="AA2" s="56"/>
      <c r="AB2" s="56"/>
      <c r="AC2" s="56"/>
      <c r="AD2" s="56"/>
      <c r="AE2" s="56"/>
      <c r="AF2" s="56"/>
      <c r="AG2" s="56"/>
      <c r="AH2" s="56"/>
      <c r="AI2" s="56"/>
      <c r="AJ2" s="56"/>
      <c r="AK2" s="56"/>
    </row>
    <row r="3" spans="1:40" s="52" customFormat="1" ht="18.75" customHeight="1">
      <c r="A3" s="208"/>
      <c r="B3" s="5"/>
      <c r="C3" s="5"/>
      <c r="D3" s="5"/>
      <c r="E3" s="5"/>
      <c r="F3" s="5"/>
      <c r="G3" s="5"/>
      <c r="H3" s="5"/>
      <c r="I3" s="5"/>
      <c r="J3" s="5"/>
      <c r="K3" s="5"/>
      <c r="L3" s="5"/>
      <c r="M3" s="5"/>
      <c r="N3" s="5"/>
      <c r="O3" s="5"/>
      <c r="P3" s="5"/>
      <c r="Q3" s="5"/>
      <c r="R3" s="5"/>
      <c r="S3" s="5"/>
      <c r="T3" s="5"/>
      <c r="U3" s="201"/>
      <c r="V3" s="122"/>
      <c r="Y3" s="56"/>
      <c r="Z3" s="56"/>
      <c r="AA3" s="56"/>
      <c r="AB3" s="56"/>
      <c r="AC3" s="56"/>
      <c r="AD3" s="56"/>
      <c r="AE3" s="56"/>
      <c r="AF3" s="56"/>
      <c r="AG3" s="56"/>
      <c r="AH3" s="56"/>
      <c r="AI3" s="56"/>
      <c r="AJ3" s="56"/>
      <c r="AK3" s="56"/>
    </row>
    <row r="4" spans="1:40" ht="10.5" customHeight="1">
      <c r="A4" s="176"/>
      <c r="B4" s="177"/>
      <c r="C4" s="177"/>
      <c r="D4" s="568" t="s">
        <v>632</v>
      </c>
      <c r="E4" s="568" t="s">
        <v>632</v>
      </c>
      <c r="F4" s="568" t="s">
        <v>632</v>
      </c>
      <c r="G4" s="568" t="s">
        <v>632</v>
      </c>
      <c r="H4" s="568" t="s">
        <v>632</v>
      </c>
      <c r="I4" s="568"/>
      <c r="J4" s="568" t="s">
        <v>634</v>
      </c>
      <c r="K4" s="568" t="s">
        <v>634</v>
      </c>
      <c r="L4" s="568" t="s">
        <v>634</v>
      </c>
      <c r="M4" s="568" t="s">
        <v>634</v>
      </c>
      <c r="N4" s="568" t="s">
        <v>634</v>
      </c>
      <c r="O4" s="568"/>
      <c r="P4" s="567" t="s">
        <v>635</v>
      </c>
      <c r="Q4" s="567" t="s">
        <v>635</v>
      </c>
      <c r="R4" s="567" t="s">
        <v>635</v>
      </c>
      <c r="S4" s="567" t="s">
        <v>635</v>
      </c>
      <c r="T4" s="567" t="s">
        <v>635</v>
      </c>
      <c r="U4" s="209"/>
      <c r="V4" s="62"/>
      <c r="Y4" s="56"/>
      <c r="Z4" s="56"/>
    </row>
    <row r="5" spans="1:40" ht="18.75" customHeight="1">
      <c r="A5" s="210"/>
      <c r="B5" s="360"/>
      <c r="C5" s="1072"/>
      <c r="D5" s="1715" t="s">
        <v>631</v>
      </c>
      <c r="E5" s="1716"/>
      <c r="F5" s="1716"/>
      <c r="G5" s="1716"/>
      <c r="H5" s="1717"/>
      <c r="I5" s="1277"/>
      <c r="J5" s="1715" t="s">
        <v>630</v>
      </c>
      <c r="K5" s="1716"/>
      <c r="L5" s="1716"/>
      <c r="M5" s="1716"/>
      <c r="N5" s="1717"/>
      <c r="O5" s="1277"/>
      <c r="P5" s="1715" t="s">
        <v>640</v>
      </c>
      <c r="Q5" s="1716"/>
      <c r="R5" s="1716"/>
      <c r="S5" s="1716"/>
      <c r="T5" s="1717"/>
      <c r="U5" s="209"/>
      <c r="V5" s="62"/>
      <c r="Y5" s="56"/>
      <c r="Z5" s="56"/>
    </row>
    <row r="6" spans="1:40" ht="18.75" customHeight="1">
      <c r="A6" s="210"/>
      <c r="B6" s="1074"/>
      <c r="C6" s="1072"/>
      <c r="D6" s="1718"/>
      <c r="E6" s="1719"/>
      <c r="F6" s="1719"/>
      <c r="G6" s="1719"/>
      <c r="H6" s="1720"/>
      <c r="I6" s="1277"/>
      <c r="J6" s="1718"/>
      <c r="K6" s="1719"/>
      <c r="L6" s="1719"/>
      <c r="M6" s="1719"/>
      <c r="N6" s="1720"/>
      <c r="O6" s="1277"/>
      <c r="P6" s="1718"/>
      <c r="Q6" s="1719"/>
      <c r="R6" s="1719"/>
      <c r="S6" s="1719"/>
      <c r="T6" s="1720"/>
      <c r="U6" s="209"/>
      <c r="V6" s="62"/>
      <c r="Y6" s="56"/>
      <c r="Z6" s="56"/>
    </row>
    <row r="7" spans="1:40" ht="13.5" customHeight="1">
      <c r="A7" s="210"/>
      <c r="B7" s="1721" t="s">
        <v>628</v>
      </c>
      <c r="C7" s="1072"/>
      <c r="D7" s="1727" t="str">
        <f>ReportData!$D$27</f>
        <v>2019/20</v>
      </c>
      <c r="E7" s="1727" t="str">
        <f>ReportData!$E$27</f>
        <v>2020/21</v>
      </c>
      <c r="F7" s="1727" t="str">
        <f>ReportData!$F$27</f>
        <v>2021/22</v>
      </c>
      <c r="G7" s="1727" t="str">
        <f>ReportData!$G$27</f>
        <v>2022/23</v>
      </c>
      <c r="H7" s="1729" t="str">
        <f>ReportData!$H$27</f>
        <v>2023/24</v>
      </c>
      <c r="I7" s="1294"/>
      <c r="J7" s="1727" t="str">
        <f>ReportData!$D$27</f>
        <v>2019/20</v>
      </c>
      <c r="K7" s="1727" t="str">
        <f>ReportData!$E$27</f>
        <v>2020/21</v>
      </c>
      <c r="L7" s="1727" t="str">
        <f>ReportData!$F$27</f>
        <v>2021/22</v>
      </c>
      <c r="M7" s="1727" t="str">
        <f>ReportData!$G$27</f>
        <v>2022/23</v>
      </c>
      <c r="N7" s="1729" t="str">
        <f>ReportData!$H$27</f>
        <v>2023/24</v>
      </c>
      <c r="O7" s="1294"/>
      <c r="P7" s="1731" t="str">
        <f>ReportData!D30</f>
        <v>2018/19</v>
      </c>
      <c r="Q7" s="1727" t="str">
        <f>ReportData!E30</f>
        <v>2019/20</v>
      </c>
      <c r="R7" s="1727" t="str">
        <f>ReportData!F30</f>
        <v>2020/21</v>
      </c>
      <c r="S7" s="1727" t="str">
        <f>ReportData!G30</f>
        <v>2021/22</v>
      </c>
      <c r="T7" s="1729" t="str">
        <f>ReportData!H30</f>
        <v>2022/23</v>
      </c>
      <c r="U7" s="209"/>
      <c r="V7" s="62"/>
      <c r="Y7" s="56"/>
      <c r="Z7" s="56"/>
    </row>
    <row r="8" spans="1:40" ht="9" customHeight="1">
      <c r="A8" s="210"/>
      <c r="B8" s="1721"/>
      <c r="C8" s="1072"/>
      <c r="D8" s="1728"/>
      <c r="E8" s="1728"/>
      <c r="F8" s="1728"/>
      <c r="G8" s="1728"/>
      <c r="H8" s="1730"/>
      <c r="I8" s="1294"/>
      <c r="J8" s="1728"/>
      <c r="K8" s="1728"/>
      <c r="L8" s="1728"/>
      <c r="M8" s="1728"/>
      <c r="N8" s="1730"/>
      <c r="O8" s="1294"/>
      <c r="P8" s="1728"/>
      <c r="Q8" s="1728"/>
      <c r="R8" s="1728"/>
      <c r="S8" s="1728"/>
      <c r="T8" s="1730"/>
      <c r="U8" s="209"/>
      <c r="V8" s="62"/>
      <c r="Y8" s="56"/>
      <c r="Z8" s="56"/>
    </row>
    <row r="9" spans="1:40" ht="13.5" customHeight="1">
      <c r="A9" s="210"/>
      <c r="B9" s="1721"/>
      <c r="C9" s="1072"/>
      <c r="D9" s="1075" t="str">
        <f>IF(ReportData!$C$3="Annual","",ReportData!$D$28)</f>
        <v/>
      </c>
      <c r="E9" s="1075" t="str">
        <f>IF(ReportData!$C$3="Annual","",ReportData!$E$28)</f>
        <v/>
      </c>
      <c r="F9" s="1075" t="str">
        <f>IF(ReportData!$C$3="Annual","",ReportData!$F$28)</f>
        <v/>
      </c>
      <c r="G9" s="1075" t="str">
        <f>IF(ReportData!$C$3="Annual","",ReportData!$G$28)</f>
        <v/>
      </c>
      <c r="H9" s="1076" t="str">
        <f>IF(ReportData!$C$3="Annual","",ReportData!$H$28)</f>
        <v/>
      </c>
      <c r="I9" s="1073"/>
      <c r="J9" s="1075" t="str">
        <f>IF(ReportData!$C$3="Annual","",ReportData!$D$28)</f>
        <v/>
      </c>
      <c r="K9" s="1075" t="str">
        <f>IF(ReportData!$C$3="Annual","",ReportData!$E$28)</f>
        <v/>
      </c>
      <c r="L9" s="1075" t="str">
        <f>IF(ReportData!$C$3="Annual","",ReportData!$F$28)</f>
        <v/>
      </c>
      <c r="M9" s="1075" t="str">
        <f>IF(ReportData!$C$3="Annual","",ReportData!$G$28)</f>
        <v/>
      </c>
      <c r="N9" s="1076" t="str">
        <f>IF(ReportData!$C$3="Annual","",ReportData!$H$28)</f>
        <v/>
      </c>
      <c r="O9" s="1073"/>
      <c r="P9" s="1075" t="str">
        <f>IF(ReportData!$C$3="Annual","",ReportData!$D$28)</f>
        <v/>
      </c>
      <c r="Q9" s="1075" t="str">
        <f>IF(ReportData!$C$3="Annual","",ReportData!$E$28)</f>
        <v/>
      </c>
      <c r="R9" s="1075" t="str">
        <f>IF(ReportData!$C$3="Annual","",ReportData!$F$28)</f>
        <v/>
      </c>
      <c r="S9" s="1075" t="str">
        <f>IF(ReportData!$C$3="Annual","",ReportData!$G$28)</f>
        <v/>
      </c>
      <c r="T9" s="1076" t="str">
        <f>IF(ReportData!$C$3="Annual","",ReportData!$H$28)</f>
        <v/>
      </c>
      <c r="U9" s="209"/>
      <c r="V9" s="62"/>
      <c r="Y9" s="56"/>
      <c r="Z9" s="56"/>
    </row>
    <row r="10" spans="1:40" ht="36">
      <c r="A10" s="546"/>
      <c r="B10" s="1295" t="s">
        <v>629</v>
      </c>
      <c r="C10" s="1077"/>
      <c r="D10" s="928" t="str">
        <f>VLOOKUP(CONCATENATE(D$4,ReportData!$C$3,Population!$A10),ReportData!$B$34:$H$358,D$32,FALSE)</f>
        <v>mid-2019</v>
      </c>
      <c r="E10" s="1078" t="str">
        <f>VLOOKUP(CONCATENATE(E$4,ReportData!$C$3,Population!$A10),ReportData!$B$34:$H$358,E$32,FALSE)</f>
        <v>mid-2020</v>
      </c>
      <c r="F10" s="1078" t="str">
        <f>VLOOKUP(CONCATENATE(F$4,ReportData!$C$3,Population!$A10),ReportData!$B$34:$H$358,F$32,FALSE)</f>
        <v>mid-2021</v>
      </c>
      <c r="G10" s="1078" t="str">
        <f>VLOOKUP(CONCATENATE(G$4,ReportData!$C$3,Population!$A10),ReportData!$B$34:$H$358,G$32,FALSE)</f>
        <v>mid-2022</v>
      </c>
      <c r="H10" s="929" t="str">
        <f>VLOOKUP(CONCATENATE(H$4,ReportData!$C$3,Population!$A10),ReportData!$B$34:$H$358,H$32,FALSE)</f>
        <v>mid-2023</v>
      </c>
      <c r="I10" s="1073"/>
      <c r="J10" s="928" t="str">
        <f>VLOOKUP(CONCATENATE(J$4,ReportData!$C$3,Population!$A10),ReportData!$B$34:$H$358,J$32,FALSE)</f>
        <v>mid-2019</v>
      </c>
      <c r="K10" s="1078" t="str">
        <f>VLOOKUP(CONCATENATE(K$4,ReportData!$C$3,Population!$A10),ReportData!$B$34:$H$358,K$32,FALSE)</f>
        <v>mid-2020</v>
      </c>
      <c r="L10" s="1078" t="str">
        <f>VLOOKUP(CONCATENATE(L$4,ReportData!$C$3,Population!$A10),ReportData!$B$34:$H$358,L$32,FALSE)</f>
        <v>mid-2021</v>
      </c>
      <c r="M10" s="1078" t="str">
        <f>VLOOKUP(CONCATENATE(M$4,ReportData!$C$3,Population!$A10),ReportData!$B$34:$H$358,M$32,FALSE)</f>
        <v>mid-2022</v>
      </c>
      <c r="N10" s="929" t="str">
        <f>VLOOKUP(CONCATENATE(N$4,ReportData!$C$3,Population!$A10),ReportData!$B$34:$H$358,N$32,FALSE)</f>
        <v>mid-2023</v>
      </c>
      <c r="O10" s="1073"/>
      <c r="P10" s="928" t="str">
        <f>VLOOKUP(CONCATENATE(P$4,ReportData!$C$3,Population!$A42),ReportData!$B$34:$I$358,P$32,FALSE)</f>
        <v>mid-2018</v>
      </c>
      <c r="Q10" s="928" t="str">
        <f>VLOOKUP(CONCATENATE(Q$4,ReportData!$C$3,Population!$A42),ReportData!$B$34:$I$358,Q$32,FALSE)</f>
        <v>mid-2019</v>
      </c>
      <c r="R10" s="928" t="str">
        <f>VLOOKUP(CONCATENATE(R$4,ReportData!$C$3,Population!$A42),ReportData!$B$34:$I$358,R$32,FALSE)</f>
        <v>mid-2020</v>
      </c>
      <c r="S10" s="928" t="str">
        <f>VLOOKUP(CONCATENATE(S$4,ReportData!$C$3,Population!$A42),ReportData!$B$34:$I$358,S$32,FALSE)</f>
        <v>mid-2021</v>
      </c>
      <c r="T10" s="929" t="str">
        <f>VLOOKUP(CONCATENATE(T$4,ReportData!$C$3,Population!$A42),ReportData!$B$34:$I$358,T$32,FALSE)</f>
        <v>mid-2022</v>
      </c>
      <c r="U10" s="209"/>
      <c r="V10" s="62"/>
    </row>
    <row r="11" spans="1:40" s="60" customFormat="1" ht="15" customHeight="1">
      <c r="A11" s="1103">
        <f>VLOOKUP(B11,ReportData!$AQ$4:$AR$25,2,FALSE)</f>
        <v>0</v>
      </c>
      <c r="B11" s="885" t="s">
        <v>0</v>
      </c>
      <c r="C11" s="1072"/>
      <c r="D11" s="1272">
        <f>VLOOKUP(CONCATENATE(D$4,ReportData!$C$3,Population!$B11),ReportData!$B$34:$H$358,D$32,FALSE)</f>
        <v>27298</v>
      </c>
      <c r="E11" s="1272">
        <f>VLOOKUP(CONCATENATE(E$4,ReportData!$C$3,Population!$B11),ReportData!$B$34:$H$358,E$32,FALSE)</f>
        <v>27594</v>
      </c>
      <c r="F11" s="1272">
        <f>VLOOKUP(CONCATENATE(F$4,ReportData!$C$3,Population!$B11),ReportData!$B$34:$H$358,F$32,FALSE)</f>
        <v>27823</v>
      </c>
      <c r="G11" s="1272">
        <f>VLOOKUP(CONCATENATE(G$4,ReportData!$C$3,Population!$B11),ReportData!$B$34:$H$358,G$32,FALSE)</f>
        <v>28330</v>
      </c>
      <c r="H11" s="1274">
        <f>VLOOKUP(CONCATENATE(H$4,ReportData!$C$3,Population!$B11),ReportData!$B$34:$H$358,H$32,FALSE)</f>
        <v>28647</v>
      </c>
      <c r="I11" s="1073"/>
      <c r="J11" s="1272">
        <f>VLOOKUP(CONCATENATE(J$4,ReportData!$C$3,Population!$B11),ReportData!$B$34:$H$358,D$32,FALSE)</f>
        <v>3266</v>
      </c>
      <c r="K11" s="1272">
        <f>VLOOKUP(CONCATENATE(K$4,ReportData!$C$3,Population!$B11),ReportData!$B$34:$H$358,E$32,FALSE)</f>
        <v>3172</v>
      </c>
      <c r="L11" s="1272">
        <f>VLOOKUP(CONCATENATE(L$4,ReportData!$C$3,Population!$B11),ReportData!$B$34:$H$358,F$32,FALSE)</f>
        <v>3125</v>
      </c>
      <c r="M11" s="1272">
        <f>VLOOKUP(CONCATENATE(M$4,ReportData!$C$3,Population!$B11),ReportData!$B$34:$H$358,G$32,FALSE)</f>
        <v>2919</v>
      </c>
      <c r="N11" s="1273">
        <f>VLOOKUP(CONCATENATE(N$4,ReportData!$C$3,Population!$B11),ReportData!$B$34:$H$358,H$32,FALSE)</f>
        <v>2822</v>
      </c>
      <c r="O11" s="1073"/>
      <c r="P11" s="1275">
        <f>VLOOKUP(CONCATENATE(P$4,ReportData!$C$3,Population!$B44),ReportData!$B$34:$I$358,P$32,FALSE)</f>
        <v>12267</v>
      </c>
      <c r="Q11" s="1275">
        <f>VLOOKUP(CONCATENATE(Q$4,ReportData!$C$3,Population!$B44),ReportData!$B$34:$I$358,Q$32,FALSE)</f>
        <v>12593</v>
      </c>
      <c r="R11" s="1275">
        <f>VLOOKUP(CONCATENATE(R$4,ReportData!$C$3,Population!$B44),ReportData!$B$34:$I$358,R$32,FALSE)</f>
        <v>12889</v>
      </c>
      <c r="S11" s="1275">
        <f>VLOOKUP(CONCATENATE(S$4,ReportData!$C$3,Population!$B44),ReportData!$B$34:$I$358,S$32,FALSE)</f>
        <v>13332</v>
      </c>
      <c r="T11" s="1274">
        <f>VLOOKUP(CONCATENATE(T$4,ReportData!$C$3,Population!$B44),ReportData!$B$34:$I$358,T$32,FALSE)</f>
        <v>13660</v>
      </c>
      <c r="U11" s="212"/>
      <c r="V11" s="63"/>
      <c r="W11" s="52"/>
      <c r="X11" s="52"/>
      <c r="Y11" s="52"/>
      <c r="Z11" s="52"/>
      <c r="AA11" s="52"/>
      <c r="AB11" s="53"/>
      <c r="AC11" s="53"/>
    </row>
    <row r="12" spans="1:40" s="60" customFormat="1" ht="15" customHeight="1">
      <c r="A12" s="1103">
        <f>VLOOKUP(B12,ReportData!$AQ$4:$AR$25,2,FALSE)</f>
        <v>0</v>
      </c>
      <c r="B12" s="885" t="s">
        <v>28</v>
      </c>
      <c r="C12" s="1072"/>
      <c r="D12" s="1272">
        <f>VLOOKUP(CONCATENATE(D$4,ReportData!$C$3,Population!$B12),ReportData!$B$34:$H$358,D$32,FALSE)</f>
        <v>48402</v>
      </c>
      <c r="E12" s="1272">
        <f>VLOOKUP(CONCATENATE(E$4,ReportData!$C$3,Population!$B12),ReportData!$B$34:$H$358,E$32,FALSE)</f>
        <v>47964</v>
      </c>
      <c r="F12" s="1272">
        <f>VLOOKUP(CONCATENATE(F$4,ReportData!$C$3,Population!$B12),ReportData!$B$34:$H$358,F$32,FALSE)</f>
        <v>47125</v>
      </c>
      <c r="G12" s="1272">
        <f>VLOOKUP(CONCATENATE(G$4,ReportData!$C$3,Population!$B12),ReportData!$B$34:$H$358,G$32,FALSE)</f>
        <v>47140</v>
      </c>
      <c r="H12" s="1273">
        <f>VLOOKUP(CONCATENATE(H$4,ReportData!$C$3,Population!$B12),ReportData!$B$34:$H$358,H$32,FALSE)</f>
        <v>46666</v>
      </c>
      <c r="I12" s="1073"/>
      <c r="J12" s="1272">
        <f>VLOOKUP(CONCATENATE(J$4,ReportData!$C$3,Population!$B12),ReportData!$B$34:$H$358,D$32,FALSE)</f>
        <v>19659</v>
      </c>
      <c r="K12" s="1272">
        <f>VLOOKUP(CONCATENATE(K$4,ReportData!$C$3,Population!$B12),ReportData!$B$34:$H$358,E$32,FALSE)</f>
        <v>19249</v>
      </c>
      <c r="L12" s="1272">
        <f>VLOOKUP(CONCATENATE(L$4,ReportData!$C$3,Population!$B12),ReportData!$B$34:$H$358,F$32,FALSE)</f>
        <v>17837</v>
      </c>
      <c r="M12" s="1272">
        <f>VLOOKUP(CONCATENATE(M$4,ReportData!$C$3,Population!$B12),ReportData!$B$34:$H$358,G$32,FALSE)</f>
        <v>19086</v>
      </c>
      <c r="N12" s="1273">
        <f>VLOOKUP(CONCATENATE(N$4,ReportData!$C$3,Population!$B12),ReportData!$B$34:$H$358,H$32,FALSE)</f>
        <v>20227</v>
      </c>
      <c r="O12" s="1073"/>
      <c r="P12" s="1272">
        <f>VLOOKUP(CONCATENATE(P$4,ReportData!$C$3,Population!$B45),ReportData!$B$34:$I$358,P$32,FALSE)</f>
        <v>22135</v>
      </c>
      <c r="Q12" s="1272">
        <f>VLOOKUP(CONCATENATE(Q$4,ReportData!$C$3,Population!$B45),ReportData!$B$34:$I$358,Q$32,FALSE)</f>
        <v>22436</v>
      </c>
      <c r="R12" s="1272">
        <f>VLOOKUP(CONCATENATE(R$4,ReportData!$C$3,Population!$B45),ReportData!$B$34:$I$358,R$32,FALSE)</f>
        <v>22459</v>
      </c>
      <c r="S12" s="1272">
        <f>VLOOKUP(CONCATENATE(S$4,ReportData!$C$3,Population!$B45),ReportData!$B$34:$I$358,S$32,FALSE)</f>
        <v>22857</v>
      </c>
      <c r="T12" s="1273">
        <f>VLOOKUP(CONCATENATE(T$4,ReportData!$C$3,Population!$B45),ReportData!$B$34:$I$358,T$32,FALSE)</f>
        <v>22904</v>
      </c>
      <c r="U12" s="212"/>
      <c r="V12" s="63"/>
      <c r="W12" s="52"/>
      <c r="X12" s="52"/>
      <c r="Y12" s="52"/>
      <c r="Z12" s="52"/>
      <c r="AA12" s="52"/>
      <c r="AB12" s="53"/>
      <c r="AC12" s="53"/>
    </row>
    <row r="13" spans="1:40" s="60" customFormat="1" ht="15" customHeight="1">
      <c r="A13" s="1103">
        <f>VLOOKUP(B13,ReportData!$AQ$4:$AR$25,2,FALSE)</f>
        <v>0</v>
      </c>
      <c r="B13" s="885" t="s">
        <v>8</v>
      </c>
      <c r="C13" s="1072"/>
      <c r="D13" s="1272">
        <f>VLOOKUP(CONCATENATE(D$4,ReportData!$C$3,Population!$B13),ReportData!$B$34:$H$358,D$32,FALSE)</f>
        <v>122137</v>
      </c>
      <c r="E13" s="1272">
        <f>VLOOKUP(CONCATENATE(E$4,ReportData!$C$3,Population!$B13),ReportData!$B$34:$H$358,E$32,FALSE)</f>
        <v>122495</v>
      </c>
      <c r="F13" s="1272">
        <f>VLOOKUP(CONCATENATE(F$4,ReportData!$C$3,Population!$B13),ReportData!$B$34:$H$358,F$32,FALSE)</f>
        <v>123510</v>
      </c>
      <c r="G13" s="1272">
        <f>VLOOKUP(CONCATENATE(G$4,ReportData!$C$3,Population!$B13),ReportData!$B$34:$H$358,G$32,FALSE)</f>
        <v>125915</v>
      </c>
      <c r="H13" s="1273">
        <f>VLOOKUP(CONCATENATE(H$4,ReportData!$C$3,Population!$B13),ReportData!$B$34:$H$358,H$32,FALSE)</f>
        <v>127616</v>
      </c>
      <c r="I13" s="1073"/>
      <c r="J13" s="1272">
        <f>VLOOKUP(CONCATENATE(J$4,ReportData!$C$3,Population!$B13),ReportData!$B$34:$H$358,D$32,FALSE)</f>
        <v>13521</v>
      </c>
      <c r="K13" s="1272">
        <f>VLOOKUP(CONCATENATE(K$4,ReportData!$C$3,Population!$B13),ReportData!$B$34:$H$358,E$32,FALSE)</f>
        <v>13558</v>
      </c>
      <c r="L13" s="1272">
        <f>VLOOKUP(CONCATENATE(L$4,ReportData!$C$3,Population!$B13),ReportData!$B$34:$H$358,F$32,FALSE)</f>
        <v>13618</v>
      </c>
      <c r="M13" s="1272">
        <f>VLOOKUP(CONCATENATE(M$4,ReportData!$C$3,Population!$B13),ReportData!$B$34:$H$358,G$32,FALSE)</f>
        <v>12909</v>
      </c>
      <c r="N13" s="1273">
        <f>VLOOKUP(CONCATENATE(N$4,ReportData!$C$3,Population!$B13),ReportData!$B$34:$H$358,H$32,FALSE)</f>
        <v>12369</v>
      </c>
      <c r="O13" s="1073"/>
      <c r="P13" s="1272">
        <f>VLOOKUP(CONCATENATE(P$4,ReportData!$C$3,Population!$B46),ReportData!$B$34:$I$358,P$32,FALSE)</f>
        <v>55533</v>
      </c>
      <c r="Q13" s="1272">
        <f>VLOOKUP(CONCATENATE(Q$4,ReportData!$C$3,Population!$B46),ReportData!$B$34:$I$358,Q$32,FALSE)</f>
        <v>56535</v>
      </c>
      <c r="R13" s="1272">
        <f>VLOOKUP(CONCATENATE(R$4,ReportData!$C$3,Population!$B46),ReportData!$B$34:$I$358,R$32,FALSE)</f>
        <v>57680</v>
      </c>
      <c r="S13" s="1272">
        <f>VLOOKUP(CONCATENATE(S$4,ReportData!$C$3,Population!$B46),ReportData!$B$34:$I$358,S$32,FALSE)</f>
        <v>59501</v>
      </c>
      <c r="T13" s="1273">
        <f>VLOOKUP(CONCATENATE(T$4,ReportData!$C$3,Population!$B46),ReportData!$B$34:$I$358,T$32,FALSE)</f>
        <v>60683</v>
      </c>
      <c r="U13" s="212"/>
      <c r="V13" s="63"/>
      <c r="W13" s="52"/>
      <c r="X13" s="52"/>
      <c r="Y13" s="52"/>
      <c r="Z13" s="52"/>
      <c r="AA13" s="52"/>
      <c r="AB13" s="53"/>
      <c r="AC13" s="53"/>
    </row>
    <row r="14" spans="1:40" s="60" customFormat="1" ht="15" customHeight="1">
      <c r="A14" s="1103">
        <f>VLOOKUP(B14,ReportData!$AQ$4:$AR$25,2,FALSE)</f>
        <v>0</v>
      </c>
      <c r="B14" s="885" t="s">
        <v>4</v>
      </c>
      <c r="C14" s="1072"/>
      <c r="D14" s="1272">
        <f>VLOOKUP(CONCATENATE(D$4,ReportData!$C$3,Population!$B14),ReportData!$B$34:$H$358,D$32,FALSE)</f>
        <v>102921</v>
      </c>
      <c r="E14" s="1272">
        <f>VLOOKUP(CONCATENATE(E$4,ReportData!$C$3,Population!$B14),ReportData!$B$34:$H$358,E$32,FALSE)</f>
        <v>102419</v>
      </c>
      <c r="F14" s="1272">
        <f>VLOOKUP(CONCATENATE(F$4,ReportData!$C$3,Population!$B14),ReportData!$B$34:$H$358,F$32,FALSE)</f>
        <v>101959</v>
      </c>
      <c r="G14" s="1272">
        <f>VLOOKUP(CONCATENATE(G$4,ReportData!$C$3,Population!$B14),ReportData!$B$34:$H$358,G$32,FALSE)</f>
        <v>102825</v>
      </c>
      <c r="H14" s="1273">
        <f>VLOOKUP(CONCATENATE(H$4,ReportData!$C$3,Population!$B14),ReportData!$B$34:$H$358,H$32,FALSE)</f>
        <v>103606</v>
      </c>
      <c r="I14" s="1073"/>
      <c r="J14" s="1272">
        <f>VLOOKUP(CONCATENATE(J$4,ReportData!$C$3,Population!$B14),ReportData!$B$34:$H$358,D$32,FALSE)</f>
        <v>14333</v>
      </c>
      <c r="K14" s="1272">
        <f>VLOOKUP(CONCATENATE(K$4,ReportData!$C$3,Population!$B14),ReportData!$B$34:$H$358,E$32,FALSE)</f>
        <v>13879</v>
      </c>
      <c r="L14" s="1272">
        <f>VLOOKUP(CONCATENATE(L$4,ReportData!$C$3,Population!$B14),ReportData!$B$34:$H$358,F$32,FALSE)</f>
        <v>13298</v>
      </c>
      <c r="M14" s="1272">
        <f>VLOOKUP(CONCATENATE(M$4,ReportData!$C$3,Population!$B14),ReportData!$B$34:$H$358,G$32,FALSE)</f>
        <v>12907</v>
      </c>
      <c r="N14" s="1273">
        <f>VLOOKUP(CONCATENATE(N$4,ReportData!$C$3,Population!$B14),ReportData!$B$34:$H$358,H$32,FALSE)</f>
        <v>13002</v>
      </c>
      <c r="O14" s="1073"/>
      <c r="P14" s="1272">
        <f>VLOOKUP(CONCATENATE(P$4,ReportData!$C$3,Population!$B47),ReportData!$B$34:$I$358,P$32,FALSE)</f>
        <v>47705</v>
      </c>
      <c r="Q14" s="1272">
        <f>VLOOKUP(CONCATENATE(Q$4,ReportData!$C$3,Population!$B47),ReportData!$B$34:$I$358,Q$32,FALSE)</f>
        <v>48170</v>
      </c>
      <c r="R14" s="1272">
        <f>VLOOKUP(CONCATENATE(R$4,ReportData!$C$3,Population!$B47),ReportData!$B$34:$I$358,R$32,FALSE)</f>
        <v>48535</v>
      </c>
      <c r="S14" s="1272">
        <f>VLOOKUP(CONCATENATE(S$4,ReportData!$C$3,Population!$B47),ReportData!$B$34:$I$358,S$32,FALSE)</f>
        <v>49620</v>
      </c>
      <c r="T14" s="1273">
        <f>VLOOKUP(CONCATENATE(T$4,ReportData!$C$3,Population!$B47),ReportData!$B$34:$I$358,T$32,FALSE)</f>
        <v>50656</v>
      </c>
      <c r="U14" s="212"/>
      <c r="V14" s="63"/>
      <c r="W14" s="52"/>
      <c r="X14" s="52"/>
      <c r="Y14" s="52"/>
      <c r="Z14" s="52"/>
      <c r="AA14" s="52"/>
      <c r="AB14" s="53"/>
      <c r="AC14" s="53"/>
    </row>
    <row r="15" spans="1:40" s="60" customFormat="1" ht="15" customHeight="1">
      <c r="A15" s="1103">
        <f>VLOOKUP(B15,ReportData!$AQ$4:$AR$25,2,FALSE)</f>
        <v>0</v>
      </c>
      <c r="B15" s="885" t="s">
        <v>6</v>
      </c>
      <c r="C15" s="1072"/>
      <c r="D15" s="1272">
        <f>VLOOKUP(CONCATENATE(D$4,ReportData!$C$3,Population!$B15),ReportData!$B$34:$H$358,D$32,FALSE)</f>
        <v>279340</v>
      </c>
      <c r="E15" s="1272">
        <f>VLOOKUP(CONCATENATE(E$4,ReportData!$C$3,Population!$B15),ReportData!$B$34:$H$358,E$32,FALSE)</f>
        <v>279476</v>
      </c>
      <c r="F15" s="1272">
        <f>VLOOKUP(CONCATENATE(F$4,ReportData!$C$3,Population!$B15),ReportData!$B$34:$H$358,F$32,FALSE)</f>
        <v>280929</v>
      </c>
      <c r="G15" s="1272">
        <f>VLOOKUP(CONCATENATE(G$4,ReportData!$C$3,Population!$B15),ReportData!$B$34:$H$358,G$32,FALSE)</f>
        <v>283487</v>
      </c>
      <c r="H15" s="1273">
        <f>VLOOKUP(CONCATENATE(H$4,ReportData!$C$3,Population!$B15),ReportData!$B$34:$H$358,H$32,FALSE)</f>
        <v>285610</v>
      </c>
      <c r="I15" s="1073"/>
      <c r="J15" s="1272">
        <f>VLOOKUP(CONCATENATE(J$4,ReportData!$C$3,Population!$B15),ReportData!$B$34:$H$358,D$32,FALSE)</f>
        <v>38415</v>
      </c>
      <c r="K15" s="1272">
        <f>VLOOKUP(CONCATENATE(K$4,ReportData!$C$3,Population!$B15),ReportData!$B$34:$H$358,E$32,FALSE)</f>
        <v>38187</v>
      </c>
      <c r="L15" s="1272">
        <f>VLOOKUP(CONCATENATE(L$4,ReportData!$C$3,Population!$B15),ReportData!$B$34:$H$358,F$32,FALSE)</f>
        <v>37940</v>
      </c>
      <c r="M15" s="1272">
        <f>VLOOKUP(CONCATENATE(M$4,ReportData!$C$3,Population!$B15),ReportData!$B$34:$H$358,G$32,FALSE)</f>
        <v>36474</v>
      </c>
      <c r="N15" s="1273">
        <f>VLOOKUP(CONCATENATE(N$4,ReportData!$C$3,Population!$B15),ReportData!$B$34:$H$358,H$32,FALSE)</f>
        <v>36199</v>
      </c>
      <c r="O15" s="1073"/>
      <c r="P15" s="1272">
        <f>VLOOKUP(CONCATENATE(P$4,ReportData!$C$3,Population!$B48),ReportData!$B$34:$I$358,P$32,FALSE)</f>
        <v>125387</v>
      </c>
      <c r="Q15" s="1272">
        <f>VLOOKUP(CONCATENATE(Q$4,ReportData!$C$3,Population!$B48),ReportData!$B$34:$I$358,Q$32,FALSE)</f>
        <v>127018</v>
      </c>
      <c r="R15" s="1272">
        <f>VLOOKUP(CONCATENATE(R$4,ReportData!$C$3,Population!$B48),ReportData!$B$34:$I$358,R$32,FALSE)</f>
        <v>129246</v>
      </c>
      <c r="S15" s="1272">
        <f>VLOOKUP(CONCATENATE(S$4,ReportData!$C$3,Population!$B48),ReportData!$B$34:$I$358,S$32,FALSE)</f>
        <v>132216</v>
      </c>
      <c r="T15" s="1273">
        <f>VLOOKUP(CONCATENATE(T$4,ReportData!$C$3,Population!$B48),ReportData!$B$34:$I$358,T$32,FALSE)</f>
        <v>134694</v>
      </c>
      <c r="U15" s="212"/>
      <c r="V15" s="63"/>
      <c r="W15" s="52"/>
      <c r="X15" s="52"/>
      <c r="Y15" s="52"/>
      <c r="Z15" s="52"/>
      <c r="AA15" s="52"/>
      <c r="AB15" s="53"/>
      <c r="AC15" s="53"/>
    </row>
    <row r="16" spans="1:40" s="60" customFormat="1" ht="15" customHeight="1">
      <c r="A16" s="1103">
        <f>VLOOKUP(B16,ReportData!$AQ$4:$AR$25,2,FALSE)</f>
        <v>0</v>
      </c>
      <c r="B16" s="885" t="s">
        <v>1</v>
      </c>
      <c r="C16" s="1072"/>
      <c r="D16" s="1272">
        <f>VLOOKUP(CONCATENATE(D$4,ReportData!$C$3,Population!$B16),ReportData!$B$34:$H$358,D$32,FALSE)</f>
        <v>24301</v>
      </c>
      <c r="E16" s="1272">
        <f>VLOOKUP(CONCATENATE(E$4,ReportData!$C$3,Population!$B16),ReportData!$B$34:$H$358,E$32,FALSE)</f>
        <v>23892</v>
      </c>
      <c r="F16" s="1272">
        <f>VLOOKUP(CONCATENATE(F$4,ReportData!$C$3,Population!$B16),ReportData!$B$34:$H$358,F$32,FALSE)</f>
        <v>23636</v>
      </c>
      <c r="G16" s="1272">
        <f>VLOOKUP(CONCATENATE(G$4,ReportData!$C$3,Population!$B16),ReportData!$B$34:$H$358,G$32,FALSE)</f>
        <v>23534</v>
      </c>
      <c r="H16" s="1273">
        <f>VLOOKUP(CONCATENATE(H$4,ReportData!$C$3,Population!$B16),ReportData!$B$34:$H$358,H$32,FALSE)</f>
        <v>23438</v>
      </c>
      <c r="I16" s="1073"/>
      <c r="J16" s="1272">
        <f>VLOOKUP(CONCATENATE(J$4,ReportData!$C$3,Population!$B16),ReportData!$B$34:$H$358,D$32,FALSE)</f>
        <v>3575</v>
      </c>
      <c r="K16" s="1272">
        <f>VLOOKUP(CONCATENATE(K$4,ReportData!$C$3,Population!$B16),ReportData!$B$34:$H$358,E$32,FALSE)</f>
        <v>3423</v>
      </c>
      <c r="L16" s="1272">
        <f>VLOOKUP(CONCATENATE(L$4,ReportData!$C$3,Population!$B16),ReportData!$B$34:$H$358,F$32,FALSE)</f>
        <v>3165</v>
      </c>
      <c r="M16" s="1272">
        <f>VLOOKUP(CONCATENATE(M$4,ReportData!$C$3,Population!$B16),ReportData!$B$34:$H$358,G$32,FALSE)</f>
        <v>2902</v>
      </c>
      <c r="N16" s="1273">
        <f>VLOOKUP(CONCATENATE(N$4,ReportData!$C$3,Population!$B16),ReportData!$B$34:$H$358,H$32,FALSE)</f>
        <v>2878</v>
      </c>
      <c r="O16" s="1073"/>
      <c r="P16" s="1272">
        <f>VLOOKUP(CONCATENATE(P$4,ReportData!$C$3,Population!$B49),ReportData!$B$34:$I$358,P$32,FALSE)</f>
        <v>11222</v>
      </c>
      <c r="Q16" s="1272">
        <f>VLOOKUP(CONCATENATE(Q$4,ReportData!$C$3,Population!$B49),ReportData!$B$34:$I$358,Q$32,FALSE)</f>
        <v>11260</v>
      </c>
      <c r="R16" s="1272">
        <f>VLOOKUP(CONCATENATE(R$4,ReportData!$C$3,Population!$B49),ReportData!$B$34:$I$358,R$32,FALSE)</f>
        <v>11271</v>
      </c>
      <c r="S16" s="1272">
        <f>VLOOKUP(CONCATENATE(S$4,ReportData!$C$3,Population!$B49),ReportData!$B$34:$I$358,S$32,FALSE)</f>
        <v>11402</v>
      </c>
      <c r="T16" s="1273">
        <f>VLOOKUP(CONCATENATE(T$4,ReportData!$C$3,Population!$B49),ReportData!$B$34:$I$358,T$32,FALSE)</f>
        <v>11448</v>
      </c>
      <c r="U16" s="212"/>
      <c r="V16" s="63"/>
      <c r="W16" s="52"/>
      <c r="X16" s="52"/>
      <c r="Y16" s="52"/>
      <c r="Z16" s="52"/>
      <c r="AA16" s="52"/>
      <c r="AB16" s="53"/>
      <c r="AC16" s="53"/>
    </row>
    <row r="17" spans="1:29" s="60" customFormat="1" ht="15" customHeight="1">
      <c r="A17" s="1103">
        <f>VLOOKUP(B17,ReportData!$AQ$4:$AR$25,2,FALSE)</f>
        <v>0</v>
      </c>
      <c r="B17" s="885" t="s">
        <v>9</v>
      </c>
      <c r="C17" s="1072"/>
      <c r="D17" s="1272">
        <f>VLOOKUP(CONCATENATE(D$4,ReportData!$C$3,Population!$B17),ReportData!$B$34:$H$358,D$32,FALSE)</f>
        <v>333343</v>
      </c>
      <c r="E17" s="1272">
        <f>VLOOKUP(CONCATENATE(E$4,ReportData!$C$3,Population!$B17),ReportData!$B$34:$H$358,E$32,FALSE)</f>
        <v>334424</v>
      </c>
      <c r="F17" s="1272">
        <f>VLOOKUP(CONCATENATE(F$4,ReportData!$C$3,Population!$B17),ReportData!$B$34:$H$358,F$32,FALSE)</f>
        <v>336091</v>
      </c>
      <c r="G17" s="1272">
        <f>VLOOKUP(CONCATENATE(G$4,ReportData!$C$3,Population!$B17),ReportData!$B$34:$H$358,G$32,FALSE)</f>
        <v>342858</v>
      </c>
      <c r="H17" s="1273">
        <f>VLOOKUP(CONCATENATE(H$4,ReportData!$C$3,Population!$B17),ReportData!$B$34:$H$358,H$32,FALSE)</f>
        <v>348332</v>
      </c>
      <c r="I17" s="1073"/>
      <c r="J17" s="1272">
        <f>VLOOKUP(CONCATENATE(J$4,ReportData!$C$3,Population!$B17),ReportData!$B$34:$H$358,D$32,FALSE)</f>
        <v>50144</v>
      </c>
      <c r="K17" s="1272">
        <f>VLOOKUP(CONCATENATE(K$4,ReportData!$C$3,Population!$B17),ReportData!$B$34:$H$358,E$32,FALSE)</f>
        <v>48664</v>
      </c>
      <c r="L17" s="1272">
        <f>VLOOKUP(CONCATENATE(L$4,ReportData!$C$3,Population!$B17),ReportData!$B$34:$H$358,F$32,FALSE)</f>
        <v>47275</v>
      </c>
      <c r="M17" s="1272">
        <f>VLOOKUP(CONCATENATE(M$4,ReportData!$C$3,Population!$B17),ReportData!$B$34:$H$358,G$32,FALSE)</f>
        <v>45194</v>
      </c>
      <c r="N17" s="1273">
        <f>VLOOKUP(CONCATENATE(N$4,ReportData!$C$3,Population!$B17),ReportData!$B$34:$H$358,H$32,FALSE)</f>
        <v>44828</v>
      </c>
      <c r="O17" s="1073"/>
      <c r="P17" s="1272">
        <f>VLOOKUP(CONCATENATE(P$4,ReportData!$C$3,Population!$B50),ReportData!$B$34:$I$358,P$32,FALSE)</f>
        <v>149021</v>
      </c>
      <c r="Q17" s="1272">
        <f>VLOOKUP(CONCATENATE(Q$4,ReportData!$C$3,Population!$B50),ReportData!$B$34:$I$358,Q$32,FALSE)</f>
        <v>151514</v>
      </c>
      <c r="R17" s="1272">
        <f>VLOOKUP(CONCATENATE(R$4,ReportData!$C$3,Population!$B50),ReportData!$B$34:$I$358,R$32,FALSE)</f>
        <v>154222</v>
      </c>
      <c r="S17" s="1272">
        <f>VLOOKUP(CONCATENATE(S$4,ReportData!$C$3,Population!$B50),ReportData!$B$34:$I$358,S$32,FALSE)</f>
        <v>159203</v>
      </c>
      <c r="T17" s="1273">
        <f>VLOOKUP(CONCATENATE(T$4,ReportData!$C$3,Population!$B50),ReportData!$B$34:$I$358,T$32,FALSE)</f>
        <v>163446</v>
      </c>
      <c r="U17" s="212"/>
      <c r="V17" s="63"/>
      <c r="W17" s="52"/>
      <c r="X17" s="52"/>
      <c r="Y17" s="52"/>
      <c r="Z17" s="52"/>
      <c r="AA17" s="52"/>
      <c r="AB17" s="53"/>
      <c r="AC17" s="53"/>
    </row>
    <row r="18" spans="1:29" s="60" customFormat="1" ht="15" customHeight="1">
      <c r="A18" s="1103">
        <f>VLOOKUP(B18,ReportData!$AQ$4:$AR$25,2,FALSE)</f>
        <v>0</v>
      </c>
      <c r="B18" s="885" t="s">
        <v>2</v>
      </c>
      <c r="C18" s="1072"/>
      <c r="D18" s="1272">
        <f>VLOOKUP(CONCATENATE(D$4,ReportData!$C$3,Population!$B18),ReportData!$B$34:$H$358,D$32,FALSE)</f>
        <v>63672</v>
      </c>
      <c r="E18" s="1272">
        <f>VLOOKUP(CONCATENATE(E$4,ReportData!$C$3,Population!$B18),ReportData!$B$34:$H$358,E$32,FALSE)</f>
        <v>63695</v>
      </c>
      <c r="F18" s="1272">
        <f>VLOOKUP(CONCATENATE(F$4,ReportData!$C$3,Population!$B18),ReportData!$B$34:$H$358,F$32,FALSE)</f>
        <v>63817</v>
      </c>
      <c r="G18" s="1272">
        <f>VLOOKUP(CONCATENATE(G$4,ReportData!$C$3,Population!$B18),ReportData!$B$34:$H$358,G$32,FALSE)</f>
        <v>64955</v>
      </c>
      <c r="H18" s="1273">
        <f>VLOOKUP(CONCATENATE(H$4,ReportData!$C$3,Population!$B18),ReportData!$B$34:$H$358,H$32,FALSE)</f>
        <v>66687</v>
      </c>
      <c r="I18" s="1073"/>
      <c r="J18" s="1272">
        <f>VLOOKUP(CONCATENATE(J$4,ReportData!$C$3,Population!$B18),ReportData!$B$34:$H$358,D$32,FALSE)</f>
        <v>9573</v>
      </c>
      <c r="K18" s="1272">
        <f>VLOOKUP(CONCATENATE(K$4,ReportData!$C$3,Population!$B18),ReportData!$B$34:$H$358,E$32,FALSE)</f>
        <v>9213</v>
      </c>
      <c r="L18" s="1272">
        <f>VLOOKUP(CONCATENATE(L$4,ReportData!$C$3,Population!$B18),ReportData!$B$34:$H$358,F$32,FALSE)</f>
        <v>8878</v>
      </c>
      <c r="M18" s="1272">
        <f>VLOOKUP(CONCATENATE(M$4,ReportData!$C$3,Population!$B18),ReportData!$B$34:$H$358,G$32,FALSE)</f>
        <v>8593</v>
      </c>
      <c r="N18" s="1273">
        <f>VLOOKUP(CONCATENATE(N$4,ReportData!$C$3,Population!$B18),ReportData!$B$34:$H$358,H$32,FALSE)</f>
        <v>8710</v>
      </c>
      <c r="O18" s="1073"/>
      <c r="P18" s="1272">
        <f>VLOOKUP(CONCATENATE(P$4,ReportData!$C$3,Population!$B51),ReportData!$B$34:$I$358,P$32,FALSE)</f>
        <v>27433</v>
      </c>
      <c r="Q18" s="1272">
        <f>VLOOKUP(CONCATENATE(Q$4,ReportData!$C$3,Population!$B51),ReportData!$B$34:$I$358,Q$32,FALSE)</f>
        <v>27772</v>
      </c>
      <c r="R18" s="1272">
        <f>VLOOKUP(CONCATENATE(R$4,ReportData!$C$3,Population!$B51),ReportData!$B$34:$I$358,R$32,FALSE)</f>
        <v>28254</v>
      </c>
      <c r="S18" s="1272">
        <f>VLOOKUP(CONCATENATE(S$4,ReportData!$C$3,Population!$B51),ReportData!$B$34:$I$358,S$32,FALSE)</f>
        <v>29194</v>
      </c>
      <c r="T18" s="1273">
        <f>VLOOKUP(CONCATENATE(T$4,ReportData!$C$3,Population!$B51),ReportData!$B$34:$I$358,T$32,FALSE)</f>
        <v>30149</v>
      </c>
      <c r="U18" s="212"/>
      <c r="V18" s="63"/>
      <c r="W18" s="52"/>
      <c r="X18" s="52"/>
      <c r="Y18" s="52"/>
      <c r="Z18" s="52"/>
      <c r="AA18" s="52"/>
      <c r="AB18" s="53"/>
      <c r="AC18" s="53"/>
    </row>
    <row r="19" spans="1:29" s="60" customFormat="1" ht="15" customHeight="1">
      <c r="A19" s="1103">
        <f>VLOOKUP(B19,ReportData!$AQ$4:$AR$25,2,FALSE)</f>
        <v>0</v>
      </c>
      <c r="B19" s="885" t="s">
        <v>10</v>
      </c>
      <c r="C19" s="1072"/>
      <c r="D19" s="1272">
        <f>VLOOKUP(CONCATENATE(D$4,ReportData!$C$3,Population!$B19),ReportData!$B$34:$H$358,D$32,FALSE)</f>
        <v>69037</v>
      </c>
      <c r="E19" s="1272">
        <f>VLOOKUP(CONCATENATE(E$4,ReportData!$C$3,Population!$B19),ReportData!$B$34:$H$358,E$32,FALSE)</f>
        <v>69305</v>
      </c>
      <c r="F19" s="1272">
        <f>VLOOKUP(CONCATENATE(F$4,ReportData!$C$3,Population!$B19),ReportData!$B$34:$H$358,F$32,FALSE)</f>
        <v>69635</v>
      </c>
      <c r="G19" s="1272">
        <f>VLOOKUP(CONCATENATE(G$4,ReportData!$C$3,Population!$B19),ReportData!$B$34:$H$358,G$32,FALSE)</f>
        <v>70951</v>
      </c>
      <c r="H19" s="1273">
        <f>VLOOKUP(CONCATENATE(H$4,ReportData!$C$3,Population!$B19),ReportData!$B$34:$H$358,H$32,FALSE)</f>
        <v>72797</v>
      </c>
      <c r="I19" s="1073"/>
      <c r="J19" s="1272">
        <f>VLOOKUP(CONCATENATE(J$4,ReportData!$C$3,Population!$B19),ReportData!$B$34:$H$358,D$32,FALSE)</f>
        <v>7538</v>
      </c>
      <c r="K19" s="1272">
        <f>VLOOKUP(CONCATENATE(K$4,ReportData!$C$3,Population!$B19),ReportData!$B$34:$H$358,E$32,FALSE)</f>
        <v>7437</v>
      </c>
      <c r="L19" s="1272">
        <f>VLOOKUP(CONCATENATE(L$4,ReportData!$C$3,Population!$B19),ReportData!$B$34:$H$358,F$32,FALSE)</f>
        <v>7652</v>
      </c>
      <c r="M19" s="1272">
        <f>VLOOKUP(CONCATENATE(M$4,ReportData!$C$3,Population!$B19),ReportData!$B$34:$H$358,G$32,FALSE)</f>
        <v>7109</v>
      </c>
      <c r="N19" s="1273">
        <f>VLOOKUP(CONCATENATE(N$4,ReportData!$C$3,Population!$B19),ReportData!$B$34:$H$358,H$32,FALSE)</f>
        <v>7151</v>
      </c>
      <c r="O19" s="1073"/>
      <c r="P19" s="1272">
        <f>VLOOKUP(CONCATENATE(P$4,ReportData!$C$3,Population!$B52),ReportData!$B$34:$I$358,P$32,FALSE)</f>
        <v>29841</v>
      </c>
      <c r="Q19" s="1272">
        <f>VLOOKUP(CONCATENATE(Q$4,ReportData!$C$3,Population!$B52),ReportData!$B$34:$I$358,Q$32,FALSE)</f>
        <v>30870</v>
      </c>
      <c r="R19" s="1272">
        <f>VLOOKUP(CONCATENATE(R$4,ReportData!$C$3,Population!$B52),ReportData!$B$34:$I$358,R$32,FALSE)</f>
        <v>31774</v>
      </c>
      <c r="S19" s="1272">
        <f>VLOOKUP(CONCATENATE(S$4,ReportData!$C$3,Population!$B52),ReportData!$B$34:$I$358,S$32,FALSE)</f>
        <v>32859</v>
      </c>
      <c r="T19" s="1273">
        <f>VLOOKUP(CONCATENATE(T$4,ReportData!$C$3,Population!$B52),ReportData!$B$34:$I$358,T$32,FALSE)</f>
        <v>34115</v>
      </c>
      <c r="U19" s="212"/>
      <c r="V19" s="63"/>
      <c r="W19" s="52"/>
      <c r="X19" s="52"/>
      <c r="Y19" s="52"/>
      <c r="Z19" s="52"/>
      <c r="AA19" s="52"/>
      <c r="AB19" s="53"/>
      <c r="AC19" s="53"/>
    </row>
    <row r="20" spans="1:29" s="60" customFormat="1" ht="15" customHeight="1">
      <c r="A20" s="1103">
        <f>VLOOKUP(B20,ReportData!$AQ$4:$AR$25,2,FALSE)</f>
        <v>0</v>
      </c>
      <c r="B20" s="885" t="s">
        <v>11</v>
      </c>
      <c r="C20" s="1072"/>
      <c r="D20" s="1272">
        <f>VLOOKUP(CONCATENATE(D$4,ReportData!$C$3,Population!$B20),ReportData!$B$34:$H$358,D$32,FALSE)</f>
        <v>144429</v>
      </c>
      <c r="E20" s="1272">
        <f>VLOOKUP(CONCATENATE(E$4,ReportData!$C$3,Population!$B20),ReportData!$B$34:$H$358,E$32,FALSE)</f>
        <v>145219</v>
      </c>
      <c r="F20" s="1272">
        <f>VLOOKUP(CONCATENATE(F$4,ReportData!$C$3,Population!$B20),ReportData!$B$34:$H$358,F$32,FALSE)</f>
        <v>146343</v>
      </c>
      <c r="G20" s="1272">
        <f>VLOOKUP(CONCATENATE(G$4,ReportData!$C$3,Population!$B20),ReportData!$B$34:$H$358,G$32,FALSE)</f>
        <v>149538</v>
      </c>
      <c r="H20" s="1273">
        <f>VLOOKUP(CONCATENATE(H$4,ReportData!$C$3,Population!$B20),ReportData!$B$34:$H$358,H$32,FALSE)</f>
        <v>152505</v>
      </c>
      <c r="I20" s="1073"/>
      <c r="J20" s="1272">
        <f>VLOOKUP(CONCATENATE(J$4,ReportData!$C$3,Population!$B20),ReportData!$B$34:$H$358,D$32,FALSE)</f>
        <v>29477</v>
      </c>
      <c r="K20" s="1272">
        <f>VLOOKUP(CONCATENATE(K$4,ReportData!$C$3,Population!$B20),ReportData!$B$34:$H$358,E$32,FALSE)</f>
        <v>28924</v>
      </c>
      <c r="L20" s="1272">
        <f>VLOOKUP(CONCATENATE(L$4,ReportData!$C$3,Population!$B20),ReportData!$B$34:$H$358,F$32,FALSE)</f>
        <v>30410</v>
      </c>
      <c r="M20" s="1272">
        <f>VLOOKUP(CONCATENATE(M$4,ReportData!$C$3,Population!$B20),ReportData!$B$34:$H$358,G$32,FALSE)</f>
        <v>31306</v>
      </c>
      <c r="N20" s="1273">
        <f>VLOOKUP(CONCATENATE(N$4,ReportData!$C$3,Population!$B20),ReportData!$B$34:$H$358,H$32,FALSE)</f>
        <v>31911</v>
      </c>
      <c r="O20" s="1073"/>
      <c r="P20" s="1272">
        <f>VLOOKUP(CONCATENATE(P$4,ReportData!$C$3,Population!$B53),ReportData!$B$34:$I$358,P$32,FALSE)</f>
        <v>64906</v>
      </c>
      <c r="Q20" s="1272">
        <f>VLOOKUP(CONCATENATE(Q$4,ReportData!$C$3,Population!$B53),ReportData!$B$34:$I$358,Q$32,FALSE)</f>
        <v>66233</v>
      </c>
      <c r="R20" s="1272">
        <f>VLOOKUP(CONCATENATE(R$4,ReportData!$C$3,Population!$B53),ReportData!$B$34:$I$358,R$32,FALSE)</f>
        <v>67796</v>
      </c>
      <c r="S20" s="1272">
        <f>VLOOKUP(CONCATENATE(S$4,ReportData!$C$3,Population!$B53),ReportData!$B$34:$I$358,S$32,FALSE)</f>
        <v>69845</v>
      </c>
      <c r="T20" s="1273">
        <f>VLOOKUP(CONCATENATE(T$4,ReportData!$C$3,Population!$B53),ReportData!$B$34:$I$358,T$32,FALSE)</f>
        <v>71709</v>
      </c>
      <c r="U20" s="212"/>
      <c r="V20" s="63"/>
      <c r="W20" s="52"/>
      <c r="X20" s="52"/>
      <c r="Y20" s="52"/>
      <c r="Z20" s="52"/>
      <c r="AA20" s="52"/>
      <c r="AB20" s="53"/>
      <c r="AC20" s="53"/>
    </row>
    <row r="21" spans="1:29" s="60" customFormat="1" ht="15" customHeight="1">
      <c r="A21" s="1103">
        <f>VLOOKUP(B21,ReportData!$AQ$4:$AR$25,2,FALSE)</f>
        <v>0</v>
      </c>
      <c r="B21" s="885" t="s">
        <v>12</v>
      </c>
      <c r="C21" s="1072"/>
      <c r="D21" s="1272">
        <f>VLOOKUP(CONCATENATE(D$4,ReportData!$C$3,Population!$B21),ReportData!$B$34:$H$358,D$32,FALSE)</f>
        <v>42033</v>
      </c>
      <c r="E21" s="1272">
        <f>VLOOKUP(CONCATENATE(E$4,ReportData!$C$3,Population!$B21),ReportData!$B$34:$H$358,E$32,FALSE)</f>
        <v>41865</v>
      </c>
      <c r="F21" s="1272">
        <f>VLOOKUP(CONCATENATE(F$4,ReportData!$C$3,Population!$B21),ReportData!$B$34:$H$358,F$32,FALSE)</f>
        <v>41447</v>
      </c>
      <c r="G21" s="1272">
        <f>VLOOKUP(CONCATENATE(G$4,ReportData!$C$3,Population!$B21),ReportData!$B$34:$H$358,G$32,FALSE)</f>
        <v>41871</v>
      </c>
      <c r="H21" s="1273">
        <f>VLOOKUP(CONCATENATE(H$4,ReportData!$C$3,Population!$B21),ReportData!$B$34:$H$358,H$32,FALSE)</f>
        <v>42307</v>
      </c>
      <c r="I21" s="1073"/>
      <c r="J21" s="1272">
        <f>VLOOKUP(CONCATENATE(J$4,ReportData!$C$3,Population!$B21),ReportData!$B$34:$H$358,D$32,FALSE)</f>
        <v>15275</v>
      </c>
      <c r="K21" s="1272">
        <f>VLOOKUP(CONCATENATE(K$4,ReportData!$C$3,Population!$B21),ReportData!$B$34:$H$358,E$32,FALSE)</f>
        <v>14996</v>
      </c>
      <c r="L21" s="1272">
        <f>VLOOKUP(CONCATENATE(L$4,ReportData!$C$3,Population!$B21),ReportData!$B$34:$H$358,F$32,FALSE)</f>
        <v>14490</v>
      </c>
      <c r="M21" s="1272">
        <f>VLOOKUP(CONCATENATE(M$4,ReportData!$C$3,Population!$B21),ReportData!$B$34:$H$358,G$32,FALSE)</f>
        <v>14630</v>
      </c>
      <c r="N21" s="1273">
        <f>VLOOKUP(CONCATENATE(N$4,ReportData!$C$3,Population!$B21),ReportData!$B$34:$H$358,H$32,FALSE)</f>
        <v>13962</v>
      </c>
      <c r="O21" s="1073"/>
      <c r="P21" s="1272">
        <f>VLOOKUP(CONCATENATE(P$4,ReportData!$C$3,Population!$B54),ReportData!$B$34:$I$358,P$32,FALSE)</f>
        <v>17699</v>
      </c>
      <c r="Q21" s="1272">
        <f>VLOOKUP(CONCATENATE(Q$4,ReportData!$C$3,Population!$B54),ReportData!$B$34:$I$358,Q$32,FALSE)</f>
        <v>17966</v>
      </c>
      <c r="R21" s="1272">
        <f>VLOOKUP(CONCATENATE(R$4,ReportData!$C$3,Population!$B54),ReportData!$B$34:$I$358,R$32,FALSE)</f>
        <v>18106</v>
      </c>
      <c r="S21" s="1272">
        <f>VLOOKUP(CONCATENATE(S$4,ReportData!$C$3,Population!$B54),ReportData!$B$34:$I$358,S$32,FALSE)</f>
        <v>18618</v>
      </c>
      <c r="T21" s="1273">
        <f>VLOOKUP(CONCATENATE(T$4,ReportData!$C$3,Population!$B54),ReportData!$B$34:$I$358,T$32,FALSE)</f>
        <v>19031</v>
      </c>
      <c r="U21" s="212"/>
      <c r="V21" s="63"/>
      <c r="W21" s="52"/>
      <c r="X21" s="52"/>
      <c r="Y21" s="52"/>
      <c r="Z21" s="52"/>
      <c r="AA21" s="52"/>
      <c r="AB21" s="53"/>
      <c r="AC21" s="53"/>
    </row>
    <row r="22" spans="1:29" s="60" customFormat="1" ht="15" customHeight="1">
      <c r="A22" s="1103">
        <f>VLOOKUP(B22,ReportData!$AQ$4:$AR$25,2,FALSE)</f>
        <v>0</v>
      </c>
      <c r="B22" s="885" t="s">
        <v>3</v>
      </c>
      <c r="C22" s="1072"/>
      <c r="D22" s="1272">
        <f>VLOOKUP(CONCATENATE(D$4,ReportData!$C$3,Population!$B22),ReportData!$B$34:$H$358,D$32,FALSE)</f>
        <v>37030</v>
      </c>
      <c r="E22" s="1272">
        <f>VLOOKUP(CONCATENATE(E$4,ReportData!$C$3,Population!$B22),ReportData!$B$34:$H$358,E$32,FALSE)</f>
        <v>36971</v>
      </c>
      <c r="F22" s="1272">
        <f>VLOOKUP(CONCATENATE(F$4,ReportData!$C$3,Population!$B22),ReportData!$B$34:$H$358,F$32,FALSE)</f>
        <v>36334</v>
      </c>
      <c r="G22" s="1272">
        <f>VLOOKUP(CONCATENATE(G$4,ReportData!$C$3,Population!$B22),ReportData!$B$34:$H$358,G$32,FALSE)</f>
        <v>37260</v>
      </c>
      <c r="H22" s="1273">
        <f>VLOOKUP(CONCATENATE(H$4,ReportData!$C$3,Population!$B22),ReportData!$B$34:$H$358,H$32,FALSE)</f>
        <v>37929</v>
      </c>
      <c r="I22" s="1073"/>
      <c r="J22" s="1272">
        <f>VLOOKUP(CONCATENATE(J$4,ReportData!$C$3,Population!$B22),ReportData!$B$34:$H$358,D$32,FALSE)</f>
        <v>9682</v>
      </c>
      <c r="K22" s="1272">
        <f>VLOOKUP(CONCATENATE(K$4,ReportData!$C$3,Population!$B22),ReportData!$B$34:$H$358,E$32,FALSE)</f>
        <v>9310</v>
      </c>
      <c r="L22" s="1272">
        <f>VLOOKUP(CONCATENATE(L$4,ReportData!$C$3,Population!$B22),ReportData!$B$34:$H$358,F$32,FALSE)</f>
        <v>9498</v>
      </c>
      <c r="M22" s="1272">
        <f>VLOOKUP(CONCATENATE(M$4,ReportData!$C$3,Population!$B22),ReportData!$B$34:$H$358,G$32,FALSE)</f>
        <v>10068</v>
      </c>
      <c r="N22" s="1273">
        <f>VLOOKUP(CONCATENATE(N$4,ReportData!$C$3,Population!$B22),ReportData!$B$34:$H$358,H$32,FALSE)</f>
        <v>10144</v>
      </c>
      <c r="O22" s="1073"/>
      <c r="P22" s="1272">
        <f>VLOOKUP(CONCATENATE(P$4,ReportData!$C$3,Population!$B55),ReportData!$B$34:$I$358,P$32,FALSE)</f>
        <v>15183</v>
      </c>
      <c r="Q22" s="1272">
        <f>VLOOKUP(CONCATENATE(Q$4,ReportData!$C$3,Population!$B55),ReportData!$B$34:$I$358,Q$32,FALSE)</f>
        <v>15605</v>
      </c>
      <c r="R22" s="1272">
        <f>VLOOKUP(CONCATENATE(R$4,ReportData!$C$3,Population!$B55),ReportData!$B$34:$I$358,R$32,FALSE)</f>
        <v>15724</v>
      </c>
      <c r="S22" s="1272">
        <f>VLOOKUP(CONCATENATE(S$4,ReportData!$C$3,Population!$B55),ReportData!$B$34:$I$358,S$32,FALSE)</f>
        <v>16221</v>
      </c>
      <c r="T22" s="1273">
        <f>VLOOKUP(CONCATENATE(T$4,ReportData!$C$3,Population!$B55),ReportData!$B$34:$I$358,T$32,FALSE)</f>
        <v>16765</v>
      </c>
      <c r="U22" s="212"/>
      <c r="V22" s="63"/>
      <c r="W22" s="52"/>
      <c r="X22" s="52"/>
      <c r="Y22" s="52"/>
      <c r="Z22" s="52"/>
      <c r="AA22" s="52"/>
      <c r="AB22" s="53"/>
      <c r="AC22" s="53"/>
    </row>
    <row r="23" spans="1:29" s="60" customFormat="1" ht="15" customHeight="1">
      <c r="A23" s="1103">
        <f>VLOOKUP(B23,ReportData!$AQ$4:$AR$25,2,FALSE)</f>
        <v>0</v>
      </c>
      <c r="B23" s="885" t="s">
        <v>13</v>
      </c>
      <c r="C23" s="1072"/>
      <c r="D23" s="1272">
        <f>VLOOKUP(CONCATENATE(D$4,ReportData!$C$3,Population!$B23),ReportData!$B$34:$H$358,D$32,FALSE)</f>
        <v>43479</v>
      </c>
      <c r="E23" s="1272">
        <f>VLOOKUP(CONCATENATE(E$4,ReportData!$C$3,Population!$B23),ReportData!$B$34:$H$358,E$32,FALSE)</f>
        <v>43900</v>
      </c>
      <c r="F23" s="1272">
        <f>VLOOKUP(CONCATENATE(F$4,ReportData!$C$3,Population!$B23),ReportData!$B$34:$H$358,F$32,FALSE)</f>
        <v>43737</v>
      </c>
      <c r="G23" s="1272">
        <f>VLOOKUP(CONCATENATE(G$4,ReportData!$C$3,Population!$B23),ReportData!$B$34:$H$358,G$32,FALSE)</f>
        <v>44250</v>
      </c>
      <c r="H23" s="1273">
        <f>VLOOKUP(CONCATENATE(H$4,ReportData!$C$3,Population!$B23),ReportData!$B$34:$H$358,H$32,FALSE)</f>
        <v>44849</v>
      </c>
      <c r="I23" s="1073"/>
      <c r="J23" s="1272">
        <f>VLOOKUP(CONCATENATE(J$4,ReportData!$C$3,Population!$B23),ReportData!$B$34:$H$358,D$32,FALSE)</f>
        <v>4709</v>
      </c>
      <c r="K23" s="1272">
        <f>VLOOKUP(CONCATENATE(K$4,ReportData!$C$3,Population!$B23),ReportData!$B$34:$H$358,E$32,FALSE)</f>
        <v>4654</v>
      </c>
      <c r="L23" s="1272">
        <f>VLOOKUP(CONCATENATE(L$4,ReportData!$C$3,Population!$B23),ReportData!$B$34:$H$358,F$32,FALSE)</f>
        <v>4881</v>
      </c>
      <c r="M23" s="1272">
        <f>VLOOKUP(CONCATENATE(M$4,ReportData!$C$3,Population!$B23),ReportData!$B$34:$H$358,G$32,FALSE)</f>
        <v>4824</v>
      </c>
      <c r="N23" s="1273">
        <f>VLOOKUP(CONCATENATE(N$4,ReportData!$C$3,Population!$B23),ReportData!$B$34:$H$358,H$32,FALSE)</f>
        <v>4786</v>
      </c>
      <c r="O23" s="1073"/>
      <c r="P23" s="1272">
        <f>VLOOKUP(CONCATENATE(P$4,ReportData!$C$3,Population!$B56),ReportData!$B$34:$I$358,P$32,FALSE)</f>
        <v>17993</v>
      </c>
      <c r="Q23" s="1272">
        <f>VLOOKUP(CONCATENATE(Q$4,ReportData!$C$3,Population!$B56),ReportData!$B$34:$I$358,Q$32,FALSE)</f>
        <v>18801</v>
      </c>
      <c r="R23" s="1272">
        <f>VLOOKUP(CONCATENATE(R$4,ReportData!$C$3,Population!$B56),ReportData!$B$34:$I$358,R$32,FALSE)</f>
        <v>19472</v>
      </c>
      <c r="S23" s="1272">
        <f>VLOOKUP(CONCATENATE(S$4,ReportData!$C$3,Population!$B56),ReportData!$B$34:$I$358,S$32,FALSE)</f>
        <v>20006</v>
      </c>
      <c r="T23" s="1273">
        <f>VLOOKUP(CONCATENATE(T$4,ReportData!$C$3,Population!$B56),ReportData!$B$34:$I$358,T$32,FALSE)</f>
        <v>20419</v>
      </c>
      <c r="U23" s="212"/>
      <c r="V23" s="63"/>
      <c r="W23" s="52"/>
      <c r="X23" s="52"/>
      <c r="Y23" s="52"/>
      <c r="Z23" s="52"/>
      <c r="AA23" s="52"/>
      <c r="AB23" s="53"/>
      <c r="AC23" s="53"/>
    </row>
    <row r="24" spans="1:29" s="60" customFormat="1" ht="15" customHeight="1">
      <c r="A24" s="1103">
        <f>VLOOKUP(B24,ReportData!$AQ$4:$AR$25,2,FALSE)</f>
        <v>0</v>
      </c>
      <c r="B24" s="885" t="s">
        <v>14</v>
      </c>
      <c r="C24" s="1072"/>
      <c r="D24" s="1272">
        <f>VLOOKUP(CONCATENATE(D$4,ReportData!$C$3,Population!$B24),ReportData!$B$34:$H$358,D$32,FALSE)</f>
        <v>49588</v>
      </c>
      <c r="E24" s="1272">
        <f>VLOOKUP(CONCATENATE(E$4,ReportData!$C$3,Population!$B24),ReportData!$B$34:$H$358,E$32,FALSE)</f>
        <v>49737</v>
      </c>
      <c r="F24" s="1272">
        <f>VLOOKUP(CONCATENATE(F$4,ReportData!$C$3,Population!$B24),ReportData!$B$34:$H$358,F$32,FALSE)</f>
        <v>49388</v>
      </c>
      <c r="G24" s="1272">
        <f>VLOOKUP(CONCATENATE(G$4,ReportData!$C$3,Population!$B24),ReportData!$B$34:$H$358,G$32,FALSE)</f>
        <v>49871</v>
      </c>
      <c r="H24" s="1273">
        <f>VLOOKUP(CONCATENATE(H$4,ReportData!$C$3,Population!$B24),ReportData!$B$34:$H$358,H$32,FALSE)</f>
        <v>50373</v>
      </c>
      <c r="I24" s="1073"/>
      <c r="J24" s="1272">
        <f>VLOOKUP(CONCATENATE(J$4,ReportData!$C$3,Population!$B24),ReportData!$B$34:$H$358,D$32,FALSE)</f>
        <v>19393</v>
      </c>
      <c r="K24" s="1272">
        <f>VLOOKUP(CONCATENATE(K$4,ReportData!$C$3,Population!$B24),ReportData!$B$34:$H$358,E$32,FALSE)</f>
        <v>18091</v>
      </c>
      <c r="L24" s="1272">
        <f>VLOOKUP(CONCATENATE(L$4,ReportData!$C$3,Population!$B24),ReportData!$B$34:$H$358,F$32,FALSE)</f>
        <v>16825</v>
      </c>
      <c r="M24" s="1272">
        <f>VLOOKUP(CONCATENATE(M$4,ReportData!$C$3,Population!$B24),ReportData!$B$34:$H$358,G$32,FALSE)</f>
        <v>18134</v>
      </c>
      <c r="N24" s="1273">
        <f>VLOOKUP(CONCATENATE(N$4,ReportData!$C$3,Population!$B24),ReportData!$B$34:$H$358,H$32,FALSE)</f>
        <v>18769</v>
      </c>
      <c r="O24" s="1073"/>
      <c r="P24" s="1272">
        <f>VLOOKUP(CONCATENATE(P$4,ReportData!$C$3,Population!$B57),ReportData!$B$34:$I$358,P$32,FALSE)</f>
        <v>20006</v>
      </c>
      <c r="Q24" s="1272">
        <f>VLOOKUP(CONCATENATE(Q$4,ReportData!$C$3,Population!$B57),ReportData!$B$34:$I$358,Q$32,FALSE)</f>
        <v>20693</v>
      </c>
      <c r="R24" s="1272">
        <f>VLOOKUP(CONCATENATE(R$4,ReportData!$C$3,Population!$B57),ReportData!$B$34:$I$358,R$32,FALSE)</f>
        <v>21369</v>
      </c>
      <c r="S24" s="1272">
        <f>VLOOKUP(CONCATENATE(S$4,ReportData!$C$3,Population!$B57),ReportData!$B$34:$I$358,S$32,FALSE)</f>
        <v>21932</v>
      </c>
      <c r="T24" s="1273">
        <f>VLOOKUP(CONCATENATE(T$4,ReportData!$C$3,Population!$B57),ReportData!$B$34:$I$358,T$32,FALSE)</f>
        <v>22489</v>
      </c>
      <c r="U24" s="212"/>
      <c r="V24" s="63"/>
      <c r="W24" s="52"/>
      <c r="X24" s="52"/>
      <c r="Y24" s="52"/>
      <c r="Z24" s="52"/>
      <c r="AA24" s="52"/>
      <c r="AB24" s="53"/>
      <c r="AC24" s="53"/>
    </row>
    <row r="25" spans="1:29" s="60" customFormat="1" ht="15" customHeight="1">
      <c r="A25" s="1103">
        <f>VLOOKUP(B25,ReportData!$AQ$4:$AR$25,2,FALSE)</f>
        <v>0</v>
      </c>
      <c r="B25" s="885" t="s">
        <v>7</v>
      </c>
      <c r="C25" s="1072"/>
      <c r="D25" s="1272">
        <f>VLOOKUP(CONCATENATE(D$4,ReportData!$C$3,Population!$B25),ReportData!$B$34:$H$358,D$32,FALSE)</f>
        <v>258045</v>
      </c>
      <c r="E25" s="1272">
        <f>VLOOKUP(CONCATENATE(E$4,ReportData!$C$3,Population!$B25),ReportData!$B$34:$H$358,E$32,FALSE)</f>
        <v>258519</v>
      </c>
      <c r="F25" s="1272">
        <f>VLOOKUP(CONCATENATE(F$4,ReportData!$C$3,Population!$B25),ReportData!$B$34:$H$358,F$32,FALSE)</f>
        <v>259488</v>
      </c>
      <c r="G25" s="1272">
        <f>VLOOKUP(CONCATENATE(G$4,ReportData!$C$3,Population!$B25),ReportData!$B$34:$H$358,G$32,FALSE)</f>
        <v>263534</v>
      </c>
      <c r="H25" s="1273">
        <f>VLOOKUP(CONCATENATE(H$4,ReportData!$C$3,Population!$B25),ReportData!$B$34:$H$358,H$32,FALSE)</f>
        <v>265672</v>
      </c>
      <c r="I25" s="1073"/>
      <c r="J25" s="1272">
        <f>VLOOKUP(CONCATENATE(J$4,ReportData!$C$3,Population!$B25),ReportData!$B$34:$H$358,D$32,FALSE)</f>
        <v>37621</v>
      </c>
      <c r="K25" s="1272">
        <f>VLOOKUP(CONCATENATE(K$4,ReportData!$C$3,Population!$B25),ReportData!$B$34:$H$358,E$32,FALSE)</f>
        <v>37704</v>
      </c>
      <c r="L25" s="1272">
        <f>VLOOKUP(CONCATENATE(L$4,ReportData!$C$3,Population!$B25),ReportData!$B$34:$H$358,F$32,FALSE)</f>
        <v>37284</v>
      </c>
      <c r="M25" s="1272">
        <f>VLOOKUP(CONCATENATE(M$4,ReportData!$C$3,Population!$B25),ReportData!$B$34:$H$358,G$32,FALSE)</f>
        <v>36155</v>
      </c>
      <c r="N25" s="1273">
        <f>VLOOKUP(CONCATENATE(N$4,ReportData!$C$3,Population!$B25),ReportData!$B$34:$H$358,H$32,FALSE)</f>
        <v>36646</v>
      </c>
      <c r="O25" s="1073"/>
      <c r="P25" s="1272">
        <f>VLOOKUP(CONCATENATE(P$4,ReportData!$C$3,Population!$B58),ReportData!$B$34:$I$358,P$32,FALSE)</f>
        <v>115765</v>
      </c>
      <c r="Q25" s="1272">
        <f>VLOOKUP(CONCATENATE(Q$4,ReportData!$C$3,Population!$B58),ReportData!$B$34:$I$358,Q$32,FALSE)</f>
        <v>118305</v>
      </c>
      <c r="R25" s="1272">
        <f>VLOOKUP(CONCATENATE(R$4,ReportData!$C$3,Population!$B58),ReportData!$B$34:$I$358,R$32,FALSE)</f>
        <v>120556</v>
      </c>
      <c r="S25" s="1272">
        <f>VLOOKUP(CONCATENATE(S$4,ReportData!$C$3,Population!$B58),ReportData!$B$34:$I$358,S$32,FALSE)</f>
        <v>123834</v>
      </c>
      <c r="T25" s="1273">
        <f>VLOOKUP(CONCATENATE(T$4,ReportData!$C$3,Population!$B58),ReportData!$B$34:$I$358,T$32,FALSE)</f>
        <v>126249</v>
      </c>
      <c r="U25" s="212"/>
      <c r="V25" s="63"/>
      <c r="W25" s="52"/>
      <c r="X25" s="52"/>
      <c r="Y25" s="52"/>
      <c r="Z25" s="52"/>
      <c r="AA25" s="52"/>
      <c r="AB25" s="53"/>
      <c r="AC25" s="53"/>
    </row>
    <row r="26" spans="1:29" s="60" customFormat="1" ht="15" customHeight="1">
      <c r="A26" s="1103">
        <f>VLOOKUP(B26,ReportData!$AQ$4:$AR$25,2,FALSE)</f>
        <v>0</v>
      </c>
      <c r="B26" s="885" t="s">
        <v>15</v>
      </c>
      <c r="C26" s="1072"/>
      <c r="D26" s="1272">
        <f>VLOOKUP(CONCATENATE(D$4,ReportData!$C$3,Population!$B26),ReportData!$B$34:$H$358,D$32,FALSE)</f>
        <v>35061</v>
      </c>
      <c r="E26" s="1272">
        <f>VLOOKUP(CONCATENATE(E$4,ReportData!$C$3,Population!$B26),ReportData!$B$34:$H$358,E$32,FALSE)</f>
        <v>34824</v>
      </c>
      <c r="F26" s="1272">
        <f>VLOOKUP(CONCATENATE(F$4,ReportData!$C$3,Population!$B26),ReportData!$B$34:$H$358,F$32,FALSE)</f>
        <v>34595</v>
      </c>
      <c r="G26" s="1272">
        <f>VLOOKUP(CONCATENATE(G$4,ReportData!$C$3,Population!$B26),ReportData!$B$34:$H$358,G$32,FALSE)</f>
        <v>34912</v>
      </c>
      <c r="H26" s="1273">
        <f>VLOOKUP(CONCATENATE(H$4,ReportData!$C$3,Population!$B26),ReportData!$B$34:$H$358,H$32,FALSE)</f>
        <v>35325</v>
      </c>
      <c r="I26" s="1073"/>
      <c r="J26" s="1272">
        <f>VLOOKUP(CONCATENATE(J$4,ReportData!$C$3,Population!$B26),ReportData!$B$34:$H$358,D$32,FALSE)</f>
        <v>3891</v>
      </c>
      <c r="K26" s="1272">
        <f>VLOOKUP(CONCATENATE(K$4,ReportData!$C$3,Population!$B26),ReportData!$B$34:$H$358,E$32,FALSE)</f>
        <v>3859</v>
      </c>
      <c r="L26" s="1272">
        <f>VLOOKUP(CONCATENATE(L$4,ReportData!$C$3,Population!$B26),ReportData!$B$34:$H$358,F$32,FALSE)</f>
        <v>3908</v>
      </c>
      <c r="M26" s="1272">
        <f>VLOOKUP(CONCATENATE(M$4,ReportData!$C$3,Population!$B26),ReportData!$B$34:$H$358,G$32,FALSE)</f>
        <v>3517</v>
      </c>
      <c r="N26" s="1273">
        <f>VLOOKUP(CONCATENATE(N$4,ReportData!$C$3,Population!$B26),ReportData!$B$34:$H$358,H$32,FALSE)</f>
        <v>3592</v>
      </c>
      <c r="O26" s="1073"/>
      <c r="P26" s="1272">
        <f>VLOOKUP(CONCATENATE(P$4,ReportData!$C$3,Population!$B59),ReportData!$B$34:$I$358,P$32,FALSE)</f>
        <v>16416</v>
      </c>
      <c r="Q26" s="1272">
        <f>VLOOKUP(CONCATENATE(Q$4,ReportData!$C$3,Population!$B59),ReportData!$B$34:$I$358,Q$32,FALSE)</f>
        <v>16653</v>
      </c>
      <c r="R26" s="1272">
        <f>VLOOKUP(CONCATENATE(R$4,ReportData!$C$3,Population!$B59),ReportData!$B$34:$I$358,R$32,FALSE)</f>
        <v>16766</v>
      </c>
      <c r="S26" s="1272">
        <f>VLOOKUP(CONCATENATE(S$4,ReportData!$C$3,Population!$B59),ReportData!$B$34:$I$358,S$32,FALSE)</f>
        <v>17164</v>
      </c>
      <c r="T26" s="1273">
        <f>VLOOKUP(CONCATENATE(T$4,ReportData!$C$3,Population!$B59),ReportData!$B$34:$I$358,T$32,FALSE)</f>
        <v>17700</v>
      </c>
      <c r="U26" s="212"/>
      <c r="V26" s="63"/>
      <c r="W26" s="52"/>
      <c r="X26" s="52"/>
      <c r="Y26" s="52"/>
      <c r="Z26" s="52"/>
      <c r="AA26" s="52"/>
      <c r="AB26" s="53"/>
      <c r="AC26" s="53"/>
    </row>
    <row r="27" spans="1:29" s="60" customFormat="1" ht="15" customHeight="1">
      <c r="A27" s="1103">
        <f>VLOOKUP(B27,ReportData!$AQ$4:$AR$25,2,FALSE)</f>
        <v>0</v>
      </c>
      <c r="B27" s="885" t="s">
        <v>5</v>
      </c>
      <c r="C27" s="1072"/>
      <c r="D27" s="1272">
        <f>VLOOKUP(CONCATENATE(D$4,ReportData!$C$3,Population!$B27),ReportData!$B$34:$H$358,D$32,FALSE)</f>
        <v>173551</v>
      </c>
      <c r="E27" s="1272">
        <f>VLOOKUP(CONCATENATE(E$4,ReportData!$C$3,Population!$B27),ReportData!$B$34:$H$358,E$32,FALSE)</f>
        <v>173873</v>
      </c>
      <c r="F27" s="1272">
        <f>VLOOKUP(CONCATENATE(F$4,ReportData!$C$3,Population!$B27),ReportData!$B$34:$H$358,F$32,FALSE)</f>
        <v>174834</v>
      </c>
      <c r="G27" s="1272">
        <f>VLOOKUP(CONCATENATE(G$4,ReportData!$C$3,Population!$B27),ReportData!$B$34:$H$358,G$32,FALSE)</f>
        <v>177349</v>
      </c>
      <c r="H27" s="1273">
        <f>VLOOKUP(CONCATENATE(H$4,ReportData!$C$3,Population!$B27),ReportData!$B$34:$H$358,H$32,FALSE)</f>
        <v>179008</v>
      </c>
      <c r="I27" s="1073"/>
      <c r="J27" s="1272">
        <f>VLOOKUP(CONCATENATE(J$4,ReportData!$C$3,Population!$B27),ReportData!$B$34:$H$358,D$32,FALSE)</f>
        <v>23054</v>
      </c>
      <c r="K27" s="1272">
        <f>VLOOKUP(CONCATENATE(K$4,ReportData!$C$3,Population!$B27),ReportData!$B$34:$H$358,E$32,FALSE)</f>
        <v>22685</v>
      </c>
      <c r="L27" s="1272">
        <f>VLOOKUP(CONCATENATE(L$4,ReportData!$C$3,Population!$B27),ReportData!$B$34:$H$358,F$32,FALSE)</f>
        <v>22745</v>
      </c>
      <c r="M27" s="1272">
        <f>VLOOKUP(CONCATENATE(M$4,ReportData!$C$3,Population!$B27),ReportData!$B$34:$H$358,G$32,FALSE)</f>
        <v>21611</v>
      </c>
      <c r="N27" s="1273">
        <f>VLOOKUP(CONCATENATE(N$4,ReportData!$C$3,Population!$B27),ReportData!$B$34:$H$358,H$32,FALSE)</f>
        <v>21721</v>
      </c>
      <c r="O27" s="1073"/>
      <c r="P27" s="1272">
        <f>VLOOKUP(CONCATENATE(P$4,ReportData!$C$3,Population!$B60),ReportData!$B$34:$I$358,P$32,FALSE)</f>
        <v>77628</v>
      </c>
      <c r="Q27" s="1272">
        <f>VLOOKUP(CONCATENATE(Q$4,ReportData!$C$3,Population!$B60),ReportData!$B$34:$I$358,Q$32,FALSE)</f>
        <v>79236</v>
      </c>
      <c r="R27" s="1272">
        <f>VLOOKUP(CONCATENATE(R$4,ReportData!$C$3,Population!$B60),ReportData!$B$34:$I$358,R$32,FALSE)</f>
        <v>80779</v>
      </c>
      <c r="S27" s="1272">
        <f>VLOOKUP(CONCATENATE(S$4,ReportData!$C$3,Population!$B60),ReportData!$B$34:$I$358,S$32,FALSE)</f>
        <v>83126</v>
      </c>
      <c r="T27" s="1273">
        <f>VLOOKUP(CONCATENATE(T$4,ReportData!$C$3,Population!$B60),ReportData!$B$34:$I$358,T$32,FALSE)</f>
        <v>84698</v>
      </c>
      <c r="U27" s="212"/>
      <c r="V27" s="63"/>
      <c r="W27" s="52"/>
      <c r="X27" s="52"/>
      <c r="Y27" s="52"/>
      <c r="Z27" s="52"/>
      <c r="AA27" s="52"/>
      <c r="AB27" s="53"/>
      <c r="AC27" s="53"/>
    </row>
    <row r="28" spans="1:29" s="60" customFormat="1" ht="15" customHeight="1">
      <c r="A28" s="1103">
        <f>VLOOKUP(B28,ReportData!$AQ$4:$AR$25,2,FALSE)</f>
        <v>0</v>
      </c>
      <c r="B28" s="885" t="s">
        <v>27</v>
      </c>
      <c r="C28" s="1072"/>
      <c r="D28" s="1272">
        <f>VLOOKUP(CONCATENATE(D$4,ReportData!$C$3,Population!$B28),ReportData!$B$34:$H$358,D$32,FALSE)</f>
        <v>34274</v>
      </c>
      <c r="E28" s="1272">
        <f>VLOOKUP(CONCATENATE(E$4,ReportData!$C$3,Population!$B28),ReportData!$B$34:$H$358,E$32,FALSE)</f>
        <v>34083</v>
      </c>
      <c r="F28" s="1272">
        <f>VLOOKUP(CONCATENATE(F$4,ReportData!$C$3,Population!$B28),ReportData!$B$34:$H$358,F$32,FALSE)</f>
        <v>33876</v>
      </c>
      <c r="G28" s="1272">
        <f>VLOOKUP(CONCATENATE(G$4,ReportData!$C$3,Population!$B28),ReportData!$B$34:$H$358,G$32,FALSE)</f>
        <v>34113</v>
      </c>
      <c r="H28" s="1273">
        <f>VLOOKUP(CONCATENATE(H$4,ReportData!$C$3,Population!$B28),ReportData!$B$34:$H$358,H$32,FALSE)</f>
        <v>34281</v>
      </c>
      <c r="I28" s="1073"/>
      <c r="J28" s="1272">
        <f>VLOOKUP(CONCATENATE(J$4,ReportData!$C$3,Population!$B28),ReportData!$B$34:$H$358,D$32,FALSE)</f>
        <v>3440</v>
      </c>
      <c r="K28" s="1272">
        <f>VLOOKUP(CONCATENATE(K$4,ReportData!$C$3,Population!$B28),ReportData!$B$34:$H$358,E$32,FALSE)</f>
        <v>3420</v>
      </c>
      <c r="L28" s="1272">
        <f>VLOOKUP(CONCATENATE(L$4,ReportData!$C$3,Population!$B28),ReportData!$B$34:$H$358,F$32,FALSE)</f>
        <v>3326</v>
      </c>
      <c r="M28" s="1272">
        <f>VLOOKUP(CONCATENATE(M$4,ReportData!$C$3,Population!$B28),ReportData!$B$34:$H$358,G$32,FALSE)</f>
        <v>3243</v>
      </c>
      <c r="N28" s="1273">
        <f>VLOOKUP(CONCATENATE(N$4,ReportData!$C$3,Population!$B28),ReportData!$B$34:$H$358,H$32,FALSE)</f>
        <v>3151</v>
      </c>
      <c r="O28" s="1073"/>
      <c r="P28" s="1272">
        <f>VLOOKUP(CONCATENATE(P$4,ReportData!$C$3,Population!$B61),ReportData!$B$34:$I$358,P$32,FALSE)</f>
        <v>16227</v>
      </c>
      <c r="Q28" s="1272">
        <f>VLOOKUP(CONCATENATE(Q$4,ReportData!$C$3,Population!$B61),ReportData!$B$34:$I$358,Q$32,FALSE)</f>
        <v>16527</v>
      </c>
      <c r="R28" s="1272">
        <f>VLOOKUP(CONCATENATE(R$4,ReportData!$C$3,Population!$B61),ReportData!$B$34:$I$358,R$32,FALSE)</f>
        <v>16742</v>
      </c>
      <c r="S28" s="1272">
        <f>VLOOKUP(CONCATENATE(S$4,ReportData!$C$3,Population!$B61),ReportData!$B$34:$I$358,S$32,FALSE)</f>
        <v>17094</v>
      </c>
      <c r="T28" s="1273">
        <f>VLOOKUP(CONCATENATE(T$4,ReportData!$C$3,Population!$B61),ReportData!$B$34:$I$358,T$32,FALSE)</f>
        <v>17316</v>
      </c>
      <c r="U28" s="212"/>
      <c r="V28" s="63"/>
      <c r="W28" s="52"/>
      <c r="X28" s="52"/>
      <c r="Y28" s="52"/>
      <c r="Z28" s="52"/>
      <c r="AA28" s="52"/>
      <c r="AB28" s="53"/>
      <c r="AC28" s="53"/>
    </row>
    <row r="29" spans="1:29" s="60" customFormat="1" ht="15" customHeight="1">
      <c r="A29" s="1103">
        <f>VLOOKUP(B29,ReportData!$AQ$4:$AR$25,2,FALSE)</f>
        <v>0</v>
      </c>
      <c r="B29" s="885" t="s">
        <v>16</v>
      </c>
      <c r="C29" s="1072"/>
      <c r="D29" s="1272">
        <f>VLOOKUP(CONCATENATE(D$4,ReportData!$C$3,Population!$B29),ReportData!$B$34:$H$358,D$32,FALSE)</f>
        <v>39772</v>
      </c>
      <c r="E29" s="1272">
        <f>VLOOKUP(CONCATENATE(E$4,ReportData!$C$3,Population!$B29),ReportData!$B$34:$H$358,E$32,FALSE)</f>
        <v>40476</v>
      </c>
      <c r="F29" s="1272">
        <f>VLOOKUP(CONCATENATE(F$4,ReportData!$C$3,Population!$B29),ReportData!$B$34:$H$358,F$32,FALSE)</f>
        <v>41129</v>
      </c>
      <c r="G29" s="1272">
        <f>VLOOKUP(CONCATENATE(G$4,ReportData!$C$3,Population!$B29),ReportData!$B$34:$H$358,G$32,FALSE)</f>
        <v>42520</v>
      </c>
      <c r="H29" s="1273">
        <f>VLOOKUP(CONCATENATE(H$4,ReportData!$C$3,Population!$B29),ReportData!$B$34:$H$358,H$32,FALSE)</f>
        <v>43314</v>
      </c>
      <c r="I29" s="1073"/>
      <c r="J29" s="1272">
        <f>VLOOKUP(CONCATENATE(J$4,ReportData!$C$3,Population!$B29),ReportData!$B$34:$H$358,D$32,FALSE)</f>
        <v>4432</v>
      </c>
      <c r="K29" s="1272">
        <f>VLOOKUP(CONCATENATE(K$4,ReportData!$C$3,Population!$B29),ReportData!$B$34:$H$358,E$32,FALSE)</f>
        <v>4408</v>
      </c>
      <c r="L29" s="1272">
        <f>VLOOKUP(CONCATENATE(L$4,ReportData!$C$3,Population!$B29),ReportData!$B$34:$H$358,F$32,FALSE)</f>
        <v>4610</v>
      </c>
      <c r="M29" s="1272">
        <f>VLOOKUP(CONCATENATE(M$4,ReportData!$C$3,Population!$B29),ReportData!$B$34:$H$358,G$32,FALSE)</f>
        <v>4647</v>
      </c>
      <c r="N29" s="1273">
        <f>VLOOKUP(CONCATENATE(N$4,ReportData!$C$3,Population!$B29),ReportData!$B$34:$H$358,H$32,FALSE)</f>
        <v>4974</v>
      </c>
      <c r="O29" s="1073"/>
      <c r="P29" s="1272">
        <f>VLOOKUP(CONCATENATE(P$4,ReportData!$C$3,Population!$B62),ReportData!$B$34:$I$358,P$32,FALSE)</f>
        <v>17895</v>
      </c>
      <c r="Q29" s="1272">
        <f>VLOOKUP(CONCATENATE(Q$4,ReportData!$C$3,Population!$B62),ReportData!$B$34:$I$358,Q$32,FALSE)</f>
        <v>18572</v>
      </c>
      <c r="R29" s="1272">
        <f>VLOOKUP(CONCATENATE(R$4,ReportData!$C$3,Population!$B62),ReportData!$B$34:$I$358,R$32,FALSE)</f>
        <v>19201</v>
      </c>
      <c r="S29" s="1272">
        <f>VLOOKUP(CONCATENATE(S$4,ReportData!$C$3,Population!$B62),ReportData!$B$34:$I$358,S$32,FALSE)</f>
        <v>20380</v>
      </c>
      <c r="T29" s="1273">
        <f>VLOOKUP(CONCATENATE(T$4,ReportData!$C$3,Population!$B62),ReportData!$B$34:$I$358,T$32,FALSE)</f>
        <v>21281</v>
      </c>
      <c r="U29" s="212"/>
      <c r="V29" s="63"/>
      <c r="W29" s="52"/>
      <c r="X29" s="52"/>
      <c r="Y29" s="52"/>
      <c r="Z29" s="52"/>
      <c r="AA29" s="52"/>
      <c r="AB29" s="53"/>
      <c r="AC29" s="53"/>
    </row>
    <row r="30" spans="1:29" s="60" customFormat="1" ht="15" customHeight="1">
      <c r="A30" s="211"/>
      <c r="B30" s="886" t="s">
        <v>71</v>
      </c>
      <c r="C30" s="1072"/>
      <c r="D30" s="556">
        <f>VLOOKUP(CONCATENATE(D$4,ReportData!$C$3,Population!$B30),ReportData!$B$34:$H$358,D$32,FALSE)</f>
        <v>1927713</v>
      </c>
      <c r="E30" s="556">
        <f>VLOOKUP(CONCATENATE(E$4,ReportData!$C$3,Population!$B30),ReportData!$B$34:$H$358,E$32,FALSE)</f>
        <v>1930731</v>
      </c>
      <c r="F30" s="556">
        <f>VLOOKUP(CONCATENATE(F$4,ReportData!$C$3,Population!$B30),ReportData!$B$34:$H$358,F$32,FALSE)</f>
        <v>1935696</v>
      </c>
      <c r="G30" s="556">
        <f>VLOOKUP(CONCATENATE(G$4,ReportData!$C$3,Population!$B30),ReportData!$B$34:$H$358,G$32,FALSE)</f>
        <v>1965213</v>
      </c>
      <c r="H30" s="557">
        <f>VLOOKUP(CONCATENATE(H$4,ReportData!$C$3,Population!$B30),ReportData!$B$34:$H$358,H$32,FALSE)</f>
        <v>1988962</v>
      </c>
      <c r="I30" s="548"/>
      <c r="J30" s="556">
        <f>VLOOKUP(CONCATENATE(J$4,ReportData!$C$3,Population!$B30),ReportData!$B$34:$H$358,D$32,FALSE)</f>
        <v>310998</v>
      </c>
      <c r="K30" s="556">
        <f>VLOOKUP(CONCATENATE(K$4,ReportData!$C$3,Population!$B30),ReportData!$B$34:$H$358,E$32,FALSE)</f>
        <v>304833</v>
      </c>
      <c r="L30" s="556">
        <f>VLOOKUP(CONCATENATE(L$4,ReportData!$C$3,Population!$B30),ReportData!$B$34:$H$358,F$32,FALSE)</f>
        <v>300765</v>
      </c>
      <c r="M30" s="556">
        <f>VLOOKUP(CONCATENATE(M$4,ReportData!$C$3,Population!$B30),ReportData!$B$34:$H$358,G$32,FALSE)</f>
        <v>296228</v>
      </c>
      <c r="N30" s="557">
        <f>VLOOKUP(CONCATENATE(N$4,ReportData!$C$3,Population!$B30),ReportData!$B$34:$H$358,H$32,FALSE)</f>
        <v>297842</v>
      </c>
      <c r="O30" s="548"/>
      <c r="P30" s="556">
        <f>VLOOKUP(CONCATENATE(P$4,ReportData!$C$3,Population!$B63),ReportData!$B$34:$I$358,P$32,FALSE)</f>
        <v>860262</v>
      </c>
      <c r="Q30" s="556">
        <f>VLOOKUP(CONCATENATE(Q$4,ReportData!$C$3,Population!$B63),ReportData!$B$34:$I$358,Q$32,FALSE)</f>
        <v>876759</v>
      </c>
      <c r="R30" s="556">
        <f>VLOOKUP(CONCATENATE(R$4,ReportData!$C$3,Population!$B63),ReportData!$B$34:$I$358,R$32,FALSE)</f>
        <v>892841</v>
      </c>
      <c r="S30" s="556">
        <f>VLOOKUP(CONCATENATE(S$4,ReportData!$C$3,Population!$B63),ReportData!$B$34:$I$358,S$32,FALSE)</f>
        <v>918404</v>
      </c>
      <c r="T30" s="557">
        <f>VLOOKUP(CONCATENATE(T$4,ReportData!$C$3,Population!$B63),ReportData!$B$34:$I$358,T$32,FALSE)</f>
        <v>939412</v>
      </c>
      <c r="U30" s="212"/>
      <c r="V30" s="63"/>
      <c r="W30" s="52"/>
      <c r="X30" s="52"/>
      <c r="Y30" s="52"/>
      <c r="Z30" s="52"/>
      <c r="AA30" s="52"/>
      <c r="AB30" s="53"/>
      <c r="AC30" s="53"/>
    </row>
    <row r="31" spans="1:29" s="60" customFormat="1" ht="15" customHeight="1">
      <c r="A31" s="211"/>
      <c r="B31" s="1079" t="s">
        <v>109</v>
      </c>
      <c r="C31" s="1072"/>
      <c r="D31" s="555">
        <f>VLOOKUP(CONCATENATE(D$4,ReportData!$C$3,Population!$B31),ReportData!$B$34:$H$358,D$32,FALSE)</f>
        <v>11790492</v>
      </c>
      <c r="E31" s="555">
        <f>VLOOKUP(CONCATENATE(E$4,ReportData!$C$3,Population!$B31),ReportData!$B$34:$H$358,E$32,FALSE)</f>
        <v>11787794</v>
      </c>
      <c r="F31" s="555">
        <f>VLOOKUP(CONCATENATE(F$4,ReportData!$C$3,Population!$B31),ReportData!$B$34:$H$358,F$32,FALSE)</f>
        <v>11762878</v>
      </c>
      <c r="G31" s="555">
        <f>VLOOKUP(CONCATENATE(G$4,ReportData!$C$3,Population!$B31),ReportData!$B$34:$H$358,G$32,FALSE)</f>
        <v>11885789</v>
      </c>
      <c r="H31" s="558">
        <f>VLOOKUP(CONCATENATE(H$4,ReportData!$C$3,Population!$B31),ReportData!$B$34:$H$358,H$32,FALSE)</f>
        <v>11998646</v>
      </c>
      <c r="I31" s="548"/>
      <c r="J31" s="555">
        <f>VLOOKUP(CONCATENATE(J$4,ReportData!$C$3,Population!$B31),ReportData!$B$34:$H$358,D$32,FALSE)</f>
        <v>2012325</v>
      </c>
      <c r="K31" s="555">
        <f>VLOOKUP(CONCATENATE(K$4,ReportData!$C$3,Population!$B31),ReportData!$B$34:$H$358,E$32,FALSE)</f>
        <v>1974205</v>
      </c>
      <c r="L31" s="555">
        <f>VLOOKUP(CONCATENATE(L$4,ReportData!$C$3,Population!$B31),ReportData!$B$34:$H$358,F$32,FALSE)</f>
        <v>1961121</v>
      </c>
      <c r="M31" s="555">
        <f>VLOOKUP(CONCATENATE(M$4,ReportData!$C$3,Population!$B31),ReportData!$B$34:$H$358,G$32,FALSE)</f>
        <v>1987291</v>
      </c>
      <c r="N31" s="558">
        <f>VLOOKUP(CONCATENATE(N$4,ReportData!$C$3,Population!$B31),ReportData!$B$34:$H$358,H$32,FALSE)</f>
        <v>2025453</v>
      </c>
      <c r="O31" s="548"/>
      <c r="P31" s="555">
        <f>VLOOKUP(CONCATENATE(P$4,ReportData!$C$3,Population!$B64),ReportData!$B$34:$I$358,P$32,FALSE)</f>
        <v>5172545</v>
      </c>
      <c r="Q31" s="555">
        <f>VLOOKUP(CONCATENATE(Q$4,ReportData!$C$3,Population!$B64),ReportData!$B$34:$I$358,Q$32,FALSE)</f>
        <v>5269781</v>
      </c>
      <c r="R31" s="555">
        <f>VLOOKUP(CONCATENATE(R$4,ReportData!$C$3,Population!$B64),ReportData!$B$34:$I$358,R$32,FALSE)</f>
        <v>5365020</v>
      </c>
      <c r="S31" s="555">
        <f>VLOOKUP(CONCATENATE(S$4,ReportData!$C$3,Population!$B64),ReportData!$B$34:$I$358,S$32,FALSE)</f>
        <v>5483425</v>
      </c>
      <c r="T31" s="558">
        <f>VLOOKUP(CONCATENATE(T$4,ReportData!$C$3,Population!$B64),ReportData!$B$34:$I$358,T$32,FALSE)</f>
        <v>5585242</v>
      </c>
      <c r="U31" s="212"/>
      <c r="V31" s="63"/>
      <c r="W31" s="52"/>
      <c r="X31" s="52"/>
      <c r="Y31" s="52"/>
      <c r="Z31" s="52"/>
      <c r="AA31" s="52"/>
      <c r="AB31" s="53"/>
      <c r="AC31" s="53"/>
    </row>
    <row r="32" spans="1:29" ht="7.5" customHeight="1">
      <c r="A32" s="210"/>
      <c r="B32" s="547"/>
      <c r="C32" s="554"/>
      <c r="D32" s="548">
        <v>3</v>
      </c>
      <c r="E32" s="548">
        <v>4</v>
      </c>
      <c r="F32" s="548">
        <v>5</v>
      </c>
      <c r="G32" s="548">
        <v>6</v>
      </c>
      <c r="H32" s="548">
        <v>7</v>
      </c>
      <c r="I32" s="548"/>
      <c r="J32" s="548">
        <v>3</v>
      </c>
      <c r="K32" s="548">
        <v>4</v>
      </c>
      <c r="L32" s="548">
        <v>5</v>
      </c>
      <c r="M32" s="548">
        <v>6</v>
      </c>
      <c r="N32" s="548">
        <v>7</v>
      </c>
      <c r="O32" s="548"/>
      <c r="P32" s="548">
        <v>4</v>
      </c>
      <c r="Q32" s="548">
        <v>5</v>
      </c>
      <c r="R32" s="548">
        <v>6</v>
      </c>
      <c r="S32" s="548">
        <v>7</v>
      </c>
      <c r="T32" s="548">
        <v>8</v>
      </c>
      <c r="U32" s="209"/>
      <c r="V32" s="121"/>
    </row>
    <row r="33" spans="1:28" ht="7.5" customHeight="1">
      <c r="A33" s="210"/>
      <c r="B33" s="15"/>
      <c r="C33" s="15"/>
      <c r="D33" s="15"/>
      <c r="E33" s="15"/>
      <c r="F33" s="15"/>
      <c r="G33" s="15"/>
      <c r="H33" s="15"/>
      <c r="I33" s="15"/>
      <c r="J33" s="15"/>
      <c r="K33" s="15"/>
      <c r="L33" s="15"/>
      <c r="M33" s="15"/>
      <c r="N33" s="15"/>
      <c r="O33" s="15"/>
      <c r="P33" s="15"/>
      <c r="Q33" s="15"/>
      <c r="R33" s="15"/>
      <c r="S33" s="15"/>
      <c r="T33" s="2"/>
      <c r="U33" s="209"/>
      <c r="V33" s="185"/>
    </row>
    <row r="34" spans="1:28" ht="15" customHeight="1">
      <c r="A34" s="213"/>
      <c r="B34" s="1"/>
      <c r="C34" s="1"/>
      <c r="D34" s="1"/>
      <c r="E34" s="1"/>
      <c r="F34" s="1"/>
      <c r="G34" s="1"/>
      <c r="H34" s="1"/>
      <c r="I34" s="1"/>
      <c r="J34" s="1"/>
      <c r="K34" s="1"/>
      <c r="L34" s="1"/>
      <c r="M34" s="1"/>
      <c r="N34" s="1"/>
      <c r="O34" s="1"/>
      <c r="P34" s="1"/>
      <c r="Q34" s="1"/>
      <c r="R34" s="1"/>
      <c r="S34" s="1"/>
      <c r="T34" s="1"/>
      <c r="U34" s="209"/>
      <c r="V34" s="185"/>
    </row>
    <row r="35" spans="1:28" ht="11.25" customHeight="1">
      <c r="A35" s="1082"/>
      <c r="B35" s="1083"/>
      <c r="C35" s="1083"/>
      <c r="D35" s="1083"/>
      <c r="E35" s="1083"/>
      <c r="F35" s="1083"/>
      <c r="G35" s="1083"/>
      <c r="H35" s="1083"/>
      <c r="I35" s="1083"/>
      <c r="J35" s="1083"/>
      <c r="K35" s="1083"/>
      <c r="L35" s="1083"/>
      <c r="M35" s="1083"/>
      <c r="N35" s="1083"/>
      <c r="O35" s="1083"/>
      <c r="P35" s="1083"/>
      <c r="Q35" s="1083"/>
      <c r="R35" s="1083"/>
      <c r="S35" s="1083"/>
      <c r="T35" s="1083"/>
      <c r="U35" s="733"/>
      <c r="V35" s="185"/>
    </row>
    <row r="36" spans="1:28" ht="37.5" customHeight="1">
      <c r="A36" s="176"/>
      <c r="B36" s="177"/>
      <c r="C36" s="177"/>
      <c r="D36" s="568" t="s">
        <v>150</v>
      </c>
      <c r="E36" s="568" t="s">
        <v>150</v>
      </c>
      <c r="F36" s="568" t="s">
        <v>150</v>
      </c>
      <c r="G36" s="568" t="s">
        <v>150</v>
      </c>
      <c r="H36" s="568" t="s">
        <v>150</v>
      </c>
      <c r="I36" s="567"/>
      <c r="J36" s="1081" t="s">
        <v>911</v>
      </c>
      <c r="K36" s="1081" t="s">
        <v>911</v>
      </c>
      <c r="L36" s="1081" t="s">
        <v>911</v>
      </c>
      <c r="M36" s="1081" t="s">
        <v>911</v>
      </c>
      <c r="N36" s="1081" t="s">
        <v>911</v>
      </c>
      <c r="O36" s="568"/>
      <c r="P36" s="567" t="s">
        <v>667</v>
      </c>
      <c r="Q36" s="567" t="s">
        <v>667</v>
      </c>
      <c r="R36" s="567" t="s">
        <v>667</v>
      </c>
      <c r="S36" s="567" t="s">
        <v>667</v>
      </c>
      <c r="T36" s="567" t="s">
        <v>667</v>
      </c>
      <c r="U36" s="734"/>
      <c r="V36" s="62"/>
    </row>
    <row r="37" spans="1:28" ht="18.75" customHeight="1">
      <c r="A37" s="210"/>
      <c r="C37" s="554"/>
      <c r="D37" s="1715" t="s">
        <v>912</v>
      </c>
      <c r="E37" s="1716"/>
      <c r="F37" s="1716"/>
      <c r="G37" s="1716"/>
      <c r="H37" s="1717"/>
      <c r="I37" s="4"/>
      <c r="J37" s="1715" t="s">
        <v>913</v>
      </c>
      <c r="K37" s="1716"/>
      <c r="L37" s="1716"/>
      <c r="M37" s="1716"/>
      <c r="N37" s="1717"/>
      <c r="O37" s="4"/>
      <c r="P37" s="1715" t="s">
        <v>669</v>
      </c>
      <c r="Q37" s="1716"/>
      <c r="R37" s="1716"/>
      <c r="S37" s="1716"/>
      <c r="T37" s="1717"/>
      <c r="U37" s="209"/>
      <c r="V37" s="62"/>
    </row>
    <row r="38" spans="1:28" ht="18.75" customHeight="1">
      <c r="A38" s="210"/>
      <c r="B38" s="552"/>
      <c r="C38" s="554"/>
      <c r="D38" s="1718"/>
      <c r="E38" s="1719"/>
      <c r="F38" s="1719"/>
      <c r="G38" s="1719"/>
      <c r="H38" s="1720"/>
      <c r="I38" s="4"/>
      <c r="J38" s="1718"/>
      <c r="K38" s="1719"/>
      <c r="L38" s="1719"/>
      <c r="M38" s="1719"/>
      <c r="N38" s="1720"/>
      <c r="O38" s="4"/>
      <c r="P38" s="1718"/>
      <c r="Q38" s="1719"/>
      <c r="R38" s="1719"/>
      <c r="S38" s="1719"/>
      <c r="T38" s="1720"/>
      <c r="U38" s="209"/>
      <c r="V38" s="62"/>
    </row>
    <row r="39" spans="1:28" ht="13.5" customHeight="1">
      <c r="A39" s="210"/>
      <c r="B39" s="1722" t="s">
        <v>628</v>
      </c>
      <c r="C39" s="554"/>
      <c r="D39" s="1727" t="str">
        <f>ReportData!$D$234</f>
        <v>2018/19</v>
      </c>
      <c r="E39" s="1727" t="str">
        <f>ReportData!$E$234</f>
        <v>2019/20</v>
      </c>
      <c r="F39" s="1727" t="str">
        <f>ReportData!$F$234</f>
        <v>2020/21</v>
      </c>
      <c r="G39" s="1727" t="str">
        <f>ReportData!$G$234</f>
        <v>2021/22</v>
      </c>
      <c r="H39" s="1729" t="str">
        <f>ReportData!$H$234</f>
        <v>2022/23</v>
      </c>
      <c r="I39" s="1080"/>
      <c r="J39" s="1727" t="str">
        <f>ReportData!$D$27</f>
        <v>2019/20</v>
      </c>
      <c r="K39" s="1727" t="str">
        <f>ReportData!$E$27</f>
        <v>2020/21</v>
      </c>
      <c r="L39" s="1727" t="str">
        <f>ReportData!$F$27</f>
        <v>2021/22</v>
      </c>
      <c r="M39" s="1727" t="str">
        <f>ReportData!$G$27</f>
        <v>2022/23</v>
      </c>
      <c r="N39" s="1729" t="str">
        <f>ReportData!$H$27</f>
        <v>2023/24</v>
      </c>
      <c r="O39" s="1080"/>
      <c r="P39" s="1727" t="str">
        <f>ReportData!$D$27</f>
        <v>2019/20</v>
      </c>
      <c r="Q39" s="1727" t="str">
        <f>ReportData!$E$27</f>
        <v>2020/21</v>
      </c>
      <c r="R39" s="1727" t="str">
        <f>ReportData!$F$27</f>
        <v>2021/22</v>
      </c>
      <c r="S39" s="1727" t="str">
        <f>ReportData!$G$27</f>
        <v>2022/23</v>
      </c>
      <c r="T39" s="1729" t="str">
        <f>ReportData!$H$27</f>
        <v>2023/24</v>
      </c>
      <c r="U39" s="209"/>
      <c r="V39" s="62"/>
    </row>
    <row r="40" spans="1:28" ht="9" customHeight="1">
      <c r="A40" s="210"/>
      <c r="B40" s="1722"/>
      <c r="C40" s="554"/>
      <c r="D40" s="1728"/>
      <c r="E40" s="1728"/>
      <c r="F40" s="1728"/>
      <c r="G40" s="1728"/>
      <c r="H40" s="1730"/>
      <c r="I40" s="1080"/>
      <c r="J40" s="1728"/>
      <c r="K40" s="1728"/>
      <c r="L40" s="1728"/>
      <c r="M40" s="1728"/>
      <c r="N40" s="1730"/>
      <c r="O40" s="1080"/>
      <c r="P40" s="1728"/>
      <c r="Q40" s="1728"/>
      <c r="R40" s="1728"/>
      <c r="S40" s="1728"/>
      <c r="T40" s="1730"/>
      <c r="U40" s="209"/>
      <c r="V40" s="62"/>
    </row>
    <row r="41" spans="1:28" ht="13.5" customHeight="1">
      <c r="A41" s="210"/>
      <c r="B41" s="1722"/>
      <c r="C41" s="554"/>
      <c r="D41" s="1075" t="str">
        <f>IF(ReportData!$C$3="Annual","",ReportData!$D$28)</f>
        <v/>
      </c>
      <c r="E41" s="1075" t="str">
        <f>IF(ReportData!$C$3="Annual","",ReportData!$E$28)</f>
        <v/>
      </c>
      <c r="F41" s="1075" t="str">
        <f>IF(ReportData!$C$3="Annual","",ReportData!$F$28)</f>
        <v/>
      </c>
      <c r="G41" s="1075" t="str">
        <f>IF(ReportData!$C$3="Annual","",ReportData!$G$28)</f>
        <v/>
      </c>
      <c r="H41" s="1076" t="str">
        <f>IF(ReportData!$C$3="Annual","",ReportData!$H$28)</f>
        <v/>
      </c>
      <c r="I41" s="1080"/>
      <c r="J41" s="1075" t="str">
        <f>IF(ReportData!$C$3="Annual","",ReportData!$D$28)</f>
        <v/>
      </c>
      <c r="K41" s="1075" t="str">
        <f>IF(ReportData!$C$3="Annual","",ReportData!$E$28)</f>
        <v/>
      </c>
      <c r="L41" s="1075" t="str">
        <f>IF(ReportData!$C$3="Annual","",ReportData!$F$28)</f>
        <v/>
      </c>
      <c r="M41" s="1075" t="str">
        <f>IF(ReportData!$C$3="Annual","",ReportData!$G$28)</f>
        <v/>
      </c>
      <c r="N41" s="1076" t="str">
        <f>IF(ReportData!$C$3="Annual","",ReportData!$H$28)</f>
        <v/>
      </c>
      <c r="O41" s="1080"/>
      <c r="P41" s="1075" t="str">
        <f>IF(ReportData!$C$3="Annual","",ReportData!$D$28)</f>
        <v/>
      </c>
      <c r="Q41" s="1075" t="str">
        <f>IF(ReportData!$C$3="Annual","",ReportData!$E$28)</f>
        <v/>
      </c>
      <c r="R41" s="1075" t="str">
        <f>IF(ReportData!$C$3="Annual","",ReportData!$F$28)</f>
        <v/>
      </c>
      <c r="S41" s="1075" t="str">
        <f>IF(ReportData!$C$3="Annual","",ReportData!$G$28)</f>
        <v/>
      </c>
      <c r="T41" s="1076" t="str">
        <f>IF(ReportData!$C$3="Annual","",ReportData!$H$28)</f>
        <v/>
      </c>
      <c r="U41" s="209"/>
      <c r="V41" s="62"/>
    </row>
    <row r="42" spans="1:28" ht="21" customHeight="1">
      <c r="A42" s="546"/>
      <c r="B42" s="1725" t="s">
        <v>629</v>
      </c>
      <c r="C42" s="554"/>
      <c r="D42" s="1723">
        <f>VLOOKUP(CONCATENATE(D$36,ReportData!$C$3,Population!$A42),ReportData!$B$34:$H$358,J$32,FALSE)</f>
        <v>43525</v>
      </c>
      <c r="E42" s="1723">
        <f>VLOOKUP(CONCATENATE(E$36,ReportData!$C$3,Population!$A42),ReportData!$B$34:$H$358,K$32,FALSE)</f>
        <v>43891</v>
      </c>
      <c r="F42" s="1723">
        <f>VLOOKUP(CONCATENATE(F$36,ReportData!$C$3,Population!$A42),ReportData!$B$34:$H$358,L$32,FALSE)</f>
        <v>44256</v>
      </c>
      <c r="G42" s="1723">
        <f>VLOOKUP(CONCATENATE(G$36,ReportData!$C$3,Population!$A42),ReportData!$B$34:$H$358,M$32,FALSE)</f>
        <v>44621</v>
      </c>
      <c r="H42" s="1732">
        <f>VLOOKUP(CONCATENATE(H$36,ReportData!$C$3,Population!$A42),ReportData!$B$34:$H$358,N$32,FALSE)</f>
        <v>44986</v>
      </c>
      <c r="I42" s="1080"/>
      <c r="J42" s="1723">
        <f>VLOOKUP(CONCATENATE(J$36,ReportData!$C$3,Population!$A42),ReportData!$B$34:$H$358,P$32,FALSE)</f>
        <v>43891</v>
      </c>
      <c r="K42" s="1723">
        <f>VLOOKUP(CONCATENATE(K$36,ReportData!$C$3,Population!$A42),ReportData!$B$34:$H$358,Q$32,FALSE)</f>
        <v>44256</v>
      </c>
      <c r="L42" s="1723">
        <f>VLOOKUP(CONCATENATE(L$36,ReportData!$C$3,Population!$A42),ReportData!$B$34:$H$358,R$32,FALSE)</f>
        <v>44621</v>
      </c>
      <c r="M42" s="1723">
        <f>VLOOKUP(CONCATENATE(M$36,ReportData!$C$3,Population!$A42),ReportData!$B$34:$H$358,S$32,FALSE)</f>
        <v>44986</v>
      </c>
      <c r="N42" s="1732">
        <f>VLOOKUP(CONCATENATE(N$36,ReportData!$C$3,Population!$A42),ReportData!$B$34:$H$358,N$32,FALSE)</f>
        <v>44986</v>
      </c>
      <c r="O42" s="1080"/>
      <c r="P42" s="1723" t="str">
        <f>VLOOKUP(CONCATENATE(P$36,ReportData!$C$3,Population!$A42),ReportData!$B$34:$H$452,P$32,FALSE)</f>
        <v>mid-2020</v>
      </c>
      <c r="Q42" s="1723" t="str">
        <f>VLOOKUP(CONCATENATE(Q$36,ReportData!$C$3,Population!$A42),ReportData!$B$34:$H$452,Q$32,FALSE)</f>
        <v>mid-2021</v>
      </c>
      <c r="R42" s="1723" t="str">
        <f>VLOOKUP(CONCATENATE(R$36,ReportData!$C$3,Population!$A42),ReportData!$B$34:$H$452,R$32,FALSE)</f>
        <v>mid-2022</v>
      </c>
      <c r="S42" s="1723" t="str">
        <f>VLOOKUP(CONCATENATE(S$36,ReportData!$C$3,Population!$A42),ReportData!$B$34:$H$452,S$32,FALSE)</f>
        <v>mid-2023</v>
      </c>
      <c r="T42" s="1732" t="str">
        <f>VLOOKUP(CONCATENATE(T$36,ReportData!$C$3,Population!$A42),ReportData!$B$34:$H$452,N$32,FALSE)</f>
        <v>mid-2023</v>
      </c>
      <c r="U42" s="209"/>
      <c r="V42" s="62"/>
    </row>
    <row r="43" spans="1:28" ht="15" customHeight="1">
      <c r="A43" s="546"/>
      <c r="B43" s="1726"/>
      <c r="C43" s="554"/>
      <c r="D43" s="1724"/>
      <c r="E43" s="1724"/>
      <c r="F43" s="1724"/>
      <c r="G43" s="1724"/>
      <c r="H43" s="1733"/>
      <c r="I43" s="1080"/>
      <c r="J43" s="1724"/>
      <c r="K43" s="1724"/>
      <c r="L43" s="1724"/>
      <c r="M43" s="1724"/>
      <c r="N43" s="1733"/>
      <c r="O43" s="1080"/>
      <c r="P43" s="1724"/>
      <c r="Q43" s="1724"/>
      <c r="R43" s="1724"/>
      <c r="S43" s="1724"/>
      <c r="T43" s="1733"/>
      <c r="U43" s="209"/>
      <c r="V43" s="62"/>
    </row>
    <row r="44" spans="1:28" s="60" customFormat="1" ht="15.75" customHeight="1">
      <c r="A44" s="1103">
        <f>VLOOKUP(B44,ReportData!$AQ$4:$AR$25,2,FALSE)</f>
        <v>0</v>
      </c>
      <c r="B44" s="885" t="s">
        <v>0</v>
      </c>
      <c r="C44" s="554"/>
      <c r="D44" s="1272">
        <f>VLOOKUP(CONCATENATE(D$36,ReportData!$C$3,Population!$B44),ReportData!$B$34:$H$358,J$32,FALSE)</f>
        <v>2190</v>
      </c>
      <c r="E44" s="1272">
        <f>VLOOKUP(CONCATENATE(E$36,ReportData!$C$3,Population!$B44),ReportData!$B$34:$H$358,K$32,FALSE)</f>
        <v>2210</v>
      </c>
      <c r="F44" s="1272">
        <f>VLOOKUP(CONCATENATE(F$36,ReportData!$C$3,Population!$B44),ReportData!$B$34:$H$358,L$32,FALSE)</f>
        <v>2610</v>
      </c>
      <c r="G44" s="1272">
        <f>VLOOKUP(CONCATENATE(G$36,ReportData!$C$3,Population!$B44),ReportData!$B$34:$H$358,M$32,FALSE)</f>
        <v>2722</v>
      </c>
      <c r="H44" s="1273">
        <f>VLOOKUP(CONCATENATE(H$36,ReportData!$C$3,Population!$B44),ReportData!$B$34:$H$358,N$32,FALSE)</f>
        <v>2710</v>
      </c>
      <c r="I44" s="1080"/>
      <c r="J44" s="1272">
        <f>VLOOKUP(CONCATENATE(J$36,ReportData!$C$3,Population!$B44),ReportData!$B$34:$H$358,J$32,FALSE)</f>
        <v>2180</v>
      </c>
      <c r="K44" s="1272">
        <f>VLOOKUP(CONCATENATE(K$36,ReportData!$C$3,Population!$B44),ReportData!$B$34:$H$358,K$32,FALSE)</f>
        <v>2210</v>
      </c>
      <c r="L44" s="1272">
        <f>VLOOKUP(CONCATENATE(L$36,ReportData!$C$3,Population!$B44),ReportData!$B$34:$H$358,L$32,FALSE)</f>
        <v>2610</v>
      </c>
      <c r="M44" s="1272">
        <f>VLOOKUP(CONCATENATE(M$36,ReportData!$C$3,Population!$B44),ReportData!$B$34:$H$358,M$32,FALSE)</f>
        <v>2722</v>
      </c>
      <c r="N44" s="1273">
        <f>VLOOKUP(CONCATENATE(N$36,ReportData!$C$3,Population!$B44),ReportData!$B$34:$H$358,N$32,FALSE)</f>
        <v>2725</v>
      </c>
      <c r="O44" s="1080"/>
      <c r="P44" s="1272">
        <f>VLOOKUP(CONCATENATE(P$36,ReportData!$C$3,Population!$B44),ReportData!$B$34:$H$452,J$32,FALSE)</f>
        <v>17138</v>
      </c>
      <c r="Q44" s="1272">
        <f>VLOOKUP(CONCATENATE(Q$36,ReportData!$C$3,Population!$B44),ReportData!$B$34:$H$452,K$32,FALSE)</f>
        <v>17360</v>
      </c>
      <c r="R44" s="1272">
        <f>VLOOKUP(CONCATENATE(R$36,ReportData!$C$3,Population!$B44),ReportData!$B$34:$H$452,L$32,FALSE)</f>
        <v>17518</v>
      </c>
      <c r="S44" s="1272">
        <f>VLOOKUP(CONCATENATE(S$36,ReportData!$C$3,Population!$B44),ReportData!$B$34:$H$452,M$32,FALSE)</f>
        <v>17697</v>
      </c>
      <c r="T44" s="1273">
        <f>VLOOKUP(CONCATENATE(T$36,ReportData!$C$3,Population!$B44),ReportData!$B$34:$H$452,N$32,FALSE)</f>
        <v>18038</v>
      </c>
      <c r="U44" s="212"/>
      <c r="V44" s="63"/>
      <c r="W44" s="52"/>
      <c r="X44" s="52"/>
      <c r="Y44" s="52"/>
      <c r="Z44" s="52"/>
      <c r="AA44" s="52"/>
      <c r="AB44" s="53"/>
    </row>
    <row r="45" spans="1:28" s="60" customFormat="1" ht="15.75" customHeight="1">
      <c r="A45" s="1103">
        <f>VLOOKUP(B45,ReportData!$AQ$4:$AR$25,2,FALSE)</f>
        <v>0</v>
      </c>
      <c r="B45" s="885" t="s">
        <v>28</v>
      </c>
      <c r="C45" s="554"/>
      <c r="D45" s="1272">
        <f>VLOOKUP(CONCATENATE(D$36,ReportData!$C$3,Population!$B45),ReportData!$B$34:$H$358,J$32,FALSE)</f>
        <v>4900</v>
      </c>
      <c r="E45" s="1272">
        <f>VLOOKUP(CONCATENATE(E$36,ReportData!$C$3,Population!$B45),ReportData!$B$34:$H$358,K$32,FALSE)</f>
        <v>4770</v>
      </c>
      <c r="F45" s="1272">
        <f>VLOOKUP(CONCATENATE(F$36,ReportData!$C$3,Population!$B45),ReportData!$B$34:$H$358,L$32,FALSE)</f>
        <v>5020</v>
      </c>
      <c r="G45" s="1272">
        <f>VLOOKUP(CONCATENATE(G$36,ReportData!$C$3,Population!$B45),ReportData!$B$34:$H$358,M$32,FALSE)</f>
        <v>5074</v>
      </c>
      <c r="H45" s="1273">
        <f>VLOOKUP(CONCATENATE(H$36,ReportData!$C$3,Population!$B45),ReportData!$B$34:$H$358,N$32,FALSE)</f>
        <v>5217</v>
      </c>
      <c r="I45" s="1080"/>
      <c r="J45" s="1272">
        <f>VLOOKUP(CONCATENATE(J$36,ReportData!$C$3,Population!$B45),ReportData!$B$34:$H$358,J$32,FALSE)</f>
        <v>4910</v>
      </c>
      <c r="K45" s="1272">
        <f>VLOOKUP(CONCATENATE(K$36,ReportData!$C$3,Population!$B45),ReportData!$B$34:$H$358,K$32,FALSE)</f>
        <v>4770</v>
      </c>
      <c r="L45" s="1272">
        <f>VLOOKUP(CONCATENATE(L$36,ReportData!$C$3,Population!$B45),ReportData!$B$34:$H$358,L$32,FALSE)</f>
        <v>5020</v>
      </c>
      <c r="M45" s="1272">
        <f>VLOOKUP(CONCATENATE(M$36,ReportData!$C$3,Population!$B45),ReportData!$B$34:$H$358,M$32,FALSE)</f>
        <v>5074</v>
      </c>
      <c r="N45" s="1273">
        <f>VLOOKUP(CONCATENATE(N$36,ReportData!$C$3,Population!$B45),ReportData!$B$34:$H$358,N$32,FALSE)</f>
        <v>5222</v>
      </c>
      <c r="O45" s="1080"/>
      <c r="P45" s="1272">
        <f>VLOOKUP(CONCATENATE(P$36,ReportData!$C$3,Population!$B45),ReportData!$B$34:$H$452,J$32,FALSE)</f>
        <v>30205</v>
      </c>
      <c r="Q45" s="1272">
        <f>VLOOKUP(CONCATENATE(Q$36,ReportData!$C$3,Population!$B45),ReportData!$B$34:$H$452,K$32,FALSE)</f>
        <v>30115</v>
      </c>
      <c r="R45" s="1272">
        <f>VLOOKUP(CONCATENATE(R$36,ReportData!$C$3,Population!$B45),ReportData!$B$34:$H$452,L$32,FALSE)</f>
        <v>29890</v>
      </c>
      <c r="S45" s="1272">
        <f>VLOOKUP(CONCATENATE(S$36,ReportData!$C$3,Population!$B45),ReportData!$B$34:$H$452,M$32,FALSE)</f>
        <v>29877</v>
      </c>
      <c r="T45" s="1273">
        <f>VLOOKUP(CONCATENATE(T$36,ReportData!$C$3,Population!$B45),ReportData!$B$34:$H$452,N$32,FALSE)</f>
        <v>29681</v>
      </c>
      <c r="U45" s="212"/>
      <c r="V45" s="63"/>
      <c r="W45" s="52"/>
      <c r="X45" s="52"/>
      <c r="Y45" s="52"/>
      <c r="Z45" s="52"/>
      <c r="AA45" s="52"/>
      <c r="AB45" s="53"/>
    </row>
    <row r="46" spans="1:28" s="60" customFormat="1" ht="15.75" customHeight="1">
      <c r="A46" s="1103">
        <f>VLOOKUP(B46,ReportData!$AQ$4:$AR$25,2,FALSE)</f>
        <v>0</v>
      </c>
      <c r="B46" s="885" t="s">
        <v>8</v>
      </c>
      <c r="C46" s="554"/>
      <c r="D46" s="1272">
        <f>VLOOKUP(CONCATENATE(D$36,ReportData!$C$3,Population!$B46),ReportData!$B$34:$H$358,J$32,FALSE)</f>
        <v>11580</v>
      </c>
      <c r="E46" s="1272">
        <f>VLOOKUP(CONCATENATE(E$36,ReportData!$C$3,Population!$B46),ReportData!$B$34:$H$358,K$32,FALSE)</f>
        <v>11760</v>
      </c>
      <c r="F46" s="1272">
        <f>VLOOKUP(CONCATENATE(F$36,ReportData!$C$3,Population!$B46),ReportData!$B$34:$H$358,L$32,FALSE)</f>
        <v>12390</v>
      </c>
      <c r="G46" s="1272">
        <f>VLOOKUP(CONCATENATE(G$36,ReportData!$C$3,Population!$B46),ReportData!$B$34:$H$358,M$32,FALSE)</f>
        <v>12516</v>
      </c>
      <c r="H46" s="1273">
        <f>VLOOKUP(CONCATENATE(H$36,ReportData!$C$3,Population!$B46),ReportData!$B$34:$H$358,N$32,FALSE)</f>
        <v>12474</v>
      </c>
      <c r="I46" s="1080"/>
      <c r="J46" s="1272">
        <f>VLOOKUP(CONCATENATE(J$36,ReportData!$C$3,Population!$B46),ReportData!$B$34:$H$358,J$32,FALSE)</f>
        <v>11630</v>
      </c>
      <c r="K46" s="1272">
        <f>VLOOKUP(CONCATENATE(K$36,ReportData!$C$3,Population!$B46),ReportData!$B$34:$H$358,K$32,FALSE)</f>
        <v>11760</v>
      </c>
      <c r="L46" s="1272">
        <f>VLOOKUP(CONCATENATE(L$36,ReportData!$C$3,Population!$B46),ReportData!$B$34:$H$358,L$32,FALSE)</f>
        <v>12410</v>
      </c>
      <c r="M46" s="1272">
        <f>VLOOKUP(CONCATENATE(M$36,ReportData!$C$3,Population!$B46),ReportData!$B$34:$H$358,M$32,FALSE)</f>
        <v>12516</v>
      </c>
      <c r="N46" s="1273">
        <f>VLOOKUP(CONCATENATE(N$36,ReportData!$C$3,Population!$B46),ReportData!$B$34:$H$358,N$32,FALSE)</f>
        <v>12469</v>
      </c>
      <c r="O46" s="1080"/>
      <c r="P46" s="1272">
        <f>VLOOKUP(CONCATENATE(P$36,ReportData!$C$3,Population!$B46),ReportData!$B$34:$H$452,J$32,FALSE)</f>
        <v>77581</v>
      </c>
      <c r="Q46" s="1272">
        <f>VLOOKUP(CONCATENATE(Q$36,ReportData!$C$3,Population!$B46),ReportData!$B$34:$H$452,K$32,FALSE)</f>
        <v>78144</v>
      </c>
      <c r="R46" s="1272">
        <f>VLOOKUP(CONCATENATE(R$36,ReportData!$C$3,Population!$B46),ReportData!$B$34:$H$452,L$32,FALSE)</f>
        <v>78823</v>
      </c>
      <c r="S46" s="1272">
        <f>VLOOKUP(CONCATENATE(S$36,ReportData!$C$3,Population!$B46),ReportData!$B$34:$H$452,M$32,FALSE)</f>
        <v>80548</v>
      </c>
      <c r="T46" s="1273">
        <f>VLOOKUP(CONCATENATE(T$36,ReportData!$C$3,Population!$B46),ReportData!$B$34:$H$452,N$32,FALSE)</f>
        <v>81955</v>
      </c>
      <c r="U46" s="212"/>
      <c r="V46" s="63"/>
      <c r="W46" s="52"/>
      <c r="X46" s="52"/>
      <c r="Y46" s="52"/>
      <c r="Z46" s="52"/>
      <c r="AA46" s="52"/>
      <c r="AB46" s="53"/>
    </row>
    <row r="47" spans="1:28" s="60" customFormat="1" ht="15.75" customHeight="1">
      <c r="A47" s="1103">
        <f>VLOOKUP(B47,ReportData!$AQ$4:$AR$25,2,FALSE)</f>
        <v>0</v>
      </c>
      <c r="B47" s="885" t="s">
        <v>4</v>
      </c>
      <c r="C47" s="554"/>
      <c r="D47" s="1272">
        <f>VLOOKUP(CONCATENATE(D$36,ReportData!$C$3,Population!$B47),ReportData!$B$34:$H$358,J$32,FALSE)</f>
        <v>10540</v>
      </c>
      <c r="E47" s="1272">
        <f>VLOOKUP(CONCATENATE(E$36,ReportData!$C$3,Population!$B47),ReportData!$B$34:$H$358,K$32,FALSE)</f>
        <v>10360</v>
      </c>
      <c r="F47" s="1272">
        <f>VLOOKUP(CONCATENATE(F$36,ReportData!$C$3,Population!$B47),ReportData!$B$34:$H$358,L$32,FALSE)</f>
        <v>10620</v>
      </c>
      <c r="G47" s="1272">
        <f>VLOOKUP(CONCATENATE(G$36,ReportData!$C$3,Population!$B47),ReportData!$B$34:$H$358,M$32,FALSE)</f>
        <v>10672</v>
      </c>
      <c r="H47" s="1273">
        <f>VLOOKUP(CONCATENATE(H$36,ReportData!$C$3,Population!$B47),ReportData!$B$34:$H$358,N$32,FALSE)</f>
        <v>11243</v>
      </c>
      <c r="I47" s="1080"/>
      <c r="J47" s="1272">
        <f>VLOOKUP(CONCATENATE(J$36,ReportData!$C$3,Population!$B47),ReportData!$B$34:$H$358,J$32,FALSE)</f>
        <v>10560</v>
      </c>
      <c r="K47" s="1272">
        <f>VLOOKUP(CONCATENATE(K$36,ReportData!$C$3,Population!$B47),ReportData!$B$34:$H$358,K$32,FALSE)</f>
        <v>10350</v>
      </c>
      <c r="L47" s="1272">
        <f>VLOOKUP(CONCATENATE(L$36,ReportData!$C$3,Population!$B47),ReportData!$B$34:$H$358,L$32,FALSE)</f>
        <v>10610</v>
      </c>
      <c r="M47" s="1272">
        <f>VLOOKUP(CONCATENATE(M$36,ReportData!$C$3,Population!$B47),ReportData!$B$34:$H$358,M$32,FALSE)</f>
        <v>10672</v>
      </c>
      <c r="N47" s="1273">
        <f>VLOOKUP(CONCATENATE(N$36,ReportData!$C$3,Population!$B47),ReportData!$B$34:$H$358,N$32,FALSE)</f>
        <v>11259</v>
      </c>
      <c r="O47" s="1080"/>
      <c r="P47" s="1272">
        <f>VLOOKUP(CONCATENATE(P$36,ReportData!$C$3,Population!$B47),ReportData!$B$34:$H$452,J$32,FALSE)</f>
        <v>65565</v>
      </c>
      <c r="Q47" s="1272">
        <f>VLOOKUP(CONCATENATE(Q$36,ReportData!$C$3,Population!$B47),ReportData!$B$34:$H$452,K$32,FALSE)</f>
        <v>65369</v>
      </c>
      <c r="R47" s="1272">
        <f>VLOOKUP(CONCATENATE(R$36,ReportData!$C$3,Population!$B47),ReportData!$B$34:$H$452,L$32,FALSE)</f>
        <v>65232</v>
      </c>
      <c r="S47" s="1272">
        <f>VLOOKUP(CONCATENATE(S$36,ReportData!$C$3,Population!$B47),ReportData!$B$34:$H$452,M$32,FALSE)</f>
        <v>65833</v>
      </c>
      <c r="T47" s="1273">
        <f>VLOOKUP(CONCATENATE(T$36,ReportData!$C$3,Population!$B47),ReportData!$B$34:$H$452,N$32,FALSE)</f>
        <v>66346</v>
      </c>
      <c r="U47" s="212"/>
      <c r="V47" s="63"/>
      <c r="W47" s="52"/>
      <c r="X47" s="52"/>
      <c r="Y47" s="52"/>
      <c r="Z47" s="52"/>
      <c r="AA47" s="52"/>
      <c r="AB47" s="53"/>
    </row>
    <row r="48" spans="1:28" s="60" customFormat="1" ht="15.75" customHeight="1">
      <c r="A48" s="1103">
        <f>VLOOKUP(B48,ReportData!$AQ$4:$AR$25,2,FALSE)</f>
        <v>0</v>
      </c>
      <c r="B48" s="885" t="s">
        <v>6</v>
      </c>
      <c r="C48" s="554"/>
      <c r="D48" s="1272">
        <f>VLOOKUP(CONCATENATE(D$36,ReportData!$C$3,Population!$B48),ReportData!$B$34:$H$358,J$32,FALSE)</f>
        <v>26920</v>
      </c>
      <c r="E48" s="1272">
        <f>VLOOKUP(CONCATENATE(E$36,ReportData!$C$3,Population!$B48),ReportData!$B$34:$H$358,K$32,FALSE)</f>
        <v>27680</v>
      </c>
      <c r="F48" s="1272">
        <f>VLOOKUP(CONCATENATE(F$36,ReportData!$C$3,Population!$B48),ReportData!$B$34:$H$358,L$32,FALSE)</f>
        <v>28640</v>
      </c>
      <c r="G48" s="1272">
        <f>VLOOKUP(CONCATENATE(G$36,ReportData!$C$3,Population!$B48),ReportData!$B$34:$H$358,M$32,FALSE)</f>
        <v>29537</v>
      </c>
      <c r="H48" s="1273">
        <f>VLOOKUP(CONCATENATE(H$36,ReportData!$C$3,Population!$B48),ReportData!$B$34:$H$358,N$32,FALSE)</f>
        <v>30087</v>
      </c>
      <c r="I48" s="1080"/>
      <c r="J48" s="1272">
        <f>VLOOKUP(CONCATENATE(J$36,ReportData!$C$3,Population!$B48),ReportData!$B$34:$H$358,J$32,FALSE)</f>
        <v>26920</v>
      </c>
      <c r="K48" s="1272">
        <f>VLOOKUP(CONCATENATE(K$36,ReportData!$C$3,Population!$B48),ReportData!$B$34:$H$358,K$32,FALSE)</f>
        <v>27690</v>
      </c>
      <c r="L48" s="1272">
        <f>VLOOKUP(CONCATENATE(L$36,ReportData!$C$3,Population!$B48),ReportData!$B$34:$H$358,L$32,FALSE)</f>
        <v>28660</v>
      </c>
      <c r="M48" s="1272">
        <f>VLOOKUP(CONCATENATE(M$36,ReportData!$C$3,Population!$B48),ReportData!$B$34:$H$358,M$32,FALSE)</f>
        <v>29537</v>
      </c>
      <c r="N48" s="1273">
        <f>VLOOKUP(CONCATENATE(N$36,ReportData!$C$3,Population!$B48),ReportData!$B$34:$H$358,N$32,FALSE)</f>
        <v>30088</v>
      </c>
      <c r="O48" s="1080"/>
      <c r="P48" s="1272">
        <f>VLOOKUP(CONCATENATE(P$36,ReportData!$C$3,Population!$B48),ReportData!$B$34:$H$452,J$32,FALSE)</f>
        <v>176881</v>
      </c>
      <c r="Q48" s="1272">
        <f>VLOOKUP(CONCATENATE(Q$36,ReportData!$C$3,Population!$B48),ReportData!$B$34:$H$452,K$32,FALSE)</f>
        <v>177474</v>
      </c>
      <c r="R48" s="1272">
        <f>VLOOKUP(CONCATENATE(R$36,ReportData!$C$3,Population!$B48),ReportData!$B$34:$H$452,L$32,FALSE)</f>
        <v>178793</v>
      </c>
      <c r="S48" s="1272">
        <f>VLOOKUP(CONCATENATE(S$36,ReportData!$C$3,Population!$B48),ReportData!$B$34:$H$452,M$32,FALSE)</f>
        <v>180906</v>
      </c>
      <c r="T48" s="1273">
        <f>VLOOKUP(CONCATENATE(T$36,ReportData!$C$3,Population!$B48),ReportData!$B$34:$H$452,N$32,FALSE)</f>
        <v>182435</v>
      </c>
      <c r="U48" s="212"/>
      <c r="V48" s="63"/>
      <c r="W48" s="52"/>
      <c r="X48" s="52"/>
      <c r="Y48" s="52"/>
      <c r="Z48" s="52"/>
      <c r="AA48" s="52"/>
      <c r="AB48" s="53"/>
    </row>
    <row r="49" spans="1:28" s="60" customFormat="1" ht="15.75" customHeight="1">
      <c r="A49" s="1103">
        <f>VLOOKUP(B49,ReportData!$AQ$4:$AR$25,2,FALSE)</f>
        <v>0</v>
      </c>
      <c r="B49" s="885" t="s">
        <v>1</v>
      </c>
      <c r="C49" s="554"/>
      <c r="D49" s="1272">
        <f>VLOOKUP(CONCATENATE(D$36,ReportData!$C$3,Population!$B49),ReportData!$B$34:$H$358,J$32,FALSE)</f>
        <v>2520</v>
      </c>
      <c r="E49" s="1272">
        <f>VLOOKUP(CONCATENATE(E$36,ReportData!$C$3,Population!$B49),ReportData!$B$34:$H$358,K$32,FALSE)</f>
        <v>2480</v>
      </c>
      <c r="F49" s="1272">
        <f>VLOOKUP(CONCATENATE(F$36,ReportData!$C$3,Population!$B49),ReportData!$B$34:$H$358,L$32,FALSE)</f>
        <v>2650</v>
      </c>
      <c r="G49" s="1272">
        <f>VLOOKUP(CONCATENATE(G$36,ReportData!$C$3,Population!$B49),ReportData!$B$34:$H$358,M$32,FALSE)</f>
        <v>2733</v>
      </c>
      <c r="H49" s="1273">
        <f>VLOOKUP(CONCATENATE(H$36,ReportData!$C$3,Population!$B49),ReportData!$B$34:$H$358,N$32,FALSE)</f>
        <v>2816</v>
      </c>
      <c r="I49" s="1080"/>
      <c r="J49" s="1272">
        <f>VLOOKUP(CONCATENATE(J$36,ReportData!$C$3,Population!$B49),ReportData!$B$34:$H$358,J$32,FALSE)</f>
        <v>2530</v>
      </c>
      <c r="K49" s="1272">
        <f>VLOOKUP(CONCATENATE(K$36,ReportData!$C$3,Population!$B49),ReportData!$B$34:$H$358,K$32,FALSE)</f>
        <v>2480</v>
      </c>
      <c r="L49" s="1272">
        <f>VLOOKUP(CONCATENATE(L$36,ReportData!$C$3,Population!$B49),ReportData!$B$34:$H$358,L$32,FALSE)</f>
        <v>2620</v>
      </c>
      <c r="M49" s="1272">
        <f>VLOOKUP(CONCATENATE(M$36,ReportData!$C$3,Population!$B49),ReportData!$B$34:$H$358,M$32,FALSE)</f>
        <v>2733</v>
      </c>
      <c r="N49" s="1273">
        <f>VLOOKUP(CONCATENATE(N$36,ReportData!$C$3,Population!$B49),ReportData!$B$34:$H$358,N$32,FALSE)</f>
        <v>2750</v>
      </c>
      <c r="O49" s="1080"/>
      <c r="P49" s="1272">
        <f>VLOOKUP(CONCATENATE(P$36,ReportData!$C$3,Population!$B49),ReportData!$B$34:$H$452,J$32,FALSE)</f>
        <v>15502</v>
      </c>
      <c r="Q49" s="1272">
        <f>VLOOKUP(CONCATENATE(Q$36,ReportData!$C$3,Population!$B49),ReportData!$B$34:$H$452,K$32,FALSE)</f>
        <v>15395</v>
      </c>
      <c r="R49" s="1272">
        <f>VLOOKUP(CONCATENATE(R$36,ReportData!$C$3,Population!$B49),ReportData!$B$34:$H$452,L$32,FALSE)</f>
        <v>15272</v>
      </c>
      <c r="S49" s="1272">
        <f>VLOOKUP(CONCATENATE(S$36,ReportData!$C$3,Population!$B49),ReportData!$B$34:$H$452,M$32,FALSE)</f>
        <v>15257</v>
      </c>
      <c r="T49" s="1273">
        <f>VLOOKUP(CONCATENATE(T$36,ReportData!$C$3,Population!$B49),ReportData!$B$34:$H$452,N$32,FALSE)</f>
        <v>15211</v>
      </c>
      <c r="U49" s="212"/>
      <c r="V49" s="63"/>
      <c r="W49" s="52"/>
      <c r="X49" s="52"/>
      <c r="Y49" s="52"/>
      <c r="Z49" s="52"/>
      <c r="AA49" s="52"/>
      <c r="AB49" s="53"/>
    </row>
    <row r="50" spans="1:28" s="60" customFormat="1" ht="15.75" customHeight="1">
      <c r="A50" s="1103">
        <f>VLOOKUP(B50,ReportData!$AQ$4:$AR$25,2,FALSE)</f>
        <v>0</v>
      </c>
      <c r="B50" s="885" t="s">
        <v>9</v>
      </c>
      <c r="C50" s="554"/>
      <c r="D50" s="1272">
        <f>VLOOKUP(CONCATENATE(D$36,ReportData!$C$3,Population!$B50),ReportData!$B$34:$H$358,J$32,FALSE)</f>
        <v>32580</v>
      </c>
      <c r="E50" s="1272">
        <f>VLOOKUP(CONCATENATE(E$36,ReportData!$C$3,Population!$B50),ReportData!$B$34:$H$358,K$32,FALSE)</f>
        <v>32280</v>
      </c>
      <c r="F50" s="1272">
        <f>VLOOKUP(CONCATENATE(F$36,ReportData!$C$3,Population!$B50),ReportData!$B$34:$H$358,L$32,FALSE)</f>
        <v>33610</v>
      </c>
      <c r="G50" s="1272">
        <f>VLOOKUP(CONCATENATE(G$36,ReportData!$C$3,Population!$B50),ReportData!$B$34:$H$358,M$32,FALSE)</f>
        <v>33437</v>
      </c>
      <c r="H50" s="1273">
        <f>VLOOKUP(CONCATENATE(H$36,ReportData!$C$3,Population!$B50),ReportData!$B$34:$H$358,N$32,FALSE)</f>
        <v>34182</v>
      </c>
      <c r="I50" s="1080"/>
      <c r="J50" s="1272">
        <f>VLOOKUP(CONCATENATE(J$36,ReportData!$C$3,Population!$B50),ReportData!$B$34:$H$358,J$32,FALSE)</f>
        <v>32480</v>
      </c>
      <c r="K50" s="1272">
        <f>VLOOKUP(CONCATENATE(K$36,ReportData!$C$3,Population!$B50),ReportData!$B$34:$H$358,K$32,FALSE)</f>
        <v>32260</v>
      </c>
      <c r="L50" s="1272">
        <f>VLOOKUP(CONCATENATE(L$36,ReportData!$C$3,Population!$B50),ReportData!$B$34:$H$358,L$32,FALSE)</f>
        <v>33600</v>
      </c>
      <c r="M50" s="1272">
        <f>VLOOKUP(CONCATENATE(M$36,ReportData!$C$3,Population!$B50),ReportData!$B$34:$H$358,M$32,FALSE)</f>
        <v>33437</v>
      </c>
      <c r="N50" s="1273">
        <f>VLOOKUP(CONCATENATE(N$36,ReportData!$C$3,Population!$B50),ReportData!$B$34:$H$358,N$32,FALSE)</f>
        <v>34173</v>
      </c>
      <c r="O50" s="1080"/>
      <c r="P50" s="1272">
        <f>VLOOKUP(CONCATENATE(P$36,ReportData!$C$3,Population!$B50),ReportData!$B$34:$H$452,J$32,FALSE)</f>
        <v>209178</v>
      </c>
      <c r="Q50" s="1272">
        <f>VLOOKUP(CONCATENATE(Q$36,ReportData!$C$3,Population!$B50),ReportData!$B$34:$H$452,K$32,FALSE)</f>
        <v>210607</v>
      </c>
      <c r="R50" s="1272">
        <f>VLOOKUP(CONCATENATE(R$36,ReportData!$C$3,Population!$B50),ReportData!$B$34:$H$452,L$32,FALSE)</f>
        <v>212095</v>
      </c>
      <c r="S50" s="1272">
        <f>VLOOKUP(CONCATENATE(S$36,ReportData!$C$3,Population!$B50),ReportData!$B$34:$H$452,M$32,FALSE)</f>
        <v>217255</v>
      </c>
      <c r="T50" s="1273">
        <f>VLOOKUP(CONCATENATE(T$36,ReportData!$C$3,Population!$B50),ReportData!$B$34:$H$452,N$32,FALSE)</f>
        <v>221525</v>
      </c>
      <c r="U50" s="212"/>
      <c r="V50" s="63"/>
      <c r="W50" s="52"/>
      <c r="X50" s="52"/>
      <c r="Y50" s="52"/>
      <c r="Z50" s="52"/>
      <c r="AA50" s="52"/>
      <c r="AB50" s="53"/>
    </row>
    <row r="51" spans="1:28" s="60" customFormat="1" ht="15.75" customHeight="1">
      <c r="A51" s="1103">
        <f>VLOOKUP(B51,ReportData!$AQ$4:$AR$25,2,FALSE)</f>
        <v>0</v>
      </c>
      <c r="B51" s="885" t="s">
        <v>2</v>
      </c>
      <c r="C51" s="554"/>
      <c r="D51" s="1272">
        <f>VLOOKUP(CONCATENATE(D$36,ReportData!$C$3,Population!$B51),ReportData!$B$34:$H$358,J$32,FALSE)</f>
        <v>6370</v>
      </c>
      <c r="E51" s="1272">
        <f>VLOOKUP(CONCATENATE(E$36,ReportData!$C$3,Population!$B51),ReportData!$B$34:$H$358,K$32,FALSE)</f>
        <v>6290</v>
      </c>
      <c r="F51" s="1272">
        <f>VLOOKUP(CONCATENATE(F$36,ReportData!$C$3,Population!$B51),ReportData!$B$34:$H$358,L$32,FALSE)</f>
        <v>6450</v>
      </c>
      <c r="G51" s="1272">
        <f>VLOOKUP(CONCATENATE(G$36,ReportData!$C$3,Population!$B51),ReportData!$B$34:$H$358,M$32,FALSE)</f>
        <v>6617</v>
      </c>
      <c r="H51" s="1273">
        <f>VLOOKUP(CONCATENATE(H$36,ReportData!$C$3,Population!$B51),ReportData!$B$34:$H$358,N$32,FALSE)</f>
        <v>6905</v>
      </c>
      <c r="I51" s="1080"/>
      <c r="J51" s="1272">
        <f>VLOOKUP(CONCATENATE(J$36,ReportData!$C$3,Population!$B51),ReportData!$B$34:$H$358,J$32,FALSE)</f>
        <v>6370</v>
      </c>
      <c r="K51" s="1272">
        <f>VLOOKUP(CONCATENATE(K$36,ReportData!$C$3,Population!$B51),ReportData!$B$34:$H$358,K$32,FALSE)</f>
        <v>6300</v>
      </c>
      <c r="L51" s="1272">
        <f>VLOOKUP(CONCATENATE(L$36,ReportData!$C$3,Population!$B51),ReportData!$B$34:$H$358,L$32,FALSE)</f>
        <v>6520</v>
      </c>
      <c r="M51" s="1272">
        <f>VLOOKUP(CONCATENATE(M$36,ReportData!$C$3,Population!$B51),ReportData!$B$34:$H$358,M$32,FALSE)</f>
        <v>6617</v>
      </c>
      <c r="N51" s="1273">
        <f>VLOOKUP(CONCATENATE(N$36,ReportData!$C$3,Population!$B51),ReportData!$B$34:$H$358,N$32,FALSE)</f>
        <v>6901</v>
      </c>
      <c r="O51" s="1080"/>
      <c r="P51" s="1272">
        <f>VLOOKUP(CONCATENATE(P$36,ReportData!$C$3,Population!$B51),ReportData!$B$34:$H$452,J$32,FALSE)</f>
        <v>39148</v>
      </c>
      <c r="Q51" s="1272">
        <f>VLOOKUP(CONCATENATE(Q$36,ReportData!$C$3,Population!$B51),ReportData!$B$34:$H$452,K$32,FALSE)</f>
        <v>39385</v>
      </c>
      <c r="R51" s="1272">
        <f>VLOOKUP(CONCATENATE(R$36,ReportData!$C$3,Population!$B51),ReportData!$B$34:$H$452,L$32,FALSE)</f>
        <v>39760</v>
      </c>
      <c r="S51" s="1272">
        <f>VLOOKUP(CONCATENATE(S$36,ReportData!$C$3,Population!$B51),ReportData!$B$34:$H$452,M$32,FALSE)</f>
        <v>40782</v>
      </c>
      <c r="T51" s="1273">
        <f>VLOOKUP(CONCATENATE(T$36,ReportData!$C$3,Population!$B51),ReportData!$B$34:$H$452,N$32,FALSE)</f>
        <v>42135</v>
      </c>
      <c r="U51" s="212"/>
      <c r="V51" s="63"/>
      <c r="W51" s="52"/>
      <c r="X51" s="52"/>
      <c r="Y51" s="52"/>
      <c r="Z51" s="52"/>
      <c r="AA51" s="52"/>
      <c r="AB51" s="53"/>
    </row>
    <row r="52" spans="1:28" s="60" customFormat="1" ht="15.75" customHeight="1">
      <c r="A52" s="1103">
        <f>VLOOKUP(B52,ReportData!$AQ$4:$AR$25,2,FALSE)</f>
        <v>0</v>
      </c>
      <c r="B52" s="885" t="s">
        <v>10</v>
      </c>
      <c r="C52" s="554"/>
      <c r="D52" s="1272">
        <f>VLOOKUP(CONCATENATE(D$36,ReportData!$C$3,Population!$B52),ReportData!$B$34:$H$358,J$32,FALSE)</f>
        <v>6070</v>
      </c>
      <c r="E52" s="1272">
        <f>VLOOKUP(CONCATENATE(E$36,ReportData!$C$3,Population!$B52),ReportData!$B$34:$H$358,K$32,FALSE)</f>
        <v>6250</v>
      </c>
      <c r="F52" s="1272">
        <f>VLOOKUP(CONCATENATE(F$36,ReportData!$C$3,Population!$B52),ReportData!$B$34:$H$358,L$32,FALSE)</f>
        <v>6560</v>
      </c>
      <c r="G52" s="1272">
        <f>VLOOKUP(CONCATENATE(G$36,ReportData!$C$3,Population!$B52),ReportData!$B$34:$H$358,M$32,FALSE)</f>
        <v>6719</v>
      </c>
      <c r="H52" s="1273">
        <f>VLOOKUP(CONCATENATE(H$36,ReportData!$C$3,Population!$B52),ReportData!$B$34:$H$358,N$32,FALSE)</f>
        <v>6683</v>
      </c>
      <c r="I52" s="1080"/>
      <c r="J52" s="1272">
        <f>VLOOKUP(CONCATENATE(J$36,ReportData!$C$3,Population!$B52),ReportData!$B$34:$H$358,J$32,FALSE)</f>
        <v>6040</v>
      </c>
      <c r="K52" s="1272">
        <f>VLOOKUP(CONCATENATE(K$36,ReportData!$C$3,Population!$B52),ReportData!$B$34:$H$358,K$32,FALSE)</f>
        <v>6230</v>
      </c>
      <c r="L52" s="1272">
        <f>VLOOKUP(CONCATENATE(L$36,ReportData!$C$3,Population!$B52),ReportData!$B$34:$H$358,L$32,FALSE)</f>
        <v>6580</v>
      </c>
      <c r="M52" s="1272">
        <f>VLOOKUP(CONCATENATE(M$36,ReportData!$C$3,Population!$B52),ReportData!$B$34:$H$358,M$32,FALSE)</f>
        <v>6719</v>
      </c>
      <c r="N52" s="1273">
        <f>VLOOKUP(CONCATENATE(N$36,ReportData!$C$3,Population!$B52),ReportData!$B$34:$H$358,N$32,FALSE)</f>
        <v>6683</v>
      </c>
      <c r="O52" s="1080"/>
      <c r="P52" s="1272">
        <f>VLOOKUP(CONCATENATE(P$36,ReportData!$C$3,Population!$B52),ReportData!$B$34:$H$452,J$32,FALSE)</f>
        <v>43945</v>
      </c>
      <c r="Q52" s="1272">
        <f>VLOOKUP(CONCATENATE(Q$36,ReportData!$C$3,Population!$B52),ReportData!$B$34:$H$452,K$32,FALSE)</f>
        <v>44319</v>
      </c>
      <c r="R52" s="1272">
        <f>VLOOKUP(CONCATENATE(R$36,ReportData!$C$3,Population!$B52),ReportData!$B$34:$H$452,L$32,FALSE)</f>
        <v>44636</v>
      </c>
      <c r="S52" s="1272">
        <f>VLOOKUP(CONCATENATE(S$36,ReportData!$C$3,Population!$B52),ReportData!$B$34:$H$452,M$32,FALSE)</f>
        <v>45713</v>
      </c>
      <c r="T52" s="1273">
        <f>VLOOKUP(CONCATENATE(T$36,ReportData!$C$3,Population!$B52),ReportData!$B$34:$H$452,N$32,FALSE)</f>
        <v>47095</v>
      </c>
      <c r="U52" s="212"/>
      <c r="V52" s="63"/>
      <c r="W52" s="52"/>
      <c r="X52" s="52"/>
      <c r="Y52" s="52"/>
      <c r="Z52" s="52"/>
      <c r="AA52" s="52"/>
      <c r="AB52" s="53"/>
    </row>
    <row r="53" spans="1:28" s="60" customFormat="1" ht="15.75" customHeight="1">
      <c r="A53" s="1103">
        <f>VLOOKUP(B53,ReportData!$AQ$4:$AR$25,2,FALSE)</f>
        <v>0</v>
      </c>
      <c r="B53" s="885" t="s">
        <v>11</v>
      </c>
      <c r="C53" s="554"/>
      <c r="D53" s="1272">
        <f>VLOOKUP(CONCATENATE(D$36,ReportData!$C$3,Population!$B53),ReportData!$B$34:$H$358,J$32,FALSE)</f>
        <v>12450</v>
      </c>
      <c r="E53" s="1272">
        <f>VLOOKUP(CONCATENATE(E$36,ReportData!$C$3,Population!$B53),ReportData!$B$34:$H$358,K$32,FALSE)</f>
        <v>12820</v>
      </c>
      <c r="F53" s="1272">
        <f>VLOOKUP(CONCATENATE(F$36,ReportData!$C$3,Population!$B53),ReportData!$B$34:$H$358,L$32,FALSE)</f>
        <v>13310</v>
      </c>
      <c r="G53" s="1272">
        <f>VLOOKUP(CONCATENATE(G$36,ReportData!$C$3,Population!$B53),ReportData!$B$34:$H$358,M$32,FALSE)</f>
        <v>13356</v>
      </c>
      <c r="H53" s="1273">
        <f>VLOOKUP(CONCATENATE(H$36,ReportData!$C$3,Population!$B53),ReportData!$B$34:$H$358,N$32,FALSE)</f>
        <v>13966</v>
      </c>
      <c r="I53" s="1080"/>
      <c r="J53" s="1272">
        <f>VLOOKUP(CONCATENATE(J$36,ReportData!$C$3,Population!$B53),ReportData!$B$34:$H$358,J$32,FALSE)</f>
        <v>12410</v>
      </c>
      <c r="K53" s="1272">
        <f>VLOOKUP(CONCATENATE(K$36,ReportData!$C$3,Population!$B53),ReportData!$B$34:$H$358,K$32,FALSE)</f>
        <v>12740</v>
      </c>
      <c r="L53" s="1272">
        <f>VLOOKUP(CONCATENATE(L$36,ReportData!$C$3,Population!$B53),ReportData!$B$34:$H$358,L$32,FALSE)</f>
        <v>13230</v>
      </c>
      <c r="M53" s="1272">
        <f>VLOOKUP(CONCATENATE(M$36,ReportData!$C$3,Population!$B53),ReportData!$B$34:$H$358,M$32,FALSE)</f>
        <v>13356</v>
      </c>
      <c r="N53" s="1273">
        <f>VLOOKUP(CONCATENATE(N$36,ReportData!$C$3,Population!$B53),ReportData!$B$34:$H$358,N$32,FALSE)</f>
        <v>13966</v>
      </c>
      <c r="O53" s="1080"/>
      <c r="P53" s="1272">
        <f>VLOOKUP(CONCATENATE(P$36,ReportData!$C$3,Population!$B53),ReportData!$B$34:$H$452,J$32,FALSE)</f>
        <v>90569</v>
      </c>
      <c r="Q53" s="1272">
        <f>VLOOKUP(CONCATENATE(Q$36,ReportData!$C$3,Population!$B53),ReportData!$B$34:$H$452,K$32,FALSE)</f>
        <v>91180</v>
      </c>
      <c r="R53" s="1272">
        <f>VLOOKUP(CONCATENATE(R$36,ReportData!$C$3,Population!$B53),ReportData!$B$34:$H$452,L$32,FALSE)</f>
        <v>92134</v>
      </c>
      <c r="S53" s="1272">
        <f>VLOOKUP(CONCATENATE(S$36,ReportData!$C$3,Population!$B53),ReportData!$B$34:$H$452,M$32,FALSE)</f>
        <v>93997</v>
      </c>
      <c r="T53" s="1273">
        <f>VLOOKUP(CONCATENATE(T$36,ReportData!$C$3,Population!$B53),ReportData!$B$34:$H$452,N$32,FALSE)</f>
        <v>95505</v>
      </c>
      <c r="U53" s="212"/>
      <c r="V53" s="63"/>
      <c r="W53" s="52"/>
      <c r="X53" s="52"/>
      <c r="Y53" s="52"/>
      <c r="Z53" s="52"/>
      <c r="AA53" s="52"/>
      <c r="AB53" s="53"/>
    </row>
    <row r="54" spans="1:28" s="60" customFormat="1" ht="15.75" customHeight="1">
      <c r="A54" s="1103">
        <f>VLOOKUP(B54,ReportData!$AQ$4:$AR$25,2,FALSE)</f>
        <v>0</v>
      </c>
      <c r="B54" s="885" t="s">
        <v>12</v>
      </c>
      <c r="C54" s="554"/>
      <c r="D54" s="1272">
        <f>VLOOKUP(CONCATENATE(D$36,ReportData!$C$3,Population!$B54),ReportData!$B$34:$H$358,J$32,FALSE)</f>
        <v>3720</v>
      </c>
      <c r="E54" s="1272">
        <f>VLOOKUP(CONCATENATE(E$36,ReportData!$C$3,Population!$B54),ReportData!$B$34:$H$358,K$32,FALSE)</f>
        <v>3970</v>
      </c>
      <c r="F54" s="1272">
        <f>VLOOKUP(CONCATENATE(F$36,ReportData!$C$3,Population!$B54),ReportData!$B$34:$H$358,L$32,FALSE)</f>
        <v>4090</v>
      </c>
      <c r="G54" s="1272">
        <f>VLOOKUP(CONCATENATE(G$36,ReportData!$C$3,Population!$B54),ReportData!$B$34:$H$358,M$32,FALSE)</f>
        <v>4180</v>
      </c>
      <c r="H54" s="1273">
        <f>VLOOKUP(CONCATENATE(H$36,ReportData!$C$3,Population!$B54),ReportData!$B$34:$H$358,N$32,FALSE)</f>
        <v>4303</v>
      </c>
      <c r="I54" s="1080"/>
      <c r="J54" s="1272">
        <f>VLOOKUP(CONCATENATE(J$36,ReportData!$C$3,Population!$B54),ReportData!$B$34:$H$358,J$32,FALSE)</f>
        <v>3580</v>
      </c>
      <c r="K54" s="1272">
        <f>VLOOKUP(CONCATENATE(K$36,ReportData!$C$3,Population!$B54),ReportData!$B$34:$H$358,K$32,FALSE)</f>
        <v>3990</v>
      </c>
      <c r="L54" s="1272">
        <f>VLOOKUP(CONCATENATE(L$36,ReportData!$C$3,Population!$B54),ReportData!$B$34:$H$358,L$32,FALSE)</f>
        <v>4060</v>
      </c>
      <c r="M54" s="1272">
        <f>VLOOKUP(CONCATENATE(M$36,ReportData!$C$3,Population!$B54),ReportData!$B$34:$H$358,M$32,FALSE)</f>
        <v>4180</v>
      </c>
      <c r="N54" s="1273">
        <f>VLOOKUP(CONCATENATE(N$36,ReportData!$C$3,Population!$B54),ReportData!$B$34:$H$358,N$32,FALSE)</f>
        <v>4320</v>
      </c>
      <c r="O54" s="1080"/>
      <c r="P54" s="1272">
        <f>VLOOKUP(CONCATENATE(P$36,ReportData!$C$3,Population!$B54),ReportData!$B$34:$H$452,J$32,FALSE)</f>
        <v>25910</v>
      </c>
      <c r="Q54" s="1272">
        <f>VLOOKUP(CONCATENATE(Q$36,ReportData!$C$3,Population!$B54),ReportData!$B$34:$H$452,K$32,FALSE)</f>
        <v>25973</v>
      </c>
      <c r="R54" s="1272">
        <f>VLOOKUP(CONCATENATE(R$36,ReportData!$C$3,Population!$B54),ReportData!$B$34:$H$452,L$32,FALSE)</f>
        <v>25954</v>
      </c>
      <c r="S54" s="1272">
        <f>VLOOKUP(CONCATENATE(S$36,ReportData!$C$3,Population!$B54),ReportData!$B$34:$H$452,M$32,FALSE)</f>
        <v>26276</v>
      </c>
      <c r="T54" s="1273">
        <f>VLOOKUP(CONCATENATE(T$36,ReportData!$C$3,Population!$B54),ReportData!$B$34:$H$452,N$32,FALSE)</f>
        <v>26570</v>
      </c>
      <c r="U54" s="212"/>
      <c r="V54" s="63"/>
      <c r="W54" s="52"/>
      <c r="X54" s="52"/>
      <c r="Y54" s="52"/>
      <c r="Z54" s="52"/>
      <c r="AA54" s="52"/>
      <c r="AB54" s="53"/>
    </row>
    <row r="55" spans="1:28" s="60" customFormat="1" ht="15.75" customHeight="1">
      <c r="A55" s="1103">
        <f>VLOOKUP(B55,ReportData!$AQ$4:$AR$25,2,FALSE)</f>
        <v>0</v>
      </c>
      <c r="B55" s="885" t="s">
        <v>3</v>
      </c>
      <c r="C55" s="554"/>
      <c r="D55" s="1272">
        <f>VLOOKUP(CONCATENATE(D$36,ReportData!$C$3,Population!$B55),ReportData!$B$34:$H$358,J$32,FALSE)</f>
        <v>2920</v>
      </c>
      <c r="E55" s="1272">
        <f>VLOOKUP(CONCATENATE(E$36,ReportData!$C$3,Population!$B55),ReportData!$B$34:$H$358,K$32,FALSE)</f>
        <v>3020</v>
      </c>
      <c r="F55" s="1272">
        <f>VLOOKUP(CONCATENATE(F$36,ReportData!$C$3,Population!$B55),ReportData!$B$34:$H$358,L$32,FALSE)</f>
        <v>3180</v>
      </c>
      <c r="G55" s="1272">
        <f>VLOOKUP(CONCATENATE(G$36,ReportData!$C$3,Population!$B55),ReportData!$B$34:$H$358,M$32,FALSE)</f>
        <v>3373</v>
      </c>
      <c r="H55" s="1273">
        <f>VLOOKUP(CONCATENATE(H$36,ReportData!$C$3,Population!$B55),ReportData!$B$34:$H$358,N$32,FALSE)</f>
        <v>3465</v>
      </c>
      <c r="I55" s="1080"/>
      <c r="J55" s="1272">
        <f>VLOOKUP(CONCATENATE(J$36,ReportData!$C$3,Population!$B55),ReportData!$B$34:$H$358,J$32,FALSE)</f>
        <v>2960</v>
      </c>
      <c r="K55" s="1272">
        <f>VLOOKUP(CONCATENATE(K$36,ReportData!$C$3,Population!$B55),ReportData!$B$34:$H$358,K$32,FALSE)</f>
        <v>3010</v>
      </c>
      <c r="L55" s="1272">
        <f>VLOOKUP(CONCATENATE(L$36,ReportData!$C$3,Population!$B55),ReportData!$B$34:$H$358,L$32,FALSE)</f>
        <v>3170</v>
      </c>
      <c r="M55" s="1272">
        <f>VLOOKUP(CONCATENATE(M$36,ReportData!$C$3,Population!$B55),ReportData!$B$34:$H$358,M$32,FALSE)</f>
        <v>3373</v>
      </c>
      <c r="N55" s="1273">
        <f>VLOOKUP(CONCATENATE(N$36,ReportData!$C$3,Population!$B55),ReportData!$B$34:$H$358,N$32,FALSE)</f>
        <v>3470</v>
      </c>
      <c r="O55" s="1080"/>
      <c r="P55" s="1272">
        <f>VLOOKUP(CONCATENATE(P$36,ReportData!$C$3,Population!$B55),ReportData!$B$34:$H$452,J$32,FALSE)</f>
        <v>22526</v>
      </c>
      <c r="Q55" s="1272">
        <f>VLOOKUP(CONCATENATE(Q$36,ReportData!$C$3,Population!$B55),ReportData!$B$34:$H$452,K$32,FALSE)</f>
        <v>22608</v>
      </c>
      <c r="R55" s="1272">
        <f>VLOOKUP(CONCATENATE(R$36,ReportData!$C$3,Population!$B55),ReportData!$B$34:$H$452,L$32,FALSE)</f>
        <v>22621</v>
      </c>
      <c r="S55" s="1272">
        <f>VLOOKUP(CONCATENATE(S$36,ReportData!$C$3,Population!$B55),ReportData!$B$34:$H$452,M$32,FALSE)</f>
        <v>23220</v>
      </c>
      <c r="T55" s="1273">
        <f>VLOOKUP(CONCATENATE(T$36,ReportData!$C$3,Population!$B55),ReportData!$B$34:$H$452,N$32,FALSE)</f>
        <v>23396</v>
      </c>
      <c r="U55" s="212"/>
      <c r="V55" s="63"/>
      <c r="W55" s="52"/>
      <c r="X55" s="52"/>
      <c r="Y55" s="52"/>
      <c r="Z55" s="52"/>
      <c r="AA55" s="52"/>
      <c r="AB55" s="53"/>
    </row>
    <row r="56" spans="1:28" s="60" customFormat="1" ht="15.75" customHeight="1">
      <c r="A56" s="1103">
        <f>VLOOKUP(B56,ReportData!$AQ$4:$AR$25,2,FALSE)</f>
        <v>0</v>
      </c>
      <c r="B56" s="885" t="s">
        <v>13</v>
      </c>
      <c r="C56" s="554"/>
      <c r="D56" s="1272">
        <f>VLOOKUP(CONCATENATE(D$36,ReportData!$C$3,Population!$B56),ReportData!$B$34:$H$358,J$32,FALSE)</f>
        <v>3720</v>
      </c>
      <c r="E56" s="1272">
        <f>VLOOKUP(CONCATENATE(E$36,ReportData!$C$3,Population!$B56),ReportData!$B$34:$H$358,K$32,FALSE)</f>
        <v>3920</v>
      </c>
      <c r="F56" s="1272">
        <f>VLOOKUP(CONCATENATE(F$36,ReportData!$C$3,Population!$B56),ReportData!$B$34:$H$358,L$32,FALSE)</f>
        <v>3920</v>
      </c>
      <c r="G56" s="1272">
        <f>VLOOKUP(CONCATENATE(G$36,ReportData!$C$3,Population!$B56),ReportData!$B$34:$H$358,M$32,FALSE)</f>
        <v>4158</v>
      </c>
      <c r="H56" s="1273">
        <f>VLOOKUP(CONCATENATE(H$36,ReportData!$C$3,Population!$B56),ReportData!$B$34:$H$358,N$32,FALSE)</f>
        <v>4431</v>
      </c>
      <c r="I56" s="1080"/>
      <c r="J56" s="1272">
        <f>VLOOKUP(CONCATENATE(J$36,ReportData!$C$3,Population!$B56),ReportData!$B$34:$H$358,J$32,FALSE)</f>
        <v>3720</v>
      </c>
      <c r="K56" s="1272">
        <f>VLOOKUP(CONCATENATE(K$36,ReportData!$C$3,Population!$B56),ReportData!$B$34:$H$358,K$32,FALSE)</f>
        <v>3900</v>
      </c>
      <c r="L56" s="1272">
        <f>VLOOKUP(CONCATENATE(L$36,ReportData!$C$3,Population!$B56),ReportData!$B$34:$H$358,L$32,FALSE)</f>
        <v>3910</v>
      </c>
      <c r="M56" s="1272">
        <f>VLOOKUP(CONCATENATE(M$36,ReportData!$C$3,Population!$B56),ReportData!$B$34:$H$358,M$32,FALSE)</f>
        <v>4158</v>
      </c>
      <c r="N56" s="1273">
        <f>VLOOKUP(CONCATENATE(N$36,ReportData!$C$3,Population!$B56),ReportData!$B$34:$H$358,N$32,FALSE)</f>
        <v>4435</v>
      </c>
      <c r="O56" s="1080"/>
      <c r="P56" s="1272">
        <f>VLOOKUP(CONCATENATE(P$36,ReportData!$C$3,Population!$B56),ReportData!$B$34:$H$452,J$32,FALSE)</f>
        <v>27196</v>
      </c>
      <c r="Q56" s="1272">
        <f>VLOOKUP(CONCATENATE(Q$36,ReportData!$C$3,Population!$B56),ReportData!$B$34:$H$452,K$32,FALSE)</f>
        <v>27571</v>
      </c>
      <c r="R56" s="1272">
        <f>VLOOKUP(CONCATENATE(R$36,ReportData!$C$3,Population!$B56),ReportData!$B$34:$H$452,L$32,FALSE)</f>
        <v>27830</v>
      </c>
      <c r="S56" s="1272">
        <f>VLOOKUP(CONCATENATE(S$36,ReportData!$C$3,Population!$B56),ReportData!$B$34:$H$452,M$32,FALSE)</f>
        <v>28279</v>
      </c>
      <c r="T56" s="1273">
        <f>VLOOKUP(CONCATENATE(T$36,ReportData!$C$3,Population!$B56),ReportData!$B$34:$H$452,N$32,FALSE)</f>
        <v>28408</v>
      </c>
      <c r="U56" s="212"/>
      <c r="V56" s="63"/>
      <c r="W56" s="52"/>
      <c r="X56" s="52"/>
      <c r="Y56" s="52"/>
      <c r="Z56" s="52"/>
      <c r="AA56" s="52"/>
      <c r="AB56" s="53"/>
    </row>
    <row r="57" spans="1:28" s="60" customFormat="1" ht="15.75" customHeight="1">
      <c r="A57" s="1103">
        <f>VLOOKUP(B57,ReportData!$AQ$4:$AR$25,2,FALSE)</f>
        <v>0</v>
      </c>
      <c r="B57" s="885" t="s">
        <v>14</v>
      </c>
      <c r="C57" s="554"/>
      <c r="D57" s="1272">
        <f>VLOOKUP(CONCATENATE(D$36,ReportData!$C$3,Population!$B57),ReportData!$B$34:$H$358,J$32,FALSE)</f>
        <v>4260</v>
      </c>
      <c r="E57" s="1272">
        <f>VLOOKUP(CONCATENATE(E$36,ReportData!$C$3,Population!$B57),ReportData!$B$34:$H$358,K$32,FALSE)</f>
        <v>4390</v>
      </c>
      <c r="F57" s="1272">
        <f>VLOOKUP(CONCATENATE(F$36,ReportData!$C$3,Population!$B57),ReportData!$B$34:$H$358,L$32,FALSE)</f>
        <v>4410</v>
      </c>
      <c r="G57" s="1272">
        <f>VLOOKUP(CONCATENATE(G$36,ReportData!$C$3,Population!$B57),ReportData!$B$34:$H$358,M$32,FALSE)</f>
        <v>4685</v>
      </c>
      <c r="H57" s="1273">
        <f>VLOOKUP(CONCATENATE(H$36,ReportData!$C$3,Population!$B57),ReportData!$B$34:$H$358,N$32,FALSE)</f>
        <v>4960</v>
      </c>
      <c r="I57" s="1080"/>
      <c r="J57" s="1272">
        <f>VLOOKUP(CONCATENATE(J$36,ReportData!$C$3,Population!$B57),ReportData!$B$34:$H$358,J$32,FALSE)</f>
        <v>4270</v>
      </c>
      <c r="K57" s="1272">
        <f>VLOOKUP(CONCATENATE(K$36,ReportData!$C$3,Population!$B57),ReportData!$B$34:$H$358,K$32,FALSE)</f>
        <v>4390</v>
      </c>
      <c r="L57" s="1272">
        <f>VLOOKUP(CONCATENATE(L$36,ReportData!$C$3,Population!$B57),ReportData!$B$34:$H$358,L$32,FALSE)</f>
        <v>4410</v>
      </c>
      <c r="M57" s="1272">
        <f>VLOOKUP(CONCATENATE(M$36,ReportData!$C$3,Population!$B57),ReportData!$B$34:$H$358,M$32,FALSE)</f>
        <v>4685</v>
      </c>
      <c r="N57" s="1273">
        <f>VLOOKUP(CONCATENATE(N$36,ReportData!$C$3,Population!$B57),ReportData!$B$34:$H$358,N$32,FALSE)</f>
        <v>4957</v>
      </c>
      <c r="O57" s="1080"/>
      <c r="P57" s="1272">
        <f>VLOOKUP(CONCATENATE(P$36,ReportData!$C$3,Population!$B57),ReportData!$B$34:$H$452,J$32,FALSE)</f>
        <v>30188</v>
      </c>
      <c r="Q57" s="1272">
        <f>VLOOKUP(CONCATENATE(Q$36,ReportData!$C$3,Population!$B57),ReportData!$B$34:$H$452,K$32,FALSE)</f>
        <v>30628</v>
      </c>
      <c r="R57" s="1272">
        <f>VLOOKUP(CONCATENATE(R$36,ReportData!$C$3,Population!$B57),ReportData!$B$34:$H$452,L$32,FALSE)</f>
        <v>30755</v>
      </c>
      <c r="S57" s="1272">
        <f>VLOOKUP(CONCATENATE(S$36,ReportData!$C$3,Population!$B57),ReportData!$B$34:$H$452,M$32,FALSE)</f>
        <v>30990</v>
      </c>
      <c r="T57" s="1273">
        <f>VLOOKUP(CONCATENATE(T$36,ReportData!$C$3,Population!$B57),ReportData!$B$34:$H$452,N$32,FALSE)</f>
        <v>31336</v>
      </c>
      <c r="U57" s="212"/>
      <c r="V57" s="63"/>
      <c r="W57" s="52"/>
      <c r="X57" s="52"/>
      <c r="Y57" s="52"/>
      <c r="Z57" s="52"/>
      <c r="AA57" s="52"/>
      <c r="AB57" s="53"/>
    </row>
    <row r="58" spans="1:28" s="60" customFormat="1" ht="15.75" customHeight="1">
      <c r="A58" s="1103">
        <f>VLOOKUP(B58,ReportData!$AQ$4:$AR$25,2,FALSE)</f>
        <v>0</v>
      </c>
      <c r="B58" s="885" t="s">
        <v>7</v>
      </c>
      <c r="C58" s="554"/>
      <c r="D58" s="1272">
        <f>VLOOKUP(CONCATENATE(D$36,ReportData!$C$3,Population!$B58),ReportData!$B$34:$H$358,J$32,FALSE)</f>
        <v>21340</v>
      </c>
      <c r="E58" s="1272">
        <f>VLOOKUP(CONCATENATE(E$36,ReportData!$C$3,Population!$B58),ReportData!$B$34:$H$358,K$32,FALSE)</f>
        <v>21870</v>
      </c>
      <c r="F58" s="1272">
        <f>VLOOKUP(CONCATENATE(F$36,ReportData!$C$3,Population!$B58),ReportData!$B$34:$H$358,L$32,FALSE)</f>
        <v>22660</v>
      </c>
      <c r="G58" s="1272">
        <f>VLOOKUP(CONCATENATE(G$36,ReportData!$C$3,Population!$B58),ReportData!$B$34:$H$358,M$32,FALSE)</f>
        <v>24108</v>
      </c>
      <c r="H58" s="1273">
        <f>VLOOKUP(CONCATENATE(H$36,ReportData!$C$3,Population!$B58),ReportData!$B$34:$H$358,N$32,FALSE)</f>
        <v>24745</v>
      </c>
      <c r="I58" s="1080"/>
      <c r="J58" s="1272">
        <f>VLOOKUP(CONCATENATE(J$36,ReportData!$C$3,Population!$B58),ReportData!$B$34:$H$358,J$32,FALSE)</f>
        <v>21310</v>
      </c>
      <c r="K58" s="1272">
        <f>VLOOKUP(CONCATENATE(K$36,ReportData!$C$3,Population!$B58),ReportData!$B$34:$H$358,K$32,FALSE)</f>
        <v>21760</v>
      </c>
      <c r="L58" s="1272">
        <f>VLOOKUP(CONCATENATE(L$36,ReportData!$C$3,Population!$B58),ReportData!$B$34:$H$358,L$32,FALSE)</f>
        <v>22620</v>
      </c>
      <c r="M58" s="1272">
        <f>VLOOKUP(CONCATENATE(M$36,ReportData!$C$3,Population!$B58),ReportData!$B$34:$H$358,M$32,FALSE)</f>
        <v>24108</v>
      </c>
      <c r="N58" s="1273">
        <f>VLOOKUP(CONCATENATE(N$36,ReportData!$C$3,Population!$B58),ReportData!$B$34:$H$358,N$32,FALSE)</f>
        <v>24674</v>
      </c>
      <c r="O58" s="1080"/>
      <c r="P58" s="1272">
        <f>VLOOKUP(CONCATENATE(P$36,ReportData!$C$3,Population!$B58),ReportData!$B$34:$H$452,J$32,FALSE)</f>
        <v>163007</v>
      </c>
      <c r="Q58" s="1272">
        <f>VLOOKUP(CONCATENATE(Q$36,ReportData!$C$3,Population!$B58),ReportData!$B$34:$H$452,K$32,FALSE)</f>
        <v>163815</v>
      </c>
      <c r="R58" s="1272">
        <f>VLOOKUP(CONCATENATE(R$36,ReportData!$C$3,Population!$B58),ReportData!$B$34:$H$452,L$32,FALSE)</f>
        <v>164898</v>
      </c>
      <c r="S58" s="1272">
        <f>VLOOKUP(CONCATENATE(S$36,ReportData!$C$3,Population!$B58),ReportData!$B$34:$H$452,M$32,FALSE)</f>
        <v>168036</v>
      </c>
      <c r="T58" s="1273">
        <f>VLOOKUP(CONCATENATE(T$36,ReportData!$C$3,Population!$B58),ReportData!$B$34:$H$452,N$32,FALSE)</f>
        <v>169371</v>
      </c>
      <c r="U58" s="212"/>
      <c r="V58" s="63"/>
      <c r="W58" s="52"/>
      <c r="X58" s="52"/>
      <c r="Y58" s="52"/>
      <c r="Z58" s="52"/>
      <c r="AA58" s="52"/>
      <c r="AB58" s="53"/>
    </row>
    <row r="59" spans="1:28" s="60" customFormat="1" ht="15.75" customHeight="1">
      <c r="A59" s="1103">
        <f>VLOOKUP(B59,ReportData!$AQ$4:$AR$25,2,FALSE)</f>
        <v>0</v>
      </c>
      <c r="B59" s="885" t="s">
        <v>15</v>
      </c>
      <c r="C59" s="554"/>
      <c r="D59" s="1272">
        <f>VLOOKUP(CONCATENATE(D$36,ReportData!$C$3,Population!$B59),ReportData!$B$34:$H$358,J$32,FALSE)</f>
        <v>3240</v>
      </c>
      <c r="E59" s="1272">
        <f>VLOOKUP(CONCATENATE(E$36,ReportData!$C$3,Population!$B59),ReportData!$B$34:$H$358,K$32,FALSE)</f>
        <v>3360</v>
      </c>
      <c r="F59" s="1272">
        <f>VLOOKUP(CONCATENATE(F$36,ReportData!$C$3,Population!$B59),ReportData!$B$34:$H$358,L$32,FALSE)</f>
        <v>3460</v>
      </c>
      <c r="G59" s="1272">
        <f>VLOOKUP(CONCATENATE(G$36,ReportData!$C$3,Population!$B59),ReportData!$B$34:$H$358,M$32,FALSE)</f>
        <v>3421</v>
      </c>
      <c r="H59" s="1273">
        <f>VLOOKUP(CONCATENATE(H$36,ReportData!$C$3,Population!$B59),ReportData!$B$34:$H$358,N$32,FALSE)</f>
        <v>3477</v>
      </c>
      <c r="I59" s="1080"/>
      <c r="J59" s="1272">
        <f>VLOOKUP(CONCATENATE(J$36,ReportData!$C$3,Population!$B59),ReportData!$B$34:$H$358,J$32,FALSE)</f>
        <v>3240</v>
      </c>
      <c r="K59" s="1272">
        <f>VLOOKUP(CONCATENATE(K$36,ReportData!$C$3,Population!$B59),ReportData!$B$34:$H$358,K$32,FALSE)</f>
        <v>3370</v>
      </c>
      <c r="L59" s="1272">
        <f>VLOOKUP(CONCATENATE(L$36,ReportData!$C$3,Population!$B59),ReportData!$B$34:$H$358,L$32,FALSE)</f>
        <v>3470</v>
      </c>
      <c r="M59" s="1272">
        <f>VLOOKUP(CONCATENATE(M$36,ReportData!$C$3,Population!$B59),ReportData!$B$34:$H$358,M$32,FALSE)</f>
        <v>3421</v>
      </c>
      <c r="N59" s="1273">
        <f>VLOOKUP(CONCATENATE(N$36,ReportData!$C$3,Population!$B59),ReportData!$B$34:$H$358,N$32,FALSE)</f>
        <v>3470</v>
      </c>
      <c r="O59" s="1080"/>
      <c r="P59" s="1272">
        <f>VLOOKUP(CONCATENATE(P$36,ReportData!$C$3,Population!$B59),ReportData!$B$34:$H$452,J$32,FALSE)</f>
        <v>22356</v>
      </c>
      <c r="Q59" s="1272">
        <f>VLOOKUP(CONCATENATE(Q$36,ReportData!$C$3,Population!$B59),ReportData!$B$34:$H$452,K$32,FALSE)</f>
        <v>22142</v>
      </c>
      <c r="R59" s="1272">
        <f>VLOOKUP(CONCATENATE(R$36,ReportData!$C$3,Population!$B59),ReportData!$B$34:$H$452,L$32,FALSE)</f>
        <v>22401</v>
      </c>
      <c r="S59" s="1272">
        <f>VLOOKUP(CONCATENATE(S$36,ReportData!$C$3,Population!$B59),ReportData!$B$34:$H$452,M$32,FALSE)</f>
        <v>22697</v>
      </c>
      <c r="T59" s="1273">
        <f>VLOOKUP(CONCATENATE(T$36,ReportData!$C$3,Population!$B59),ReportData!$B$34:$H$452,N$32,FALSE)</f>
        <v>22848</v>
      </c>
      <c r="U59" s="212"/>
      <c r="V59" s="63"/>
      <c r="W59" s="52"/>
      <c r="X59" s="52"/>
      <c r="Y59" s="52"/>
      <c r="Z59" s="52"/>
      <c r="AA59" s="52"/>
      <c r="AB59" s="53"/>
    </row>
    <row r="60" spans="1:28" s="60" customFormat="1" ht="15.75" customHeight="1">
      <c r="A60" s="1103">
        <f>VLOOKUP(B60,ReportData!$AQ$4:$AR$25,2,FALSE)</f>
        <v>0</v>
      </c>
      <c r="B60" s="885" t="s">
        <v>5</v>
      </c>
      <c r="C60" s="554"/>
      <c r="D60" s="1272">
        <f>VLOOKUP(CONCATENATE(D$36,ReportData!$C$3,Population!$B60),ReportData!$B$34:$H$358,J$32,FALSE)</f>
        <v>16300</v>
      </c>
      <c r="E60" s="1272">
        <f>VLOOKUP(CONCATENATE(E$36,ReportData!$C$3,Population!$B60),ReportData!$B$34:$H$358,K$32,FALSE)</f>
        <v>16620</v>
      </c>
      <c r="F60" s="1272">
        <f>VLOOKUP(CONCATENATE(F$36,ReportData!$C$3,Population!$B60),ReportData!$B$34:$H$358,L$32,FALSE)</f>
        <v>17210</v>
      </c>
      <c r="G60" s="1272">
        <f>VLOOKUP(CONCATENATE(G$36,ReportData!$C$3,Population!$B60),ReportData!$B$34:$H$358,M$32,FALSE)</f>
        <v>17002</v>
      </c>
      <c r="H60" s="1273">
        <f>VLOOKUP(CONCATENATE(H$36,ReportData!$C$3,Population!$B60),ReportData!$B$34:$H$358,N$32,FALSE)</f>
        <v>16930</v>
      </c>
      <c r="I60" s="1080"/>
      <c r="J60" s="1272">
        <f>VLOOKUP(CONCATENATE(J$36,ReportData!$C$3,Population!$B60),ReportData!$B$34:$H$358,J$32,FALSE)</f>
        <v>16290</v>
      </c>
      <c r="K60" s="1272">
        <f>VLOOKUP(CONCATENATE(K$36,ReportData!$C$3,Population!$B60),ReportData!$B$34:$H$358,K$32,FALSE)</f>
        <v>16630</v>
      </c>
      <c r="L60" s="1272">
        <f>VLOOKUP(CONCATENATE(L$36,ReportData!$C$3,Population!$B60),ReportData!$B$34:$H$358,L$32,FALSE)</f>
        <v>17210</v>
      </c>
      <c r="M60" s="1272">
        <f>VLOOKUP(CONCATENATE(M$36,ReportData!$C$3,Population!$B60),ReportData!$B$34:$H$358,M$32,FALSE)</f>
        <v>17002</v>
      </c>
      <c r="N60" s="1273">
        <f>VLOOKUP(CONCATENATE(N$36,ReportData!$C$3,Population!$B60),ReportData!$B$34:$H$358,N$32,FALSE)</f>
        <v>16926</v>
      </c>
      <c r="O60" s="1080"/>
      <c r="P60" s="1272">
        <f>VLOOKUP(CONCATENATE(P$36,ReportData!$C$3,Population!$B60),ReportData!$B$34:$H$452,J$32,FALSE)</f>
        <v>110012</v>
      </c>
      <c r="Q60" s="1272">
        <f>VLOOKUP(CONCATENATE(Q$36,ReportData!$C$3,Population!$B60),ReportData!$B$34:$H$452,K$32,FALSE)</f>
        <v>110473</v>
      </c>
      <c r="R60" s="1272">
        <f>VLOOKUP(CONCATENATE(R$36,ReportData!$C$3,Population!$B60),ReportData!$B$34:$H$452,L$32,FALSE)</f>
        <v>111124</v>
      </c>
      <c r="S60" s="1272">
        <f>VLOOKUP(CONCATENATE(S$36,ReportData!$C$3,Population!$B60),ReportData!$B$34:$H$452,M$32,FALSE)</f>
        <v>113065</v>
      </c>
      <c r="T60" s="1273">
        <f>VLOOKUP(CONCATENATE(T$36,ReportData!$C$3,Population!$B60),ReportData!$B$34:$H$452,N$32,FALSE)</f>
        <v>114354</v>
      </c>
      <c r="U60" s="212"/>
      <c r="V60" s="63"/>
      <c r="W60" s="52"/>
      <c r="X60" s="52"/>
      <c r="Y60" s="52"/>
      <c r="Z60" s="52"/>
      <c r="AA60" s="52"/>
      <c r="AB60" s="53"/>
    </row>
    <row r="61" spans="1:28" s="60" customFormat="1" ht="15.75" customHeight="1">
      <c r="A61" s="1103">
        <f>VLOOKUP(B61,ReportData!$AQ$4:$AR$25,2,FALSE)</f>
        <v>0</v>
      </c>
      <c r="B61" s="885" t="s">
        <v>27</v>
      </c>
      <c r="C61" s="554"/>
      <c r="D61" s="1272">
        <f>VLOOKUP(CONCATENATE(D$36,ReportData!$C$3,Population!$B61),ReportData!$B$34:$H$358,J$32,FALSE)</f>
        <v>2910</v>
      </c>
      <c r="E61" s="1272">
        <f>VLOOKUP(CONCATENATE(E$36,ReportData!$C$3,Population!$B61),ReportData!$B$34:$H$358,K$32,FALSE)</f>
        <v>2920</v>
      </c>
      <c r="F61" s="1272">
        <f>VLOOKUP(CONCATENATE(F$36,ReportData!$C$3,Population!$B61),ReportData!$B$34:$H$358,L$32,FALSE)</f>
        <v>3090</v>
      </c>
      <c r="G61" s="1272">
        <f>VLOOKUP(CONCATENATE(G$36,ReportData!$C$3,Population!$B61),ReportData!$B$34:$H$358,M$32,FALSE)</f>
        <v>3089</v>
      </c>
      <c r="H61" s="1273">
        <f>VLOOKUP(CONCATENATE(H$36,ReportData!$C$3,Population!$B61),ReportData!$B$34:$H$358,N$32,FALSE)</f>
        <v>3090</v>
      </c>
      <c r="I61" s="1080"/>
      <c r="J61" s="1272">
        <f>VLOOKUP(CONCATENATE(J$36,ReportData!$C$3,Population!$B61),ReportData!$B$34:$H$358,J$32,FALSE)</f>
        <v>2900</v>
      </c>
      <c r="K61" s="1272">
        <f>VLOOKUP(CONCATENATE(K$36,ReportData!$C$3,Population!$B61),ReportData!$B$34:$H$358,K$32,FALSE)</f>
        <v>2920</v>
      </c>
      <c r="L61" s="1272">
        <f>VLOOKUP(CONCATENATE(L$36,ReportData!$C$3,Population!$B61),ReportData!$B$34:$H$358,L$32,FALSE)</f>
        <v>3090</v>
      </c>
      <c r="M61" s="1272">
        <f>VLOOKUP(CONCATENATE(M$36,ReportData!$C$3,Population!$B61),ReportData!$B$34:$H$358,M$32,FALSE)</f>
        <v>3089</v>
      </c>
      <c r="N61" s="1273">
        <f>VLOOKUP(CONCATENATE(N$36,ReportData!$C$3,Population!$B61),ReportData!$B$34:$H$358,N$32,FALSE)</f>
        <v>3096</v>
      </c>
      <c r="O61" s="1080"/>
      <c r="P61" s="1272">
        <f>VLOOKUP(CONCATENATE(P$36,ReportData!$C$3,Population!$B61),ReportData!$B$34:$H$452,J$32,FALSE)</f>
        <v>21862</v>
      </c>
      <c r="Q61" s="1272">
        <f>VLOOKUP(CONCATENATE(Q$36,ReportData!$C$3,Population!$B61),ReportData!$B$34:$H$452,K$32,FALSE)</f>
        <v>21776</v>
      </c>
      <c r="R61" s="1272">
        <f>VLOOKUP(CONCATENATE(R$36,ReportData!$C$3,Population!$B61),ReportData!$B$34:$H$452,L$32,FALSE)</f>
        <v>21664</v>
      </c>
      <c r="S61" s="1272">
        <f>VLOOKUP(CONCATENATE(S$36,ReportData!$C$3,Population!$B61),ReportData!$B$34:$H$452,M$32,FALSE)</f>
        <v>21862</v>
      </c>
      <c r="T61" s="1273">
        <f>VLOOKUP(CONCATENATE(T$36,ReportData!$C$3,Population!$B61),ReportData!$B$34:$H$452,N$32,FALSE)</f>
        <v>21946</v>
      </c>
      <c r="U61" s="212"/>
      <c r="V61" s="63"/>
      <c r="W61" s="52"/>
      <c r="X61" s="52"/>
      <c r="Y61" s="52"/>
      <c r="Z61" s="52"/>
      <c r="AA61" s="52"/>
      <c r="AB61" s="53"/>
    </row>
    <row r="62" spans="1:28" s="60" customFormat="1" ht="15.75" customHeight="1">
      <c r="A62" s="1103">
        <f>VLOOKUP(B62,ReportData!$AQ$4:$AR$25,2,FALSE)</f>
        <v>0</v>
      </c>
      <c r="B62" s="885" t="s">
        <v>16</v>
      </c>
      <c r="C62" s="554"/>
      <c r="D62" s="1272">
        <f>VLOOKUP(CONCATENATE(D$36,ReportData!$C$3,Population!$B62),ReportData!$B$34:$H$358,J$32,FALSE)</f>
        <v>3420</v>
      </c>
      <c r="E62" s="1272">
        <f>VLOOKUP(CONCATENATE(E$36,ReportData!$C$3,Population!$B62),ReportData!$B$34:$H$358,K$32,FALSE)</f>
        <v>3440</v>
      </c>
      <c r="F62" s="1272">
        <f>VLOOKUP(CONCATENATE(F$36,ReportData!$C$3,Population!$B62),ReportData!$B$34:$H$358,L$32,FALSE)</f>
        <v>3760</v>
      </c>
      <c r="G62" s="1272">
        <f>VLOOKUP(CONCATENATE(G$36,ReportData!$C$3,Population!$B62),ReportData!$B$34:$H$358,M$32,FALSE)</f>
        <v>3905</v>
      </c>
      <c r="H62" s="1273">
        <f>VLOOKUP(CONCATENATE(H$36,ReportData!$C$3,Population!$B62),ReportData!$B$34:$H$358,N$32,FALSE)</f>
        <v>3959</v>
      </c>
      <c r="I62" s="1080"/>
      <c r="J62" s="1272">
        <f>VLOOKUP(CONCATENATE(J$36,ReportData!$C$3,Population!$B62),ReportData!$B$34:$H$358,J$32,FALSE)</f>
        <v>3400</v>
      </c>
      <c r="K62" s="1272">
        <f>VLOOKUP(CONCATENATE(K$36,ReportData!$C$3,Population!$B62),ReportData!$B$34:$H$358,K$32,FALSE)</f>
        <v>3410</v>
      </c>
      <c r="L62" s="1272">
        <f>VLOOKUP(CONCATENATE(L$36,ReportData!$C$3,Population!$B62),ReportData!$B$34:$H$358,L$32,FALSE)</f>
        <v>3740</v>
      </c>
      <c r="M62" s="1272">
        <f>VLOOKUP(CONCATENATE(M$36,ReportData!$C$3,Population!$B62),ReportData!$B$34:$H$358,M$32,FALSE)</f>
        <v>3905</v>
      </c>
      <c r="N62" s="1273">
        <f>VLOOKUP(CONCATENATE(N$36,ReportData!$C$3,Population!$B62),ReportData!$B$34:$H$358,N$32,FALSE)</f>
        <v>3957</v>
      </c>
      <c r="O62" s="1080"/>
      <c r="P62" s="1272">
        <f>VLOOKUP(CONCATENATE(P$36,ReportData!$C$3,Population!$B62),ReportData!$B$34:$H$452,J$32,FALSE)</f>
        <v>25838</v>
      </c>
      <c r="Q62" s="1272">
        <f>VLOOKUP(CONCATENATE(Q$36,ReportData!$C$3,Population!$B62),ReportData!$B$34:$H$452,K$32,FALSE)</f>
        <v>26347</v>
      </c>
      <c r="R62" s="1272">
        <f>VLOOKUP(CONCATENATE(R$36,ReportData!$C$3,Population!$B62),ReportData!$B$34:$H$452,L$32,FALSE)</f>
        <v>26832</v>
      </c>
      <c r="S62" s="1272">
        <f>VLOOKUP(CONCATENATE(S$36,ReportData!$C$3,Population!$B62),ReportData!$B$34:$H$452,M$32,FALSE)</f>
        <v>28107</v>
      </c>
      <c r="T62" s="1273">
        <f>VLOOKUP(CONCATENATE(T$36,ReportData!$C$3,Population!$B62),ReportData!$B$34:$H$452,N$32,FALSE)</f>
        <v>28963</v>
      </c>
      <c r="U62" s="212"/>
      <c r="V62" s="63"/>
      <c r="W62" s="52"/>
      <c r="X62" s="52"/>
      <c r="Y62" s="52"/>
      <c r="Z62" s="52"/>
      <c r="AA62" s="52"/>
      <c r="AB62" s="53"/>
    </row>
    <row r="63" spans="1:28" s="60" customFormat="1" ht="15.75" customHeight="1">
      <c r="A63" s="211"/>
      <c r="B63" s="886" t="s">
        <v>71</v>
      </c>
      <c r="C63" s="554"/>
      <c r="D63" s="556">
        <f>VLOOKUP(CONCATENATE(D$36,ReportData!$C$3,Population!$B63),ReportData!$B$34:$H$358,J$32,FALSE)</f>
        <v>177960</v>
      </c>
      <c r="E63" s="556">
        <f>VLOOKUP(CONCATENATE(E$36,ReportData!$C$3,Population!$B63),ReportData!$B$34:$H$358,K$32,FALSE)</f>
        <v>180420</v>
      </c>
      <c r="F63" s="556">
        <f>VLOOKUP(CONCATENATE(F$36,ReportData!$C$3,Population!$B63),ReportData!$B$34:$H$358,L$32,FALSE)</f>
        <v>187620</v>
      </c>
      <c r="G63" s="556">
        <f>VLOOKUP(CONCATENATE(G$36,ReportData!$C$3,Population!$B63),ReportData!$B$34:$H$358,M$32,FALSE)</f>
        <v>191304</v>
      </c>
      <c r="H63" s="557">
        <f>VLOOKUP(CONCATENATE(H$36,ReportData!$C$3,Population!$B63),ReportData!$B$34:$H$358,N$32,FALSE)</f>
        <v>195643</v>
      </c>
      <c r="I63" s="1276"/>
      <c r="J63" s="556">
        <f>VLOOKUP(CONCATENATE(J$36,ReportData!$C$3,Population!$B63),ReportData!$B$34:$H$358,J$32,FALSE)</f>
        <v>177690</v>
      </c>
      <c r="K63" s="556">
        <f>VLOOKUP(CONCATENATE(K$36,ReportData!$C$3,Population!$B63),ReportData!$B$34:$H$358,K$32,FALSE)</f>
        <v>180170</v>
      </c>
      <c r="L63" s="556">
        <f>VLOOKUP(CONCATENATE(L$36,ReportData!$C$3,Population!$B63),ReportData!$B$34:$H$358,L$32,FALSE)</f>
        <v>187530</v>
      </c>
      <c r="M63" s="556">
        <f>VLOOKUP(CONCATENATE(M$36,ReportData!$C$3,Population!$B63),ReportData!$B$34:$H$358,M$32,FALSE)</f>
        <v>191304</v>
      </c>
      <c r="N63" s="557">
        <f>VLOOKUP(CONCATENATE(N$36,ReportData!$C$3,Population!$B63),ReportData!$B$34:$H$358,N$32,FALSE)</f>
        <v>195541</v>
      </c>
      <c r="O63" s="1276"/>
      <c r="P63" s="556">
        <f>VLOOKUP(CONCATENATE(P$36,ReportData!$C$3,Population!$B63),ReportData!$B$34:$H$452,J$32,FALSE)</f>
        <v>1214607</v>
      </c>
      <c r="Q63" s="556">
        <f>VLOOKUP(CONCATENATE(Q$36,ReportData!$C$3,Population!$B63),ReportData!$B$34:$H$452,K$32,FALSE)</f>
        <v>1220681</v>
      </c>
      <c r="R63" s="556">
        <f>VLOOKUP(CONCATENATE(R$36,ReportData!$C$3,Population!$B63),ReportData!$B$34:$H$452,L$32,FALSE)</f>
        <v>1228232</v>
      </c>
      <c r="S63" s="556">
        <f>VLOOKUP(CONCATENATE(S$36,ReportData!$C$3,Population!$B63),ReportData!$B$34:$H$452,M$32,FALSE)</f>
        <v>1250397</v>
      </c>
      <c r="T63" s="557">
        <f>VLOOKUP(CONCATENATE(T$36,ReportData!$C$3,Population!$B63),ReportData!$B$34:$H$452,N$32,FALSE)</f>
        <v>1267118</v>
      </c>
      <c r="U63" s="212"/>
      <c r="V63" s="63"/>
      <c r="W63" s="52"/>
      <c r="X63" s="52"/>
      <c r="Y63" s="52"/>
      <c r="Z63" s="52"/>
      <c r="AA63" s="52"/>
      <c r="AB63" s="53"/>
    </row>
    <row r="64" spans="1:28" s="60" customFormat="1" ht="15.75" customHeight="1">
      <c r="A64" s="211"/>
      <c r="B64" s="1079" t="s">
        <v>109</v>
      </c>
      <c r="C64" s="554"/>
      <c r="D64" s="555">
        <f>VLOOKUP(CONCATENATE(D$36,ReportData!$C$3,Population!$B64),ReportData!$B$34:$H$358,J$32,FALSE)</f>
        <v>1123890</v>
      </c>
      <c r="E64" s="555">
        <f>VLOOKUP(CONCATENATE(E$36,ReportData!$C$3,Population!$B64),ReportData!$B$34:$H$358,K$32,FALSE)</f>
        <v>1145550</v>
      </c>
      <c r="F64" s="555">
        <f>VLOOKUP(CONCATENATE(F$36,ReportData!$C$3,Population!$B64),ReportData!$B$34:$H$358,L$32,FALSE)</f>
        <v>1182880</v>
      </c>
      <c r="G64" s="555">
        <f>VLOOKUP(CONCATENATE(G$36,ReportData!$C$3,Population!$B64),ReportData!$B$34:$H$358,M$32,FALSE)</f>
        <v>1210409</v>
      </c>
      <c r="H64" s="558">
        <f>VLOOKUP(CONCATENATE(H$36,ReportData!$C$3,Population!$B64),ReportData!$B$34:$H$358,N$32,FALSE)</f>
        <v>1239678</v>
      </c>
      <c r="I64" s="15"/>
      <c r="J64" s="555">
        <f>VLOOKUP(CONCATENATE(J$36,ReportData!$C$3,Population!$B64),ReportData!$B$34:$H$358,J$32,FALSE)</f>
        <v>1119100</v>
      </c>
      <c r="K64" s="555">
        <f>VLOOKUP(CONCATENATE(K$36,ReportData!$C$3,Population!$B64),ReportData!$B$34:$H$358,K$32,FALSE)</f>
        <v>1143000</v>
      </c>
      <c r="L64" s="555">
        <f>VLOOKUP(CONCATENATE(L$36,ReportData!$C$3,Population!$B64),ReportData!$B$34:$H$358,L$32,FALSE)</f>
        <v>1181090</v>
      </c>
      <c r="M64" s="555">
        <f>VLOOKUP(CONCATENATE(M$36,ReportData!$C$3,Population!$B64),ReportData!$B$34:$H$358,M$32,FALSE)</f>
        <v>1210409</v>
      </c>
      <c r="N64" s="558">
        <f>VLOOKUP(CONCATENATE(N$36,ReportData!$C$3,Population!$B64),ReportData!$B$34:$H$358,N$32,FALSE)</f>
        <v>1239302</v>
      </c>
      <c r="O64" s="15"/>
      <c r="P64" s="555">
        <f>VLOOKUP(CONCATENATE(P$36,ReportData!$C$3,Population!$B64),ReportData!$B$34:$H$452,J$32,FALSE)</f>
        <v>7359174</v>
      </c>
      <c r="Q64" s="555">
        <f>VLOOKUP(CONCATENATE(Q$36,ReportData!$C$3,Population!$B64),ReportData!$B$34:$H$452,K$32,FALSE)</f>
        <v>7383183</v>
      </c>
      <c r="R64" s="555">
        <f>VLOOKUP(CONCATENATE(R$36,ReportData!$C$3,Population!$B64),ReportData!$B$34:$H$452,L$32,FALSE)</f>
        <v>7408720</v>
      </c>
      <c r="S64" s="555">
        <f>VLOOKUP(CONCATENATE(S$36,ReportData!$C$3,Population!$B64),ReportData!$B$34:$H$452,M$32,FALSE)</f>
        <v>7502260</v>
      </c>
      <c r="T64" s="558">
        <f>VLOOKUP(CONCATENATE(T$36,ReportData!$C$3,Population!$B64),ReportData!$B$34:$H$452,N$32,FALSE)</f>
        <v>7583713</v>
      </c>
      <c r="U64" s="212"/>
      <c r="V64" s="63"/>
      <c r="W64" s="52"/>
      <c r="X64" s="52"/>
      <c r="Y64" s="52"/>
      <c r="Z64" s="52"/>
      <c r="AA64" s="52"/>
      <c r="AB64" s="53"/>
    </row>
    <row r="65" spans="1:22" ht="20.25" customHeight="1">
      <c r="A65" s="210"/>
      <c r="B65" s="547"/>
      <c r="C65" s="554"/>
      <c r="D65" s="548">
        <v>3</v>
      </c>
      <c r="E65" s="548">
        <v>4</v>
      </c>
      <c r="F65" s="548">
        <v>5</v>
      </c>
      <c r="G65" s="548">
        <v>6</v>
      </c>
      <c r="H65" s="548">
        <v>7</v>
      </c>
      <c r="I65" s="15"/>
      <c r="J65" s="548">
        <v>3</v>
      </c>
      <c r="K65" s="548">
        <v>4</v>
      </c>
      <c r="L65" s="548">
        <v>5</v>
      </c>
      <c r="M65" s="548">
        <v>6</v>
      </c>
      <c r="N65" s="548">
        <v>7</v>
      </c>
      <c r="O65" s="15"/>
      <c r="P65" s="548">
        <v>3</v>
      </c>
      <c r="Q65" s="548">
        <v>4</v>
      </c>
      <c r="R65" s="548">
        <v>5</v>
      </c>
      <c r="S65" s="548">
        <v>6</v>
      </c>
      <c r="T65" s="548">
        <v>7</v>
      </c>
      <c r="U65" s="209"/>
      <c r="V65" s="121"/>
    </row>
    <row r="66" spans="1:22" ht="7.5" customHeight="1">
      <c r="A66" s="210"/>
      <c r="B66" s="15"/>
      <c r="C66" s="15"/>
      <c r="D66" s="15"/>
      <c r="E66" s="15"/>
      <c r="F66" s="15"/>
      <c r="G66" s="15"/>
      <c r="H66" s="15"/>
      <c r="I66" s="15"/>
      <c r="J66" s="15"/>
      <c r="K66" s="15"/>
      <c r="L66" s="15"/>
      <c r="M66" s="15"/>
      <c r="N66" s="15"/>
      <c r="O66" s="15"/>
      <c r="P66" s="15"/>
      <c r="Q66" s="15"/>
      <c r="R66" s="15"/>
      <c r="S66" s="15"/>
      <c r="T66" s="2"/>
      <c r="U66" s="209"/>
      <c r="V66" s="185"/>
    </row>
    <row r="67" spans="1:22" ht="15" customHeight="1">
      <c r="A67" s="213"/>
      <c r="B67" s="1"/>
      <c r="C67" s="1"/>
      <c r="D67" s="1"/>
      <c r="E67" s="1"/>
      <c r="F67" s="1"/>
      <c r="G67" s="1"/>
      <c r="H67" s="1"/>
      <c r="I67" s="1"/>
      <c r="J67" s="1"/>
      <c r="K67" s="1"/>
      <c r="L67" s="1"/>
      <c r="M67" s="1"/>
      <c r="N67" s="1"/>
      <c r="O67" s="1"/>
      <c r="P67" s="1"/>
      <c r="Q67" s="1"/>
      <c r="R67" s="1"/>
      <c r="S67" s="1"/>
      <c r="T67" s="1"/>
      <c r="U67" s="209"/>
      <c r="V67" s="185"/>
    </row>
    <row r="68" spans="1:22" ht="11.25" customHeight="1">
      <c r="A68" s="180"/>
      <c r="B68" s="181"/>
      <c r="C68" s="553"/>
      <c r="D68" s="196"/>
      <c r="E68" s="196"/>
      <c r="F68" s="196"/>
      <c r="G68" s="196"/>
      <c r="H68" s="181"/>
      <c r="I68" s="553"/>
      <c r="J68" s="181"/>
      <c r="K68" s="181"/>
      <c r="L68" s="181"/>
      <c r="M68" s="181"/>
      <c r="N68" s="181"/>
      <c r="O68" s="553"/>
      <c r="P68" s="553"/>
      <c r="Q68" s="553"/>
      <c r="R68" s="181"/>
      <c r="S68" s="553"/>
      <c r="T68" s="181"/>
      <c r="U68" s="214"/>
      <c r="V68" s="185"/>
    </row>
    <row r="69" spans="1:22" s="52" customFormat="1">
      <c r="A69" s="106"/>
      <c r="B69" s="705"/>
      <c r="C69" s="5"/>
      <c r="D69" s="5"/>
      <c r="E69" s="9"/>
      <c r="F69" s="5"/>
      <c r="G69" s="40"/>
      <c r="H69" s="554"/>
      <c r="I69" s="40"/>
      <c r="J69" s="40"/>
      <c r="K69" s="40"/>
      <c r="L69" s="40"/>
      <c r="M69" s="40"/>
      <c r="N69" s="40"/>
      <c r="O69" s="40"/>
      <c r="P69" s="40"/>
      <c r="Q69" s="40"/>
      <c r="R69" s="40"/>
      <c r="S69" s="40"/>
      <c r="T69" s="40"/>
      <c r="U69" s="40"/>
      <c r="V69" s="119"/>
    </row>
    <row r="70" spans="1:22" s="52" customFormat="1">
      <c r="A70" s="106"/>
      <c r="B70" s="705"/>
      <c r="C70" s="5"/>
      <c r="D70" s="5"/>
      <c r="E70" s="9"/>
      <c r="F70" s="5"/>
      <c r="G70" s="40"/>
      <c r="H70" s="554"/>
      <c r="I70" s="40"/>
      <c r="J70" s="40"/>
      <c r="K70" s="40"/>
      <c r="L70" s="40"/>
      <c r="M70" s="40"/>
      <c r="N70" s="40"/>
      <c r="O70" s="40"/>
      <c r="P70" s="40"/>
      <c r="Q70" s="40"/>
      <c r="R70" s="40"/>
      <c r="S70" s="40"/>
      <c r="T70" s="40"/>
      <c r="U70" s="40"/>
      <c r="V70" s="119"/>
    </row>
    <row r="71" spans="1:22" s="52" customFormat="1" ht="11.25" customHeight="1">
      <c r="A71" s="106"/>
      <c r="B71" s="1734"/>
      <c r="C71" s="5"/>
      <c r="D71" s="5"/>
      <c r="E71" s="9"/>
      <c r="F71" s="5"/>
      <c r="G71" s="40"/>
      <c r="H71" s="554"/>
      <c r="I71" s="40"/>
      <c r="J71" s="40"/>
      <c r="K71" s="40"/>
      <c r="L71" s="40"/>
      <c r="M71" s="40"/>
      <c r="N71" s="40"/>
      <c r="O71" s="40"/>
      <c r="P71" s="40"/>
      <c r="Q71" s="40"/>
      <c r="R71" s="40"/>
      <c r="S71" s="40"/>
      <c r="T71" s="40"/>
      <c r="U71" s="40"/>
      <c r="V71" s="119"/>
    </row>
    <row r="72" spans="1:22" s="52" customFormat="1" ht="11.25" customHeight="1">
      <c r="A72" s="106"/>
      <c r="B72" s="1735"/>
      <c r="C72" s="5"/>
      <c r="D72" s="5"/>
      <c r="E72" s="9"/>
      <c r="F72" s="2"/>
      <c r="G72" s="554"/>
      <c r="H72" s="554"/>
      <c r="I72" s="40"/>
      <c r="J72" s="40"/>
      <c r="K72" s="40"/>
      <c r="L72" s="40"/>
      <c r="M72" s="40"/>
      <c r="N72" s="40"/>
      <c r="O72" s="40"/>
      <c r="P72" s="40"/>
      <c r="Q72" s="40"/>
      <c r="R72" s="40"/>
      <c r="S72" s="40"/>
      <c r="T72" s="40"/>
      <c r="U72" s="40"/>
      <c r="V72" s="119"/>
    </row>
    <row r="73" spans="1:22" s="52" customFormat="1" ht="11.25" customHeight="1">
      <c r="A73" s="106"/>
      <c r="B73" s="1561"/>
      <c r="C73" s="1561"/>
      <c r="D73" s="1561"/>
      <c r="E73" s="1561"/>
      <c r="F73" s="2"/>
      <c r="G73" s="554"/>
      <c r="H73" s="554"/>
      <c r="I73" s="40"/>
      <c r="J73" s="40"/>
      <c r="K73" s="40"/>
      <c r="L73" s="40"/>
      <c r="M73" s="40"/>
      <c r="N73" s="40"/>
      <c r="O73" s="40"/>
      <c r="P73" s="40"/>
      <c r="Q73" s="40"/>
      <c r="R73" s="40"/>
      <c r="S73" s="40"/>
      <c r="T73" s="40"/>
      <c r="U73" s="40"/>
      <c r="V73" s="119"/>
    </row>
    <row r="74" spans="1:22" s="52" customFormat="1" ht="11.25" customHeight="1">
      <c r="A74" s="106"/>
      <c r="B74" s="1561"/>
      <c r="C74" s="1561"/>
      <c r="D74" s="1561"/>
      <c r="E74" s="1561"/>
      <c r="F74" s="2"/>
      <c r="G74" s="554"/>
      <c r="H74" s="554"/>
      <c r="I74" s="40"/>
      <c r="J74" s="40"/>
      <c r="K74" s="40"/>
      <c r="L74" s="40"/>
      <c r="M74" s="40"/>
      <c r="N74" s="40"/>
      <c r="O74" s="40"/>
      <c r="P74" s="40"/>
      <c r="Q74" s="40"/>
      <c r="R74" s="40"/>
      <c r="S74" s="40"/>
      <c r="T74" s="40"/>
      <c r="U74" s="40"/>
      <c r="V74" s="119"/>
    </row>
    <row r="75" spans="1:22" s="52" customFormat="1" ht="11.25" customHeight="1">
      <c r="A75" s="106"/>
      <c r="B75" s="1561"/>
      <c r="C75" s="1561"/>
      <c r="D75" s="1561"/>
      <c r="E75" s="1561"/>
      <c r="F75" s="2"/>
      <c r="G75" s="554"/>
      <c r="H75" s="554"/>
      <c r="I75" s="40"/>
      <c r="J75" s="40"/>
      <c r="K75" s="40"/>
      <c r="L75" s="40"/>
      <c r="M75" s="40"/>
      <c r="N75" s="40"/>
      <c r="O75" s="40"/>
      <c r="P75" s="40"/>
      <c r="Q75" s="40"/>
      <c r="R75" s="40"/>
      <c r="S75" s="40"/>
      <c r="T75" s="40"/>
      <c r="U75" s="40"/>
      <c r="V75" s="119"/>
    </row>
    <row r="76" spans="1:22" s="52" customFormat="1" ht="11.25" customHeight="1">
      <c r="A76" s="106"/>
      <c r="B76" s="1561"/>
      <c r="C76" s="1561"/>
      <c r="D76" s="1561"/>
      <c r="E76" s="1561"/>
      <c r="F76" s="2"/>
      <c r="G76" s="554"/>
      <c r="H76" s="554"/>
      <c r="I76" s="40"/>
      <c r="J76" s="40"/>
      <c r="K76" s="40"/>
      <c r="L76" s="40"/>
      <c r="M76" s="40"/>
      <c r="N76" s="40"/>
      <c r="O76" s="40"/>
      <c r="P76" s="40"/>
      <c r="Q76" s="40"/>
      <c r="R76" s="40"/>
      <c r="S76" s="40"/>
      <c r="T76" s="40"/>
      <c r="U76" s="40"/>
      <c r="V76" s="119"/>
    </row>
    <row r="77" spans="1:22" s="52" customFormat="1" ht="11.25" customHeight="1">
      <c r="A77" s="106"/>
      <c r="B77" s="1561"/>
      <c r="C77" s="1561"/>
      <c r="D77" s="1561"/>
      <c r="E77" s="1561"/>
      <c r="F77" s="2"/>
      <c r="G77" s="554"/>
      <c r="H77" s="554"/>
      <c r="I77" s="40"/>
      <c r="J77" s="40"/>
      <c r="K77" s="40"/>
      <c r="L77" s="40"/>
      <c r="M77" s="40"/>
      <c r="N77" s="40"/>
      <c r="O77" s="40"/>
      <c r="P77" s="40"/>
      <c r="Q77" s="40"/>
      <c r="R77" s="40"/>
      <c r="S77" s="40"/>
      <c r="T77" s="40"/>
      <c r="U77" s="40"/>
      <c r="V77" s="119"/>
    </row>
    <row r="78" spans="1:22" s="52" customFormat="1" ht="11.25" customHeight="1">
      <c r="A78" s="106"/>
      <c r="B78" s="1561"/>
      <c r="C78" s="1561"/>
      <c r="D78" s="1561"/>
      <c r="E78" s="1561"/>
      <c r="F78" s="2"/>
      <c r="G78" s="554"/>
      <c r="H78" s="554"/>
      <c r="I78" s="40"/>
      <c r="J78" s="40"/>
      <c r="K78" s="40"/>
      <c r="L78" s="40"/>
      <c r="M78" s="40"/>
      <c r="N78" s="40"/>
      <c r="O78" s="40"/>
      <c r="P78" s="40"/>
      <c r="Q78" s="40"/>
      <c r="R78" s="40"/>
      <c r="S78" s="40"/>
      <c r="T78" s="40"/>
      <c r="U78" s="40"/>
      <c r="V78" s="119"/>
    </row>
    <row r="79" spans="1:22" s="52" customFormat="1" ht="11.25" customHeight="1">
      <c r="A79" s="106"/>
      <c r="B79" s="1561"/>
      <c r="C79" s="1561"/>
      <c r="D79" s="1561"/>
      <c r="E79" s="1561"/>
      <c r="F79" s="2"/>
      <c r="G79" s="554"/>
      <c r="H79" s="554"/>
      <c r="I79" s="40"/>
      <c r="J79" s="40"/>
      <c r="K79" s="40"/>
      <c r="L79" s="40"/>
      <c r="M79" s="40"/>
      <c r="N79" s="40"/>
      <c r="O79" s="40"/>
      <c r="P79" s="40"/>
      <c r="Q79" s="40"/>
      <c r="R79" s="40"/>
      <c r="S79" s="40"/>
      <c r="T79" s="40"/>
      <c r="U79" s="40"/>
      <c r="V79" s="119"/>
    </row>
    <row r="80" spans="1:22" s="52" customFormat="1" ht="11.25" customHeight="1">
      <c r="A80" s="106"/>
      <c r="B80" s="1561"/>
      <c r="C80" s="1561"/>
      <c r="D80" s="1561"/>
      <c r="E80" s="1561"/>
      <c r="F80" s="2"/>
      <c r="G80" s="554"/>
      <c r="H80" s="554"/>
      <c r="I80" s="40"/>
      <c r="J80" s="40"/>
      <c r="K80" s="40"/>
      <c r="L80" s="40"/>
      <c r="M80" s="40"/>
      <c r="N80" s="40"/>
      <c r="O80" s="40"/>
      <c r="P80" s="40"/>
      <c r="Q80" s="40"/>
      <c r="R80" s="40"/>
      <c r="S80" s="40"/>
      <c r="T80" s="40"/>
      <c r="U80" s="40"/>
      <c r="V80" s="119"/>
    </row>
    <row r="81" spans="1:22" s="52" customFormat="1" ht="11.25" customHeight="1">
      <c r="A81" s="106"/>
      <c r="B81" s="1561"/>
      <c r="C81" s="1561"/>
      <c r="D81" s="1561"/>
      <c r="E81" s="1561"/>
      <c r="F81" s="2"/>
      <c r="G81" s="554"/>
      <c r="H81" s="554"/>
      <c r="I81" s="40"/>
      <c r="J81" s="40"/>
      <c r="K81" s="40"/>
      <c r="L81" s="40"/>
      <c r="M81" s="40"/>
      <c r="N81" s="40"/>
      <c r="O81" s="40"/>
      <c r="P81" s="40"/>
      <c r="Q81" s="40"/>
      <c r="R81" s="40"/>
      <c r="S81" s="40"/>
      <c r="T81" s="40"/>
      <c r="U81" s="40"/>
      <c r="V81" s="119"/>
    </row>
    <row r="82" spans="1:22" s="52" customFormat="1" ht="11.25" customHeight="1">
      <c r="A82" s="106"/>
      <c r="B82" s="1561"/>
      <c r="C82" s="1561"/>
      <c r="D82" s="1561"/>
      <c r="E82" s="1561"/>
      <c r="F82" s="2"/>
      <c r="G82" s="554"/>
      <c r="H82" s="554"/>
      <c r="I82" s="40"/>
      <c r="J82" s="40"/>
      <c r="K82" s="40"/>
      <c r="L82" s="40"/>
      <c r="M82" s="40"/>
      <c r="N82" s="40"/>
      <c r="O82" s="40"/>
      <c r="P82" s="40"/>
      <c r="Q82" s="40"/>
      <c r="R82" s="40"/>
      <c r="S82" s="40"/>
      <c r="T82" s="40"/>
      <c r="U82" s="40"/>
      <c r="V82" s="119"/>
    </row>
    <row r="83" spans="1:22" s="52" customFormat="1" ht="11.25" customHeight="1">
      <c r="A83" s="106"/>
      <c r="B83" s="1561"/>
      <c r="C83" s="1561"/>
      <c r="D83" s="1561"/>
      <c r="E83" s="1561"/>
      <c r="F83" s="2"/>
      <c r="G83" s="554"/>
      <c r="H83" s="554"/>
      <c r="I83" s="40"/>
      <c r="J83" s="40"/>
      <c r="K83" s="40"/>
      <c r="L83" s="40"/>
      <c r="M83" s="40"/>
      <c r="N83" s="40"/>
      <c r="O83" s="40"/>
      <c r="P83" s="40"/>
      <c r="Q83" s="40"/>
      <c r="R83" s="40"/>
      <c r="S83" s="40"/>
      <c r="T83" s="40"/>
      <c r="U83" s="40"/>
      <c r="V83" s="119"/>
    </row>
    <row r="84" spans="1:22" s="52" customFormat="1" ht="11.25" customHeight="1">
      <c r="A84" s="106"/>
      <c r="B84" s="1561"/>
      <c r="C84" s="1561"/>
      <c r="D84" s="1561"/>
      <c r="E84" s="1561"/>
      <c r="F84" s="2"/>
      <c r="G84" s="554"/>
      <c r="H84" s="554"/>
      <c r="I84" s="40"/>
      <c r="J84" s="40"/>
      <c r="K84" s="40"/>
      <c r="L84" s="40"/>
      <c r="M84" s="40"/>
      <c r="N84" s="40"/>
      <c r="O84" s="40"/>
      <c r="P84" s="40"/>
      <c r="Q84" s="40"/>
      <c r="R84" s="40"/>
      <c r="S84" s="40"/>
      <c r="T84" s="40"/>
      <c r="U84" s="40"/>
      <c r="V84" s="119"/>
    </row>
    <row r="85" spans="1:22" s="52" customFormat="1" ht="11.25" customHeight="1">
      <c r="A85" s="106"/>
      <c r="B85" s="1561"/>
      <c r="C85" s="1561"/>
      <c r="D85" s="1561"/>
      <c r="E85" s="1561"/>
      <c r="F85" s="2"/>
      <c r="G85" s="554"/>
      <c r="H85" s="554"/>
      <c r="I85" s="40"/>
      <c r="J85" s="40"/>
      <c r="K85" s="40"/>
      <c r="L85" s="40"/>
      <c r="M85" s="40"/>
      <c r="N85" s="40"/>
      <c r="O85" s="40"/>
      <c r="P85" s="40"/>
      <c r="Q85" s="40"/>
      <c r="R85" s="40"/>
      <c r="S85" s="40"/>
      <c r="T85" s="40"/>
      <c r="U85" s="40"/>
      <c r="V85" s="119"/>
    </row>
    <row r="86" spans="1:22" s="52" customFormat="1" ht="11.25" customHeight="1">
      <c r="A86" s="106"/>
      <c r="B86" s="1561"/>
      <c r="C86" s="1561"/>
      <c r="D86" s="1561"/>
      <c r="E86" s="1561"/>
      <c r="F86" s="2"/>
      <c r="G86" s="554"/>
      <c r="H86" s="554"/>
      <c r="I86" s="40"/>
      <c r="J86" s="40"/>
      <c r="K86" s="40"/>
      <c r="L86" s="40"/>
      <c r="M86" s="40"/>
      <c r="N86" s="40"/>
      <c r="O86" s="40"/>
      <c r="P86" s="40"/>
      <c r="Q86" s="40"/>
      <c r="R86" s="40"/>
      <c r="S86" s="40"/>
      <c r="T86" s="40"/>
      <c r="U86" s="40"/>
      <c r="V86" s="119"/>
    </row>
    <row r="87" spans="1:22" s="52" customFormat="1" ht="11.25" customHeight="1">
      <c r="A87" s="106"/>
      <c r="B87" s="1561"/>
      <c r="C87" s="1561"/>
      <c r="D87" s="1561"/>
      <c r="E87" s="1561"/>
      <c r="F87" s="2"/>
      <c r="G87" s="554"/>
      <c r="H87" s="554"/>
      <c r="I87" s="40"/>
      <c r="J87" s="40"/>
      <c r="K87" s="40"/>
      <c r="L87" s="40"/>
      <c r="M87" s="40"/>
      <c r="N87" s="40"/>
      <c r="O87" s="40"/>
      <c r="P87" s="40"/>
      <c r="Q87" s="40"/>
      <c r="R87" s="40"/>
      <c r="S87" s="40"/>
      <c r="T87" s="40"/>
      <c r="U87" s="40"/>
      <c r="V87" s="119"/>
    </row>
    <row r="88" spans="1:22" s="52" customFormat="1" ht="11.25" customHeight="1">
      <c r="A88" s="106"/>
      <c r="B88" s="1561"/>
      <c r="C88" s="1561"/>
      <c r="D88" s="1561"/>
      <c r="E88" s="1561"/>
      <c r="F88" s="2"/>
      <c r="G88" s="554"/>
      <c r="H88" s="554"/>
      <c r="I88" s="40"/>
      <c r="J88" s="40"/>
      <c r="K88" s="40"/>
      <c r="L88" s="40"/>
      <c r="M88" s="40"/>
      <c r="N88" s="40"/>
      <c r="O88" s="40"/>
      <c r="P88" s="40"/>
      <c r="Q88" s="40"/>
      <c r="R88" s="40"/>
      <c r="S88" s="40"/>
      <c r="T88" s="40"/>
      <c r="U88" s="40"/>
      <c r="V88" s="119"/>
    </row>
    <row r="89" spans="1:22" s="52" customFormat="1" ht="11.25" customHeight="1">
      <c r="A89" s="106"/>
      <c r="B89" s="1561"/>
      <c r="C89" s="1561"/>
      <c r="D89" s="1561"/>
      <c r="E89" s="1561"/>
      <c r="F89" s="2"/>
      <c r="G89" s="554"/>
      <c r="H89" s="554"/>
      <c r="I89" s="40"/>
      <c r="J89" s="40"/>
      <c r="K89" s="40"/>
      <c r="L89" s="40"/>
      <c r="M89" s="40"/>
      <c r="N89" s="40"/>
      <c r="O89" s="40"/>
      <c r="P89" s="40"/>
      <c r="Q89" s="40"/>
      <c r="R89" s="40"/>
      <c r="S89" s="40"/>
      <c r="T89" s="40"/>
      <c r="U89" s="40"/>
      <c r="V89" s="119"/>
    </row>
    <row r="90" spans="1:22" s="52" customFormat="1" ht="11.25" customHeight="1">
      <c r="A90" s="106"/>
      <c r="B90" s="1561"/>
      <c r="C90" s="1561"/>
      <c r="D90" s="1561"/>
      <c r="E90" s="1561"/>
      <c r="F90" s="2"/>
      <c r="G90" s="554"/>
      <c r="H90" s="554"/>
      <c r="I90" s="40"/>
      <c r="J90" s="40"/>
      <c r="K90" s="40"/>
      <c r="L90" s="40"/>
      <c r="M90" s="40"/>
      <c r="N90" s="40"/>
      <c r="O90" s="40"/>
      <c r="P90" s="40"/>
      <c r="Q90" s="40"/>
      <c r="R90" s="40"/>
      <c r="S90" s="40"/>
      <c r="T90" s="40"/>
      <c r="U90" s="40"/>
      <c r="V90" s="119"/>
    </row>
    <row r="91" spans="1:22" s="52" customFormat="1" ht="11.25" customHeight="1">
      <c r="A91" s="106"/>
      <c r="B91" s="1561"/>
      <c r="C91" s="1561"/>
      <c r="D91" s="1561"/>
      <c r="E91" s="1561"/>
      <c r="F91" s="2"/>
      <c r="G91" s="554"/>
      <c r="H91" s="554"/>
      <c r="I91" s="40"/>
      <c r="J91" s="40"/>
      <c r="K91" s="40"/>
      <c r="L91" s="40"/>
      <c r="M91" s="40"/>
      <c r="N91" s="40"/>
      <c r="O91" s="40"/>
      <c r="P91" s="40"/>
      <c r="Q91" s="40"/>
      <c r="R91" s="40"/>
      <c r="S91" s="40"/>
      <c r="T91" s="40"/>
      <c r="U91" s="40"/>
      <c r="V91" s="119"/>
    </row>
    <row r="92" spans="1:22" s="52" customFormat="1" ht="11.25" customHeight="1">
      <c r="A92" s="106"/>
      <c r="B92" s="1561"/>
      <c r="C92" s="1561"/>
      <c r="D92" s="1561"/>
      <c r="E92" s="1561"/>
      <c r="F92" s="2"/>
      <c r="G92" s="554"/>
      <c r="H92" s="554"/>
      <c r="I92" s="40"/>
      <c r="J92" s="40"/>
      <c r="K92" s="40"/>
      <c r="L92" s="40"/>
      <c r="M92" s="40"/>
      <c r="N92" s="40"/>
      <c r="O92" s="40"/>
      <c r="P92" s="40"/>
      <c r="Q92" s="40"/>
      <c r="R92" s="40"/>
      <c r="S92" s="40"/>
      <c r="T92" s="40"/>
      <c r="U92" s="40"/>
      <c r="V92" s="119"/>
    </row>
    <row r="93" spans="1:22" s="52" customFormat="1" ht="11.25" customHeight="1">
      <c r="A93" s="106"/>
      <c r="B93" s="1561"/>
      <c r="C93" s="1561"/>
      <c r="D93" s="1561"/>
      <c r="E93" s="1561"/>
      <c r="F93" s="2"/>
      <c r="G93" s="554"/>
      <c r="H93" s="554"/>
      <c r="I93" s="40"/>
      <c r="J93" s="40"/>
      <c r="K93" s="40"/>
      <c r="L93" s="40"/>
      <c r="M93" s="40"/>
      <c r="N93" s="40"/>
      <c r="O93" s="40"/>
      <c r="P93" s="40"/>
      <c r="Q93" s="40"/>
      <c r="R93" s="40"/>
      <c r="S93" s="40"/>
      <c r="T93" s="40"/>
      <c r="U93" s="40"/>
      <c r="V93" s="119"/>
    </row>
    <row r="94" spans="1:22" s="52" customFormat="1" ht="11.25" customHeight="1">
      <c r="A94" s="106"/>
      <c r="B94" s="1561"/>
      <c r="C94" s="1561"/>
      <c r="D94" s="1561"/>
      <c r="E94" s="1561"/>
      <c r="F94" s="2"/>
      <c r="G94" s="554"/>
      <c r="H94" s="554"/>
      <c r="I94" s="40"/>
      <c r="J94" s="40"/>
      <c r="K94" s="40"/>
      <c r="L94" s="40"/>
      <c r="M94" s="40"/>
      <c r="N94" s="40"/>
      <c r="O94" s="40"/>
      <c r="P94" s="40"/>
      <c r="Q94" s="40"/>
      <c r="R94" s="40"/>
      <c r="S94" s="40"/>
      <c r="T94" s="40"/>
      <c r="U94" s="40"/>
      <c r="V94" s="119"/>
    </row>
    <row r="95" spans="1:22" s="52" customFormat="1" ht="11.25" customHeight="1">
      <c r="A95" s="106"/>
      <c r="B95" s="1561"/>
      <c r="C95" s="1561"/>
      <c r="D95" s="1561"/>
      <c r="E95" s="1561"/>
      <c r="F95" s="2"/>
      <c r="G95" s="554"/>
      <c r="H95" s="554"/>
      <c r="I95" s="40"/>
      <c r="J95" s="40"/>
      <c r="K95" s="40"/>
      <c r="L95" s="40"/>
      <c r="M95" s="40"/>
      <c r="N95" s="40"/>
      <c r="O95" s="40"/>
      <c r="P95" s="40"/>
      <c r="Q95" s="40"/>
      <c r="R95" s="40"/>
      <c r="S95" s="40"/>
      <c r="T95" s="40"/>
      <c r="U95" s="40"/>
      <c r="V95" s="119"/>
    </row>
    <row r="96" spans="1:22" s="52" customFormat="1" ht="11.25" customHeight="1">
      <c r="A96" s="106"/>
      <c r="B96" s="1561"/>
      <c r="C96" s="1561"/>
      <c r="D96" s="1561"/>
      <c r="E96" s="1561"/>
      <c r="F96" s="2"/>
      <c r="G96" s="554"/>
      <c r="H96" s="554"/>
      <c r="I96" s="40"/>
      <c r="J96" s="40"/>
      <c r="K96" s="40"/>
      <c r="L96" s="40"/>
      <c r="M96" s="40"/>
      <c r="N96" s="40"/>
      <c r="O96" s="40"/>
      <c r="P96" s="40"/>
      <c r="Q96" s="40"/>
      <c r="R96" s="40"/>
      <c r="S96" s="40"/>
      <c r="T96" s="40"/>
      <c r="U96" s="40"/>
      <c r="V96" s="119"/>
    </row>
    <row r="97" spans="1:28" s="52" customFormat="1" ht="11.25" customHeight="1">
      <c r="A97" s="106"/>
      <c r="B97" s="1561"/>
      <c r="C97" s="1561"/>
      <c r="D97" s="1561"/>
      <c r="E97" s="1561"/>
      <c r="F97" s="2"/>
      <c r="G97" s="554"/>
      <c r="H97" s="554"/>
      <c r="I97" s="40"/>
      <c r="J97" s="40"/>
      <c r="K97" s="40"/>
      <c r="L97" s="40"/>
      <c r="M97" s="40"/>
      <c r="N97" s="40"/>
      <c r="O97" s="40"/>
      <c r="P97" s="40"/>
      <c r="Q97" s="40"/>
      <c r="R97" s="40"/>
      <c r="S97" s="40"/>
      <c r="T97" s="40"/>
      <c r="U97" s="40"/>
      <c r="V97" s="119"/>
    </row>
    <row r="98" spans="1:28" s="52" customFormat="1" ht="11.25" customHeight="1">
      <c r="A98" s="106"/>
      <c r="B98" s="1561"/>
      <c r="C98" s="1561"/>
      <c r="D98" s="1561"/>
      <c r="E98" s="1561"/>
      <c r="F98" s="2"/>
      <c r="G98" s="554"/>
      <c r="H98" s="554"/>
      <c r="I98" s="40"/>
      <c r="J98" s="40"/>
      <c r="K98" s="40"/>
      <c r="L98" s="40"/>
      <c r="M98" s="40"/>
      <c r="N98" s="40"/>
      <c r="O98" s="40"/>
      <c r="P98" s="40"/>
      <c r="Q98" s="40"/>
      <c r="R98" s="40"/>
      <c r="S98" s="40"/>
      <c r="T98" s="40"/>
      <c r="U98" s="40"/>
      <c r="V98" s="119"/>
    </row>
    <row r="99" spans="1:28" s="52" customFormat="1" ht="11.25" customHeight="1">
      <c r="A99" s="106"/>
      <c r="B99" s="1561"/>
      <c r="C99" s="1561"/>
      <c r="D99" s="1561"/>
      <c r="E99" s="1561"/>
      <c r="F99" s="2"/>
      <c r="G99" s="554"/>
      <c r="H99" s="554"/>
      <c r="I99" s="40"/>
      <c r="J99" s="40"/>
      <c r="K99" s="40"/>
      <c r="L99" s="40"/>
      <c r="M99" s="40"/>
      <c r="N99" s="40"/>
      <c r="O99" s="40"/>
      <c r="P99" s="40"/>
      <c r="Q99" s="40"/>
      <c r="R99" s="40"/>
      <c r="S99" s="40"/>
      <c r="T99" s="40"/>
      <c r="U99" s="40"/>
      <c r="V99" s="119"/>
    </row>
    <row r="100" spans="1:28" s="52" customFormat="1" ht="11.25" customHeight="1">
      <c r="A100" s="106"/>
      <c r="B100" s="1561"/>
      <c r="C100" s="1561"/>
      <c r="D100" s="1561"/>
      <c r="E100" s="1561"/>
      <c r="F100" s="2"/>
      <c r="G100" s="554"/>
      <c r="H100" s="554"/>
      <c r="I100" s="40"/>
      <c r="J100" s="40"/>
      <c r="K100" s="40"/>
      <c r="L100" s="40"/>
      <c r="M100" s="40"/>
      <c r="N100" s="40"/>
      <c r="O100" s="40"/>
      <c r="P100" s="40"/>
      <c r="Q100" s="40"/>
      <c r="R100" s="40"/>
      <c r="S100" s="40"/>
      <c r="T100" s="40"/>
      <c r="U100" s="40"/>
      <c r="V100" s="119"/>
    </row>
    <row r="101" spans="1:28" s="52" customFormat="1" ht="11.25" customHeight="1">
      <c r="A101" s="106"/>
      <c r="B101" s="1561"/>
      <c r="C101" s="1561"/>
      <c r="D101" s="1561"/>
      <c r="E101" s="1561"/>
      <c r="F101" s="2"/>
      <c r="G101" s="554"/>
      <c r="H101" s="554"/>
      <c r="I101" s="40"/>
      <c r="J101" s="40"/>
      <c r="K101" s="40"/>
      <c r="L101" s="40"/>
      <c r="M101" s="40"/>
      <c r="N101" s="40"/>
      <c r="O101" s="40"/>
      <c r="P101" s="40"/>
      <c r="Q101" s="40"/>
      <c r="R101" s="40"/>
      <c r="S101" s="40"/>
      <c r="T101" s="40"/>
      <c r="U101" s="40"/>
      <c r="V101" s="119"/>
    </row>
    <row r="102" spans="1:28" s="52" customFormat="1" ht="11.25" customHeight="1">
      <c r="A102" s="106"/>
      <c r="B102" s="1561"/>
      <c r="C102" s="1561"/>
      <c r="D102" s="1561"/>
      <c r="E102" s="1561"/>
      <c r="F102" s="2"/>
      <c r="G102" s="554"/>
      <c r="H102" s="554"/>
      <c r="I102" s="40"/>
      <c r="J102" s="40"/>
      <c r="K102" s="40"/>
      <c r="L102" s="40"/>
      <c r="M102" s="40"/>
      <c r="N102" s="40"/>
      <c r="O102" s="40"/>
      <c r="P102" s="40"/>
      <c r="Q102" s="40"/>
      <c r="R102" s="40"/>
      <c r="S102" s="40"/>
      <c r="T102" s="40"/>
      <c r="U102" s="40"/>
      <c r="V102" s="119"/>
    </row>
    <row r="103" spans="1:28" s="52" customFormat="1" ht="11.25" customHeight="1">
      <c r="A103" s="106"/>
      <c r="B103" s="1561"/>
      <c r="C103" s="1561"/>
      <c r="D103" s="1561"/>
      <c r="E103" s="1561"/>
      <c r="F103" s="2"/>
      <c r="G103" s="554"/>
      <c r="H103" s="554"/>
      <c r="I103" s="40"/>
      <c r="J103" s="40"/>
      <c r="K103" s="40"/>
      <c r="L103" s="40"/>
      <c r="M103" s="40"/>
      <c r="N103" s="40"/>
      <c r="O103" s="40"/>
      <c r="P103" s="40"/>
      <c r="Q103" s="40"/>
      <c r="R103" s="40"/>
      <c r="S103" s="40"/>
      <c r="T103" s="40"/>
      <c r="U103" s="40"/>
      <c r="V103" s="119"/>
    </row>
    <row r="104" spans="1:28" s="52" customFormat="1" ht="11.25" customHeight="1">
      <c r="A104" s="106"/>
      <c r="B104" s="1561"/>
      <c r="C104" s="1561"/>
      <c r="D104" s="1561"/>
      <c r="E104" s="1561"/>
      <c r="F104" s="2"/>
      <c r="G104" s="554"/>
      <c r="H104" s="554"/>
      <c r="I104" s="40"/>
      <c r="J104" s="40"/>
      <c r="K104" s="40"/>
      <c r="L104" s="40"/>
      <c r="M104" s="40"/>
      <c r="N104" s="40"/>
      <c r="O104" s="40"/>
      <c r="P104" s="40"/>
      <c r="Q104" s="40"/>
      <c r="R104" s="40"/>
      <c r="S104" s="40"/>
      <c r="T104" s="40"/>
      <c r="U104" s="40"/>
      <c r="V104" s="119"/>
    </row>
    <row r="105" spans="1:28" s="52" customFormat="1" ht="11.25" customHeight="1">
      <c r="A105" s="106"/>
      <c r="B105" s="1561"/>
      <c r="C105" s="1561"/>
      <c r="D105" s="1561"/>
      <c r="E105" s="1561"/>
      <c r="F105" s="2"/>
      <c r="G105" s="554"/>
      <c r="H105" s="554"/>
      <c r="I105" s="40"/>
      <c r="J105" s="40"/>
      <c r="K105" s="40"/>
      <c r="L105" s="40"/>
      <c r="M105" s="40"/>
      <c r="N105" s="40"/>
      <c r="O105" s="40"/>
      <c r="P105" s="40"/>
      <c r="Q105" s="40"/>
      <c r="R105" s="40"/>
      <c r="S105" s="40"/>
      <c r="T105" s="40"/>
      <c r="U105" s="40"/>
      <c r="V105" s="119"/>
    </row>
    <row r="106" spans="1:28" s="52" customFormat="1" ht="11.25" customHeight="1">
      <c r="A106" s="711"/>
      <c r="B106" s="712"/>
      <c r="C106" s="713"/>
      <c r="D106" s="713"/>
      <c r="E106" s="713"/>
      <c r="F106" s="152"/>
      <c r="G106" s="152"/>
      <c r="H106" s="714"/>
      <c r="I106" s="152"/>
      <c r="J106" s="152"/>
      <c r="K106" s="152"/>
      <c r="L106" s="152"/>
      <c r="M106" s="152"/>
      <c r="N106" s="152"/>
      <c r="O106" s="152"/>
      <c r="P106" s="152"/>
      <c r="Q106" s="152"/>
      <c r="R106" s="152"/>
      <c r="S106" s="152"/>
      <c r="T106" s="152"/>
      <c r="U106" s="152"/>
      <c r="V106" s="184"/>
      <c r="W106" s="56"/>
      <c r="X106" s="56"/>
      <c r="Z106" s="53"/>
      <c r="AA106" s="53"/>
      <c r="AB106" s="53"/>
    </row>
    <row r="107" spans="1:28" s="52" customFormat="1" ht="11.25" customHeight="1">
      <c r="Z107" s="53"/>
      <c r="AA107" s="53"/>
      <c r="AB107" s="53"/>
    </row>
    <row r="108" spans="1:28" s="52" customFormat="1" ht="11.25" customHeight="1">
      <c r="Z108" s="53"/>
      <c r="AA108" s="53"/>
      <c r="AB108" s="53"/>
    </row>
    <row r="109" spans="1:28" s="52" customFormat="1" ht="11.25" customHeight="1">
      <c r="Z109" s="53"/>
      <c r="AA109" s="53"/>
      <c r="AB109" s="53"/>
    </row>
    <row r="110" spans="1:28" s="52" customFormat="1" ht="11.25" customHeight="1">
      <c r="Z110" s="53"/>
      <c r="AA110" s="53"/>
      <c r="AB110" s="53"/>
    </row>
    <row r="111" spans="1:28" s="52" customFormat="1" ht="11.25" customHeight="1">
      <c r="Z111" s="53"/>
      <c r="AA111" s="53"/>
      <c r="AB111" s="53"/>
    </row>
    <row r="112" spans="1:28" s="52" customFormat="1" ht="11.25" customHeight="1">
      <c r="Z112" s="53"/>
      <c r="AA112" s="53"/>
      <c r="AB112" s="53"/>
    </row>
    <row r="113" spans="26:28" s="52" customFormat="1" ht="11.25" customHeight="1">
      <c r="Z113" s="53"/>
      <c r="AA113" s="53"/>
      <c r="AB113" s="53"/>
    </row>
    <row r="114" spans="26:28" s="52" customFormat="1" ht="11.25" customHeight="1">
      <c r="Z114" s="53"/>
      <c r="AA114" s="53"/>
      <c r="AB114" s="53"/>
    </row>
    <row r="115" spans="26:28" s="52" customFormat="1" ht="11.25" customHeight="1">
      <c r="Z115" s="53"/>
      <c r="AA115" s="53"/>
      <c r="AB115" s="53"/>
    </row>
    <row r="116" spans="26:28" s="52" customFormat="1" ht="11.25" customHeight="1">
      <c r="Z116" s="53"/>
      <c r="AA116" s="53"/>
      <c r="AB116" s="53"/>
    </row>
    <row r="117" spans="26:28" s="52" customFormat="1" ht="11.25" customHeight="1">
      <c r="Z117" s="53"/>
      <c r="AA117" s="53"/>
      <c r="AB117" s="53"/>
    </row>
    <row r="118" spans="26:28" s="52" customFormat="1" ht="11.25" customHeight="1">
      <c r="Z118" s="53"/>
      <c r="AA118" s="53"/>
      <c r="AB118" s="53"/>
    </row>
    <row r="119" spans="26:28" s="52" customFormat="1" ht="11.25" customHeight="1">
      <c r="Z119" s="53"/>
      <c r="AA119" s="53"/>
      <c r="AB119" s="53"/>
    </row>
    <row r="120" spans="26:28" s="52" customFormat="1" ht="11.25" customHeight="1">
      <c r="Z120" s="53"/>
      <c r="AA120" s="53"/>
      <c r="AB120" s="53"/>
    </row>
    <row r="121" spans="26:28" s="52" customFormat="1" ht="11.25" customHeight="1">
      <c r="Z121" s="53"/>
      <c r="AA121" s="53"/>
      <c r="AB121" s="53"/>
    </row>
    <row r="122" spans="26:28" s="52" customFormat="1" ht="11.25" customHeight="1">
      <c r="Z122" s="53"/>
      <c r="AA122" s="53"/>
      <c r="AB122" s="53"/>
    </row>
    <row r="123" spans="26:28" s="52" customFormat="1" ht="11.25" customHeight="1">
      <c r="Z123" s="53"/>
      <c r="AA123" s="53"/>
      <c r="AB123" s="53"/>
    </row>
    <row r="124" spans="26:28" s="52" customFormat="1" ht="11.25" customHeight="1">
      <c r="Z124" s="53"/>
      <c r="AA124" s="53"/>
      <c r="AB124" s="53"/>
    </row>
    <row r="125" spans="26:28" s="52" customFormat="1" ht="11.25" customHeight="1">
      <c r="Z125" s="53"/>
      <c r="AA125" s="53"/>
      <c r="AB125" s="53"/>
    </row>
    <row r="126" spans="26:28" s="52" customFormat="1" ht="11.25" customHeight="1">
      <c r="Z126" s="53"/>
      <c r="AA126" s="53"/>
      <c r="AB126" s="53"/>
    </row>
    <row r="154" spans="29:29" ht="11.25" customHeight="1">
      <c r="AC154" s="52"/>
    </row>
    <row r="155" spans="29:29" ht="11.25" customHeight="1">
      <c r="AC155" s="52"/>
    </row>
    <row r="156" spans="29:29" ht="11.25" customHeight="1">
      <c r="AC156" s="52"/>
    </row>
    <row r="198" spans="28:29" ht="11.25" customHeight="1">
      <c r="AB198" s="52"/>
      <c r="AC198" s="52"/>
    </row>
    <row r="199" spans="28:29" ht="11.25" customHeight="1">
      <c r="AB199" s="52"/>
      <c r="AC199" s="52"/>
    </row>
    <row r="200" spans="28:29" ht="11.25" customHeight="1">
      <c r="AB200" s="52"/>
      <c r="AC200" s="52"/>
    </row>
    <row r="242" spans="28:29" ht="11.25" customHeight="1">
      <c r="AB242" s="52"/>
      <c r="AC242" s="52"/>
    </row>
    <row r="243" spans="28:29" ht="11.25" customHeight="1">
      <c r="AB243" s="52"/>
      <c r="AC243" s="52"/>
    </row>
    <row r="244" spans="28:29" ht="11.25" customHeight="1">
      <c r="AB244" s="52"/>
      <c r="AC244" s="52"/>
    </row>
    <row r="286" spans="28:29" ht="11.25" customHeight="1">
      <c r="AB286" s="52"/>
      <c r="AC286" s="52"/>
    </row>
    <row r="287" spans="28:29" ht="11.25" customHeight="1">
      <c r="AB287" s="52"/>
      <c r="AC287" s="52"/>
    </row>
    <row r="288" spans="28:29" ht="11.25" customHeight="1">
      <c r="AB288" s="52"/>
      <c r="AC288" s="52"/>
    </row>
    <row r="330" spans="28:29" ht="11.25" customHeight="1">
      <c r="AB330" s="52"/>
      <c r="AC330" s="52"/>
    </row>
    <row r="331" spans="28:29" ht="11.25" customHeight="1">
      <c r="AB331" s="52"/>
      <c r="AC331" s="52"/>
    </row>
    <row r="332" spans="28:29" ht="11.25" customHeight="1">
      <c r="AB332" s="52"/>
      <c r="AC332" s="52"/>
    </row>
    <row r="374" spans="28:29" ht="11.25" customHeight="1">
      <c r="AB374" s="52"/>
      <c r="AC374" s="52"/>
    </row>
    <row r="375" spans="28:29" ht="11.25" customHeight="1">
      <c r="AB375" s="52"/>
      <c r="AC375" s="52"/>
    </row>
    <row r="376" spans="28:29" ht="11.25" customHeight="1">
      <c r="AB376" s="52"/>
      <c r="AC376" s="52"/>
    </row>
    <row r="418" spans="28:29" ht="11.25" customHeight="1">
      <c r="AB418" s="52"/>
      <c r="AC418" s="52"/>
    </row>
    <row r="419" spans="28:29" ht="11.25" customHeight="1">
      <c r="AB419" s="52"/>
      <c r="AC419" s="52"/>
    </row>
    <row r="420" spans="28:29" ht="11.25" customHeight="1">
      <c r="AB420" s="52"/>
      <c r="AC420" s="52"/>
    </row>
  </sheetData>
  <sheetProtection sheet="1" objects="1" scenarios="1"/>
  <mergeCells count="72">
    <mergeCell ref="F39:F40"/>
    <mergeCell ref="E39:E40"/>
    <mergeCell ref="D39:D40"/>
    <mergeCell ref="M39:M40"/>
    <mergeCell ref="L39:L40"/>
    <mergeCell ref="K39:K40"/>
    <mergeCell ref="J39:J40"/>
    <mergeCell ref="H39:H40"/>
    <mergeCell ref="T39:T40"/>
    <mergeCell ref="S39:S40"/>
    <mergeCell ref="R39:R40"/>
    <mergeCell ref="Q39:Q40"/>
    <mergeCell ref="P39:P40"/>
    <mergeCell ref="B101:E102"/>
    <mergeCell ref="B103:E104"/>
    <mergeCell ref="B105:E105"/>
    <mergeCell ref="B71:B72"/>
    <mergeCell ref="B73:E74"/>
    <mergeCell ref="B75:E76"/>
    <mergeCell ref="B77:E78"/>
    <mergeCell ref="B79:E80"/>
    <mergeCell ref="B81:E82"/>
    <mergeCell ref="B83:E84"/>
    <mergeCell ref="B85:E86"/>
    <mergeCell ref="B87:E88"/>
    <mergeCell ref="B89:E90"/>
    <mergeCell ref="B91:E92"/>
    <mergeCell ref="B93:E94"/>
    <mergeCell ref="B95:E96"/>
    <mergeCell ref="Q42:Q43"/>
    <mergeCell ref="R42:R43"/>
    <mergeCell ref="S42:S43"/>
    <mergeCell ref="T42:T43"/>
    <mergeCell ref="H42:H43"/>
    <mergeCell ref="P42:P43"/>
    <mergeCell ref="J42:J43"/>
    <mergeCell ref="K42:K43"/>
    <mergeCell ref="L42:L43"/>
    <mergeCell ref="M42:M43"/>
    <mergeCell ref="N42:N43"/>
    <mergeCell ref="P5:T6"/>
    <mergeCell ref="D37:H38"/>
    <mergeCell ref="P37:T38"/>
    <mergeCell ref="J37:N38"/>
    <mergeCell ref="T7:T8"/>
    <mergeCell ref="S7:S8"/>
    <mergeCell ref="R7:R8"/>
    <mergeCell ref="Q7:Q8"/>
    <mergeCell ref="P7:P8"/>
    <mergeCell ref="N7:N8"/>
    <mergeCell ref="M7:M8"/>
    <mergeCell ref="L7:L8"/>
    <mergeCell ref="K7:K8"/>
    <mergeCell ref="J7:J8"/>
    <mergeCell ref="H7:H8"/>
    <mergeCell ref="G7:G8"/>
    <mergeCell ref="B97:E98"/>
    <mergeCell ref="B99:E100"/>
    <mergeCell ref="J5:N6"/>
    <mergeCell ref="B7:B9"/>
    <mergeCell ref="D5:H6"/>
    <mergeCell ref="B39:B41"/>
    <mergeCell ref="G42:G43"/>
    <mergeCell ref="F42:F43"/>
    <mergeCell ref="E42:E43"/>
    <mergeCell ref="B42:B43"/>
    <mergeCell ref="D42:D43"/>
    <mergeCell ref="F7:F8"/>
    <mergeCell ref="E7:E8"/>
    <mergeCell ref="D7:D8"/>
    <mergeCell ref="N39:N40"/>
    <mergeCell ref="G39:G40"/>
  </mergeCells>
  <phoneticPr fontId="4" type="noConversion"/>
  <conditionalFormatting sqref="A11:A29 A44:A62">
    <cfRule type="cellIs" dxfId="624" priority="47" operator="equal">
      <formula>0</formula>
    </cfRule>
  </conditionalFormatting>
  <conditionalFormatting sqref="A11:A31 J44:J62 A44:A64">
    <cfRule type="containsErrors" dxfId="623" priority="46">
      <formula>ISERROR(A11)</formula>
    </cfRule>
  </conditionalFormatting>
  <conditionalFormatting sqref="B30 B63">
    <cfRule type="expression" dxfId="622" priority="1212" stopIfTrue="1">
      <formula>$B30=$AC$4</formula>
    </cfRule>
  </conditionalFormatting>
  <conditionalFormatting sqref="D7:H7">
    <cfRule type="containsErrors" dxfId="621" priority="41">
      <formula>ISERROR(D7)</formula>
    </cfRule>
  </conditionalFormatting>
  <conditionalFormatting sqref="D9:H9">
    <cfRule type="containsErrors" dxfId="620" priority="40">
      <formula>ISERROR(D9)</formula>
    </cfRule>
  </conditionalFormatting>
  <conditionalFormatting sqref="D39:H39">
    <cfRule type="containsErrors" dxfId="619" priority="22">
      <formula>ISERROR(D39)</formula>
    </cfRule>
  </conditionalFormatting>
  <conditionalFormatting sqref="D41:H41">
    <cfRule type="containsErrors" dxfId="618" priority="21">
      <formula>ISERROR(D41)</formula>
    </cfRule>
  </conditionalFormatting>
  <conditionalFormatting sqref="J63">
    <cfRule type="containsErrors" dxfId="617" priority="2767">
      <formula>ISERROR(J63)</formula>
    </cfRule>
  </conditionalFormatting>
  <conditionalFormatting sqref="J64">
    <cfRule type="containsErrors" dxfId="616" priority="1">
      <formula>ISERROR(J64)</formula>
    </cfRule>
  </conditionalFormatting>
  <conditionalFormatting sqref="J7:N7">
    <cfRule type="containsErrors" dxfId="615" priority="30">
      <formula>ISERROR(J7)</formula>
    </cfRule>
  </conditionalFormatting>
  <conditionalFormatting sqref="J9:N9">
    <cfRule type="containsErrors" dxfId="614" priority="29">
      <formula>ISERROR(J9)</formula>
    </cfRule>
  </conditionalFormatting>
  <conditionalFormatting sqref="J39:N39">
    <cfRule type="containsErrors" dxfId="613" priority="5">
      <formula>ISERROR(J39)</formula>
    </cfRule>
  </conditionalFormatting>
  <conditionalFormatting sqref="J41:N41">
    <cfRule type="containsErrors" dxfId="612" priority="4">
      <formula>ISERROR(J41)</formula>
    </cfRule>
  </conditionalFormatting>
  <conditionalFormatting sqref="J44:N62 B11:B29 D11:H29 J11:N29 B44:B62 D44:H62 P44:T62">
    <cfRule type="expression" dxfId="611" priority="2766" stopIfTrue="1">
      <formula>$B11=$X$4</formula>
    </cfRule>
  </conditionalFormatting>
  <conditionalFormatting sqref="P7:T7">
    <cfRule type="containsErrors" dxfId="610" priority="24">
      <formula>ISERROR(P7)</formula>
    </cfRule>
  </conditionalFormatting>
  <conditionalFormatting sqref="P9:T9">
    <cfRule type="containsErrors" dxfId="609" priority="23">
      <formula>ISERROR(P9)</formula>
    </cfRule>
  </conditionalFormatting>
  <conditionalFormatting sqref="P11:T29">
    <cfRule type="expression" dxfId="608" priority="5416" stopIfTrue="1">
      <formula>$B44=$X$4</formula>
    </cfRule>
  </conditionalFormatting>
  <conditionalFormatting sqref="P39:T39">
    <cfRule type="containsErrors" dxfId="607" priority="8">
      <formula>ISERROR(P39)</formula>
    </cfRule>
  </conditionalFormatting>
  <conditionalFormatting sqref="P41:T41">
    <cfRule type="containsErrors" dxfId="606" priority="7">
      <formula>ISERROR(P41)</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ignoredErrors>
    <ignoredError sqref="A11:A23 A26:A31 A24:A25" evalError="1"/>
  </ignoredError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C000"/>
  </sheetPr>
  <dimension ref="A1:BC329"/>
  <sheetViews>
    <sheetView showGridLines="0" showRowColHeaders="0" workbookViewId="0"/>
  </sheetViews>
  <sheetFormatPr defaultColWidth="9.140625" defaultRowHeight="11.25" customHeight="1"/>
  <cols>
    <col min="1" max="1" width="1.7109375" style="52" customWidth="1"/>
    <col min="2" max="2" width="19.42578125" style="52" customWidth="1"/>
    <col min="3" max="3" width="1.140625" style="52" customWidth="1"/>
    <col min="4" max="8" width="7.42578125" style="52" customWidth="1"/>
    <col min="9" max="9" width="8" style="52" customWidth="1"/>
    <col min="10" max="10" width="1.140625" customWidth="1"/>
    <col min="11" max="11" width="7.42578125" style="52" customWidth="1"/>
    <col min="12" max="12" width="7.28515625" style="52" customWidth="1"/>
    <col min="13" max="14" width="7.42578125" style="52" customWidth="1"/>
    <col min="15" max="15" width="7.28515625" style="52" customWidth="1"/>
    <col min="16" max="16" width="6" style="52" customWidth="1"/>
    <col min="17" max="17" width="6.5703125" style="52" customWidth="1"/>
    <col min="18" max="18" width="1.140625" style="52" customWidth="1"/>
    <col min="19" max="19" width="8.7109375" style="52" customWidth="1"/>
    <col min="20" max="20" width="8.28515625" style="52" customWidth="1"/>
    <col min="21" max="21" width="1.7109375" style="52" customWidth="1"/>
    <col min="22" max="22" width="6.42578125" style="55" customWidth="1"/>
    <col min="23" max="23" width="4.85546875" style="55" customWidth="1"/>
    <col min="24" max="24" width="17.85546875" style="56" hidden="1" customWidth="1"/>
    <col min="25" max="25" width="19.42578125" style="56" hidden="1" customWidth="1"/>
    <col min="26" max="26" width="19.85546875" style="56" hidden="1" customWidth="1"/>
    <col min="27" max="28" width="16.5703125" style="56" hidden="1" customWidth="1"/>
    <col min="29" max="30" width="8.5703125" style="56" hidden="1" customWidth="1"/>
    <col min="31" max="31" width="3.5703125" style="56" hidden="1" customWidth="1"/>
    <col min="32" max="32" width="17" style="56" hidden="1" customWidth="1"/>
    <col min="33" max="33" width="5.5703125" style="56" hidden="1" customWidth="1"/>
    <col min="34" max="34" width="7.140625" style="56" hidden="1" customWidth="1"/>
    <col min="35" max="35" width="5.5703125" style="52" hidden="1" customWidth="1"/>
    <col min="36" max="36" width="31.5703125" style="52" customWidth="1"/>
    <col min="37" max="40" width="9.42578125" style="52" hidden="1" customWidth="1"/>
    <col min="41" max="42" width="13.5703125" style="52" hidden="1" customWidth="1"/>
    <col min="43" max="55" width="9.140625" style="52" hidden="1" customWidth="1"/>
    <col min="56" max="58" width="9.140625" style="52" customWidth="1"/>
    <col min="59" max="16384" width="9.140625" style="52"/>
  </cols>
  <sheetData>
    <row r="1" spans="1:51" ht="18.75" customHeight="1" thickBot="1">
      <c r="A1" s="81"/>
      <c r="B1" s="82"/>
      <c r="C1" s="82"/>
      <c r="D1" s="82"/>
      <c r="E1" s="82"/>
      <c r="F1" s="82"/>
      <c r="G1" s="82"/>
      <c r="H1" s="82"/>
      <c r="I1" s="82"/>
      <c r="J1" s="83"/>
      <c r="K1" s="82"/>
      <c r="L1" s="82"/>
      <c r="M1" s="82"/>
      <c r="N1" s="82"/>
      <c r="O1" s="82"/>
      <c r="P1" s="82"/>
      <c r="Q1" s="82"/>
      <c r="R1" s="82"/>
      <c r="S1" s="82"/>
      <c r="T1" s="82"/>
      <c r="U1" s="84"/>
      <c r="V1" s="207"/>
      <c r="W1" s="117"/>
      <c r="X1" s="135"/>
      <c r="Y1" s="534" t="str">
        <f>IF(ReportData!$C$3="Annual"," the year ending 31st March"," the quarter")</f>
        <v xml:space="preserve"> the year ending 31st March</v>
      </c>
      <c r="Z1" s="135"/>
      <c r="AA1" s="135"/>
      <c r="AB1" s="135"/>
      <c r="AC1" s="135"/>
      <c r="AD1" s="135"/>
      <c r="AE1" s="135"/>
      <c r="AF1" s="135"/>
      <c r="AG1" s="135"/>
      <c r="AH1" s="135"/>
      <c r="AI1" s="136"/>
      <c r="AJ1" s="118"/>
    </row>
    <row r="2" spans="1:51" ht="18.75" customHeight="1">
      <c r="A2" s="87"/>
      <c r="B2" s="888" t="s">
        <v>77</v>
      </c>
      <c r="C2" s="5"/>
      <c r="D2" s="5"/>
      <c r="E2" s="5"/>
      <c r="F2" s="5"/>
      <c r="G2" s="5"/>
      <c r="H2" s="5"/>
      <c r="I2" s="5"/>
      <c r="J2" s="1"/>
      <c r="K2" s="5"/>
      <c r="L2" s="5"/>
      <c r="M2" s="5"/>
      <c r="N2" s="5"/>
      <c r="O2" s="5"/>
      <c r="P2" s="5"/>
      <c r="Q2" s="5"/>
      <c r="R2" s="5"/>
      <c r="S2" s="5"/>
      <c r="T2" s="5"/>
      <c r="U2" s="86"/>
      <c r="V2" s="122"/>
      <c r="W2" s="114"/>
      <c r="X2" s="483">
        <f>IF(ReportData!$C$3="Annual",1,4)</f>
        <v>1</v>
      </c>
      <c r="Y2" s="461" t="str">
        <f>IF(ReportData!$C$3="Annual","",ReportData!$D$28)</f>
        <v/>
      </c>
      <c r="Z2" s="462" t="str">
        <f>IF(ReportData!$C$3="Annual","",ReportData!$E$28)</f>
        <v/>
      </c>
      <c r="AA2" s="462" t="str">
        <f>IF(ReportData!$C$3="Annual","",ReportData!$F$28)</f>
        <v/>
      </c>
      <c r="AB2" s="462" t="str">
        <f>IF(ReportData!$C$3="Annual","",ReportData!$G$28)</f>
        <v/>
      </c>
      <c r="AC2" s="463" t="str">
        <f>IF(ReportData!$C$3="Annual","",ReportData!$H$28)</f>
        <v/>
      </c>
      <c r="AJ2" s="119"/>
    </row>
    <row r="3" spans="1:51" ht="18.75" customHeight="1" thickBot="1">
      <c r="A3" s="91"/>
      <c r="B3" s="92"/>
      <c r="C3" s="92"/>
      <c r="D3" s="92"/>
      <c r="E3" s="92"/>
      <c r="F3" s="92"/>
      <c r="G3" s="92"/>
      <c r="H3" s="92"/>
      <c r="I3" s="200"/>
      <c r="J3" s="93"/>
      <c r="K3" s="92"/>
      <c r="L3" s="92"/>
      <c r="M3" s="92"/>
      <c r="N3" s="92"/>
      <c r="O3" s="92"/>
      <c r="P3" s="329"/>
      <c r="Q3" s="92"/>
      <c r="R3" s="92"/>
      <c r="S3" s="200"/>
      <c r="T3" s="92"/>
      <c r="U3" s="94"/>
      <c r="V3" s="122"/>
      <c r="W3" s="114"/>
      <c r="X3" s="464"/>
      <c r="Y3" s="464" t="str">
        <f>ReportData!$D$27</f>
        <v>2019/20</v>
      </c>
      <c r="Z3" s="465" t="str">
        <f>ReportData!$E$27</f>
        <v>2020/21</v>
      </c>
      <c r="AA3" s="465" t="str">
        <f>ReportData!$F$27</f>
        <v>2021/22</v>
      </c>
      <c r="AB3" s="465" t="str">
        <f>ReportData!$G$27</f>
        <v>2022/23</v>
      </c>
      <c r="AC3" s="466" t="str">
        <f>ReportData!$H$27</f>
        <v>2023/24</v>
      </c>
      <c r="AJ3" s="119"/>
      <c r="AK3" s="52">
        <v>0</v>
      </c>
    </row>
    <row r="4" spans="1:51" ht="11.25" customHeight="1">
      <c r="A4" s="81"/>
      <c r="B4" s="82"/>
      <c r="C4" s="82"/>
      <c r="D4" s="82"/>
      <c r="E4" s="82"/>
      <c r="F4" s="82"/>
      <c r="G4" s="82"/>
      <c r="H4" s="82"/>
      <c r="I4" s="82"/>
      <c r="J4" s="83"/>
      <c r="K4" s="82"/>
      <c r="L4" s="82"/>
      <c r="M4" s="82"/>
      <c r="N4" s="82"/>
      <c r="O4" s="82"/>
      <c r="P4" s="82"/>
      <c r="Q4" s="82"/>
      <c r="R4" s="82"/>
      <c r="S4" s="82"/>
      <c r="T4" s="82"/>
      <c r="U4" s="84"/>
      <c r="V4" s="119"/>
      <c r="W4" s="114"/>
      <c r="Y4" s="140" t="str">
        <f>Home!$D$5</f>
        <v>(none)</v>
      </c>
      <c r="Z4" s="25" t="str">
        <f>"Selected LA- "&amp;Y4</f>
        <v>Selected LA- (none)</v>
      </c>
      <c r="AJ4" s="119"/>
    </row>
    <row r="5" spans="1:51" ht="18.75" customHeight="1">
      <c r="A5" s="87"/>
      <c r="B5" s="1775" t="str">
        <f>"Referrals received in"&amp;Y1&amp;" [RIIA202]"</f>
        <v>Referrals received in the year ending 31st March [RIIA202]</v>
      </c>
      <c r="C5" s="1776"/>
      <c r="D5" s="1776"/>
      <c r="E5" s="1776"/>
      <c r="F5" s="1776"/>
      <c r="G5" s="1776"/>
      <c r="H5" s="1776"/>
      <c r="I5" s="1776"/>
      <c r="J5" s="1776"/>
      <c r="K5" s="1776"/>
      <c r="L5" s="1776"/>
      <c r="M5" s="1776"/>
      <c r="N5" s="1776"/>
      <c r="O5" s="50"/>
      <c r="P5" s="50"/>
      <c r="Q5" s="50"/>
      <c r="R5" s="50"/>
      <c r="S5" s="50"/>
      <c r="T5" s="50"/>
      <c r="U5" s="86"/>
      <c r="V5" s="119"/>
      <c r="W5" s="114"/>
      <c r="Y5" s="52"/>
      <c r="Z5" s="52"/>
      <c r="AA5" s="52"/>
      <c r="AB5" s="52"/>
      <c r="AC5" s="52"/>
      <c r="AD5" s="52"/>
      <c r="AE5" s="52"/>
      <c r="AF5" s="52"/>
      <c r="AG5" s="52"/>
      <c r="AH5" s="52"/>
      <c r="AJ5" s="119"/>
      <c r="AK5" s="52" t="str">
        <f>CONCATENATE($I$7,"in Number of "&amp;$B2)</f>
        <v>Average Annual Change in Number of Referrals</v>
      </c>
    </row>
    <row r="6" spans="1:51" ht="18.75" customHeight="1">
      <c r="A6" s="87"/>
      <c r="B6" s="1776"/>
      <c r="C6" s="1776"/>
      <c r="D6" s="1776"/>
      <c r="E6" s="1776"/>
      <c r="F6" s="1776"/>
      <c r="G6" s="1776"/>
      <c r="H6" s="1776"/>
      <c r="I6" s="1776"/>
      <c r="J6" s="1776"/>
      <c r="K6" s="1776"/>
      <c r="L6" s="1776"/>
      <c r="M6" s="1776"/>
      <c r="N6" s="1776"/>
      <c r="O6" s="50"/>
      <c r="P6" s="50"/>
      <c r="Q6" s="50"/>
      <c r="R6" s="50"/>
      <c r="S6" s="50"/>
      <c r="T6" s="50"/>
      <c r="U6" s="86"/>
      <c r="V6" s="119"/>
      <c r="W6" s="114"/>
      <c r="Y6" s="141"/>
      <c r="AJ6" s="119"/>
    </row>
    <row r="7" spans="1:51" s="61" customFormat="1" ht="13.5" customHeight="1">
      <c r="A7" s="88"/>
      <c r="B7" s="1749" t="s">
        <v>177</v>
      </c>
      <c r="C7" s="59"/>
      <c r="D7" s="1777" t="s">
        <v>84</v>
      </c>
      <c r="E7" s="1777"/>
      <c r="F7" s="1777"/>
      <c r="G7" s="1777"/>
      <c r="H7" s="1778"/>
      <c r="I7" s="1761" t="str">
        <f>"Average "&amp;ReportData!C3&amp;" Change "</f>
        <v xml:space="preserve">Average Annual Change </v>
      </c>
      <c r="J7" s="896"/>
      <c r="K7" s="1765" t="s">
        <v>85</v>
      </c>
      <c r="L7" s="1766"/>
      <c r="M7" s="1766"/>
      <c r="N7" s="1766"/>
      <c r="O7" s="1766"/>
      <c r="P7" s="1767"/>
      <c r="Q7" s="1761" t="str">
        <f>IF(ISNA(O8),"Rank "&amp;O10,"Rank "&amp;LEFT(O8,5)&amp;" "&amp;RIGHT(O8,2))</f>
        <v>Rank 2023/ 24</v>
      </c>
      <c r="R7" s="64"/>
      <c r="S7" s="1783" t="str">
        <f>"Distance from "&amp;ReportData!$B$8&amp;" Expected Rate based on IDACI"</f>
        <v>Distance from 2024 Expected Rate based on IDACI</v>
      </c>
      <c r="T7" s="1784"/>
      <c r="U7" s="89"/>
      <c r="V7" s="186"/>
      <c r="W7" s="115"/>
      <c r="AA7" s="153" t="s">
        <v>76</v>
      </c>
      <c r="AB7" s="141"/>
      <c r="AC7" s="141"/>
      <c r="AD7" s="149"/>
      <c r="AE7" s="149"/>
      <c r="AF7" s="154" t="s">
        <v>88</v>
      </c>
      <c r="AG7" s="141"/>
      <c r="AH7" s="141"/>
      <c r="AJ7" s="121"/>
      <c r="AQ7" s="52"/>
      <c r="AR7" s="52"/>
      <c r="AS7" s="52"/>
      <c r="AT7" s="52"/>
      <c r="AU7" s="52"/>
      <c r="AV7" s="52"/>
      <c r="AW7" s="52"/>
      <c r="AX7" s="52"/>
      <c r="AY7" s="52"/>
    </row>
    <row r="8" spans="1:51" s="61" customFormat="1" ht="13.5" customHeight="1">
      <c r="A8" s="217"/>
      <c r="B8" s="1749"/>
      <c r="C8" s="59"/>
      <c r="D8" s="1770" t="str">
        <f>ReportData!$D$27</f>
        <v>2019/20</v>
      </c>
      <c r="E8" s="1770" t="str">
        <f>ReportData!$E$27</f>
        <v>2020/21</v>
      </c>
      <c r="F8" s="1770" t="str">
        <f>ReportData!$F$27</f>
        <v>2021/22</v>
      </c>
      <c r="G8" s="1770" t="str">
        <f>ReportData!$G$27</f>
        <v>2022/23</v>
      </c>
      <c r="H8" s="1781" t="str">
        <f>ReportData!$H$27</f>
        <v>2023/24</v>
      </c>
      <c r="I8" s="1762"/>
      <c r="J8" s="896"/>
      <c r="K8" s="1770" t="str">
        <f>ReportData!$D$27</f>
        <v>2019/20</v>
      </c>
      <c r="L8" s="1770" t="str">
        <f>ReportData!$E$27</f>
        <v>2020/21</v>
      </c>
      <c r="M8" s="1770" t="str">
        <f>ReportData!$F$27</f>
        <v>2021/22</v>
      </c>
      <c r="N8" s="1770" t="str">
        <f>ReportData!$G$27</f>
        <v>2022/23</v>
      </c>
      <c r="O8" s="1789" t="str">
        <f>ReportData!$H$27</f>
        <v>2023/24</v>
      </c>
      <c r="P8" s="1790"/>
      <c r="Q8" s="1762"/>
      <c r="R8" s="64"/>
      <c r="S8" s="1785"/>
      <c r="T8" s="1786"/>
      <c r="U8" s="89"/>
      <c r="V8" s="103"/>
      <c r="W8" s="115"/>
      <c r="Y8" s="1772" t="s">
        <v>73</v>
      </c>
      <c r="Z8" s="1772" t="s">
        <v>74</v>
      </c>
      <c r="AA8" s="444" t="str">
        <f>ReportData!$D$27</f>
        <v>2019/20</v>
      </c>
      <c r="AB8" s="444" t="str">
        <f>ReportData!$E$27</f>
        <v>2020/21</v>
      </c>
      <c r="AC8" s="444" t="str">
        <f>ReportData!$F$27</f>
        <v>2021/22</v>
      </c>
      <c r="AD8" s="444" t="str">
        <f>ReportData!$G$27</f>
        <v>2022/23</v>
      </c>
      <c r="AE8" s="444" t="str">
        <f>ReportData!$H$27</f>
        <v>2023/24</v>
      </c>
      <c r="AF8" s="154"/>
      <c r="AG8" s="141"/>
      <c r="AH8" s="141"/>
      <c r="AJ8" s="121"/>
      <c r="AQ8" s="52"/>
      <c r="AR8" s="52"/>
      <c r="AS8" s="52"/>
      <c r="AT8" s="52"/>
      <c r="AU8" s="52"/>
      <c r="AV8" s="52"/>
      <c r="AW8" s="52"/>
      <c r="AX8" s="52"/>
      <c r="AY8" s="52"/>
    </row>
    <row r="9" spans="1:51" s="61" customFormat="1" ht="9" customHeight="1">
      <c r="A9" s="217"/>
      <c r="B9" s="1749"/>
      <c r="C9" s="59"/>
      <c r="D9" s="1771"/>
      <c r="E9" s="1771"/>
      <c r="F9" s="1771"/>
      <c r="G9" s="1771"/>
      <c r="H9" s="1782"/>
      <c r="I9" s="1762"/>
      <c r="J9" s="896"/>
      <c r="K9" s="1771"/>
      <c r="L9" s="1771"/>
      <c r="M9" s="1771"/>
      <c r="N9" s="1771"/>
      <c r="O9" s="1791"/>
      <c r="P9" s="1792"/>
      <c r="Q9" s="1762"/>
      <c r="R9" s="64"/>
      <c r="S9" s="1787"/>
      <c r="T9" s="1788"/>
      <c r="U9" s="89"/>
      <c r="V9" s="103"/>
      <c r="W9" s="115"/>
      <c r="Y9" s="1773"/>
      <c r="Z9" s="1773"/>
      <c r="AA9" s="444"/>
      <c r="AB9" s="444"/>
      <c r="AC9" s="444"/>
      <c r="AD9" s="444"/>
      <c r="AE9" s="444"/>
      <c r="AF9" s="154"/>
      <c r="AG9" s="141"/>
      <c r="AH9" s="141"/>
      <c r="AJ9" s="121"/>
      <c r="AQ9" s="52"/>
      <c r="AR9" s="52"/>
      <c r="AS9" s="52"/>
      <c r="AT9" s="52"/>
      <c r="AU9" s="52"/>
      <c r="AV9" s="52"/>
      <c r="AW9" s="52"/>
      <c r="AX9" s="52"/>
      <c r="AY9" s="52"/>
    </row>
    <row r="10" spans="1:51" s="61" customFormat="1" ht="13.5" customHeight="1">
      <c r="A10" s="88"/>
      <c r="B10" s="1764"/>
      <c r="C10" s="59"/>
      <c r="D10" s="897" t="e">
        <f>ReportData!$D$28</f>
        <v>#N/A</v>
      </c>
      <c r="E10" s="897" t="e">
        <f>ReportData!$E$28</f>
        <v>#N/A</v>
      </c>
      <c r="F10" s="897" t="e">
        <f>ReportData!$F$28</f>
        <v>#N/A</v>
      </c>
      <c r="G10" s="897" t="e">
        <f>ReportData!$G$28</f>
        <v>#N/A</v>
      </c>
      <c r="H10" s="920" t="e">
        <f>ReportData!$H$28</f>
        <v>#N/A</v>
      </c>
      <c r="I10" s="1763"/>
      <c r="J10" s="896"/>
      <c r="K10" s="897" t="e">
        <f>ReportData!$D$28</f>
        <v>#N/A</v>
      </c>
      <c r="L10" s="897" t="e">
        <f>ReportData!$E$28</f>
        <v>#N/A</v>
      </c>
      <c r="M10" s="897" t="e">
        <f>ReportData!$F$28</f>
        <v>#N/A</v>
      </c>
      <c r="N10" s="897" t="e">
        <f>ReportData!$G$28</f>
        <v>#N/A</v>
      </c>
      <c r="O10" s="1779" t="e">
        <f>ReportData!$H$28</f>
        <v>#N/A</v>
      </c>
      <c r="P10" s="1780"/>
      <c r="Q10" s="1763"/>
      <c r="R10" s="64"/>
      <c r="S10" s="898" t="s">
        <v>110</v>
      </c>
      <c r="T10" s="899" t="s">
        <v>111</v>
      </c>
      <c r="U10" s="89"/>
      <c r="V10" s="103"/>
      <c r="W10" s="115"/>
      <c r="Y10" s="1774"/>
      <c r="Z10" s="1774"/>
      <c r="AA10" s="444" t="e">
        <f>ReportData!$D$28</f>
        <v>#N/A</v>
      </c>
      <c r="AB10" s="444" t="e">
        <f>ReportData!$E$28</f>
        <v>#N/A</v>
      </c>
      <c r="AC10" s="444" t="e">
        <f>ReportData!$F$28</f>
        <v>#N/A</v>
      </c>
      <c r="AD10" s="444" t="e">
        <f>ReportData!$G$28</f>
        <v>#N/A</v>
      </c>
      <c r="AE10" s="444" t="e">
        <f>ReportData!$H$28</f>
        <v>#N/A</v>
      </c>
      <c r="AF10" s="141"/>
      <c r="AG10" s="141">
        <f>COLUMNS($B$4:O$4)</f>
        <v>14</v>
      </c>
      <c r="AH10" s="141"/>
      <c r="AJ10" s="121"/>
      <c r="AK10" s="479" t="s">
        <v>598</v>
      </c>
      <c r="AL10" s="479" t="s">
        <v>599</v>
      </c>
      <c r="AM10" s="479" t="s">
        <v>600</v>
      </c>
      <c r="AN10" s="479" t="s">
        <v>601</v>
      </c>
      <c r="AO10" s="479" t="s">
        <v>602</v>
      </c>
      <c r="AQ10" s="52"/>
      <c r="AR10" s="52"/>
      <c r="AS10" s="52"/>
      <c r="AT10" s="52"/>
      <c r="AU10" s="52"/>
      <c r="AV10" s="52"/>
      <c r="AW10" s="52"/>
      <c r="AX10" s="52"/>
      <c r="AY10" s="52"/>
    </row>
    <row r="11" spans="1:51" s="61" customFormat="1" ht="15.75" customHeight="1">
      <c r="A11" s="1103">
        <f>VLOOKUP(B11,ReportData!$AQ$4:$AR$25,2,FALSE)</f>
        <v>0</v>
      </c>
      <c r="B11" s="885" t="str">
        <f>ReportData!$K$4</f>
        <v>Bracknell Forest</v>
      </c>
      <c r="C11" s="896"/>
      <c r="D11" s="889">
        <f>IF(Year1_Bracknell_Forest Year1_Referrals="","",Year1_Bracknell_Forest Year1_Referrals)</f>
        <v>1699</v>
      </c>
      <c r="E11" s="889">
        <f>IF(Year2_Bracknell_Forest Year2_Referrals="","",Year2_Bracknell_Forest Year2_Referrals)</f>
        <v>1669</v>
      </c>
      <c r="F11" s="889">
        <f>IF(Year3_Bracknell_Forest Year3_Referrals="","",Year3_Bracknell_Forest Year3_Referrals)</f>
        <v>1517</v>
      </c>
      <c r="G11" s="889">
        <f>IF(Year4_Bracknell_Forest Year4_Referrals="","",Year4_Bracknell_Forest Year4_Referrals)</f>
        <v>1780</v>
      </c>
      <c r="H11" s="890">
        <f>IF(Year5_Bracknell_Forest Year5_Referrals="","",Year5_Bracknell_Forest Year5_Referrals)</f>
        <v>1511</v>
      </c>
      <c r="I11" s="900">
        <f>AO11</f>
        <v>-2.1621262280565854E-2</v>
      </c>
      <c r="J11" s="896"/>
      <c r="K11" s="901">
        <f>IF(ISNUMBER(D11),D11/Population!D11*10000,NA())</f>
        <v>622.38991867536083</v>
      </c>
      <c r="L11" s="901">
        <f>IF(ISNUMBER(E11),E11/Population!E11*10000,NA())</f>
        <v>604.84163223889243</v>
      </c>
      <c r="M11" s="901">
        <f>IF(ISNUMBER(F11),F11/Population!F11*10000,NA())</f>
        <v>545.23236171512781</v>
      </c>
      <c r="N11" s="901">
        <f>IF(ISNUMBER(G11),G11/Population!G11*10000,NA())</f>
        <v>628.30921284857038</v>
      </c>
      <c r="O11" s="902">
        <f>IF(ISNUMBER(H11),H11/Population!H11*10000,NA())</f>
        <v>527.45488183753969</v>
      </c>
      <c r="P11" s="903">
        <f>IF(ISNUMBER(O11),O11,"")</f>
        <v>527.45488183753969</v>
      </c>
      <c r="Q11" s="904">
        <f t="shared" ref="Q11:Q31" si="0">IF(ISNA(VLOOKUP(B11,$AF$11:$AH$29,3,FALSE)),"--",IF(ISNUMBER(H11),VLOOKUP(B11,$AF$11:$AH$29,3,FALSE),NA()))</f>
        <v>9</v>
      </c>
      <c r="R11" s="64"/>
      <c r="S11" s="905">
        <f>((IDACI!$C9*$Y$41)+$Z$41)/$X$2</f>
        <v>419.29827642042494</v>
      </c>
      <c r="T11" s="906">
        <f t="shared" ref="T11:T31" si="1">O11-S11</f>
        <v>108.15660541711475</v>
      </c>
      <c r="U11" s="89"/>
      <c r="V11" s="103"/>
      <c r="W11" s="115"/>
      <c r="X11" s="51" t="str">
        <f t="shared" ref="X11:X31" si="2">B11</f>
        <v>Bracknell Forest</v>
      </c>
      <c r="Y11" s="27">
        <f>IF(ISNUMBER($H11),IDACI!D9,0)</f>
        <v>24849</v>
      </c>
      <c r="Z11" s="27">
        <f>IF(ISNUMBER($H11),IDACI!E9,0)</f>
        <v>2211.5610000000001</v>
      </c>
      <c r="AA11" s="155">
        <f>IF(ISNUMBER(D11),Population!D11,"")</f>
        <v>27298</v>
      </c>
      <c r="AB11" s="155">
        <f>IF(ISNUMBER(E11),Population!E11,"")</f>
        <v>27594</v>
      </c>
      <c r="AC11" s="155">
        <f>IF(ISNUMBER(F11),Population!F11,"")</f>
        <v>27823</v>
      </c>
      <c r="AD11" s="155">
        <f>IF(ISNUMBER(G11),Population!G11,"")</f>
        <v>28330</v>
      </c>
      <c r="AE11" s="155">
        <f>IF(ISNUMBER(H11),Population!H11,"")</f>
        <v>28647</v>
      </c>
      <c r="AF11" s="65" t="str">
        <f>B11</f>
        <v>Bracknell Forest</v>
      </c>
      <c r="AG11" s="70">
        <f t="shared" ref="AG11:AG29" si="3">IFERROR(VLOOKUP(AF11,$B$11:$P$29,$AG$10,FALSE),"")</f>
        <v>527.45488183753969</v>
      </c>
      <c r="AH11" s="156">
        <f t="shared" ref="AH11:AH29" si="4">RANK(AG11,$AG$11:$AG$29,1)</f>
        <v>9</v>
      </c>
      <c r="AJ11" s="121"/>
      <c r="AK11" s="480">
        <f t="shared" ref="AK11:AK29" si="5">IF(ISERROR((E11-D11)/D11),"x",(E11-D11)/D11)</f>
        <v>-1.7657445556209534E-2</v>
      </c>
      <c r="AL11" s="480">
        <f t="shared" ref="AL11:AL29" si="6">IF(ISERROR((F11-E11)/E11),"x",(F11-E11)/E11)</f>
        <v>-9.107249850209706E-2</v>
      </c>
      <c r="AM11" s="480">
        <f t="shared" ref="AM11:AM29" si="7">IF(ISERROR((G11-F11)/F11),"x",(G11-F11)/F11)</f>
        <v>0.17336849044166117</v>
      </c>
      <c r="AN11" s="480">
        <f t="shared" ref="AN11:AN29" si="8">IF(ISERROR((H11-G11)/G11),"x",(H11-G11)/G11)</f>
        <v>-0.15112359550561799</v>
      </c>
      <c r="AO11" s="480">
        <f>IF(ISERROR(AVERAGE(AK11:AN11)),"",AVERAGE(AK11:AN11))</f>
        <v>-2.1621262280565854E-2</v>
      </c>
      <c r="AQ11" s="52"/>
      <c r="AR11" s="52"/>
      <c r="AS11" s="52"/>
      <c r="AT11" s="52"/>
      <c r="AU11" s="52"/>
      <c r="AV11" s="52"/>
      <c r="AW11" s="52"/>
      <c r="AX11" s="52"/>
      <c r="AY11" s="52"/>
    </row>
    <row r="12" spans="1:51" s="61" customFormat="1" ht="15.75" customHeight="1">
      <c r="A12" s="1103">
        <f>VLOOKUP(B12,ReportData!$AQ$4:$AR$25,2,FALSE)</f>
        <v>0</v>
      </c>
      <c r="B12" s="885" t="str">
        <f>ReportData!$K$5</f>
        <v>Brighton &amp; Hove</v>
      </c>
      <c r="C12" s="896"/>
      <c r="D12" s="889">
        <f>IF(Year1_Brighton_and_Hove Year1_Referrals="","",Year1_Brighton_and_Hove Year1_Referrals)</f>
        <v>3571</v>
      </c>
      <c r="E12" s="889">
        <f>IF(Year2_Brighton_and_Hove Year2_Referrals="","",Year2_Brighton_and_Hove Year2_Referrals)</f>
        <v>2939</v>
      </c>
      <c r="F12" s="889">
        <f>IF(Year3_Brighton_and_Hove Year3_Referrals="","",Year3_Brighton_and_Hove Year3_Referrals)</f>
        <v>3206</v>
      </c>
      <c r="G12" s="889">
        <f>IF(Year4_Brighton_and_Hove Year4_Referrals="","",Year4_Brighton_and_Hove Year4_Referrals)</f>
        <v>3249</v>
      </c>
      <c r="H12" s="890">
        <f>IF(Year5_Brighton_and_Hove Year5_Referrals="","",Year5_Brighton_and_Hove Year5_Referrals)</f>
        <v>3257</v>
      </c>
      <c r="I12" s="900">
        <f t="shared" ref="I12:I25" si="9">AO12</f>
        <v>-1.7564840717295988E-2</v>
      </c>
      <c r="J12" s="896"/>
      <c r="K12" s="901">
        <f>IF(ISNUMBER(D12),D12/Population!D12*10000,NA())</f>
        <v>737.7794306020412</v>
      </c>
      <c r="L12" s="901">
        <f>IF(ISNUMBER(E12),E12/Population!E12*10000,NA())</f>
        <v>612.75123008923356</v>
      </c>
      <c r="M12" s="901">
        <f>IF(ISNUMBER(F12),F12/Population!F12*10000,NA())</f>
        <v>680.31830238726786</v>
      </c>
      <c r="N12" s="901">
        <f>IF(ISNUMBER(G12),G12/Population!G12*10000,NA())</f>
        <v>689.22358930844291</v>
      </c>
      <c r="O12" s="902">
        <f>IF(ISNUMBER(H12),H12/Population!H12*10000,NA())</f>
        <v>697.93854197917119</v>
      </c>
      <c r="P12" s="903">
        <f t="shared" ref="P12:P25" si="10">IF(ISNUMBER(O12),O12,"")</f>
        <v>697.93854197917119</v>
      </c>
      <c r="Q12" s="904">
        <f t="shared" si="0"/>
        <v>13</v>
      </c>
      <c r="R12" s="64"/>
      <c r="S12" s="905">
        <f>((IDACI!$C10*$Y$41)+$Z$41)/$X$2</f>
        <v>507.83116871680738</v>
      </c>
      <c r="T12" s="906">
        <f t="shared" si="1"/>
        <v>190.10737326236381</v>
      </c>
      <c r="U12" s="89"/>
      <c r="V12" s="103"/>
      <c r="W12" s="115"/>
      <c r="X12" s="51" t="str">
        <f t="shared" si="2"/>
        <v>Brighton &amp; Hove</v>
      </c>
      <c r="Y12" s="27">
        <f>IF(ISNUMBER($H12),IDACI!D10,0)</f>
        <v>45576</v>
      </c>
      <c r="Z12" s="27">
        <f>IF(ISNUMBER($H12),IDACI!E10,0)</f>
        <v>6973.1279999999997</v>
      </c>
      <c r="AA12" s="155">
        <f>IF(ISNUMBER(D12),Population!D12,"")</f>
        <v>48402</v>
      </c>
      <c r="AB12" s="155">
        <f>IF(ISNUMBER(E12),Population!E12,"")</f>
        <v>47964</v>
      </c>
      <c r="AC12" s="155">
        <f>IF(ISNUMBER(F12),Population!F12,"")</f>
        <v>47125</v>
      </c>
      <c r="AD12" s="155">
        <f>IF(ISNUMBER(G12),Population!G12,"")</f>
        <v>47140</v>
      </c>
      <c r="AE12" s="155">
        <f>IF(ISNUMBER(H12),Population!H12,"")</f>
        <v>46666</v>
      </c>
      <c r="AF12" s="65" t="s">
        <v>28</v>
      </c>
      <c r="AG12" s="70">
        <f t="shared" si="3"/>
        <v>697.93854197917119</v>
      </c>
      <c r="AH12" s="156">
        <f t="shared" si="4"/>
        <v>13</v>
      </c>
      <c r="AJ12" s="121"/>
      <c r="AK12" s="480">
        <f t="shared" si="5"/>
        <v>-0.17698123774852983</v>
      </c>
      <c r="AL12" s="480">
        <f t="shared" si="6"/>
        <v>9.0847226947941478E-2</v>
      </c>
      <c r="AM12" s="480">
        <f t="shared" si="7"/>
        <v>1.3412351840299439E-2</v>
      </c>
      <c r="AN12" s="480">
        <f t="shared" si="8"/>
        <v>2.4622960911049553E-3</v>
      </c>
      <c r="AO12" s="480">
        <f t="shared" ref="AO12:AO25" si="11">IF(ISERROR(AVERAGE(AK12:AN12)),"",AVERAGE(AK12:AN12))</f>
        <v>-1.7564840717295988E-2</v>
      </c>
      <c r="AQ12" s="52"/>
      <c r="AR12" s="52"/>
      <c r="AS12" s="52"/>
      <c r="AT12" s="52"/>
      <c r="AU12" s="52"/>
      <c r="AV12" s="52"/>
      <c r="AW12" s="52"/>
      <c r="AX12" s="52"/>
      <c r="AY12" s="52"/>
    </row>
    <row r="13" spans="1:51" s="61" customFormat="1" ht="15.75" customHeight="1">
      <c r="A13" s="1103">
        <f>VLOOKUP(B13,ReportData!$AQ$4:$AR$25,2,FALSE)</f>
        <v>0</v>
      </c>
      <c r="B13" s="885" t="str">
        <f>ReportData!$K$6</f>
        <v>Buckinghamshire</v>
      </c>
      <c r="C13" s="896"/>
      <c r="D13" s="889">
        <f>IF(Year1_Buckinghamshire Year1_Referrals="","",Year1_Buckinghamshire Year1_Referrals)</f>
        <v>8367</v>
      </c>
      <c r="E13" s="889">
        <f>IF(Year2_Buckinghamshire Year2_Referrals="","",Year2_Buckinghamshire Year2_Referrals)</f>
        <v>10774</v>
      </c>
      <c r="F13" s="889">
        <f>IF(Year3_Buckinghamshire Year3_Referrals="","",Year3_Buckinghamshire Year3_Referrals)</f>
        <v>13087</v>
      </c>
      <c r="G13" s="889">
        <f>IF(Year4_Buckinghamshire Year4_Referrals="","",Year4_Buckinghamshire Year4_Referrals)</f>
        <v>12157</v>
      </c>
      <c r="H13" s="890">
        <f>IF(Year5_Buckinghamshire Year5_Referrals="","",Year5_Buckinghamshire Year5_Referrals)</f>
        <v>6620</v>
      </c>
      <c r="I13" s="900">
        <f t="shared" si="9"/>
        <v>-6.0398421812521558E-3</v>
      </c>
      <c r="J13" s="896"/>
      <c r="K13" s="901">
        <f>IF(ISNUMBER(D13),D13/Population!D13*10000,NA())</f>
        <v>685.05039422943082</v>
      </c>
      <c r="L13" s="901">
        <f>IF(ISNUMBER(E13),E13/Population!E13*10000,NA())</f>
        <v>879.54610392260906</v>
      </c>
      <c r="M13" s="901">
        <f>IF(ISNUMBER(F13),F13/Population!F13*10000,NA())</f>
        <v>1059.5903165735567</v>
      </c>
      <c r="N13" s="901">
        <f>IF(ISNUMBER(G13),G13/Population!G13*10000,NA())</f>
        <v>965.49259421038005</v>
      </c>
      <c r="O13" s="902">
        <f>IF(ISNUMBER(H13),H13/Population!H13*10000,NA())</f>
        <v>518.74373119358074</v>
      </c>
      <c r="P13" s="903">
        <f t="shared" si="10"/>
        <v>518.74373119358074</v>
      </c>
      <c r="Q13" s="904">
        <f t="shared" si="0"/>
        <v>8</v>
      </c>
      <c r="R13" s="64"/>
      <c r="S13" s="905">
        <f>((IDACI!$C11*$Y$41)+$Z$41)/$X$2</f>
        <v>413.76497065190102</v>
      </c>
      <c r="T13" s="906">
        <f t="shared" si="1"/>
        <v>104.97876054167972</v>
      </c>
      <c r="U13" s="89"/>
      <c r="V13" s="103"/>
      <c r="W13" s="115"/>
      <c r="X13" s="51" t="str">
        <f t="shared" si="2"/>
        <v>Buckinghamshire</v>
      </c>
      <c r="Y13" s="27">
        <f>IF(ISNUMBER($H13),IDACI!D11,0)</f>
        <v>107385</v>
      </c>
      <c r="Z13" s="27">
        <f>IF(ISNUMBER($H13),IDACI!E11,0)</f>
        <v>9127.7250000000004</v>
      </c>
      <c r="AA13" s="155">
        <f>IF(ISNUMBER(D13),Population!D13,"")</f>
        <v>122137</v>
      </c>
      <c r="AB13" s="155">
        <f>IF(ISNUMBER(E13),Population!E13,"")</f>
        <v>122495</v>
      </c>
      <c r="AC13" s="155">
        <f>IF(ISNUMBER(F13),Population!F13,"")</f>
        <v>123510</v>
      </c>
      <c r="AD13" s="155">
        <f>IF(ISNUMBER(G13),Population!G13,"")</f>
        <v>125915</v>
      </c>
      <c r="AE13" s="155">
        <f>IF(ISNUMBER(H13),Population!H13,"")</f>
        <v>127616</v>
      </c>
      <c r="AF13" s="65" t="s">
        <v>8</v>
      </c>
      <c r="AG13" s="70">
        <f t="shared" si="3"/>
        <v>518.74373119358074</v>
      </c>
      <c r="AH13" s="156">
        <f t="shared" si="4"/>
        <v>8</v>
      </c>
      <c r="AJ13" s="121"/>
      <c r="AK13" s="480">
        <f t="shared" si="5"/>
        <v>0.28767778176168279</v>
      </c>
      <c r="AL13" s="480">
        <f t="shared" si="6"/>
        <v>0.21468349730833489</v>
      </c>
      <c r="AM13" s="480">
        <f t="shared" si="7"/>
        <v>-7.1062886834263012E-2</v>
      </c>
      <c r="AN13" s="480">
        <f t="shared" si="8"/>
        <v>-0.45545776096076335</v>
      </c>
      <c r="AO13" s="480">
        <f t="shared" si="11"/>
        <v>-6.0398421812521558E-3</v>
      </c>
      <c r="AQ13" s="52"/>
      <c r="AR13" s="52"/>
      <c r="AS13" s="52"/>
      <c r="AT13" s="52"/>
      <c r="AU13" s="52"/>
      <c r="AV13" s="52"/>
      <c r="AW13" s="52"/>
      <c r="AX13" s="52"/>
      <c r="AY13" s="52"/>
    </row>
    <row r="14" spans="1:51" s="61" customFormat="1" ht="15.75" customHeight="1">
      <c r="A14" s="1103">
        <f>VLOOKUP(B14,ReportData!$AQ$4:$AR$25,2,FALSE)</f>
        <v>0</v>
      </c>
      <c r="B14" s="885" t="str">
        <f>ReportData!$K$7</f>
        <v>East Sussex</v>
      </c>
      <c r="C14" s="896"/>
      <c r="D14" s="889">
        <f>IF(Year1_East_Sussex Year1_Referrals="","",Year1_East_Sussex Year1_Referrals)</f>
        <v>4167</v>
      </c>
      <c r="E14" s="889">
        <f>IF(Year2_East_Sussex Year2_Referrals="","",Year2_East_Sussex Year2_Referrals)</f>
        <v>3824</v>
      </c>
      <c r="F14" s="889">
        <f>IF(Year3_East_Sussex Year3_Referrals="","",Year3_East_Sussex Year3_Referrals)</f>
        <v>4292</v>
      </c>
      <c r="G14" s="889">
        <f>IF(Year4_East_Sussex Year4_Referrals="","",Year4_East_Sussex Year4_Referrals)</f>
        <v>3914</v>
      </c>
      <c r="H14" s="890">
        <f>IF(Year5_East_Sussex Year5_Referrals="","",Year5_East_Sussex Year5_Referrals)</f>
        <v>4311</v>
      </c>
      <c r="I14" s="900">
        <f t="shared" si="9"/>
        <v>1.3357863557747776E-2</v>
      </c>
      <c r="J14" s="896"/>
      <c r="K14" s="901">
        <f>IF(ISNUMBER(D14),D14/Population!D14*10000,NA())</f>
        <v>404.8736409479115</v>
      </c>
      <c r="L14" s="901">
        <f>IF(ISNUMBER(E14),E14/Population!E14*10000,NA())</f>
        <v>373.36822269305497</v>
      </c>
      <c r="M14" s="901">
        <f>IF(ISNUMBER(F14),F14/Population!F14*10000,NA())</f>
        <v>420.95352053276315</v>
      </c>
      <c r="N14" s="901">
        <f>IF(ISNUMBER(G14),G14/Population!G14*10000,NA())</f>
        <v>380.64672988086556</v>
      </c>
      <c r="O14" s="902">
        <f>IF(ISNUMBER(H14),H14/Population!H14*10000,NA())</f>
        <v>416.09559291932896</v>
      </c>
      <c r="P14" s="903">
        <f t="shared" si="10"/>
        <v>416.09559291932896</v>
      </c>
      <c r="Q14" s="904">
        <f t="shared" si="0"/>
        <v>4</v>
      </c>
      <c r="R14" s="64"/>
      <c r="S14" s="905">
        <f>((IDACI!$C12*$Y$41)+$Z$41)/$X$2</f>
        <v>518.89778025385522</v>
      </c>
      <c r="T14" s="906">
        <f t="shared" si="1"/>
        <v>-102.80218733452625</v>
      </c>
      <c r="U14" s="89"/>
      <c r="V14" s="103"/>
      <c r="W14" s="115"/>
      <c r="X14" s="51" t="str">
        <f t="shared" si="2"/>
        <v>East Sussex</v>
      </c>
      <c r="Y14" s="27">
        <f>IF(ISNUMBER($H14),IDACI!D12,0)</f>
        <v>93130</v>
      </c>
      <c r="Z14" s="27">
        <f>IF(ISNUMBER($H14),IDACI!E12,0)</f>
        <v>14993.93</v>
      </c>
      <c r="AA14" s="155">
        <f>IF(ISNUMBER(D14),Population!D14,"")</f>
        <v>102921</v>
      </c>
      <c r="AB14" s="155">
        <f>IF(ISNUMBER(E14),Population!E14,"")</f>
        <v>102419</v>
      </c>
      <c r="AC14" s="155">
        <f>IF(ISNUMBER(F14),Population!F14,"")</f>
        <v>101959</v>
      </c>
      <c r="AD14" s="155">
        <f>IF(ISNUMBER(G14),Population!G14,"")</f>
        <v>102825</v>
      </c>
      <c r="AE14" s="155">
        <f>IF(ISNUMBER(H14),Population!H14,"")</f>
        <v>103606</v>
      </c>
      <c r="AF14" s="65" t="s">
        <v>4</v>
      </c>
      <c r="AG14" s="70">
        <f t="shared" si="3"/>
        <v>416.09559291932896</v>
      </c>
      <c r="AH14" s="156">
        <f t="shared" si="4"/>
        <v>4</v>
      </c>
      <c r="AJ14" s="121"/>
      <c r="AK14" s="480">
        <f t="shared" si="5"/>
        <v>-8.2313414926805856E-2</v>
      </c>
      <c r="AL14" s="480">
        <f t="shared" si="6"/>
        <v>0.12238493723849372</v>
      </c>
      <c r="AM14" s="480">
        <f t="shared" si="7"/>
        <v>-8.807082945013979E-2</v>
      </c>
      <c r="AN14" s="480">
        <f t="shared" si="8"/>
        <v>0.10143076136944303</v>
      </c>
      <c r="AO14" s="480">
        <f t="shared" si="11"/>
        <v>1.3357863557747776E-2</v>
      </c>
      <c r="AQ14" s="52"/>
      <c r="AR14" s="52"/>
      <c r="AS14" s="52"/>
      <c r="AT14" s="52"/>
      <c r="AU14" s="52"/>
      <c r="AV14" s="52"/>
      <c r="AW14" s="52"/>
      <c r="AX14" s="52"/>
      <c r="AY14" s="52"/>
    </row>
    <row r="15" spans="1:51" s="61" customFormat="1" ht="15.75" customHeight="1">
      <c r="A15" s="1103">
        <f>VLOOKUP(B15,ReportData!$AQ$4:$AR$25,2,FALSE)</f>
        <v>0</v>
      </c>
      <c r="B15" s="885" t="str">
        <f>ReportData!$K$8</f>
        <v>Hampshire</v>
      </c>
      <c r="C15" s="896"/>
      <c r="D15" s="889">
        <f>IF(Year1_Hampshire Year1_Referrals="","",Year1_Hampshire Year1_Referrals)</f>
        <v>20220</v>
      </c>
      <c r="E15" s="889">
        <f>IF(Year2_Hampshire Year2_Referrals="","",Year2_Hampshire Year2_Referrals)</f>
        <v>21331</v>
      </c>
      <c r="F15" s="891">
        <f>IF(Year3_Hampshire Year3_Referrals="","",Year3_Hampshire Year3_Referrals)</f>
        <v>27374</v>
      </c>
      <c r="G15" s="891">
        <f>IF(Year4_Hampshire Year4_Referrals="","",Year4_Hampshire Year4_Referrals)</f>
        <v>30502</v>
      </c>
      <c r="H15" s="890" t="str">
        <f>IF(Year5_Hampshire Year5_Referrals="","",Year5_Hampshire Year5_Referrals)</f>
        <v>u</v>
      </c>
      <c r="I15" s="900">
        <f t="shared" si="9"/>
        <v>0.15083707445913636</v>
      </c>
      <c r="J15" s="896"/>
      <c r="K15" s="901">
        <f>IF(ISNUMBER(D15),D15/Population!D15*10000,NA())</f>
        <v>723.84907281449125</v>
      </c>
      <c r="L15" s="901">
        <f>IF(ISNUMBER(E15),E15/Population!E15*10000,NA())</f>
        <v>763.2497960468877</v>
      </c>
      <c r="M15" s="901">
        <f>IF(ISNUMBER(F15),F15/Population!F15*10000,NA())</f>
        <v>974.40990428186478</v>
      </c>
      <c r="N15" s="901">
        <f>IF(ISNUMBER(G15),G15/Population!G15*10000,NA())</f>
        <v>1075.9576276866312</v>
      </c>
      <c r="O15" s="902" t="e">
        <f>IF(ISNUMBER(H15),H15/Population!H15*10000,NA())</f>
        <v>#N/A</v>
      </c>
      <c r="P15" s="903" t="str">
        <f t="shared" si="10"/>
        <v/>
      </c>
      <c r="Q15" s="904" t="e">
        <f t="shared" si="0"/>
        <v>#N/A</v>
      </c>
      <c r="R15" s="64"/>
      <c r="S15" s="905">
        <f>((IDACI!$C13*$Y$41)+$Z$41)/$X$2</f>
        <v>435.89819372599663</v>
      </c>
      <c r="T15" s="906" t="e">
        <f t="shared" si="1"/>
        <v>#N/A</v>
      </c>
      <c r="U15" s="89"/>
      <c r="V15" s="103"/>
      <c r="W15" s="115"/>
      <c r="X15" s="51" t="str">
        <f t="shared" si="2"/>
        <v>Hampshire</v>
      </c>
      <c r="Y15" s="27">
        <f>IF(ISNUMBER($H15),IDACI!D13,0)</f>
        <v>0</v>
      </c>
      <c r="Z15" s="27">
        <f>IF(ISNUMBER($H15),IDACI!E13,0)</f>
        <v>0</v>
      </c>
      <c r="AA15" s="155">
        <f>IF(ISNUMBER(D15),Population!D15,"")</f>
        <v>279340</v>
      </c>
      <c r="AB15" s="155">
        <f>IF(ISNUMBER(E15),Population!E15,"")</f>
        <v>279476</v>
      </c>
      <c r="AC15" s="155">
        <f>IF(ISNUMBER(F15),Population!F15,"")</f>
        <v>280929</v>
      </c>
      <c r="AD15" s="155">
        <f>IF(ISNUMBER(G15),Population!G15,"")</f>
        <v>283487</v>
      </c>
      <c r="AE15" s="155" t="str">
        <f>IF(ISNUMBER(H15),Population!H15,"")</f>
        <v/>
      </c>
      <c r="AF15" s="65" t="s">
        <v>6</v>
      </c>
      <c r="AG15" s="70" t="str">
        <f t="shared" si="3"/>
        <v/>
      </c>
      <c r="AH15" s="156" t="e">
        <f t="shared" si="4"/>
        <v>#VALUE!</v>
      </c>
      <c r="AJ15" s="121"/>
      <c r="AK15" s="480">
        <f t="shared" si="5"/>
        <v>5.4945598417408509E-2</v>
      </c>
      <c r="AL15" s="480">
        <f t="shared" si="6"/>
        <v>0.28329661056678074</v>
      </c>
      <c r="AM15" s="480">
        <f t="shared" si="7"/>
        <v>0.11426901439321985</v>
      </c>
      <c r="AN15" s="480" t="str">
        <f t="shared" si="8"/>
        <v>x</v>
      </c>
      <c r="AO15" s="480">
        <f t="shared" si="11"/>
        <v>0.15083707445913636</v>
      </c>
      <c r="AQ15" s="52"/>
      <c r="AR15" s="52"/>
      <c r="AS15" s="52"/>
      <c r="AT15" s="52"/>
      <c r="AU15" s="52"/>
      <c r="AV15" s="52"/>
      <c r="AW15" s="52"/>
      <c r="AX15" s="52"/>
      <c r="AY15" s="52"/>
    </row>
    <row r="16" spans="1:51" s="61" customFormat="1" ht="15.75" customHeight="1">
      <c r="A16" s="1103">
        <f>VLOOKUP(B16,ReportData!$AQ$4:$AR$25,2,FALSE)</f>
        <v>0</v>
      </c>
      <c r="B16" s="885" t="str">
        <f>ReportData!$K$9</f>
        <v>Isle of Wight</v>
      </c>
      <c r="C16" s="896"/>
      <c r="D16" s="889">
        <f>IF(Year1_Isle_of_Wight Year1_Referrals="","",Year1_Isle_of_Wight Year1_Referrals)</f>
        <v>2670</v>
      </c>
      <c r="E16" s="889">
        <f>IF(Year2_Isle_of_Wight Year2_Referrals="","",Year2_Isle_of_Wight Year2_Referrals)</f>
        <v>2619</v>
      </c>
      <c r="F16" s="889">
        <f>IF(Year3_Isle_of_Wight Year3_Referrals="","",Year3_Isle_of_Wight Year3_Referrals)</f>
        <v>3365</v>
      </c>
      <c r="G16" s="889">
        <f>IF(Year4_Isle_of_Wight Year4_Referrals="","",Year4_Isle_of_Wight Year4_Referrals)</f>
        <v>3870</v>
      </c>
      <c r="H16" s="890">
        <f>IF(Year5_Isle_of_Wight Year5_Referrals="","",Year5_Isle_of_Wight Year5_Referrals)</f>
        <v>4378</v>
      </c>
      <c r="I16" s="900">
        <f t="shared" si="9"/>
        <v>0.13677021576346221</v>
      </c>
      <c r="J16" s="896"/>
      <c r="K16" s="901">
        <f>IF(ISNUMBER(D16),D16/Population!D16*10000,NA())</f>
        <v>1098.7202172750092</v>
      </c>
      <c r="L16" s="901">
        <f>IF(ISNUMBER(E16),E16/Population!E16*10000,NA())</f>
        <v>1096.1828227021597</v>
      </c>
      <c r="M16" s="901">
        <f>IF(ISNUMBER(F16),F16/Population!F16*10000,NA())</f>
        <v>1423.6757488576748</v>
      </c>
      <c r="N16" s="901">
        <f>IF(ISNUMBER(G16),G16/Population!G16*10000,NA())</f>
        <v>1644.4293362794253</v>
      </c>
      <c r="O16" s="902">
        <f>IF(ISNUMBER(H16),H16/Population!H16*10000,NA())</f>
        <v>1867.906817987883</v>
      </c>
      <c r="P16" s="903">
        <f t="shared" si="10"/>
        <v>1867.906817987883</v>
      </c>
      <c r="Q16" s="904">
        <f t="shared" si="0"/>
        <v>18</v>
      </c>
      <c r="R16" s="64"/>
      <c r="S16" s="905">
        <f>((IDACI!$C14*$Y$41)+$Z$41)/$X$2</f>
        <v>545.18098265434378</v>
      </c>
      <c r="T16" s="906">
        <f t="shared" si="1"/>
        <v>1322.7258353335392</v>
      </c>
      <c r="U16" s="89"/>
      <c r="V16" s="103"/>
      <c r="W16" s="115"/>
      <c r="X16" s="51" t="str">
        <f t="shared" si="2"/>
        <v>Isle of Wight</v>
      </c>
      <c r="Y16" s="27">
        <f>IF(ISNUMBER($H16),IDACI!D14,0)</f>
        <v>22123</v>
      </c>
      <c r="Z16" s="27">
        <f>IF(ISNUMBER($H16),IDACI!E14,0)</f>
        <v>3982.14</v>
      </c>
      <c r="AA16" s="155">
        <f>IF(ISNUMBER(D16),Population!D16,"")</f>
        <v>24301</v>
      </c>
      <c r="AB16" s="155">
        <f>IF(ISNUMBER(E16),Population!E16,"")</f>
        <v>23892</v>
      </c>
      <c r="AC16" s="155">
        <f>IF(ISNUMBER(F16),Population!F16,"")</f>
        <v>23636</v>
      </c>
      <c r="AD16" s="155">
        <f>IF(ISNUMBER(G16),Population!G16,"")</f>
        <v>23534</v>
      </c>
      <c r="AE16" s="155">
        <f>IF(ISNUMBER(H16),Population!H16,"")</f>
        <v>23438</v>
      </c>
      <c r="AF16" s="65" t="s">
        <v>1</v>
      </c>
      <c r="AG16" s="70">
        <f t="shared" si="3"/>
        <v>1867.906817987883</v>
      </c>
      <c r="AH16" s="156">
        <f t="shared" si="4"/>
        <v>18</v>
      </c>
      <c r="AJ16" s="121"/>
      <c r="AK16" s="480">
        <f t="shared" si="5"/>
        <v>-1.9101123595505618E-2</v>
      </c>
      <c r="AL16" s="480">
        <f t="shared" si="6"/>
        <v>0.28484154257350136</v>
      </c>
      <c r="AM16" s="480">
        <f t="shared" si="7"/>
        <v>0.150074294205052</v>
      </c>
      <c r="AN16" s="480">
        <f t="shared" si="8"/>
        <v>0.13126614987080104</v>
      </c>
      <c r="AO16" s="480">
        <f t="shared" si="11"/>
        <v>0.13677021576346221</v>
      </c>
      <c r="AQ16" s="52"/>
      <c r="AR16" s="52"/>
      <c r="AS16" s="52"/>
      <c r="AT16" s="52"/>
      <c r="AU16" s="52"/>
      <c r="AV16" s="52"/>
      <c r="AW16" s="52"/>
      <c r="AX16" s="52"/>
      <c r="AY16" s="52"/>
    </row>
    <row r="17" spans="1:51" s="61" customFormat="1" ht="15.75" customHeight="1">
      <c r="A17" s="1103">
        <f>VLOOKUP(B17,ReportData!$AQ$4:$AR$25,2,FALSE)</f>
        <v>0</v>
      </c>
      <c r="B17" s="885" t="str">
        <f>ReportData!$K$10</f>
        <v>Kent</v>
      </c>
      <c r="C17" s="896"/>
      <c r="D17" s="889">
        <f>IF(Year1_Kent Year1_Referrals="","",Year1_Kent Year1_Referrals)</f>
        <v>22349</v>
      </c>
      <c r="E17" s="889">
        <f>IF(Year2_Kent Year2_Referrals="","",Year2_Kent Year2_Referrals)</f>
        <v>18942</v>
      </c>
      <c r="F17" s="889">
        <f>IF(Year3_Kent Year3_Referrals="","",Year3_Kent Year3_Referrals)</f>
        <v>19497</v>
      </c>
      <c r="G17" s="889">
        <f>IF(Year4_Kent Year4_Referrals="","",Year4_Kent Year4_Referrals)</f>
        <v>22589</v>
      </c>
      <c r="H17" s="890">
        <f>IF(Year5_Kent Year5_Referrals="","",Year5_Kent Year5_Referrals)</f>
        <v>24111</v>
      </c>
      <c r="I17" s="900">
        <f t="shared" si="9"/>
        <v>2.5705274215782271E-2</v>
      </c>
      <c r="J17" s="896"/>
      <c r="K17" s="901">
        <f>IF(ISNUMBER(D17),D17/Population!D17*10000,NA())</f>
        <v>670.45055693384893</v>
      </c>
      <c r="L17" s="901">
        <f>IF(ISNUMBER(E17),E17/Population!E17*10000,NA())</f>
        <v>566.40671722125205</v>
      </c>
      <c r="M17" s="901">
        <f>IF(ISNUMBER(F17),F17/Population!F17*10000,NA())</f>
        <v>580.11074381640685</v>
      </c>
      <c r="N17" s="901">
        <f>IF(ISNUMBER(G17),G17/Population!G17*10000,NA())</f>
        <v>658.84418622286773</v>
      </c>
      <c r="O17" s="902">
        <f>IF(ISNUMBER(H17),H17/Population!H17*10000,NA())</f>
        <v>692.18446769174238</v>
      </c>
      <c r="P17" s="903">
        <f t="shared" si="10"/>
        <v>692.18446769174238</v>
      </c>
      <c r="Q17" s="904">
        <f t="shared" si="0"/>
        <v>12</v>
      </c>
      <c r="R17" s="64"/>
      <c r="S17" s="905">
        <f>((IDACI!$C15*$Y$41)+$Z$41)/$X$2</f>
        <v>514.74780092746232</v>
      </c>
      <c r="T17" s="906">
        <f t="shared" si="1"/>
        <v>177.43666676428006</v>
      </c>
      <c r="U17" s="89"/>
      <c r="V17" s="103"/>
      <c r="W17" s="115"/>
      <c r="X17" s="51" t="str">
        <f t="shared" si="2"/>
        <v>Kent</v>
      </c>
      <c r="Y17" s="27">
        <f>IF(ISNUMBER($H17),IDACI!D15,0)</f>
        <v>291866</v>
      </c>
      <c r="Z17" s="27">
        <f>IF(ISNUMBER($H17),IDACI!E15,0)</f>
        <v>46114.828000000001</v>
      </c>
      <c r="AA17" s="155">
        <f>IF(ISNUMBER(D17),Population!D17,"")</f>
        <v>333343</v>
      </c>
      <c r="AB17" s="155">
        <f>IF(ISNUMBER(E17),Population!E17,"")</f>
        <v>334424</v>
      </c>
      <c r="AC17" s="155">
        <f>IF(ISNUMBER(F17),Population!F17,"")</f>
        <v>336091</v>
      </c>
      <c r="AD17" s="155">
        <f>IF(ISNUMBER(G17),Population!G17,"")</f>
        <v>342858</v>
      </c>
      <c r="AE17" s="155">
        <f>IF(ISNUMBER(H17),Population!H17,"")</f>
        <v>348332</v>
      </c>
      <c r="AF17" s="65" t="s">
        <v>9</v>
      </c>
      <c r="AG17" s="70">
        <f t="shared" si="3"/>
        <v>692.18446769174238</v>
      </c>
      <c r="AH17" s="156">
        <f t="shared" si="4"/>
        <v>12</v>
      </c>
      <c r="AJ17" s="121"/>
      <c r="AK17" s="480">
        <f t="shared" si="5"/>
        <v>-0.15244529956597611</v>
      </c>
      <c r="AL17" s="480">
        <f t="shared" si="6"/>
        <v>2.9299968324358567E-2</v>
      </c>
      <c r="AM17" s="480">
        <f t="shared" si="7"/>
        <v>0.15858850079499409</v>
      </c>
      <c r="AN17" s="480">
        <f t="shared" si="8"/>
        <v>6.7377927309752533E-2</v>
      </c>
      <c r="AO17" s="480">
        <f t="shared" si="11"/>
        <v>2.5705274215782271E-2</v>
      </c>
      <c r="AQ17" s="52"/>
      <c r="AR17" s="52"/>
      <c r="AS17" s="52"/>
      <c r="AT17" s="52"/>
      <c r="AU17" s="52"/>
      <c r="AV17" s="52"/>
      <c r="AW17" s="52"/>
      <c r="AX17" s="52"/>
      <c r="AY17" s="52"/>
    </row>
    <row r="18" spans="1:51" s="61" customFormat="1" ht="15.75" customHeight="1">
      <c r="A18" s="1103">
        <f>VLOOKUP(B18,ReportData!$AQ$4:$AR$25,2,FALSE)</f>
        <v>0</v>
      </c>
      <c r="B18" s="885" t="str">
        <f>ReportData!$K$11</f>
        <v>Medway</v>
      </c>
      <c r="C18" s="896"/>
      <c r="D18" s="889">
        <f>IF(Year1_Medway Year1_Referrals="","",Year1_Medway Year1_Referrals)</f>
        <v>4904</v>
      </c>
      <c r="E18" s="889">
        <f>IF(Year2_Medway Year2_Referrals="","",Year2_Medway Year2_Referrals)</f>
        <v>3259</v>
      </c>
      <c r="F18" s="889">
        <f>IF(Year3_Medway Year3_Referrals="","",Year3_Medway Year3_Referrals)</f>
        <v>4790</v>
      </c>
      <c r="G18" s="889">
        <f>IF(Year4_Medway Year4_Referrals="","",Year4_Medway Year4_Referrals)</f>
        <v>4714</v>
      </c>
      <c r="H18" s="890">
        <f>IF(Year5_Medway Year5_Referrals="","",Year5_Medway Year5_Referrals)</f>
        <v>5283</v>
      </c>
      <c r="I18" s="900">
        <f t="shared" si="9"/>
        <v>5.9793361234677281E-2</v>
      </c>
      <c r="J18" s="896"/>
      <c r="K18" s="901">
        <f>IF(ISNUMBER(D18),D18/Population!D18*10000,NA())</f>
        <v>770.19726096243244</v>
      </c>
      <c r="L18" s="901">
        <f>IF(ISNUMBER(E18),E18/Population!E18*10000,NA())</f>
        <v>511.65711594316667</v>
      </c>
      <c r="M18" s="901">
        <f>IF(ISNUMBER(F18),F18/Population!F18*10000,NA())</f>
        <v>750.58370026795376</v>
      </c>
      <c r="N18" s="901">
        <f>IF(ISNUMBER(G18),G18/Population!G18*10000,NA())</f>
        <v>725.73319990762832</v>
      </c>
      <c r="O18" s="902">
        <f>IF(ISNUMBER(H18),H18/Population!H18*10000,NA())</f>
        <v>792.20837644518429</v>
      </c>
      <c r="P18" s="903">
        <f t="shared" si="10"/>
        <v>792.20837644518429</v>
      </c>
      <c r="Q18" s="904">
        <f t="shared" si="0"/>
        <v>17</v>
      </c>
      <c r="R18" s="64"/>
      <c r="S18" s="905">
        <f>((IDACI!$C16*$Y$41)+$Z$41)/$X$2</f>
        <v>557.63092063352246</v>
      </c>
      <c r="T18" s="906">
        <f t="shared" si="1"/>
        <v>234.57745581166182</v>
      </c>
      <c r="U18" s="89"/>
      <c r="V18" s="103"/>
      <c r="W18" s="115"/>
      <c r="X18" s="51" t="str">
        <f t="shared" si="2"/>
        <v>Medway</v>
      </c>
      <c r="Y18" s="27">
        <f>IF(ISNUMBER($H18),IDACI!D16,0)</f>
        <v>55993</v>
      </c>
      <c r="Z18" s="27">
        <f>IF(ISNUMBER($H18),IDACI!E16,0)</f>
        <v>10582.676999999998</v>
      </c>
      <c r="AA18" s="155">
        <f>IF(ISNUMBER(D18),Population!D18,"")</f>
        <v>63672</v>
      </c>
      <c r="AB18" s="155">
        <f>IF(ISNUMBER(E18),Population!E18,"")</f>
        <v>63695</v>
      </c>
      <c r="AC18" s="155">
        <f>IF(ISNUMBER(F18),Population!F18,"")</f>
        <v>63817</v>
      </c>
      <c r="AD18" s="155">
        <f>IF(ISNUMBER(G18),Population!G18,"")</f>
        <v>64955</v>
      </c>
      <c r="AE18" s="155">
        <f>IF(ISNUMBER(H18),Population!H18,"")</f>
        <v>66687</v>
      </c>
      <c r="AF18" s="65" t="s">
        <v>2</v>
      </c>
      <c r="AG18" s="70">
        <f t="shared" si="3"/>
        <v>792.20837644518429</v>
      </c>
      <c r="AH18" s="156">
        <f t="shared" si="4"/>
        <v>17</v>
      </c>
      <c r="AJ18" s="121"/>
      <c r="AK18" s="480">
        <f t="shared" si="5"/>
        <v>-0.33544045676998369</v>
      </c>
      <c r="AL18" s="480">
        <f t="shared" si="6"/>
        <v>0.46977600490948146</v>
      </c>
      <c r="AM18" s="480">
        <f t="shared" si="7"/>
        <v>-1.5866388308977037E-2</v>
      </c>
      <c r="AN18" s="480">
        <f t="shared" si="8"/>
        <v>0.12070428510818837</v>
      </c>
      <c r="AO18" s="480">
        <f t="shared" si="11"/>
        <v>5.9793361234677281E-2</v>
      </c>
      <c r="AQ18" s="52"/>
      <c r="AR18" s="52"/>
      <c r="AS18" s="52"/>
      <c r="AT18" s="52"/>
      <c r="AU18" s="52"/>
      <c r="AV18" s="52"/>
      <c r="AW18" s="52"/>
      <c r="AX18" s="52"/>
      <c r="AY18" s="52"/>
    </row>
    <row r="19" spans="1:51" s="61" customFormat="1" ht="15.75" customHeight="1">
      <c r="A19" s="1103">
        <f>VLOOKUP(B19,ReportData!$AQ$4:$AR$25,2,FALSE)</f>
        <v>0</v>
      </c>
      <c r="B19" s="885" t="str">
        <f>ReportData!$K$12</f>
        <v>Milton Keynes</v>
      </c>
      <c r="C19" s="896"/>
      <c r="D19" s="889">
        <f>IF(Year1_Milton_Keynes Year1_Referrals="","",Year1_Milton_Keynes Year1_Referrals)</f>
        <v>3090</v>
      </c>
      <c r="E19" s="889">
        <f>IF(Year2_Milton_Keynes Year2_Referrals="","",Year2_Milton_Keynes Year2_Referrals)</f>
        <v>2856</v>
      </c>
      <c r="F19" s="889">
        <f>IF(Year3_Milton_Keynes Year3_Referrals="","",Year3_Milton_Keynes Year3_Referrals)</f>
        <v>3302</v>
      </c>
      <c r="G19" s="889">
        <f>IF(Year4_Milton_Keynes Year4_Referrals="","",Year4_Milton_Keynes Year4_Referrals)</f>
        <v>3436</v>
      </c>
      <c r="H19" s="890">
        <f>IF(Year5_Milton_Keynes Year5_Referrals="","",Year5_Milton_Keynes Year5_Referrals)</f>
        <v>3114</v>
      </c>
      <c r="I19" s="900">
        <f t="shared" si="9"/>
        <v>6.8255387338910269E-3</v>
      </c>
      <c r="J19" s="896"/>
      <c r="K19" s="901">
        <f>IF(ISNUMBER(D19),D19/Population!D19*10000,NA())</f>
        <v>447.58607703115717</v>
      </c>
      <c r="L19" s="901">
        <f>IF(ISNUMBER(E19),E19/Population!E19*10000,NA())</f>
        <v>412.09147969122</v>
      </c>
      <c r="M19" s="901">
        <f>IF(ISNUMBER(F19),F19/Population!F19*10000,NA())</f>
        <v>474.18683133481727</v>
      </c>
      <c r="N19" s="901">
        <f>IF(ISNUMBER(G19),G19/Population!G19*10000,NA())</f>
        <v>484.27788191850715</v>
      </c>
      <c r="O19" s="902">
        <f>IF(ISNUMBER(H19),H19/Population!H19*10000,NA())</f>
        <v>427.76488042089647</v>
      </c>
      <c r="P19" s="903">
        <f t="shared" si="10"/>
        <v>427.76488042089647</v>
      </c>
      <c r="Q19" s="904">
        <f t="shared" si="0"/>
        <v>5</v>
      </c>
      <c r="R19" s="64"/>
      <c r="S19" s="905">
        <f>((IDACI!$C17*$Y$41)+$Z$41)/$X$2</f>
        <v>503.68118939041449</v>
      </c>
      <c r="T19" s="906">
        <f t="shared" si="1"/>
        <v>-75.916308969518013</v>
      </c>
      <c r="U19" s="89"/>
      <c r="V19" s="103"/>
      <c r="W19" s="115"/>
      <c r="X19" s="51" t="str">
        <f t="shared" si="2"/>
        <v>Milton Keynes</v>
      </c>
      <c r="Y19" s="27">
        <f>IF(ISNUMBER($H19),IDACI!D17,0)</f>
        <v>59903</v>
      </c>
      <c r="Z19" s="27">
        <f>IF(ISNUMBER($H19),IDACI!E17,0)</f>
        <v>8985.4499999999989</v>
      </c>
      <c r="AA19" s="155">
        <f>IF(ISNUMBER(D19),Population!D19,"")</f>
        <v>69037</v>
      </c>
      <c r="AB19" s="155">
        <f>IF(ISNUMBER(E19),Population!E19,"")</f>
        <v>69305</v>
      </c>
      <c r="AC19" s="155">
        <f>IF(ISNUMBER(F19),Population!F19,"")</f>
        <v>69635</v>
      </c>
      <c r="AD19" s="155">
        <f>IF(ISNUMBER(G19),Population!G19,"")</f>
        <v>70951</v>
      </c>
      <c r="AE19" s="155">
        <f>IF(ISNUMBER(H19),Population!H19,"")</f>
        <v>72797</v>
      </c>
      <c r="AF19" s="65" t="s">
        <v>10</v>
      </c>
      <c r="AG19" s="70">
        <f t="shared" si="3"/>
        <v>427.76488042089647</v>
      </c>
      <c r="AH19" s="156">
        <f t="shared" si="4"/>
        <v>5</v>
      </c>
      <c r="AJ19" s="121"/>
      <c r="AK19" s="480">
        <f t="shared" si="5"/>
        <v>-7.5728155339805828E-2</v>
      </c>
      <c r="AL19" s="480">
        <f t="shared" si="6"/>
        <v>0.1561624649859944</v>
      </c>
      <c r="AM19" s="480">
        <f t="shared" si="7"/>
        <v>4.0581465778316173E-2</v>
      </c>
      <c r="AN19" s="480">
        <f t="shared" si="8"/>
        <v>-9.3713620488940635E-2</v>
      </c>
      <c r="AO19" s="480">
        <f t="shared" si="11"/>
        <v>6.8255387338910269E-3</v>
      </c>
      <c r="AQ19" s="52"/>
      <c r="AR19" s="52"/>
      <c r="AS19" s="52"/>
      <c r="AT19" s="52"/>
      <c r="AU19" s="52"/>
      <c r="AV19" s="52"/>
      <c r="AW19" s="52"/>
      <c r="AX19" s="52"/>
      <c r="AY19" s="52"/>
    </row>
    <row r="20" spans="1:51" s="61" customFormat="1" ht="15.75" customHeight="1">
      <c r="A20" s="1103">
        <f>VLOOKUP(B20,ReportData!$AQ$4:$AR$25,2,FALSE)</f>
        <v>0</v>
      </c>
      <c r="B20" s="885" t="str">
        <f>ReportData!$K$13</f>
        <v>Oxfordshire</v>
      </c>
      <c r="C20" s="896"/>
      <c r="D20" s="889">
        <f>IF(Year1_Oxfordshire Year1_Referrals="","",Year1_Oxfordshire Year1_Referrals)</f>
        <v>7502</v>
      </c>
      <c r="E20" s="889">
        <f>IF(Year2_Oxfordshire Year2_Referrals="","",Year2_Oxfordshire Year2_Referrals)</f>
        <v>6503</v>
      </c>
      <c r="F20" s="889">
        <f>IF(Year3_Oxfordshire Year3_Referrals="","",Year3_Oxfordshire Year3_Referrals)</f>
        <v>6704</v>
      </c>
      <c r="G20" s="889">
        <f>IF(Year4_Oxfordshire Year4_Referrals="","",Year4_Oxfordshire Year4_Referrals)</f>
        <v>5203</v>
      </c>
      <c r="H20" s="890">
        <f>IF(Year5_Oxfordshire Year5_Referrals="","",Year5_Oxfordshire Year5_Referrals)</f>
        <v>5047</v>
      </c>
      <c r="I20" s="900">
        <f t="shared" si="9"/>
        <v>-8.9033640455752933E-2</v>
      </c>
      <c r="J20" s="896"/>
      <c r="K20" s="901">
        <f>IF(ISNUMBER(D20),D20/Population!D20*10000,NA())</f>
        <v>519.42476926379049</v>
      </c>
      <c r="L20" s="901">
        <f>IF(ISNUMBER(E20),E20/Population!E20*10000,NA())</f>
        <v>447.80641651574518</v>
      </c>
      <c r="M20" s="901">
        <f>IF(ISNUMBER(F20),F20/Population!F20*10000,NA())</f>
        <v>458.1018565971724</v>
      </c>
      <c r="N20" s="901">
        <f>IF(ISNUMBER(G20),G20/Population!G20*10000,NA())</f>
        <v>347.9383166820474</v>
      </c>
      <c r="O20" s="902">
        <f>IF(ISNUMBER(H20),H20/Population!H20*10000,NA())</f>
        <v>330.93996918133831</v>
      </c>
      <c r="P20" s="903">
        <f t="shared" si="10"/>
        <v>330.93996918133831</v>
      </c>
      <c r="Q20" s="904">
        <f t="shared" si="0"/>
        <v>2</v>
      </c>
      <c r="R20" s="64"/>
      <c r="S20" s="905">
        <f>((IDACI!$C18*$Y$41)+$Z$41)/$X$2</f>
        <v>435.89819372599663</v>
      </c>
      <c r="T20" s="906">
        <f t="shared" si="1"/>
        <v>-104.95822454465832</v>
      </c>
      <c r="U20" s="89"/>
      <c r="V20" s="103"/>
      <c r="W20" s="115"/>
      <c r="X20" s="51" t="str">
        <f t="shared" si="2"/>
        <v>Oxfordshire</v>
      </c>
      <c r="Y20" s="27">
        <f>IF(ISNUMBER($H20),IDACI!D18,0)</f>
        <v>126119</v>
      </c>
      <c r="Z20" s="27">
        <f>IF(ISNUMBER($H20),IDACI!E18,0)</f>
        <v>12738.019000000002</v>
      </c>
      <c r="AA20" s="155">
        <f>IF(ISNUMBER(D20),Population!D20,"")</f>
        <v>144429</v>
      </c>
      <c r="AB20" s="155">
        <f>IF(ISNUMBER(E20),Population!E20,"")</f>
        <v>145219</v>
      </c>
      <c r="AC20" s="155">
        <f>IF(ISNUMBER(F20),Population!F20,"")</f>
        <v>146343</v>
      </c>
      <c r="AD20" s="155">
        <f>IF(ISNUMBER(G20),Population!G20,"")</f>
        <v>149538</v>
      </c>
      <c r="AE20" s="155">
        <f>IF(ISNUMBER(H20),Population!H20,"")</f>
        <v>152505</v>
      </c>
      <c r="AF20" s="65" t="s">
        <v>11</v>
      </c>
      <c r="AG20" s="70">
        <f t="shared" si="3"/>
        <v>330.93996918133831</v>
      </c>
      <c r="AH20" s="156">
        <f t="shared" si="4"/>
        <v>2</v>
      </c>
      <c r="AJ20" s="121"/>
      <c r="AK20" s="480">
        <f t="shared" si="5"/>
        <v>-0.13316448946947482</v>
      </c>
      <c r="AL20" s="480">
        <f t="shared" si="6"/>
        <v>3.0908811317853297E-2</v>
      </c>
      <c r="AM20" s="480">
        <f t="shared" si="7"/>
        <v>-0.22389618138424822</v>
      </c>
      <c r="AN20" s="480">
        <f t="shared" si="8"/>
        <v>-2.9982702287142032E-2</v>
      </c>
      <c r="AO20" s="480">
        <f t="shared" si="11"/>
        <v>-8.9033640455752933E-2</v>
      </c>
      <c r="AQ20" s="52"/>
      <c r="AR20" s="52"/>
      <c r="AS20" s="52"/>
      <c r="AT20" s="52"/>
      <c r="AU20" s="52"/>
      <c r="AV20" s="52"/>
      <c r="AW20" s="52"/>
      <c r="AX20" s="52"/>
      <c r="AY20" s="52"/>
    </row>
    <row r="21" spans="1:51" s="61" customFormat="1" ht="15.75" customHeight="1">
      <c r="A21" s="1103">
        <f>VLOOKUP(B21,ReportData!$AQ$4:$AR$25,2,FALSE)</f>
        <v>0</v>
      </c>
      <c r="B21" s="885" t="str">
        <f>ReportData!$K$14</f>
        <v>Portsmouth</v>
      </c>
      <c r="C21" s="896"/>
      <c r="D21" s="889">
        <f>IF(Year1_Portsmouth Year1_Referrals="","",Year1_Portsmouth Year1_Referrals)</f>
        <v>2664</v>
      </c>
      <c r="E21" s="889">
        <f>IF(Year2_Portsmouth Year2_Referrals="","",Year2_Portsmouth Year2_Referrals)</f>
        <v>2832</v>
      </c>
      <c r="F21" s="889">
        <f>IF(Year3_Portsmouth Year3_Referrals="","",Year3_Portsmouth Year3_Referrals)</f>
        <v>3704</v>
      </c>
      <c r="G21" s="889">
        <f>IF(Year4_Portsmouth Year4_Referrals="","",Year4_Portsmouth Year4_Referrals)</f>
        <v>2897</v>
      </c>
      <c r="H21" s="890">
        <f>IF(Year5_Portsmouth Year5_Referrals="","",Year5_Portsmouth Year5_Referrals)</f>
        <v>3061</v>
      </c>
      <c r="I21" s="900">
        <f t="shared" si="9"/>
        <v>5.2427595972932978E-2</v>
      </c>
      <c r="J21" s="896"/>
      <c r="K21" s="901">
        <f>IF(ISNUMBER(D21),D21/Population!D21*10000,NA())</f>
        <v>633.78773820569552</v>
      </c>
      <c r="L21" s="901">
        <f>IF(ISNUMBER(E21),E21/Population!E21*10000,NA())</f>
        <v>676.46005016123252</v>
      </c>
      <c r="M21" s="901">
        <f>IF(ISNUMBER(F21),F21/Population!F21*10000,NA())</f>
        <v>893.67143580958816</v>
      </c>
      <c r="N21" s="901">
        <f>IF(ISNUMBER(G21),G21/Population!G21*10000,NA())</f>
        <v>691.88698621957917</v>
      </c>
      <c r="O21" s="902">
        <f>IF(ISNUMBER(H21),H21/Population!H21*10000,NA())</f>
        <v>723.52093034249651</v>
      </c>
      <c r="P21" s="903">
        <f t="shared" si="10"/>
        <v>723.52093034249651</v>
      </c>
      <c r="Q21" s="904">
        <f t="shared" si="0"/>
        <v>14</v>
      </c>
      <c r="R21" s="64"/>
      <c r="S21" s="905">
        <f>((IDACI!$C19*$Y$41)+$Z$41)/$X$2</f>
        <v>575.61416438122524</v>
      </c>
      <c r="T21" s="906">
        <f t="shared" si="1"/>
        <v>147.90676596127128</v>
      </c>
      <c r="U21" s="89"/>
      <c r="V21" s="103"/>
      <c r="W21" s="115"/>
      <c r="X21" s="51" t="str">
        <f t="shared" si="2"/>
        <v>Portsmouth</v>
      </c>
      <c r="Y21" s="27">
        <f>IF(ISNUMBER($H21),IDACI!D19,0)</f>
        <v>39325</v>
      </c>
      <c r="Z21" s="27">
        <f>IF(ISNUMBER($H21),IDACI!E19,0)</f>
        <v>7943.6500000000015</v>
      </c>
      <c r="AA21" s="155">
        <f>IF(ISNUMBER(D21),Population!D21,"")</f>
        <v>42033</v>
      </c>
      <c r="AB21" s="155">
        <f>IF(ISNUMBER(E21),Population!E21,"")</f>
        <v>41865</v>
      </c>
      <c r="AC21" s="155">
        <f>IF(ISNUMBER(F21),Population!F21,"")</f>
        <v>41447</v>
      </c>
      <c r="AD21" s="155">
        <f>IF(ISNUMBER(G21),Population!G21,"")</f>
        <v>41871</v>
      </c>
      <c r="AE21" s="155">
        <f>IF(ISNUMBER(H21),Population!H21,"")</f>
        <v>42307</v>
      </c>
      <c r="AF21" s="65" t="s">
        <v>12</v>
      </c>
      <c r="AG21" s="70">
        <f t="shared" si="3"/>
        <v>723.52093034249651</v>
      </c>
      <c r="AH21" s="156">
        <f t="shared" si="4"/>
        <v>14</v>
      </c>
      <c r="AJ21" s="121"/>
      <c r="AK21" s="480">
        <f t="shared" si="5"/>
        <v>6.3063063063063057E-2</v>
      </c>
      <c r="AL21" s="480">
        <f t="shared" si="6"/>
        <v>0.30790960451977401</v>
      </c>
      <c r="AM21" s="480">
        <f t="shared" si="7"/>
        <v>-0.21787257019438444</v>
      </c>
      <c r="AN21" s="480">
        <f t="shared" si="8"/>
        <v>5.6610286503279254E-2</v>
      </c>
      <c r="AO21" s="480">
        <f t="shared" si="11"/>
        <v>5.2427595972932978E-2</v>
      </c>
      <c r="AQ21" s="52"/>
      <c r="AR21" s="52"/>
      <c r="AS21" s="52"/>
      <c r="AT21" s="52"/>
      <c r="AU21" s="52"/>
      <c r="AV21" s="52"/>
      <c r="AW21" s="52"/>
      <c r="AX21" s="52"/>
      <c r="AY21" s="52"/>
    </row>
    <row r="22" spans="1:51" s="61" customFormat="1" ht="15.75" customHeight="1">
      <c r="A22" s="1103">
        <f>VLOOKUP(B22,ReportData!$AQ$4:$AR$25,2,FALSE)</f>
        <v>0</v>
      </c>
      <c r="B22" s="885" t="str">
        <f>ReportData!$K$15</f>
        <v>Reading</v>
      </c>
      <c r="C22" s="896"/>
      <c r="D22" s="889">
        <f>IF(Year1_Reading Year1_Referrals="","",Year1_Reading Year1_Referrals)</f>
        <v>2564</v>
      </c>
      <c r="E22" s="889">
        <f>IF(Year2_Reading Year2_Referrals="","",Year2_Reading Year2_Referrals)</f>
        <v>2266</v>
      </c>
      <c r="F22" s="889">
        <f>IF(Year3_Reading Year3_Referrals="","",Year3_Reading Year3_Referrals)</f>
        <v>2449</v>
      </c>
      <c r="G22" s="889">
        <f>IF(Year4_Reading Year4_Referrals="","",Year4_Reading Year4_Referrals)</f>
        <v>2843</v>
      </c>
      <c r="H22" s="890">
        <f>IF(Year5_Reading Year5_Referrals="","",Year5_Reading Year5_Referrals)</f>
        <v>3003</v>
      </c>
      <c r="I22" s="900">
        <f t="shared" si="9"/>
        <v>4.5423742352111801E-2</v>
      </c>
      <c r="J22" s="896"/>
      <c r="K22" s="901">
        <f>IF(ISNUMBER(D22),D22/Population!D22*10000,NA())</f>
        <v>692.41155819605729</v>
      </c>
      <c r="L22" s="901">
        <f>IF(ISNUMBER(E22),E22/Population!E22*10000,NA())</f>
        <v>612.91282356441536</v>
      </c>
      <c r="M22" s="901">
        <f>IF(ISNUMBER(F22),F22/Population!F22*10000,NA())</f>
        <v>674.02432982881055</v>
      </c>
      <c r="N22" s="901">
        <f>IF(ISNUMBER(G22),G22/Population!G22*10000,NA())</f>
        <v>763.01663982823402</v>
      </c>
      <c r="O22" s="902">
        <f>IF(ISNUMBER(H22),H22/Population!H22*10000,NA())</f>
        <v>791.74246618682275</v>
      </c>
      <c r="P22" s="903">
        <f t="shared" si="10"/>
        <v>791.74246618682275</v>
      </c>
      <c r="Q22" s="904">
        <f t="shared" si="0"/>
        <v>16</v>
      </c>
      <c r="R22" s="64"/>
      <c r="S22" s="905">
        <f>((IDACI!$C20*$Y$41)+$Z$41)/$X$2</f>
        <v>517.51445381172425</v>
      </c>
      <c r="T22" s="906">
        <f t="shared" si="1"/>
        <v>274.2280123750985</v>
      </c>
      <c r="U22" s="89"/>
      <c r="V22" s="103"/>
      <c r="W22" s="115"/>
      <c r="X22" s="51" t="str">
        <f t="shared" si="2"/>
        <v>Reading</v>
      </c>
      <c r="Y22" s="27">
        <f>IF(ISNUMBER($H22),IDACI!D20,0)</f>
        <v>33203</v>
      </c>
      <c r="Z22" s="27">
        <f>IF(ISNUMBER($H22),IDACI!E20,0)</f>
        <v>5312.4800000000005</v>
      </c>
      <c r="AA22" s="155">
        <f>IF(ISNUMBER(D22),Population!D22,"")</f>
        <v>37030</v>
      </c>
      <c r="AB22" s="155">
        <f>IF(ISNUMBER(E22),Population!E22,"")</f>
        <v>36971</v>
      </c>
      <c r="AC22" s="155">
        <f>IF(ISNUMBER(F22),Population!F22,"")</f>
        <v>36334</v>
      </c>
      <c r="AD22" s="155">
        <f>IF(ISNUMBER(G22),Population!G22,"")</f>
        <v>37260</v>
      </c>
      <c r="AE22" s="155">
        <f>IF(ISNUMBER(H22),Population!H22,"")</f>
        <v>37929</v>
      </c>
      <c r="AF22" s="65" t="s">
        <v>3</v>
      </c>
      <c r="AG22" s="70">
        <f t="shared" si="3"/>
        <v>791.74246618682275</v>
      </c>
      <c r="AH22" s="156">
        <f t="shared" si="4"/>
        <v>16</v>
      </c>
      <c r="AJ22" s="121"/>
      <c r="AK22" s="480">
        <f t="shared" si="5"/>
        <v>-0.11622464898595944</v>
      </c>
      <c r="AL22" s="480">
        <f t="shared" si="6"/>
        <v>8.0759046778464252E-2</v>
      </c>
      <c r="AM22" s="480">
        <f t="shared" si="7"/>
        <v>0.16088199265006126</v>
      </c>
      <c r="AN22" s="480">
        <f t="shared" si="8"/>
        <v>5.6278578965881114E-2</v>
      </c>
      <c r="AO22" s="480">
        <f t="shared" si="11"/>
        <v>4.5423742352111801E-2</v>
      </c>
      <c r="AQ22" s="52"/>
      <c r="AR22" s="52"/>
      <c r="AS22" s="52"/>
      <c r="AT22" s="52"/>
      <c r="AU22" s="52"/>
      <c r="AV22" s="52"/>
      <c r="AW22" s="52"/>
      <c r="AX22" s="52"/>
      <c r="AY22" s="52"/>
    </row>
    <row r="23" spans="1:51" s="61" customFormat="1" ht="15.75" customHeight="1">
      <c r="A23" s="1103">
        <f>VLOOKUP(B23,ReportData!$AQ$4:$AR$25,2,FALSE)</f>
        <v>0</v>
      </c>
      <c r="B23" s="885" t="str">
        <f>ReportData!$K$16</f>
        <v>Slough</v>
      </c>
      <c r="C23" s="896"/>
      <c r="D23" s="889">
        <f>IF(Year1_Slough Year1_Referrals="","",Year1_Slough Year1_Referrals)</f>
        <v>2540</v>
      </c>
      <c r="E23" s="889">
        <f>IF(Year2_Slough Year2_Referrals="","",Year2_Slough Year2_Referrals)</f>
        <v>3375</v>
      </c>
      <c r="F23" s="889">
        <f>IF(Year3_Slough Year3_Referrals="","",Year3_Slough Year3_Referrals)</f>
        <v>3203</v>
      </c>
      <c r="G23" s="889">
        <f>IF(Year4_Slough Year4_Referrals="","",Year4_Slough Year4_Referrals)</f>
        <v>3417</v>
      </c>
      <c r="H23" s="890">
        <f>IF(Year5_Slough Year5_Referrals="","",Year5_Slough Year5_Referrals)</f>
        <v>3361</v>
      </c>
      <c r="I23" s="900">
        <f t="shared" si="9"/>
        <v>8.2050228229103225E-2</v>
      </c>
      <c r="J23" s="896"/>
      <c r="K23" s="901">
        <f>IF(ISNUMBER(D23),D23/Population!D23*10000,NA())</f>
        <v>584.190068768831</v>
      </c>
      <c r="L23" s="901">
        <f>IF(ISNUMBER(E23),E23/Population!E23*10000,NA())</f>
        <v>768.79271070615039</v>
      </c>
      <c r="M23" s="901">
        <f>IF(ISNUMBER(F23),F23/Population!F23*10000,NA())</f>
        <v>732.3318929053205</v>
      </c>
      <c r="N23" s="901">
        <f>IF(ISNUMBER(G23),G23/Population!G23*10000,NA())</f>
        <v>772.20338983050851</v>
      </c>
      <c r="O23" s="902">
        <f>IF(ISNUMBER(H23),H23/Population!H23*10000,NA())</f>
        <v>749.40355414836461</v>
      </c>
      <c r="P23" s="903">
        <f t="shared" si="10"/>
        <v>749.40355414836461</v>
      </c>
      <c r="Q23" s="904">
        <f t="shared" si="0"/>
        <v>15</v>
      </c>
      <c r="R23" s="64"/>
      <c r="S23" s="905">
        <f>((IDACI!$C21*$Y$41)+$Z$41)/$X$2</f>
        <v>499.53121006402154</v>
      </c>
      <c r="T23" s="906">
        <f t="shared" si="1"/>
        <v>249.87234408434307</v>
      </c>
      <c r="U23" s="89"/>
      <c r="V23" s="103"/>
      <c r="W23" s="115"/>
      <c r="X23" s="51" t="str">
        <f t="shared" si="2"/>
        <v>Slough</v>
      </c>
      <c r="Y23" s="27">
        <f>IF(ISNUMBER($H23),IDACI!D21,0)</f>
        <v>37031</v>
      </c>
      <c r="Z23" s="27">
        <f>IF(ISNUMBER($H23),IDACI!E21,0)</f>
        <v>5443.5569999999998</v>
      </c>
      <c r="AA23" s="155">
        <f>IF(ISNUMBER(D23),Population!D23,"")</f>
        <v>43479</v>
      </c>
      <c r="AB23" s="155">
        <f>IF(ISNUMBER(E23),Population!E23,"")</f>
        <v>43900</v>
      </c>
      <c r="AC23" s="155">
        <f>IF(ISNUMBER(F23),Population!F23,"")</f>
        <v>43737</v>
      </c>
      <c r="AD23" s="155">
        <f>IF(ISNUMBER(G23),Population!G23,"")</f>
        <v>44250</v>
      </c>
      <c r="AE23" s="155">
        <f>IF(ISNUMBER(H23),Population!H23,"")</f>
        <v>44849</v>
      </c>
      <c r="AF23" s="65" t="s">
        <v>13</v>
      </c>
      <c r="AG23" s="70">
        <f t="shared" si="3"/>
        <v>749.40355414836461</v>
      </c>
      <c r="AH23" s="156">
        <f t="shared" si="4"/>
        <v>15</v>
      </c>
      <c r="AJ23" s="121"/>
      <c r="AK23" s="480">
        <f t="shared" si="5"/>
        <v>0.32874015748031499</v>
      </c>
      <c r="AL23" s="480">
        <f t="shared" si="6"/>
        <v>-5.096296296296296E-2</v>
      </c>
      <c r="AM23" s="480">
        <f t="shared" si="7"/>
        <v>6.6812363409303771E-2</v>
      </c>
      <c r="AN23" s="480">
        <f t="shared" si="8"/>
        <v>-1.6388645010242904E-2</v>
      </c>
      <c r="AO23" s="480">
        <f t="shared" si="11"/>
        <v>8.2050228229103225E-2</v>
      </c>
      <c r="AQ23" s="52"/>
      <c r="AR23" s="52"/>
      <c r="AS23" s="52"/>
      <c r="AT23" s="52"/>
      <c r="AU23" s="52"/>
      <c r="AV23" s="52"/>
      <c r="AW23" s="52"/>
      <c r="AX23" s="52"/>
      <c r="AY23" s="52"/>
    </row>
    <row r="24" spans="1:51" s="61" customFormat="1" ht="15.75" customHeight="1">
      <c r="A24" s="1103">
        <f>VLOOKUP(B24,ReportData!$AQ$4:$AR$25,2,FALSE)</f>
        <v>0</v>
      </c>
      <c r="B24" s="885" t="str">
        <f>ReportData!$K$17</f>
        <v>Southampton</v>
      </c>
      <c r="C24" s="896"/>
      <c r="D24" s="889">
        <f>IF(Year1_Southampton Year1_Referrals="","",Year1_Southampton Year1_Referrals)</f>
        <v>4840</v>
      </c>
      <c r="E24" s="889">
        <f>IF(Year2_Southampton Year2_Referrals="","",Year2_Southampton Year2_Referrals)</f>
        <v>4092</v>
      </c>
      <c r="F24" s="889">
        <f>IF(Year3_Southampton Year3_Referrals="","",Year3_Southampton Year3_Referrals)</f>
        <v>3640</v>
      </c>
      <c r="G24" s="889">
        <f>IF(Year4_Southampton Year4_Referrals="","",Year4_Southampton Year4_Referrals)</f>
        <v>3747</v>
      </c>
      <c r="H24" s="890">
        <f>IF(Year5_Southampton Year5_Referrals="","",Year5_Southampton Year5_Referrals)</f>
        <v>3094</v>
      </c>
      <c r="I24" s="900">
        <f t="shared" si="9"/>
        <v>-0.10247050868112234</v>
      </c>
      <c r="J24" s="896"/>
      <c r="K24" s="901">
        <f>IF(ISNUMBER(D24),D24/Population!D24*10000,NA())</f>
        <v>976.04259094942336</v>
      </c>
      <c r="L24" s="901">
        <f>IF(ISNUMBER(E24),E24/Population!E24*10000,NA())</f>
        <v>822.72754689667647</v>
      </c>
      <c r="M24" s="901">
        <f>IF(ISNUMBER(F24),F24/Population!F24*10000,NA())</f>
        <v>737.02113873815506</v>
      </c>
      <c r="N24" s="901">
        <f>IF(ISNUMBER(G24),G24/Population!G24*10000,NA())</f>
        <v>751.33845320927992</v>
      </c>
      <c r="O24" s="902">
        <f>IF(ISNUMBER(H24),H24/Population!H24*10000,NA())</f>
        <v>614.21793421078746</v>
      </c>
      <c r="P24" s="903">
        <f t="shared" si="10"/>
        <v>614.21793421078746</v>
      </c>
      <c r="Q24" s="904">
        <f t="shared" si="0"/>
        <v>11</v>
      </c>
      <c r="R24" s="64"/>
      <c r="S24" s="905">
        <f>((IDACI!$C22*$Y$41)+$Z$41)/$X$2</f>
        <v>579.76414370761813</v>
      </c>
      <c r="T24" s="906">
        <f t="shared" si="1"/>
        <v>34.45379050316933</v>
      </c>
      <c r="U24" s="89"/>
      <c r="V24" s="103"/>
      <c r="W24" s="115"/>
      <c r="X24" s="51" t="str">
        <f t="shared" si="2"/>
        <v>Southampton</v>
      </c>
      <c r="Y24" s="27">
        <f>IF(ISNUMBER($H24),IDACI!D22,0)</f>
        <v>44295</v>
      </c>
      <c r="Z24" s="27">
        <f>IF(ISNUMBER($H24),IDACI!E22,0)</f>
        <v>9080.4750000000004</v>
      </c>
      <c r="AA24" s="155">
        <f>IF(ISNUMBER(D24),Population!D24,"")</f>
        <v>49588</v>
      </c>
      <c r="AB24" s="155">
        <f>IF(ISNUMBER(E24),Population!E24,"")</f>
        <v>49737</v>
      </c>
      <c r="AC24" s="155">
        <f>IF(ISNUMBER(F24),Population!F24,"")</f>
        <v>49388</v>
      </c>
      <c r="AD24" s="155">
        <f>IF(ISNUMBER(G24),Population!G24,"")</f>
        <v>49871</v>
      </c>
      <c r="AE24" s="155">
        <f>IF(ISNUMBER(H24),Population!H24,"")</f>
        <v>50373</v>
      </c>
      <c r="AF24" s="65" t="s">
        <v>14</v>
      </c>
      <c r="AG24" s="70">
        <f t="shared" si="3"/>
        <v>614.21793421078746</v>
      </c>
      <c r="AH24" s="156">
        <f t="shared" si="4"/>
        <v>11</v>
      </c>
      <c r="AJ24" s="121"/>
      <c r="AK24" s="480">
        <f t="shared" si="5"/>
        <v>-0.15454545454545454</v>
      </c>
      <c r="AL24" s="480">
        <f t="shared" si="6"/>
        <v>-0.1104594330400782</v>
      </c>
      <c r="AM24" s="480">
        <f t="shared" si="7"/>
        <v>2.9395604395604395E-2</v>
      </c>
      <c r="AN24" s="480">
        <f t="shared" si="8"/>
        <v>-0.17427275153456098</v>
      </c>
      <c r="AO24" s="480">
        <f t="shared" si="11"/>
        <v>-0.10247050868112234</v>
      </c>
      <c r="AQ24" s="52"/>
      <c r="AR24" s="52"/>
      <c r="AS24" s="52"/>
      <c r="AT24" s="52"/>
      <c r="AU24" s="52"/>
      <c r="AV24" s="52"/>
      <c r="AW24" s="52"/>
      <c r="AX24" s="52"/>
      <c r="AY24" s="52"/>
    </row>
    <row r="25" spans="1:51" s="61" customFormat="1" ht="15.75" customHeight="1">
      <c r="A25" s="1103">
        <f>VLOOKUP(B25,ReportData!$AQ$4:$AR$25,2,FALSE)</f>
        <v>0</v>
      </c>
      <c r="B25" s="885" t="str">
        <f>ReportData!$K$18</f>
        <v>Surrey</v>
      </c>
      <c r="C25" s="896"/>
      <c r="D25" s="889">
        <f>IF(Year1_Surrey Year1_Referrals="","",Year1_Surrey Year1_Referrals)</f>
        <v>8519</v>
      </c>
      <c r="E25" s="889">
        <f>IF(Year2_Surrey Year2_Referrals="","",Year2_Surrey Year2_Referrals)</f>
        <v>10428</v>
      </c>
      <c r="F25" s="889">
        <f>IF(Year3_Surrey Year3_Referrals="","",Year3_Surrey Year3_Referrals)</f>
        <v>9239</v>
      </c>
      <c r="G25" s="889">
        <f>IF(Year4_Surrey Year4_Referrals="","",Year4_Surrey Year4_Referrals)</f>
        <v>7113</v>
      </c>
      <c r="H25" s="890">
        <f>IF(Year5_Surrey Year5_Referrals="","",Year5_Surrey Year5_Referrals)</f>
        <v>7682</v>
      </c>
      <c r="I25" s="900">
        <f t="shared" si="9"/>
        <v>-1.0012429884340278E-2</v>
      </c>
      <c r="J25" s="896"/>
      <c r="K25" s="901">
        <f>IF(ISNUMBER(D25),D25/Population!D25*10000,NA())</f>
        <v>330.13621655137672</v>
      </c>
      <c r="L25" s="901">
        <f>IF(ISNUMBER(E25),E25/Population!E25*10000,NA())</f>
        <v>403.37460689543127</v>
      </c>
      <c r="M25" s="901">
        <f>IF(ISNUMBER(F25),F25/Population!F25*10000,NA())</f>
        <v>356.04729313108896</v>
      </c>
      <c r="N25" s="901">
        <f>IF(ISNUMBER(G25),G25/Population!G25*10000,NA())</f>
        <v>269.90824713319722</v>
      </c>
      <c r="O25" s="902">
        <f>IF(ISNUMBER(H25),H25/Population!H25*10000,NA())</f>
        <v>289.15354271432443</v>
      </c>
      <c r="P25" s="903">
        <f t="shared" si="10"/>
        <v>289.15354271432443</v>
      </c>
      <c r="Q25" s="904">
        <f t="shared" si="0"/>
        <v>1</v>
      </c>
      <c r="R25" s="64"/>
      <c r="S25" s="905">
        <f>((IDACI!$C23*$Y$41)+$Z$41)/$X$2</f>
        <v>410.99831776763909</v>
      </c>
      <c r="T25" s="906">
        <f t="shared" si="1"/>
        <v>-121.84477505331466</v>
      </c>
      <c r="U25" s="89"/>
      <c r="V25" s="103"/>
      <c r="W25" s="115"/>
      <c r="X25" s="51" t="str">
        <f t="shared" si="2"/>
        <v>Surrey</v>
      </c>
      <c r="Y25" s="27">
        <f>IF(ISNUMBER($H25),IDACI!D23,0)</f>
        <v>228466</v>
      </c>
      <c r="Z25" s="27">
        <f>IF(ISNUMBER($H25),IDACI!E23,0)</f>
        <v>18962.678</v>
      </c>
      <c r="AA25" s="155">
        <f>IF(ISNUMBER(D25),Population!D25,"")</f>
        <v>258045</v>
      </c>
      <c r="AB25" s="155">
        <f>IF(ISNUMBER(E25),Population!E25,"")</f>
        <v>258519</v>
      </c>
      <c r="AC25" s="155">
        <f>IF(ISNUMBER(F25),Population!F25,"")</f>
        <v>259488</v>
      </c>
      <c r="AD25" s="155">
        <f>IF(ISNUMBER(G25),Population!G25,"")</f>
        <v>263534</v>
      </c>
      <c r="AE25" s="155">
        <f>IF(ISNUMBER(H25),Population!H25,"")</f>
        <v>265672</v>
      </c>
      <c r="AF25" s="65" t="s">
        <v>7</v>
      </c>
      <c r="AG25" s="70">
        <f t="shared" si="3"/>
        <v>289.15354271432443</v>
      </c>
      <c r="AH25" s="156">
        <f t="shared" si="4"/>
        <v>1</v>
      </c>
      <c r="AJ25" s="121"/>
      <c r="AK25" s="480">
        <f t="shared" si="5"/>
        <v>0.22408733419415425</v>
      </c>
      <c r="AL25" s="480">
        <f t="shared" si="6"/>
        <v>-0.11401994629842731</v>
      </c>
      <c r="AM25" s="480">
        <f t="shared" si="7"/>
        <v>-0.23011148392683189</v>
      </c>
      <c r="AN25" s="480">
        <f t="shared" si="8"/>
        <v>7.9994376493743843E-2</v>
      </c>
      <c r="AO25" s="480">
        <f t="shared" si="11"/>
        <v>-1.0012429884340278E-2</v>
      </c>
      <c r="AQ25" s="52"/>
      <c r="AR25" s="52"/>
      <c r="AS25" s="52"/>
      <c r="AT25" s="52"/>
      <c r="AU25" s="52"/>
      <c r="AV25" s="52"/>
      <c r="AW25" s="52"/>
      <c r="AX25" s="52"/>
      <c r="AY25" s="52"/>
    </row>
    <row r="26" spans="1:51" s="61" customFormat="1" ht="15.75" customHeight="1">
      <c r="A26" s="1103">
        <f>VLOOKUP(B26,ReportData!$AQ$4:$AR$25,2,FALSE)</f>
        <v>0</v>
      </c>
      <c r="B26" s="885" t="str">
        <f>ReportData!$K$19</f>
        <v>West Berkshire</v>
      </c>
      <c r="C26" s="896"/>
      <c r="D26" s="889">
        <f>IF(Year1_West_Berkshire Year1_Referrals="","",Year1_West_Berkshire Year1_Referrals)</f>
        <v>1654</v>
      </c>
      <c r="E26" s="889">
        <f>IF(Year2_West_Berkshire Year2_Referrals="","",Year2_West_Berkshire Year2_Referrals)</f>
        <v>1451</v>
      </c>
      <c r="F26" s="889">
        <f>IF(Year3_West_Berkshire Year3_Referrals="","",Year3_West_Berkshire Year3_Referrals)</f>
        <v>1990</v>
      </c>
      <c r="G26" s="889">
        <f>IF(Year4_West_Berkshire Year4_Referrals="","",Year4_West_Berkshire Year4_Referrals)</f>
        <v>2143</v>
      </c>
      <c r="H26" s="890">
        <f>IF(Year5_West_Berkshire Year5_Referrals="","",Year5_West_Berkshire Year5_Referrals)</f>
        <v>1603</v>
      </c>
      <c r="I26" s="900">
        <f t="shared" ref="I26:I31" si="12">AO26</f>
        <v>1.8409101270413952E-2</v>
      </c>
      <c r="J26" s="896"/>
      <c r="K26" s="901">
        <f>IF(ISNUMBER(D26),D26/Population!D26*10000,NA())</f>
        <v>471.74923704400896</v>
      </c>
      <c r="L26" s="901">
        <f>IF(ISNUMBER(E26),E26/Population!E26*10000,NA())</f>
        <v>416.66666666666663</v>
      </c>
      <c r="M26" s="901">
        <f>IF(ISNUMBER(F26),F26/Population!F26*10000,NA())</f>
        <v>575.22763405116348</v>
      </c>
      <c r="N26" s="901">
        <f>IF(ISNUMBER(G26),G26/Population!G26*10000,NA())</f>
        <v>613.82905591200733</v>
      </c>
      <c r="O26" s="902">
        <f>IF(ISNUMBER(H26),H26/Population!H26*10000,NA())</f>
        <v>453.78627034677987</v>
      </c>
      <c r="P26" s="903">
        <f t="shared" ref="P26:P31" si="13">IF(ISNUMBER(O26),O26,"")</f>
        <v>453.78627034677987</v>
      </c>
      <c r="Q26" s="904">
        <f t="shared" si="0"/>
        <v>7</v>
      </c>
      <c r="R26" s="64"/>
      <c r="S26" s="905">
        <f>((IDACI!$C24*$Y$41)+$Z$41)/$X$2</f>
        <v>416.53162353616301</v>
      </c>
      <c r="T26" s="906">
        <f t="shared" si="1"/>
        <v>37.254646810616862</v>
      </c>
      <c r="U26" s="89"/>
      <c r="V26" s="103"/>
      <c r="W26" s="115"/>
      <c r="X26" s="51" t="str">
        <f t="shared" si="2"/>
        <v>West Berkshire</v>
      </c>
      <c r="Y26" s="27">
        <f>IF(ISNUMBER($H26),IDACI!D24,0)</f>
        <v>31625</v>
      </c>
      <c r="Z26" s="27">
        <f>IF(ISNUMBER($H26),IDACI!E24,0)</f>
        <v>2751.375</v>
      </c>
      <c r="AA26" s="155">
        <f>IF(ISNUMBER(D26),Population!D26,"")</f>
        <v>35061</v>
      </c>
      <c r="AB26" s="155">
        <f>IF(ISNUMBER(E26),Population!E26,"")</f>
        <v>34824</v>
      </c>
      <c r="AC26" s="155">
        <f>IF(ISNUMBER(F26),Population!F26,"")</f>
        <v>34595</v>
      </c>
      <c r="AD26" s="155">
        <f>IF(ISNUMBER(G26),Population!G26,"")</f>
        <v>34912</v>
      </c>
      <c r="AE26" s="155">
        <f>IF(ISNUMBER(H26),Population!H26,"")</f>
        <v>35325</v>
      </c>
      <c r="AF26" s="65" t="s">
        <v>15</v>
      </c>
      <c r="AG26" s="70">
        <f t="shared" si="3"/>
        <v>453.78627034677987</v>
      </c>
      <c r="AH26" s="156">
        <f t="shared" si="4"/>
        <v>7</v>
      </c>
      <c r="AJ26" s="121"/>
      <c r="AK26" s="480">
        <f t="shared" si="5"/>
        <v>-0.12273276904474002</v>
      </c>
      <c r="AL26" s="480">
        <f t="shared" si="6"/>
        <v>0.37146795313576841</v>
      </c>
      <c r="AM26" s="480">
        <f t="shared" si="7"/>
        <v>7.6884422110552769E-2</v>
      </c>
      <c r="AN26" s="480">
        <f t="shared" si="8"/>
        <v>-0.25198320111992534</v>
      </c>
      <c r="AO26" s="480">
        <f t="shared" ref="AO26:AO31" si="14">IF(ISERROR(AVERAGE(AK26:AN26)),"",AVERAGE(AK26:AN26))</f>
        <v>1.8409101270413952E-2</v>
      </c>
      <c r="AQ26" s="52"/>
      <c r="AR26" s="52"/>
      <c r="AS26" s="52"/>
      <c r="AT26" s="52"/>
      <c r="AU26" s="52"/>
      <c r="AV26" s="52"/>
      <c r="AW26" s="52"/>
      <c r="AX26" s="52"/>
      <c r="AY26" s="52"/>
    </row>
    <row r="27" spans="1:51" s="61" customFormat="1" ht="15.75" customHeight="1">
      <c r="A27" s="1103">
        <f>VLOOKUP(B27,ReportData!$AQ$4:$AR$25,2,FALSE)</f>
        <v>0</v>
      </c>
      <c r="B27" s="885" t="str">
        <f>ReportData!$K$20</f>
        <v>West Sussex</v>
      </c>
      <c r="C27" s="896"/>
      <c r="D27" s="889">
        <f>IF(Year1_West_Sussex Year1_Referrals="","",Year1_West_Sussex Year1_Referrals)</f>
        <v>9993</v>
      </c>
      <c r="E27" s="889">
        <f>IF(Year2_West_Sussex Year2_Referrals="","",Year2_West_Sussex Year2_Referrals)</f>
        <v>9152</v>
      </c>
      <c r="F27" s="889">
        <f>IF(Year3_West_Sussex Year3_Referrals="","",Year3_West_Sussex Year3_Referrals)</f>
        <v>9370</v>
      </c>
      <c r="G27" s="889">
        <f>IF(Year4_West_Sussex Year4_Referrals="","",Year4_West_Sussex Year4_Referrals)</f>
        <v>9598</v>
      </c>
      <c r="H27" s="890">
        <f>IF(Year5_West_Sussex Year5_Referrals="","",Year5_West_Sussex Year5_Referrals)</f>
        <v>7931</v>
      </c>
      <c r="I27" s="900">
        <f t="shared" si="12"/>
        <v>-5.2422005166695644E-2</v>
      </c>
      <c r="J27" s="896"/>
      <c r="K27" s="901">
        <f>IF(ISNUMBER(D27),D27/Population!D27*10000,NA())</f>
        <v>575.79616366370692</v>
      </c>
      <c r="L27" s="901">
        <f>IF(ISNUMBER(E27),E27/Population!E27*10000,NA())</f>
        <v>526.36119466507159</v>
      </c>
      <c r="M27" s="901">
        <f>IF(ISNUMBER(F27),F27/Population!F27*10000,NA())</f>
        <v>535.93694590297082</v>
      </c>
      <c r="N27" s="901">
        <f>IF(ISNUMBER(G27),G27/Population!G27*10000,NA())</f>
        <v>541.19278935883483</v>
      </c>
      <c r="O27" s="902">
        <f>IF(ISNUMBER(H27),H27/Population!H27*10000,NA())</f>
        <v>443.05282445477297</v>
      </c>
      <c r="P27" s="903">
        <f t="shared" si="13"/>
        <v>443.05282445477297</v>
      </c>
      <c r="Q27" s="904">
        <f t="shared" si="0"/>
        <v>6</v>
      </c>
      <c r="R27" s="64"/>
      <c r="S27" s="905">
        <f>((IDACI!$C25*$Y$41)+$Z$41)/$X$2</f>
        <v>448.34813170517543</v>
      </c>
      <c r="T27" s="906">
        <f t="shared" si="1"/>
        <v>-5.295307250402459</v>
      </c>
      <c r="U27" s="89"/>
      <c r="V27" s="103"/>
      <c r="W27" s="115"/>
      <c r="X27" s="51" t="str">
        <f t="shared" si="2"/>
        <v>West Sussex</v>
      </c>
      <c r="Y27" s="27">
        <f>IF(ISNUMBER($H27),IDACI!D25,0)</f>
        <v>151487</v>
      </c>
      <c r="Z27" s="27">
        <f>IF(ISNUMBER($H27),IDACI!E25,0)</f>
        <v>16663.57</v>
      </c>
      <c r="AA27" s="155">
        <f>IF(ISNUMBER(D27),Population!D27,"")</f>
        <v>173551</v>
      </c>
      <c r="AB27" s="155">
        <f>IF(ISNUMBER(E27),Population!E27,"")</f>
        <v>173873</v>
      </c>
      <c r="AC27" s="155">
        <f>IF(ISNUMBER(F27),Population!F27,"")</f>
        <v>174834</v>
      </c>
      <c r="AD27" s="155">
        <f>IF(ISNUMBER(G27),Population!G27,"")</f>
        <v>177349</v>
      </c>
      <c r="AE27" s="155">
        <f>IF(ISNUMBER(H27),Population!H27,"")</f>
        <v>179008</v>
      </c>
      <c r="AF27" s="65" t="s">
        <v>5</v>
      </c>
      <c r="AG27" s="70">
        <f t="shared" si="3"/>
        <v>443.05282445477297</v>
      </c>
      <c r="AH27" s="156">
        <f t="shared" si="4"/>
        <v>6</v>
      </c>
      <c r="AJ27" s="121"/>
      <c r="AK27" s="480">
        <f t="shared" si="5"/>
        <v>-8.4158911237866507E-2</v>
      </c>
      <c r="AL27" s="480">
        <f t="shared" si="6"/>
        <v>2.3819930069930068E-2</v>
      </c>
      <c r="AM27" s="480">
        <f t="shared" si="7"/>
        <v>2.4332977588046957E-2</v>
      </c>
      <c r="AN27" s="480">
        <f t="shared" si="8"/>
        <v>-0.1736820170868931</v>
      </c>
      <c r="AO27" s="480">
        <f t="shared" si="14"/>
        <v>-5.2422005166695644E-2</v>
      </c>
      <c r="AQ27" s="52"/>
      <c r="AR27" s="52"/>
      <c r="AS27" s="52"/>
      <c r="AT27" s="52"/>
      <c r="AU27" s="52"/>
      <c r="AV27" s="52"/>
      <c r="AW27" s="52"/>
      <c r="AX27" s="52"/>
      <c r="AY27" s="52"/>
    </row>
    <row r="28" spans="1:51" s="61" customFormat="1" ht="15.75" customHeight="1">
      <c r="A28" s="1103">
        <f>VLOOKUP(B28,ReportData!$AQ$4:$AR$25,2,FALSE)</f>
        <v>0</v>
      </c>
      <c r="B28" s="885" t="str">
        <f>ReportData!$K$21</f>
        <v>Windsor &amp; Maidenhead</v>
      </c>
      <c r="C28" s="896"/>
      <c r="D28" s="889">
        <f>IF(Year1_Windsor_and_Maidenhead Year1_Referrals="","",Year1_Windsor_and_Maidenhead Year1_Referrals)</f>
        <v>1356</v>
      </c>
      <c r="E28" s="889">
        <f>IF(Year2_Windsor_and_Maidenhead Year2_Referrals="","",Year2_Windsor_and_Maidenhead Year2_Referrals)</f>
        <v>1481</v>
      </c>
      <c r="F28" s="889">
        <f>IF(Year3_Windsor_and_Maidenhead Year3_Referrals="","",Year3_Windsor_and_Maidenhead Year3_Referrals)</f>
        <v>1748</v>
      </c>
      <c r="G28" s="889">
        <f>IF(Year4_Windsor_and_Maidenhead Year4_Referrals="","",Year4_Windsor_and_Maidenhead Year4_Referrals)</f>
        <v>1969</v>
      </c>
      <c r="H28" s="890">
        <f>IF(Year5_Windsor_and_Maidenhead Year5_Referrals="","",Year5_Windsor_and_Maidenhead Year5_Referrals)</f>
        <v>1813</v>
      </c>
      <c r="I28" s="900">
        <f t="shared" si="12"/>
        <v>7.9917163609317832E-2</v>
      </c>
      <c r="J28" s="896"/>
      <c r="K28" s="901">
        <f>IF(ISNUMBER(D28),D28/Population!D28*10000,NA())</f>
        <v>395.63517535157848</v>
      </c>
      <c r="L28" s="901">
        <f>IF(ISNUMBER(E28),E28/Population!E28*10000,NA())</f>
        <v>434.52747704134026</v>
      </c>
      <c r="M28" s="901">
        <f>IF(ISNUMBER(F28),F28/Population!F28*10000,NA())</f>
        <v>515.99952768921946</v>
      </c>
      <c r="N28" s="901">
        <f>IF(ISNUMBER(G28),G28/Population!G28*10000,NA())</f>
        <v>577.19930818163164</v>
      </c>
      <c r="O28" s="902">
        <f>IF(ISNUMBER(H28),H28/Population!H28*10000,NA())</f>
        <v>528.86438551967558</v>
      </c>
      <c r="P28" s="903">
        <f t="shared" si="13"/>
        <v>528.86438551967558</v>
      </c>
      <c r="Q28" s="904">
        <f t="shared" si="0"/>
        <v>10</v>
      </c>
      <c r="R28" s="64"/>
      <c r="S28" s="905">
        <f>((IDACI!$C26*$Y$41)+$Z$41)/$X$2</f>
        <v>388.86509469354348</v>
      </c>
      <c r="T28" s="906">
        <f t="shared" si="1"/>
        <v>139.9992908261321</v>
      </c>
      <c r="U28" s="89"/>
      <c r="V28" s="103"/>
      <c r="W28" s="115"/>
      <c r="X28" s="51" t="str">
        <f t="shared" si="2"/>
        <v>Windsor &amp; Maidenhead</v>
      </c>
      <c r="Y28" s="27">
        <f>IF(ISNUMBER($H28),IDACI!D26,0)</f>
        <v>29792</v>
      </c>
      <c r="Z28" s="27">
        <f>IF(ISNUMBER($H28),IDACI!E26,0)</f>
        <v>1996.0640000000001</v>
      </c>
      <c r="AA28" s="155">
        <f>IF(ISNUMBER(D28),Population!D28,"")</f>
        <v>34274</v>
      </c>
      <c r="AB28" s="155">
        <f>IF(ISNUMBER(E28),Population!E28,"")</f>
        <v>34083</v>
      </c>
      <c r="AC28" s="155">
        <f>IF(ISNUMBER(F28),Population!F28,"")</f>
        <v>33876</v>
      </c>
      <c r="AD28" s="155">
        <f>IF(ISNUMBER(G28),Population!G28,"")</f>
        <v>34113</v>
      </c>
      <c r="AE28" s="155">
        <f>IF(ISNUMBER(H28),Population!H28,"")</f>
        <v>34281</v>
      </c>
      <c r="AF28" s="65" t="s">
        <v>27</v>
      </c>
      <c r="AG28" s="70">
        <f t="shared" si="3"/>
        <v>528.86438551967558</v>
      </c>
      <c r="AH28" s="156">
        <f t="shared" si="4"/>
        <v>10</v>
      </c>
      <c r="AJ28" s="121"/>
      <c r="AK28" s="480">
        <f t="shared" si="5"/>
        <v>9.2182890855457222E-2</v>
      </c>
      <c r="AL28" s="480">
        <f t="shared" si="6"/>
        <v>0.18028359216745443</v>
      </c>
      <c r="AM28" s="480">
        <f t="shared" si="7"/>
        <v>0.12643020594965676</v>
      </c>
      <c r="AN28" s="480">
        <f t="shared" si="8"/>
        <v>-7.9228034535297101E-2</v>
      </c>
      <c r="AO28" s="480">
        <f t="shared" si="14"/>
        <v>7.9917163609317832E-2</v>
      </c>
      <c r="AQ28" s="52"/>
      <c r="AR28" s="52"/>
      <c r="AS28" s="52"/>
      <c r="AT28" s="52"/>
      <c r="AU28" s="52"/>
      <c r="AV28" s="52"/>
      <c r="AW28" s="52"/>
      <c r="AX28" s="52"/>
      <c r="AY28" s="52"/>
    </row>
    <row r="29" spans="1:51" s="61" customFormat="1" ht="15.75" customHeight="1">
      <c r="A29" s="1103">
        <f>VLOOKUP(B29,ReportData!$AQ$4:$AR$25,2,FALSE)</f>
        <v>0</v>
      </c>
      <c r="B29" s="885" t="str">
        <f>ReportData!$K$22</f>
        <v>Wokingham</v>
      </c>
      <c r="C29" s="896"/>
      <c r="D29" s="889">
        <f>IF(Year1_Wokingham Year1_Referrals="","",Year1_Wokingham Year1_Referrals)</f>
        <v>1774</v>
      </c>
      <c r="E29" s="889">
        <f>IF(Year2_Wokingham Year2_Referrals="","",Year2_Wokingham Year2_Referrals)</f>
        <v>1348</v>
      </c>
      <c r="F29" s="889">
        <f>IF(Year3_Wokingham Year3_Referrals="","",Year3_Wokingham Year3_Referrals)</f>
        <v>1529</v>
      </c>
      <c r="G29" s="889">
        <f>IF(Year4_Wokingham Year4_Referrals="","",Year4_Wokingham Year4_Referrals)</f>
        <v>1607</v>
      </c>
      <c r="H29" s="890">
        <f>IF(Year5_Wokingham Year5_Referrals="","",Year5_Wokingham Year5_Referrals)</f>
        <v>1548</v>
      </c>
      <c r="I29" s="900">
        <f t="shared" si="12"/>
        <v>-2.289073264934282E-2</v>
      </c>
      <c r="J29" s="896"/>
      <c r="K29" s="901">
        <f>IF(ISNUMBER(D29),D29/Population!D29*10000,NA())</f>
        <v>446.04244191893793</v>
      </c>
      <c r="L29" s="901">
        <f>IF(ISNUMBER(E29),E29/Population!E29*10000,NA())</f>
        <v>333.0368613499358</v>
      </c>
      <c r="M29" s="901">
        <f>IF(ISNUMBER(F29),F29/Population!F29*10000,NA())</f>
        <v>371.75715431933673</v>
      </c>
      <c r="N29" s="901">
        <f>IF(ISNUMBER(G29),G29/Population!G29*10000,NA())</f>
        <v>377.93979303857009</v>
      </c>
      <c r="O29" s="902">
        <f>IF(ISNUMBER(H29),H29/Population!H29*10000,NA())</f>
        <v>357.39022025211244</v>
      </c>
      <c r="P29" s="903">
        <f t="shared" si="13"/>
        <v>357.39022025211244</v>
      </c>
      <c r="Q29" s="904">
        <f t="shared" si="0"/>
        <v>3</v>
      </c>
      <c r="R29" s="64"/>
      <c r="S29" s="905">
        <f>((IDACI!$C27*$Y$41)+$Z$41)/$X$2</f>
        <v>373.64850383010275</v>
      </c>
      <c r="T29" s="906">
        <f t="shared" si="1"/>
        <v>-16.258283577990312</v>
      </c>
      <c r="U29" s="89"/>
      <c r="V29" s="103"/>
      <c r="W29" s="115"/>
      <c r="X29" s="51" t="str">
        <f t="shared" si="2"/>
        <v>Wokingham</v>
      </c>
      <c r="Y29" s="27">
        <f>IF(ISNUMBER($H29),IDACI!D27,0)</f>
        <v>33327</v>
      </c>
      <c r="Z29" s="27">
        <f>IF(ISNUMBER($H29),IDACI!E27,0)</f>
        <v>1866.3120000000004</v>
      </c>
      <c r="AA29" s="155">
        <f>IF(ISNUMBER(D29),Population!D29,"")</f>
        <v>39772</v>
      </c>
      <c r="AB29" s="155">
        <f>IF(ISNUMBER(E29),Population!E29,"")</f>
        <v>40476</v>
      </c>
      <c r="AC29" s="155">
        <f>IF(ISNUMBER(F29),Population!F29,"")</f>
        <v>41129</v>
      </c>
      <c r="AD29" s="155">
        <f>IF(ISNUMBER(G29),Population!G29,"")</f>
        <v>42520</v>
      </c>
      <c r="AE29" s="155">
        <f>IF(ISNUMBER(H29),Population!H29,"")</f>
        <v>43314</v>
      </c>
      <c r="AF29" s="65" t="s">
        <v>16</v>
      </c>
      <c r="AG29" s="70">
        <f t="shared" si="3"/>
        <v>357.39022025211244</v>
      </c>
      <c r="AH29" s="156">
        <f t="shared" si="4"/>
        <v>3</v>
      </c>
      <c r="AJ29" s="121"/>
      <c r="AK29" s="480">
        <f t="shared" si="5"/>
        <v>-0.24013528748590757</v>
      </c>
      <c r="AL29" s="480">
        <f t="shared" si="6"/>
        <v>0.13427299703264095</v>
      </c>
      <c r="AM29" s="480">
        <f t="shared" si="7"/>
        <v>5.1013734466971876E-2</v>
      </c>
      <c r="AN29" s="480">
        <f t="shared" si="8"/>
        <v>-3.6714374611076538E-2</v>
      </c>
      <c r="AO29" s="480">
        <f t="shared" si="14"/>
        <v>-2.289073264934282E-2</v>
      </c>
      <c r="AQ29" s="52"/>
      <c r="AR29" s="52"/>
      <c r="AS29" s="52"/>
      <c r="AT29" s="52"/>
      <c r="AU29" s="52"/>
      <c r="AV29" s="52"/>
      <c r="AW29" s="52"/>
      <c r="AX29" s="52"/>
      <c r="AY29" s="52"/>
    </row>
    <row r="30" spans="1:51" s="61" customFormat="1" ht="15.75" customHeight="1">
      <c r="A30" s="1103"/>
      <c r="B30" s="886" t="str">
        <f>ReportData!$K$23</f>
        <v>South East</v>
      </c>
      <c r="C30" s="896"/>
      <c r="D30" s="892">
        <f>IF(Year1_South_East Year1_Referrals="","",Year1_South_East Year1_Referrals)</f>
        <v>114443</v>
      </c>
      <c r="E30" s="892">
        <f>IF(Year2_South_East Year2_Referrals="","",Year2_South_East Year2_Referrals)</f>
        <v>111141</v>
      </c>
      <c r="F30" s="892">
        <f>IF(Year3_South_East Year3_Referrals="","",Year3_South_East Year3_Referrals)</f>
        <v>124010</v>
      </c>
      <c r="G30" s="892">
        <f>IF(Year4_South_East Year4_Referrals="","",Year4_South_East Year4_Referrals)</f>
        <v>126750</v>
      </c>
      <c r="H30" s="1084">
        <f>IF(Year5_South_East Year5_Referrals="","",Year5_South_East Year5_Referrals)</f>
        <v>121230</v>
      </c>
      <c r="I30" s="907">
        <f t="shared" si="12"/>
        <v>4.8196949284268195E-2</v>
      </c>
      <c r="J30" s="896"/>
      <c r="K30" s="908">
        <f>IF(ISNUMBER(D30),D30/AA30*10000,NA())</f>
        <v>593.67239832900441</v>
      </c>
      <c r="L30" s="908">
        <f>IF(ISNUMBER(E30),E30/AB30*10000,NA())</f>
        <v>575.64207546260968</v>
      </c>
      <c r="M30" s="908">
        <f>IF(ISNUMBER(F30),F30/AC30*10000,NA())</f>
        <v>640.64811829956773</v>
      </c>
      <c r="N30" s="908">
        <f>IF(ISNUMBER(G30),G30/AD30*10000,NA())</f>
        <v>644.96825534942013</v>
      </c>
      <c r="O30" s="909">
        <f>IF(ISNUMBER(H30),H30/AE30*10000,NA())</f>
        <v>711.71431389401596</v>
      </c>
      <c r="P30" s="903">
        <f t="shared" si="13"/>
        <v>711.71431389401596</v>
      </c>
      <c r="Q30" s="910" t="str">
        <f t="shared" si="0"/>
        <v>--</v>
      </c>
      <c r="R30" s="64"/>
      <c r="S30" s="911">
        <f>(((Z30/Y30*100)*$Y$41)+$Z$41)/$X$2</f>
        <v>472.70271475889604</v>
      </c>
      <c r="T30" s="912">
        <f t="shared" si="1"/>
        <v>239.01159913511992</v>
      </c>
      <c r="U30" s="89"/>
      <c r="V30" s="103"/>
      <c r="W30" s="115"/>
      <c r="X30" s="51" t="str">
        <f t="shared" si="2"/>
        <v>South East</v>
      </c>
      <c r="Y30" s="27">
        <f>SUM(Y24:Y25,Y11:Y23,Y26:Y29)</f>
        <v>1455495</v>
      </c>
      <c r="Z30" s="27">
        <f>SUM(Z24:Z25,Z11:Z23,Z26:Z29)</f>
        <v>185729.61900000004</v>
      </c>
      <c r="AA30" s="155">
        <f>SUM(AA11:AA23,AA24:AA25,AA26:AA29)</f>
        <v>1927713</v>
      </c>
      <c r="AB30" s="155">
        <f>SUM(AB11:AB23,AB24:AB25,AB26:AB29)</f>
        <v>1930731</v>
      </c>
      <c r="AC30" s="155">
        <f>SUM(AC11:AC23,AC24:AC25,AC26:AC29)</f>
        <v>1935696</v>
      </c>
      <c r="AD30" s="155">
        <f>SUM(AD11:AD23,AD24:AD25,AD26:AD29)</f>
        <v>1965213</v>
      </c>
      <c r="AE30" s="155">
        <f>SUM(AE11:AE23,AE24:AE25,AE26:AE29)</f>
        <v>1703352</v>
      </c>
      <c r="AH30" s="141"/>
      <c r="AJ30" s="121"/>
      <c r="AK30" s="480">
        <f>IF(ISERROR((L30-K30)/K30),"x",(L30-K30)/K30)</f>
        <v>-3.0370828957425423E-2</v>
      </c>
      <c r="AL30" s="480">
        <f>IF(ISERROR((M30-L30)/L30),"x",(M30-L30)/L30)</f>
        <v>0.11292788628196872</v>
      </c>
      <c r="AM30" s="480">
        <f>IF(ISERROR((N30-M30)/M30),"x",(N30-M30)/M30)</f>
        <v>6.7433852163947278E-3</v>
      </c>
      <c r="AN30" s="480">
        <f>IF(ISERROR((O30-N30)/N30),"x",(O30-N30)/N30)</f>
        <v>0.10348735459613476</v>
      </c>
      <c r="AO30" s="480">
        <f t="shared" si="14"/>
        <v>4.8196949284268195E-2</v>
      </c>
      <c r="AQ30" s="52"/>
      <c r="AR30" s="52"/>
      <c r="AS30" s="52"/>
      <c r="AT30" s="52"/>
      <c r="AU30" s="52"/>
      <c r="AV30" s="52"/>
      <c r="AW30" s="52"/>
      <c r="AX30" s="52"/>
      <c r="AY30" s="52"/>
    </row>
    <row r="31" spans="1:51" s="61" customFormat="1" ht="15.75" customHeight="1">
      <c r="A31" s="1103"/>
      <c r="B31" s="887" t="str">
        <f>ReportData!$K$24</f>
        <v>England</v>
      </c>
      <c r="C31" s="896"/>
      <c r="D31" s="894">
        <f>IF(Year1_England Year1_Referrals="","",Year1_England Year1_Referrals)</f>
        <v>642980</v>
      </c>
      <c r="E31" s="894">
        <f>IF(Year2_England Year2_Referrals="","",Year2_England Year2_Referrals)</f>
        <v>597760</v>
      </c>
      <c r="F31" s="894">
        <f>IF(Year3_England Year3_Referrals="","",Year3_England Year3_Referrals)</f>
        <v>650270</v>
      </c>
      <c r="G31" s="894">
        <f>IF(Year4_England Year4_Referrals="","",Year4_England Year4_Referrals)</f>
        <v>640430</v>
      </c>
      <c r="H31" s="1085">
        <f>IF(Year5_England Year5_Referrals="","",Year5_England Year5_Referrals)</f>
        <v>621880</v>
      </c>
      <c r="I31" s="913">
        <f t="shared" si="12"/>
        <v>-6.6453129399903568E-3</v>
      </c>
      <c r="J31" s="896"/>
      <c r="K31" s="914">
        <f>IF(ISNUMBER(D31),D31/Population!D31*10000,NA())</f>
        <v>545.33771788318927</v>
      </c>
      <c r="L31" s="914">
        <f>IF(ISNUMBER(E31),E31/Population!E31*10000,NA())</f>
        <v>507.10081971232279</v>
      </c>
      <c r="M31" s="914">
        <f>IF(ISNUMBER(F31),F31/Population!F31*10000,NA())</f>
        <v>552.81539092728838</v>
      </c>
      <c r="N31" s="914">
        <f>IF(ISNUMBER(G31),G31/Population!G31*10000,NA())</f>
        <v>538.81993025452493</v>
      </c>
      <c r="O31" s="1086">
        <f>IF(ISNUMBER(H31),H31/Population!H31*10000,NA())</f>
        <v>518.29181392633802</v>
      </c>
      <c r="P31" s="903">
        <f t="shared" si="13"/>
        <v>518.29181392633802</v>
      </c>
      <c r="Q31" s="916" t="str">
        <f t="shared" si="0"/>
        <v>--</v>
      </c>
      <c r="R31" s="64"/>
      <c r="S31" s="917">
        <f>((IDACI!$C29*$Y$41)+$Z$41)/$X$2</f>
        <v>532.51543118550842</v>
      </c>
      <c r="T31" s="1087">
        <f t="shared" si="1"/>
        <v>-14.223617259170396</v>
      </c>
      <c r="U31" s="89"/>
      <c r="V31" s="103"/>
      <c r="W31" s="115"/>
      <c r="X31" s="51" t="str">
        <f t="shared" si="2"/>
        <v>England</v>
      </c>
      <c r="Y31" s="27">
        <f>IF(H31&gt;0,IDACI!D29,0)</f>
        <v>10405050</v>
      </c>
      <c r="Z31" s="27">
        <f>IF(H31&gt;0,IDACI!E29,0)</f>
        <v>1777641.7570000088</v>
      </c>
      <c r="AA31" s="155">
        <f>IF(ISNUMBER(D31),Population!D31,"")</f>
        <v>11790492</v>
      </c>
      <c r="AB31" s="155">
        <f>IF(ISNUMBER(E31),Population!E31,"")</f>
        <v>11787794</v>
      </c>
      <c r="AC31" s="155">
        <f>IF(ISNUMBER(F31),Population!F31,"")</f>
        <v>11762878</v>
      </c>
      <c r="AD31" s="155">
        <f>IF(ISNUMBER(G31),Population!G31,"")</f>
        <v>11885789</v>
      </c>
      <c r="AE31" s="155">
        <f>IF(ISNUMBER(H31),Population!H31,"")</f>
        <v>11998646</v>
      </c>
      <c r="AH31" s="141"/>
      <c r="AJ31" s="121"/>
      <c r="AK31" s="480">
        <f>IF(ISERROR((E31-D31)/D31),"x",(E31-D31)/D31)</f>
        <v>-7.0328781610625529E-2</v>
      </c>
      <c r="AL31" s="480">
        <f>IF(ISERROR((F31-E31)/E31),"x",(F31-E31)/E31)</f>
        <v>8.7844619914346889E-2</v>
      </c>
      <c r="AM31" s="480">
        <f>IF(ISERROR((G31-F31)/F31),"x",(G31-F31)/F31)</f>
        <v>-1.5132175865409754E-2</v>
      </c>
      <c r="AN31" s="480">
        <f>IF(ISERROR((H31-G31)/G31),"x",(H31-G31)/G31)</f>
        <v>-2.8964914198273035E-2</v>
      </c>
      <c r="AO31" s="480">
        <f t="shared" si="14"/>
        <v>-6.6453129399903568E-3</v>
      </c>
      <c r="AQ31" s="52"/>
      <c r="AR31" s="52"/>
      <c r="AS31" s="52"/>
      <c r="AT31" s="52"/>
      <c r="AU31" s="52"/>
      <c r="AV31" s="52"/>
      <c r="AW31" s="52"/>
      <c r="AX31" s="52"/>
      <c r="AY31" s="52"/>
    </row>
    <row r="32" spans="1:51" s="56" customFormat="1" ht="12.75" customHeight="1">
      <c r="A32" s="1185"/>
      <c r="B32" s="90"/>
      <c r="C32" s="44"/>
      <c r="D32" s="44"/>
      <c r="E32" s="44"/>
      <c r="F32" s="44"/>
      <c r="G32" s="44"/>
      <c r="H32" s="44"/>
      <c r="I32" s="44"/>
      <c r="J32" s="44"/>
      <c r="K32" s="44"/>
      <c r="L32" s="44"/>
      <c r="M32" s="44"/>
      <c r="N32" s="44"/>
      <c r="O32" s="44"/>
      <c r="P32" s="44"/>
      <c r="Q32" s="1091" t="s">
        <v>100</v>
      </c>
      <c r="S32" s="44"/>
      <c r="T32" s="44"/>
      <c r="U32" s="86"/>
      <c r="V32" s="121"/>
      <c r="W32" s="114"/>
      <c r="X32" s="55"/>
      <c r="Y32" s="52">
        <f>Z30/Y30*100</f>
        <v>12.760581039440194</v>
      </c>
      <c r="Z32" s="52"/>
      <c r="AA32" s="52"/>
      <c r="AB32" s="52"/>
      <c r="AC32" s="52"/>
      <c r="AD32" s="52"/>
      <c r="AE32" s="52"/>
      <c r="AF32" s="52"/>
      <c r="AG32" s="52"/>
      <c r="AI32" s="52"/>
      <c r="AJ32" s="122"/>
      <c r="AQ32" s="52"/>
      <c r="AR32" s="52"/>
      <c r="AS32" s="52"/>
      <c r="AT32" s="52"/>
      <c r="AU32" s="52"/>
      <c r="AV32" s="52"/>
      <c r="AW32" s="52"/>
      <c r="AX32" s="52"/>
      <c r="AY32" s="52"/>
    </row>
    <row r="33" spans="1:53"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Y33" s="141"/>
      <c r="AI33" s="52"/>
      <c r="AJ33" s="119"/>
      <c r="AK33" s="52"/>
      <c r="AL33" s="52"/>
      <c r="AM33" s="52"/>
      <c r="AN33" s="52"/>
      <c r="AO33" s="52"/>
      <c r="AP33" s="52"/>
      <c r="AQ33" s="52"/>
    </row>
    <row r="34" spans="1:53" s="56" customFormat="1" ht="15" customHeight="1">
      <c r="A34" s="1565"/>
      <c r="B34" s="1751"/>
      <c r="C34" s="1751"/>
      <c r="D34" s="1751"/>
      <c r="E34" s="1751"/>
      <c r="F34" s="1751"/>
      <c r="G34" s="1751"/>
      <c r="H34" s="1751"/>
      <c r="I34" s="1751"/>
      <c r="J34" s="1751"/>
      <c r="K34" s="1751"/>
      <c r="L34" s="1751"/>
      <c r="M34" s="1751"/>
      <c r="N34" s="1751"/>
      <c r="O34" s="1751"/>
      <c r="P34" s="1751"/>
      <c r="Q34" s="1751"/>
      <c r="R34" s="1751"/>
      <c r="S34" s="1751"/>
      <c r="T34" s="1751"/>
      <c r="U34" s="1752"/>
      <c r="V34" s="185"/>
      <c r="W34" s="114"/>
      <c r="Y34" s="141"/>
      <c r="AJ34" s="122"/>
      <c r="AL34" s="56">
        <f>COLUMNS($B$4:K$4)</f>
        <v>10</v>
      </c>
      <c r="AM34" s="56">
        <f>COLUMNS($B$4:L$4)</f>
        <v>11</v>
      </c>
      <c r="AN34" s="56">
        <f>COLUMNS($B$4:M$4)</f>
        <v>12</v>
      </c>
      <c r="AO34" s="56">
        <f>COLUMNS($B$4:N$4)</f>
        <v>13</v>
      </c>
      <c r="AP34" s="56">
        <f>COLUMNS($B$4:O$4)</f>
        <v>14</v>
      </c>
      <c r="AQ34" s="56">
        <f>COLUMNS($B$4:R$4)</f>
        <v>17</v>
      </c>
      <c r="AR34" s="56">
        <f>COLUMNS($B$4:D$4)</f>
        <v>3</v>
      </c>
      <c r="AS34" s="56">
        <f>COLUMNS($B$4:E$4)</f>
        <v>4</v>
      </c>
      <c r="AT34" s="56">
        <f>COLUMNS($B$4:F$4)</f>
        <v>5</v>
      </c>
      <c r="AU34" s="56">
        <f>COLUMNS($B$4:G$4)</f>
        <v>6</v>
      </c>
      <c r="AV34" s="56">
        <f>COLUMNS($B$4:H$4)</f>
        <v>7</v>
      </c>
      <c r="AW34" s="56">
        <f>COLUMNS($B$4:D$4)</f>
        <v>3</v>
      </c>
      <c r="AX34" s="56">
        <f>COLUMNS($B$4:E$4)</f>
        <v>4</v>
      </c>
      <c r="AY34" s="56">
        <f>COLUMNS($B$4:F$4)</f>
        <v>5</v>
      </c>
      <c r="AZ34" s="56">
        <f>COLUMNS($B$4:G$4)</f>
        <v>6</v>
      </c>
      <c r="BA34" s="56">
        <f>COLUMNS($B$4:H$4)</f>
        <v>7</v>
      </c>
    </row>
    <row r="35" spans="1:53" s="56" customFormat="1" ht="11.25" customHeight="1">
      <c r="A35" s="1739"/>
      <c r="B35" s="1740"/>
      <c r="C35" s="1740"/>
      <c r="D35" s="1740"/>
      <c r="E35" s="1740"/>
      <c r="F35" s="1740"/>
      <c r="G35" s="1740"/>
      <c r="H35" s="1740"/>
      <c r="I35" s="1741"/>
      <c r="J35" s="1740"/>
      <c r="K35" s="1740"/>
      <c r="L35" s="1740"/>
      <c r="M35" s="1740"/>
      <c r="N35" s="1740"/>
      <c r="O35" s="1740"/>
      <c r="P35" s="1742"/>
      <c r="Q35" s="1740"/>
      <c r="R35" s="1740"/>
      <c r="S35" s="1741"/>
      <c r="T35" s="1740"/>
      <c r="U35" s="1743"/>
      <c r="V35" s="185"/>
      <c r="W35" s="114"/>
      <c r="Y35" s="141"/>
      <c r="AI35" s="52"/>
      <c r="AJ35" s="121"/>
      <c r="AK35" s="61"/>
      <c r="AL35" s="1738" t="s">
        <v>85</v>
      </c>
      <c r="AM35" s="1738"/>
      <c r="AN35" s="1738"/>
      <c r="AO35" s="1738"/>
      <c r="AP35" s="1738"/>
      <c r="AQ35" s="1738" t="s">
        <v>862</v>
      </c>
      <c r="AR35" s="1737" t="s">
        <v>81</v>
      </c>
      <c r="AS35" s="1737"/>
      <c r="AT35" s="1737"/>
      <c r="AU35" s="1737"/>
      <c r="AV35" s="1737"/>
      <c r="AW35" s="1737" t="s">
        <v>205</v>
      </c>
      <c r="AX35" s="1737"/>
      <c r="AY35" s="1737"/>
      <c r="AZ35" s="1737"/>
      <c r="BA35" s="1737"/>
    </row>
    <row r="36" spans="1:53" s="56" customFormat="1" ht="12.75">
      <c r="A36" s="81"/>
      <c r="B36" s="82"/>
      <c r="C36" s="82"/>
      <c r="D36" s="82"/>
      <c r="E36" s="82"/>
      <c r="F36" s="82"/>
      <c r="G36" s="82"/>
      <c r="H36" s="82"/>
      <c r="I36" s="82"/>
      <c r="J36" s="83"/>
      <c r="K36" s="82"/>
      <c r="L36" s="82"/>
      <c r="M36" s="82"/>
      <c r="N36" s="82"/>
      <c r="O36" s="82"/>
      <c r="P36" s="82"/>
      <c r="Q36" s="82"/>
      <c r="R36" s="82"/>
      <c r="S36" s="82"/>
      <c r="T36" s="82"/>
      <c r="U36" s="84"/>
      <c r="V36" s="102"/>
      <c r="W36" s="1093" t="s">
        <v>94</v>
      </c>
      <c r="X36" s="147"/>
      <c r="Y36" s="147"/>
      <c r="Z36" s="147"/>
      <c r="AA36" s="147"/>
      <c r="AB36" s="147"/>
      <c r="AI36" s="52"/>
      <c r="AJ36" s="121"/>
      <c r="AK36" s="61"/>
      <c r="AL36" s="109" t="str">
        <f>ReportData!$D$27</f>
        <v>2019/20</v>
      </c>
      <c r="AM36" s="109" t="str">
        <f>ReportData!$E$27</f>
        <v>2020/21</v>
      </c>
      <c r="AN36" s="109" t="str">
        <f>ReportData!$F$27</f>
        <v>2021/22</v>
      </c>
      <c r="AO36" s="109" t="str">
        <f>ReportData!$G$27</f>
        <v>2022/23</v>
      </c>
      <c r="AP36" s="109" t="str">
        <f>ReportData!$H$27</f>
        <v>2023/24</v>
      </c>
      <c r="AQ36" s="1738"/>
      <c r="AR36" s="109" t="str">
        <f>ReportData!$D$27</f>
        <v>2019/20</v>
      </c>
      <c r="AS36" s="109" t="str">
        <f>ReportData!$E$27</f>
        <v>2020/21</v>
      </c>
      <c r="AT36" s="109" t="str">
        <f>ReportData!$F$27</f>
        <v>2021/22</v>
      </c>
      <c r="AU36" s="109" t="str">
        <f>ReportData!$G$27</f>
        <v>2022/23</v>
      </c>
      <c r="AV36" s="109" t="str">
        <f>ReportData!$H$27</f>
        <v>2023/24</v>
      </c>
      <c r="AW36" s="109" t="str">
        <f>ReportData!$D$27</f>
        <v>2019/20</v>
      </c>
      <c r="AX36" s="109" t="str">
        <f>ReportData!$E$27</f>
        <v>2020/21</v>
      </c>
      <c r="AY36" s="109" t="str">
        <f>ReportData!$F$27</f>
        <v>2021/22</v>
      </c>
      <c r="AZ36" s="109" t="str">
        <f>ReportData!$G$27</f>
        <v>2022/23</v>
      </c>
      <c r="BA36" s="109" t="str">
        <f>ReportData!$H$27</f>
        <v>2023/24</v>
      </c>
    </row>
    <row r="37" spans="1:53" s="56" customFormat="1" ht="3.75" customHeight="1">
      <c r="A37" s="85"/>
      <c r="B37" s="5"/>
      <c r="C37" s="5"/>
      <c r="D37" s="5"/>
      <c r="E37" s="5"/>
      <c r="F37" s="5"/>
      <c r="G37" s="5"/>
      <c r="H37" s="5"/>
      <c r="I37" s="5"/>
      <c r="J37" s="1"/>
      <c r="K37" s="5"/>
      <c r="L37" s="5"/>
      <c r="M37" s="5"/>
      <c r="N37" s="5"/>
      <c r="O37" s="5"/>
      <c r="P37" s="5"/>
      <c r="Q37" s="5"/>
      <c r="R37" s="5"/>
      <c r="S37" s="5"/>
      <c r="T37" s="5"/>
      <c r="U37" s="86"/>
      <c r="V37" s="102"/>
      <c r="W37" s="218"/>
      <c r="AC37" s="748" t="s">
        <v>762</v>
      </c>
      <c r="AJ37" s="121"/>
      <c r="AK37" s="61"/>
      <c r="AL37" s="109" t="e">
        <f>ReportData!$D$28</f>
        <v>#N/A</v>
      </c>
      <c r="AM37" s="109" t="e">
        <f>ReportData!$E$28</f>
        <v>#N/A</v>
      </c>
      <c r="AN37" s="109" t="e">
        <f>ReportData!$F$28</f>
        <v>#N/A</v>
      </c>
      <c r="AO37" s="109" t="e">
        <f>ReportData!$G$28</f>
        <v>#N/A</v>
      </c>
      <c r="AP37" s="109" t="e">
        <f>ReportData!$H$28</f>
        <v>#N/A</v>
      </c>
      <c r="AQ37" s="1738"/>
      <c r="AR37" s="109" t="e">
        <f>ReportData!$D$28</f>
        <v>#N/A</v>
      </c>
      <c r="AS37" s="109" t="e">
        <f>ReportData!$E$28</f>
        <v>#N/A</v>
      </c>
      <c r="AT37" s="109" t="e">
        <f>ReportData!$F$28</f>
        <v>#N/A</v>
      </c>
      <c r="AU37" s="109" t="e">
        <f>ReportData!$G$28</f>
        <v>#N/A</v>
      </c>
      <c r="AV37" s="109" t="e">
        <f>ReportData!$H$28</f>
        <v>#N/A</v>
      </c>
      <c r="AW37" s="109" t="e">
        <f>ReportData!$D$28</f>
        <v>#N/A</v>
      </c>
      <c r="AX37" s="109" t="e">
        <f>ReportData!$E$28</f>
        <v>#N/A</v>
      </c>
      <c r="AY37" s="109" t="e">
        <f>ReportData!$F$28</f>
        <v>#N/A</v>
      </c>
      <c r="AZ37" s="109" t="e">
        <f>ReportData!$G$28</f>
        <v>#N/A</v>
      </c>
      <c r="BA37" s="109" t="e">
        <f>ReportData!$H$28</f>
        <v>#N/A</v>
      </c>
    </row>
    <row r="38" spans="1:53" s="56" customFormat="1" ht="14.25" customHeight="1">
      <c r="A38" s="87"/>
      <c r="B38" s="5"/>
      <c r="C38" s="5"/>
      <c r="D38" s="5"/>
      <c r="E38" s="5"/>
      <c r="F38" s="5"/>
      <c r="G38" s="5"/>
      <c r="H38" s="5"/>
      <c r="I38" s="5"/>
      <c r="J38" s="1"/>
      <c r="K38" s="5"/>
      <c r="L38" s="5"/>
      <c r="M38" s="5"/>
      <c r="N38" s="5"/>
      <c r="O38" s="5"/>
      <c r="P38" s="5"/>
      <c r="Q38" s="5"/>
      <c r="R38" s="5"/>
      <c r="S38" s="5"/>
      <c r="T38" s="5"/>
      <c r="U38" s="86"/>
      <c r="V38" s="102"/>
      <c r="W38" s="218"/>
      <c r="X38" s="26" t="s">
        <v>69</v>
      </c>
      <c r="Y38" s="26" t="s">
        <v>67</v>
      </c>
      <c r="Z38" s="26" t="s">
        <v>68</v>
      </c>
      <c r="AA38" s="693">
        <v>3</v>
      </c>
      <c r="AB38" s="165">
        <f>(AA38*Y39)+Z39</f>
        <v>233.41635772988593</v>
      </c>
      <c r="AC38" s="747">
        <f>ROUND(ChartLabels!$X3,3)</f>
        <v>0.27200000000000002</v>
      </c>
      <c r="AI38" s="361" t="b">
        <v>1</v>
      </c>
      <c r="AJ38" s="1092" t="s">
        <v>0</v>
      </c>
      <c r="AK38" s="61" t="str">
        <f t="shared" ref="AK38:AK58" si="15">IF(AI38=TRUE,B11,"")</f>
        <v>Bracknell Forest</v>
      </c>
      <c r="AL38" s="110">
        <f t="shared" ref="AL38:AP47" si="16">VLOOKUP($AK38,$B$11:$O$31,AL$34,FALSE)</f>
        <v>622.38991867536083</v>
      </c>
      <c r="AM38" s="110">
        <f t="shared" si="16"/>
        <v>604.84163223889243</v>
      </c>
      <c r="AN38" s="110">
        <f t="shared" si="16"/>
        <v>545.23236171512781</v>
      </c>
      <c r="AO38" s="110">
        <f t="shared" si="16"/>
        <v>628.30921284857038</v>
      </c>
      <c r="AP38" s="110">
        <f t="shared" si="16"/>
        <v>527.45488183753969</v>
      </c>
      <c r="AQ38" s="111">
        <f>VLOOKUP($AK38,IDACI!$B$8:$C$29,2,FALSE)</f>
        <v>8.9</v>
      </c>
      <c r="AR38" s="237">
        <f t="shared" ref="AR38:AV47" si="17">VLOOKUP($AK38,$B$143:$H$163,AR$34,FALSE)</f>
        <v>0.81871689228958211</v>
      </c>
      <c r="AS38" s="237">
        <f t="shared" si="17"/>
        <v>0.92810065907729178</v>
      </c>
      <c r="AT38" s="237">
        <f t="shared" si="17"/>
        <v>0.89255108767303892</v>
      </c>
      <c r="AU38" s="237">
        <f t="shared" si="17"/>
        <v>0.8735955056179775</v>
      </c>
      <c r="AV38" s="237">
        <f t="shared" si="17"/>
        <v>0.88749172733289217</v>
      </c>
      <c r="AW38" s="237" t="e">
        <f t="shared" ref="AW38:BA47" si="18">VLOOKUP($AK38,$B$109:$H$129,AW$34,FALSE)</f>
        <v>#N/A</v>
      </c>
      <c r="AX38" s="237" t="e">
        <f t="shared" si="18"/>
        <v>#N/A</v>
      </c>
      <c r="AY38" s="237" t="e">
        <f t="shared" si="18"/>
        <v>#N/A</v>
      </c>
      <c r="AZ38" s="237" t="e">
        <f t="shared" si="18"/>
        <v>#N/A</v>
      </c>
      <c r="BA38" s="237" t="e">
        <f t="shared" si="18"/>
        <v>#N/A</v>
      </c>
    </row>
    <row r="39" spans="1:53" s="56" customFormat="1" ht="14.25" customHeight="1">
      <c r="A39" s="87"/>
      <c r="B39" s="5"/>
      <c r="C39" s="5"/>
      <c r="D39" s="5"/>
      <c r="E39" s="5"/>
      <c r="F39" s="5"/>
      <c r="G39" s="5"/>
      <c r="H39" s="5"/>
      <c r="I39" s="5"/>
      <c r="J39" s="1"/>
      <c r="K39" s="5"/>
      <c r="L39" s="5"/>
      <c r="M39" s="5"/>
      <c r="N39" s="5"/>
      <c r="O39" s="5"/>
      <c r="P39" s="5"/>
      <c r="Q39" s="5"/>
      <c r="R39" s="5"/>
      <c r="S39" s="5"/>
      <c r="T39" s="5"/>
      <c r="U39" s="86"/>
      <c r="V39" s="102"/>
      <c r="W39" s="218"/>
      <c r="X39" s="161" t="str">
        <f>"Y= "&amp;Y39&amp;"x + "&amp;Z39</f>
        <v>Y= 38.0948179527665x + 119.131903871587</v>
      </c>
      <c r="Y39" s="433">
        <f>ChartLabels!$V3</f>
        <v>38.094817952766462</v>
      </c>
      <c r="Z39" s="433">
        <f>ChartLabels!$W3</f>
        <v>119.13190387158653</v>
      </c>
      <c r="AA39" s="164">
        <v>22</v>
      </c>
      <c r="AB39" s="165">
        <f>(AA39*Y39)+Z39</f>
        <v>957.21789883244878</v>
      </c>
      <c r="AC39" s="747" t="str">
        <f>AC37&amp;" = "&amp;AC38</f>
        <v>r² = 0.272</v>
      </c>
      <c r="AI39" s="361" t="b">
        <v>1</v>
      </c>
      <c r="AJ39" s="1092" t="s">
        <v>28</v>
      </c>
      <c r="AK39" s="61" t="str">
        <f t="shared" si="15"/>
        <v>Brighton &amp; Hove</v>
      </c>
      <c r="AL39" s="110">
        <f t="shared" si="16"/>
        <v>737.7794306020412</v>
      </c>
      <c r="AM39" s="110">
        <f t="shared" si="16"/>
        <v>612.75123008923356</v>
      </c>
      <c r="AN39" s="110">
        <f t="shared" si="16"/>
        <v>680.31830238726786</v>
      </c>
      <c r="AO39" s="110">
        <f t="shared" si="16"/>
        <v>689.22358930844291</v>
      </c>
      <c r="AP39" s="110">
        <f t="shared" si="16"/>
        <v>697.93854197917119</v>
      </c>
      <c r="AQ39" s="111">
        <f>VLOOKUP($AK39,IDACI!$B$8:$C$29,2,FALSE)</f>
        <v>15.299999999999999</v>
      </c>
      <c r="AR39" s="237">
        <f t="shared" si="17"/>
        <v>0.86782413889666765</v>
      </c>
      <c r="AS39" s="237">
        <f t="shared" si="17"/>
        <v>0.85233072473630489</v>
      </c>
      <c r="AT39" s="237">
        <f t="shared" si="17"/>
        <v>0.9522769806612601</v>
      </c>
      <c r="AU39" s="237">
        <f t="shared" si="17"/>
        <v>0.81040320098491847</v>
      </c>
      <c r="AV39" s="237">
        <f t="shared" si="17"/>
        <v>0.88271415412956711</v>
      </c>
      <c r="AW39" s="237" t="e">
        <f t="shared" si="18"/>
        <v>#N/A</v>
      </c>
      <c r="AX39" s="237" t="e">
        <f t="shared" si="18"/>
        <v>#N/A</v>
      </c>
      <c r="AY39" s="237" t="e">
        <f t="shared" si="18"/>
        <v>#N/A</v>
      </c>
      <c r="AZ39" s="237" t="e">
        <f t="shared" si="18"/>
        <v>#N/A</v>
      </c>
      <c r="BA39" s="237" t="e">
        <f t="shared" si="18"/>
        <v>#N/A</v>
      </c>
    </row>
    <row r="40" spans="1:53" ht="14.25" customHeight="1">
      <c r="A40" s="87"/>
      <c r="B40" s="5"/>
      <c r="C40" s="5"/>
      <c r="D40" s="5"/>
      <c r="E40" s="5"/>
      <c r="F40" s="5"/>
      <c r="G40" s="5"/>
      <c r="H40" s="5"/>
      <c r="I40" s="5"/>
      <c r="J40" s="1"/>
      <c r="K40" s="5"/>
      <c r="L40" s="5"/>
      <c r="M40" s="5"/>
      <c r="N40" s="5"/>
      <c r="O40" s="5"/>
      <c r="P40" s="5"/>
      <c r="Q40" s="5"/>
      <c r="R40" s="5"/>
      <c r="S40" s="5"/>
      <c r="T40" s="5"/>
      <c r="U40" s="86"/>
      <c r="V40" s="102"/>
      <c r="W40" s="218"/>
      <c r="X40" s="26" t="str">
        <f>"National Trend "&amp;ReportData!$B$8</f>
        <v>National Trend 2024</v>
      </c>
      <c r="Y40" s="26" t="s">
        <v>67</v>
      </c>
      <c r="Z40" s="26" t="s">
        <v>68</v>
      </c>
      <c r="AA40" s="693">
        <v>3</v>
      </c>
      <c r="AB40" s="165">
        <f>((AA40*Y41)+Z41)/$X$2</f>
        <v>337.68201633469738</v>
      </c>
      <c r="AC40" s="747" t="str">
        <f>$AC$37&amp;" = "&amp;AC41</f>
        <v>r² = 0.171</v>
      </c>
      <c r="AI40" s="361" t="b">
        <v>1</v>
      </c>
      <c r="AJ40" s="1092" t="s">
        <v>8</v>
      </c>
      <c r="AK40" s="61" t="str">
        <f t="shared" si="15"/>
        <v>Buckinghamshire</v>
      </c>
      <c r="AL40" s="110">
        <f t="shared" si="16"/>
        <v>685.05039422943082</v>
      </c>
      <c r="AM40" s="110">
        <f t="shared" si="16"/>
        <v>879.54610392260906</v>
      </c>
      <c r="AN40" s="110">
        <f t="shared" si="16"/>
        <v>1059.5903165735567</v>
      </c>
      <c r="AO40" s="110">
        <f t="shared" si="16"/>
        <v>965.49259421038005</v>
      </c>
      <c r="AP40" s="110">
        <f t="shared" si="16"/>
        <v>518.74373119358074</v>
      </c>
      <c r="AQ40" s="111">
        <f>VLOOKUP($AK40,IDACI!$B$8:$C$29,2,FALSE)</f>
        <v>8.5</v>
      </c>
      <c r="AR40" s="237">
        <f t="shared" si="17"/>
        <v>0.85502569618740287</v>
      </c>
      <c r="AS40" s="237">
        <f t="shared" si="17"/>
        <v>0.71774642658251342</v>
      </c>
      <c r="AT40" s="237">
        <f t="shared" si="17"/>
        <v>0.55635363337663335</v>
      </c>
      <c r="AU40" s="237">
        <f t="shared" si="17"/>
        <v>0.50991198486468703</v>
      </c>
      <c r="AV40" s="237">
        <f t="shared" si="17"/>
        <v>0.9830815709969789</v>
      </c>
      <c r="AW40" s="237" t="e">
        <f t="shared" si="18"/>
        <v>#N/A</v>
      </c>
      <c r="AX40" s="237" t="e">
        <f t="shared" si="18"/>
        <v>#N/A</v>
      </c>
      <c r="AY40" s="237" t="e">
        <f t="shared" si="18"/>
        <v>#N/A</v>
      </c>
      <c r="AZ40" s="237" t="e">
        <f t="shared" si="18"/>
        <v>#N/A</v>
      </c>
      <c r="BA40" s="237" t="e">
        <f t="shared" si="18"/>
        <v>#N/A</v>
      </c>
    </row>
    <row r="41" spans="1:53" ht="14.25" customHeight="1">
      <c r="A41" s="87"/>
      <c r="B41" s="5"/>
      <c r="C41" s="5"/>
      <c r="D41" s="5"/>
      <c r="E41" s="5"/>
      <c r="F41" s="5"/>
      <c r="G41" s="5"/>
      <c r="H41" s="5"/>
      <c r="I41" s="5"/>
      <c r="J41" s="1"/>
      <c r="K41" s="10"/>
      <c r="L41" s="10"/>
      <c r="M41" s="10"/>
      <c r="N41" s="10"/>
      <c r="O41" s="5"/>
      <c r="P41" s="5"/>
      <c r="Q41" s="5"/>
      <c r="R41" s="5"/>
      <c r="S41" s="5"/>
      <c r="T41" s="5"/>
      <c r="U41" s="86"/>
      <c r="V41" s="102"/>
      <c r="W41" s="218"/>
      <c r="X41" s="51" t="str">
        <f>"Y= "&amp;Y41&amp;"x + "&amp;Z41</f>
        <v>Y= 13.8332644213098x + 296.182223070768</v>
      </c>
      <c r="Y41" s="695">
        <f>ReportData!$D$7</f>
        <v>13.833264421309758</v>
      </c>
      <c r="Z41" s="695">
        <f>ReportData!$D$8</f>
        <v>296.18222307076809</v>
      </c>
      <c r="AA41" s="164">
        <v>22</v>
      </c>
      <c r="AB41" s="165">
        <f>((AA41*Y41)+Z41)/$X$2</f>
        <v>600.51404033958283</v>
      </c>
      <c r="AC41" s="694">
        <f>ROUND(ReportData!$D$9,3)</f>
        <v>0.17100000000000001</v>
      </c>
      <c r="AI41" s="361" t="b">
        <v>1</v>
      </c>
      <c r="AJ41" s="1092" t="s">
        <v>4</v>
      </c>
      <c r="AK41" s="61" t="str">
        <f t="shared" si="15"/>
        <v>East Sussex</v>
      </c>
      <c r="AL41" s="110">
        <f t="shared" si="16"/>
        <v>404.8736409479115</v>
      </c>
      <c r="AM41" s="110">
        <f t="shared" si="16"/>
        <v>373.36822269305497</v>
      </c>
      <c r="AN41" s="110">
        <f t="shared" si="16"/>
        <v>420.95352053276315</v>
      </c>
      <c r="AO41" s="110">
        <f t="shared" si="16"/>
        <v>380.64672988086556</v>
      </c>
      <c r="AP41" s="110">
        <f t="shared" si="16"/>
        <v>416.09559291932896</v>
      </c>
      <c r="AQ41" s="111">
        <f>VLOOKUP($AK41,IDACI!$B$8:$C$29,2,FALSE)</f>
        <v>16.100000000000001</v>
      </c>
      <c r="AR41" s="237">
        <f t="shared" si="17"/>
        <v>0.98656107511399083</v>
      </c>
      <c r="AS41" s="237">
        <f t="shared" si="17"/>
        <v>0.98012552301255229</v>
      </c>
      <c r="AT41" s="237">
        <f t="shared" si="17"/>
        <v>0.97763280521901208</v>
      </c>
      <c r="AU41" s="237">
        <f t="shared" si="17"/>
        <v>0.95784363822176799</v>
      </c>
      <c r="AV41" s="237">
        <f t="shared" si="17"/>
        <v>0.9610299234516354</v>
      </c>
      <c r="AW41" s="237" t="e">
        <f t="shared" si="18"/>
        <v>#N/A</v>
      </c>
      <c r="AX41" s="237" t="e">
        <f t="shared" si="18"/>
        <v>#N/A</v>
      </c>
      <c r="AY41" s="237" t="e">
        <f t="shared" si="18"/>
        <v>#N/A</v>
      </c>
      <c r="AZ41" s="237" t="e">
        <f t="shared" si="18"/>
        <v>#N/A</v>
      </c>
      <c r="BA41" s="237" t="e">
        <f t="shared" si="18"/>
        <v>#N/A</v>
      </c>
    </row>
    <row r="42" spans="1:53" ht="14.25" customHeight="1">
      <c r="A42" s="87"/>
      <c r="B42" s="76"/>
      <c r="C42" s="76"/>
      <c r="D42" s="77"/>
      <c r="E42" s="77"/>
      <c r="F42" s="77"/>
      <c r="G42" s="77"/>
      <c r="H42" s="77"/>
      <c r="I42" s="77"/>
      <c r="J42" s="1"/>
      <c r="K42" s="5"/>
      <c r="L42" s="5"/>
      <c r="M42" s="5"/>
      <c r="N42" s="5"/>
      <c r="O42" s="5"/>
      <c r="P42" s="5"/>
      <c r="Q42" s="5"/>
      <c r="R42" s="5"/>
      <c r="S42" s="5"/>
      <c r="T42" s="5"/>
      <c r="U42" s="86"/>
      <c r="V42" s="102"/>
      <c r="W42" s="218"/>
      <c r="X42" s="52"/>
      <c r="Y42" s="52"/>
      <c r="Z42" s="52"/>
      <c r="AA42" s="52"/>
      <c r="AB42" s="52"/>
      <c r="AI42" s="361" t="b">
        <v>1</v>
      </c>
      <c r="AJ42" s="1092" t="s">
        <v>6</v>
      </c>
      <c r="AK42" s="61" t="str">
        <f t="shared" si="15"/>
        <v>Hampshire</v>
      </c>
      <c r="AL42" s="110">
        <f t="shared" si="16"/>
        <v>723.84907281449125</v>
      </c>
      <c r="AM42" s="110">
        <f t="shared" si="16"/>
        <v>763.2497960468877</v>
      </c>
      <c r="AN42" s="110">
        <f t="shared" si="16"/>
        <v>974.40990428186478</v>
      </c>
      <c r="AO42" s="110">
        <f t="shared" si="16"/>
        <v>1075.9576276866312</v>
      </c>
      <c r="AP42" s="110" t="e">
        <f t="shared" si="16"/>
        <v>#N/A</v>
      </c>
      <c r="AQ42" s="111">
        <f>VLOOKUP($AK42,IDACI!$B$8:$C$29,2,FALSE)</f>
        <v>10.100000000000001</v>
      </c>
      <c r="AR42" s="237">
        <f t="shared" si="17"/>
        <v>0.86641938674579622</v>
      </c>
      <c r="AS42" s="237">
        <f t="shared" si="17"/>
        <v>0.85509352585439036</v>
      </c>
      <c r="AT42" s="237">
        <f t="shared" si="17"/>
        <v>0.89018776941623434</v>
      </c>
      <c r="AU42" s="237">
        <f t="shared" si="17"/>
        <v>0.84519047931283198</v>
      </c>
      <c r="AV42" s="237" t="e">
        <f t="shared" si="17"/>
        <v>#N/A</v>
      </c>
      <c r="AW42" s="237" t="e">
        <f t="shared" si="18"/>
        <v>#N/A</v>
      </c>
      <c r="AX42" s="237" t="e">
        <f t="shared" si="18"/>
        <v>#N/A</v>
      </c>
      <c r="AY42" s="237" t="e">
        <f t="shared" si="18"/>
        <v>#N/A</v>
      </c>
      <c r="AZ42" s="237" t="e">
        <f t="shared" si="18"/>
        <v>#N/A</v>
      </c>
      <c r="BA42" s="237" t="e">
        <f t="shared" si="18"/>
        <v>#N/A</v>
      </c>
    </row>
    <row r="43" spans="1:53" ht="14.25" customHeight="1">
      <c r="A43" s="87"/>
      <c r="B43" s="77"/>
      <c r="C43" s="77"/>
      <c r="D43" s="77"/>
      <c r="E43" s="77"/>
      <c r="F43" s="77"/>
      <c r="G43" s="77"/>
      <c r="H43" s="77"/>
      <c r="I43" s="77"/>
      <c r="J43" s="1"/>
      <c r="K43" s="5"/>
      <c r="L43" s="5"/>
      <c r="M43" s="5"/>
      <c r="N43" s="5"/>
      <c r="O43" s="5"/>
      <c r="P43" s="5"/>
      <c r="Q43" s="5"/>
      <c r="R43" s="5"/>
      <c r="S43" s="5"/>
      <c r="T43" s="5"/>
      <c r="U43" s="86"/>
      <c r="V43" s="102"/>
      <c r="W43" s="218"/>
      <c r="AI43" s="361" t="b">
        <v>1</v>
      </c>
      <c r="AJ43" s="1092" t="s">
        <v>1</v>
      </c>
      <c r="AK43" s="61" t="str">
        <f t="shared" si="15"/>
        <v>Isle of Wight</v>
      </c>
      <c r="AL43" s="110">
        <f t="shared" si="16"/>
        <v>1098.7202172750092</v>
      </c>
      <c r="AM43" s="110">
        <f t="shared" si="16"/>
        <v>1096.1828227021597</v>
      </c>
      <c r="AN43" s="110">
        <f t="shared" si="16"/>
        <v>1423.6757488576748</v>
      </c>
      <c r="AO43" s="110">
        <f t="shared" si="16"/>
        <v>1644.4293362794253</v>
      </c>
      <c r="AP43" s="110">
        <f t="shared" si="16"/>
        <v>1867.906817987883</v>
      </c>
      <c r="AQ43" s="111">
        <f>VLOOKUP($AK43,IDACI!$B$8:$C$29,2,FALSE)</f>
        <v>18</v>
      </c>
      <c r="AR43" s="237">
        <f t="shared" si="17"/>
        <v>0.82958801498127344</v>
      </c>
      <c r="AS43" s="237">
        <f t="shared" si="17"/>
        <v>0.89652539137075216</v>
      </c>
      <c r="AT43" s="237">
        <f t="shared" si="17"/>
        <v>0.93997028231797919</v>
      </c>
      <c r="AU43" s="237">
        <f t="shared" si="17"/>
        <v>0.79767441860465116</v>
      </c>
      <c r="AV43" s="237">
        <f t="shared" si="17"/>
        <v>0.74486066697121978</v>
      </c>
      <c r="AW43" s="237" t="e">
        <f t="shared" si="18"/>
        <v>#N/A</v>
      </c>
      <c r="AX43" s="237" t="e">
        <f t="shared" si="18"/>
        <v>#N/A</v>
      </c>
      <c r="AY43" s="237" t="e">
        <f t="shared" si="18"/>
        <v>#N/A</v>
      </c>
      <c r="AZ43" s="237" t="e">
        <f t="shared" si="18"/>
        <v>#N/A</v>
      </c>
      <c r="BA43" s="237" t="e">
        <f t="shared" si="18"/>
        <v>#N/A</v>
      </c>
    </row>
    <row r="44" spans="1:53" ht="14.25" customHeight="1">
      <c r="A44" s="87"/>
      <c r="B44" s="77"/>
      <c r="C44" s="77"/>
      <c r="D44" s="77"/>
      <c r="E44" s="77"/>
      <c r="F44" s="77"/>
      <c r="G44" s="77"/>
      <c r="H44" s="77"/>
      <c r="I44" s="77"/>
      <c r="J44" s="1"/>
      <c r="K44" s="5"/>
      <c r="L44" s="5"/>
      <c r="M44" s="5"/>
      <c r="N44" s="5"/>
      <c r="O44" s="5"/>
      <c r="P44" s="5"/>
      <c r="Q44" s="5"/>
      <c r="R44" s="5"/>
      <c r="S44" s="5"/>
      <c r="T44" s="5"/>
      <c r="U44" s="86"/>
      <c r="V44" s="102"/>
      <c r="W44" s="218"/>
      <c r="AC44" s="157"/>
      <c r="AI44" s="361" t="b">
        <v>1</v>
      </c>
      <c r="AJ44" s="1092" t="s">
        <v>9</v>
      </c>
      <c r="AK44" s="61" t="str">
        <f t="shared" si="15"/>
        <v>Kent</v>
      </c>
      <c r="AL44" s="110">
        <f t="shared" si="16"/>
        <v>670.45055693384893</v>
      </c>
      <c r="AM44" s="110">
        <f t="shared" si="16"/>
        <v>566.40671722125205</v>
      </c>
      <c r="AN44" s="110">
        <f t="shared" si="16"/>
        <v>580.11074381640685</v>
      </c>
      <c r="AO44" s="110">
        <f t="shared" si="16"/>
        <v>658.84418622286773</v>
      </c>
      <c r="AP44" s="110">
        <f t="shared" si="16"/>
        <v>692.18446769174238</v>
      </c>
      <c r="AQ44" s="111">
        <f>VLOOKUP($AK44,IDACI!$B$8:$C$29,2,FALSE)</f>
        <v>15.8</v>
      </c>
      <c r="AR44" s="237">
        <f t="shared" si="17"/>
        <v>0.99525705848136381</v>
      </c>
      <c r="AS44" s="237">
        <f t="shared" si="17"/>
        <v>0.99714919227114351</v>
      </c>
      <c r="AT44" s="237">
        <f t="shared" si="17"/>
        <v>0.99307585782428065</v>
      </c>
      <c r="AU44" s="237">
        <f t="shared" si="17"/>
        <v>0.99114613307361987</v>
      </c>
      <c r="AV44" s="237">
        <f t="shared" si="17"/>
        <v>0.99448384554767533</v>
      </c>
      <c r="AW44" s="237" t="e">
        <f t="shared" si="18"/>
        <v>#N/A</v>
      </c>
      <c r="AX44" s="237" t="e">
        <f t="shared" si="18"/>
        <v>#N/A</v>
      </c>
      <c r="AY44" s="237" t="e">
        <f t="shared" si="18"/>
        <v>#N/A</v>
      </c>
      <c r="AZ44" s="237" t="e">
        <f t="shared" si="18"/>
        <v>#N/A</v>
      </c>
      <c r="BA44" s="237" t="e">
        <f t="shared" si="18"/>
        <v>#N/A</v>
      </c>
    </row>
    <row r="45" spans="1:53" ht="14.25" customHeight="1">
      <c r="A45" s="87"/>
      <c r="B45" s="40"/>
      <c r="C45" s="40"/>
      <c r="D45" s="40"/>
      <c r="E45" s="40"/>
      <c r="F45" s="40"/>
      <c r="G45" s="40"/>
      <c r="H45" s="40"/>
      <c r="I45" s="40"/>
      <c r="J45" s="1"/>
      <c r="K45" s="5"/>
      <c r="L45" s="5"/>
      <c r="M45" s="5"/>
      <c r="N45" s="5"/>
      <c r="O45" s="5"/>
      <c r="P45" s="5"/>
      <c r="Q45" s="5"/>
      <c r="R45" s="5"/>
      <c r="S45" s="5"/>
      <c r="T45" s="5"/>
      <c r="U45" s="86"/>
      <c r="V45" s="102"/>
      <c r="W45" s="218"/>
      <c r="AC45" s="52"/>
      <c r="AI45" s="361" t="b">
        <v>1</v>
      </c>
      <c r="AJ45" s="1092" t="s">
        <v>2</v>
      </c>
      <c r="AK45" s="61" t="str">
        <f t="shared" si="15"/>
        <v>Medway</v>
      </c>
      <c r="AL45" s="110">
        <f t="shared" si="16"/>
        <v>770.19726096243244</v>
      </c>
      <c r="AM45" s="110">
        <f t="shared" si="16"/>
        <v>511.65711594316667</v>
      </c>
      <c r="AN45" s="110">
        <f t="shared" si="16"/>
        <v>750.58370026795376</v>
      </c>
      <c r="AO45" s="110">
        <f t="shared" si="16"/>
        <v>725.73319990762832</v>
      </c>
      <c r="AP45" s="110">
        <f t="shared" si="16"/>
        <v>792.20837644518429</v>
      </c>
      <c r="AQ45" s="111">
        <f>VLOOKUP($AK45,IDACI!$B$8:$C$29,2,FALSE)</f>
        <v>18.899999999999999</v>
      </c>
      <c r="AR45" s="237">
        <f t="shared" si="17"/>
        <v>0.95207993474714514</v>
      </c>
      <c r="AS45" s="237">
        <f t="shared" si="17"/>
        <v>0.88646824179196071</v>
      </c>
      <c r="AT45" s="237">
        <f t="shared" si="17"/>
        <v>0.88475991649269314</v>
      </c>
      <c r="AU45" s="237">
        <f t="shared" si="17"/>
        <v>0.89456936784047514</v>
      </c>
      <c r="AV45" s="237">
        <f t="shared" si="17"/>
        <v>0.88756388415672915</v>
      </c>
      <c r="AW45" s="237" t="e">
        <f t="shared" si="18"/>
        <v>#N/A</v>
      </c>
      <c r="AX45" s="237" t="e">
        <f t="shared" si="18"/>
        <v>#N/A</v>
      </c>
      <c r="AY45" s="237" t="e">
        <f t="shared" si="18"/>
        <v>#N/A</v>
      </c>
      <c r="AZ45" s="237" t="e">
        <f t="shared" si="18"/>
        <v>#N/A</v>
      </c>
      <c r="BA45" s="237" t="e">
        <f t="shared" si="18"/>
        <v>#N/A</v>
      </c>
    </row>
    <row r="46" spans="1:53" ht="14.25" customHeight="1">
      <c r="A46" s="87"/>
      <c r="B46" s="40"/>
      <c r="C46" s="40"/>
      <c r="D46" s="49"/>
      <c r="E46" s="50"/>
      <c r="F46" s="49"/>
      <c r="G46" s="50"/>
      <c r="H46" s="50"/>
      <c r="I46" s="50"/>
      <c r="J46" s="1"/>
      <c r="K46" s="5"/>
      <c r="L46" s="5"/>
      <c r="M46" s="5"/>
      <c r="N46" s="5"/>
      <c r="O46" s="5"/>
      <c r="P46" s="5"/>
      <c r="Q46" s="5"/>
      <c r="R46" s="5"/>
      <c r="S46" s="5"/>
      <c r="T46" s="5"/>
      <c r="U46" s="86"/>
      <c r="V46" s="102"/>
      <c r="W46" s="218"/>
      <c r="AI46" s="361" t="b">
        <v>1</v>
      </c>
      <c r="AJ46" s="1092" t="s">
        <v>10</v>
      </c>
      <c r="AK46" s="61" t="str">
        <f t="shared" si="15"/>
        <v>Milton Keynes</v>
      </c>
      <c r="AL46" s="110">
        <f t="shared" si="16"/>
        <v>447.58607703115717</v>
      </c>
      <c r="AM46" s="110">
        <f t="shared" si="16"/>
        <v>412.09147969122</v>
      </c>
      <c r="AN46" s="110">
        <f t="shared" si="16"/>
        <v>474.18683133481727</v>
      </c>
      <c r="AO46" s="110">
        <f t="shared" si="16"/>
        <v>484.27788191850715</v>
      </c>
      <c r="AP46" s="110">
        <f t="shared" si="16"/>
        <v>427.76488042089647</v>
      </c>
      <c r="AQ46" s="111">
        <f>VLOOKUP($AK46,IDACI!$B$8:$C$29,2,FALSE)</f>
        <v>15</v>
      </c>
      <c r="AR46" s="237">
        <f t="shared" si="17"/>
        <v>0.90647249190938506</v>
      </c>
      <c r="AS46" s="237">
        <f t="shared" si="17"/>
        <v>0.92927170868347342</v>
      </c>
      <c r="AT46" s="237">
        <f t="shared" si="17"/>
        <v>0.90551181102362199</v>
      </c>
      <c r="AU46" s="237">
        <f t="shared" si="17"/>
        <v>0.9010477299185099</v>
      </c>
      <c r="AV46" s="237">
        <f t="shared" si="17"/>
        <v>0.92324983943481054</v>
      </c>
      <c r="AW46" s="237" t="e">
        <f t="shared" si="18"/>
        <v>#N/A</v>
      </c>
      <c r="AX46" s="237" t="e">
        <f t="shared" si="18"/>
        <v>#N/A</v>
      </c>
      <c r="AY46" s="237" t="e">
        <f t="shared" si="18"/>
        <v>#N/A</v>
      </c>
      <c r="AZ46" s="237" t="e">
        <f t="shared" si="18"/>
        <v>#N/A</v>
      </c>
      <c r="BA46" s="237" t="e">
        <f t="shared" si="18"/>
        <v>#N/A</v>
      </c>
    </row>
    <row r="47" spans="1:53" ht="14.25" customHeight="1">
      <c r="A47" s="87"/>
      <c r="B47" s="40"/>
      <c r="C47" s="40"/>
      <c r="D47" s="43"/>
      <c r="E47" s="43"/>
      <c r="F47" s="43"/>
      <c r="G47" s="43"/>
      <c r="H47" s="43"/>
      <c r="I47" s="43"/>
      <c r="J47" s="1"/>
      <c r="K47" s="5"/>
      <c r="L47" s="5"/>
      <c r="M47" s="5"/>
      <c r="N47" s="5"/>
      <c r="O47" s="5"/>
      <c r="P47" s="5"/>
      <c r="Q47" s="5"/>
      <c r="R47" s="5"/>
      <c r="S47" s="5"/>
      <c r="T47" s="5"/>
      <c r="U47" s="86"/>
      <c r="V47" s="102"/>
      <c r="W47" s="218"/>
      <c r="AI47" s="361" t="b">
        <v>1</v>
      </c>
      <c r="AJ47" s="1092" t="s">
        <v>11</v>
      </c>
      <c r="AK47" s="61" t="str">
        <f t="shared" si="15"/>
        <v>Oxfordshire</v>
      </c>
      <c r="AL47" s="110">
        <f t="shared" si="16"/>
        <v>519.42476926379049</v>
      </c>
      <c r="AM47" s="110">
        <f t="shared" si="16"/>
        <v>447.80641651574518</v>
      </c>
      <c r="AN47" s="110">
        <f t="shared" si="16"/>
        <v>458.1018565971724</v>
      </c>
      <c r="AO47" s="110">
        <f t="shared" si="16"/>
        <v>347.9383166820474</v>
      </c>
      <c r="AP47" s="110">
        <f t="shared" si="16"/>
        <v>330.93996918133831</v>
      </c>
      <c r="AQ47" s="111">
        <f>VLOOKUP($AK47,IDACI!$B$8:$C$29,2,FALSE)</f>
        <v>10.100000000000001</v>
      </c>
      <c r="AR47" s="237">
        <f t="shared" si="17"/>
        <v>0.92948547054118902</v>
      </c>
      <c r="AS47" s="237">
        <f t="shared" si="17"/>
        <v>0.88067045978779024</v>
      </c>
      <c r="AT47" s="237">
        <f t="shared" si="17"/>
        <v>0.96882458233890212</v>
      </c>
      <c r="AU47" s="237">
        <f t="shared" si="17"/>
        <v>0.95810109552181433</v>
      </c>
      <c r="AV47" s="237">
        <f t="shared" si="17"/>
        <v>0.96314642361799085</v>
      </c>
      <c r="AW47" s="237" t="e">
        <f t="shared" si="18"/>
        <v>#N/A</v>
      </c>
      <c r="AX47" s="237" t="e">
        <f t="shared" si="18"/>
        <v>#N/A</v>
      </c>
      <c r="AY47" s="237" t="e">
        <f t="shared" si="18"/>
        <v>#N/A</v>
      </c>
      <c r="AZ47" s="237" t="e">
        <f t="shared" si="18"/>
        <v>#N/A</v>
      </c>
      <c r="BA47" s="237" t="e">
        <f t="shared" si="18"/>
        <v>#N/A</v>
      </c>
    </row>
    <row r="48" spans="1:53" ht="14.25" customHeight="1">
      <c r="A48" s="87"/>
      <c r="B48" s="48"/>
      <c r="C48" s="48"/>
      <c r="D48" s="40"/>
      <c r="E48" s="40"/>
      <c r="F48" s="40"/>
      <c r="G48" s="40"/>
      <c r="H48" s="40"/>
      <c r="I48" s="40"/>
      <c r="J48" s="1"/>
      <c r="K48" s="5"/>
      <c r="L48" s="5"/>
      <c r="M48" s="5"/>
      <c r="N48" s="5"/>
      <c r="O48" s="5"/>
      <c r="P48" s="5"/>
      <c r="Q48" s="5"/>
      <c r="R48" s="5"/>
      <c r="S48" s="5"/>
      <c r="T48" s="5"/>
      <c r="U48" s="86"/>
      <c r="V48" s="102"/>
      <c r="W48" s="218"/>
      <c r="AI48" s="361" t="b">
        <v>1</v>
      </c>
      <c r="AJ48" s="1092" t="s">
        <v>12</v>
      </c>
      <c r="AK48" s="61" t="str">
        <f t="shared" si="15"/>
        <v>Portsmouth</v>
      </c>
      <c r="AL48" s="110">
        <f t="shared" ref="AL48:AP58" si="19">VLOOKUP($AK48,$B$11:$O$31,AL$34,FALSE)</f>
        <v>633.78773820569552</v>
      </c>
      <c r="AM48" s="110">
        <f t="shared" si="19"/>
        <v>676.46005016123252</v>
      </c>
      <c r="AN48" s="110">
        <f t="shared" si="19"/>
        <v>893.67143580958816</v>
      </c>
      <c r="AO48" s="110">
        <f t="shared" si="19"/>
        <v>691.88698621957917</v>
      </c>
      <c r="AP48" s="110">
        <f t="shared" si="19"/>
        <v>723.52093034249651</v>
      </c>
      <c r="AQ48" s="111">
        <f>VLOOKUP($AK48,IDACI!$B$8:$C$29,2,FALSE)</f>
        <v>20.200000000000003</v>
      </c>
      <c r="AR48" s="237">
        <f t="shared" ref="AR48:AV58" si="20">VLOOKUP($AK48,$B$143:$H$163,AR$34,FALSE)</f>
        <v>0.97822822822822819</v>
      </c>
      <c r="AS48" s="237">
        <f t="shared" si="20"/>
        <v>1</v>
      </c>
      <c r="AT48" s="237">
        <f t="shared" si="20"/>
        <v>1</v>
      </c>
      <c r="AU48" s="237">
        <f t="shared" si="20"/>
        <v>1</v>
      </c>
      <c r="AV48" s="237">
        <f t="shared" si="20"/>
        <v>1</v>
      </c>
      <c r="AW48" s="237" t="e">
        <f t="shared" ref="AW48:BA58" si="21">VLOOKUP($AK48,$B$109:$H$129,AW$34,FALSE)</f>
        <v>#N/A</v>
      </c>
      <c r="AX48" s="237" t="e">
        <f t="shared" si="21"/>
        <v>#N/A</v>
      </c>
      <c r="AY48" s="237" t="e">
        <f t="shared" si="21"/>
        <v>#N/A</v>
      </c>
      <c r="AZ48" s="237" t="e">
        <f t="shared" si="21"/>
        <v>#N/A</v>
      </c>
      <c r="BA48" s="237" t="e">
        <f t="shared" si="21"/>
        <v>#N/A</v>
      </c>
    </row>
    <row r="49" spans="1:54" ht="14.25" customHeight="1">
      <c r="A49" s="87"/>
      <c r="B49" s="48"/>
      <c r="C49" s="48"/>
      <c r="D49" s="40"/>
      <c r="E49" s="40"/>
      <c r="F49" s="40"/>
      <c r="G49" s="40"/>
      <c r="H49" s="40"/>
      <c r="I49" s="40"/>
      <c r="J49" s="1"/>
      <c r="K49" s="5"/>
      <c r="L49" s="5"/>
      <c r="M49" s="5"/>
      <c r="N49" s="5"/>
      <c r="O49" s="5"/>
      <c r="P49" s="5"/>
      <c r="Q49" s="5"/>
      <c r="R49" s="5"/>
      <c r="S49" s="5"/>
      <c r="T49" s="5"/>
      <c r="U49" s="86"/>
      <c r="V49" s="102"/>
      <c r="W49" s="218"/>
      <c r="AI49" s="361" t="b">
        <v>1</v>
      </c>
      <c r="AJ49" s="1092" t="s">
        <v>3</v>
      </c>
      <c r="AK49" s="61" t="str">
        <f t="shared" si="15"/>
        <v>Reading</v>
      </c>
      <c r="AL49" s="110">
        <f t="shared" si="19"/>
        <v>692.41155819605729</v>
      </c>
      <c r="AM49" s="110">
        <f t="shared" si="19"/>
        <v>612.91282356441536</v>
      </c>
      <c r="AN49" s="110">
        <f t="shared" si="19"/>
        <v>674.02432982881055</v>
      </c>
      <c r="AO49" s="110">
        <f t="shared" si="19"/>
        <v>763.01663982823402</v>
      </c>
      <c r="AP49" s="110">
        <f t="shared" si="19"/>
        <v>791.74246618682275</v>
      </c>
      <c r="AQ49" s="111">
        <f>VLOOKUP($AK49,IDACI!$B$8:$C$29,2,FALSE)</f>
        <v>16</v>
      </c>
      <c r="AR49" s="237">
        <f t="shared" si="20"/>
        <v>0.99063962558502339</v>
      </c>
      <c r="AS49" s="237">
        <f t="shared" si="20"/>
        <v>0.99161518093556933</v>
      </c>
      <c r="AT49" s="237">
        <f t="shared" si="20"/>
        <v>0.98979175173540224</v>
      </c>
      <c r="AU49" s="237">
        <f t="shared" si="20"/>
        <v>0.93703833978192053</v>
      </c>
      <c r="AV49" s="237">
        <f t="shared" si="20"/>
        <v>0.94105894105894106</v>
      </c>
      <c r="AW49" s="237" t="e">
        <f t="shared" si="21"/>
        <v>#N/A</v>
      </c>
      <c r="AX49" s="237" t="e">
        <f t="shared" si="21"/>
        <v>#N/A</v>
      </c>
      <c r="AY49" s="237" t="e">
        <f t="shared" si="21"/>
        <v>#N/A</v>
      </c>
      <c r="AZ49" s="237" t="e">
        <f t="shared" si="21"/>
        <v>#N/A</v>
      </c>
      <c r="BA49" s="237" t="e">
        <f t="shared" si="21"/>
        <v>#N/A</v>
      </c>
    </row>
    <row r="50" spans="1:54" ht="14.25" customHeight="1">
      <c r="A50" s="87"/>
      <c r="B50" s="48"/>
      <c r="C50" s="48"/>
      <c r="D50" s="40"/>
      <c r="E50" s="40"/>
      <c r="F50" s="40"/>
      <c r="G50" s="40"/>
      <c r="H50" s="40"/>
      <c r="I50" s="40"/>
      <c r="J50" s="1"/>
      <c r="K50" s="5"/>
      <c r="L50" s="5"/>
      <c r="M50" s="5"/>
      <c r="N50" s="5"/>
      <c r="O50" s="5"/>
      <c r="P50" s="5"/>
      <c r="Q50" s="5"/>
      <c r="R50" s="5"/>
      <c r="S50" s="5"/>
      <c r="T50" s="5"/>
      <c r="U50" s="86"/>
      <c r="V50" s="102"/>
      <c r="W50" s="218"/>
      <c r="AI50" s="361" t="b">
        <v>1</v>
      </c>
      <c r="AJ50" s="1092" t="s">
        <v>13</v>
      </c>
      <c r="AK50" s="61" t="str">
        <f t="shared" si="15"/>
        <v>Slough</v>
      </c>
      <c r="AL50" s="110">
        <f t="shared" si="19"/>
        <v>584.190068768831</v>
      </c>
      <c r="AM50" s="110">
        <f t="shared" si="19"/>
        <v>768.79271070615039</v>
      </c>
      <c r="AN50" s="110">
        <f t="shared" si="19"/>
        <v>732.3318929053205</v>
      </c>
      <c r="AO50" s="110">
        <f t="shared" si="19"/>
        <v>772.20338983050851</v>
      </c>
      <c r="AP50" s="110">
        <f t="shared" si="19"/>
        <v>749.40355414836461</v>
      </c>
      <c r="AQ50" s="111">
        <f>VLOOKUP($AK50,IDACI!$B$8:$C$29,2,FALSE)</f>
        <v>14.7</v>
      </c>
      <c r="AR50" s="237">
        <f t="shared" si="20"/>
        <v>0.971259842519685</v>
      </c>
      <c r="AS50" s="237">
        <f t="shared" si="20"/>
        <v>0.98903703703703705</v>
      </c>
      <c r="AT50" s="237">
        <f t="shared" si="20"/>
        <v>0.99812675616609425</v>
      </c>
      <c r="AU50" s="237">
        <f t="shared" si="20"/>
        <v>0.9970734562481709</v>
      </c>
      <c r="AV50" s="237">
        <f t="shared" si="20"/>
        <v>0.9949419815531092</v>
      </c>
      <c r="AW50" s="237" t="e">
        <f t="shared" si="21"/>
        <v>#N/A</v>
      </c>
      <c r="AX50" s="237" t="e">
        <f t="shared" si="21"/>
        <v>#N/A</v>
      </c>
      <c r="AY50" s="237" t="e">
        <f t="shared" si="21"/>
        <v>#N/A</v>
      </c>
      <c r="AZ50" s="237" t="e">
        <f t="shared" si="21"/>
        <v>#N/A</v>
      </c>
      <c r="BA50" s="237" t="e">
        <f t="shared" si="21"/>
        <v>#N/A</v>
      </c>
    </row>
    <row r="51" spans="1:54" ht="14.25" customHeight="1">
      <c r="A51" s="87"/>
      <c r="B51" s="48"/>
      <c r="C51" s="48"/>
      <c r="D51" s="40"/>
      <c r="E51" s="40"/>
      <c r="F51" s="40"/>
      <c r="G51" s="40"/>
      <c r="H51" s="40"/>
      <c r="I51" s="40"/>
      <c r="J51" s="1"/>
      <c r="K51" s="5"/>
      <c r="L51" s="5"/>
      <c r="M51" s="5"/>
      <c r="N51" s="5"/>
      <c r="O51" s="5"/>
      <c r="P51" s="5"/>
      <c r="Q51" s="5"/>
      <c r="R51" s="5"/>
      <c r="S51" s="5"/>
      <c r="T51" s="5"/>
      <c r="U51" s="86"/>
      <c r="V51" s="102"/>
      <c r="W51" s="218"/>
      <c r="AI51" s="361" t="b">
        <v>1</v>
      </c>
      <c r="AJ51" s="1092" t="s">
        <v>14</v>
      </c>
      <c r="AK51" s="61" t="str">
        <f t="shared" si="15"/>
        <v>Southampton</v>
      </c>
      <c r="AL51" s="110">
        <f t="shared" si="19"/>
        <v>976.04259094942336</v>
      </c>
      <c r="AM51" s="110">
        <f t="shared" si="19"/>
        <v>822.72754689667647</v>
      </c>
      <c r="AN51" s="110">
        <f t="shared" si="19"/>
        <v>737.02113873815506</v>
      </c>
      <c r="AO51" s="110">
        <f t="shared" si="19"/>
        <v>751.33845320927992</v>
      </c>
      <c r="AP51" s="110">
        <f t="shared" si="19"/>
        <v>614.21793421078746</v>
      </c>
      <c r="AQ51" s="111">
        <f>VLOOKUP($AK51,IDACI!$B$8:$C$29,2,FALSE)</f>
        <v>20.5</v>
      </c>
      <c r="AR51" s="237">
        <f t="shared" si="20"/>
        <v>0.81714876033057848</v>
      </c>
      <c r="AS51" s="237">
        <f t="shared" si="20"/>
        <v>0.82111436950146632</v>
      </c>
      <c r="AT51" s="237">
        <f t="shared" si="20"/>
        <v>0.88186813186813184</v>
      </c>
      <c r="AU51" s="237">
        <f t="shared" si="20"/>
        <v>0.85748598879103277</v>
      </c>
      <c r="AV51" s="237">
        <f t="shared" si="20"/>
        <v>0.91402714932126694</v>
      </c>
      <c r="AW51" s="237" t="e">
        <f t="shared" si="21"/>
        <v>#N/A</v>
      </c>
      <c r="AX51" s="237" t="e">
        <f t="shared" si="21"/>
        <v>#N/A</v>
      </c>
      <c r="AY51" s="237" t="e">
        <f t="shared" si="21"/>
        <v>#N/A</v>
      </c>
      <c r="AZ51" s="237" t="e">
        <f t="shared" si="21"/>
        <v>#N/A</v>
      </c>
      <c r="BA51" s="237" t="e">
        <f t="shared" si="21"/>
        <v>#N/A</v>
      </c>
    </row>
    <row r="52" spans="1:54" ht="14.25" customHeight="1">
      <c r="A52" s="87"/>
      <c r="B52" s="48"/>
      <c r="C52" s="48"/>
      <c r="D52" s="40"/>
      <c r="E52" s="40"/>
      <c r="F52" s="40"/>
      <c r="G52" s="40"/>
      <c r="H52" s="40"/>
      <c r="I52" s="40"/>
      <c r="J52" s="1"/>
      <c r="K52" s="5"/>
      <c r="L52" s="5"/>
      <c r="M52" s="5"/>
      <c r="N52" s="5"/>
      <c r="O52" s="5"/>
      <c r="P52" s="5"/>
      <c r="Q52" s="5"/>
      <c r="R52" s="5"/>
      <c r="S52" s="5"/>
      <c r="T52" s="5"/>
      <c r="U52" s="86"/>
      <c r="V52" s="102"/>
      <c r="W52" s="218"/>
      <c r="AI52" s="361" t="b">
        <v>1</v>
      </c>
      <c r="AJ52" s="1092" t="s">
        <v>7</v>
      </c>
      <c r="AK52" s="61" t="str">
        <f t="shared" si="15"/>
        <v>Surrey</v>
      </c>
      <c r="AL52" s="110">
        <f t="shared" si="19"/>
        <v>330.13621655137672</v>
      </c>
      <c r="AM52" s="110">
        <f t="shared" si="19"/>
        <v>403.37460689543127</v>
      </c>
      <c r="AN52" s="110">
        <f t="shared" si="19"/>
        <v>356.04729313108896</v>
      </c>
      <c r="AO52" s="110">
        <f t="shared" si="19"/>
        <v>269.90824713319722</v>
      </c>
      <c r="AP52" s="110">
        <f t="shared" si="19"/>
        <v>289.15354271432443</v>
      </c>
      <c r="AQ52" s="111">
        <f>VLOOKUP($AK52,IDACI!$B$8:$C$29,2,FALSE)</f>
        <v>8.3000000000000007</v>
      </c>
      <c r="AR52" s="237">
        <f t="shared" si="20"/>
        <v>0.96818875454865594</v>
      </c>
      <c r="AS52" s="237">
        <f t="shared" si="20"/>
        <v>0.94044879171461448</v>
      </c>
      <c r="AT52" s="237">
        <f t="shared" si="20"/>
        <v>0.87195583937655585</v>
      </c>
      <c r="AU52" s="237">
        <f t="shared" si="20"/>
        <v>0.95107549557148885</v>
      </c>
      <c r="AV52" s="237">
        <f t="shared" si="20"/>
        <v>0.93243946888831031</v>
      </c>
      <c r="AW52" s="237" t="e">
        <f t="shared" si="21"/>
        <v>#N/A</v>
      </c>
      <c r="AX52" s="237" t="e">
        <f t="shared" si="21"/>
        <v>#N/A</v>
      </c>
      <c r="AY52" s="237" t="e">
        <f t="shared" si="21"/>
        <v>#N/A</v>
      </c>
      <c r="AZ52" s="237" t="e">
        <f t="shared" si="21"/>
        <v>#N/A</v>
      </c>
      <c r="BA52" s="237" t="e">
        <f t="shared" si="21"/>
        <v>#N/A</v>
      </c>
    </row>
    <row r="53" spans="1:54" ht="14.25" customHeight="1">
      <c r="A53" s="87"/>
      <c r="B53" s="48"/>
      <c r="C53" s="48"/>
      <c r="D53" s="40"/>
      <c r="E53" s="40"/>
      <c r="F53" s="40"/>
      <c r="G53" s="40"/>
      <c r="H53" s="40"/>
      <c r="I53" s="40"/>
      <c r="J53" s="1"/>
      <c r="K53" s="5"/>
      <c r="L53" s="5"/>
      <c r="M53" s="5"/>
      <c r="N53" s="5"/>
      <c r="O53" s="5"/>
      <c r="P53" s="5"/>
      <c r="Q53" s="5"/>
      <c r="R53" s="5"/>
      <c r="S53" s="5"/>
      <c r="T53" s="5"/>
      <c r="U53" s="86"/>
      <c r="V53" s="102"/>
      <c r="W53" s="218"/>
      <c r="AI53" s="361" t="b">
        <v>1</v>
      </c>
      <c r="AJ53" s="1092" t="s">
        <v>15</v>
      </c>
      <c r="AK53" s="61" t="str">
        <f t="shared" si="15"/>
        <v>West Berkshire</v>
      </c>
      <c r="AL53" s="110">
        <f t="shared" si="19"/>
        <v>471.74923704400896</v>
      </c>
      <c r="AM53" s="110">
        <f t="shared" si="19"/>
        <v>416.66666666666663</v>
      </c>
      <c r="AN53" s="110">
        <f t="shared" si="19"/>
        <v>575.22763405116348</v>
      </c>
      <c r="AO53" s="110">
        <f t="shared" si="19"/>
        <v>613.82905591200733</v>
      </c>
      <c r="AP53" s="110">
        <f t="shared" si="19"/>
        <v>453.78627034677987</v>
      </c>
      <c r="AQ53" s="111">
        <f>VLOOKUP($AK53,IDACI!$B$8:$C$29,2,FALSE)</f>
        <v>8.6999999999999993</v>
      </c>
      <c r="AR53" s="237">
        <f t="shared" si="20"/>
        <v>1</v>
      </c>
      <c r="AS53" s="237">
        <f t="shared" si="20"/>
        <v>1</v>
      </c>
      <c r="AT53" s="237">
        <f t="shared" si="20"/>
        <v>1</v>
      </c>
      <c r="AU53" s="237">
        <f t="shared" si="20"/>
        <v>1</v>
      </c>
      <c r="AV53" s="237">
        <f t="shared" si="20"/>
        <v>1</v>
      </c>
      <c r="AW53" s="237" t="e">
        <f t="shared" si="21"/>
        <v>#N/A</v>
      </c>
      <c r="AX53" s="237" t="e">
        <f t="shared" si="21"/>
        <v>#N/A</v>
      </c>
      <c r="AY53" s="237" t="e">
        <f t="shared" si="21"/>
        <v>#N/A</v>
      </c>
      <c r="AZ53" s="237" t="e">
        <f t="shared" si="21"/>
        <v>#N/A</v>
      </c>
      <c r="BA53" s="237" t="e">
        <f t="shared" si="21"/>
        <v>#N/A</v>
      </c>
    </row>
    <row r="54" spans="1:54" ht="14.25" customHeight="1">
      <c r="A54" s="208"/>
      <c r="B54" s="48"/>
      <c r="C54" s="48"/>
      <c r="D54" s="40"/>
      <c r="E54" s="40"/>
      <c r="F54" s="40"/>
      <c r="G54" s="40"/>
      <c r="H54" s="40"/>
      <c r="I54" s="40"/>
      <c r="J54" s="1"/>
      <c r="K54" s="5"/>
      <c r="L54" s="5"/>
      <c r="M54" s="5"/>
      <c r="N54" s="5"/>
      <c r="O54" s="5"/>
      <c r="P54" s="5"/>
      <c r="Q54" s="5"/>
      <c r="R54" s="5"/>
      <c r="S54" s="5"/>
      <c r="T54" s="5"/>
      <c r="U54" s="86"/>
      <c r="V54" s="102"/>
      <c r="W54" s="218"/>
      <c r="AI54" s="361" t="b">
        <v>1</v>
      </c>
      <c r="AJ54" s="1092" t="s">
        <v>5</v>
      </c>
      <c r="AK54" s="61" t="str">
        <f t="shared" si="15"/>
        <v>West Sussex</v>
      </c>
      <c r="AL54" s="110">
        <f t="shared" si="19"/>
        <v>575.79616366370692</v>
      </c>
      <c r="AM54" s="110">
        <f t="shared" si="19"/>
        <v>526.36119466507159</v>
      </c>
      <c r="AN54" s="110">
        <f t="shared" si="19"/>
        <v>535.93694590297082</v>
      </c>
      <c r="AO54" s="110">
        <f t="shared" si="19"/>
        <v>541.19278935883483</v>
      </c>
      <c r="AP54" s="110">
        <f t="shared" si="19"/>
        <v>443.05282445477297</v>
      </c>
      <c r="AQ54" s="111">
        <f>VLOOKUP($AK54,IDACI!$B$8:$C$29,2,FALSE)</f>
        <v>11</v>
      </c>
      <c r="AR54" s="237">
        <f t="shared" si="20"/>
        <v>1</v>
      </c>
      <c r="AS54" s="237">
        <f t="shared" si="20"/>
        <v>1</v>
      </c>
      <c r="AT54" s="237">
        <f t="shared" si="20"/>
        <v>1</v>
      </c>
      <c r="AU54" s="237">
        <f t="shared" si="20"/>
        <v>1</v>
      </c>
      <c r="AV54" s="237">
        <f t="shared" si="20"/>
        <v>1</v>
      </c>
      <c r="AW54" s="237" t="e">
        <f t="shared" si="21"/>
        <v>#N/A</v>
      </c>
      <c r="AX54" s="237" t="e">
        <f t="shared" si="21"/>
        <v>#N/A</v>
      </c>
      <c r="AY54" s="237" t="e">
        <f t="shared" si="21"/>
        <v>#N/A</v>
      </c>
      <c r="AZ54" s="237" t="e">
        <f t="shared" si="21"/>
        <v>#N/A</v>
      </c>
      <c r="BA54" s="237" t="e">
        <f t="shared" si="21"/>
        <v>#N/A</v>
      </c>
    </row>
    <row r="55" spans="1:54" ht="14.25" customHeight="1">
      <c r="A55" s="208"/>
      <c r="B55" s="48"/>
      <c r="C55" s="48"/>
      <c r="D55" s="40"/>
      <c r="E55" s="40"/>
      <c r="F55" s="40"/>
      <c r="G55" s="40"/>
      <c r="H55" s="40"/>
      <c r="I55" s="40"/>
      <c r="J55" s="1"/>
      <c r="K55" s="5"/>
      <c r="L55" s="5"/>
      <c r="M55" s="5"/>
      <c r="N55" s="5"/>
      <c r="O55" s="5"/>
      <c r="P55" s="5"/>
      <c r="Q55" s="5"/>
      <c r="R55" s="5"/>
      <c r="S55" s="5"/>
      <c r="T55" s="5"/>
      <c r="U55" s="86"/>
      <c r="V55" s="102"/>
      <c r="W55" s="218"/>
      <c r="AI55" s="361" t="b">
        <v>1</v>
      </c>
      <c r="AJ55" s="1092" t="s">
        <v>27</v>
      </c>
      <c r="AK55" s="61" t="str">
        <f t="shared" si="15"/>
        <v>Windsor &amp; Maidenhead</v>
      </c>
      <c r="AL55" s="110">
        <f t="shared" si="19"/>
        <v>395.63517535157848</v>
      </c>
      <c r="AM55" s="110">
        <f t="shared" si="19"/>
        <v>434.52747704134026</v>
      </c>
      <c r="AN55" s="110">
        <f t="shared" si="19"/>
        <v>515.99952768921946</v>
      </c>
      <c r="AO55" s="110">
        <f t="shared" si="19"/>
        <v>577.19930818163164</v>
      </c>
      <c r="AP55" s="110">
        <f t="shared" si="19"/>
        <v>528.86438551967558</v>
      </c>
      <c r="AQ55" s="111">
        <f>VLOOKUP($AK55,IDACI!$B$8:$C$29,2,FALSE)</f>
        <v>6.7</v>
      </c>
      <c r="AR55" s="237">
        <f t="shared" si="20"/>
        <v>0.94321533923303835</v>
      </c>
      <c r="AS55" s="237">
        <f t="shared" si="20"/>
        <v>0.95746117488183657</v>
      </c>
      <c r="AT55" s="237">
        <f t="shared" si="20"/>
        <v>0.97883295194508013</v>
      </c>
      <c r="AU55" s="237">
        <f t="shared" si="20"/>
        <v>0.96140172676485525</v>
      </c>
      <c r="AV55" s="237">
        <f t="shared" si="20"/>
        <v>0.94484280198565918</v>
      </c>
      <c r="AW55" s="237" t="e">
        <f t="shared" si="21"/>
        <v>#N/A</v>
      </c>
      <c r="AX55" s="237" t="e">
        <f t="shared" si="21"/>
        <v>#N/A</v>
      </c>
      <c r="AY55" s="237" t="e">
        <f t="shared" si="21"/>
        <v>#N/A</v>
      </c>
      <c r="AZ55" s="237" t="e">
        <f t="shared" si="21"/>
        <v>#N/A</v>
      </c>
      <c r="BA55" s="237" t="e">
        <f t="shared" si="21"/>
        <v>#N/A</v>
      </c>
    </row>
    <row r="56" spans="1:54" ht="14.25" customHeight="1">
      <c r="A56" s="87"/>
      <c r="B56" s="48"/>
      <c r="C56" s="48"/>
      <c r="D56" s="40"/>
      <c r="E56" s="40"/>
      <c r="F56" s="40"/>
      <c r="G56" s="40"/>
      <c r="H56" s="40"/>
      <c r="I56" s="40"/>
      <c r="J56" s="1"/>
      <c r="K56" s="5"/>
      <c r="L56" s="5"/>
      <c r="M56" s="5"/>
      <c r="N56" s="5"/>
      <c r="O56" s="5"/>
      <c r="P56" s="5"/>
      <c r="Q56" s="5"/>
      <c r="R56" s="5"/>
      <c r="S56" s="5"/>
      <c r="T56" s="5"/>
      <c r="U56" s="86"/>
      <c r="V56" s="102"/>
      <c r="W56" s="218"/>
      <c r="AI56" s="361" t="b">
        <v>1</v>
      </c>
      <c r="AJ56" s="1092" t="s">
        <v>16</v>
      </c>
      <c r="AK56" s="61" t="str">
        <f t="shared" si="15"/>
        <v>Wokingham</v>
      </c>
      <c r="AL56" s="110">
        <f t="shared" si="19"/>
        <v>446.04244191893793</v>
      </c>
      <c r="AM56" s="110">
        <f t="shared" si="19"/>
        <v>333.0368613499358</v>
      </c>
      <c r="AN56" s="110">
        <f t="shared" si="19"/>
        <v>371.75715431933673</v>
      </c>
      <c r="AO56" s="110">
        <f t="shared" si="19"/>
        <v>377.93979303857009</v>
      </c>
      <c r="AP56" s="110">
        <f t="shared" si="19"/>
        <v>357.39022025211244</v>
      </c>
      <c r="AQ56" s="111">
        <f>VLOOKUP($AK56,IDACI!$B$8:$C$29,2,FALSE)</f>
        <v>5.6000000000000005</v>
      </c>
      <c r="AR56" s="237">
        <f t="shared" si="20"/>
        <v>0.9751972942502819</v>
      </c>
      <c r="AS56" s="237">
        <f t="shared" si="20"/>
        <v>0.97255192878338281</v>
      </c>
      <c r="AT56" s="237">
        <f t="shared" si="20"/>
        <v>0.96337475474166123</v>
      </c>
      <c r="AU56" s="237">
        <f t="shared" si="20"/>
        <v>0.86123210952084628</v>
      </c>
      <c r="AV56" s="237">
        <f t="shared" si="20"/>
        <v>0.95025839793281652</v>
      </c>
      <c r="AW56" s="237" t="e">
        <f t="shared" si="21"/>
        <v>#N/A</v>
      </c>
      <c r="AX56" s="237" t="e">
        <f t="shared" si="21"/>
        <v>#N/A</v>
      </c>
      <c r="AY56" s="237" t="e">
        <f t="shared" si="21"/>
        <v>#N/A</v>
      </c>
      <c r="AZ56" s="237" t="e">
        <f t="shared" si="21"/>
        <v>#N/A</v>
      </c>
      <c r="BA56" s="237" t="e">
        <f t="shared" si="21"/>
        <v>#N/A</v>
      </c>
      <c r="BB56" s="56"/>
    </row>
    <row r="57" spans="1:54" ht="14.25" customHeight="1">
      <c r="A57" s="87"/>
      <c r="B57" s="48"/>
      <c r="C57" s="48"/>
      <c r="D57" s="40"/>
      <c r="E57" s="40"/>
      <c r="F57" s="40"/>
      <c r="G57" s="40"/>
      <c r="H57" s="40"/>
      <c r="I57" s="40"/>
      <c r="J57" s="1"/>
      <c r="K57" s="5"/>
      <c r="L57" s="5"/>
      <c r="M57" s="5"/>
      <c r="N57" s="5"/>
      <c r="O57" s="5"/>
      <c r="P57" s="5"/>
      <c r="Q57" s="5"/>
      <c r="R57" s="5"/>
      <c r="S57" s="5"/>
      <c r="T57" s="5"/>
      <c r="U57" s="86"/>
      <c r="V57" s="102"/>
      <c r="W57" s="218"/>
      <c r="AI57" s="361" t="b">
        <v>1</v>
      </c>
      <c r="AJ57" s="1092" t="s">
        <v>71</v>
      </c>
      <c r="AK57" s="61" t="str">
        <f t="shared" si="15"/>
        <v>South East</v>
      </c>
      <c r="AL57" s="110">
        <f t="shared" si="19"/>
        <v>593.67239832900441</v>
      </c>
      <c r="AM57" s="110">
        <f t="shared" si="19"/>
        <v>575.64207546260968</v>
      </c>
      <c r="AN57" s="110">
        <f t="shared" si="19"/>
        <v>640.64811829956773</v>
      </c>
      <c r="AO57" s="110">
        <f t="shared" si="19"/>
        <v>644.96825534942013</v>
      </c>
      <c r="AP57" s="110">
        <f t="shared" si="19"/>
        <v>711.71431389401596</v>
      </c>
      <c r="AQ57" s="111">
        <f>Z30/Y30*100</f>
        <v>12.760581039440194</v>
      </c>
      <c r="AR57" s="237">
        <f t="shared" si="20"/>
        <v>0.93181758604720255</v>
      </c>
      <c r="AS57" s="237">
        <f t="shared" si="20"/>
        <v>0.91052806794972152</v>
      </c>
      <c r="AT57" s="237">
        <f t="shared" si="20"/>
        <v>0.90020966051124907</v>
      </c>
      <c r="AU57" s="237">
        <f t="shared" si="20"/>
        <v>0.88094674556213015</v>
      </c>
      <c r="AV57" s="237">
        <f t="shared" si="20"/>
        <v>0.92592592592592593</v>
      </c>
      <c r="AW57" s="237" t="e">
        <f t="shared" si="21"/>
        <v>#N/A</v>
      </c>
      <c r="AX57" s="237" t="e">
        <f t="shared" si="21"/>
        <v>#N/A</v>
      </c>
      <c r="AY57" s="237" t="e">
        <f t="shared" si="21"/>
        <v>#N/A</v>
      </c>
      <c r="AZ57" s="237" t="e">
        <f t="shared" si="21"/>
        <v>#N/A</v>
      </c>
      <c r="BA57" s="237" t="e">
        <f t="shared" si="21"/>
        <v>#N/A</v>
      </c>
      <c r="BB57" s="56"/>
    </row>
    <row r="58" spans="1:54"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218"/>
      <c r="AI58" s="361" t="b">
        <v>1</v>
      </c>
      <c r="AJ58" s="1092" t="s">
        <v>109</v>
      </c>
      <c r="AK58" s="61" t="str">
        <f t="shared" si="15"/>
        <v>England</v>
      </c>
      <c r="AL58" s="110">
        <f t="shared" si="19"/>
        <v>545.33771788318927</v>
      </c>
      <c r="AM58" s="110">
        <f t="shared" si="19"/>
        <v>507.10081971232279</v>
      </c>
      <c r="AN58" s="110">
        <f t="shared" si="19"/>
        <v>552.81539092728838</v>
      </c>
      <c r="AO58" s="110">
        <f t="shared" si="19"/>
        <v>538.81993025452493</v>
      </c>
      <c r="AP58" s="110">
        <f t="shared" si="19"/>
        <v>518.29181392633802</v>
      </c>
      <c r="AQ58" s="111">
        <f>VLOOKUP($AK58,IDACI!$B$8:$C$29,2,FALSE)</f>
        <v>17.084413405029373</v>
      </c>
      <c r="AR58" s="237">
        <f t="shared" si="20"/>
        <v>0.93716756353230268</v>
      </c>
      <c r="AS58" s="237">
        <f t="shared" si="20"/>
        <v>0.94041086723768741</v>
      </c>
      <c r="AT58" s="237">
        <f t="shared" si="20"/>
        <v>0.92398542144032481</v>
      </c>
      <c r="AU58" s="237">
        <f t="shared" si="20"/>
        <v>0.92920381618600001</v>
      </c>
      <c r="AV58" s="237">
        <f t="shared" si="20"/>
        <v>0.93741557856821256</v>
      </c>
      <c r="AW58" s="237" t="e">
        <f t="shared" si="21"/>
        <v>#N/A</v>
      </c>
      <c r="AX58" s="237" t="e">
        <f t="shared" si="21"/>
        <v>#N/A</v>
      </c>
      <c r="AY58" s="237" t="e">
        <f t="shared" si="21"/>
        <v>#N/A</v>
      </c>
      <c r="AZ58" s="237" t="e">
        <f t="shared" si="21"/>
        <v>#N/A</v>
      </c>
      <c r="BA58" s="237" t="e">
        <f t="shared" si="21"/>
        <v>#N/A</v>
      </c>
    </row>
    <row r="59" spans="1:54" s="56" customFormat="1" ht="12.75">
      <c r="A59" s="87"/>
      <c r="B59" s="48"/>
      <c r="C59" s="48"/>
      <c r="D59" s="40"/>
      <c r="E59" s="40"/>
      <c r="F59" s="40"/>
      <c r="G59" s="40"/>
      <c r="H59" s="40"/>
      <c r="I59" s="40"/>
      <c r="J59" s="1"/>
      <c r="K59" s="5"/>
      <c r="L59" s="5"/>
      <c r="M59" s="5"/>
      <c r="N59" s="5"/>
      <c r="O59" s="5"/>
      <c r="P59" s="5"/>
      <c r="Q59" s="5"/>
      <c r="R59" s="5"/>
      <c r="S59" s="5"/>
      <c r="T59" s="5"/>
      <c r="U59" s="86"/>
      <c r="V59" s="102"/>
      <c r="W59" s="218"/>
      <c r="AJ59" s="122"/>
      <c r="AK59" s="52" t="str">
        <f>Z4</f>
        <v>Selected LA- (none)</v>
      </c>
      <c r="AL59" s="112" t="e">
        <f>VLOOKUP($Y4,$B$11:$O$30,AL$34,FALSE)</f>
        <v>#N/A</v>
      </c>
      <c r="AM59" s="112" t="e">
        <f>VLOOKUP($Y4,$B$11:$O$30,AM$34,FALSE)</f>
        <v>#N/A</v>
      </c>
      <c r="AN59" s="112" t="e">
        <f>VLOOKUP($Y4,$B$11:$O$30,AN$34,FALSE)</f>
        <v>#N/A</v>
      </c>
      <c r="AO59" s="112" t="e">
        <f>VLOOKUP($Y4,$B$11:$O$30,AO$34,FALSE)</f>
        <v>#N/A</v>
      </c>
      <c r="AP59" s="112" t="e">
        <f>VLOOKUP($Y4,$B$11:$O$30,AP$34,FALSE)</f>
        <v>#N/A</v>
      </c>
      <c r="AQ59" s="111" t="e">
        <f>VLOOKUP($Y4,IDACI!$B$8:$C$29,2,FALSE)</f>
        <v>#N/A</v>
      </c>
      <c r="AR59" s="132" t="e">
        <f>VLOOKUP($Y$4,$B$143:$H$163,AR$34,FALSE)</f>
        <v>#N/A</v>
      </c>
      <c r="AS59" s="132" t="e">
        <f>VLOOKUP($Y$4,$B$143:$H$163,AS$34,FALSE)</f>
        <v>#N/A</v>
      </c>
      <c r="AT59" s="132" t="e">
        <f>VLOOKUP($Y$4,$B$143:$H$163,AT$34,FALSE)</f>
        <v>#N/A</v>
      </c>
      <c r="AU59" s="132" t="e">
        <f>VLOOKUP($Y$4,$B$143:$H$163,AU$34,FALSE)</f>
        <v>#N/A</v>
      </c>
      <c r="AV59" s="132" t="e">
        <f>VLOOKUP($Y$4,$B$143:$H$163,AV$34,FALSE)</f>
        <v>#N/A</v>
      </c>
      <c r="AW59" s="132" t="e">
        <f>VLOOKUP($Y$4,$B$109:$H$129,AW$34,FALSE)</f>
        <v>#N/A</v>
      </c>
      <c r="AX59" s="132" t="e">
        <f>VLOOKUP($Y$4,$B$109:$H$129,AX$34,FALSE)</f>
        <v>#N/A</v>
      </c>
      <c r="AY59" s="132" t="e">
        <f>VLOOKUP($Y$4,$B$109:$H$129,AY$34,FALSE)</f>
        <v>#N/A</v>
      </c>
      <c r="AZ59" s="132" t="e">
        <f>VLOOKUP($Y$4,$B$109:$H$129,AZ$34,FALSE)</f>
        <v>#N/A</v>
      </c>
      <c r="BA59" s="132" t="e">
        <f>VLOOKUP($Y$4,$B$109:$H$129,BA$34,FALSE)</f>
        <v>#N/A</v>
      </c>
    </row>
    <row r="60" spans="1:54" s="56" customFormat="1" ht="1.5" customHeight="1">
      <c r="A60" s="87"/>
      <c r="B60" s="48"/>
      <c r="C60" s="48"/>
      <c r="D60" s="40"/>
      <c r="E60" s="40"/>
      <c r="F60" s="40"/>
      <c r="G60" s="40"/>
      <c r="H60" s="40"/>
      <c r="I60" s="40"/>
      <c r="J60" s="1"/>
      <c r="K60" s="5"/>
      <c r="L60" s="5"/>
      <c r="M60" s="5"/>
      <c r="N60" s="5"/>
      <c r="O60" s="5"/>
      <c r="P60" s="5"/>
      <c r="Q60" s="5"/>
      <c r="R60" s="5"/>
      <c r="S60" s="5"/>
      <c r="T60" s="5"/>
      <c r="U60" s="86"/>
      <c r="V60" s="102"/>
      <c r="W60" s="218"/>
      <c r="AJ60" s="815"/>
    </row>
    <row r="61" spans="1:54" s="56" customFormat="1" ht="14.25" customHeight="1">
      <c r="A61" s="87"/>
      <c r="B61" s="48"/>
      <c r="C61" s="48"/>
      <c r="D61" s="40"/>
      <c r="E61" s="40"/>
      <c r="F61" s="40"/>
      <c r="G61" s="40"/>
      <c r="H61" s="40"/>
      <c r="I61" s="40"/>
      <c r="J61" s="1"/>
      <c r="K61" s="79"/>
      <c r="L61" s="1754" t="s">
        <v>69</v>
      </c>
      <c r="M61" s="1755"/>
      <c r="N61" s="1755"/>
      <c r="O61" s="1756"/>
      <c r="P61" s="1171"/>
      <c r="Q61" s="1753" t="s">
        <v>93</v>
      </c>
      <c r="R61" s="1753"/>
      <c r="S61" s="1753"/>
      <c r="T61" s="1753"/>
      <c r="U61" s="86"/>
      <c r="V61" s="102"/>
      <c r="W61" s="218"/>
      <c r="AJ61" s="122"/>
    </row>
    <row r="62" spans="1:54" s="56" customFormat="1" ht="14.25" customHeight="1">
      <c r="A62" s="87"/>
      <c r="B62" s="48"/>
      <c r="C62" s="48"/>
      <c r="D62" s="40"/>
      <c r="E62" s="40"/>
      <c r="F62" s="40"/>
      <c r="G62" s="40"/>
      <c r="H62" s="40"/>
      <c r="I62" s="40"/>
      <c r="J62" s="1"/>
      <c r="K62" s="80"/>
      <c r="L62" s="1768" t="str">
        <f>Z4</f>
        <v>Selected LA- (none)</v>
      </c>
      <c r="M62" s="1769"/>
      <c r="N62" s="1769"/>
      <c r="O62" s="1769"/>
      <c r="P62" s="1172"/>
      <c r="Q62" s="1753" t="s">
        <v>167</v>
      </c>
      <c r="R62" s="1753"/>
      <c r="S62" s="1753"/>
      <c r="T62" s="1753"/>
      <c r="U62" s="86"/>
      <c r="V62" s="102"/>
      <c r="W62" s="114"/>
      <c r="AH62" s="141"/>
      <c r="AI62" s="61"/>
      <c r="AJ62" s="121"/>
      <c r="AK62" s="61"/>
      <c r="AL62" s="61"/>
      <c r="AM62" s="61"/>
      <c r="AN62" s="61"/>
      <c r="AO62" s="61"/>
      <c r="AP62" s="61"/>
      <c r="AQ62" s="61"/>
      <c r="AR62" s="61"/>
      <c r="AS62" s="61"/>
      <c r="AT62" s="61"/>
      <c r="AU62" s="61"/>
      <c r="AV62" s="61"/>
      <c r="AW62" s="61"/>
      <c r="AX62" s="61"/>
      <c r="AY62" s="61"/>
      <c r="AZ62" s="61"/>
      <c r="BA62" s="61"/>
      <c r="BB62" s="61"/>
    </row>
    <row r="63" spans="1:54" s="56" customFormat="1" ht="46.5" customHeight="1">
      <c r="A63" s="87"/>
      <c r="B63" s="48"/>
      <c r="C63" s="48"/>
      <c r="D63" s="40"/>
      <c r="E63" s="40"/>
      <c r="F63" s="40"/>
      <c r="G63" s="40"/>
      <c r="H63" s="40"/>
      <c r="I63" s="40"/>
      <c r="J63" s="1"/>
      <c r="K63" s="5"/>
      <c r="L63" s="5"/>
      <c r="M63" s="5"/>
      <c r="N63" s="5"/>
      <c r="O63" s="5"/>
      <c r="P63" s="5"/>
      <c r="Q63" s="5"/>
      <c r="R63" s="5"/>
      <c r="S63" s="5"/>
      <c r="T63" s="5"/>
      <c r="U63" s="86"/>
      <c r="V63" s="102"/>
      <c r="W63" s="114"/>
      <c r="AH63" s="141"/>
      <c r="AI63" s="61"/>
      <c r="AJ63" s="121"/>
      <c r="AK63" s="61"/>
      <c r="AL63" s="61"/>
      <c r="AM63" s="61"/>
      <c r="AN63" s="61"/>
      <c r="AO63" s="61"/>
      <c r="AP63" s="61"/>
      <c r="AQ63" s="61"/>
      <c r="AR63" s="61"/>
      <c r="AS63" s="61"/>
      <c r="AT63" s="61"/>
      <c r="AU63" s="61"/>
      <c r="AV63" s="61"/>
      <c r="AW63" s="61"/>
      <c r="AX63" s="61"/>
      <c r="AY63" s="61"/>
      <c r="AZ63" s="61"/>
      <c r="BA63" s="61"/>
      <c r="BB63" s="61"/>
    </row>
    <row r="64" spans="1:54" s="61" customFormat="1" ht="46.5" customHeight="1">
      <c r="A64" s="88"/>
      <c r="B64" s="78"/>
      <c r="C64" s="78"/>
      <c r="D64" s="78"/>
      <c r="E64" s="78"/>
      <c r="F64" s="78"/>
      <c r="G64" s="78"/>
      <c r="H64" s="78"/>
      <c r="I64" s="78"/>
      <c r="J64" s="68"/>
      <c r="K64" s="59"/>
      <c r="L64" s="59"/>
      <c r="M64" s="59"/>
      <c r="N64" s="59"/>
      <c r="O64" s="59"/>
      <c r="P64" s="59"/>
      <c r="Q64" s="59"/>
      <c r="R64" s="59"/>
      <c r="S64" s="59"/>
      <c r="T64" s="59"/>
      <c r="U64" s="89"/>
      <c r="V64" s="103"/>
      <c r="W64" s="115"/>
      <c r="AD64" s="141"/>
      <c r="AE64" s="141"/>
      <c r="AF64" s="141"/>
      <c r="AG64" s="141"/>
      <c r="AH64" s="56"/>
      <c r="AI64" s="52"/>
      <c r="AJ64" s="119"/>
      <c r="AK64" s="52"/>
      <c r="AL64" s="52"/>
      <c r="AM64" s="52"/>
      <c r="AN64" s="52"/>
      <c r="AO64" s="52"/>
      <c r="AP64" s="52"/>
      <c r="AQ64" s="52"/>
      <c r="AR64" s="52"/>
      <c r="AS64" s="52"/>
      <c r="AT64" s="52"/>
      <c r="AU64" s="52"/>
      <c r="AV64" s="52"/>
      <c r="AW64" s="52"/>
      <c r="AX64" s="52"/>
      <c r="AY64" s="52"/>
      <c r="AZ64" s="52"/>
      <c r="BA64" s="52"/>
      <c r="BB64" s="52"/>
    </row>
    <row r="65" spans="1:54" s="61" customFormat="1" ht="46.5" customHeight="1">
      <c r="A65" s="88"/>
      <c r="B65" s="78"/>
      <c r="C65" s="78"/>
      <c r="D65" s="78"/>
      <c r="E65" s="78"/>
      <c r="F65" s="78"/>
      <c r="G65" s="78"/>
      <c r="H65" s="78"/>
      <c r="I65" s="78"/>
      <c r="J65" s="68"/>
      <c r="K65" s="59"/>
      <c r="L65" s="59"/>
      <c r="M65" s="59"/>
      <c r="N65" s="59"/>
      <c r="O65" s="59"/>
      <c r="P65" s="59"/>
      <c r="Q65" s="59"/>
      <c r="R65" s="59"/>
      <c r="S65" s="59"/>
      <c r="T65" s="59"/>
      <c r="U65" s="89"/>
      <c r="V65" s="121"/>
      <c r="W65" s="247"/>
      <c r="AD65" s="141"/>
      <c r="AE65" s="141"/>
      <c r="AF65" s="141"/>
      <c r="AG65" s="141"/>
      <c r="AH65" s="56"/>
      <c r="AI65" s="52"/>
      <c r="AJ65" s="119"/>
      <c r="AK65" s="52"/>
      <c r="AL65" s="52"/>
      <c r="AM65" s="52"/>
      <c r="AN65" s="52"/>
      <c r="AO65" s="52"/>
      <c r="AP65" s="52"/>
      <c r="AQ65" s="52"/>
      <c r="AR65" s="52"/>
      <c r="AS65" s="52"/>
      <c r="AT65" s="52"/>
      <c r="AU65" s="52"/>
      <c r="AV65" s="52"/>
      <c r="AW65" s="52"/>
      <c r="AX65" s="52"/>
      <c r="AY65" s="52"/>
      <c r="AZ65" s="52"/>
      <c r="BA65" s="52"/>
      <c r="BB65" s="52"/>
    </row>
    <row r="66" spans="1:54" ht="7.5" customHeight="1">
      <c r="A66" s="87"/>
      <c r="B66" s="12"/>
      <c r="C66" s="12"/>
      <c r="D66" s="11"/>
      <c r="E66" s="11"/>
      <c r="F66" s="11"/>
      <c r="G66" s="11"/>
      <c r="H66" s="11"/>
      <c r="I66" s="11"/>
      <c r="J66" s="1"/>
      <c r="K66" s="13"/>
      <c r="L66" s="13"/>
      <c r="M66" s="13"/>
      <c r="N66" s="13"/>
      <c r="O66" s="13"/>
      <c r="P66" s="13"/>
      <c r="Q66" s="13"/>
      <c r="R66" s="13"/>
      <c r="S66" s="13"/>
      <c r="T66" s="14"/>
      <c r="U66" s="86"/>
      <c r="V66" s="185"/>
      <c r="W66" s="114"/>
      <c r="X66" s="61"/>
      <c r="Y66" s="61"/>
      <c r="Z66" s="61"/>
      <c r="AA66" s="61"/>
      <c r="AB66" s="61"/>
      <c r="AJ66" s="119"/>
    </row>
    <row r="67" spans="1:54" ht="15" customHeight="1">
      <c r="A67" s="1565"/>
      <c r="B67" s="1751"/>
      <c r="C67" s="1751"/>
      <c r="D67" s="1751"/>
      <c r="E67" s="1751"/>
      <c r="F67" s="1751"/>
      <c r="G67" s="1751"/>
      <c r="H67" s="1751"/>
      <c r="I67" s="1751"/>
      <c r="J67" s="1751"/>
      <c r="K67" s="1751"/>
      <c r="L67" s="1751"/>
      <c r="M67" s="1751"/>
      <c r="N67" s="1751"/>
      <c r="O67" s="1751"/>
      <c r="P67" s="1751"/>
      <c r="Q67" s="1751"/>
      <c r="R67" s="1751"/>
      <c r="S67" s="1751"/>
      <c r="T67" s="1751"/>
      <c r="U67" s="1752"/>
      <c r="V67" s="185"/>
      <c r="W67" s="114"/>
      <c r="X67" s="61"/>
      <c r="Y67" s="61"/>
      <c r="Z67" s="61"/>
      <c r="AA67" s="61"/>
      <c r="AB67" s="61"/>
      <c r="AJ67" s="119"/>
    </row>
    <row r="68" spans="1:54" ht="11.1" customHeight="1">
      <c r="A68" s="1739"/>
      <c r="B68" s="1740"/>
      <c r="C68" s="1740"/>
      <c r="D68" s="1740"/>
      <c r="E68" s="1740"/>
      <c r="F68" s="1740"/>
      <c r="G68" s="1740"/>
      <c r="H68" s="1740"/>
      <c r="I68" s="1741"/>
      <c r="J68" s="1740"/>
      <c r="K68" s="1740"/>
      <c r="L68" s="1740"/>
      <c r="M68" s="1740"/>
      <c r="N68" s="1740"/>
      <c r="O68" s="1740"/>
      <c r="P68" s="1742"/>
      <c r="Q68" s="1740"/>
      <c r="R68" s="1740"/>
      <c r="S68" s="1741"/>
      <c r="T68" s="1740"/>
      <c r="U68" s="1743"/>
      <c r="V68" s="185"/>
      <c r="W68" s="114"/>
      <c r="X68" s="61"/>
      <c r="Y68" s="61"/>
      <c r="Z68" s="61"/>
      <c r="AA68" s="61"/>
      <c r="AB68" s="61"/>
      <c r="AH68" s="52"/>
      <c r="AJ68" s="119"/>
    </row>
    <row r="69" spans="1:54" ht="11.25" customHeight="1">
      <c r="A69" s="81"/>
      <c r="B69" s="82"/>
      <c r="C69" s="82"/>
      <c r="D69" s="82"/>
      <c r="E69" s="82"/>
      <c r="F69" s="82"/>
      <c r="G69" s="82"/>
      <c r="H69" s="82"/>
      <c r="I69" s="82"/>
      <c r="J69" s="83"/>
      <c r="K69" s="82"/>
      <c r="L69" s="82"/>
      <c r="M69" s="82"/>
      <c r="N69" s="82"/>
      <c r="O69" s="82"/>
      <c r="P69" s="82"/>
      <c r="Q69" s="82"/>
      <c r="R69" s="82"/>
      <c r="S69" s="82"/>
      <c r="T69" s="82"/>
      <c r="U69" s="84"/>
      <c r="V69" s="102"/>
      <c r="W69" s="114"/>
      <c r="X69" s="52"/>
      <c r="Y69" s="52"/>
      <c r="Z69" s="52"/>
      <c r="AJ69" s="119"/>
    </row>
    <row r="70" spans="1:54" ht="17.100000000000001" customHeight="1">
      <c r="A70" s="87"/>
      <c r="B70" s="41"/>
      <c r="C70" s="47"/>
      <c r="D70" s="47"/>
      <c r="E70" s="47"/>
      <c r="F70" s="47"/>
      <c r="G70" s="47"/>
      <c r="H70" s="47"/>
      <c r="I70" s="47"/>
      <c r="J70" s="50"/>
      <c r="K70" s="50"/>
      <c r="L70" s="50"/>
      <c r="M70" s="50"/>
      <c r="N70" s="224"/>
      <c r="O70" s="50"/>
      <c r="P70" s="50"/>
      <c r="Q70" s="50"/>
      <c r="R70" s="50"/>
      <c r="S70" s="50"/>
      <c r="T70" s="50"/>
      <c r="U70" s="86"/>
      <c r="V70" s="102"/>
      <c r="W70" s="114"/>
      <c r="X70" s="52"/>
      <c r="Y70" s="52"/>
      <c r="Z70" s="52"/>
      <c r="AA70" s="52"/>
      <c r="AB70" s="52"/>
      <c r="AC70" s="52"/>
      <c r="AD70" s="52"/>
      <c r="AE70" s="52"/>
      <c r="AF70" s="52"/>
      <c r="AG70" s="52"/>
      <c r="AH70" s="141"/>
      <c r="AI70" s="61"/>
      <c r="AJ70" s="121"/>
      <c r="AK70" s="61"/>
      <c r="AL70" s="61"/>
      <c r="AM70" s="61"/>
      <c r="AN70" s="61"/>
      <c r="AO70" s="61"/>
      <c r="AP70" s="61"/>
      <c r="AQ70" s="61"/>
      <c r="AR70" s="61"/>
      <c r="AS70" s="61"/>
      <c r="AT70" s="61"/>
      <c r="AU70" s="61"/>
      <c r="AV70" s="61"/>
      <c r="AW70" s="61"/>
      <c r="AX70" s="61"/>
      <c r="AY70" s="61"/>
      <c r="AZ70" s="61"/>
      <c r="BA70" s="61"/>
      <c r="BB70" s="61"/>
    </row>
    <row r="71" spans="1:54" ht="13.5" customHeight="1">
      <c r="A71" s="87"/>
      <c r="B71" s="47"/>
      <c r="C71" s="47"/>
      <c r="D71" s="47"/>
      <c r="E71" s="47"/>
      <c r="F71" s="47"/>
      <c r="G71" s="47"/>
      <c r="H71" s="47"/>
      <c r="I71" s="47"/>
      <c r="J71" s="50"/>
      <c r="K71" s="50"/>
      <c r="L71" s="50"/>
      <c r="M71" s="50"/>
      <c r="N71" s="224"/>
      <c r="O71" s="50"/>
      <c r="P71" s="50"/>
      <c r="Q71" s="50"/>
      <c r="R71" s="5"/>
      <c r="S71" s="50"/>
      <c r="T71" s="50"/>
      <c r="U71" s="86"/>
      <c r="V71" s="102"/>
      <c r="W71" s="114"/>
      <c r="X71" s="52"/>
      <c r="Y71" s="52"/>
      <c r="Z71" s="146"/>
      <c r="AA71" s="146"/>
      <c r="AB71" s="147"/>
      <c r="AC71" s="147"/>
      <c r="AH71" s="141"/>
      <c r="AI71" s="61"/>
      <c r="AJ71" s="121"/>
      <c r="AK71" s="61"/>
      <c r="AL71" s="61"/>
      <c r="AM71" s="61"/>
      <c r="AN71" s="61"/>
      <c r="AO71" s="61"/>
      <c r="AP71" s="61"/>
      <c r="AQ71" s="61"/>
      <c r="AR71" s="61"/>
      <c r="AS71" s="61"/>
      <c r="AT71" s="61"/>
      <c r="AU71" s="61"/>
      <c r="AV71" s="61"/>
      <c r="AW71" s="61"/>
      <c r="AX71" s="61"/>
      <c r="AY71" s="61"/>
      <c r="AZ71" s="61"/>
      <c r="BA71" s="61"/>
      <c r="BB71" s="61"/>
    </row>
    <row r="72" spans="1:54" s="61" customFormat="1" ht="12" customHeight="1">
      <c r="A72" s="88"/>
      <c r="B72" s="47"/>
      <c r="C72" s="47"/>
      <c r="D72" s="47"/>
      <c r="E72" s="47"/>
      <c r="F72" s="47"/>
      <c r="G72" s="47"/>
      <c r="H72" s="47"/>
      <c r="I72" s="68"/>
      <c r="J72" s="68"/>
      <c r="K72" s="43"/>
      <c r="L72" s="43"/>
      <c r="M72" s="43"/>
      <c r="N72" s="43"/>
      <c r="O72" s="43"/>
      <c r="P72" s="43"/>
      <c r="Q72" s="225"/>
      <c r="R72" s="225"/>
      <c r="S72" s="120"/>
      <c r="T72" s="226"/>
      <c r="U72" s="89"/>
      <c r="V72" s="103"/>
      <c r="W72" s="115"/>
      <c r="X72" s="52"/>
      <c r="Y72" s="52"/>
      <c r="Z72" s="146"/>
      <c r="AA72" s="146"/>
      <c r="AB72" s="147"/>
      <c r="AC72" s="147"/>
      <c r="AD72" s="149"/>
      <c r="AE72" s="141"/>
      <c r="AF72" s="141"/>
      <c r="AG72" s="141"/>
      <c r="AH72" s="141"/>
      <c r="AJ72" s="121"/>
    </row>
    <row r="73" spans="1:54" s="61" customFormat="1" ht="24" customHeight="1">
      <c r="A73" s="88"/>
      <c r="B73" s="47"/>
      <c r="C73" s="47"/>
      <c r="D73" s="47"/>
      <c r="E73" s="47"/>
      <c r="F73" s="47"/>
      <c r="G73" s="47"/>
      <c r="H73" s="47"/>
      <c r="I73" s="68"/>
      <c r="J73" s="68"/>
      <c r="K73" s="127"/>
      <c r="L73" s="127"/>
      <c r="M73" s="127"/>
      <c r="N73" s="127"/>
      <c r="O73" s="127"/>
      <c r="P73" s="127"/>
      <c r="Q73" s="127"/>
      <c r="R73" s="128"/>
      <c r="S73" s="120"/>
      <c r="T73" s="127"/>
      <c r="U73" s="89"/>
      <c r="V73" s="103"/>
      <c r="W73" s="115"/>
      <c r="Y73" s="242" t="s">
        <v>112</v>
      </c>
      <c r="Z73" s="242" t="s">
        <v>113</v>
      </c>
      <c r="AA73" s="146"/>
      <c r="AB73" s="147"/>
      <c r="AC73" s="147"/>
      <c r="AD73" s="149"/>
      <c r="AE73" s="141"/>
      <c r="AF73" s="141"/>
      <c r="AG73" s="141"/>
      <c r="AH73" s="141"/>
      <c r="AJ73" s="121"/>
    </row>
    <row r="74" spans="1:54" s="61" customFormat="1" ht="12.75" customHeight="1">
      <c r="A74" s="88"/>
      <c r="B74" s="47"/>
      <c r="C74" s="47"/>
      <c r="D74" s="47"/>
      <c r="E74" s="47"/>
      <c r="F74" s="47"/>
      <c r="G74" s="47"/>
      <c r="H74" s="47"/>
      <c r="I74" s="68"/>
      <c r="J74" s="68"/>
      <c r="K74" s="127"/>
      <c r="L74" s="127"/>
      <c r="M74" s="127"/>
      <c r="N74" s="127"/>
      <c r="O74" s="127"/>
      <c r="P74" s="127"/>
      <c r="Q74" s="127"/>
      <c r="R74" s="128"/>
      <c r="S74" s="120"/>
      <c r="T74" s="127"/>
      <c r="U74" s="89"/>
      <c r="V74" s="103"/>
      <c r="W74" s="115"/>
      <c r="X74" s="243" t="str">
        <f t="shared" ref="X74:X94" si="22">B11</f>
        <v>Bracknell Forest</v>
      </c>
      <c r="Y74" s="244" t="e">
        <f t="shared" ref="Y74:Y94" si="23">IF(X74=$Y$4,I11,#N/A)</f>
        <v>#N/A</v>
      </c>
      <c r="Z74" s="244" t="e">
        <f t="shared" ref="Z74:Z94" si="24">IF(X74=$Y$4,T11,#N/A)</f>
        <v>#N/A</v>
      </c>
      <c r="AA74" s="146"/>
      <c r="AB74" s="147"/>
      <c r="AC74" s="147"/>
      <c r="AD74" s="149"/>
      <c r="AE74" s="141"/>
      <c r="AF74" s="141"/>
      <c r="AG74" s="141"/>
      <c r="AH74" s="141"/>
      <c r="AJ74" s="121"/>
    </row>
    <row r="75" spans="1:54" s="61" customFormat="1" ht="12.75" customHeight="1">
      <c r="A75" s="88"/>
      <c r="B75" s="47"/>
      <c r="C75" s="47"/>
      <c r="D75" s="47"/>
      <c r="E75" s="47"/>
      <c r="F75" s="47"/>
      <c r="G75" s="47"/>
      <c r="H75" s="47"/>
      <c r="I75" s="68"/>
      <c r="J75" s="68"/>
      <c r="K75" s="127"/>
      <c r="L75" s="127"/>
      <c r="M75" s="127"/>
      <c r="N75" s="127"/>
      <c r="O75" s="127"/>
      <c r="P75" s="127"/>
      <c r="Q75" s="127"/>
      <c r="R75" s="128"/>
      <c r="S75" s="120"/>
      <c r="T75" s="127"/>
      <c r="U75" s="89"/>
      <c r="V75" s="103"/>
      <c r="W75" s="115"/>
      <c r="X75" s="243" t="str">
        <f t="shared" si="22"/>
        <v>Brighton &amp; Hove</v>
      </c>
      <c r="Y75" s="244" t="e">
        <f t="shared" si="23"/>
        <v>#N/A</v>
      </c>
      <c r="Z75" s="244" t="e">
        <f t="shared" si="24"/>
        <v>#N/A</v>
      </c>
      <c r="AA75" s="146"/>
      <c r="AB75" s="147"/>
      <c r="AC75" s="147"/>
      <c r="AD75" s="149"/>
      <c r="AE75" s="141"/>
      <c r="AF75" s="141"/>
      <c r="AG75" s="141"/>
      <c r="AH75" s="141"/>
      <c r="AJ75" s="121"/>
    </row>
    <row r="76" spans="1:54" s="61" customFormat="1" ht="12.75" customHeight="1">
      <c r="A76" s="88"/>
      <c r="B76" s="47"/>
      <c r="C76" s="47"/>
      <c r="D76" s="47"/>
      <c r="E76" s="47"/>
      <c r="F76" s="47"/>
      <c r="G76" s="47"/>
      <c r="H76" s="47"/>
      <c r="I76" s="68"/>
      <c r="J76" s="68"/>
      <c r="K76" s="127"/>
      <c r="L76" s="127"/>
      <c r="M76" s="127"/>
      <c r="N76" s="127"/>
      <c r="O76" s="127"/>
      <c r="P76" s="127"/>
      <c r="Q76" s="127"/>
      <c r="R76" s="128"/>
      <c r="S76" s="120"/>
      <c r="T76" s="127"/>
      <c r="U76" s="89"/>
      <c r="V76" s="103"/>
      <c r="W76" s="115"/>
      <c r="X76" s="243" t="str">
        <f t="shared" si="22"/>
        <v>Buckinghamshire</v>
      </c>
      <c r="Y76" s="244" t="e">
        <f t="shared" si="23"/>
        <v>#N/A</v>
      </c>
      <c r="Z76" s="244" t="e">
        <f t="shared" si="24"/>
        <v>#N/A</v>
      </c>
      <c r="AA76" s="146"/>
      <c r="AB76" s="147"/>
      <c r="AC76" s="147"/>
      <c r="AD76" s="149"/>
      <c r="AE76" s="141"/>
      <c r="AF76" s="141"/>
      <c r="AG76" s="141"/>
      <c r="AH76" s="141"/>
      <c r="AJ76" s="121"/>
      <c r="AR76" s="61" t="s">
        <v>95</v>
      </c>
    </row>
    <row r="77" spans="1:54" s="61" customFormat="1" ht="12.75" customHeight="1">
      <c r="A77" s="88"/>
      <c r="B77" s="47"/>
      <c r="C77" s="47"/>
      <c r="D77" s="47"/>
      <c r="E77" s="47"/>
      <c r="F77" s="47"/>
      <c r="G77" s="47"/>
      <c r="H77" s="47"/>
      <c r="I77" s="68"/>
      <c r="J77" s="68"/>
      <c r="K77" s="127"/>
      <c r="L77" s="127"/>
      <c r="M77" s="127"/>
      <c r="N77" s="127"/>
      <c r="O77" s="127"/>
      <c r="P77" s="127"/>
      <c r="Q77" s="127"/>
      <c r="R77" s="128"/>
      <c r="S77" s="120"/>
      <c r="T77" s="127"/>
      <c r="U77" s="89"/>
      <c r="V77" s="103"/>
      <c r="W77" s="115"/>
      <c r="X77" s="243" t="str">
        <f t="shared" si="22"/>
        <v>East Sussex</v>
      </c>
      <c r="Y77" s="244" t="e">
        <f t="shared" si="23"/>
        <v>#N/A</v>
      </c>
      <c r="Z77" s="244" t="e">
        <f t="shared" si="24"/>
        <v>#N/A</v>
      </c>
      <c r="AA77" s="146"/>
      <c r="AB77" s="147"/>
      <c r="AC77" s="147"/>
      <c r="AD77" s="149"/>
      <c r="AE77" s="141"/>
      <c r="AF77" s="141"/>
      <c r="AG77" s="141"/>
      <c r="AH77" s="141"/>
      <c r="AJ77" s="121"/>
    </row>
    <row r="78" spans="1:54" s="61" customFormat="1" ht="12.75" customHeight="1">
      <c r="A78" s="88"/>
      <c r="B78" s="47"/>
      <c r="C78" s="47"/>
      <c r="D78" s="47"/>
      <c r="E78" s="47"/>
      <c r="F78" s="47"/>
      <c r="G78" s="47"/>
      <c r="H78" s="47"/>
      <c r="I78" s="68"/>
      <c r="J78" s="68"/>
      <c r="K78" s="127"/>
      <c r="L78" s="127"/>
      <c r="M78" s="127"/>
      <c r="N78" s="127"/>
      <c r="O78" s="127"/>
      <c r="P78" s="127"/>
      <c r="Q78" s="127"/>
      <c r="R78" s="128"/>
      <c r="S78" s="120"/>
      <c r="T78" s="127"/>
      <c r="U78" s="89"/>
      <c r="V78" s="103"/>
      <c r="W78" s="115"/>
      <c r="X78" s="243" t="str">
        <f t="shared" si="22"/>
        <v>Hampshire</v>
      </c>
      <c r="Y78" s="244" t="e">
        <f t="shared" si="23"/>
        <v>#N/A</v>
      </c>
      <c r="Z78" s="244" t="e">
        <f t="shared" si="24"/>
        <v>#N/A</v>
      </c>
      <c r="AA78" s="146"/>
      <c r="AB78" s="147"/>
      <c r="AC78" s="147"/>
      <c r="AD78" s="149"/>
      <c r="AE78" s="141"/>
      <c r="AF78" s="141"/>
      <c r="AG78" s="141"/>
      <c r="AH78" s="141"/>
      <c r="AJ78" s="121"/>
    </row>
    <row r="79" spans="1:54" s="61" customFormat="1" ht="12.75" customHeight="1">
      <c r="A79" s="88"/>
      <c r="B79" s="47"/>
      <c r="C79" s="47"/>
      <c r="D79" s="47"/>
      <c r="E79" s="47"/>
      <c r="F79" s="47"/>
      <c r="G79" s="47"/>
      <c r="H79" s="47"/>
      <c r="I79" s="68"/>
      <c r="J79" s="68"/>
      <c r="K79" s="127"/>
      <c r="L79" s="127"/>
      <c r="M79" s="127"/>
      <c r="N79" s="127"/>
      <c r="O79" s="127"/>
      <c r="P79" s="127"/>
      <c r="Q79" s="127"/>
      <c r="R79" s="128"/>
      <c r="S79" s="120"/>
      <c r="T79" s="127"/>
      <c r="U79" s="89"/>
      <c r="V79" s="103"/>
      <c r="W79" s="115"/>
      <c r="X79" s="243" t="str">
        <f t="shared" si="22"/>
        <v>Isle of Wight</v>
      </c>
      <c r="Y79" s="244" t="e">
        <f t="shared" si="23"/>
        <v>#N/A</v>
      </c>
      <c r="Z79" s="244" t="e">
        <f t="shared" si="24"/>
        <v>#N/A</v>
      </c>
      <c r="AA79" s="146"/>
      <c r="AB79" s="147"/>
      <c r="AC79" s="147"/>
      <c r="AD79" s="149"/>
      <c r="AE79" s="141"/>
      <c r="AF79" s="141"/>
      <c r="AG79" s="141"/>
      <c r="AH79" s="141"/>
      <c r="AJ79" s="121"/>
    </row>
    <row r="80" spans="1:54" s="61" customFormat="1" ht="12.75" customHeight="1">
      <c r="A80" s="88"/>
      <c r="B80" s="47"/>
      <c r="C80" s="47"/>
      <c r="D80" s="47"/>
      <c r="E80" s="47"/>
      <c r="F80" s="47"/>
      <c r="G80" s="47"/>
      <c r="H80" s="47"/>
      <c r="I80" s="68"/>
      <c r="J80" s="68"/>
      <c r="K80" s="127"/>
      <c r="L80" s="127"/>
      <c r="M80" s="127"/>
      <c r="N80" s="127"/>
      <c r="O80" s="127"/>
      <c r="P80" s="127"/>
      <c r="Q80" s="127"/>
      <c r="R80" s="128"/>
      <c r="S80" s="120"/>
      <c r="T80" s="127"/>
      <c r="U80" s="89"/>
      <c r="V80" s="103"/>
      <c r="W80" s="115"/>
      <c r="X80" s="243" t="str">
        <f t="shared" si="22"/>
        <v>Kent</v>
      </c>
      <c r="Y80" s="244" t="e">
        <f t="shared" si="23"/>
        <v>#N/A</v>
      </c>
      <c r="Z80" s="244" t="e">
        <f t="shared" si="24"/>
        <v>#N/A</v>
      </c>
      <c r="AA80" s="146"/>
      <c r="AB80" s="147"/>
      <c r="AC80" s="147"/>
      <c r="AD80" s="149"/>
      <c r="AE80" s="141"/>
      <c r="AF80" s="141"/>
      <c r="AG80" s="141"/>
      <c r="AH80" s="141"/>
      <c r="AJ80" s="121"/>
    </row>
    <row r="81" spans="1:54" s="61" customFormat="1" ht="12.75" customHeight="1">
      <c r="A81" s="88"/>
      <c r="B81" s="47"/>
      <c r="C81" s="47"/>
      <c r="D81" s="47"/>
      <c r="E81" s="47"/>
      <c r="F81" s="47"/>
      <c r="G81" s="47"/>
      <c r="H81" s="47"/>
      <c r="I81" s="68"/>
      <c r="J81" s="68"/>
      <c r="K81" s="127"/>
      <c r="L81" s="127"/>
      <c r="M81" s="127"/>
      <c r="N81" s="127"/>
      <c r="O81" s="127"/>
      <c r="P81" s="127"/>
      <c r="Q81" s="127"/>
      <c r="R81" s="128"/>
      <c r="S81" s="120"/>
      <c r="T81" s="127"/>
      <c r="U81" s="89"/>
      <c r="V81" s="103"/>
      <c r="W81" s="115"/>
      <c r="X81" s="243" t="str">
        <f t="shared" si="22"/>
        <v>Medway</v>
      </c>
      <c r="Y81" s="244" t="e">
        <f t="shared" si="23"/>
        <v>#N/A</v>
      </c>
      <c r="Z81" s="244" t="e">
        <f t="shared" si="24"/>
        <v>#N/A</v>
      </c>
      <c r="AA81" s="146"/>
      <c r="AB81" s="147"/>
      <c r="AC81" s="147"/>
      <c r="AD81" s="149"/>
      <c r="AE81" s="141"/>
      <c r="AF81" s="141"/>
      <c r="AG81" s="141"/>
      <c r="AH81" s="141"/>
      <c r="AJ81" s="121"/>
    </row>
    <row r="82" spans="1:54" s="61" customFormat="1" ht="12.75" customHeight="1">
      <c r="A82" s="88"/>
      <c r="B82" s="47"/>
      <c r="C82" s="47"/>
      <c r="D82" s="47"/>
      <c r="E82" s="47"/>
      <c r="F82" s="47"/>
      <c r="G82" s="47"/>
      <c r="H82" s="47"/>
      <c r="I82" s="68"/>
      <c r="J82" s="68"/>
      <c r="K82" s="127"/>
      <c r="L82" s="127"/>
      <c r="M82" s="127"/>
      <c r="N82" s="127"/>
      <c r="O82" s="127"/>
      <c r="P82" s="127"/>
      <c r="Q82" s="127"/>
      <c r="R82" s="128"/>
      <c r="S82" s="120"/>
      <c r="T82" s="127"/>
      <c r="U82" s="89"/>
      <c r="V82" s="103"/>
      <c r="W82" s="115"/>
      <c r="X82" s="243" t="str">
        <f t="shared" si="22"/>
        <v>Milton Keynes</v>
      </c>
      <c r="Y82" s="244" t="e">
        <f t="shared" si="23"/>
        <v>#N/A</v>
      </c>
      <c r="Z82" s="244" t="e">
        <f t="shared" si="24"/>
        <v>#N/A</v>
      </c>
      <c r="AA82" s="146"/>
      <c r="AB82" s="147"/>
      <c r="AC82" s="147"/>
      <c r="AD82" s="149"/>
      <c r="AE82" s="141"/>
      <c r="AF82" s="141"/>
      <c r="AG82" s="141"/>
      <c r="AH82" s="141"/>
      <c r="AJ82" s="121"/>
    </row>
    <row r="83" spans="1:54" s="61" customFormat="1" ht="12.75" customHeight="1">
      <c r="A83" s="88"/>
      <c r="B83" s="47"/>
      <c r="C83" s="47"/>
      <c r="D83" s="47"/>
      <c r="E83" s="47"/>
      <c r="F83" s="47"/>
      <c r="G83" s="47"/>
      <c r="H83" s="47"/>
      <c r="I83" s="68"/>
      <c r="J83" s="68"/>
      <c r="K83" s="127"/>
      <c r="L83" s="127"/>
      <c r="M83" s="127"/>
      <c r="N83" s="127"/>
      <c r="O83" s="127"/>
      <c r="P83" s="127"/>
      <c r="Q83" s="127"/>
      <c r="R83" s="128"/>
      <c r="S83" s="120"/>
      <c r="T83" s="127"/>
      <c r="U83" s="89"/>
      <c r="V83" s="103"/>
      <c r="W83" s="115"/>
      <c r="X83" s="243" t="str">
        <f t="shared" si="22"/>
        <v>Oxfordshire</v>
      </c>
      <c r="Y83" s="244" t="e">
        <f t="shared" si="23"/>
        <v>#N/A</v>
      </c>
      <c r="Z83" s="244" t="e">
        <f t="shared" si="24"/>
        <v>#N/A</v>
      </c>
      <c r="AA83" s="146"/>
      <c r="AB83" s="147"/>
      <c r="AC83" s="147"/>
      <c r="AD83" s="149"/>
      <c r="AE83" s="141"/>
      <c r="AF83" s="141"/>
      <c r="AG83" s="141"/>
      <c r="AH83" s="141"/>
      <c r="AJ83" s="121"/>
    </row>
    <row r="84" spans="1:54" s="61" customFormat="1" ht="12.75" customHeight="1">
      <c r="A84" s="88"/>
      <c r="B84" s="47"/>
      <c r="C84" s="47"/>
      <c r="D84" s="47"/>
      <c r="E84" s="47"/>
      <c r="F84" s="47"/>
      <c r="G84" s="47"/>
      <c r="H84" s="47"/>
      <c r="I84" s="68"/>
      <c r="J84" s="68"/>
      <c r="K84" s="127"/>
      <c r="L84" s="127"/>
      <c r="M84" s="127"/>
      <c r="N84" s="127"/>
      <c r="O84" s="127"/>
      <c r="P84" s="127"/>
      <c r="Q84" s="127"/>
      <c r="R84" s="128"/>
      <c r="S84" s="120"/>
      <c r="T84" s="127"/>
      <c r="U84" s="89"/>
      <c r="V84" s="103"/>
      <c r="W84" s="115"/>
      <c r="X84" s="243" t="str">
        <f t="shared" si="22"/>
        <v>Portsmouth</v>
      </c>
      <c r="Y84" s="244" t="e">
        <f t="shared" si="23"/>
        <v>#N/A</v>
      </c>
      <c r="Z84" s="244" t="e">
        <f t="shared" si="24"/>
        <v>#N/A</v>
      </c>
      <c r="AA84" s="146"/>
      <c r="AB84" s="147"/>
      <c r="AC84" s="147"/>
      <c r="AD84" s="149"/>
      <c r="AE84" s="141"/>
      <c r="AF84" s="141"/>
      <c r="AG84" s="141"/>
      <c r="AH84" s="141"/>
      <c r="AJ84" s="121"/>
    </row>
    <row r="85" spans="1:54" s="61" customFormat="1" ht="12.75" customHeight="1">
      <c r="A85" s="88"/>
      <c r="B85" s="47"/>
      <c r="C85" s="47"/>
      <c r="D85" s="47"/>
      <c r="E85" s="47"/>
      <c r="F85" s="47"/>
      <c r="G85" s="47"/>
      <c r="H85" s="47"/>
      <c r="I85" s="68"/>
      <c r="J85" s="68"/>
      <c r="K85" s="127"/>
      <c r="L85" s="127"/>
      <c r="M85" s="127"/>
      <c r="N85" s="127"/>
      <c r="O85" s="127"/>
      <c r="P85" s="127"/>
      <c r="Q85" s="127"/>
      <c r="R85" s="128"/>
      <c r="S85" s="120"/>
      <c r="T85" s="127"/>
      <c r="U85" s="89"/>
      <c r="V85" s="103"/>
      <c r="W85" s="115"/>
      <c r="X85" s="243" t="str">
        <f t="shared" si="22"/>
        <v>Reading</v>
      </c>
      <c r="Y85" s="244" t="e">
        <f t="shared" si="23"/>
        <v>#N/A</v>
      </c>
      <c r="Z85" s="244" t="e">
        <f t="shared" si="24"/>
        <v>#N/A</v>
      </c>
      <c r="AA85" s="146"/>
      <c r="AB85" s="147"/>
      <c r="AC85" s="147"/>
      <c r="AD85" s="149"/>
      <c r="AE85" s="141"/>
      <c r="AF85" s="141"/>
      <c r="AG85" s="141"/>
      <c r="AH85" s="141"/>
      <c r="AJ85" s="121"/>
    </row>
    <row r="86" spans="1:54" s="61" customFormat="1" ht="12.75" customHeight="1">
      <c r="A86" s="88"/>
      <c r="B86" s="47"/>
      <c r="C86" s="47"/>
      <c r="D86" s="47"/>
      <c r="E86" s="47"/>
      <c r="F86" s="47"/>
      <c r="G86" s="47"/>
      <c r="H86" s="47"/>
      <c r="I86" s="68"/>
      <c r="J86" s="68"/>
      <c r="K86" s="127"/>
      <c r="L86" s="127"/>
      <c r="M86" s="127"/>
      <c r="N86" s="127"/>
      <c r="O86" s="127"/>
      <c r="P86" s="127"/>
      <c r="Q86" s="127"/>
      <c r="R86" s="128"/>
      <c r="S86" s="120"/>
      <c r="T86" s="127"/>
      <c r="U86" s="89"/>
      <c r="V86" s="103"/>
      <c r="W86" s="115"/>
      <c r="X86" s="243" t="str">
        <f t="shared" si="22"/>
        <v>Slough</v>
      </c>
      <c r="Y86" s="244" t="e">
        <f t="shared" si="23"/>
        <v>#N/A</v>
      </c>
      <c r="Z86" s="244" t="e">
        <f t="shared" si="24"/>
        <v>#N/A</v>
      </c>
      <c r="AA86" s="146"/>
      <c r="AB86" s="147"/>
      <c r="AC86" s="147"/>
      <c r="AD86" s="149"/>
      <c r="AE86" s="141"/>
      <c r="AF86" s="141"/>
      <c r="AG86" s="141"/>
      <c r="AH86" s="141"/>
      <c r="AJ86" s="121"/>
    </row>
    <row r="87" spans="1:54" s="61" customFormat="1" ht="12.75" customHeight="1">
      <c r="A87" s="88"/>
      <c r="B87" s="47"/>
      <c r="C87" s="47"/>
      <c r="D87" s="47"/>
      <c r="E87" s="47"/>
      <c r="F87" s="47"/>
      <c r="G87" s="47"/>
      <c r="H87" s="47"/>
      <c r="I87" s="68"/>
      <c r="J87" s="68"/>
      <c r="K87" s="127"/>
      <c r="L87" s="127"/>
      <c r="M87" s="127"/>
      <c r="N87" s="127"/>
      <c r="O87" s="127"/>
      <c r="P87" s="127"/>
      <c r="Q87" s="127"/>
      <c r="R87" s="128"/>
      <c r="S87" s="120"/>
      <c r="T87" s="127"/>
      <c r="U87" s="89"/>
      <c r="V87" s="103"/>
      <c r="W87" s="115"/>
      <c r="X87" s="243" t="str">
        <f t="shared" si="22"/>
        <v>Southampton</v>
      </c>
      <c r="Y87" s="244" t="e">
        <f t="shared" si="23"/>
        <v>#N/A</v>
      </c>
      <c r="Z87" s="244" t="e">
        <f t="shared" si="24"/>
        <v>#N/A</v>
      </c>
      <c r="AA87" s="146"/>
      <c r="AB87" s="141"/>
      <c r="AC87" s="141"/>
      <c r="AE87" s="141"/>
      <c r="AF87" s="141"/>
      <c r="AJ87" s="121"/>
    </row>
    <row r="88" spans="1:54" s="61" customFormat="1" ht="12.75" customHeight="1">
      <c r="A88" s="88"/>
      <c r="B88" s="47"/>
      <c r="C88" s="47"/>
      <c r="D88" s="47"/>
      <c r="E88" s="47"/>
      <c r="F88" s="47"/>
      <c r="G88" s="47"/>
      <c r="H88" s="47"/>
      <c r="I88" s="68"/>
      <c r="J88" s="68"/>
      <c r="K88" s="127"/>
      <c r="L88" s="127"/>
      <c r="M88" s="127"/>
      <c r="N88" s="127"/>
      <c r="O88" s="127"/>
      <c r="P88" s="127"/>
      <c r="Q88" s="127"/>
      <c r="R88" s="128"/>
      <c r="S88" s="120"/>
      <c r="T88" s="127"/>
      <c r="U88" s="89"/>
      <c r="V88" s="103"/>
      <c r="W88" s="115"/>
      <c r="X88" s="243" t="str">
        <f t="shared" si="22"/>
        <v>Surrey</v>
      </c>
      <c r="Y88" s="244" t="e">
        <f t="shared" si="23"/>
        <v>#N/A</v>
      </c>
      <c r="Z88" s="244" t="e">
        <f t="shared" si="24"/>
        <v>#N/A</v>
      </c>
      <c r="AA88" s="146"/>
      <c r="AB88" s="147"/>
      <c r="AC88" s="147"/>
      <c r="AD88" s="149"/>
      <c r="AE88" s="141"/>
      <c r="AF88" s="141"/>
      <c r="AG88" s="141"/>
      <c r="AH88" s="141"/>
      <c r="AJ88" s="121"/>
    </row>
    <row r="89" spans="1:54" s="61" customFormat="1" ht="12.75" customHeight="1">
      <c r="A89" s="217"/>
      <c r="B89" s="47"/>
      <c r="C89" s="47"/>
      <c r="D89" s="47"/>
      <c r="E89" s="47"/>
      <c r="F89" s="47"/>
      <c r="G89" s="47"/>
      <c r="H89" s="47"/>
      <c r="I89" s="68"/>
      <c r="J89" s="68"/>
      <c r="K89" s="127"/>
      <c r="L89" s="127"/>
      <c r="M89" s="127"/>
      <c r="N89" s="127"/>
      <c r="O89" s="127"/>
      <c r="P89" s="127"/>
      <c r="Q89" s="127"/>
      <c r="R89" s="128"/>
      <c r="S89" s="120"/>
      <c r="T89" s="127"/>
      <c r="U89" s="89"/>
      <c r="V89" s="103"/>
      <c r="W89" s="115"/>
      <c r="X89" s="243" t="str">
        <f t="shared" si="22"/>
        <v>West Berkshire</v>
      </c>
      <c r="Y89" s="244" t="e">
        <f t="shared" si="23"/>
        <v>#N/A</v>
      </c>
      <c r="Z89" s="244" t="e">
        <f t="shared" si="24"/>
        <v>#N/A</v>
      </c>
      <c r="AA89" s="146"/>
      <c r="AB89" s="147"/>
      <c r="AC89" s="147"/>
      <c r="AD89" s="149"/>
      <c r="AE89" s="141"/>
      <c r="AF89" s="141"/>
      <c r="AG89" s="141"/>
      <c r="AH89" s="141"/>
      <c r="AJ89" s="121"/>
    </row>
    <row r="90" spans="1:54" s="61" customFormat="1" ht="12.75" customHeight="1">
      <c r="A90" s="217"/>
      <c r="B90" s="47"/>
      <c r="C90" s="47"/>
      <c r="D90" s="47"/>
      <c r="E90" s="47"/>
      <c r="F90" s="47"/>
      <c r="G90" s="47"/>
      <c r="H90" s="47"/>
      <c r="I90" s="68"/>
      <c r="J90" s="68"/>
      <c r="K90" s="127"/>
      <c r="L90" s="127"/>
      <c r="M90" s="127"/>
      <c r="N90" s="127"/>
      <c r="O90" s="127"/>
      <c r="P90" s="127"/>
      <c r="Q90" s="127"/>
      <c r="R90" s="128"/>
      <c r="S90" s="120"/>
      <c r="T90" s="127"/>
      <c r="U90" s="89"/>
      <c r="V90" s="103"/>
      <c r="W90" s="115"/>
      <c r="X90" s="243" t="str">
        <f t="shared" si="22"/>
        <v>West Sussex</v>
      </c>
      <c r="Y90" s="244" t="e">
        <f t="shared" si="23"/>
        <v>#N/A</v>
      </c>
      <c r="Z90" s="244" t="e">
        <f t="shared" si="24"/>
        <v>#N/A</v>
      </c>
      <c r="AA90" s="146"/>
      <c r="AB90" s="141"/>
      <c r="AC90" s="141"/>
      <c r="AE90" s="141"/>
      <c r="AF90" s="141"/>
      <c r="AJ90" s="121"/>
    </row>
    <row r="91" spans="1:54" s="61" customFormat="1" ht="12.75" customHeight="1">
      <c r="A91" s="88"/>
      <c r="B91" s="47"/>
      <c r="C91" s="47"/>
      <c r="D91" s="47"/>
      <c r="E91" s="47"/>
      <c r="F91" s="47"/>
      <c r="G91" s="47"/>
      <c r="H91" s="47"/>
      <c r="I91" s="68"/>
      <c r="J91" s="68"/>
      <c r="K91" s="127"/>
      <c r="L91" s="127"/>
      <c r="M91" s="127"/>
      <c r="N91" s="127"/>
      <c r="O91" s="127"/>
      <c r="P91" s="127"/>
      <c r="Q91" s="127"/>
      <c r="R91" s="128"/>
      <c r="S91" s="120"/>
      <c r="T91" s="127"/>
      <c r="U91" s="89"/>
      <c r="V91" s="103"/>
      <c r="W91" s="115"/>
      <c r="X91" s="243" t="str">
        <f t="shared" si="22"/>
        <v>Windsor &amp; Maidenhead</v>
      </c>
      <c r="Y91" s="244" t="e">
        <f t="shared" si="23"/>
        <v>#N/A</v>
      </c>
      <c r="Z91" s="244" t="e">
        <f t="shared" si="24"/>
        <v>#N/A</v>
      </c>
      <c r="AA91" s="146"/>
      <c r="AB91" s="147"/>
      <c r="AC91" s="147"/>
      <c r="AD91" s="149"/>
      <c r="AF91" s="141"/>
      <c r="AG91" s="141"/>
      <c r="AH91" s="141"/>
      <c r="AJ91" s="121"/>
    </row>
    <row r="92" spans="1:54" s="61" customFormat="1" ht="12.75" customHeight="1">
      <c r="A92" s="88"/>
      <c r="B92" s="47"/>
      <c r="C92" s="47"/>
      <c r="D92" s="47"/>
      <c r="E92" s="47"/>
      <c r="F92" s="47"/>
      <c r="G92" s="47"/>
      <c r="H92" s="47"/>
      <c r="I92" s="68"/>
      <c r="J92" s="68"/>
      <c r="K92" s="127"/>
      <c r="L92" s="127"/>
      <c r="M92" s="127"/>
      <c r="N92" s="127"/>
      <c r="O92" s="127"/>
      <c r="P92" s="127"/>
      <c r="Q92" s="127"/>
      <c r="R92" s="128"/>
      <c r="S92" s="120"/>
      <c r="T92" s="127"/>
      <c r="U92" s="89"/>
      <c r="V92" s="103"/>
      <c r="W92" s="115"/>
      <c r="X92" s="243" t="str">
        <f t="shared" si="22"/>
        <v>Wokingham</v>
      </c>
      <c r="Y92" s="244" t="e">
        <f t="shared" si="23"/>
        <v>#N/A</v>
      </c>
      <c r="Z92" s="244" t="e">
        <f t="shared" si="24"/>
        <v>#N/A</v>
      </c>
      <c r="AA92" s="146"/>
      <c r="AB92" s="147"/>
      <c r="AC92" s="147"/>
      <c r="AD92" s="149"/>
      <c r="AF92" s="141"/>
      <c r="AG92" s="141"/>
      <c r="AH92" s="141"/>
      <c r="AJ92" s="121"/>
    </row>
    <row r="93" spans="1:54" s="61" customFormat="1" ht="12.75" customHeight="1">
      <c r="A93" s="88"/>
      <c r="B93" s="47"/>
      <c r="C93" s="47"/>
      <c r="D93" s="47"/>
      <c r="E93" s="47"/>
      <c r="F93" s="47"/>
      <c r="G93" s="47"/>
      <c r="H93" s="47"/>
      <c r="I93" s="68"/>
      <c r="J93" s="68"/>
      <c r="K93" s="127"/>
      <c r="L93" s="127"/>
      <c r="M93" s="127"/>
      <c r="N93" s="127"/>
      <c r="O93" s="127"/>
      <c r="P93" s="127"/>
      <c r="Q93" s="127"/>
      <c r="R93" s="128"/>
      <c r="S93" s="120"/>
      <c r="T93" s="127"/>
      <c r="U93" s="89"/>
      <c r="V93" s="103"/>
      <c r="W93" s="115"/>
      <c r="X93" s="243" t="str">
        <f t="shared" si="22"/>
        <v>South East</v>
      </c>
      <c r="Y93" s="244" t="e">
        <f t="shared" si="23"/>
        <v>#N/A</v>
      </c>
      <c r="Z93" s="244" t="e">
        <f t="shared" si="24"/>
        <v>#N/A</v>
      </c>
      <c r="AA93" s="146"/>
      <c r="AB93" s="147"/>
      <c r="AC93" s="147"/>
      <c r="AD93" s="149"/>
      <c r="AH93" s="141"/>
      <c r="AJ93" s="121"/>
    </row>
    <row r="94" spans="1:54" s="61" customFormat="1" ht="12.75" customHeight="1">
      <c r="A94" s="88"/>
      <c r="B94" s="47"/>
      <c r="C94" s="47"/>
      <c r="D94" s="47"/>
      <c r="E94" s="47"/>
      <c r="F94" s="47"/>
      <c r="G94" s="47"/>
      <c r="H94" s="47"/>
      <c r="I94" s="68"/>
      <c r="J94" s="68"/>
      <c r="K94" s="127"/>
      <c r="L94" s="127"/>
      <c r="M94" s="127"/>
      <c r="N94" s="127"/>
      <c r="O94" s="127"/>
      <c r="P94" s="127"/>
      <c r="Q94" s="127"/>
      <c r="R94" s="128"/>
      <c r="S94" s="120"/>
      <c r="T94" s="127"/>
      <c r="U94" s="89"/>
      <c r="V94" s="103"/>
      <c r="W94" s="115"/>
      <c r="X94" s="243" t="str">
        <f t="shared" si="22"/>
        <v>England</v>
      </c>
      <c r="Y94" s="244" t="e">
        <f t="shared" si="23"/>
        <v>#N/A</v>
      </c>
      <c r="Z94" s="244" t="e">
        <f t="shared" si="24"/>
        <v>#N/A</v>
      </c>
      <c r="AA94" s="146"/>
      <c r="AB94" s="147"/>
      <c r="AC94" s="147"/>
      <c r="AD94" s="149"/>
      <c r="AH94" s="141"/>
      <c r="AJ94" s="121"/>
    </row>
    <row r="95" spans="1:54" s="61" customFormat="1" ht="12.75" customHeight="1">
      <c r="A95" s="88"/>
      <c r="B95" s="47"/>
      <c r="C95" s="47"/>
      <c r="D95" s="47"/>
      <c r="E95" s="47"/>
      <c r="F95" s="47"/>
      <c r="G95" s="47"/>
      <c r="H95" s="47"/>
      <c r="I95" s="68"/>
      <c r="J95" s="68"/>
      <c r="K95" s="129"/>
      <c r="L95" s="129"/>
      <c r="M95" s="129"/>
      <c r="N95" s="129"/>
      <c r="O95" s="129"/>
      <c r="P95" s="129"/>
      <c r="Q95" s="129"/>
      <c r="R95" s="130"/>
      <c r="S95" s="120"/>
      <c r="T95" s="131"/>
      <c r="U95" s="89"/>
      <c r="V95" s="103"/>
      <c r="W95" s="115"/>
      <c r="AA95" s="146"/>
      <c r="AB95" s="147"/>
      <c r="AC95" s="147"/>
      <c r="AD95" s="149"/>
      <c r="AH95" s="141"/>
      <c r="AJ95" s="121"/>
    </row>
    <row r="96" spans="1:54" s="61" customFormat="1" ht="12.75" customHeight="1">
      <c r="A96" s="88"/>
      <c r="B96" s="47"/>
      <c r="C96" s="47"/>
      <c r="D96" s="47"/>
      <c r="E96" s="47"/>
      <c r="F96" s="47"/>
      <c r="G96" s="47"/>
      <c r="H96" s="47"/>
      <c r="I96" s="68"/>
      <c r="J96" s="68"/>
      <c r="K96" s="129"/>
      <c r="L96" s="129"/>
      <c r="M96" s="129"/>
      <c r="N96" s="129"/>
      <c r="O96" s="129"/>
      <c r="P96" s="129"/>
      <c r="Q96" s="129"/>
      <c r="R96" s="130"/>
      <c r="S96" s="120"/>
      <c r="T96" s="131"/>
      <c r="U96" s="89"/>
      <c r="V96" s="103"/>
      <c r="W96" s="114"/>
      <c r="X96" s="56"/>
      <c r="Y96" s="56"/>
      <c r="Z96" s="56"/>
      <c r="AA96" s="56"/>
      <c r="AB96" s="147"/>
      <c r="AC96" s="147"/>
      <c r="AD96" s="149"/>
      <c r="AH96" s="56"/>
      <c r="AI96" s="52"/>
      <c r="AJ96" s="122"/>
      <c r="AK96" s="56"/>
      <c r="AL96" s="56"/>
      <c r="AM96" s="56"/>
      <c r="AN96" s="56"/>
      <c r="AO96" s="56"/>
      <c r="AP96" s="56"/>
      <c r="AQ96" s="56"/>
      <c r="AR96" s="56"/>
      <c r="AS96" s="56"/>
      <c r="AT96" s="56"/>
      <c r="AU96" s="56"/>
      <c r="AV96" s="56"/>
      <c r="AW96" s="56"/>
      <c r="AX96" s="56"/>
      <c r="AY96" s="56"/>
      <c r="AZ96" s="56"/>
      <c r="BA96" s="56"/>
      <c r="BB96" s="56"/>
    </row>
    <row r="97" spans="1:54" s="61" customFormat="1" ht="11.25" customHeight="1">
      <c r="A97" s="217"/>
      <c r="B97" s="47"/>
      <c r="C97" s="47"/>
      <c r="D97" s="47"/>
      <c r="E97" s="47"/>
      <c r="F97" s="47"/>
      <c r="G97" s="47"/>
      <c r="H97" s="47"/>
      <c r="I97" s="68"/>
      <c r="J97" s="68"/>
      <c r="K97" s="129"/>
      <c r="L97" s="129"/>
      <c r="M97" s="129"/>
      <c r="N97" s="129"/>
      <c r="O97" s="129"/>
      <c r="P97" s="129"/>
      <c r="Q97" s="129"/>
      <c r="R97" s="130"/>
      <c r="S97" s="120"/>
      <c r="T97" s="131"/>
      <c r="U97" s="89"/>
      <c r="V97" s="103"/>
      <c r="W97" s="114"/>
      <c r="X97" s="56"/>
      <c r="Y97" s="141"/>
      <c r="Z97" s="56"/>
      <c r="AA97" s="56"/>
      <c r="AB97" s="147"/>
      <c r="AC97" s="147"/>
      <c r="AD97" s="149"/>
      <c r="AH97" s="56"/>
      <c r="AI97" s="52"/>
      <c r="AJ97" s="122"/>
      <c r="AK97" s="56"/>
      <c r="AL97" s="56"/>
      <c r="AM97" s="56"/>
      <c r="AN97" s="56"/>
      <c r="AO97" s="56"/>
      <c r="AP97" s="56"/>
      <c r="AQ97" s="56"/>
      <c r="AR97" s="56"/>
      <c r="AS97" s="56"/>
      <c r="AT97" s="56"/>
      <c r="AU97" s="56"/>
      <c r="AV97" s="56"/>
      <c r="AW97" s="56"/>
      <c r="AX97" s="56"/>
      <c r="AY97" s="56"/>
      <c r="AZ97" s="56"/>
      <c r="BA97" s="56"/>
      <c r="BB97" s="56"/>
    </row>
    <row r="98" spans="1:54" s="56" customFormat="1" ht="35.1" customHeight="1">
      <c r="A98" s="166"/>
      <c r="B98" s="47"/>
      <c r="C98" s="47"/>
      <c r="D98" s="47"/>
      <c r="E98" s="47"/>
      <c r="F98" s="47"/>
      <c r="G98" s="47"/>
      <c r="H98" s="47"/>
      <c r="I98" s="171"/>
      <c r="J98" s="133"/>
      <c r="K98" s="133"/>
      <c r="L98" s="133"/>
      <c r="M98" s="133"/>
      <c r="N98" s="133"/>
      <c r="O98" s="133"/>
      <c r="P98" s="133"/>
      <c r="Q98" s="133"/>
      <c r="R98" s="101"/>
      <c r="S98" s="133"/>
      <c r="T98" s="133"/>
      <c r="U98" s="86"/>
      <c r="V98" s="102"/>
      <c r="W98" s="114"/>
      <c r="Y98" s="141"/>
      <c r="AC98" s="147"/>
      <c r="AD98" s="149"/>
      <c r="AE98" s="52"/>
      <c r="AF98" s="52"/>
      <c r="AG98" s="52"/>
      <c r="AI98" s="52"/>
      <c r="AJ98" s="122"/>
    </row>
    <row r="99" spans="1:54" s="56" customFormat="1" ht="35.1" customHeight="1">
      <c r="A99" s="166"/>
      <c r="B99" s="47"/>
      <c r="C99" s="47"/>
      <c r="D99" s="47"/>
      <c r="E99" s="47"/>
      <c r="F99" s="47"/>
      <c r="G99" s="47"/>
      <c r="H99" s="47"/>
      <c r="I99" s="171"/>
      <c r="J99" s="133"/>
      <c r="K99" s="133"/>
      <c r="L99" s="133"/>
      <c r="M99" s="133"/>
      <c r="N99" s="133"/>
      <c r="O99" s="133"/>
      <c r="P99" s="133"/>
      <c r="Q99" s="133"/>
      <c r="R99" s="101"/>
      <c r="S99" s="133"/>
      <c r="T99" s="133"/>
      <c r="U99" s="86"/>
      <c r="V99" s="102"/>
      <c r="W99" s="114"/>
      <c r="Y99" s="141"/>
      <c r="AD99" s="149"/>
      <c r="AE99" s="52"/>
      <c r="AF99" s="52"/>
      <c r="AG99" s="52"/>
      <c r="AI99" s="52"/>
      <c r="AJ99" s="119"/>
      <c r="AK99" s="52"/>
      <c r="AL99" s="52"/>
      <c r="AM99" s="52"/>
      <c r="AN99" s="52"/>
      <c r="AO99" s="52"/>
      <c r="AP99" s="52"/>
      <c r="AQ99" s="52"/>
    </row>
    <row r="100" spans="1:54" s="56" customFormat="1" ht="45" customHeight="1">
      <c r="A100" s="166"/>
      <c r="B100" s="171"/>
      <c r="C100" s="171"/>
      <c r="D100" s="171"/>
      <c r="E100" s="171"/>
      <c r="F100" s="171"/>
      <c r="G100" s="171"/>
      <c r="H100" s="171"/>
      <c r="I100" s="171"/>
      <c r="J100" s="133"/>
      <c r="K100" s="133"/>
      <c r="L100" s="133"/>
      <c r="M100" s="133"/>
      <c r="N100" s="133"/>
      <c r="O100" s="133"/>
      <c r="P100" s="133"/>
      <c r="Q100" s="133"/>
      <c r="R100" s="101"/>
      <c r="S100" s="133"/>
      <c r="T100" s="133"/>
      <c r="U100" s="86"/>
      <c r="V100" s="121"/>
      <c r="W100" s="114"/>
      <c r="X100" s="52"/>
      <c r="Y100" s="52"/>
      <c r="AD100" s="149"/>
      <c r="AE100" s="52"/>
      <c r="AF100" s="52"/>
      <c r="AG100" s="52"/>
      <c r="AJ100" s="122"/>
      <c r="AS100" s="52"/>
    </row>
    <row r="101" spans="1:54" s="56" customFormat="1" ht="7.5" customHeight="1">
      <c r="A101" s="87"/>
      <c r="B101" s="12"/>
      <c r="C101" s="12"/>
      <c r="D101" s="11"/>
      <c r="E101" s="11"/>
      <c r="F101" s="11"/>
      <c r="G101" s="11"/>
      <c r="H101" s="11"/>
      <c r="I101" s="11"/>
      <c r="J101" s="1"/>
      <c r="K101" s="13"/>
      <c r="L101" s="13"/>
      <c r="M101" s="13"/>
      <c r="N101" s="13"/>
      <c r="O101" s="13"/>
      <c r="P101" s="13"/>
      <c r="Q101" s="13"/>
      <c r="R101" s="13"/>
      <c r="S101" s="13"/>
      <c r="T101" s="14"/>
      <c r="U101" s="86"/>
      <c r="V101" s="185"/>
      <c r="W101" s="114"/>
      <c r="X101" s="52"/>
      <c r="Y101" s="52"/>
      <c r="AI101" s="52"/>
      <c r="AJ101" s="121"/>
      <c r="AK101" s="61"/>
      <c r="AS101" s="52"/>
    </row>
    <row r="102" spans="1:54" s="56" customFormat="1" ht="15" customHeight="1">
      <c r="A102" s="1758"/>
      <c r="B102" s="1759"/>
      <c r="C102" s="1759"/>
      <c r="D102" s="1759"/>
      <c r="E102" s="1759"/>
      <c r="F102" s="1759"/>
      <c r="G102" s="1759"/>
      <c r="H102" s="1759"/>
      <c r="I102" s="1759"/>
      <c r="J102" s="1759"/>
      <c r="K102" s="1759"/>
      <c r="L102" s="1759"/>
      <c r="M102" s="1759"/>
      <c r="N102" s="1759"/>
      <c r="O102" s="1759"/>
      <c r="P102" s="1759"/>
      <c r="Q102" s="1759"/>
      <c r="R102" s="1759"/>
      <c r="S102" s="1759"/>
      <c r="T102" s="1759"/>
      <c r="U102" s="1760"/>
      <c r="V102" s="185"/>
      <c r="W102" s="114"/>
      <c r="Y102" s="146"/>
      <c r="Z102" s="52"/>
      <c r="AI102" s="52"/>
      <c r="AJ102" s="119"/>
      <c r="AK102" s="52"/>
      <c r="AL102" s="52"/>
      <c r="AM102" s="52"/>
      <c r="AN102" s="52"/>
      <c r="AO102" s="52"/>
      <c r="AP102" s="52"/>
      <c r="AQ102" s="52"/>
      <c r="AR102" s="52"/>
      <c r="AS102" s="52"/>
      <c r="AT102" s="52"/>
      <c r="AU102" s="52"/>
      <c r="AV102" s="52"/>
      <c r="AW102" s="52"/>
      <c r="AX102" s="52"/>
      <c r="AY102" s="52"/>
      <c r="AZ102" s="52"/>
      <c r="BA102" s="52"/>
      <c r="BB102" s="52"/>
    </row>
    <row r="103" spans="1:54" s="56" customFormat="1" ht="11.1" customHeight="1">
      <c r="A103" s="1744"/>
      <c r="B103" s="1745"/>
      <c r="C103" s="1745"/>
      <c r="D103" s="1745"/>
      <c r="E103" s="1745"/>
      <c r="F103" s="1745"/>
      <c r="G103" s="1745"/>
      <c r="H103" s="1745"/>
      <c r="I103" s="1745"/>
      <c r="J103" s="1745"/>
      <c r="K103" s="1745"/>
      <c r="L103" s="1745"/>
      <c r="M103" s="1745"/>
      <c r="N103" s="1745"/>
      <c r="O103" s="1745"/>
      <c r="P103" s="1745"/>
      <c r="Q103" s="1745"/>
      <c r="R103" s="1745"/>
      <c r="S103" s="1745"/>
      <c r="T103" s="1745"/>
      <c r="U103" s="1746"/>
      <c r="V103" s="185"/>
      <c r="W103" s="114"/>
      <c r="AH103" s="52"/>
      <c r="AI103" s="52"/>
      <c r="AJ103" s="119"/>
      <c r="AK103" s="52"/>
      <c r="AL103" s="52"/>
      <c r="AM103" s="52"/>
      <c r="AN103" s="52"/>
      <c r="AO103" s="52"/>
      <c r="AP103" s="52"/>
      <c r="AQ103" s="52"/>
      <c r="AR103" s="52"/>
      <c r="AS103" s="52"/>
      <c r="AT103" s="52"/>
      <c r="AU103" s="52"/>
      <c r="AV103" s="52"/>
      <c r="AW103" s="52"/>
      <c r="AX103" s="52"/>
      <c r="AY103" s="52"/>
      <c r="AZ103" s="52"/>
      <c r="BA103" s="52"/>
      <c r="BB103" s="52"/>
    </row>
    <row r="104" spans="1:54" ht="11.1" hidden="1" customHeight="1">
      <c r="A104" s="81"/>
      <c r="B104" s="82"/>
      <c r="C104" s="82"/>
      <c r="D104" s="82"/>
      <c r="E104" s="82"/>
      <c r="F104" s="82"/>
      <c r="G104" s="82"/>
      <c r="H104" s="82"/>
      <c r="I104" s="82"/>
      <c r="J104" s="83"/>
      <c r="K104" s="82"/>
      <c r="L104" s="82"/>
      <c r="M104" s="82"/>
      <c r="N104" s="82"/>
      <c r="O104" s="82"/>
      <c r="P104" s="82"/>
      <c r="Q104" s="82"/>
      <c r="R104" s="82"/>
      <c r="S104" s="82"/>
      <c r="T104" s="82"/>
      <c r="U104" s="84"/>
      <c r="V104" s="102"/>
      <c r="W104" s="114"/>
      <c r="X104" s="52"/>
      <c r="Y104" s="52"/>
      <c r="Z104" s="52"/>
      <c r="AA104" s="52"/>
      <c r="AJ104" s="119"/>
    </row>
    <row r="105" spans="1:54" ht="15" hidden="1" customHeight="1">
      <c r="A105" s="87"/>
      <c r="B105" s="1757" t="s">
        <v>204</v>
      </c>
      <c r="C105" s="1757"/>
      <c r="D105" s="1757"/>
      <c r="E105" s="1757"/>
      <c r="F105" s="1757"/>
      <c r="G105" s="1757"/>
      <c r="H105" s="1757"/>
      <c r="I105" s="1757"/>
      <c r="J105" s="50"/>
      <c r="K105" s="50"/>
      <c r="L105" s="50"/>
      <c r="M105" s="50"/>
      <c r="N105" s="224"/>
      <c r="O105" s="50"/>
      <c r="P105" s="50"/>
      <c r="Q105" s="50"/>
      <c r="R105" s="50"/>
      <c r="S105" s="50"/>
      <c r="T105" s="50"/>
      <c r="U105" s="86"/>
      <c r="V105" s="102"/>
      <c r="W105" s="114"/>
      <c r="X105" s="148" t="s">
        <v>206</v>
      </c>
      <c r="Y105" s="52"/>
      <c r="Z105" s="52"/>
      <c r="AA105" s="52"/>
      <c r="AB105" s="52"/>
      <c r="AC105" s="52"/>
      <c r="AD105" s="52"/>
      <c r="AE105" s="148" t="s">
        <v>646</v>
      </c>
      <c r="AF105" s="52"/>
      <c r="AG105" s="52"/>
      <c r="AJ105" s="119"/>
    </row>
    <row r="106" spans="1:54" ht="15" hidden="1" customHeight="1">
      <c r="A106" s="87"/>
      <c r="B106" s="1757"/>
      <c r="C106" s="1757"/>
      <c r="D106" s="1757"/>
      <c r="E106" s="1757"/>
      <c r="F106" s="1757"/>
      <c r="G106" s="1757"/>
      <c r="H106" s="1757"/>
      <c r="I106" s="1757"/>
      <c r="J106" s="50"/>
      <c r="K106" s="50"/>
      <c r="L106" s="50"/>
      <c r="M106" s="50"/>
      <c r="N106" s="224"/>
      <c r="O106" s="50"/>
      <c r="P106" s="50"/>
      <c r="Q106" s="50"/>
      <c r="R106" s="5"/>
      <c r="S106" s="50"/>
      <c r="T106" s="50"/>
      <c r="U106" s="86"/>
      <c r="V106" s="102"/>
      <c r="W106" s="115"/>
      <c r="X106" s="52"/>
      <c r="Y106" s="457" t="str">
        <f>ReportData!$D$27</f>
        <v>2019/20</v>
      </c>
      <c r="Z106" s="457" t="str">
        <f>ReportData!$E$27</f>
        <v>2020/21</v>
      </c>
      <c r="AA106" s="457" t="str">
        <f>ReportData!$F$27</f>
        <v>2021/22</v>
      </c>
      <c r="AB106" s="457" t="str">
        <f>ReportData!$G$27</f>
        <v>2022/23</v>
      </c>
      <c r="AC106" s="458" t="str">
        <f>ReportData!$H$27</f>
        <v>2023/24</v>
      </c>
      <c r="AE106" s="457" t="str">
        <f>ReportData!$D$27</f>
        <v>2019/20</v>
      </c>
      <c r="AF106" s="457" t="str">
        <f>ReportData!$E$27</f>
        <v>2020/21</v>
      </c>
      <c r="AG106" s="457" t="str">
        <f>ReportData!$F$27</f>
        <v>2021/22</v>
      </c>
      <c r="AH106" s="457" t="str">
        <f>ReportData!$G$27</f>
        <v>2022/23</v>
      </c>
      <c r="AI106" s="458" t="str">
        <f>ReportData!$H$27</f>
        <v>2023/24</v>
      </c>
      <c r="AJ106" s="121"/>
      <c r="AK106" s="61"/>
      <c r="AL106" s="61"/>
      <c r="AM106" s="61"/>
      <c r="AN106" s="61"/>
      <c r="AO106" s="61"/>
      <c r="AP106" s="61"/>
      <c r="AQ106" s="61"/>
      <c r="AR106" s="61"/>
      <c r="AS106" s="61"/>
      <c r="AT106" s="61"/>
      <c r="AU106" s="61"/>
      <c r="AV106" s="61"/>
      <c r="AW106" s="61"/>
      <c r="AX106" s="61"/>
      <c r="AY106" s="61"/>
      <c r="AZ106" s="61"/>
      <c r="BA106" s="61"/>
      <c r="BB106" s="61"/>
    </row>
    <row r="107" spans="1:54" ht="13.5" hidden="1" customHeight="1">
      <c r="A107" s="208"/>
      <c r="B107" s="1747" t="s">
        <v>177</v>
      </c>
      <c r="C107" s="230"/>
      <c r="D107" s="457" t="str">
        <f>ReportData!$D$27</f>
        <v>2019/20</v>
      </c>
      <c r="E107" s="457" t="str">
        <f>ReportData!$E$27</f>
        <v>2020/21</v>
      </c>
      <c r="F107" s="457" t="str">
        <f>ReportData!$F$27</f>
        <v>2021/22</v>
      </c>
      <c r="G107" s="457" t="str">
        <f>ReportData!$G$27</f>
        <v>2022/23</v>
      </c>
      <c r="H107" s="458" t="str">
        <f>ReportData!$H$27</f>
        <v>2023/24</v>
      </c>
      <c r="I107" s="230"/>
      <c r="J107" s="50"/>
      <c r="K107" s="50"/>
      <c r="L107" s="50"/>
      <c r="M107" s="50"/>
      <c r="N107" s="224"/>
      <c r="O107" s="50"/>
      <c r="P107" s="50"/>
      <c r="Q107" s="50"/>
      <c r="R107" s="5"/>
      <c r="S107" s="50"/>
      <c r="T107" s="50"/>
      <c r="U107" s="86"/>
      <c r="V107" s="102"/>
      <c r="W107" s="115"/>
      <c r="X107" s="52"/>
      <c r="Y107" s="459" t="e">
        <f>ReportData!$D$28</f>
        <v>#N/A</v>
      </c>
      <c r="Z107" s="459" t="e">
        <f>ReportData!$E$28</f>
        <v>#N/A</v>
      </c>
      <c r="AA107" s="459" t="e">
        <f>ReportData!$F$28</f>
        <v>#N/A</v>
      </c>
      <c r="AB107" s="459" t="e">
        <f>ReportData!$G$28</f>
        <v>#N/A</v>
      </c>
      <c r="AC107" s="460" t="e">
        <f>ReportData!$H$28</f>
        <v>#N/A</v>
      </c>
      <c r="AE107" s="459" t="e">
        <f>ReportData!$D$28</f>
        <v>#N/A</v>
      </c>
      <c r="AF107" s="459" t="e">
        <f>ReportData!$E$28</f>
        <v>#N/A</v>
      </c>
      <c r="AG107" s="459" t="e">
        <f>ReportData!$F$28</f>
        <v>#N/A</v>
      </c>
      <c r="AH107" s="459" t="e">
        <f>ReportData!$G$28</f>
        <v>#N/A</v>
      </c>
      <c r="AI107" s="460" t="e">
        <f>ReportData!$H$28</f>
        <v>#N/A</v>
      </c>
      <c r="AJ107" s="121"/>
      <c r="AK107" s="61"/>
      <c r="AL107" s="61"/>
      <c r="AM107" s="61"/>
      <c r="AN107" s="61"/>
      <c r="AO107" s="61"/>
      <c r="AP107" s="61"/>
      <c r="AQ107" s="61"/>
      <c r="AR107" s="61"/>
      <c r="AS107" s="61"/>
      <c r="AT107" s="61"/>
      <c r="AU107" s="61"/>
      <c r="AV107" s="61"/>
      <c r="AW107" s="61"/>
      <c r="AX107" s="61"/>
      <c r="AY107" s="61"/>
      <c r="AZ107" s="61"/>
      <c r="BA107" s="61"/>
      <c r="BB107" s="61"/>
    </row>
    <row r="108" spans="1:54" s="61" customFormat="1" ht="13.5" hidden="1" customHeight="1">
      <c r="A108" s="88"/>
      <c r="B108" s="1748"/>
      <c r="C108" s="59"/>
      <c r="D108" s="459" t="e">
        <f>ReportData!$D$28</f>
        <v>#N/A</v>
      </c>
      <c r="E108" s="459" t="e">
        <f>ReportData!$E$28</f>
        <v>#N/A</v>
      </c>
      <c r="F108" s="459" t="e">
        <f>ReportData!$F$28</f>
        <v>#N/A</v>
      </c>
      <c r="G108" s="459" t="e">
        <f>ReportData!$G$28</f>
        <v>#N/A</v>
      </c>
      <c r="H108" s="460" t="e">
        <f>ReportData!$H$28</f>
        <v>#N/A</v>
      </c>
      <c r="I108" s="68"/>
      <c r="J108" s="68"/>
      <c r="K108" s="43"/>
      <c r="L108" s="43"/>
      <c r="M108" s="43"/>
      <c r="N108" s="43"/>
      <c r="O108" s="43"/>
      <c r="P108" s="43"/>
      <c r="Q108" s="225"/>
      <c r="R108" s="225"/>
      <c r="S108" s="120"/>
      <c r="T108" s="226"/>
      <c r="U108" s="89"/>
      <c r="V108" s="103"/>
      <c r="W108" s="115"/>
      <c r="X108" s="28" t="str">
        <f t="shared" ref="X108:X128" si="25">B109</f>
        <v>Bracknell Forest</v>
      </c>
      <c r="Y108" s="24" t="str">
        <f>IF(Year1_Bracknell_Forest Year1_ReferralsPriorEH="","",Year1_Bracknell_Forest Year1_ReferralsPriorEH)</f>
        <v/>
      </c>
      <c r="Z108" s="24" t="str">
        <f>IF(Year2_Bracknell_Forest Year2_ReferralsPriorEH="","",Year2_Bracknell_Forest Year2_ReferralsPriorEH)</f>
        <v/>
      </c>
      <c r="AA108" s="24" t="str">
        <f>IF(Year3_Bracknell_Forest Year3_ReferralsPriorEH="","",Year3_Bracknell_Forest Year3_ReferralsPriorEH)</f>
        <v/>
      </c>
      <c r="AB108" s="24" t="str">
        <f>IF(Year4_Bracknell_Forest Year4_ReferralsPriorEH="","",Year4_Bracknell_Forest Year4_ReferralsPriorEH)</f>
        <v/>
      </c>
      <c r="AC108" s="24" t="str">
        <f>IF(Year5_Bracknell_Forest Year5_ReferralsPriorEH="","",Year5_Bracknell_Forest Year5_ReferralsPriorEH)</f>
        <v/>
      </c>
      <c r="AD108" s="149"/>
      <c r="AE108" s="141">
        <f t="shared" ref="AE108:AE128" si="26">IF(ISNUMBER(Y108),D11,0)</f>
        <v>0</v>
      </c>
      <c r="AF108" s="141">
        <f t="shared" ref="AF108:AF128" si="27">IF(ISNUMBER(Z108),E11,0)</f>
        <v>0</v>
      </c>
      <c r="AG108" s="141">
        <f t="shared" ref="AG108:AG128" si="28">IF(ISNUMBER(AA108),F11,0)</f>
        <v>0</v>
      </c>
      <c r="AH108" s="141">
        <f t="shared" ref="AH108:AH128" si="29">IF(ISNUMBER(AB108),G11,0)</f>
        <v>0</v>
      </c>
      <c r="AI108" s="141">
        <f t="shared" ref="AI108:AI128" si="30">IF(ISNUMBER(AC108),H11,0)</f>
        <v>0</v>
      </c>
      <c r="AJ108" s="121"/>
    </row>
    <row r="109" spans="1:54" s="61" customFormat="1" ht="12.75" hidden="1" customHeight="1">
      <c r="A109" s="306">
        <f>VLOOKUP(B109,ReportData!$AQ$4:$AR$25,2,FALSE)</f>
        <v>0</v>
      </c>
      <c r="B109" s="65" t="str">
        <f t="shared" ref="B109:B123" si="31">B11</f>
        <v>Bracknell Forest</v>
      </c>
      <c r="C109" s="59"/>
      <c r="D109" s="123" t="e">
        <f>IF(AND(ISNUMBER(Y108),ISNUMBER(AE108)),Y108/AE108,NA())</f>
        <v>#N/A</v>
      </c>
      <c r="E109" s="123" t="e">
        <f>IF(AND(ISNUMBER(Z108),ISNUMBER(AF108)),Z108/AF108,NA())</f>
        <v>#N/A</v>
      </c>
      <c r="F109" s="123" t="e">
        <f>IF(AND(ISNUMBER(AA108),ISNUMBER(AG108)),AA108/AG108,NA())</f>
        <v>#N/A</v>
      </c>
      <c r="G109" s="123" t="e">
        <f>IF(AND(ISNUMBER(AB108),ISNUMBER(AH108)),AB108/AH108,NA())</f>
        <v>#N/A</v>
      </c>
      <c r="H109" s="335" t="e">
        <f>IF(AND(ISNUMBER(AC108),ISNUMBER(AI108)),AC108/AI108,NA())</f>
        <v>#N/A</v>
      </c>
      <c r="I109" s="68"/>
      <c r="J109" s="68"/>
      <c r="K109" s="127"/>
      <c r="L109" s="127"/>
      <c r="M109" s="127"/>
      <c r="N109" s="127"/>
      <c r="O109" s="127"/>
      <c r="P109" s="127"/>
      <c r="Q109" s="127"/>
      <c r="R109" s="128"/>
      <c r="S109" s="120"/>
      <c r="T109" s="127"/>
      <c r="U109" s="89"/>
      <c r="V109" s="103"/>
      <c r="W109" s="115"/>
      <c r="X109" s="28" t="str">
        <f t="shared" si="25"/>
        <v>Brighton &amp; Hove</v>
      </c>
      <c r="Y109" s="24" t="str">
        <f>IF(Year1_Brighton_and_Hove Year1_ReferralsPriorEH="","",Year1_Brighton_and_Hove Year1_ReferralsPriorEH)</f>
        <v/>
      </c>
      <c r="Z109" s="24" t="str">
        <f>IF(Year2_Brighton_and_Hove Year2_ReferralsPriorEH="","",Year2_Brighton_and_Hove Year2_ReferralsPriorEH)</f>
        <v/>
      </c>
      <c r="AA109" s="24" t="str">
        <f>IF(Year3_Brighton_and_Hove Year3_ReferralsPriorEH="","",Year3_Brighton_and_Hove Year3_ReferralsPriorEH)</f>
        <v/>
      </c>
      <c r="AB109" s="24" t="str">
        <f>IF(Year4_Brighton_and_Hove Year4_ReferralsPriorEH="","",Year4_Brighton_and_Hove Year4_ReferralsPriorEH)</f>
        <v/>
      </c>
      <c r="AC109" s="24" t="str">
        <f>IF(Year5_Brighton_and_Hove Year5_ReferralsPriorEH="","",Year5_Brighton_and_Hove Year5_ReferralsPriorEH)</f>
        <v/>
      </c>
      <c r="AD109" s="149"/>
      <c r="AE109" s="141">
        <f t="shared" si="26"/>
        <v>0</v>
      </c>
      <c r="AF109" s="141">
        <f t="shared" si="27"/>
        <v>0</v>
      </c>
      <c r="AG109" s="141">
        <f t="shared" si="28"/>
        <v>0</v>
      </c>
      <c r="AH109" s="141">
        <f t="shared" si="29"/>
        <v>0</v>
      </c>
      <c r="AI109" s="141">
        <f t="shared" si="30"/>
        <v>0</v>
      </c>
      <c r="AJ109" s="121"/>
    </row>
    <row r="110" spans="1:54" s="61" customFormat="1" ht="12.75" hidden="1" customHeight="1">
      <c r="A110" s="306">
        <f>VLOOKUP(B110,ReportData!$AQ$4:$AR$25,2,FALSE)</f>
        <v>0</v>
      </c>
      <c r="B110" s="65" t="str">
        <f t="shared" si="31"/>
        <v>Brighton &amp; Hove</v>
      </c>
      <c r="C110" s="59"/>
      <c r="D110" s="123" t="e">
        <f t="shared" ref="D110:D127" si="32">IF(AND(ISNUMBER(Y109),ISNUMBER(AE109)),Y109/AE109,NA())</f>
        <v>#N/A</v>
      </c>
      <c r="E110" s="123" t="e">
        <f t="shared" ref="E110:E127" si="33">IF(AND(ISNUMBER(Z109),ISNUMBER(AF109)),Z109/AF109,NA())</f>
        <v>#N/A</v>
      </c>
      <c r="F110" s="123" t="e">
        <f t="shared" ref="F110:F127" si="34">IF(AND(ISNUMBER(AA109),ISNUMBER(AG109)),AA109/AG109,NA())</f>
        <v>#N/A</v>
      </c>
      <c r="G110" s="123" t="e">
        <f t="shared" ref="G110:G127" si="35">IF(AND(ISNUMBER(AB109),ISNUMBER(AH109)),AB109/AH109,NA())</f>
        <v>#N/A</v>
      </c>
      <c r="H110" s="335" t="e">
        <f t="shared" ref="H110:H127" si="36">IF(AND(ISNUMBER(AC109),ISNUMBER(AI109)),AC109/AI109,NA())</f>
        <v>#N/A</v>
      </c>
      <c r="I110" s="68"/>
      <c r="J110" s="68"/>
      <c r="K110" s="127"/>
      <c r="L110" s="127"/>
      <c r="M110" s="127"/>
      <c r="N110" s="127"/>
      <c r="O110" s="127"/>
      <c r="P110" s="127"/>
      <c r="Q110" s="127"/>
      <c r="R110" s="128"/>
      <c r="S110" s="120"/>
      <c r="T110" s="127"/>
      <c r="U110" s="89"/>
      <c r="V110" s="103"/>
      <c r="W110" s="115"/>
      <c r="X110" s="28" t="str">
        <f t="shared" si="25"/>
        <v>Buckinghamshire</v>
      </c>
      <c r="Y110" s="24" t="str">
        <f>IF(Year1_Buckinghamshire Year1_ReferralsPriorEH="","",Year1_Buckinghamshire Year1_ReferralsPriorEH)</f>
        <v/>
      </c>
      <c r="Z110" s="24" t="str">
        <f>IF(Year2_Buckinghamshire Year2_ReferralsPriorEH="","",Year2_Buckinghamshire Year2_ReferralsPriorEH)</f>
        <v/>
      </c>
      <c r="AA110" s="24" t="str">
        <f>IF(Year3_Buckinghamshire Year3_ReferralsPriorEH="","",Year3_Buckinghamshire Year3_ReferralsPriorEH)</f>
        <v/>
      </c>
      <c r="AB110" s="24" t="str">
        <f>IF(Year4_Buckinghamshire Year4_ReferralsPriorEH="","",Year4_Buckinghamshire Year4_ReferralsPriorEH)</f>
        <v/>
      </c>
      <c r="AC110" s="24" t="str">
        <f>IF(Year5_Buckinghamshire Year5_ReferralsPriorEH="","",Year5_Buckinghamshire Year5_ReferralsPriorEH)</f>
        <v/>
      </c>
      <c r="AD110" s="149"/>
      <c r="AE110" s="141">
        <f t="shared" si="26"/>
        <v>0</v>
      </c>
      <c r="AF110" s="141">
        <f t="shared" si="27"/>
        <v>0</v>
      </c>
      <c r="AG110" s="141">
        <f t="shared" si="28"/>
        <v>0</v>
      </c>
      <c r="AH110" s="141">
        <f t="shared" si="29"/>
        <v>0</v>
      </c>
      <c r="AI110" s="141">
        <f t="shared" si="30"/>
        <v>0</v>
      </c>
      <c r="AJ110" s="121"/>
    </row>
    <row r="111" spans="1:54" s="61" customFormat="1" ht="12.75" hidden="1" customHeight="1">
      <c r="A111" s="306">
        <f>VLOOKUP(B111,ReportData!$AQ$4:$AR$25,2,FALSE)</f>
        <v>0</v>
      </c>
      <c r="B111" s="65" t="str">
        <f t="shared" si="31"/>
        <v>Buckinghamshire</v>
      </c>
      <c r="C111" s="59"/>
      <c r="D111" s="123" t="e">
        <f t="shared" si="32"/>
        <v>#N/A</v>
      </c>
      <c r="E111" s="123" t="e">
        <f t="shared" si="33"/>
        <v>#N/A</v>
      </c>
      <c r="F111" s="123" t="e">
        <f t="shared" si="34"/>
        <v>#N/A</v>
      </c>
      <c r="G111" s="123" t="e">
        <f t="shared" si="35"/>
        <v>#N/A</v>
      </c>
      <c r="H111" s="335" t="e">
        <f t="shared" si="36"/>
        <v>#N/A</v>
      </c>
      <c r="I111" s="68"/>
      <c r="J111" s="68"/>
      <c r="K111" s="127"/>
      <c r="L111" s="127"/>
      <c r="M111" s="127"/>
      <c r="N111" s="127"/>
      <c r="O111" s="127"/>
      <c r="P111" s="127"/>
      <c r="Q111" s="127"/>
      <c r="R111" s="128"/>
      <c r="S111" s="120"/>
      <c r="T111" s="127"/>
      <c r="U111" s="89"/>
      <c r="V111" s="103"/>
      <c r="W111" s="115"/>
      <c r="X111" s="28" t="str">
        <f t="shared" si="25"/>
        <v>East Sussex</v>
      </c>
      <c r="Y111" s="24" t="str">
        <f>IF(Year1_East_Sussex Year1_ReferralsPriorEH="","",Year1_East_Sussex Year1_ReferralsPriorEH)</f>
        <v/>
      </c>
      <c r="Z111" s="24" t="str">
        <f>IF(Year2_East_Sussex Year2_ReferralsPriorEH="","",Year2_East_Sussex Year2_ReferralsPriorEH)</f>
        <v/>
      </c>
      <c r="AA111" s="24" t="str">
        <f>IF(Year3_East_Sussex Year3_ReferralsPriorEH="","",Year3_East_Sussex Year3_ReferralsPriorEH)</f>
        <v/>
      </c>
      <c r="AB111" s="24" t="str">
        <f>IF(Year4_East_Sussex Year4_ReferralsPriorEH="","",Year4_East_Sussex Year4_ReferralsPriorEH)</f>
        <v/>
      </c>
      <c r="AC111" s="24" t="str">
        <f>IF(Year5_East_Sussex Year5_ReferralsPriorEH="","",Year5_East_Sussex Year5_ReferralsPriorEH)</f>
        <v/>
      </c>
      <c r="AD111" s="149"/>
      <c r="AE111" s="141">
        <f t="shared" si="26"/>
        <v>0</v>
      </c>
      <c r="AF111" s="141">
        <f t="shared" si="27"/>
        <v>0</v>
      </c>
      <c r="AG111" s="141">
        <f t="shared" si="28"/>
        <v>0</v>
      </c>
      <c r="AH111" s="141">
        <f t="shared" si="29"/>
        <v>0</v>
      </c>
      <c r="AI111" s="141">
        <f t="shared" si="30"/>
        <v>0</v>
      </c>
      <c r="AJ111" s="121"/>
    </row>
    <row r="112" spans="1:54" s="61" customFormat="1" ht="12.75" hidden="1" customHeight="1">
      <c r="A112" s="306">
        <f>VLOOKUP(B112,ReportData!$AQ$4:$AR$25,2,FALSE)</f>
        <v>0</v>
      </c>
      <c r="B112" s="65" t="str">
        <f t="shared" si="31"/>
        <v>East Sussex</v>
      </c>
      <c r="C112" s="59"/>
      <c r="D112" s="123" t="e">
        <f t="shared" si="32"/>
        <v>#N/A</v>
      </c>
      <c r="E112" s="123" t="e">
        <f t="shared" si="33"/>
        <v>#N/A</v>
      </c>
      <c r="F112" s="123" t="e">
        <f t="shared" si="34"/>
        <v>#N/A</v>
      </c>
      <c r="G112" s="123" t="e">
        <f t="shared" si="35"/>
        <v>#N/A</v>
      </c>
      <c r="H112" s="335" t="e">
        <f t="shared" si="36"/>
        <v>#N/A</v>
      </c>
      <c r="I112" s="68"/>
      <c r="J112" s="68"/>
      <c r="K112" s="127"/>
      <c r="L112" s="127"/>
      <c r="M112" s="127"/>
      <c r="N112" s="127"/>
      <c r="O112" s="127"/>
      <c r="P112" s="127"/>
      <c r="Q112" s="127"/>
      <c r="R112" s="128"/>
      <c r="S112" s="120"/>
      <c r="T112" s="127"/>
      <c r="U112" s="89"/>
      <c r="V112" s="103"/>
      <c r="W112" s="115"/>
      <c r="X112" s="28" t="str">
        <f t="shared" si="25"/>
        <v>Hampshire</v>
      </c>
      <c r="Y112" s="24" t="str">
        <f>IF(Year1_Hampshire Year1_ReferralsPriorEH="","",Year1_Hampshire Year1_ReferralsPriorEH)</f>
        <v/>
      </c>
      <c r="Z112" s="24" t="str">
        <f>IF(Year2_Hampshire Year2_ReferralsPriorEH="","",Year2_Hampshire Year2_ReferralsPriorEH)</f>
        <v/>
      </c>
      <c r="AA112" s="24" t="str">
        <f>IF(Year3_Hampshire Year3_ReferralsPriorEH="","",Year3_Hampshire Year3_ReferralsPriorEH)</f>
        <v/>
      </c>
      <c r="AB112" s="24" t="str">
        <f>IF(Year4_Hampshire Year4_ReferralsPriorEH="","",Year4_Hampshire Year4_ReferralsPriorEH)</f>
        <v/>
      </c>
      <c r="AC112" s="24" t="str">
        <f>IF(Year5_Hampshire Year5_ReferralsPriorEH="","",Year5_Hampshire Year5_ReferralsPriorEH)</f>
        <v/>
      </c>
      <c r="AD112" s="149"/>
      <c r="AE112" s="141">
        <f t="shared" si="26"/>
        <v>0</v>
      </c>
      <c r="AF112" s="141">
        <f t="shared" si="27"/>
        <v>0</v>
      </c>
      <c r="AG112" s="141">
        <f t="shared" si="28"/>
        <v>0</v>
      </c>
      <c r="AH112" s="141">
        <f t="shared" si="29"/>
        <v>0</v>
      </c>
      <c r="AI112" s="141">
        <f t="shared" si="30"/>
        <v>0</v>
      </c>
      <c r="AJ112" s="121"/>
      <c r="AR112" s="61" t="s">
        <v>95</v>
      </c>
    </row>
    <row r="113" spans="1:36" s="61" customFormat="1" ht="12.75" hidden="1" customHeight="1">
      <c r="A113" s="306">
        <f>VLOOKUP(B113,ReportData!$AQ$4:$AR$25,2,FALSE)</f>
        <v>0</v>
      </c>
      <c r="B113" s="65" t="str">
        <f t="shared" si="31"/>
        <v>Hampshire</v>
      </c>
      <c r="C113" s="59"/>
      <c r="D113" s="123" t="e">
        <f t="shared" si="32"/>
        <v>#N/A</v>
      </c>
      <c r="E113" s="123" t="e">
        <f t="shared" si="33"/>
        <v>#N/A</v>
      </c>
      <c r="F113" s="123" t="e">
        <f t="shared" si="34"/>
        <v>#N/A</v>
      </c>
      <c r="G113" s="123" t="e">
        <f t="shared" si="35"/>
        <v>#N/A</v>
      </c>
      <c r="H113" s="335" t="e">
        <f t="shared" si="36"/>
        <v>#N/A</v>
      </c>
      <c r="I113" s="68"/>
      <c r="J113" s="68"/>
      <c r="K113" s="127"/>
      <c r="L113" s="127"/>
      <c r="M113" s="127"/>
      <c r="N113" s="127"/>
      <c r="O113" s="127"/>
      <c r="P113" s="127"/>
      <c r="Q113" s="127"/>
      <c r="R113" s="128"/>
      <c r="S113" s="120"/>
      <c r="T113" s="127"/>
      <c r="U113" s="89"/>
      <c r="V113" s="103"/>
      <c r="W113" s="115"/>
      <c r="X113" s="28" t="str">
        <f t="shared" si="25"/>
        <v>Isle of Wight</v>
      </c>
      <c r="Y113" s="24" t="str">
        <f>IF(Year1_Isle_of_Wight Year1_ReferralsPriorEH="","",Year1_Isle_of_Wight Year1_ReferralsPriorEH)</f>
        <v/>
      </c>
      <c r="Z113" s="24" t="str">
        <f>IF(Year2_Isle_of_Wight Year2_ReferralsPriorEH="","",Year2_Isle_of_Wight Year2_ReferralsPriorEH)</f>
        <v/>
      </c>
      <c r="AA113" s="24" t="str">
        <f>IF(Year3_Isle_of_Wight Year3_ReferralsPriorEH="","",Year3_Isle_of_Wight Year3_ReferralsPriorEH)</f>
        <v/>
      </c>
      <c r="AB113" s="24" t="str">
        <f>IF(Year4_Isle_of_Wight Year4_ReferralsPriorEH="","",Year4_Isle_of_Wight Year4_ReferralsPriorEH)</f>
        <v/>
      </c>
      <c r="AC113" s="24" t="str">
        <f>IF(Year5_Isle_of_Wight Year5_ReferralsPriorEH="","",Year5_Isle_of_Wight Year5_ReferralsPriorEH)</f>
        <v/>
      </c>
      <c r="AD113" s="149"/>
      <c r="AE113" s="141">
        <f t="shared" si="26"/>
        <v>0</v>
      </c>
      <c r="AF113" s="141">
        <f t="shared" si="27"/>
        <v>0</v>
      </c>
      <c r="AG113" s="141">
        <f t="shared" si="28"/>
        <v>0</v>
      </c>
      <c r="AH113" s="141">
        <f t="shared" si="29"/>
        <v>0</v>
      </c>
      <c r="AI113" s="141">
        <f t="shared" si="30"/>
        <v>0</v>
      </c>
      <c r="AJ113" s="121"/>
    </row>
    <row r="114" spans="1:36" s="61" customFormat="1" ht="12.75" hidden="1" customHeight="1">
      <c r="A114" s="306">
        <f>VLOOKUP(B114,ReportData!$AQ$4:$AR$25,2,FALSE)</f>
        <v>0</v>
      </c>
      <c r="B114" s="65" t="str">
        <f t="shared" si="31"/>
        <v>Isle of Wight</v>
      </c>
      <c r="C114" s="59"/>
      <c r="D114" s="123" t="e">
        <f t="shared" si="32"/>
        <v>#N/A</v>
      </c>
      <c r="E114" s="123" t="e">
        <f t="shared" si="33"/>
        <v>#N/A</v>
      </c>
      <c r="F114" s="123" t="e">
        <f t="shared" si="34"/>
        <v>#N/A</v>
      </c>
      <c r="G114" s="123" t="e">
        <f t="shared" si="35"/>
        <v>#N/A</v>
      </c>
      <c r="H114" s="335" t="e">
        <f t="shared" si="36"/>
        <v>#N/A</v>
      </c>
      <c r="I114" s="68"/>
      <c r="J114" s="68"/>
      <c r="K114" s="127"/>
      <c r="L114" s="127"/>
      <c r="M114" s="127"/>
      <c r="N114" s="127"/>
      <c r="O114" s="127"/>
      <c r="P114" s="127"/>
      <c r="Q114" s="127"/>
      <c r="R114" s="128"/>
      <c r="S114" s="120"/>
      <c r="T114" s="127"/>
      <c r="U114" s="89"/>
      <c r="V114" s="103"/>
      <c r="W114" s="115"/>
      <c r="X114" s="28" t="str">
        <f t="shared" si="25"/>
        <v>Kent</v>
      </c>
      <c r="Y114" s="24" t="str">
        <f>IF(Year1_Kent Year1_ReferralsPriorEH="","",Year1_Kent Year1_ReferralsPriorEH)</f>
        <v/>
      </c>
      <c r="Z114" s="24" t="str">
        <f>IF(Year2_Kent Year2_ReferralsPriorEH="","",Year2_Kent Year2_ReferralsPriorEH)</f>
        <v/>
      </c>
      <c r="AA114" s="24" t="str">
        <f>IF(Year3_Kent Year3_ReferralsPriorEH="","",Year3_Kent Year3_ReferralsPriorEH)</f>
        <v/>
      </c>
      <c r="AB114" s="24" t="str">
        <f>IF(Year4_Kent Year4_ReferralsPriorEH="","",Year4_Kent Year4_ReferralsPriorEH)</f>
        <v/>
      </c>
      <c r="AC114" s="24" t="str">
        <f>IF(Year5_Kent Year5_ReferralsPriorEH="","",Year5_Kent Year5_ReferralsPriorEH)</f>
        <v/>
      </c>
      <c r="AD114" s="149"/>
      <c r="AE114" s="141">
        <f t="shared" si="26"/>
        <v>0</v>
      </c>
      <c r="AF114" s="141">
        <f t="shared" si="27"/>
        <v>0</v>
      </c>
      <c r="AG114" s="141">
        <f t="shared" si="28"/>
        <v>0</v>
      </c>
      <c r="AH114" s="141">
        <f t="shared" si="29"/>
        <v>0</v>
      </c>
      <c r="AI114" s="141">
        <f t="shared" si="30"/>
        <v>0</v>
      </c>
      <c r="AJ114" s="121"/>
    </row>
    <row r="115" spans="1:36" s="61" customFormat="1" ht="12.75" hidden="1" customHeight="1">
      <c r="A115" s="306">
        <f>VLOOKUP(B115,ReportData!$AQ$4:$AR$25,2,FALSE)</f>
        <v>0</v>
      </c>
      <c r="B115" s="65" t="str">
        <f t="shared" si="31"/>
        <v>Kent</v>
      </c>
      <c r="C115" s="59"/>
      <c r="D115" s="123" t="e">
        <f t="shared" si="32"/>
        <v>#N/A</v>
      </c>
      <c r="E115" s="123" t="e">
        <f t="shared" si="33"/>
        <v>#N/A</v>
      </c>
      <c r="F115" s="123" t="e">
        <f t="shared" si="34"/>
        <v>#N/A</v>
      </c>
      <c r="G115" s="123" t="e">
        <f t="shared" si="35"/>
        <v>#N/A</v>
      </c>
      <c r="H115" s="335" t="e">
        <f t="shared" si="36"/>
        <v>#N/A</v>
      </c>
      <c r="I115" s="68"/>
      <c r="J115" s="68"/>
      <c r="K115" s="127"/>
      <c r="L115" s="127"/>
      <c r="M115" s="127"/>
      <c r="N115" s="127"/>
      <c r="O115" s="127"/>
      <c r="P115" s="127"/>
      <c r="Q115" s="127"/>
      <c r="R115" s="128"/>
      <c r="S115" s="120"/>
      <c r="T115" s="127"/>
      <c r="U115" s="89"/>
      <c r="V115" s="103"/>
      <c r="W115" s="115"/>
      <c r="X115" s="28" t="str">
        <f t="shared" si="25"/>
        <v>Medway</v>
      </c>
      <c r="Y115" s="24" t="str">
        <f>IF(Year1_Medway Year1_ReferralsPriorEH="","",Year1_Medway Year1_ReferralsPriorEH)</f>
        <v/>
      </c>
      <c r="Z115" s="24" t="str">
        <f>IF(Year2_Medway Year2_ReferralsPriorEH="","",Year2_Medway Year2_ReferralsPriorEH)</f>
        <v/>
      </c>
      <c r="AA115" s="24" t="str">
        <f>IF(Year3_Medway Year3_ReferralsPriorEH="","",Year3_Medway Year3_ReferralsPriorEH)</f>
        <v/>
      </c>
      <c r="AB115" s="24" t="str">
        <f>IF(Year4_Medway Year4_ReferralsPriorEH="","",Year4_Medway Year4_ReferralsPriorEH)</f>
        <v/>
      </c>
      <c r="AC115" s="24" t="str">
        <f>IF(Year5_Medway Year5_ReferralsPriorEH="","",Year5_Medway Year5_ReferralsPriorEH)</f>
        <v/>
      </c>
      <c r="AD115" s="149"/>
      <c r="AE115" s="141">
        <f t="shared" si="26"/>
        <v>0</v>
      </c>
      <c r="AF115" s="141">
        <f t="shared" si="27"/>
        <v>0</v>
      </c>
      <c r="AG115" s="141">
        <f t="shared" si="28"/>
        <v>0</v>
      </c>
      <c r="AH115" s="141">
        <f t="shared" si="29"/>
        <v>0</v>
      </c>
      <c r="AI115" s="141">
        <f t="shared" si="30"/>
        <v>0</v>
      </c>
      <c r="AJ115" s="121"/>
    </row>
    <row r="116" spans="1:36" s="61" customFormat="1" ht="12.75" hidden="1" customHeight="1">
      <c r="A116" s="306">
        <f>VLOOKUP(B116,ReportData!$AQ$4:$AR$25,2,FALSE)</f>
        <v>0</v>
      </c>
      <c r="B116" s="65" t="str">
        <f t="shared" si="31"/>
        <v>Medway</v>
      </c>
      <c r="C116" s="59"/>
      <c r="D116" s="123" t="e">
        <f t="shared" si="32"/>
        <v>#N/A</v>
      </c>
      <c r="E116" s="123" t="e">
        <f t="shared" si="33"/>
        <v>#N/A</v>
      </c>
      <c r="F116" s="123" t="e">
        <f t="shared" si="34"/>
        <v>#N/A</v>
      </c>
      <c r="G116" s="123" t="e">
        <f t="shared" si="35"/>
        <v>#N/A</v>
      </c>
      <c r="H116" s="335" t="e">
        <f t="shared" si="36"/>
        <v>#N/A</v>
      </c>
      <c r="I116" s="68"/>
      <c r="J116" s="68"/>
      <c r="K116" s="127"/>
      <c r="L116" s="127"/>
      <c r="M116" s="127"/>
      <c r="N116" s="127"/>
      <c r="O116" s="127"/>
      <c r="P116" s="127"/>
      <c r="Q116" s="127"/>
      <c r="R116" s="128"/>
      <c r="S116" s="120"/>
      <c r="T116" s="127"/>
      <c r="U116" s="89"/>
      <c r="V116" s="103"/>
      <c r="W116" s="115"/>
      <c r="X116" s="28" t="str">
        <f t="shared" si="25"/>
        <v>Milton Keynes</v>
      </c>
      <c r="Y116" s="24" t="str">
        <f>IF(Year1_Milton_Keynes Year1_ReferralsPriorEH="","",Year1_Milton_Keynes Year1_ReferralsPriorEH)</f>
        <v/>
      </c>
      <c r="Z116" s="24" t="str">
        <f>IF(Year2_Milton_Keynes Year2_ReferralsPriorEH="","",Year2_Milton_Keynes Year2_ReferralsPriorEH)</f>
        <v/>
      </c>
      <c r="AA116" s="24" t="str">
        <f>IF(Year3_Milton_Keynes Year3_ReferralsPriorEH="","",Year3_Milton_Keynes Year3_ReferralsPriorEH)</f>
        <v/>
      </c>
      <c r="AB116" s="24" t="str">
        <f>IF(Year4_Milton_Keynes Year4_ReferralsPriorEH="","",Year4_Milton_Keynes Year4_ReferralsPriorEH)</f>
        <v/>
      </c>
      <c r="AC116" s="24" t="str">
        <f>IF(Year5_Milton_Keynes Year5_ReferralsPriorEH="","",Year5_Milton_Keynes Year5_ReferralsPriorEH)</f>
        <v/>
      </c>
      <c r="AD116" s="149"/>
      <c r="AE116" s="141">
        <f t="shared" si="26"/>
        <v>0</v>
      </c>
      <c r="AF116" s="141">
        <f t="shared" si="27"/>
        <v>0</v>
      </c>
      <c r="AG116" s="141">
        <f t="shared" si="28"/>
        <v>0</v>
      </c>
      <c r="AH116" s="141">
        <f t="shared" si="29"/>
        <v>0</v>
      </c>
      <c r="AI116" s="141">
        <f t="shared" si="30"/>
        <v>0</v>
      </c>
      <c r="AJ116" s="121"/>
    </row>
    <row r="117" spans="1:36" s="61" customFormat="1" ht="12.75" hidden="1" customHeight="1">
      <c r="A117" s="306">
        <f>VLOOKUP(B117,ReportData!$AQ$4:$AR$25,2,FALSE)</f>
        <v>0</v>
      </c>
      <c r="B117" s="65" t="str">
        <f t="shared" si="31"/>
        <v>Milton Keynes</v>
      </c>
      <c r="C117" s="59"/>
      <c r="D117" s="123" t="e">
        <f t="shared" si="32"/>
        <v>#N/A</v>
      </c>
      <c r="E117" s="123" t="e">
        <f t="shared" si="33"/>
        <v>#N/A</v>
      </c>
      <c r="F117" s="123" t="e">
        <f t="shared" si="34"/>
        <v>#N/A</v>
      </c>
      <c r="G117" s="123" t="e">
        <f t="shared" si="35"/>
        <v>#N/A</v>
      </c>
      <c r="H117" s="335" t="e">
        <f t="shared" si="36"/>
        <v>#N/A</v>
      </c>
      <c r="I117" s="68"/>
      <c r="J117" s="68"/>
      <c r="K117" s="127"/>
      <c r="L117" s="127"/>
      <c r="M117" s="127"/>
      <c r="N117" s="127"/>
      <c r="O117" s="127"/>
      <c r="P117" s="127"/>
      <c r="Q117" s="127"/>
      <c r="R117" s="128"/>
      <c r="S117" s="120"/>
      <c r="T117" s="127"/>
      <c r="U117" s="89"/>
      <c r="V117" s="103"/>
      <c r="W117" s="115"/>
      <c r="X117" s="28" t="str">
        <f t="shared" si="25"/>
        <v>Oxfordshire</v>
      </c>
      <c r="Y117" s="24" t="str">
        <f>IF(Year1_Oxfordshire Year1_ReferralsPriorEH="","",Year1_Oxfordshire Year1_ReferralsPriorEH)</f>
        <v/>
      </c>
      <c r="Z117" s="24" t="str">
        <f>IF(Year2_Oxfordshire Year2_ReferralsPriorEH="","",Year2_Oxfordshire Year2_ReferralsPriorEH)</f>
        <v/>
      </c>
      <c r="AA117" s="24" t="str">
        <f>IF(Year3_Oxfordshire Year3_ReferralsPriorEH="","",Year3_Oxfordshire Year3_ReferralsPriorEH)</f>
        <v/>
      </c>
      <c r="AB117" s="24" t="str">
        <f>IF(Year4_Oxfordshire Year4_ReferralsPriorEH="","",Year4_Oxfordshire Year4_ReferralsPriorEH)</f>
        <v/>
      </c>
      <c r="AC117" s="24" t="str">
        <f>IF(Year5_Oxfordshire Year5_ReferralsPriorEH="","",Year5_Oxfordshire Year5_ReferralsPriorEH)</f>
        <v/>
      </c>
      <c r="AD117" s="149"/>
      <c r="AE117" s="141">
        <f t="shared" si="26"/>
        <v>0</v>
      </c>
      <c r="AF117" s="141">
        <f t="shared" si="27"/>
        <v>0</v>
      </c>
      <c r="AG117" s="141">
        <f t="shared" si="28"/>
        <v>0</v>
      </c>
      <c r="AH117" s="141">
        <f t="shared" si="29"/>
        <v>0</v>
      </c>
      <c r="AI117" s="141">
        <f t="shared" si="30"/>
        <v>0</v>
      </c>
      <c r="AJ117" s="121"/>
    </row>
    <row r="118" spans="1:36" s="61" customFormat="1" ht="12.75" hidden="1" customHeight="1">
      <c r="A118" s="306">
        <f>VLOOKUP(B118,ReportData!$AQ$4:$AR$25,2,FALSE)</f>
        <v>0</v>
      </c>
      <c r="B118" s="65" t="str">
        <f t="shared" si="31"/>
        <v>Oxfordshire</v>
      </c>
      <c r="C118" s="59"/>
      <c r="D118" s="123" t="e">
        <f t="shared" si="32"/>
        <v>#N/A</v>
      </c>
      <c r="E118" s="123" t="e">
        <f t="shared" si="33"/>
        <v>#N/A</v>
      </c>
      <c r="F118" s="123" t="e">
        <f t="shared" si="34"/>
        <v>#N/A</v>
      </c>
      <c r="G118" s="123" t="e">
        <f t="shared" si="35"/>
        <v>#N/A</v>
      </c>
      <c r="H118" s="335" t="e">
        <f t="shared" si="36"/>
        <v>#N/A</v>
      </c>
      <c r="I118" s="68"/>
      <c r="J118" s="68"/>
      <c r="K118" s="127"/>
      <c r="L118" s="127"/>
      <c r="M118" s="127"/>
      <c r="N118" s="127"/>
      <c r="O118" s="127"/>
      <c r="P118" s="127"/>
      <c r="Q118" s="127"/>
      <c r="R118" s="128"/>
      <c r="S118" s="120"/>
      <c r="T118" s="127"/>
      <c r="U118" s="89"/>
      <c r="V118" s="103"/>
      <c r="W118" s="115"/>
      <c r="X118" s="28" t="str">
        <f t="shared" si="25"/>
        <v>Portsmouth</v>
      </c>
      <c r="Y118" s="24" t="str">
        <f>IF(Year1_Portsmouth Year1_ReferralsPriorEH="","",Year1_Portsmouth Year1_ReferralsPriorEH)</f>
        <v/>
      </c>
      <c r="Z118" s="24" t="str">
        <f>IF(Year2_Portsmouth Year2_ReferralsPriorEH="","",Year2_Portsmouth Year2_ReferralsPriorEH)</f>
        <v/>
      </c>
      <c r="AA118" s="24" t="str">
        <f>IF(Year3_Portsmouth Year3_ReferralsPriorEH="","",Year3_Portsmouth Year3_ReferralsPriorEH)</f>
        <v/>
      </c>
      <c r="AB118" s="24" t="str">
        <f>IF(Year4_Portsmouth Year4_ReferralsPriorEH="","",Year4_Portsmouth Year4_ReferralsPriorEH)</f>
        <v/>
      </c>
      <c r="AC118" s="24" t="str">
        <f>IF(Year5_Portsmouth Year5_ReferralsPriorEH="","",Year5_Portsmouth Year5_ReferralsPriorEH)</f>
        <v/>
      </c>
      <c r="AD118" s="149"/>
      <c r="AE118" s="141">
        <f t="shared" si="26"/>
        <v>0</v>
      </c>
      <c r="AF118" s="141">
        <f t="shared" si="27"/>
        <v>0</v>
      </c>
      <c r="AG118" s="141">
        <f t="shared" si="28"/>
        <v>0</v>
      </c>
      <c r="AH118" s="141">
        <f t="shared" si="29"/>
        <v>0</v>
      </c>
      <c r="AI118" s="141">
        <f t="shared" si="30"/>
        <v>0</v>
      </c>
      <c r="AJ118" s="121"/>
    </row>
    <row r="119" spans="1:36" s="61" customFormat="1" ht="12.75" hidden="1" customHeight="1">
      <c r="A119" s="306">
        <f>VLOOKUP(B119,ReportData!$AQ$4:$AR$25,2,FALSE)</f>
        <v>0</v>
      </c>
      <c r="B119" s="65" t="str">
        <f t="shared" si="31"/>
        <v>Portsmouth</v>
      </c>
      <c r="C119" s="59"/>
      <c r="D119" s="123" t="e">
        <f t="shared" si="32"/>
        <v>#N/A</v>
      </c>
      <c r="E119" s="123" t="e">
        <f t="shared" si="33"/>
        <v>#N/A</v>
      </c>
      <c r="F119" s="123" t="e">
        <f t="shared" si="34"/>
        <v>#N/A</v>
      </c>
      <c r="G119" s="123" t="e">
        <f t="shared" si="35"/>
        <v>#N/A</v>
      </c>
      <c r="H119" s="335" t="e">
        <f t="shared" si="36"/>
        <v>#N/A</v>
      </c>
      <c r="I119" s="68"/>
      <c r="J119" s="68"/>
      <c r="K119" s="127"/>
      <c r="L119" s="127"/>
      <c r="M119" s="127"/>
      <c r="N119" s="127"/>
      <c r="O119" s="127"/>
      <c r="P119" s="127"/>
      <c r="Q119" s="127"/>
      <c r="R119" s="128"/>
      <c r="S119" s="120"/>
      <c r="T119" s="127"/>
      <c r="U119" s="89"/>
      <c r="V119" s="103"/>
      <c r="W119" s="115"/>
      <c r="X119" s="28" t="str">
        <f t="shared" si="25"/>
        <v>Reading</v>
      </c>
      <c r="Y119" s="24" t="str">
        <f>IF(Year1_Reading Year1_ReferralsPriorEH="","",Year1_Reading Year1_ReferralsPriorEH)</f>
        <v/>
      </c>
      <c r="Z119" s="24" t="str">
        <f>IF(Year2_Reading Year2_ReferralsPriorEH="","",Year2_Reading Year2_ReferralsPriorEH)</f>
        <v/>
      </c>
      <c r="AA119" s="24" t="str">
        <f>IF(Year3_Reading Year3_ReferralsPriorEH="","",Year3_Reading Year3_ReferralsPriorEH)</f>
        <v/>
      </c>
      <c r="AB119" s="24" t="str">
        <f>IF(Year4_Reading Year4_ReferralsPriorEH="","",Year4_Reading Year4_ReferralsPriorEH)</f>
        <v/>
      </c>
      <c r="AC119" s="24" t="str">
        <f>IF(Year5_Reading Year5_ReferralsPriorEH="","",Year5_Reading Year5_ReferralsPriorEH)</f>
        <v/>
      </c>
      <c r="AD119" s="149"/>
      <c r="AE119" s="141">
        <f t="shared" si="26"/>
        <v>0</v>
      </c>
      <c r="AF119" s="141">
        <f t="shared" si="27"/>
        <v>0</v>
      </c>
      <c r="AG119" s="141">
        <f t="shared" si="28"/>
        <v>0</v>
      </c>
      <c r="AH119" s="141">
        <f t="shared" si="29"/>
        <v>0</v>
      </c>
      <c r="AI119" s="141">
        <f t="shared" si="30"/>
        <v>0</v>
      </c>
      <c r="AJ119" s="121"/>
    </row>
    <row r="120" spans="1:36" s="61" customFormat="1" ht="12.75" hidden="1" customHeight="1">
      <c r="A120" s="306">
        <f>VLOOKUP(B120,ReportData!$AQ$4:$AR$25,2,FALSE)</f>
        <v>0</v>
      </c>
      <c r="B120" s="65" t="str">
        <f t="shared" si="31"/>
        <v>Reading</v>
      </c>
      <c r="C120" s="59"/>
      <c r="D120" s="123" t="e">
        <f t="shared" si="32"/>
        <v>#N/A</v>
      </c>
      <c r="E120" s="123" t="e">
        <f t="shared" si="33"/>
        <v>#N/A</v>
      </c>
      <c r="F120" s="123" t="e">
        <f t="shared" si="34"/>
        <v>#N/A</v>
      </c>
      <c r="G120" s="123" t="e">
        <f t="shared" si="35"/>
        <v>#N/A</v>
      </c>
      <c r="H120" s="335" t="e">
        <f t="shared" si="36"/>
        <v>#N/A</v>
      </c>
      <c r="I120" s="68"/>
      <c r="J120" s="68"/>
      <c r="K120" s="127"/>
      <c r="L120" s="127"/>
      <c r="M120" s="127"/>
      <c r="N120" s="127"/>
      <c r="O120" s="127"/>
      <c r="P120" s="127"/>
      <c r="Q120" s="127"/>
      <c r="R120" s="128"/>
      <c r="S120" s="120"/>
      <c r="T120" s="127"/>
      <c r="U120" s="89"/>
      <c r="V120" s="103"/>
      <c r="W120" s="115"/>
      <c r="X120" s="28" t="str">
        <f t="shared" si="25"/>
        <v>Slough</v>
      </c>
      <c r="Y120" s="24" t="str">
        <f>IF(Year1_Slough Year1_ReferralsPriorEH="","",Year1_Slough Year1_ReferralsPriorEH)</f>
        <v/>
      </c>
      <c r="Z120" s="24" t="str">
        <f>IF(Year2_Slough Year2_ReferralsPriorEH="","",Year2_Slough Year2_ReferralsPriorEH)</f>
        <v/>
      </c>
      <c r="AA120" s="24" t="str">
        <f>IF(Year3_Slough Year3_ReferralsPriorEH="","",Year3_Slough Year3_ReferralsPriorEH)</f>
        <v/>
      </c>
      <c r="AB120" s="24" t="str">
        <f>IF(Year4_Slough Year4_ReferralsPriorEH="","",Year4_Slough Year4_ReferralsPriorEH)</f>
        <v/>
      </c>
      <c r="AC120" s="24" t="str">
        <f>IF(Year5_Slough Year5_ReferralsPriorEH="","",Year5_Slough Year5_ReferralsPriorEH)</f>
        <v/>
      </c>
      <c r="AD120" s="149"/>
      <c r="AE120" s="141">
        <f t="shared" si="26"/>
        <v>0</v>
      </c>
      <c r="AF120" s="141">
        <f t="shared" si="27"/>
        <v>0</v>
      </c>
      <c r="AG120" s="141">
        <f t="shared" si="28"/>
        <v>0</v>
      </c>
      <c r="AH120" s="141">
        <f t="shared" si="29"/>
        <v>0</v>
      </c>
      <c r="AI120" s="141">
        <f t="shared" si="30"/>
        <v>0</v>
      </c>
      <c r="AJ120" s="121"/>
    </row>
    <row r="121" spans="1:36" s="61" customFormat="1" ht="12.75" hidden="1" customHeight="1">
      <c r="A121" s="306">
        <f>VLOOKUP(B121,ReportData!$AQ$4:$AR$25,2,FALSE)</f>
        <v>0</v>
      </c>
      <c r="B121" s="65" t="str">
        <f t="shared" si="31"/>
        <v>Slough</v>
      </c>
      <c r="C121" s="59"/>
      <c r="D121" s="123" t="e">
        <f t="shared" si="32"/>
        <v>#N/A</v>
      </c>
      <c r="E121" s="123" t="e">
        <f t="shared" si="33"/>
        <v>#N/A</v>
      </c>
      <c r="F121" s="123" t="e">
        <f t="shared" si="34"/>
        <v>#N/A</v>
      </c>
      <c r="G121" s="123" t="e">
        <f t="shared" si="35"/>
        <v>#N/A</v>
      </c>
      <c r="H121" s="335" t="e">
        <f t="shared" si="36"/>
        <v>#N/A</v>
      </c>
      <c r="I121" s="68"/>
      <c r="J121" s="68"/>
      <c r="K121" s="127"/>
      <c r="L121" s="127"/>
      <c r="M121" s="127"/>
      <c r="N121" s="127"/>
      <c r="O121" s="127"/>
      <c r="P121" s="127"/>
      <c r="Q121" s="127"/>
      <c r="R121" s="128"/>
      <c r="S121" s="120"/>
      <c r="T121" s="127"/>
      <c r="U121" s="89"/>
      <c r="V121" s="103"/>
      <c r="W121" s="115"/>
      <c r="X121" s="28" t="str">
        <f t="shared" si="25"/>
        <v>Southampton</v>
      </c>
      <c r="Y121" s="24" t="str">
        <f>IF(Year1_Southampton Year1_ReferralsPriorEH="","",Year1_Southampton Year1_ReferralsPriorEH)</f>
        <v/>
      </c>
      <c r="Z121" s="24" t="str">
        <f>IF(Year2_Southampton Year2_ReferralsPriorEH="","",Year2_Southampton Year2_ReferralsPriorEH)</f>
        <v/>
      </c>
      <c r="AA121" s="24" t="str">
        <f>IF(Year3_Southampton Year3_ReferralsPriorEH="","",Year3_Southampton Year3_ReferralsPriorEH)</f>
        <v/>
      </c>
      <c r="AB121" s="24" t="str">
        <f>IF(Year4_Southampton Year4_ReferralsPriorEH="","",Year4_Southampton Year4_ReferralsPriorEH)</f>
        <v/>
      </c>
      <c r="AC121" s="24" t="str">
        <f>IF(Year5_Southampton Year5_ReferralsPriorEH="","",Year5_Southampton Year5_ReferralsPriorEH)</f>
        <v/>
      </c>
      <c r="AD121" s="149"/>
      <c r="AE121" s="141">
        <f t="shared" si="26"/>
        <v>0</v>
      </c>
      <c r="AF121" s="141">
        <f t="shared" si="27"/>
        <v>0</v>
      </c>
      <c r="AG121" s="141">
        <f t="shared" si="28"/>
        <v>0</v>
      </c>
      <c r="AH121" s="141">
        <f t="shared" si="29"/>
        <v>0</v>
      </c>
      <c r="AI121" s="141">
        <f t="shared" si="30"/>
        <v>0</v>
      </c>
      <c r="AJ121" s="121"/>
    </row>
    <row r="122" spans="1:36" s="61" customFormat="1" ht="12.75" hidden="1" customHeight="1">
      <c r="A122" s="306">
        <f>VLOOKUP(B122,ReportData!$AQ$4:$AR$25,2,FALSE)</f>
        <v>0</v>
      </c>
      <c r="B122" s="65" t="str">
        <f t="shared" si="31"/>
        <v>Southampton</v>
      </c>
      <c r="C122" s="59"/>
      <c r="D122" s="123" t="e">
        <f t="shared" si="32"/>
        <v>#N/A</v>
      </c>
      <c r="E122" s="123" t="e">
        <f t="shared" si="33"/>
        <v>#N/A</v>
      </c>
      <c r="F122" s="123" t="e">
        <f t="shared" si="34"/>
        <v>#N/A</v>
      </c>
      <c r="G122" s="123" t="e">
        <f t="shared" si="35"/>
        <v>#N/A</v>
      </c>
      <c r="H122" s="335" t="e">
        <f t="shared" si="36"/>
        <v>#N/A</v>
      </c>
      <c r="I122" s="68"/>
      <c r="J122" s="68"/>
      <c r="K122" s="127"/>
      <c r="L122" s="127"/>
      <c r="M122" s="127"/>
      <c r="N122" s="127"/>
      <c r="O122" s="127"/>
      <c r="P122" s="127"/>
      <c r="Q122" s="127"/>
      <c r="R122" s="128"/>
      <c r="S122" s="120"/>
      <c r="T122" s="127"/>
      <c r="U122" s="89"/>
      <c r="V122" s="103"/>
      <c r="W122" s="115"/>
      <c r="X122" s="28" t="str">
        <f t="shared" si="25"/>
        <v>Surrey</v>
      </c>
      <c r="Y122" s="24" t="str">
        <f>IF(Year1_Surrey Year1_ReferralsPriorEH="","",Year1_Surrey Year1_ReferralsPriorEH)</f>
        <v/>
      </c>
      <c r="Z122" s="24" t="str">
        <f>IF(Year2_Surrey Year2_ReferralsPriorEH="","",Year2_Surrey Year2_ReferralsPriorEH)</f>
        <v/>
      </c>
      <c r="AA122" s="24" t="str">
        <f>IF(Year3_Surrey Year3_ReferralsPriorEH="","",Year3_Surrey Year3_ReferralsPriorEH)</f>
        <v/>
      </c>
      <c r="AB122" s="24" t="str">
        <f>IF(Year4_Surrey Year4_ReferralsPriorEH="","",Year4_Surrey Year4_ReferralsPriorEH)</f>
        <v/>
      </c>
      <c r="AC122" s="24" t="str">
        <f>IF(Year5_Surrey Year5_ReferralsPriorEH="","",Year5_Surrey Year5_ReferralsPriorEH)</f>
        <v/>
      </c>
      <c r="AD122" s="149"/>
      <c r="AE122" s="141">
        <f t="shared" si="26"/>
        <v>0</v>
      </c>
      <c r="AF122" s="141">
        <f t="shared" si="27"/>
        <v>0</v>
      </c>
      <c r="AG122" s="141">
        <f t="shared" si="28"/>
        <v>0</v>
      </c>
      <c r="AH122" s="141">
        <f t="shared" si="29"/>
        <v>0</v>
      </c>
      <c r="AI122" s="141">
        <f t="shared" si="30"/>
        <v>0</v>
      </c>
      <c r="AJ122" s="121"/>
    </row>
    <row r="123" spans="1:36" s="61" customFormat="1" ht="12.75" hidden="1" customHeight="1">
      <c r="A123" s="306">
        <f>VLOOKUP(B123,ReportData!$AQ$4:$AR$25,2,FALSE)</f>
        <v>0</v>
      </c>
      <c r="B123" s="65" t="str">
        <f t="shared" si="31"/>
        <v>Surrey</v>
      </c>
      <c r="C123" s="59"/>
      <c r="D123" s="123" t="e">
        <f t="shared" si="32"/>
        <v>#N/A</v>
      </c>
      <c r="E123" s="123" t="e">
        <f t="shared" si="33"/>
        <v>#N/A</v>
      </c>
      <c r="F123" s="123" t="e">
        <f t="shared" si="34"/>
        <v>#N/A</v>
      </c>
      <c r="G123" s="123" t="e">
        <f t="shared" si="35"/>
        <v>#N/A</v>
      </c>
      <c r="H123" s="335" t="e">
        <f t="shared" si="36"/>
        <v>#N/A</v>
      </c>
      <c r="I123" s="68"/>
      <c r="J123" s="68"/>
      <c r="K123" s="127"/>
      <c r="L123" s="127"/>
      <c r="M123" s="127"/>
      <c r="N123" s="127"/>
      <c r="O123" s="127"/>
      <c r="P123" s="127"/>
      <c r="Q123" s="127"/>
      <c r="R123" s="128"/>
      <c r="S123" s="120"/>
      <c r="T123" s="127"/>
      <c r="U123" s="89"/>
      <c r="V123" s="103"/>
      <c r="W123" s="115"/>
      <c r="X123" s="28" t="str">
        <f t="shared" si="25"/>
        <v>West Berkshire</v>
      </c>
      <c r="Y123" s="24" t="str">
        <f>IF(Year1_West_Berkshire Year1_ReferralsPriorEH="","",Year1_West_Berkshire Year1_ReferralsPriorEH)</f>
        <v/>
      </c>
      <c r="Z123" s="24" t="str">
        <f>IF(Year2_West_Berkshire Year2_ReferralsPriorEH="","",Year2_West_Berkshire Year2_ReferralsPriorEH)</f>
        <v/>
      </c>
      <c r="AA123" s="24" t="str">
        <f>IF(Year3_West_Berkshire Year3_ReferralsPriorEH="","",Year3_West_Berkshire Year3_ReferralsPriorEH)</f>
        <v/>
      </c>
      <c r="AB123" s="24" t="str">
        <f>IF(Year4_West_Berkshire Year4_ReferralsPriorEH="","",Year4_West_Berkshire Year4_ReferralsPriorEH)</f>
        <v/>
      </c>
      <c r="AC123" s="24" t="str">
        <f>IF(Year5_West_Berkshire Year5_ReferralsPriorEH="","",Year5_West_Berkshire Year5_ReferralsPriorEH)</f>
        <v/>
      </c>
      <c r="AD123" s="149"/>
      <c r="AE123" s="141">
        <f t="shared" si="26"/>
        <v>0</v>
      </c>
      <c r="AF123" s="141">
        <f t="shared" si="27"/>
        <v>0</v>
      </c>
      <c r="AG123" s="141">
        <f t="shared" si="28"/>
        <v>0</v>
      </c>
      <c r="AH123" s="141">
        <f t="shared" si="29"/>
        <v>0</v>
      </c>
      <c r="AI123" s="141">
        <f t="shared" si="30"/>
        <v>0</v>
      </c>
      <c r="AJ123" s="121"/>
    </row>
    <row r="124" spans="1:36" s="61" customFormat="1" ht="12.75" hidden="1" customHeight="1">
      <c r="A124" s="306">
        <f>VLOOKUP(B124,ReportData!$AQ$4:$AR$25,2,FALSE)</f>
        <v>0</v>
      </c>
      <c r="B124" s="65" t="str">
        <f t="shared" ref="B124:B129" si="37">B26</f>
        <v>West Berkshire</v>
      </c>
      <c r="C124" s="59"/>
      <c r="D124" s="123" t="e">
        <f t="shared" si="32"/>
        <v>#N/A</v>
      </c>
      <c r="E124" s="123" t="e">
        <f t="shared" si="33"/>
        <v>#N/A</v>
      </c>
      <c r="F124" s="123" t="e">
        <f t="shared" si="34"/>
        <v>#N/A</v>
      </c>
      <c r="G124" s="123" t="e">
        <f t="shared" si="35"/>
        <v>#N/A</v>
      </c>
      <c r="H124" s="335" t="e">
        <f t="shared" si="36"/>
        <v>#N/A</v>
      </c>
      <c r="I124" s="68"/>
      <c r="J124" s="68"/>
      <c r="K124" s="127"/>
      <c r="L124" s="127"/>
      <c r="M124" s="127"/>
      <c r="N124" s="127"/>
      <c r="O124" s="127"/>
      <c r="P124" s="127"/>
      <c r="Q124" s="127"/>
      <c r="R124" s="128"/>
      <c r="S124" s="120"/>
      <c r="T124" s="127"/>
      <c r="U124" s="89"/>
      <c r="V124" s="103"/>
      <c r="W124" s="115"/>
      <c r="X124" s="28" t="str">
        <f t="shared" si="25"/>
        <v>West Sussex</v>
      </c>
      <c r="Y124" s="24" t="str">
        <f>IF(Year1_West_Sussex Year1_ReferralsPriorEH="","",Year1_West_Sussex Year1_ReferralsPriorEH)</f>
        <v/>
      </c>
      <c r="Z124" s="24" t="str">
        <f>IF(Year2_West_Sussex Year2_ReferralsPriorEH="","",Year2_West_Sussex Year2_ReferralsPriorEH)</f>
        <v/>
      </c>
      <c r="AA124" s="24" t="str">
        <f>IF(Year3_West_Sussex Year3_ReferralsPriorEH="","",Year3_West_Sussex Year3_ReferralsPriorEH)</f>
        <v/>
      </c>
      <c r="AB124" s="24" t="str">
        <f>IF(Year4_West_Sussex Year4_ReferralsPriorEH="","",Year4_West_Sussex Year4_ReferralsPriorEH)</f>
        <v/>
      </c>
      <c r="AC124" s="24" t="str">
        <f>IF(Year5_West_Sussex Year5_ReferralsPriorEH="","",Year5_West_Sussex Year5_ReferralsPriorEH)</f>
        <v/>
      </c>
      <c r="AD124" s="149"/>
      <c r="AE124" s="141">
        <f t="shared" si="26"/>
        <v>0</v>
      </c>
      <c r="AF124" s="141">
        <f t="shared" si="27"/>
        <v>0</v>
      </c>
      <c r="AG124" s="141">
        <f t="shared" si="28"/>
        <v>0</v>
      </c>
      <c r="AH124" s="141">
        <f t="shared" si="29"/>
        <v>0</v>
      </c>
      <c r="AI124" s="141">
        <f t="shared" si="30"/>
        <v>0</v>
      </c>
      <c r="AJ124" s="121"/>
    </row>
    <row r="125" spans="1:36" s="61" customFormat="1" ht="12.75" hidden="1" customHeight="1">
      <c r="A125" s="306">
        <f>VLOOKUP(B125,ReportData!$AQ$4:$AR$25,2,FALSE)</f>
        <v>0</v>
      </c>
      <c r="B125" s="65" t="str">
        <f t="shared" si="37"/>
        <v>West Sussex</v>
      </c>
      <c r="C125" s="59"/>
      <c r="D125" s="123" t="e">
        <f t="shared" si="32"/>
        <v>#N/A</v>
      </c>
      <c r="E125" s="123" t="e">
        <f t="shared" si="33"/>
        <v>#N/A</v>
      </c>
      <c r="F125" s="123" t="e">
        <f t="shared" si="34"/>
        <v>#N/A</v>
      </c>
      <c r="G125" s="123" t="e">
        <f t="shared" si="35"/>
        <v>#N/A</v>
      </c>
      <c r="H125" s="335" t="e">
        <f t="shared" si="36"/>
        <v>#N/A</v>
      </c>
      <c r="I125" s="68"/>
      <c r="J125" s="68"/>
      <c r="K125" s="127"/>
      <c r="L125" s="127"/>
      <c r="M125" s="127"/>
      <c r="N125" s="127"/>
      <c r="O125" s="127"/>
      <c r="P125" s="127"/>
      <c r="Q125" s="127"/>
      <c r="R125" s="128"/>
      <c r="S125" s="120"/>
      <c r="T125" s="127"/>
      <c r="U125" s="89"/>
      <c r="V125" s="103"/>
      <c r="W125" s="115"/>
      <c r="X125" s="28" t="str">
        <f t="shared" si="25"/>
        <v>Windsor &amp; Maidenhead</v>
      </c>
      <c r="Y125" s="24" t="str">
        <f>IF(Year1_Windsor_and_Maidenhead Year1_ReferralsPriorEH="","",Year1_Windsor_and_Maidenhead Year1_ReferralsPriorEH)</f>
        <v/>
      </c>
      <c r="Z125" s="24" t="str">
        <f>IF(Year2_Windsor_and_Maidenhead Year2_ReferralsPriorEH="","",Year2_Windsor_and_Maidenhead Year2_ReferralsPriorEH)</f>
        <v/>
      </c>
      <c r="AA125" s="24" t="str">
        <f>IF(Year3_Windsor_and_Maidenhead Year3_ReferralsPriorEH="","",Year3_Windsor_and_Maidenhead Year3_ReferralsPriorEH)</f>
        <v/>
      </c>
      <c r="AB125" s="24" t="str">
        <f>IF(Year4_Windsor_and_Maidenhead Year4_ReferralsPriorEH="","",Year4_Windsor_and_Maidenhead Year4_ReferralsPriorEH)</f>
        <v/>
      </c>
      <c r="AC125" s="24" t="str">
        <f>IF(Year5_Windsor_and_Maidenhead Year5_ReferralsPriorEH="","",Year5_Windsor_and_Maidenhead Year5_ReferralsPriorEH)</f>
        <v/>
      </c>
      <c r="AD125" s="149"/>
      <c r="AE125" s="141">
        <f t="shared" si="26"/>
        <v>0</v>
      </c>
      <c r="AF125" s="141">
        <f t="shared" si="27"/>
        <v>0</v>
      </c>
      <c r="AG125" s="141">
        <f t="shared" si="28"/>
        <v>0</v>
      </c>
      <c r="AH125" s="141">
        <f t="shared" si="29"/>
        <v>0</v>
      </c>
      <c r="AI125" s="141">
        <f t="shared" si="30"/>
        <v>0</v>
      </c>
      <c r="AJ125" s="121"/>
    </row>
    <row r="126" spans="1:36" s="61" customFormat="1" ht="12.75" hidden="1" customHeight="1">
      <c r="A126" s="306">
        <f>VLOOKUP(B126,ReportData!$AQ$4:$AR$25,2,FALSE)</f>
        <v>0</v>
      </c>
      <c r="B126" s="65" t="str">
        <f t="shared" si="37"/>
        <v>Windsor &amp; Maidenhead</v>
      </c>
      <c r="C126" s="59"/>
      <c r="D126" s="123" t="e">
        <f t="shared" si="32"/>
        <v>#N/A</v>
      </c>
      <c r="E126" s="123" t="e">
        <f t="shared" si="33"/>
        <v>#N/A</v>
      </c>
      <c r="F126" s="123" t="e">
        <f t="shared" si="34"/>
        <v>#N/A</v>
      </c>
      <c r="G126" s="123" t="e">
        <f t="shared" si="35"/>
        <v>#N/A</v>
      </c>
      <c r="H126" s="335" t="e">
        <f t="shared" si="36"/>
        <v>#N/A</v>
      </c>
      <c r="I126" s="68"/>
      <c r="J126" s="68"/>
      <c r="K126" s="127"/>
      <c r="L126" s="127"/>
      <c r="M126" s="127"/>
      <c r="N126" s="127"/>
      <c r="O126" s="127"/>
      <c r="P126" s="127"/>
      <c r="Q126" s="127"/>
      <c r="R126" s="128"/>
      <c r="S126" s="120"/>
      <c r="T126" s="127"/>
      <c r="U126" s="89"/>
      <c r="V126" s="103"/>
      <c r="W126" s="115"/>
      <c r="X126" s="28" t="str">
        <f t="shared" si="25"/>
        <v>Wokingham</v>
      </c>
      <c r="Y126" s="24" t="str">
        <f>IF(Year1_Wokingham Year1_ReferralsPriorEH="","",Year1_Wokingham Year1_ReferralsPriorEH)</f>
        <v/>
      </c>
      <c r="Z126" s="24" t="str">
        <f>IF(Year2_Wokingham Year2_ReferralsPriorEH="","",Year2_Wokingham Year2_ReferralsPriorEH)</f>
        <v/>
      </c>
      <c r="AA126" s="24" t="str">
        <f>IF(Year3_Wokingham Year3_ReferralsPriorEH="","",Year3_Wokingham Year3_ReferralsPriorEH)</f>
        <v/>
      </c>
      <c r="AB126" s="24" t="str">
        <f>IF(Year4_Wokingham Year4_ReferralsPriorEH="","",Year4_Wokingham Year4_ReferralsPriorEH)</f>
        <v/>
      </c>
      <c r="AC126" s="24" t="str">
        <f>IF(Year5_Wokingham Year5_ReferralsPriorEH="","",Year5_Wokingham Year5_ReferralsPriorEH)</f>
        <v/>
      </c>
      <c r="AD126" s="149"/>
      <c r="AE126" s="141">
        <f t="shared" si="26"/>
        <v>0</v>
      </c>
      <c r="AF126" s="141">
        <f t="shared" si="27"/>
        <v>0</v>
      </c>
      <c r="AG126" s="141">
        <f t="shared" si="28"/>
        <v>0</v>
      </c>
      <c r="AH126" s="141">
        <f t="shared" si="29"/>
        <v>0</v>
      </c>
      <c r="AI126" s="141">
        <f t="shared" si="30"/>
        <v>0</v>
      </c>
      <c r="AJ126" s="121"/>
    </row>
    <row r="127" spans="1:36" s="61" customFormat="1" ht="12.6" hidden="1" customHeight="1">
      <c r="A127" s="306">
        <f>VLOOKUP(B127,ReportData!$AQ$4:$AR$25,2,FALSE)</f>
        <v>0</v>
      </c>
      <c r="B127" s="65" t="str">
        <f t="shared" si="37"/>
        <v>Wokingham</v>
      </c>
      <c r="C127" s="59"/>
      <c r="D127" s="123" t="e">
        <f t="shared" si="32"/>
        <v>#N/A</v>
      </c>
      <c r="E127" s="123" t="e">
        <f t="shared" si="33"/>
        <v>#N/A</v>
      </c>
      <c r="F127" s="123" t="e">
        <f t="shared" si="34"/>
        <v>#N/A</v>
      </c>
      <c r="G127" s="123" t="e">
        <f t="shared" si="35"/>
        <v>#N/A</v>
      </c>
      <c r="H127" s="335" t="e">
        <f t="shared" si="36"/>
        <v>#N/A</v>
      </c>
      <c r="I127" s="68"/>
      <c r="J127" s="68"/>
      <c r="K127" s="127"/>
      <c r="L127" s="127"/>
      <c r="M127" s="127"/>
      <c r="N127" s="127"/>
      <c r="O127" s="127"/>
      <c r="P127" s="127"/>
      <c r="Q127" s="127"/>
      <c r="R127" s="128"/>
      <c r="S127" s="120"/>
      <c r="T127" s="127"/>
      <c r="U127" s="89"/>
      <c r="V127" s="103"/>
      <c r="W127" s="115"/>
      <c r="X127" s="28" t="str">
        <f t="shared" si="25"/>
        <v>South East</v>
      </c>
      <c r="Y127" s="37" t="e">
        <f>IF(Year1_South_East Year1_ReferralsPriorEH=0,NA(),Year1_South_East Year1_ReferralsPriorEH)</f>
        <v>#N/A</v>
      </c>
      <c r="Z127" s="37" t="e">
        <f>IF(Year2_South_East Year2_ReferralsPriorEH=0,NA(),Year2_South_East Year2_ReferralsPriorEH)</f>
        <v>#N/A</v>
      </c>
      <c r="AA127" s="37" t="e">
        <f>IF(Year3_South_East Year3_ReferralsPriorEH=0,NA(),Year3_South_East Year3_ReferralsPriorEH)</f>
        <v>#N/A</v>
      </c>
      <c r="AB127" s="37" t="e">
        <f>IF(Year4_South_East Year4_ReferralsPriorEH=0,NA(),Year4_South_East Year4_ReferralsPriorEH)</f>
        <v>#N/A</v>
      </c>
      <c r="AC127" s="37" t="e">
        <f>IF(Year5_South_East Year5_ReferralsPriorEH=0,NA(),Year5_South_East Year5_ReferralsPriorEH)</f>
        <v>#N/A</v>
      </c>
      <c r="AD127" s="149"/>
      <c r="AE127" s="141">
        <f t="shared" si="26"/>
        <v>0</v>
      </c>
      <c r="AF127" s="141">
        <f t="shared" si="27"/>
        <v>0</v>
      </c>
      <c r="AG127" s="141">
        <f t="shared" si="28"/>
        <v>0</v>
      </c>
      <c r="AH127" s="141">
        <f t="shared" si="29"/>
        <v>0</v>
      </c>
      <c r="AI127" s="141">
        <f t="shared" si="30"/>
        <v>0</v>
      </c>
      <c r="AJ127" s="121"/>
    </row>
    <row r="128" spans="1:36" s="61" customFormat="1" ht="12.75" hidden="1" customHeight="1">
      <c r="A128" s="306"/>
      <c r="B128" s="96" t="str">
        <f t="shared" si="37"/>
        <v>South East</v>
      </c>
      <c r="C128" s="59"/>
      <c r="D128" s="124" t="e">
        <f t="shared" ref="D128:H129" si="38">IF(AND(ISNUMBER(Y127),ISNUMBER(AE127)),Y127/AE127,NA())</f>
        <v>#N/A</v>
      </c>
      <c r="E128" s="124" t="e">
        <f t="shared" si="38"/>
        <v>#N/A</v>
      </c>
      <c r="F128" s="124" t="e">
        <f t="shared" si="38"/>
        <v>#N/A</v>
      </c>
      <c r="G128" s="124" t="e">
        <f t="shared" si="38"/>
        <v>#N/A</v>
      </c>
      <c r="H128" s="336" t="e">
        <f t="shared" si="38"/>
        <v>#N/A</v>
      </c>
      <c r="I128" s="68"/>
      <c r="J128" s="68"/>
      <c r="K128" s="127"/>
      <c r="L128" s="127"/>
      <c r="M128" s="127"/>
      <c r="N128" s="127"/>
      <c r="O128" s="127"/>
      <c r="P128" s="127"/>
      <c r="Q128" s="127"/>
      <c r="R128" s="128"/>
      <c r="S128" s="120"/>
      <c r="T128" s="127"/>
      <c r="U128" s="89"/>
      <c r="V128" s="103"/>
      <c r="W128" s="115"/>
      <c r="X128" s="28" t="str">
        <f t="shared" si="25"/>
        <v>England</v>
      </c>
      <c r="Y128" s="37"/>
      <c r="Z128" s="37"/>
      <c r="AA128" s="37"/>
      <c r="AB128" s="37"/>
      <c r="AC128" s="37"/>
      <c r="AD128" s="149"/>
      <c r="AE128" s="141">
        <f t="shared" si="26"/>
        <v>0</v>
      </c>
      <c r="AF128" s="141">
        <f t="shared" si="27"/>
        <v>0</v>
      </c>
      <c r="AG128" s="141">
        <f t="shared" si="28"/>
        <v>0</v>
      </c>
      <c r="AH128" s="141">
        <f t="shared" si="29"/>
        <v>0</v>
      </c>
      <c r="AI128" s="141">
        <f t="shared" si="30"/>
        <v>0</v>
      </c>
      <c r="AJ128" s="121"/>
    </row>
    <row r="129" spans="1:54" s="61" customFormat="1" ht="12.75" hidden="1" customHeight="1">
      <c r="A129" s="88"/>
      <c r="B129" s="231" t="str">
        <f t="shared" si="37"/>
        <v>England</v>
      </c>
      <c r="C129" s="59"/>
      <c r="D129" s="239" t="e">
        <f t="shared" si="38"/>
        <v>#N/A</v>
      </c>
      <c r="E129" s="239" t="e">
        <f t="shared" si="38"/>
        <v>#N/A</v>
      </c>
      <c r="F129" s="239" t="e">
        <f t="shared" si="38"/>
        <v>#N/A</v>
      </c>
      <c r="G129" s="239" t="e">
        <f t="shared" si="38"/>
        <v>#N/A</v>
      </c>
      <c r="H129" s="337" t="e">
        <f t="shared" si="38"/>
        <v>#N/A</v>
      </c>
      <c r="I129" s="68"/>
      <c r="J129" s="68"/>
      <c r="K129" s="129"/>
      <c r="L129" s="129"/>
      <c r="M129" s="129"/>
      <c r="N129" s="129"/>
      <c r="O129" s="129"/>
      <c r="P129" s="129"/>
      <c r="Q129" s="129"/>
      <c r="R129" s="130"/>
      <c r="S129" s="120"/>
      <c r="T129" s="131"/>
      <c r="U129" s="89"/>
      <c r="V129" s="103"/>
      <c r="W129" s="114"/>
      <c r="X129" s="56"/>
      <c r="Y129" s="56"/>
      <c r="Z129" s="146"/>
      <c r="AA129" s="146"/>
      <c r="AB129" s="147"/>
      <c r="AC129" s="147"/>
      <c r="AH129" s="56"/>
      <c r="AI129" s="52"/>
      <c r="AJ129" s="122"/>
      <c r="AK129" s="56"/>
      <c r="AL129" s="56"/>
      <c r="AM129" s="56"/>
      <c r="AN129" s="56"/>
      <c r="AO129" s="56"/>
      <c r="AP129" s="56"/>
      <c r="AQ129" s="56"/>
      <c r="AR129" s="56"/>
      <c r="AS129" s="56"/>
      <c r="AT129" s="56"/>
      <c r="AU129" s="56"/>
      <c r="AV129" s="56"/>
      <c r="AW129" s="56"/>
      <c r="AX129" s="56"/>
      <c r="AY129" s="56"/>
      <c r="AZ129" s="56"/>
      <c r="BA129" s="56"/>
      <c r="BB129" s="56"/>
    </row>
    <row r="130" spans="1:54" s="61" customFormat="1" ht="7.5" hidden="1" customHeight="1">
      <c r="A130" s="217"/>
      <c r="B130" s="68"/>
      <c r="C130" s="68"/>
      <c r="D130" s="68"/>
      <c r="E130" s="68"/>
      <c r="F130" s="68"/>
      <c r="G130" s="68"/>
      <c r="H130" s="68"/>
      <c r="I130" s="68"/>
      <c r="J130" s="68"/>
      <c r="K130" s="129"/>
      <c r="L130" s="129"/>
      <c r="M130" s="129"/>
      <c r="N130" s="129"/>
      <c r="O130" s="129"/>
      <c r="P130" s="129"/>
      <c r="Q130" s="129"/>
      <c r="R130" s="130"/>
      <c r="S130" s="120"/>
      <c r="T130" s="131"/>
      <c r="U130" s="89"/>
      <c r="V130" s="103"/>
      <c r="W130" s="114"/>
      <c r="AD130" s="149"/>
      <c r="AH130" s="56"/>
      <c r="AI130" s="52"/>
      <c r="AJ130" s="122"/>
      <c r="AK130" s="56"/>
      <c r="AL130" s="56"/>
      <c r="AM130" s="56"/>
      <c r="AN130" s="56"/>
      <c r="AO130" s="56"/>
      <c r="AP130" s="56"/>
      <c r="AQ130" s="56"/>
      <c r="AR130" s="56"/>
      <c r="AS130" s="56"/>
      <c r="AT130" s="56"/>
      <c r="AU130" s="56"/>
      <c r="AV130" s="56"/>
      <c r="AW130" s="56"/>
      <c r="AX130" s="56"/>
      <c r="AY130" s="56"/>
      <c r="AZ130" s="56"/>
      <c r="BA130" s="56"/>
      <c r="BB130" s="56"/>
    </row>
    <row r="131" spans="1:54" s="56" customFormat="1" ht="51.75" hidden="1" customHeight="1">
      <c r="A131" s="166"/>
      <c r="B131" s="171"/>
      <c r="C131" s="171"/>
      <c r="D131" s="171"/>
      <c r="E131" s="171"/>
      <c r="F131" s="171"/>
      <c r="G131" s="171"/>
      <c r="H131" s="171"/>
      <c r="I131" s="171"/>
      <c r="J131" s="133"/>
      <c r="K131" s="133"/>
      <c r="L131" s="133"/>
      <c r="M131" s="133"/>
      <c r="N131" s="133"/>
      <c r="O131" s="133"/>
      <c r="P131" s="133"/>
      <c r="Q131" s="133"/>
      <c r="R131" s="101"/>
      <c r="S131" s="133"/>
      <c r="T131" s="133"/>
      <c r="U131" s="86"/>
      <c r="V131" s="102"/>
      <c r="W131" s="114"/>
      <c r="AC131" s="147"/>
      <c r="AD131" s="149"/>
      <c r="AE131" s="52"/>
      <c r="AF131" s="52"/>
      <c r="AG131" s="52"/>
      <c r="AI131" s="52"/>
      <c r="AJ131" s="122"/>
    </row>
    <row r="132" spans="1:54" s="56" customFormat="1" ht="39.6" hidden="1" customHeight="1">
      <c r="A132" s="166"/>
      <c r="B132" s="171"/>
      <c r="C132" s="171"/>
      <c r="D132" s="171"/>
      <c r="E132" s="171"/>
      <c r="F132" s="171"/>
      <c r="G132" s="171"/>
      <c r="H132" s="171"/>
      <c r="I132" s="171"/>
      <c r="J132" s="133"/>
      <c r="K132" s="133"/>
      <c r="L132" s="133"/>
      <c r="M132" s="133"/>
      <c r="N132" s="133"/>
      <c r="O132" s="133"/>
      <c r="P132" s="133"/>
      <c r="Q132" s="133"/>
      <c r="R132" s="101"/>
      <c r="S132" s="133"/>
      <c r="T132" s="133"/>
      <c r="U132" s="86"/>
      <c r="V132" s="102"/>
      <c r="W132" s="114"/>
      <c r="Y132" s="141"/>
      <c r="AD132" s="149"/>
      <c r="AE132" s="52"/>
      <c r="AF132" s="52"/>
      <c r="AG132" s="52"/>
      <c r="AI132" s="52"/>
      <c r="AJ132" s="119"/>
      <c r="AK132" s="52"/>
      <c r="AL132" s="52"/>
      <c r="AM132" s="52"/>
      <c r="AN132" s="52"/>
      <c r="AO132" s="52"/>
      <c r="AP132" s="52"/>
      <c r="AQ132" s="52"/>
    </row>
    <row r="133" spans="1:54" s="56" customFormat="1" ht="36.75" hidden="1" customHeight="1">
      <c r="A133" s="166"/>
      <c r="B133" s="171"/>
      <c r="C133" s="171"/>
      <c r="D133" s="171"/>
      <c r="E133" s="171"/>
      <c r="F133" s="171"/>
      <c r="G133" s="171"/>
      <c r="H133" s="171"/>
      <c r="I133" s="171"/>
      <c r="J133" s="133"/>
      <c r="K133" s="133"/>
      <c r="L133" s="133"/>
      <c r="M133" s="133"/>
      <c r="N133" s="133"/>
      <c r="O133" s="133"/>
      <c r="P133" s="133"/>
      <c r="Q133" s="133"/>
      <c r="R133" s="101"/>
      <c r="S133" s="133"/>
      <c r="T133" s="133"/>
      <c r="U133" s="86"/>
      <c r="V133" s="102"/>
      <c r="W133" s="114"/>
      <c r="Y133" s="141"/>
      <c r="AD133" s="149"/>
      <c r="AE133" s="52"/>
      <c r="AF133" s="52"/>
      <c r="AG133" s="52"/>
      <c r="AJ133" s="122"/>
      <c r="AS133" s="52"/>
    </row>
    <row r="134" spans="1:54" s="56" customFormat="1" ht="7.5" hidden="1" customHeight="1">
      <c r="A134" s="87"/>
      <c r="B134" s="12"/>
      <c r="C134" s="12"/>
      <c r="D134" s="11"/>
      <c r="E134" s="11"/>
      <c r="F134" s="11"/>
      <c r="G134" s="11"/>
      <c r="H134" s="11"/>
      <c r="I134" s="11"/>
      <c r="J134" s="1"/>
      <c r="K134" s="13"/>
      <c r="L134" s="13"/>
      <c r="M134" s="13"/>
      <c r="N134" s="13"/>
      <c r="O134" s="13"/>
      <c r="P134" s="13"/>
      <c r="Q134" s="13"/>
      <c r="R134" s="13"/>
      <c r="S134" s="13"/>
      <c r="T134" s="14"/>
      <c r="U134" s="86"/>
      <c r="V134" s="102"/>
      <c r="W134" s="114"/>
      <c r="Y134" s="141"/>
      <c r="AI134" s="52"/>
      <c r="AJ134" s="121"/>
      <c r="AK134" s="61"/>
      <c r="AS134" s="52"/>
    </row>
    <row r="135" spans="1:54" s="56" customFormat="1" ht="15" hidden="1" customHeight="1">
      <c r="A135" s="1565"/>
      <c r="B135" s="1751"/>
      <c r="C135" s="1751"/>
      <c r="D135" s="1751"/>
      <c r="E135" s="1751"/>
      <c r="F135" s="1751"/>
      <c r="G135" s="1751"/>
      <c r="H135" s="1751"/>
      <c r="I135" s="1751"/>
      <c r="J135" s="1751"/>
      <c r="K135" s="1751"/>
      <c r="L135" s="1751"/>
      <c r="M135" s="1751"/>
      <c r="N135" s="1751"/>
      <c r="O135" s="1751"/>
      <c r="P135" s="1751"/>
      <c r="Q135" s="1751"/>
      <c r="R135" s="1751"/>
      <c r="S135" s="1751"/>
      <c r="T135" s="1751"/>
      <c r="U135" s="1752"/>
      <c r="V135" s="102"/>
      <c r="W135" s="114"/>
      <c r="AI135" s="52"/>
      <c r="AJ135" s="119"/>
      <c r="AK135" s="52"/>
      <c r="AL135" s="52"/>
      <c r="AM135" s="52"/>
      <c r="AN135" s="52"/>
      <c r="AO135" s="52"/>
      <c r="AP135" s="52"/>
      <c r="AQ135" s="52"/>
      <c r="AR135" s="52"/>
      <c r="AS135" s="52"/>
      <c r="AT135" s="52"/>
      <c r="AU135" s="52"/>
      <c r="AV135" s="52"/>
      <c r="AW135" s="52"/>
      <c r="AX135" s="52"/>
      <c r="AY135" s="52"/>
      <c r="AZ135" s="52"/>
      <c r="BA135" s="52"/>
      <c r="BB135" s="52"/>
    </row>
    <row r="136" spans="1:54" s="56" customFormat="1" hidden="1">
      <c r="A136" s="1739" t="e">
        <f>Home!#REF!</f>
        <v>#REF!</v>
      </c>
      <c r="B136" s="1740"/>
      <c r="C136" s="1740"/>
      <c r="D136" s="1740"/>
      <c r="E136" s="1740"/>
      <c r="F136" s="1740"/>
      <c r="G136" s="1740"/>
      <c r="H136" s="1740"/>
      <c r="I136" s="1741"/>
      <c r="J136" s="1740"/>
      <c r="K136" s="1740"/>
      <c r="L136" s="1740"/>
      <c r="M136" s="1740"/>
      <c r="N136" s="1740"/>
      <c r="O136" s="1740"/>
      <c r="P136" s="1742"/>
      <c r="Q136" s="1740"/>
      <c r="R136" s="1740"/>
      <c r="S136" s="1741"/>
      <c r="T136" s="1740"/>
      <c r="U136" s="1743"/>
      <c r="V136" s="102"/>
      <c r="W136" s="114"/>
      <c r="AH136" s="52"/>
      <c r="AI136" s="52"/>
      <c r="AJ136" s="119"/>
      <c r="AK136" s="52"/>
      <c r="AL136" s="52"/>
      <c r="AM136" s="52"/>
      <c r="AN136" s="52"/>
      <c r="AO136" s="52"/>
      <c r="AP136" s="52"/>
      <c r="AQ136" s="52"/>
      <c r="AR136" s="52"/>
      <c r="AS136" s="52"/>
      <c r="AT136" s="52"/>
      <c r="AU136" s="52"/>
      <c r="AV136" s="52"/>
      <c r="AW136" s="52"/>
      <c r="AX136" s="52"/>
      <c r="AY136" s="52"/>
      <c r="AZ136" s="52"/>
      <c r="BA136" s="52"/>
      <c r="BB136" s="52"/>
    </row>
    <row r="137" spans="1:54" ht="11.1" customHeight="1">
      <c r="A137" s="81"/>
      <c r="B137" s="82"/>
      <c r="C137" s="82"/>
      <c r="D137" s="82"/>
      <c r="E137" s="82"/>
      <c r="F137" s="82"/>
      <c r="G137" s="82"/>
      <c r="H137" s="82"/>
      <c r="I137" s="82"/>
      <c r="J137" s="83"/>
      <c r="K137" s="82"/>
      <c r="L137" s="82"/>
      <c r="M137" s="82"/>
      <c r="N137" s="82"/>
      <c r="O137" s="82"/>
      <c r="P137" s="82"/>
      <c r="Q137" s="82"/>
      <c r="R137" s="82"/>
      <c r="S137" s="82"/>
      <c r="T137" s="82"/>
      <c r="U137" s="84"/>
      <c r="V137" s="102"/>
      <c r="W137" s="114"/>
      <c r="Y137" s="146"/>
      <c r="Z137" s="52"/>
      <c r="AJ137" s="119"/>
    </row>
    <row r="138" spans="1:54" ht="18">
      <c r="A138" s="87"/>
      <c r="B138" s="1090" t="s">
        <v>1226</v>
      </c>
      <c r="C138" s="47"/>
      <c r="D138" s="47"/>
      <c r="E138" s="47"/>
      <c r="F138" s="47"/>
      <c r="G138" s="47"/>
      <c r="H138" s="47"/>
      <c r="I138" s="47"/>
      <c r="J138" s="50"/>
      <c r="K138" s="50"/>
      <c r="L138" s="50"/>
      <c r="M138" s="50"/>
      <c r="N138" s="224"/>
      <c r="O138" s="50"/>
      <c r="P138" s="50"/>
      <c r="Q138" s="50"/>
      <c r="R138" s="50"/>
      <c r="S138" s="50"/>
      <c r="T138" s="50"/>
      <c r="U138" s="86"/>
      <c r="V138" s="102"/>
      <c r="W138" s="114"/>
      <c r="X138" s="52"/>
      <c r="Y138" s="52"/>
      <c r="Z138" s="52"/>
      <c r="AA138" s="52"/>
      <c r="AB138" s="52"/>
      <c r="AC138" s="52"/>
      <c r="AD138" s="52"/>
      <c r="AE138" s="52"/>
      <c r="AF138" s="52"/>
      <c r="AG138" s="52"/>
      <c r="AJ138" s="119"/>
    </row>
    <row r="139" spans="1:54" ht="15" customHeight="1">
      <c r="A139" s="87"/>
      <c r="B139" s="1095" t="s">
        <v>547</v>
      </c>
      <c r="C139" s="47"/>
      <c r="D139" s="47"/>
      <c r="E139" s="47"/>
      <c r="F139" s="47"/>
      <c r="G139" s="47"/>
      <c r="H139" s="47"/>
      <c r="I139" s="47"/>
      <c r="J139" s="50"/>
      <c r="K139" s="50"/>
      <c r="L139" s="50"/>
      <c r="M139" s="50"/>
      <c r="N139" s="224"/>
      <c r="O139" s="50"/>
      <c r="P139" s="50"/>
      <c r="Q139" s="50"/>
      <c r="R139" s="5"/>
      <c r="S139" s="50"/>
      <c r="T139" s="50"/>
      <c r="U139" s="86"/>
      <c r="V139" s="102"/>
      <c r="W139" s="115"/>
      <c r="X139" s="148" t="s">
        <v>81</v>
      </c>
      <c r="AH139" s="141"/>
      <c r="AI139" s="61"/>
      <c r="AJ139" s="121"/>
      <c r="AK139" s="61"/>
      <c r="AL139" s="61"/>
      <c r="AM139" s="61"/>
      <c r="AN139" s="61"/>
      <c r="AO139" s="61"/>
      <c r="AP139" s="61"/>
      <c r="AQ139" s="61"/>
      <c r="AR139" s="61"/>
      <c r="AS139" s="61"/>
      <c r="AT139" s="61"/>
      <c r="AU139" s="61"/>
      <c r="AV139" s="61"/>
      <c r="AW139" s="61"/>
      <c r="AX139" s="61"/>
      <c r="AY139" s="61"/>
      <c r="AZ139" s="61"/>
      <c r="BA139" s="61"/>
      <c r="BB139" s="61"/>
    </row>
    <row r="140" spans="1:54" ht="3" customHeight="1">
      <c r="A140" s="208"/>
      <c r="B140" s="1094"/>
      <c r="C140" s="47"/>
      <c r="D140" s="47"/>
      <c r="E140" s="47"/>
      <c r="F140" s="47"/>
      <c r="G140" s="47"/>
      <c r="H140" s="47"/>
      <c r="I140" s="47"/>
      <c r="J140" s="50"/>
      <c r="K140" s="50"/>
      <c r="L140" s="50"/>
      <c r="M140" s="50"/>
      <c r="N140" s="224"/>
      <c r="O140" s="50"/>
      <c r="P140" s="50"/>
      <c r="Q140" s="50"/>
      <c r="R140" s="5"/>
      <c r="S140" s="50"/>
      <c r="T140" s="50"/>
      <c r="U140" s="86"/>
      <c r="V140" s="102"/>
      <c r="W140" s="115"/>
      <c r="X140" s="148"/>
      <c r="AH140" s="141"/>
      <c r="AI140" s="61"/>
      <c r="AJ140" s="121"/>
      <c r="AK140" s="61"/>
      <c r="AL140" s="61"/>
      <c r="AM140" s="61"/>
      <c r="AN140" s="61"/>
      <c r="AO140" s="61"/>
      <c r="AP140" s="61"/>
      <c r="AQ140" s="61"/>
      <c r="AR140" s="61"/>
      <c r="AS140" s="61"/>
      <c r="AT140" s="61"/>
      <c r="AU140" s="61"/>
      <c r="AV140" s="61"/>
      <c r="AW140" s="61"/>
      <c r="AX140" s="61"/>
      <c r="AY140" s="61"/>
      <c r="AZ140" s="61"/>
      <c r="BA140" s="61"/>
      <c r="BB140" s="61"/>
    </row>
    <row r="141" spans="1:54" ht="16.5" customHeight="1">
      <c r="A141" s="208"/>
      <c r="B141" s="1749" t="s">
        <v>177</v>
      </c>
      <c r="C141" s="230"/>
      <c r="D141" s="1088" t="str">
        <f>ReportData!$D$27</f>
        <v>2019/20</v>
      </c>
      <c r="E141" s="1088" t="str">
        <f>ReportData!$E$27</f>
        <v>2020/21</v>
      </c>
      <c r="F141" s="1088" t="str">
        <f>ReportData!$F$27</f>
        <v>2021/22</v>
      </c>
      <c r="G141" s="1088" t="str">
        <f>ReportData!$G$27</f>
        <v>2022/23</v>
      </c>
      <c r="H141" s="1089" t="str">
        <f>ReportData!$H$27</f>
        <v>2023/24</v>
      </c>
      <c r="I141" s="47"/>
      <c r="J141" s="50"/>
      <c r="K141" s="50"/>
      <c r="L141" s="50"/>
      <c r="M141" s="50"/>
      <c r="N141" s="224"/>
      <c r="O141" s="50"/>
      <c r="P141" s="50"/>
      <c r="Q141" s="50"/>
      <c r="R141" s="5"/>
      <c r="S141" s="50"/>
      <c r="T141" s="50"/>
      <c r="U141" s="86"/>
      <c r="V141" s="102"/>
      <c r="W141" s="115"/>
      <c r="Y141" s="457" t="str">
        <f>ReportData!$D$27</f>
        <v>2019/20</v>
      </c>
      <c r="Z141" s="457" t="str">
        <f>ReportData!$E$27</f>
        <v>2020/21</v>
      </c>
      <c r="AA141" s="457" t="str">
        <f>ReportData!$F$27</f>
        <v>2021/22</v>
      </c>
      <c r="AB141" s="457" t="str">
        <f>ReportData!$G$27</f>
        <v>2022/23</v>
      </c>
      <c r="AC141" s="458" t="str">
        <f>ReportData!$H$27</f>
        <v>2023/24</v>
      </c>
      <c r="AH141" s="141"/>
      <c r="AI141" s="61"/>
      <c r="AJ141" s="121"/>
      <c r="AK141" s="61"/>
      <c r="AL141" s="61"/>
      <c r="AM141" s="61"/>
      <c r="AN141" s="61"/>
      <c r="AO141" s="61"/>
      <c r="AP141" s="61"/>
      <c r="AQ141" s="61"/>
      <c r="AR141" s="61"/>
      <c r="AS141" s="61"/>
      <c r="AT141" s="61"/>
      <c r="AU141" s="61"/>
      <c r="AV141" s="61"/>
      <c r="AW141" s="61"/>
      <c r="AX141" s="61"/>
      <c r="AY141" s="61"/>
      <c r="AZ141" s="61"/>
      <c r="BA141" s="61"/>
      <c r="BB141" s="61"/>
    </row>
    <row r="142" spans="1:54" s="61" customFormat="1" ht="17.25" customHeight="1">
      <c r="A142" s="88"/>
      <c r="B142" s="1750"/>
      <c r="C142" s="59"/>
      <c r="D142" s="897" t="e">
        <f>ReportData!$D$28</f>
        <v>#N/A</v>
      </c>
      <c r="E142" s="897" t="e">
        <f>ReportData!$E$28</f>
        <v>#N/A</v>
      </c>
      <c r="F142" s="897" t="e">
        <f>ReportData!$F$28</f>
        <v>#N/A</v>
      </c>
      <c r="G142" s="897" t="e">
        <f>ReportData!$G$28</f>
        <v>#N/A</v>
      </c>
      <c r="H142" s="920" t="e">
        <f>ReportData!$H$28</f>
        <v>#N/A</v>
      </c>
      <c r="I142" s="68"/>
      <c r="J142" s="68"/>
      <c r="K142" s="43"/>
      <c r="L142" s="43"/>
      <c r="M142" s="43"/>
      <c r="N142" s="43"/>
      <c r="O142" s="43"/>
      <c r="P142" s="43"/>
      <c r="Q142" s="225"/>
      <c r="R142" s="225"/>
      <c r="S142" s="120"/>
      <c r="T142" s="226"/>
      <c r="U142" s="89"/>
      <c r="V142" s="103"/>
      <c r="W142" s="115"/>
      <c r="Y142" s="459" t="e">
        <f>ReportData!$D$28</f>
        <v>#N/A</v>
      </c>
      <c r="Z142" s="459" t="e">
        <f>ReportData!$E$28</f>
        <v>#N/A</v>
      </c>
      <c r="AA142" s="459" t="e">
        <f>ReportData!$F$28</f>
        <v>#N/A</v>
      </c>
      <c r="AB142" s="459" t="e">
        <f>ReportData!$G$28</f>
        <v>#N/A</v>
      </c>
      <c r="AC142" s="460" t="e">
        <f>ReportData!$H$28</f>
        <v>#N/A</v>
      </c>
      <c r="AD142" s="149"/>
      <c r="AE142" s="141"/>
      <c r="AF142" s="141"/>
      <c r="AG142" s="141"/>
      <c r="AH142" s="141"/>
      <c r="AJ142" s="121"/>
    </row>
    <row r="143" spans="1:54" s="61" customFormat="1" ht="13.5" customHeight="1">
      <c r="A143" s="1103">
        <f>VLOOKUP(B143,ReportData!$AQ$4:$AR$25,2,FALSE)</f>
        <v>0</v>
      </c>
      <c r="B143" s="885" t="str">
        <f t="shared" ref="B143:B163" si="39">B11</f>
        <v>Bracknell Forest</v>
      </c>
      <c r="C143" s="896"/>
      <c r="D143" s="922">
        <f t="shared" ref="D143:D163" si="40">IF(ISNUMBER(Y143),Y143/D11,NA())</f>
        <v>0.81871689228958211</v>
      </c>
      <c r="E143" s="922">
        <f t="shared" ref="E143:E163" si="41">IF(ISNUMBER(Z143),Z143/E11,NA())</f>
        <v>0.92810065907729178</v>
      </c>
      <c r="F143" s="922">
        <f t="shared" ref="F143:F163" si="42">IF(ISNUMBER(AA143),AA143/F11,NA())</f>
        <v>0.89255108767303892</v>
      </c>
      <c r="G143" s="922">
        <f t="shared" ref="G143:G163" si="43">IF(ISNUMBER(AB143),AB143/G11,NA())</f>
        <v>0.8735955056179775</v>
      </c>
      <c r="H143" s="923">
        <f t="shared" ref="H143:H163" si="44">IF(ISNUMBER(AC143),AC143/H11,NA())</f>
        <v>0.88749172733289217</v>
      </c>
      <c r="I143" s="68"/>
      <c r="J143" s="68"/>
      <c r="K143" s="127"/>
      <c r="L143" s="127"/>
      <c r="M143" s="127"/>
      <c r="N143" s="127"/>
      <c r="O143" s="127"/>
      <c r="P143" s="127"/>
      <c r="Q143" s="127"/>
      <c r="R143" s="128"/>
      <c r="S143" s="120"/>
      <c r="T143" s="127"/>
      <c r="U143" s="89"/>
      <c r="V143" s="103"/>
      <c r="W143" s="115"/>
      <c r="X143" s="28" t="str">
        <f t="shared" ref="X143:X163" si="45">B11</f>
        <v>Bracknell Forest</v>
      </c>
      <c r="Y143" s="24">
        <f>IF(Year1_Bracknell_Forest Year1_ReferralsAssessment="","",Year1_Bracknell_Forest Year1_ReferralsAssessment)</f>
        <v>1391</v>
      </c>
      <c r="Z143" s="24">
        <f>IF(Year2_Bracknell_Forest Year2_ReferralsAssessment="","",Year2_Bracknell_Forest Year2_ReferralsAssessment)</f>
        <v>1549</v>
      </c>
      <c r="AA143" s="24">
        <f>IF(Year3_Bracknell_Forest Year3_ReferralsAssessment="","",Year3_Bracknell_Forest Year3_ReferralsAssessment)</f>
        <v>1354</v>
      </c>
      <c r="AB143" s="24">
        <f>IF(Year4_Bracknell_Forest Year4_ReferralsAssessment="","",Year4_Bracknell_Forest Year4_ReferralsAssessment)</f>
        <v>1555</v>
      </c>
      <c r="AC143" s="24">
        <f>IF(Year5_Bracknell_Forest Year5_ReferralsAssessment="","",Year5_Bracknell_Forest Year5_ReferralsAssessment)</f>
        <v>1341</v>
      </c>
      <c r="AD143" s="149"/>
      <c r="AE143" s="141"/>
      <c r="AF143" s="141"/>
      <c r="AG143" s="141"/>
      <c r="AH143" s="141"/>
      <c r="AJ143" s="121"/>
    </row>
    <row r="144" spans="1:54" s="61" customFormat="1" ht="13.5" customHeight="1">
      <c r="A144" s="1103">
        <f>VLOOKUP(B144,ReportData!$AQ$4:$AR$25,2,FALSE)</f>
        <v>0</v>
      </c>
      <c r="B144" s="885" t="str">
        <f t="shared" si="39"/>
        <v>Brighton &amp; Hove</v>
      </c>
      <c r="C144" s="896"/>
      <c r="D144" s="922">
        <f t="shared" si="40"/>
        <v>0.86782413889666765</v>
      </c>
      <c r="E144" s="922">
        <f t="shared" si="41"/>
        <v>0.85233072473630489</v>
      </c>
      <c r="F144" s="922">
        <f t="shared" si="42"/>
        <v>0.9522769806612601</v>
      </c>
      <c r="G144" s="922">
        <f t="shared" si="43"/>
        <v>0.81040320098491847</v>
      </c>
      <c r="H144" s="923">
        <f t="shared" si="44"/>
        <v>0.88271415412956711</v>
      </c>
      <c r="I144" s="68"/>
      <c r="J144" s="68"/>
      <c r="K144" s="127"/>
      <c r="L144" s="127"/>
      <c r="M144" s="127"/>
      <c r="N144" s="127"/>
      <c r="O144" s="127"/>
      <c r="P144" s="127"/>
      <c r="Q144" s="127"/>
      <c r="R144" s="128"/>
      <c r="S144" s="120"/>
      <c r="T144" s="127"/>
      <c r="U144" s="89"/>
      <c r="V144" s="103"/>
      <c r="W144" s="115"/>
      <c r="X144" s="28" t="str">
        <f t="shared" si="45"/>
        <v>Brighton &amp; Hove</v>
      </c>
      <c r="Y144" s="24">
        <f>IF(Year1_Brighton_and_Hove Year1_ReferralsAssessment="","",Year1_Brighton_and_Hove Year1_ReferralsAssessment)</f>
        <v>3099</v>
      </c>
      <c r="Z144" s="24">
        <f>IF(Year2_Brighton_and_Hove Year2_ReferralsAssessment="","",Year2_Brighton_and_Hove Year2_ReferralsAssessment)</f>
        <v>2505</v>
      </c>
      <c r="AA144" s="24">
        <f>IF(Year3_Brighton_and_Hove Year3_ReferralsAssessment="","",Year3_Brighton_and_Hove Year3_ReferralsAssessment)</f>
        <v>3053</v>
      </c>
      <c r="AB144" s="24">
        <f>IF(Year4_Brighton_and_Hove Year4_ReferralsAssessment="","",Year4_Brighton_and_Hove Year4_ReferralsAssessment)</f>
        <v>2633</v>
      </c>
      <c r="AC144" s="24">
        <f>IF(Year5_Brighton_and_Hove Year5_ReferralsAssessment="","",Year5_Brighton_and_Hove Year5_ReferralsAssessment)</f>
        <v>2875</v>
      </c>
      <c r="AD144" s="149"/>
      <c r="AE144" s="141"/>
      <c r="AF144" s="141"/>
      <c r="AG144" s="141"/>
      <c r="AH144" s="141"/>
      <c r="AJ144" s="121"/>
    </row>
    <row r="145" spans="1:44" s="61" customFormat="1" ht="13.5" customHeight="1">
      <c r="A145" s="1103">
        <f>VLOOKUP(B145,ReportData!$AQ$4:$AR$25,2,FALSE)</f>
        <v>0</v>
      </c>
      <c r="B145" s="885" t="str">
        <f t="shared" si="39"/>
        <v>Buckinghamshire</v>
      </c>
      <c r="C145" s="896"/>
      <c r="D145" s="922">
        <f t="shared" si="40"/>
        <v>0.85502569618740287</v>
      </c>
      <c r="E145" s="922">
        <f t="shared" si="41"/>
        <v>0.71774642658251342</v>
      </c>
      <c r="F145" s="922">
        <f t="shared" si="42"/>
        <v>0.55635363337663335</v>
      </c>
      <c r="G145" s="922">
        <f t="shared" si="43"/>
        <v>0.50991198486468703</v>
      </c>
      <c r="H145" s="923">
        <f t="shared" si="44"/>
        <v>0.9830815709969789</v>
      </c>
      <c r="I145" s="68"/>
      <c r="J145" s="68"/>
      <c r="K145" s="127"/>
      <c r="L145" s="127"/>
      <c r="M145" s="127"/>
      <c r="N145" s="127"/>
      <c r="O145" s="127"/>
      <c r="P145" s="127"/>
      <c r="Q145" s="127"/>
      <c r="R145" s="128"/>
      <c r="S145" s="120"/>
      <c r="T145" s="127"/>
      <c r="U145" s="89"/>
      <c r="V145" s="103"/>
      <c r="W145" s="115"/>
      <c r="X145" s="28" t="str">
        <f t="shared" si="45"/>
        <v>Buckinghamshire</v>
      </c>
      <c r="Y145" s="24">
        <f>IF(Year1_Buckinghamshire Year1_ReferralsAssessment="","",Year1_Buckinghamshire Year1_ReferralsAssessment)</f>
        <v>7154</v>
      </c>
      <c r="Z145" s="24">
        <f>IF(Year2_Buckinghamshire Year2_ReferralsAssessment="","",Year2_Buckinghamshire Year2_ReferralsAssessment)</f>
        <v>7733</v>
      </c>
      <c r="AA145" s="24">
        <f>IF(Year3_Buckinghamshire Year3_ReferralsAssessment="","",Year3_Buckinghamshire Year3_ReferralsAssessment)</f>
        <v>7281</v>
      </c>
      <c r="AB145" s="24">
        <f>IF(Year4_Buckinghamshire Year4_ReferralsAssessment="","",Year4_Buckinghamshire Year4_ReferralsAssessment)</f>
        <v>6199</v>
      </c>
      <c r="AC145" s="24">
        <f>IF(Year5_Buckinghamshire Year5_ReferralsAssessment="","",Year5_Buckinghamshire Year5_ReferralsAssessment)</f>
        <v>6508</v>
      </c>
      <c r="AD145" s="149"/>
      <c r="AE145" s="141"/>
      <c r="AF145" s="141"/>
      <c r="AG145" s="141"/>
      <c r="AH145" s="141"/>
      <c r="AJ145" s="121"/>
    </row>
    <row r="146" spans="1:44" s="61" customFormat="1" ht="13.5" customHeight="1">
      <c r="A146" s="1103">
        <f>VLOOKUP(B146,ReportData!$AQ$4:$AR$25,2,FALSE)</f>
        <v>0</v>
      </c>
      <c r="B146" s="885" t="str">
        <f t="shared" si="39"/>
        <v>East Sussex</v>
      </c>
      <c r="C146" s="896"/>
      <c r="D146" s="922">
        <f t="shared" si="40"/>
        <v>0.98656107511399083</v>
      </c>
      <c r="E146" s="922">
        <f t="shared" si="41"/>
        <v>0.98012552301255229</v>
      </c>
      <c r="F146" s="922">
        <f t="shared" si="42"/>
        <v>0.97763280521901208</v>
      </c>
      <c r="G146" s="922">
        <f t="shared" si="43"/>
        <v>0.95784363822176799</v>
      </c>
      <c r="H146" s="923">
        <f t="shared" si="44"/>
        <v>0.9610299234516354</v>
      </c>
      <c r="I146" s="68"/>
      <c r="J146" s="68"/>
      <c r="K146" s="127"/>
      <c r="L146" s="127"/>
      <c r="M146" s="127"/>
      <c r="N146" s="127"/>
      <c r="O146" s="127"/>
      <c r="P146" s="127"/>
      <c r="Q146" s="127"/>
      <c r="R146" s="128"/>
      <c r="S146" s="120"/>
      <c r="T146" s="127"/>
      <c r="U146" s="89"/>
      <c r="V146" s="103"/>
      <c r="W146" s="115"/>
      <c r="X146" s="28" t="str">
        <f t="shared" si="45"/>
        <v>East Sussex</v>
      </c>
      <c r="Y146" s="24">
        <f>IF(Year1_East_Sussex Year1_ReferralsAssessment="","",Year1_East_Sussex Year1_ReferralsAssessment)</f>
        <v>4111</v>
      </c>
      <c r="Z146" s="24">
        <f>IF(Year2_East_Sussex Year2_ReferralsAssessment="","",Year2_East_Sussex Year2_ReferralsAssessment)</f>
        <v>3748</v>
      </c>
      <c r="AA146" s="24">
        <f>IF(Year3_East_Sussex Year3_ReferralsAssessment="","",Year3_East_Sussex Year3_ReferralsAssessment)</f>
        <v>4196</v>
      </c>
      <c r="AB146" s="24">
        <f>IF(Year4_East_Sussex Year4_ReferralsAssessment="","",Year4_East_Sussex Year4_ReferralsAssessment)</f>
        <v>3749</v>
      </c>
      <c r="AC146" s="24">
        <f>IF(Year5_East_Sussex Year5_ReferralsAssessment="","",Year5_East_Sussex Year5_ReferralsAssessment)</f>
        <v>4143</v>
      </c>
      <c r="AD146" s="149"/>
      <c r="AE146" s="141"/>
      <c r="AF146" s="141"/>
      <c r="AG146" s="141"/>
      <c r="AH146" s="141"/>
      <c r="AJ146" s="121"/>
      <c r="AR146" s="61" t="s">
        <v>95</v>
      </c>
    </row>
    <row r="147" spans="1:44" s="61" customFormat="1" ht="13.5" customHeight="1">
      <c r="A147" s="1103">
        <f>VLOOKUP(B147,ReportData!$AQ$4:$AR$25,2,FALSE)</f>
        <v>0</v>
      </c>
      <c r="B147" s="885" t="str">
        <f t="shared" si="39"/>
        <v>Hampshire</v>
      </c>
      <c r="C147" s="896"/>
      <c r="D147" s="922">
        <f t="shared" si="40"/>
        <v>0.86641938674579622</v>
      </c>
      <c r="E147" s="922">
        <f t="shared" si="41"/>
        <v>0.85509352585439036</v>
      </c>
      <c r="F147" s="922">
        <f t="shared" si="42"/>
        <v>0.89018776941623434</v>
      </c>
      <c r="G147" s="922">
        <f t="shared" si="43"/>
        <v>0.84519047931283198</v>
      </c>
      <c r="H147" s="923" t="e">
        <f t="shared" si="44"/>
        <v>#N/A</v>
      </c>
      <c r="I147" s="68"/>
      <c r="J147" s="68"/>
      <c r="K147" s="127"/>
      <c r="L147" s="127"/>
      <c r="M147" s="127"/>
      <c r="N147" s="127"/>
      <c r="O147" s="127"/>
      <c r="P147" s="127"/>
      <c r="Q147" s="127"/>
      <c r="R147" s="128"/>
      <c r="S147" s="120"/>
      <c r="T147" s="127"/>
      <c r="U147" s="89"/>
      <c r="V147" s="103"/>
      <c r="W147" s="115"/>
      <c r="X147" s="28" t="str">
        <f t="shared" si="45"/>
        <v>Hampshire</v>
      </c>
      <c r="Y147" s="24">
        <f>IF(Year1_Hampshire Year1_ReferralsAssessment="","",Year1_Hampshire Year1_ReferralsAssessment)</f>
        <v>17519</v>
      </c>
      <c r="Z147" s="24">
        <f>IF(Year2_Hampshire Year2_ReferralsAssessment="","",Year2_Hampshire Year2_ReferralsAssessment)</f>
        <v>18240</v>
      </c>
      <c r="AA147" s="24">
        <f>IF(Year3_Hampshire Year3_ReferralsAssessment="","",Year3_Hampshire Year3_ReferralsAssessment)</f>
        <v>24368</v>
      </c>
      <c r="AB147" s="24">
        <f>IF(Year4_Hampshire Year4_ReferralsAssessment="","",Year4_Hampshire Year4_ReferralsAssessment)</f>
        <v>25780</v>
      </c>
      <c r="AC147" s="24" t="str">
        <f>IF(Year5_Hampshire Year5_ReferralsAssessment="","",Year5_Hampshire Year5_ReferralsAssessment)</f>
        <v>u</v>
      </c>
      <c r="AD147" s="149"/>
      <c r="AE147" s="141"/>
      <c r="AF147" s="141"/>
      <c r="AG147" s="141"/>
      <c r="AH147" s="141"/>
      <c r="AJ147" s="121"/>
    </row>
    <row r="148" spans="1:44" s="61" customFormat="1" ht="13.5" customHeight="1">
      <c r="A148" s="1103">
        <f>VLOOKUP(B148,ReportData!$AQ$4:$AR$25,2,FALSE)</f>
        <v>0</v>
      </c>
      <c r="B148" s="885" t="str">
        <f t="shared" si="39"/>
        <v>Isle of Wight</v>
      </c>
      <c r="C148" s="896"/>
      <c r="D148" s="922">
        <f t="shared" si="40"/>
        <v>0.82958801498127344</v>
      </c>
      <c r="E148" s="922">
        <f t="shared" si="41"/>
        <v>0.89652539137075216</v>
      </c>
      <c r="F148" s="922">
        <f t="shared" si="42"/>
        <v>0.93997028231797919</v>
      </c>
      <c r="G148" s="922">
        <f t="shared" si="43"/>
        <v>0.79767441860465116</v>
      </c>
      <c r="H148" s="923">
        <f t="shared" si="44"/>
        <v>0.74486066697121978</v>
      </c>
      <c r="I148" s="68"/>
      <c r="J148" s="68"/>
      <c r="K148" s="127"/>
      <c r="L148" s="127"/>
      <c r="M148" s="127"/>
      <c r="N148" s="127"/>
      <c r="O148" s="127"/>
      <c r="P148" s="127"/>
      <c r="Q148" s="127"/>
      <c r="R148" s="128"/>
      <c r="S148" s="120"/>
      <c r="T148" s="127"/>
      <c r="U148" s="89"/>
      <c r="V148" s="103"/>
      <c r="W148" s="115"/>
      <c r="X148" s="28" t="str">
        <f t="shared" si="45"/>
        <v>Isle of Wight</v>
      </c>
      <c r="Y148" s="24">
        <f>IF(Year1_Isle_of_Wight Year1_ReferralsAssessment="","",Year1_Isle_of_Wight Year1_ReferralsAssessment)</f>
        <v>2215</v>
      </c>
      <c r="Z148" s="24">
        <f>IF(Year2_Isle_of_Wight Year2_ReferralsAssessment="","",Year2_Isle_of_Wight Year2_ReferralsAssessment)</f>
        <v>2348</v>
      </c>
      <c r="AA148" s="24">
        <f>IF(Year3_Isle_of_Wight Year3_ReferralsAssessment="","",Year3_Isle_of_Wight Year3_ReferralsAssessment)</f>
        <v>3163</v>
      </c>
      <c r="AB148" s="24">
        <f>IF(Year4_Isle_of_Wight Year4_ReferralsAssessment="","",Year4_Isle_of_Wight Year4_ReferralsAssessment)</f>
        <v>3087</v>
      </c>
      <c r="AC148" s="24">
        <f>IF(Year5_Isle_of_Wight Year5_ReferralsAssessment="","",Year5_Isle_of_Wight Year5_ReferralsAssessment)</f>
        <v>3261</v>
      </c>
      <c r="AD148" s="149"/>
      <c r="AE148" s="141"/>
      <c r="AF148" s="141"/>
      <c r="AG148" s="141"/>
      <c r="AH148" s="141"/>
      <c r="AJ148" s="121"/>
    </row>
    <row r="149" spans="1:44" s="61" customFormat="1" ht="13.5" customHeight="1">
      <c r="A149" s="1103">
        <f>VLOOKUP(B149,ReportData!$AQ$4:$AR$25,2,FALSE)</f>
        <v>0</v>
      </c>
      <c r="B149" s="885" t="str">
        <f t="shared" si="39"/>
        <v>Kent</v>
      </c>
      <c r="C149" s="896"/>
      <c r="D149" s="922">
        <f t="shared" si="40"/>
        <v>0.99525705848136381</v>
      </c>
      <c r="E149" s="922">
        <f t="shared" si="41"/>
        <v>0.99714919227114351</v>
      </c>
      <c r="F149" s="922">
        <f t="shared" si="42"/>
        <v>0.99307585782428065</v>
      </c>
      <c r="G149" s="922">
        <f t="shared" si="43"/>
        <v>0.99114613307361987</v>
      </c>
      <c r="H149" s="923">
        <f t="shared" si="44"/>
        <v>0.99448384554767533</v>
      </c>
      <c r="I149" s="68"/>
      <c r="J149" s="68"/>
      <c r="K149" s="127"/>
      <c r="L149" s="127"/>
      <c r="M149" s="127"/>
      <c r="N149" s="127"/>
      <c r="O149" s="127"/>
      <c r="P149" s="127"/>
      <c r="Q149" s="127"/>
      <c r="R149" s="128"/>
      <c r="S149" s="120"/>
      <c r="T149" s="127"/>
      <c r="U149" s="89"/>
      <c r="V149" s="103"/>
      <c r="W149" s="115"/>
      <c r="X149" s="28" t="str">
        <f t="shared" si="45"/>
        <v>Kent</v>
      </c>
      <c r="Y149" s="24">
        <f>IF(Year1_Kent Year1_ReferralsAssessment="","",Year1_Kent Year1_ReferralsAssessment)</f>
        <v>22243</v>
      </c>
      <c r="Z149" s="24">
        <f>IF(Year2_Kent Year2_ReferralsAssessment="","",Year2_Kent Year2_ReferralsAssessment)</f>
        <v>18888</v>
      </c>
      <c r="AA149" s="24">
        <f>IF(Year3_Kent Year3_ReferralsAssessment="","",Year3_Kent Year3_ReferralsAssessment)</f>
        <v>19362</v>
      </c>
      <c r="AB149" s="24">
        <f>IF(Year4_Kent Year4_ReferralsAssessment="","",Year4_Kent Year4_ReferralsAssessment)</f>
        <v>22389</v>
      </c>
      <c r="AC149" s="24">
        <f>IF(Year5_Kent Year5_ReferralsAssessment="","",Year5_Kent Year5_ReferralsAssessment)</f>
        <v>23978</v>
      </c>
      <c r="AD149" s="149"/>
      <c r="AE149" s="141"/>
      <c r="AF149" s="141"/>
      <c r="AG149" s="141"/>
      <c r="AH149" s="141"/>
      <c r="AJ149" s="121"/>
    </row>
    <row r="150" spans="1:44" s="61" customFormat="1" ht="13.5" customHeight="1">
      <c r="A150" s="1103">
        <f>VLOOKUP(B150,ReportData!$AQ$4:$AR$25,2,FALSE)</f>
        <v>0</v>
      </c>
      <c r="B150" s="885" t="str">
        <f t="shared" si="39"/>
        <v>Medway</v>
      </c>
      <c r="C150" s="896"/>
      <c r="D150" s="922">
        <f t="shared" si="40"/>
        <v>0.95207993474714514</v>
      </c>
      <c r="E150" s="922">
        <f t="shared" si="41"/>
        <v>0.88646824179196071</v>
      </c>
      <c r="F150" s="922">
        <f t="shared" si="42"/>
        <v>0.88475991649269314</v>
      </c>
      <c r="G150" s="922">
        <f t="shared" si="43"/>
        <v>0.89456936784047514</v>
      </c>
      <c r="H150" s="923">
        <f t="shared" si="44"/>
        <v>0.88756388415672915</v>
      </c>
      <c r="I150" s="68"/>
      <c r="J150" s="68"/>
      <c r="K150" s="127"/>
      <c r="L150" s="127"/>
      <c r="M150" s="127"/>
      <c r="N150" s="127"/>
      <c r="O150" s="127"/>
      <c r="P150" s="127"/>
      <c r="Q150" s="127"/>
      <c r="R150" s="128"/>
      <c r="S150" s="120"/>
      <c r="T150" s="127"/>
      <c r="U150" s="89"/>
      <c r="V150" s="103"/>
      <c r="W150" s="115"/>
      <c r="X150" s="28" t="str">
        <f t="shared" si="45"/>
        <v>Medway</v>
      </c>
      <c r="Y150" s="24">
        <f>IF(Year1_Medway Year1_ReferralsAssessment="","",Year1_Medway Year1_ReferralsAssessment)</f>
        <v>4669</v>
      </c>
      <c r="Z150" s="24">
        <f>IF(Year2_Medway Year2_ReferralsAssessment="","",Year2_Medway Year2_ReferralsAssessment)</f>
        <v>2889</v>
      </c>
      <c r="AA150" s="24">
        <f>IF(Year3_Medway Year3_ReferralsAssessment="","",Year3_Medway Year3_ReferralsAssessment)</f>
        <v>4238</v>
      </c>
      <c r="AB150" s="24">
        <f>IF(Year4_Medway Year4_ReferralsAssessment="","",Year4_Medway Year4_ReferralsAssessment)</f>
        <v>4217</v>
      </c>
      <c r="AC150" s="24">
        <f>IF(Year5_Medway Year5_ReferralsAssessment="","",Year5_Medway Year5_ReferralsAssessment)</f>
        <v>4689</v>
      </c>
      <c r="AD150" s="149"/>
      <c r="AE150" s="141"/>
      <c r="AF150" s="141"/>
      <c r="AG150" s="141"/>
      <c r="AH150" s="141"/>
      <c r="AJ150" s="121"/>
    </row>
    <row r="151" spans="1:44" s="61" customFormat="1" ht="13.5" customHeight="1">
      <c r="A151" s="1103">
        <f>VLOOKUP(B151,ReportData!$AQ$4:$AR$25,2,FALSE)</f>
        <v>0</v>
      </c>
      <c r="B151" s="885" t="str">
        <f t="shared" si="39"/>
        <v>Milton Keynes</v>
      </c>
      <c r="C151" s="896"/>
      <c r="D151" s="922">
        <f t="shared" si="40"/>
        <v>0.90647249190938506</v>
      </c>
      <c r="E151" s="922">
        <f t="shared" si="41"/>
        <v>0.92927170868347342</v>
      </c>
      <c r="F151" s="922">
        <f t="shared" si="42"/>
        <v>0.90551181102362199</v>
      </c>
      <c r="G151" s="922">
        <f t="shared" si="43"/>
        <v>0.9010477299185099</v>
      </c>
      <c r="H151" s="923">
        <f t="shared" si="44"/>
        <v>0.92324983943481054</v>
      </c>
      <c r="I151" s="68"/>
      <c r="J151" s="68"/>
      <c r="K151" s="127"/>
      <c r="L151" s="127"/>
      <c r="M151" s="127"/>
      <c r="N151" s="127"/>
      <c r="O151" s="127"/>
      <c r="P151" s="127"/>
      <c r="Q151" s="127"/>
      <c r="R151" s="128"/>
      <c r="S151" s="120"/>
      <c r="T151" s="127"/>
      <c r="U151" s="89"/>
      <c r="V151" s="103"/>
      <c r="W151" s="115"/>
      <c r="X151" s="28" t="str">
        <f t="shared" si="45"/>
        <v>Milton Keynes</v>
      </c>
      <c r="Y151" s="24">
        <f>IF(Year1_Milton_Keynes Year1_ReferralsAssessment="","",Year1_Milton_Keynes Year1_ReferralsAssessment)</f>
        <v>2801</v>
      </c>
      <c r="Z151" s="24">
        <f>IF(Year2_Milton_Keynes Year2_ReferralsAssessment="","",Year2_Milton_Keynes Year2_ReferralsAssessment)</f>
        <v>2654</v>
      </c>
      <c r="AA151" s="24">
        <f>IF(Year3_Milton_Keynes Year3_ReferralsAssessment="","",Year3_Milton_Keynes Year3_ReferralsAssessment)</f>
        <v>2990</v>
      </c>
      <c r="AB151" s="24">
        <f>IF(Year4_Milton_Keynes Year4_ReferralsAssessment="","",Year4_Milton_Keynes Year4_ReferralsAssessment)</f>
        <v>3096</v>
      </c>
      <c r="AC151" s="24">
        <f>IF(Year5_Milton_Keynes Year5_ReferralsAssessment="","",Year5_Milton_Keynes Year5_ReferralsAssessment)</f>
        <v>2875</v>
      </c>
      <c r="AD151" s="149"/>
      <c r="AE151" s="141"/>
      <c r="AF151" s="141"/>
      <c r="AG151" s="141"/>
      <c r="AH151" s="141"/>
      <c r="AJ151" s="121"/>
    </row>
    <row r="152" spans="1:44" s="61" customFormat="1" ht="13.5" customHeight="1">
      <c r="A152" s="1103">
        <f>VLOOKUP(B152,ReportData!$AQ$4:$AR$25,2,FALSE)</f>
        <v>0</v>
      </c>
      <c r="B152" s="885" t="str">
        <f t="shared" si="39"/>
        <v>Oxfordshire</v>
      </c>
      <c r="C152" s="896"/>
      <c r="D152" s="922">
        <f t="shared" si="40"/>
        <v>0.92948547054118902</v>
      </c>
      <c r="E152" s="922">
        <f t="shared" si="41"/>
        <v>0.88067045978779024</v>
      </c>
      <c r="F152" s="922">
        <f t="shared" si="42"/>
        <v>0.96882458233890212</v>
      </c>
      <c r="G152" s="922">
        <f t="shared" si="43"/>
        <v>0.95810109552181433</v>
      </c>
      <c r="H152" s="923">
        <f t="shared" si="44"/>
        <v>0.96314642361799085</v>
      </c>
      <c r="I152" s="68"/>
      <c r="J152" s="68"/>
      <c r="K152" s="127"/>
      <c r="L152" s="127"/>
      <c r="M152" s="127"/>
      <c r="N152" s="127"/>
      <c r="O152" s="127"/>
      <c r="P152" s="127"/>
      <c r="Q152" s="127"/>
      <c r="R152" s="128"/>
      <c r="S152" s="120"/>
      <c r="T152" s="127"/>
      <c r="U152" s="89"/>
      <c r="V152" s="103"/>
      <c r="W152" s="115"/>
      <c r="X152" s="28" t="str">
        <f t="shared" si="45"/>
        <v>Oxfordshire</v>
      </c>
      <c r="Y152" s="24">
        <f>IF(Year1_Oxfordshire Year1_ReferralsAssessment="","",Year1_Oxfordshire Year1_ReferralsAssessment)</f>
        <v>6973</v>
      </c>
      <c r="Z152" s="24">
        <f>IF(Year2_Oxfordshire Year2_ReferralsAssessment="","",Year2_Oxfordshire Year2_ReferralsAssessment)</f>
        <v>5727</v>
      </c>
      <c r="AA152" s="24">
        <f>IF(Year3_Oxfordshire Year3_ReferralsAssessment="","",Year3_Oxfordshire Year3_ReferralsAssessment)</f>
        <v>6495</v>
      </c>
      <c r="AB152" s="24">
        <f>IF(Year4_Oxfordshire Year4_ReferralsAssessment="","",Year4_Oxfordshire Year4_ReferralsAssessment)</f>
        <v>4985</v>
      </c>
      <c r="AC152" s="24">
        <f>IF(Year5_Oxfordshire Year5_ReferralsAssessment="","",Year5_Oxfordshire Year5_ReferralsAssessment)</f>
        <v>4861</v>
      </c>
      <c r="AD152" s="149"/>
      <c r="AE152" s="141"/>
      <c r="AF152" s="141"/>
      <c r="AG152" s="141"/>
      <c r="AH152" s="141"/>
      <c r="AJ152" s="121"/>
    </row>
    <row r="153" spans="1:44" s="61" customFormat="1" ht="13.5" customHeight="1">
      <c r="A153" s="1103">
        <f>VLOOKUP(B153,ReportData!$AQ$4:$AR$25,2,FALSE)</f>
        <v>0</v>
      </c>
      <c r="B153" s="885" t="str">
        <f t="shared" si="39"/>
        <v>Portsmouth</v>
      </c>
      <c r="C153" s="896"/>
      <c r="D153" s="922">
        <f t="shared" si="40"/>
        <v>0.97822822822822819</v>
      </c>
      <c r="E153" s="922">
        <f t="shared" si="41"/>
        <v>1</v>
      </c>
      <c r="F153" s="922">
        <f t="shared" si="42"/>
        <v>1</v>
      </c>
      <c r="G153" s="922">
        <f t="shared" si="43"/>
        <v>1</v>
      </c>
      <c r="H153" s="923">
        <f t="shared" si="44"/>
        <v>1</v>
      </c>
      <c r="I153" s="68"/>
      <c r="J153" s="68"/>
      <c r="K153" s="127"/>
      <c r="L153" s="127"/>
      <c r="M153" s="127"/>
      <c r="N153" s="127"/>
      <c r="O153" s="127"/>
      <c r="P153" s="127"/>
      <c r="Q153" s="127"/>
      <c r="R153" s="128"/>
      <c r="S153" s="120"/>
      <c r="T153" s="127"/>
      <c r="U153" s="89"/>
      <c r="V153" s="103"/>
      <c r="W153" s="115"/>
      <c r="X153" s="28" t="str">
        <f t="shared" si="45"/>
        <v>Portsmouth</v>
      </c>
      <c r="Y153" s="24">
        <f>IF(Year1_Portsmouth Year1_ReferralsAssessment="","",Year1_Portsmouth Year1_ReferralsAssessment)</f>
        <v>2606</v>
      </c>
      <c r="Z153" s="24">
        <f>IF(Year2_Portsmouth Year2_ReferralsAssessment="","",Year2_Portsmouth Year2_ReferralsAssessment)</f>
        <v>2832</v>
      </c>
      <c r="AA153" s="24">
        <f>IF(Year3_Portsmouth Year3_ReferralsAssessment="","",Year3_Portsmouth Year3_ReferralsAssessment)</f>
        <v>3704</v>
      </c>
      <c r="AB153" s="24">
        <f>IF(Year4_Portsmouth Year4_ReferralsAssessment="","",Year4_Portsmouth Year4_ReferralsAssessment)</f>
        <v>2897</v>
      </c>
      <c r="AC153" s="24">
        <f>IF(Year5_Portsmouth Year5_ReferralsAssessment="","",Year5_Portsmouth Year5_ReferralsAssessment)</f>
        <v>3061</v>
      </c>
      <c r="AD153" s="149"/>
      <c r="AE153" s="141"/>
      <c r="AF153" s="141"/>
      <c r="AG153" s="141"/>
      <c r="AH153" s="141"/>
      <c r="AJ153" s="121"/>
    </row>
    <row r="154" spans="1:44" s="61" customFormat="1" ht="13.5" customHeight="1">
      <c r="A154" s="1103">
        <f>VLOOKUP(B154,ReportData!$AQ$4:$AR$25,2,FALSE)</f>
        <v>0</v>
      </c>
      <c r="B154" s="885" t="str">
        <f t="shared" si="39"/>
        <v>Reading</v>
      </c>
      <c r="C154" s="896"/>
      <c r="D154" s="922">
        <f t="shared" si="40"/>
        <v>0.99063962558502339</v>
      </c>
      <c r="E154" s="922">
        <f t="shared" si="41"/>
        <v>0.99161518093556933</v>
      </c>
      <c r="F154" s="922">
        <f t="shared" si="42"/>
        <v>0.98979175173540224</v>
      </c>
      <c r="G154" s="922">
        <f t="shared" si="43"/>
        <v>0.93703833978192053</v>
      </c>
      <c r="H154" s="923">
        <f t="shared" si="44"/>
        <v>0.94105894105894106</v>
      </c>
      <c r="I154" s="68"/>
      <c r="J154" s="68"/>
      <c r="K154" s="127"/>
      <c r="L154" s="127"/>
      <c r="M154" s="127"/>
      <c r="N154" s="127"/>
      <c r="O154" s="127"/>
      <c r="P154" s="127"/>
      <c r="Q154" s="127"/>
      <c r="R154" s="128"/>
      <c r="S154" s="120"/>
      <c r="T154" s="127"/>
      <c r="U154" s="89"/>
      <c r="V154" s="103"/>
      <c r="W154" s="115"/>
      <c r="X154" s="28" t="str">
        <f t="shared" si="45"/>
        <v>Reading</v>
      </c>
      <c r="Y154" s="24">
        <f>IF(Year1_Reading Year1_ReferralsAssessment="","",Year1_Reading Year1_ReferralsAssessment)</f>
        <v>2540</v>
      </c>
      <c r="Z154" s="24">
        <f>IF(Year2_Reading Year2_ReferralsAssessment="","",Year2_Reading Year2_ReferralsAssessment)</f>
        <v>2247</v>
      </c>
      <c r="AA154" s="24">
        <f>IF(Year3_Reading Year3_ReferralsAssessment="","",Year3_Reading Year3_ReferralsAssessment)</f>
        <v>2424</v>
      </c>
      <c r="AB154" s="24">
        <f>IF(Year4_Reading Year4_ReferralsAssessment="","",Year4_Reading Year4_ReferralsAssessment)</f>
        <v>2664</v>
      </c>
      <c r="AC154" s="24">
        <f>IF(Year5_Reading Year5_ReferralsAssessment="","",Year5_Reading Year5_ReferralsAssessment)</f>
        <v>2826</v>
      </c>
      <c r="AD154" s="149"/>
      <c r="AE154" s="141"/>
      <c r="AF154" s="141"/>
      <c r="AG154" s="141"/>
      <c r="AH154" s="141"/>
      <c r="AJ154" s="121"/>
    </row>
    <row r="155" spans="1:44" s="61" customFormat="1" ht="13.5" customHeight="1">
      <c r="A155" s="1103">
        <f>VLOOKUP(B155,ReportData!$AQ$4:$AR$25,2,FALSE)</f>
        <v>0</v>
      </c>
      <c r="B155" s="885" t="str">
        <f t="shared" si="39"/>
        <v>Slough</v>
      </c>
      <c r="C155" s="896"/>
      <c r="D155" s="922">
        <f t="shared" si="40"/>
        <v>0.971259842519685</v>
      </c>
      <c r="E155" s="922">
        <f t="shared" si="41"/>
        <v>0.98903703703703705</v>
      </c>
      <c r="F155" s="922">
        <f t="shared" si="42"/>
        <v>0.99812675616609425</v>
      </c>
      <c r="G155" s="922">
        <f t="shared" si="43"/>
        <v>0.9970734562481709</v>
      </c>
      <c r="H155" s="923">
        <f t="shared" si="44"/>
        <v>0.9949419815531092</v>
      </c>
      <c r="I155" s="68"/>
      <c r="J155" s="68"/>
      <c r="K155" s="127"/>
      <c r="L155" s="127"/>
      <c r="M155" s="127"/>
      <c r="N155" s="127"/>
      <c r="O155" s="127"/>
      <c r="P155" s="127"/>
      <c r="Q155" s="127"/>
      <c r="R155" s="128"/>
      <c r="S155" s="120"/>
      <c r="T155" s="127"/>
      <c r="U155" s="89"/>
      <c r="V155" s="103"/>
      <c r="W155" s="115"/>
      <c r="X155" s="28" t="str">
        <f t="shared" si="45"/>
        <v>Slough</v>
      </c>
      <c r="Y155" s="24">
        <f>IF(Year1_Slough Year1_ReferralsAssessment="","",Year1_Slough Year1_ReferralsAssessment)</f>
        <v>2467</v>
      </c>
      <c r="Z155" s="24">
        <f>IF(Year2_Slough Year2_ReferralsAssessment="","",Year2_Slough Year2_ReferralsAssessment)</f>
        <v>3338</v>
      </c>
      <c r="AA155" s="24">
        <f>IF(Year3_Slough Year3_ReferralsAssessment="","",Year3_Slough Year3_ReferralsAssessment)</f>
        <v>3197</v>
      </c>
      <c r="AB155" s="24">
        <f>IF(Year4_Slough Year4_ReferralsAssessment="","",Year4_Slough Year4_ReferralsAssessment)</f>
        <v>3407</v>
      </c>
      <c r="AC155" s="24">
        <f>IF(Year5_Slough Year5_ReferralsAssessment="","",Year5_Slough Year5_ReferralsAssessment)</f>
        <v>3344</v>
      </c>
      <c r="AD155" s="149"/>
      <c r="AE155" s="141"/>
      <c r="AF155" s="141"/>
      <c r="AG155" s="141"/>
      <c r="AH155" s="141"/>
      <c r="AJ155" s="121"/>
    </row>
    <row r="156" spans="1:44" s="61" customFormat="1" ht="13.5" customHeight="1">
      <c r="A156" s="1103">
        <f>VLOOKUP(B156,ReportData!$AQ$4:$AR$25,2,FALSE)</f>
        <v>0</v>
      </c>
      <c r="B156" s="885" t="str">
        <f t="shared" si="39"/>
        <v>Southampton</v>
      </c>
      <c r="C156" s="896"/>
      <c r="D156" s="922">
        <f t="shared" si="40"/>
        <v>0.81714876033057848</v>
      </c>
      <c r="E156" s="922">
        <f t="shared" si="41"/>
        <v>0.82111436950146632</v>
      </c>
      <c r="F156" s="922">
        <f t="shared" si="42"/>
        <v>0.88186813186813184</v>
      </c>
      <c r="G156" s="922">
        <f t="shared" si="43"/>
        <v>0.85748598879103277</v>
      </c>
      <c r="H156" s="923">
        <f t="shared" si="44"/>
        <v>0.91402714932126694</v>
      </c>
      <c r="I156" s="68"/>
      <c r="J156" s="68"/>
      <c r="K156" s="127"/>
      <c r="L156" s="127"/>
      <c r="M156" s="127"/>
      <c r="N156" s="127"/>
      <c r="O156" s="127"/>
      <c r="P156" s="127"/>
      <c r="Q156" s="127"/>
      <c r="R156" s="128"/>
      <c r="S156" s="120"/>
      <c r="T156" s="127"/>
      <c r="U156" s="89"/>
      <c r="V156" s="103"/>
      <c r="W156" s="115"/>
      <c r="X156" s="28" t="str">
        <f t="shared" si="45"/>
        <v>Southampton</v>
      </c>
      <c r="Y156" s="24">
        <f>IF(Year1_Southampton Year1_ReferralsAssessment="","",Year1_Southampton Year1_ReferralsAssessment)</f>
        <v>3955</v>
      </c>
      <c r="Z156" s="24">
        <f>IF(Year2_Southampton Year2_ReferralsAssessment="","",Year2_Southampton Year2_ReferralsAssessment)</f>
        <v>3360</v>
      </c>
      <c r="AA156" s="24">
        <f>IF(Year3_Southampton Year3_ReferralsAssessment="","",Year3_Southampton Year3_ReferralsAssessment)</f>
        <v>3210</v>
      </c>
      <c r="AB156" s="24">
        <f>IF(Year4_Southampton Year4_ReferralsAssessment="","",Year4_Southampton Year4_ReferralsAssessment)</f>
        <v>3213</v>
      </c>
      <c r="AC156" s="24">
        <f>IF(Year5_Southampton Year5_ReferralsAssessment="","",Year5_Southampton Year5_ReferralsAssessment)</f>
        <v>2828</v>
      </c>
      <c r="AD156" s="149"/>
      <c r="AE156" s="141"/>
      <c r="AF156" s="141"/>
      <c r="AG156" s="141"/>
      <c r="AH156" s="141"/>
      <c r="AJ156" s="121"/>
    </row>
    <row r="157" spans="1:44" s="61" customFormat="1" ht="13.5" customHeight="1">
      <c r="A157" s="1103">
        <f>VLOOKUP(B157,ReportData!$AQ$4:$AR$25,2,FALSE)</f>
        <v>0</v>
      </c>
      <c r="B157" s="885" t="str">
        <f t="shared" si="39"/>
        <v>Surrey</v>
      </c>
      <c r="C157" s="896"/>
      <c r="D157" s="922">
        <f t="shared" si="40"/>
        <v>0.96818875454865594</v>
      </c>
      <c r="E157" s="922">
        <f t="shared" si="41"/>
        <v>0.94044879171461448</v>
      </c>
      <c r="F157" s="922">
        <f t="shared" si="42"/>
        <v>0.87195583937655585</v>
      </c>
      <c r="G157" s="922">
        <f t="shared" si="43"/>
        <v>0.95107549557148885</v>
      </c>
      <c r="H157" s="923">
        <f t="shared" si="44"/>
        <v>0.93243946888831031</v>
      </c>
      <c r="I157" s="68"/>
      <c r="J157" s="68"/>
      <c r="K157" s="127"/>
      <c r="L157" s="127"/>
      <c r="M157" s="127"/>
      <c r="N157" s="127"/>
      <c r="O157" s="127"/>
      <c r="P157" s="127"/>
      <c r="Q157" s="127"/>
      <c r="R157" s="128"/>
      <c r="S157" s="120"/>
      <c r="T157" s="127"/>
      <c r="U157" s="89"/>
      <c r="V157" s="103"/>
      <c r="W157" s="115"/>
      <c r="X157" s="28" t="str">
        <f t="shared" si="45"/>
        <v>Surrey</v>
      </c>
      <c r="Y157" s="24">
        <f>IF(Year1_Surrey Year1_ReferralsAssessment="","",Year1_Surrey Year1_ReferralsAssessment)</f>
        <v>8248</v>
      </c>
      <c r="Z157" s="24">
        <f>IF(Year2_Surrey Year2_ReferralsAssessment="","",Year2_Surrey Year2_ReferralsAssessment)</f>
        <v>9807</v>
      </c>
      <c r="AA157" s="24">
        <f>IF(Year3_Surrey Year3_ReferralsAssessment="","",Year3_Surrey Year3_ReferralsAssessment)</f>
        <v>8056</v>
      </c>
      <c r="AB157" s="24">
        <f>IF(Year4_Surrey Year4_ReferralsAssessment="","",Year4_Surrey Year4_ReferralsAssessment)</f>
        <v>6765</v>
      </c>
      <c r="AC157" s="24">
        <f>IF(Year5_Surrey Year5_ReferralsAssessment="","",Year5_Surrey Year5_ReferralsAssessment)</f>
        <v>7163</v>
      </c>
      <c r="AD157" s="149"/>
      <c r="AE157" s="141"/>
      <c r="AF157" s="141"/>
      <c r="AG157" s="141"/>
      <c r="AH157" s="141"/>
      <c r="AJ157" s="121"/>
    </row>
    <row r="158" spans="1:44" s="61" customFormat="1" ht="13.5" customHeight="1">
      <c r="A158" s="1103">
        <f>VLOOKUP(B158,ReportData!$AQ$4:$AR$25,2,FALSE)</f>
        <v>0</v>
      </c>
      <c r="B158" s="885" t="str">
        <f t="shared" si="39"/>
        <v>West Berkshire</v>
      </c>
      <c r="C158" s="896"/>
      <c r="D158" s="922">
        <f t="shared" si="40"/>
        <v>1</v>
      </c>
      <c r="E158" s="922">
        <f t="shared" si="41"/>
        <v>1</v>
      </c>
      <c r="F158" s="922">
        <f t="shared" si="42"/>
        <v>1</v>
      </c>
      <c r="G158" s="922">
        <f t="shared" si="43"/>
        <v>1</v>
      </c>
      <c r="H158" s="923">
        <f t="shared" si="44"/>
        <v>1</v>
      </c>
      <c r="I158" s="68"/>
      <c r="J158" s="68"/>
      <c r="K158" s="127"/>
      <c r="L158" s="127"/>
      <c r="M158" s="127"/>
      <c r="N158" s="127"/>
      <c r="O158" s="127"/>
      <c r="P158" s="127"/>
      <c r="Q158" s="127"/>
      <c r="R158" s="128"/>
      <c r="S158" s="120"/>
      <c r="T158" s="127"/>
      <c r="U158" s="89"/>
      <c r="V158" s="103"/>
      <c r="W158" s="115"/>
      <c r="X158" s="28" t="str">
        <f t="shared" si="45"/>
        <v>West Berkshire</v>
      </c>
      <c r="Y158" s="24">
        <f>IF(Year1_West_Berkshire Year1_ReferralsAssessment="","",Year1_West_Berkshire Year1_ReferralsAssessment)</f>
        <v>1654</v>
      </c>
      <c r="Z158" s="24">
        <f>IF(Year2_West_Berkshire Year2_ReferralsAssessment="","",Year2_West_Berkshire Year2_ReferralsAssessment)</f>
        <v>1451</v>
      </c>
      <c r="AA158" s="24">
        <f>IF(Year3_West_Berkshire Year3_ReferralsAssessment="","",Year3_West_Berkshire Year3_ReferralsAssessment)</f>
        <v>1990</v>
      </c>
      <c r="AB158" s="24">
        <f>IF(Year4_West_Berkshire Year4_ReferralsAssessment="","",Year4_West_Berkshire Year4_ReferralsAssessment)</f>
        <v>2143</v>
      </c>
      <c r="AC158" s="24">
        <f>IF(Year5_West_Berkshire Year5_ReferralsAssessment="","",Year5_West_Berkshire Year5_ReferralsAssessment)</f>
        <v>1603</v>
      </c>
      <c r="AD158" s="149"/>
      <c r="AF158" s="141"/>
      <c r="AG158" s="141"/>
      <c r="AH158" s="141"/>
      <c r="AJ158" s="121"/>
    </row>
    <row r="159" spans="1:44" s="61" customFormat="1" ht="13.5" customHeight="1">
      <c r="A159" s="1103">
        <f>VLOOKUP(B159,ReportData!$AQ$4:$AR$25,2,FALSE)</f>
        <v>0</v>
      </c>
      <c r="B159" s="885" t="str">
        <f t="shared" si="39"/>
        <v>West Sussex</v>
      </c>
      <c r="C159" s="896"/>
      <c r="D159" s="922">
        <f t="shared" si="40"/>
        <v>1</v>
      </c>
      <c r="E159" s="922">
        <f t="shared" si="41"/>
        <v>1</v>
      </c>
      <c r="F159" s="922">
        <f t="shared" si="42"/>
        <v>1</v>
      </c>
      <c r="G159" s="922">
        <f t="shared" si="43"/>
        <v>1</v>
      </c>
      <c r="H159" s="923">
        <f t="shared" si="44"/>
        <v>1</v>
      </c>
      <c r="I159" s="68"/>
      <c r="J159" s="68"/>
      <c r="K159" s="127"/>
      <c r="L159" s="127"/>
      <c r="M159" s="127"/>
      <c r="N159" s="127"/>
      <c r="O159" s="127"/>
      <c r="P159" s="127"/>
      <c r="Q159" s="127"/>
      <c r="R159" s="128"/>
      <c r="S159" s="120"/>
      <c r="T159" s="127"/>
      <c r="U159" s="89"/>
      <c r="V159" s="103"/>
      <c r="W159" s="115"/>
      <c r="X159" s="28" t="str">
        <f t="shared" si="45"/>
        <v>West Sussex</v>
      </c>
      <c r="Y159" s="24">
        <f>IF(Year1_West_Sussex Year1_ReferralsAssessment="","",Year1_West_Sussex Year1_ReferralsAssessment)</f>
        <v>9993</v>
      </c>
      <c r="Z159" s="24">
        <f>IF(Year2_West_Sussex Year2_ReferralsAssessment="","",Year2_West_Sussex Year2_ReferralsAssessment)</f>
        <v>9152</v>
      </c>
      <c r="AA159" s="24">
        <f>IF(Year3_West_Sussex Year3_ReferralsAssessment="","",Year3_West_Sussex Year3_ReferralsAssessment)</f>
        <v>9370</v>
      </c>
      <c r="AB159" s="24">
        <f>IF(Year4_West_Sussex Year4_ReferralsAssessment="","",Year4_West_Sussex Year4_ReferralsAssessment)</f>
        <v>9598</v>
      </c>
      <c r="AC159" s="24">
        <f>IF(Year5_West_Sussex Year5_ReferralsAssessment="","",Year5_West_Sussex Year5_ReferralsAssessment)</f>
        <v>7931</v>
      </c>
      <c r="AD159" s="149"/>
      <c r="AF159" s="141"/>
      <c r="AG159" s="141"/>
      <c r="AH159" s="141"/>
      <c r="AJ159" s="121"/>
    </row>
    <row r="160" spans="1:44" s="61" customFormat="1" ht="13.5" customHeight="1">
      <c r="A160" s="1103">
        <f>VLOOKUP(B160,ReportData!$AQ$4:$AR$25,2,FALSE)</f>
        <v>0</v>
      </c>
      <c r="B160" s="885" t="str">
        <f t="shared" si="39"/>
        <v>Windsor &amp; Maidenhead</v>
      </c>
      <c r="C160" s="896"/>
      <c r="D160" s="922">
        <f t="shared" si="40"/>
        <v>0.94321533923303835</v>
      </c>
      <c r="E160" s="922">
        <f t="shared" si="41"/>
        <v>0.95746117488183657</v>
      </c>
      <c r="F160" s="922">
        <f t="shared" si="42"/>
        <v>0.97883295194508013</v>
      </c>
      <c r="G160" s="922">
        <f t="shared" si="43"/>
        <v>0.96140172676485525</v>
      </c>
      <c r="H160" s="923">
        <f t="shared" si="44"/>
        <v>0.94484280198565918</v>
      </c>
      <c r="I160" s="68"/>
      <c r="J160" s="68"/>
      <c r="K160" s="127"/>
      <c r="L160" s="127"/>
      <c r="M160" s="127"/>
      <c r="N160" s="127"/>
      <c r="O160" s="127"/>
      <c r="P160" s="127"/>
      <c r="Q160" s="127"/>
      <c r="R160" s="128"/>
      <c r="S160" s="120"/>
      <c r="T160" s="127"/>
      <c r="U160" s="89"/>
      <c r="V160" s="103"/>
      <c r="W160" s="115"/>
      <c r="X160" s="28" t="str">
        <f t="shared" si="45"/>
        <v>Windsor &amp; Maidenhead</v>
      </c>
      <c r="Y160" s="24">
        <f>IF(Year1_Windsor_and_Maidenhead Year1_ReferralsAssessment="","",Year1_Windsor_and_Maidenhead Year1_ReferralsAssessment)</f>
        <v>1279</v>
      </c>
      <c r="Z160" s="24">
        <f>IF(Year2_Windsor_and_Maidenhead Year2_ReferralsAssessment="","",Year2_Windsor_and_Maidenhead Year2_ReferralsAssessment)</f>
        <v>1418</v>
      </c>
      <c r="AA160" s="24">
        <f>IF(Year3_Windsor_and_Maidenhead Year3_ReferralsAssessment="","",Year3_Windsor_and_Maidenhead Year3_ReferralsAssessment)</f>
        <v>1711</v>
      </c>
      <c r="AB160" s="24">
        <f>IF(Year4_Windsor_and_Maidenhead Year4_ReferralsAssessment="","",Year4_Windsor_and_Maidenhead Year4_ReferralsAssessment)</f>
        <v>1893</v>
      </c>
      <c r="AC160" s="24">
        <f>IF(Year5_Windsor_and_Maidenhead Year5_ReferralsAssessment="","",Year5_Windsor_and_Maidenhead Year5_ReferralsAssessment)</f>
        <v>1713</v>
      </c>
      <c r="AD160" s="149"/>
      <c r="AH160" s="141"/>
      <c r="AJ160" s="121"/>
    </row>
    <row r="161" spans="1:54" s="61" customFormat="1" ht="13.5" customHeight="1">
      <c r="A161" s="1103">
        <f>VLOOKUP(B161,ReportData!$AQ$4:$AR$25,2,FALSE)</f>
        <v>0</v>
      </c>
      <c r="B161" s="885" t="str">
        <f t="shared" si="39"/>
        <v>Wokingham</v>
      </c>
      <c r="C161" s="896"/>
      <c r="D161" s="922">
        <f t="shared" si="40"/>
        <v>0.9751972942502819</v>
      </c>
      <c r="E161" s="922">
        <f t="shared" si="41"/>
        <v>0.97255192878338281</v>
      </c>
      <c r="F161" s="922">
        <f t="shared" si="42"/>
        <v>0.96337475474166123</v>
      </c>
      <c r="G161" s="922">
        <f t="shared" si="43"/>
        <v>0.86123210952084628</v>
      </c>
      <c r="H161" s="923">
        <f t="shared" si="44"/>
        <v>0.95025839793281652</v>
      </c>
      <c r="I161" s="68"/>
      <c r="J161" s="68"/>
      <c r="K161" s="127"/>
      <c r="L161" s="127"/>
      <c r="M161" s="127"/>
      <c r="N161" s="127"/>
      <c r="O161" s="127"/>
      <c r="P161" s="127"/>
      <c r="Q161" s="127"/>
      <c r="R161" s="128"/>
      <c r="S161" s="120"/>
      <c r="T161" s="127"/>
      <c r="U161" s="89"/>
      <c r="V161" s="103"/>
      <c r="W161" s="115"/>
      <c r="X161" s="28" t="str">
        <f t="shared" si="45"/>
        <v>Wokingham</v>
      </c>
      <c r="Y161" s="24">
        <f>IF(Year1_Wokingham Year1_ReferralsAssessment="","",Year1_Wokingham Year1_ReferralsAssessment)</f>
        <v>1730</v>
      </c>
      <c r="Z161" s="24">
        <f>IF(Year2_Wokingham Year2_ReferralsAssessment="","",Year2_Wokingham Year2_ReferralsAssessment)</f>
        <v>1311</v>
      </c>
      <c r="AA161" s="24">
        <f>IF(Year3_Wokingham Year3_ReferralsAssessment="","",Year3_Wokingham Year3_ReferralsAssessment)</f>
        <v>1473</v>
      </c>
      <c r="AB161" s="24">
        <f>IF(Year4_Wokingham Year4_ReferralsAssessment="","",Year4_Wokingham Year4_ReferralsAssessment)</f>
        <v>1384</v>
      </c>
      <c r="AC161" s="24">
        <f>IF(Year5_Wokingham Year5_ReferralsAssessment="","",Year5_Wokingham Year5_ReferralsAssessment)</f>
        <v>1471</v>
      </c>
      <c r="AD161" s="149"/>
      <c r="AH161" s="141"/>
      <c r="AJ161" s="121"/>
    </row>
    <row r="162" spans="1:54" s="61" customFormat="1" ht="13.5" customHeight="1">
      <c r="A162" s="1103"/>
      <c r="B162" s="886" t="str">
        <f t="shared" si="39"/>
        <v>South East</v>
      </c>
      <c r="C162" s="896"/>
      <c r="D162" s="924">
        <f t="shared" si="40"/>
        <v>0.93181758604720255</v>
      </c>
      <c r="E162" s="924">
        <f t="shared" si="41"/>
        <v>0.91052806794972152</v>
      </c>
      <c r="F162" s="924">
        <f t="shared" si="42"/>
        <v>0.90020966051124907</v>
      </c>
      <c r="G162" s="924">
        <f t="shared" si="43"/>
        <v>0.88094674556213015</v>
      </c>
      <c r="H162" s="925">
        <f t="shared" si="44"/>
        <v>0.92592592592592593</v>
      </c>
      <c r="I162" s="68"/>
      <c r="J162" s="68"/>
      <c r="K162" s="129"/>
      <c r="L162" s="129"/>
      <c r="M162" s="129"/>
      <c r="N162" s="129"/>
      <c r="O162" s="129"/>
      <c r="P162" s="129"/>
      <c r="Q162" s="129"/>
      <c r="R162" s="130"/>
      <c r="S162" s="120"/>
      <c r="T162" s="131"/>
      <c r="U162" s="89"/>
      <c r="V162" s="103"/>
      <c r="W162" s="115"/>
      <c r="X162" s="28" t="str">
        <f t="shared" si="45"/>
        <v>South East</v>
      </c>
      <c r="Y162" s="37">
        <f>IF(Year1_South_East Year1_ReferralsAssessment="","",Year1_South_East Year1_ReferralsAssessment)</f>
        <v>106640</v>
      </c>
      <c r="Z162" s="37">
        <f>IF(Year2_South_East Year2_ReferralsAssessment="","",Year2_South_East Year2_ReferralsAssessment)</f>
        <v>101197</v>
      </c>
      <c r="AA162" s="37">
        <f>IF(Year3_South_East Year3_ReferralsAssessment="","",Year3_South_East Year3_ReferralsAssessment)</f>
        <v>111635</v>
      </c>
      <c r="AB162" s="37">
        <f>IF(Year4_South_East Year4_ReferralsAssessment="","",Year4_South_East Year4_ReferralsAssessment)</f>
        <v>111660</v>
      </c>
      <c r="AC162" s="37">
        <f>IF(Year5_South_East Year5_ReferralsAssessment="","",Year5_South_East Year5_ReferralsAssessment)</f>
        <v>112250</v>
      </c>
      <c r="AD162" s="149"/>
      <c r="AH162" s="141"/>
      <c r="AJ162" s="121"/>
    </row>
    <row r="163" spans="1:54" s="61" customFormat="1" ht="13.5" customHeight="1">
      <c r="A163" s="1103"/>
      <c r="B163" s="887" t="str">
        <f t="shared" si="39"/>
        <v>England</v>
      </c>
      <c r="C163" s="896"/>
      <c r="D163" s="926">
        <f t="shared" si="40"/>
        <v>0.93716756353230268</v>
      </c>
      <c r="E163" s="926">
        <f t="shared" si="41"/>
        <v>0.94041086723768741</v>
      </c>
      <c r="F163" s="926">
        <f t="shared" si="42"/>
        <v>0.92398542144032481</v>
      </c>
      <c r="G163" s="926">
        <f t="shared" si="43"/>
        <v>0.92920381618600001</v>
      </c>
      <c r="H163" s="927">
        <f t="shared" si="44"/>
        <v>0.93741557856821256</v>
      </c>
      <c r="I163" s="68"/>
      <c r="J163" s="68"/>
      <c r="K163" s="129"/>
      <c r="L163" s="129"/>
      <c r="M163" s="129"/>
      <c r="N163" s="129"/>
      <c r="O163" s="129"/>
      <c r="P163" s="129"/>
      <c r="Q163" s="129"/>
      <c r="R163" s="130"/>
      <c r="S163" s="120"/>
      <c r="T163" s="131"/>
      <c r="U163" s="89"/>
      <c r="V163" s="103"/>
      <c r="W163" s="114"/>
      <c r="X163" s="28" t="str">
        <f t="shared" si="45"/>
        <v>England</v>
      </c>
      <c r="Y163" s="37">
        <f>IF(Year1_England Year1_ReferralsAssessment="","",Year1_England Year1_ReferralsAssessment)</f>
        <v>602580</v>
      </c>
      <c r="Z163" s="37">
        <f>IF(Year2_England Year2_ReferralsAssessment="","",Year2_England Year2_ReferralsAssessment)</f>
        <v>562140</v>
      </c>
      <c r="AA163" s="37">
        <f>IF(Year3_England Year3_ReferralsAssessment="","",Year3_England Year3_ReferralsAssessment)</f>
        <v>600840</v>
      </c>
      <c r="AB163" s="37">
        <f>IF(Year4_England Year4_ReferralsAssessment="","",Year4_England Year4_ReferralsAssessment)</f>
        <v>595090</v>
      </c>
      <c r="AC163" s="37">
        <f>IF(Year5_England Year5_ReferralsAssessment="","",Year5_England Year5_ReferralsAssessment)</f>
        <v>582960</v>
      </c>
      <c r="AD163" s="149"/>
      <c r="AH163" s="56"/>
      <c r="AI163" s="52"/>
      <c r="AJ163" s="122"/>
      <c r="AK163" s="56"/>
      <c r="AL163" s="56"/>
      <c r="AM163" s="56"/>
      <c r="AN163" s="56"/>
      <c r="AO163" s="56"/>
      <c r="AP163" s="56"/>
      <c r="AQ163" s="56"/>
      <c r="AR163" s="56"/>
      <c r="AS163" s="56"/>
      <c r="AT163" s="56"/>
      <c r="AU163" s="56"/>
      <c r="AV163" s="56"/>
      <c r="AW163" s="56"/>
      <c r="AX163" s="56"/>
      <c r="AY163" s="56"/>
      <c r="AZ163" s="56"/>
      <c r="BA163" s="56"/>
      <c r="BB163" s="56"/>
    </row>
    <row r="164" spans="1:54" s="61" customFormat="1" ht="6" customHeight="1">
      <c r="A164" s="217"/>
      <c r="B164" s="68"/>
      <c r="C164" s="68"/>
      <c r="D164" s="68"/>
      <c r="E164" s="68"/>
      <c r="F164" s="68"/>
      <c r="G164" s="68"/>
      <c r="H164" s="68"/>
      <c r="I164" s="68"/>
      <c r="J164" s="68"/>
      <c r="K164" s="129"/>
      <c r="L164" s="129"/>
      <c r="M164" s="129"/>
      <c r="N164" s="129"/>
      <c r="O164" s="129"/>
      <c r="P164" s="129"/>
      <c r="Q164" s="129"/>
      <c r="R164" s="130"/>
      <c r="S164" s="120"/>
      <c r="T164" s="131"/>
      <c r="U164" s="89"/>
      <c r="V164" s="103"/>
      <c r="W164" s="114"/>
      <c r="X164" s="56"/>
      <c r="Y164" s="141"/>
      <c r="Z164" s="56"/>
      <c r="AA164" s="56"/>
      <c r="AB164" s="147"/>
      <c r="AC164" s="147"/>
      <c r="AD164" s="149"/>
      <c r="AH164" s="56"/>
      <c r="AI164" s="52"/>
      <c r="AJ164" s="122"/>
      <c r="AK164" s="56"/>
      <c r="AL164" s="56"/>
      <c r="AM164" s="56"/>
      <c r="AN164" s="56"/>
      <c r="AO164" s="56"/>
      <c r="AP164" s="56"/>
      <c r="AQ164" s="56"/>
      <c r="AR164" s="56"/>
      <c r="AS164" s="56"/>
      <c r="AT164" s="56"/>
      <c r="AU164" s="56"/>
      <c r="AV164" s="56"/>
      <c r="AW164" s="56"/>
      <c r="AX164" s="56"/>
      <c r="AY164" s="56"/>
      <c r="AZ164" s="56"/>
      <c r="BA164" s="56"/>
      <c r="BB164" s="56"/>
    </row>
    <row r="165" spans="1:54" s="56" customFormat="1" ht="41.25" customHeight="1">
      <c r="A165" s="166"/>
      <c r="B165" s="171"/>
      <c r="C165" s="171"/>
      <c r="D165" s="171"/>
      <c r="E165" s="171"/>
      <c r="F165" s="171"/>
      <c r="G165" s="171"/>
      <c r="H165" s="171"/>
      <c r="I165" s="171"/>
      <c r="J165" s="133"/>
      <c r="K165" s="133"/>
      <c r="L165" s="133"/>
      <c r="M165" s="133"/>
      <c r="N165" s="133"/>
      <c r="O165" s="133"/>
      <c r="P165" s="133"/>
      <c r="Q165" s="133"/>
      <c r="R165" s="101"/>
      <c r="S165" s="133"/>
      <c r="T165" s="133"/>
      <c r="U165" s="86"/>
      <c r="V165" s="102"/>
      <c r="W165" s="114"/>
      <c r="Y165" s="141"/>
      <c r="AC165" s="147"/>
      <c r="AD165" s="149"/>
      <c r="AE165" s="52"/>
      <c r="AF165" s="52"/>
      <c r="AG165" s="52"/>
      <c r="AI165" s="52"/>
      <c r="AJ165" s="122"/>
    </row>
    <row r="166" spans="1:54" s="56" customFormat="1" ht="41.25" customHeight="1">
      <c r="A166" s="166"/>
      <c r="B166" s="171"/>
      <c r="C166" s="171"/>
      <c r="D166" s="171"/>
      <c r="E166" s="171"/>
      <c r="F166" s="171"/>
      <c r="G166" s="171"/>
      <c r="H166" s="171"/>
      <c r="I166" s="171"/>
      <c r="J166" s="133"/>
      <c r="K166" s="133"/>
      <c r="L166" s="133"/>
      <c r="M166" s="133"/>
      <c r="N166" s="133"/>
      <c r="O166" s="133"/>
      <c r="P166" s="133"/>
      <c r="Q166" s="133"/>
      <c r="R166" s="101"/>
      <c r="S166" s="133"/>
      <c r="T166" s="133"/>
      <c r="U166" s="86"/>
      <c r="V166" s="102"/>
      <c r="W166" s="114"/>
      <c r="Y166" s="141"/>
      <c r="AD166" s="149"/>
      <c r="AE166" s="52"/>
      <c r="AF166" s="52"/>
      <c r="AG166" s="52"/>
      <c r="AI166" s="52"/>
      <c r="AJ166" s="119"/>
      <c r="AK166" s="52"/>
      <c r="AL166" s="52"/>
      <c r="AM166" s="52"/>
      <c r="AN166" s="52"/>
      <c r="AO166" s="52"/>
      <c r="AP166" s="52"/>
      <c r="AQ166" s="52"/>
    </row>
    <row r="167" spans="1:54" s="56" customFormat="1" ht="41.25" customHeight="1">
      <c r="A167" s="166"/>
      <c r="B167" s="171"/>
      <c r="C167" s="171"/>
      <c r="D167" s="171"/>
      <c r="E167" s="171"/>
      <c r="F167" s="171"/>
      <c r="G167" s="171"/>
      <c r="H167" s="171"/>
      <c r="I167" s="171"/>
      <c r="J167" s="133"/>
      <c r="K167" s="133"/>
      <c r="L167" s="133"/>
      <c r="M167" s="133"/>
      <c r="N167" s="133"/>
      <c r="O167" s="133"/>
      <c r="P167" s="133"/>
      <c r="Q167" s="133"/>
      <c r="R167" s="101"/>
      <c r="S167" s="133"/>
      <c r="T167" s="133"/>
      <c r="U167" s="86"/>
      <c r="V167" s="121"/>
      <c r="W167" s="114"/>
      <c r="AD167" s="149"/>
      <c r="AE167" s="52"/>
      <c r="AF167" s="52"/>
      <c r="AG167" s="52"/>
      <c r="AJ167" s="122"/>
      <c r="AS167" s="52"/>
    </row>
    <row r="168" spans="1:54" s="56" customFormat="1" ht="9" customHeight="1">
      <c r="A168" s="87"/>
      <c r="B168" s="12"/>
      <c r="C168" s="12"/>
      <c r="D168" s="11"/>
      <c r="E168" s="11"/>
      <c r="F168" s="11"/>
      <c r="G168" s="11"/>
      <c r="H168" s="11"/>
      <c r="I168" s="11"/>
      <c r="J168" s="1"/>
      <c r="K168" s="13"/>
      <c r="L168" s="13"/>
      <c r="M168" s="13"/>
      <c r="N168" s="13"/>
      <c r="O168" s="13"/>
      <c r="P168" s="13"/>
      <c r="Q168" s="13"/>
      <c r="R168" s="13"/>
      <c r="S168" s="13"/>
      <c r="T168" s="14"/>
      <c r="U168" s="86"/>
      <c r="V168" s="185"/>
      <c r="W168" s="114"/>
      <c r="AI168" s="52"/>
      <c r="AJ168" s="121"/>
      <c r="AK168" s="61"/>
      <c r="AS168" s="52"/>
    </row>
    <row r="169" spans="1:54" s="56" customFormat="1" ht="15" customHeight="1">
      <c r="A169" s="1565"/>
      <c r="B169" s="1751"/>
      <c r="C169" s="1751"/>
      <c r="D169" s="1751"/>
      <c r="E169" s="1751"/>
      <c r="F169" s="1751"/>
      <c r="G169" s="1751"/>
      <c r="H169" s="1751"/>
      <c r="I169" s="1751"/>
      <c r="J169" s="1751"/>
      <c r="K169" s="1751"/>
      <c r="L169" s="1751"/>
      <c r="M169" s="1751"/>
      <c r="N169" s="1751"/>
      <c r="O169" s="1751"/>
      <c r="P169" s="1751"/>
      <c r="Q169" s="1751"/>
      <c r="R169" s="1751"/>
      <c r="S169" s="1751"/>
      <c r="T169" s="1751"/>
      <c r="U169" s="1752"/>
      <c r="V169" s="185"/>
      <c r="W169" s="40"/>
      <c r="X169" s="52"/>
      <c r="Y169" s="52"/>
      <c r="Z169" s="52"/>
      <c r="AA169" s="52"/>
      <c r="AH169" s="40"/>
      <c r="AI169" s="40"/>
      <c r="AJ169" s="119"/>
      <c r="AK169" s="52"/>
      <c r="AL169" s="52"/>
      <c r="AM169" s="52"/>
      <c r="AN169" s="52"/>
      <c r="AO169" s="52"/>
      <c r="AP169" s="52"/>
      <c r="AQ169" s="52"/>
      <c r="AR169" s="52"/>
      <c r="AS169" s="52"/>
      <c r="AT169" s="52"/>
      <c r="AU169" s="52"/>
      <c r="AV169" s="52"/>
      <c r="AW169" s="52"/>
      <c r="AX169" s="52"/>
      <c r="AY169" s="52"/>
      <c r="AZ169" s="52"/>
      <c r="BA169" s="52"/>
      <c r="BB169" s="52"/>
    </row>
    <row r="170" spans="1:54" s="56" customFormat="1" ht="11.25" customHeight="1">
      <c r="A170" s="1739"/>
      <c r="B170" s="1740"/>
      <c r="C170" s="1740"/>
      <c r="D170" s="1740"/>
      <c r="E170" s="1740"/>
      <c r="F170" s="1740"/>
      <c r="G170" s="1740"/>
      <c r="H170" s="1740"/>
      <c r="I170" s="1741"/>
      <c r="J170" s="1740"/>
      <c r="K170" s="1740"/>
      <c r="L170" s="1740"/>
      <c r="M170" s="1740"/>
      <c r="N170" s="1740"/>
      <c r="O170" s="1740"/>
      <c r="P170" s="1742"/>
      <c r="Q170" s="1740"/>
      <c r="R170" s="1740"/>
      <c r="S170" s="1741"/>
      <c r="T170" s="1740"/>
      <c r="U170" s="1743"/>
      <c r="V170" s="185"/>
      <c r="W170" s="40"/>
      <c r="X170" s="52"/>
      <c r="Y170" s="52"/>
      <c r="Z170" s="52"/>
      <c r="AA170" s="52"/>
      <c r="AH170" s="40"/>
      <c r="AI170" s="40"/>
      <c r="AJ170" s="119"/>
      <c r="AK170" s="52"/>
      <c r="AL170" s="52"/>
      <c r="AM170" s="52"/>
      <c r="AN170" s="52"/>
      <c r="AO170" s="52"/>
      <c r="AP170" s="52"/>
      <c r="AQ170" s="52"/>
      <c r="AR170" s="52"/>
      <c r="AS170" s="52"/>
      <c r="AT170" s="52"/>
      <c r="AU170" s="52"/>
      <c r="AV170" s="52"/>
      <c r="AW170" s="52"/>
      <c r="AX170" s="52"/>
      <c r="AY170" s="52"/>
      <c r="AZ170" s="52"/>
      <c r="BA170" s="52"/>
      <c r="BB170" s="52"/>
    </row>
    <row r="171" spans="1:54">
      <c r="A171" s="106"/>
      <c r="B171" s="705"/>
      <c r="C171" s="5"/>
      <c r="D171" s="5"/>
      <c r="E171" s="9"/>
      <c r="F171" s="5"/>
      <c r="G171" s="40"/>
      <c r="H171" s="554"/>
      <c r="I171" s="40"/>
      <c r="J171" s="40"/>
      <c r="K171" s="40"/>
      <c r="L171" s="40"/>
      <c r="M171" s="40"/>
      <c r="N171" s="40"/>
      <c r="O171" s="40"/>
      <c r="P171" s="40"/>
      <c r="Q171" s="40"/>
      <c r="R171" s="40"/>
      <c r="S171" s="40"/>
      <c r="T171" s="40"/>
      <c r="U171" s="40"/>
      <c r="V171" s="119"/>
      <c r="W171" s="40"/>
      <c r="X171" s="52"/>
      <c r="Y171" s="52"/>
      <c r="Z171" s="52"/>
      <c r="AA171" s="52"/>
      <c r="AB171" s="52"/>
      <c r="AC171" s="52"/>
      <c r="AD171" s="52"/>
      <c r="AE171" s="52"/>
      <c r="AF171" s="52"/>
      <c r="AG171" s="52"/>
      <c r="AH171" s="40"/>
      <c r="AI171" s="40"/>
      <c r="AJ171" s="119"/>
    </row>
    <row r="172" spans="1:54">
      <c r="A172" s="106"/>
      <c r="B172" s="705"/>
      <c r="C172" s="5"/>
      <c r="D172" s="5"/>
      <c r="E172" s="9"/>
      <c r="F172" s="5"/>
      <c r="G172" s="40"/>
      <c r="H172" s="554"/>
      <c r="I172" s="40"/>
      <c r="J172" s="40"/>
      <c r="K172" s="40"/>
      <c r="L172" s="40"/>
      <c r="M172" s="40"/>
      <c r="N172" s="40"/>
      <c r="O172" s="40"/>
      <c r="P172" s="40"/>
      <c r="Q172" s="40"/>
      <c r="R172" s="40"/>
      <c r="S172" s="40"/>
      <c r="T172" s="40"/>
      <c r="U172" s="40"/>
      <c r="V172" s="119"/>
      <c r="W172" s="40"/>
      <c r="X172" s="52"/>
      <c r="Y172" s="52"/>
      <c r="Z172" s="52"/>
      <c r="AA172" s="52"/>
      <c r="AB172" s="52"/>
      <c r="AC172" s="52"/>
      <c r="AD172" s="52"/>
      <c r="AE172" s="52"/>
      <c r="AF172" s="52"/>
      <c r="AG172" s="52"/>
      <c r="AH172" s="40"/>
      <c r="AI172" s="40"/>
      <c r="AJ172" s="119"/>
    </row>
    <row r="173" spans="1:54" ht="11.25" customHeight="1">
      <c r="A173" s="106"/>
      <c r="B173" s="1734"/>
      <c r="C173" s="5"/>
      <c r="D173" s="5"/>
      <c r="E173" s="9"/>
      <c r="F173" s="5"/>
      <c r="G173" s="40"/>
      <c r="H173" s="554"/>
      <c r="I173" s="40"/>
      <c r="J173" s="40"/>
      <c r="K173" s="40"/>
      <c r="L173" s="40"/>
      <c r="M173" s="40"/>
      <c r="N173" s="40"/>
      <c r="O173" s="40"/>
      <c r="P173" s="40"/>
      <c r="Q173" s="40"/>
      <c r="R173" s="40"/>
      <c r="S173" s="40"/>
      <c r="T173" s="40"/>
      <c r="U173" s="40"/>
      <c r="V173" s="119"/>
      <c r="W173" s="40"/>
      <c r="X173" s="52"/>
      <c r="Y173" s="52"/>
      <c r="Z173" s="52"/>
      <c r="AA173" s="52"/>
      <c r="AB173" s="52"/>
      <c r="AC173" s="52"/>
      <c r="AD173" s="52"/>
      <c r="AE173" s="52"/>
      <c r="AF173" s="52"/>
      <c r="AG173" s="52"/>
      <c r="AH173" s="40"/>
      <c r="AI173" s="40"/>
      <c r="AJ173" s="119"/>
    </row>
    <row r="174" spans="1:54" ht="11.25" customHeight="1">
      <c r="A174" s="106"/>
      <c r="B174" s="1735"/>
      <c r="C174" s="5"/>
      <c r="D174" s="5"/>
      <c r="E174" s="9"/>
      <c r="F174" s="2"/>
      <c r="G174" s="554"/>
      <c r="H174" s="554"/>
      <c r="I174" s="40"/>
      <c r="J174" s="40"/>
      <c r="K174" s="40"/>
      <c r="L174" s="40"/>
      <c r="M174" s="40"/>
      <c r="N174" s="40"/>
      <c r="O174" s="40"/>
      <c r="P174" s="40"/>
      <c r="Q174" s="40"/>
      <c r="R174" s="40"/>
      <c r="S174" s="40"/>
      <c r="T174" s="40"/>
      <c r="U174" s="40"/>
      <c r="V174" s="119"/>
      <c r="W174" s="40"/>
      <c r="X174" s="52"/>
      <c r="Y174" s="52"/>
      <c r="Z174" s="52"/>
      <c r="AA174" s="52"/>
      <c r="AB174" s="52"/>
      <c r="AC174" s="52"/>
      <c r="AD174" s="52"/>
      <c r="AE174" s="52"/>
      <c r="AF174" s="52"/>
      <c r="AG174" s="52"/>
      <c r="AH174" s="40"/>
      <c r="AI174" s="40"/>
      <c r="AJ174" s="119"/>
    </row>
    <row r="175" spans="1:54" ht="11.25" customHeight="1">
      <c r="A175" s="106"/>
      <c r="B175" s="1736"/>
      <c r="C175" s="1736"/>
      <c r="D175" s="1736"/>
      <c r="E175" s="1736"/>
      <c r="F175" s="1736"/>
      <c r="G175" s="1736"/>
      <c r="H175" s="554"/>
      <c r="I175" s="40"/>
      <c r="J175" s="40"/>
      <c r="K175" s="40"/>
      <c r="L175" s="40"/>
      <c r="M175" s="40"/>
      <c r="N175" s="40"/>
      <c r="O175" s="40"/>
      <c r="P175" s="40"/>
      <c r="Q175" s="40"/>
      <c r="R175" s="40"/>
      <c r="S175" s="40"/>
      <c r="T175" s="40"/>
      <c r="U175" s="40"/>
      <c r="V175" s="119"/>
      <c r="W175" s="40"/>
      <c r="X175" s="52"/>
      <c r="Y175" s="52"/>
      <c r="Z175" s="52"/>
      <c r="AA175" s="52"/>
      <c r="AB175" s="52"/>
      <c r="AC175" s="52"/>
      <c r="AD175" s="52"/>
      <c r="AE175" s="52"/>
      <c r="AF175" s="52"/>
      <c r="AG175" s="52"/>
      <c r="AH175" s="40"/>
      <c r="AI175" s="40"/>
      <c r="AJ175" s="119"/>
    </row>
    <row r="176" spans="1:54" ht="11.25" customHeight="1">
      <c r="A176" s="106"/>
      <c r="B176" s="1736"/>
      <c r="C176" s="1736"/>
      <c r="D176" s="1736"/>
      <c r="E176" s="1736"/>
      <c r="F176" s="1736"/>
      <c r="G176" s="1736"/>
      <c r="H176" s="554"/>
      <c r="I176" s="40"/>
      <c r="J176" s="40"/>
      <c r="K176" s="40"/>
      <c r="L176" s="40"/>
      <c r="M176" s="40"/>
      <c r="N176" s="40"/>
      <c r="O176" s="40"/>
      <c r="P176" s="40"/>
      <c r="Q176" s="40"/>
      <c r="R176" s="40"/>
      <c r="S176" s="40"/>
      <c r="T176" s="40"/>
      <c r="U176" s="40"/>
      <c r="V176" s="119"/>
      <c r="W176" s="40"/>
      <c r="X176" s="52"/>
      <c r="Y176" s="52"/>
      <c r="Z176" s="52"/>
      <c r="AA176" s="52"/>
      <c r="AB176" s="52"/>
      <c r="AC176" s="52"/>
      <c r="AD176" s="52"/>
      <c r="AE176" s="52"/>
      <c r="AF176" s="52"/>
      <c r="AG176" s="52"/>
      <c r="AH176" s="40"/>
      <c r="AI176" s="40"/>
      <c r="AJ176" s="119"/>
    </row>
    <row r="177" spans="1:36" ht="11.25" customHeight="1">
      <c r="A177" s="106"/>
      <c r="B177" s="1736"/>
      <c r="C177" s="1736"/>
      <c r="D177" s="1736"/>
      <c r="E177" s="1736"/>
      <c r="F177" s="1736"/>
      <c r="G177" s="1736"/>
      <c r="H177" s="554"/>
      <c r="I177" s="40"/>
      <c r="J177" s="40"/>
      <c r="K177" s="40"/>
      <c r="L177" s="40"/>
      <c r="M177" s="40"/>
      <c r="N177" s="40"/>
      <c r="O177" s="40"/>
      <c r="P177" s="40"/>
      <c r="Q177" s="40"/>
      <c r="R177" s="40"/>
      <c r="S177" s="40"/>
      <c r="T177" s="40"/>
      <c r="U177" s="40"/>
      <c r="V177" s="119"/>
      <c r="W177" s="40"/>
      <c r="X177" s="52"/>
      <c r="Y177" s="52"/>
      <c r="Z177" s="52"/>
      <c r="AA177" s="52"/>
      <c r="AB177" s="52"/>
      <c r="AC177" s="52"/>
      <c r="AD177" s="52"/>
      <c r="AE177" s="52"/>
      <c r="AF177" s="52"/>
      <c r="AG177" s="52"/>
      <c r="AH177" s="40"/>
      <c r="AI177" s="40"/>
      <c r="AJ177" s="119"/>
    </row>
    <row r="178" spans="1:36" ht="11.25" customHeight="1">
      <c r="A178" s="106"/>
      <c r="B178" s="1736"/>
      <c r="C178" s="1736"/>
      <c r="D178" s="1736"/>
      <c r="E178" s="1736"/>
      <c r="F178" s="1736"/>
      <c r="G178" s="1736"/>
      <c r="H178" s="554"/>
      <c r="I178" s="40"/>
      <c r="J178" s="40"/>
      <c r="K178" s="40"/>
      <c r="L178" s="40"/>
      <c r="M178" s="40"/>
      <c r="N178" s="40"/>
      <c r="O178" s="40"/>
      <c r="P178" s="40"/>
      <c r="Q178" s="40"/>
      <c r="R178" s="40"/>
      <c r="S178" s="40"/>
      <c r="T178" s="40"/>
      <c r="U178" s="40"/>
      <c r="V178" s="119"/>
      <c r="W178" s="40"/>
      <c r="X178" s="52"/>
      <c r="Y178" s="52"/>
      <c r="Z178" s="52"/>
      <c r="AA178" s="52"/>
      <c r="AB178" s="52"/>
      <c r="AC178" s="52"/>
      <c r="AD178" s="52"/>
      <c r="AE178" s="52"/>
      <c r="AF178" s="52"/>
      <c r="AG178" s="52"/>
      <c r="AH178" s="40"/>
      <c r="AI178" s="40"/>
      <c r="AJ178" s="119"/>
    </row>
    <row r="179" spans="1:36" ht="11.25" customHeight="1">
      <c r="A179" s="106"/>
      <c r="B179" s="1736"/>
      <c r="C179" s="1736"/>
      <c r="D179" s="1736"/>
      <c r="E179" s="1736"/>
      <c r="F179" s="1736"/>
      <c r="G179" s="1736"/>
      <c r="H179" s="554"/>
      <c r="I179" s="40"/>
      <c r="J179" s="40"/>
      <c r="K179" s="40"/>
      <c r="L179" s="40"/>
      <c r="M179" s="40"/>
      <c r="N179" s="40"/>
      <c r="O179" s="40"/>
      <c r="P179" s="40"/>
      <c r="Q179" s="40"/>
      <c r="R179" s="40"/>
      <c r="S179" s="40"/>
      <c r="T179" s="40"/>
      <c r="U179" s="40"/>
      <c r="V179" s="119"/>
      <c r="W179" s="40"/>
      <c r="X179" s="52"/>
      <c r="Y179" s="52"/>
      <c r="Z179" s="52"/>
      <c r="AA179" s="52"/>
      <c r="AB179" s="52"/>
      <c r="AC179" s="52"/>
      <c r="AD179" s="52"/>
      <c r="AE179" s="52"/>
      <c r="AF179" s="52"/>
      <c r="AG179" s="52"/>
      <c r="AH179" s="40"/>
      <c r="AI179" s="40"/>
      <c r="AJ179" s="119"/>
    </row>
    <row r="180" spans="1:36" ht="11.25" customHeight="1">
      <c r="A180" s="106"/>
      <c r="B180" s="1736"/>
      <c r="C180" s="1736"/>
      <c r="D180" s="1736"/>
      <c r="E180" s="1736"/>
      <c r="F180" s="1736"/>
      <c r="G180" s="1736"/>
      <c r="H180" s="554"/>
      <c r="I180" s="40"/>
      <c r="J180" s="40"/>
      <c r="K180" s="40"/>
      <c r="L180" s="40"/>
      <c r="M180" s="40"/>
      <c r="N180" s="40"/>
      <c r="O180" s="40"/>
      <c r="P180" s="40"/>
      <c r="Q180" s="40"/>
      <c r="R180" s="40"/>
      <c r="S180" s="40"/>
      <c r="T180" s="40"/>
      <c r="U180" s="40"/>
      <c r="V180" s="119"/>
      <c r="W180" s="40"/>
      <c r="X180" s="52"/>
      <c r="Y180" s="52"/>
      <c r="Z180" s="52"/>
      <c r="AA180" s="52"/>
      <c r="AB180" s="52"/>
      <c r="AC180" s="52"/>
      <c r="AD180" s="52"/>
      <c r="AE180" s="52"/>
      <c r="AF180" s="52"/>
      <c r="AG180" s="52"/>
      <c r="AH180" s="40"/>
      <c r="AI180" s="40"/>
      <c r="AJ180" s="119"/>
    </row>
    <row r="181" spans="1:36" ht="11.25" customHeight="1">
      <c r="A181" s="106"/>
      <c r="B181" s="1736"/>
      <c r="C181" s="1736"/>
      <c r="D181" s="1736"/>
      <c r="E181" s="1736"/>
      <c r="F181" s="1736"/>
      <c r="G181" s="1736"/>
      <c r="H181" s="554"/>
      <c r="I181" s="40"/>
      <c r="J181" s="40"/>
      <c r="K181" s="40"/>
      <c r="L181" s="40"/>
      <c r="M181" s="40"/>
      <c r="N181" s="40"/>
      <c r="O181" s="40"/>
      <c r="P181" s="40"/>
      <c r="Q181" s="40"/>
      <c r="R181" s="40"/>
      <c r="S181" s="40"/>
      <c r="T181" s="40"/>
      <c r="U181" s="40"/>
      <c r="V181" s="119"/>
      <c r="W181" s="40"/>
      <c r="X181" s="52"/>
      <c r="Y181" s="52"/>
      <c r="Z181" s="52"/>
      <c r="AA181" s="52"/>
      <c r="AB181" s="52"/>
      <c r="AC181" s="52"/>
      <c r="AD181" s="52"/>
      <c r="AE181" s="52"/>
      <c r="AF181" s="52"/>
      <c r="AG181" s="52"/>
      <c r="AH181" s="40"/>
      <c r="AI181" s="40"/>
      <c r="AJ181" s="119"/>
    </row>
    <row r="182" spans="1:36" ht="11.25" customHeight="1">
      <c r="A182" s="106"/>
      <c r="B182" s="1736"/>
      <c r="C182" s="1736"/>
      <c r="D182" s="1736"/>
      <c r="E182" s="1736"/>
      <c r="F182" s="1736"/>
      <c r="G182" s="1736"/>
      <c r="H182" s="554"/>
      <c r="I182" s="40"/>
      <c r="J182" s="40"/>
      <c r="K182" s="40"/>
      <c r="L182" s="40"/>
      <c r="M182" s="40"/>
      <c r="N182" s="40"/>
      <c r="O182" s="40"/>
      <c r="P182" s="40"/>
      <c r="Q182" s="40"/>
      <c r="R182" s="40"/>
      <c r="S182" s="40"/>
      <c r="T182" s="40"/>
      <c r="U182" s="40"/>
      <c r="V182" s="119"/>
      <c r="W182" s="40"/>
      <c r="X182" s="52"/>
      <c r="Y182" s="52"/>
      <c r="Z182" s="52"/>
      <c r="AA182" s="52"/>
      <c r="AB182" s="52"/>
      <c r="AC182" s="52"/>
      <c r="AD182" s="52"/>
      <c r="AE182" s="52"/>
      <c r="AF182" s="52"/>
      <c r="AG182" s="52"/>
      <c r="AH182" s="40"/>
      <c r="AI182" s="40"/>
      <c r="AJ182" s="119"/>
    </row>
    <row r="183" spans="1:36" ht="11.25" customHeight="1">
      <c r="A183" s="106"/>
      <c r="B183" s="1736"/>
      <c r="C183" s="1736"/>
      <c r="D183" s="1736"/>
      <c r="E183" s="1736"/>
      <c r="F183" s="1736"/>
      <c r="G183" s="1736"/>
      <c r="H183" s="554"/>
      <c r="I183" s="40"/>
      <c r="J183" s="40"/>
      <c r="K183" s="40"/>
      <c r="L183" s="40"/>
      <c r="M183" s="40"/>
      <c r="N183" s="40"/>
      <c r="O183" s="40"/>
      <c r="P183" s="40"/>
      <c r="Q183" s="40"/>
      <c r="R183" s="40"/>
      <c r="S183" s="40"/>
      <c r="T183" s="40"/>
      <c r="U183" s="40"/>
      <c r="V183" s="119"/>
      <c r="W183" s="40"/>
      <c r="X183" s="52"/>
      <c r="Y183" s="52"/>
      <c r="Z183" s="52"/>
      <c r="AA183" s="52"/>
      <c r="AB183" s="52"/>
      <c r="AC183" s="52"/>
      <c r="AD183" s="52"/>
      <c r="AE183" s="52"/>
      <c r="AF183" s="52"/>
      <c r="AG183" s="52"/>
      <c r="AH183" s="40"/>
      <c r="AI183" s="40"/>
      <c r="AJ183" s="119"/>
    </row>
    <row r="184" spans="1:36" ht="11.25" customHeight="1">
      <c r="A184" s="106"/>
      <c r="B184" s="1736"/>
      <c r="C184" s="1736"/>
      <c r="D184" s="1736"/>
      <c r="E184" s="1736"/>
      <c r="F184" s="1736"/>
      <c r="G184" s="1736"/>
      <c r="H184" s="554"/>
      <c r="I184" s="40"/>
      <c r="J184" s="40"/>
      <c r="K184" s="40"/>
      <c r="L184" s="40"/>
      <c r="M184" s="40"/>
      <c r="N184" s="40"/>
      <c r="O184" s="40"/>
      <c r="P184" s="40"/>
      <c r="Q184" s="40"/>
      <c r="R184" s="40"/>
      <c r="S184" s="40"/>
      <c r="T184" s="40"/>
      <c r="U184" s="40"/>
      <c r="V184" s="119"/>
      <c r="W184" s="40"/>
      <c r="X184" s="52"/>
      <c r="Y184" s="52"/>
      <c r="Z184" s="52"/>
      <c r="AA184" s="52"/>
      <c r="AB184" s="52"/>
      <c r="AC184" s="52"/>
      <c r="AD184" s="52"/>
      <c r="AE184" s="52"/>
      <c r="AF184" s="52"/>
      <c r="AG184" s="52"/>
      <c r="AH184" s="40"/>
      <c r="AI184" s="40"/>
      <c r="AJ184" s="119"/>
    </row>
    <row r="185" spans="1:36" ht="11.25" customHeight="1">
      <c r="A185" s="106"/>
      <c r="B185" s="1736"/>
      <c r="C185" s="1736"/>
      <c r="D185" s="1736"/>
      <c r="E185" s="1736"/>
      <c r="F185" s="1736"/>
      <c r="G185" s="1736"/>
      <c r="H185" s="554"/>
      <c r="I185" s="40"/>
      <c r="J185" s="40"/>
      <c r="K185" s="40"/>
      <c r="L185" s="40"/>
      <c r="M185" s="40"/>
      <c r="N185" s="40"/>
      <c r="O185" s="40"/>
      <c r="P185" s="40"/>
      <c r="Q185" s="40"/>
      <c r="R185" s="40"/>
      <c r="S185" s="40"/>
      <c r="T185" s="40"/>
      <c r="U185" s="40"/>
      <c r="V185" s="119"/>
      <c r="W185" s="40"/>
      <c r="X185" s="52"/>
      <c r="Y185" s="52"/>
      <c r="Z185" s="52"/>
      <c r="AA185" s="52"/>
      <c r="AB185" s="52"/>
      <c r="AC185" s="52"/>
      <c r="AD185" s="52"/>
      <c r="AE185" s="52"/>
      <c r="AF185" s="52"/>
      <c r="AG185" s="52"/>
      <c r="AH185" s="40"/>
      <c r="AI185" s="40"/>
      <c r="AJ185" s="119"/>
    </row>
    <row r="186" spans="1:36" ht="11.25" customHeight="1">
      <c r="A186" s="106"/>
      <c r="B186" s="1736"/>
      <c r="C186" s="1736"/>
      <c r="D186" s="1736"/>
      <c r="E186" s="1736"/>
      <c r="F186" s="1736"/>
      <c r="G186" s="1736"/>
      <c r="H186" s="554"/>
      <c r="I186" s="40"/>
      <c r="J186" s="40"/>
      <c r="K186" s="40"/>
      <c r="L186" s="40"/>
      <c r="M186" s="40"/>
      <c r="N186" s="40"/>
      <c r="O186" s="40"/>
      <c r="P186" s="40"/>
      <c r="Q186" s="40"/>
      <c r="R186" s="40"/>
      <c r="S186" s="40"/>
      <c r="T186" s="40"/>
      <c r="U186" s="40"/>
      <c r="V186" s="119"/>
      <c r="W186" s="40"/>
      <c r="X186" s="52"/>
      <c r="Y186" s="52"/>
      <c r="Z186" s="52"/>
      <c r="AA186" s="52"/>
      <c r="AB186" s="52"/>
      <c r="AC186" s="52"/>
      <c r="AD186" s="52"/>
      <c r="AE186" s="52"/>
      <c r="AF186" s="52"/>
      <c r="AG186" s="52"/>
      <c r="AH186" s="40"/>
      <c r="AI186" s="40"/>
      <c r="AJ186" s="119"/>
    </row>
    <row r="187" spans="1:36" ht="11.25" customHeight="1">
      <c r="A187" s="106"/>
      <c r="B187" s="1736"/>
      <c r="C187" s="1736"/>
      <c r="D187" s="1736"/>
      <c r="E187" s="1736"/>
      <c r="F187" s="1736"/>
      <c r="G187" s="1736"/>
      <c r="H187" s="554"/>
      <c r="I187" s="40"/>
      <c r="J187" s="40"/>
      <c r="K187" s="40"/>
      <c r="L187" s="40"/>
      <c r="M187" s="40"/>
      <c r="N187" s="40"/>
      <c r="O187" s="40"/>
      <c r="P187" s="40"/>
      <c r="Q187" s="40"/>
      <c r="R187" s="40"/>
      <c r="S187" s="40"/>
      <c r="T187" s="40"/>
      <c r="U187" s="40"/>
      <c r="V187" s="119"/>
      <c r="W187" s="40"/>
      <c r="X187" s="52"/>
      <c r="Y187" s="52"/>
      <c r="Z187" s="52"/>
      <c r="AA187" s="52"/>
      <c r="AB187" s="52"/>
      <c r="AC187" s="52"/>
      <c r="AD187" s="52"/>
      <c r="AE187" s="52"/>
      <c r="AF187" s="52"/>
      <c r="AG187" s="52"/>
      <c r="AH187" s="40"/>
      <c r="AI187" s="40"/>
      <c r="AJ187" s="119"/>
    </row>
    <row r="188" spans="1:36" ht="11.25" customHeight="1">
      <c r="A188" s="106"/>
      <c r="B188" s="1736"/>
      <c r="C188" s="1736"/>
      <c r="D188" s="1736"/>
      <c r="E188" s="1736"/>
      <c r="F188" s="1736"/>
      <c r="G188" s="1736"/>
      <c r="H188" s="554"/>
      <c r="I188" s="40"/>
      <c r="J188" s="40"/>
      <c r="K188" s="40"/>
      <c r="L188" s="40"/>
      <c r="M188" s="40"/>
      <c r="N188" s="40"/>
      <c r="O188" s="40"/>
      <c r="P188" s="40"/>
      <c r="Q188" s="40"/>
      <c r="R188" s="40"/>
      <c r="S188" s="40"/>
      <c r="T188" s="40"/>
      <c r="U188" s="40"/>
      <c r="V188" s="119"/>
      <c r="W188" s="40"/>
      <c r="X188" s="52"/>
      <c r="Y188" s="52"/>
      <c r="Z188" s="52"/>
      <c r="AA188" s="52"/>
      <c r="AB188" s="52"/>
      <c r="AC188" s="52"/>
      <c r="AD188" s="52"/>
      <c r="AE188" s="52"/>
      <c r="AF188" s="52"/>
      <c r="AG188" s="52"/>
      <c r="AH188" s="40"/>
      <c r="AI188" s="40"/>
      <c r="AJ188" s="119"/>
    </row>
    <row r="189" spans="1:36" ht="11.25" customHeight="1">
      <c r="A189" s="106"/>
      <c r="B189" s="1736"/>
      <c r="C189" s="1736"/>
      <c r="D189" s="1736"/>
      <c r="E189" s="1736"/>
      <c r="F189" s="1736"/>
      <c r="G189" s="1736"/>
      <c r="H189" s="554"/>
      <c r="I189" s="40"/>
      <c r="J189" s="40"/>
      <c r="K189" s="40"/>
      <c r="L189" s="40"/>
      <c r="M189" s="40"/>
      <c r="N189" s="40"/>
      <c r="O189" s="40"/>
      <c r="P189" s="40"/>
      <c r="Q189" s="40"/>
      <c r="R189" s="40"/>
      <c r="S189" s="40"/>
      <c r="T189" s="40"/>
      <c r="U189" s="40"/>
      <c r="V189" s="119"/>
      <c r="W189" s="40"/>
      <c r="X189" s="52"/>
      <c r="Y189" s="52"/>
      <c r="Z189" s="52"/>
      <c r="AA189" s="52"/>
      <c r="AB189" s="52"/>
      <c r="AC189" s="52"/>
      <c r="AD189" s="52"/>
      <c r="AE189" s="52"/>
      <c r="AF189" s="52"/>
      <c r="AG189" s="52"/>
      <c r="AH189" s="40"/>
      <c r="AI189" s="40"/>
      <c r="AJ189" s="119"/>
    </row>
    <row r="190" spans="1:36" ht="11.25" customHeight="1">
      <c r="A190" s="106"/>
      <c r="B190" s="1736"/>
      <c r="C190" s="1736"/>
      <c r="D190" s="1736"/>
      <c r="E190" s="1736"/>
      <c r="F190" s="1736"/>
      <c r="G190" s="1736"/>
      <c r="H190" s="554"/>
      <c r="I190" s="40"/>
      <c r="J190" s="40"/>
      <c r="K190" s="40"/>
      <c r="L190" s="40"/>
      <c r="M190" s="40"/>
      <c r="N190" s="40"/>
      <c r="O190" s="40"/>
      <c r="P190" s="40"/>
      <c r="Q190" s="40"/>
      <c r="R190" s="40"/>
      <c r="S190" s="40"/>
      <c r="T190" s="40"/>
      <c r="U190" s="40"/>
      <c r="V190" s="119"/>
      <c r="W190" s="40"/>
      <c r="X190" s="52"/>
      <c r="Y190" s="52"/>
      <c r="Z190" s="52"/>
      <c r="AA190" s="52"/>
      <c r="AB190" s="52"/>
      <c r="AC190" s="52"/>
      <c r="AD190" s="52"/>
      <c r="AE190" s="52"/>
      <c r="AF190" s="52"/>
      <c r="AG190" s="52"/>
      <c r="AH190" s="40"/>
      <c r="AI190" s="40"/>
      <c r="AJ190" s="119"/>
    </row>
    <row r="191" spans="1:36" ht="11.25" customHeight="1">
      <c r="A191" s="106"/>
      <c r="B191" s="1736"/>
      <c r="C191" s="1736"/>
      <c r="D191" s="1736"/>
      <c r="E191" s="1736"/>
      <c r="F191" s="1736"/>
      <c r="G191" s="1736"/>
      <c r="H191" s="554"/>
      <c r="I191" s="40"/>
      <c r="J191" s="40"/>
      <c r="K191" s="40"/>
      <c r="L191" s="40"/>
      <c r="M191" s="40"/>
      <c r="N191" s="40"/>
      <c r="O191" s="40"/>
      <c r="P191" s="40"/>
      <c r="Q191" s="40"/>
      <c r="R191" s="40"/>
      <c r="S191" s="40"/>
      <c r="T191" s="40"/>
      <c r="U191" s="40"/>
      <c r="V191" s="119"/>
      <c r="W191" s="40"/>
      <c r="X191" s="52"/>
      <c r="Y191" s="52"/>
      <c r="Z191" s="52"/>
      <c r="AA191" s="52"/>
      <c r="AB191" s="52"/>
      <c r="AC191" s="52"/>
      <c r="AD191" s="52"/>
      <c r="AE191" s="52"/>
      <c r="AF191" s="52"/>
      <c r="AG191" s="52"/>
      <c r="AH191" s="40"/>
      <c r="AI191" s="40"/>
      <c r="AJ191" s="119"/>
    </row>
    <row r="192" spans="1:36" ht="11.25" customHeight="1">
      <c r="A192" s="106"/>
      <c r="B192" s="1736"/>
      <c r="C192" s="1736"/>
      <c r="D192" s="1736"/>
      <c r="E192" s="1736"/>
      <c r="F192" s="1736"/>
      <c r="G192" s="1736"/>
      <c r="H192" s="554"/>
      <c r="I192" s="40"/>
      <c r="J192" s="40"/>
      <c r="K192" s="40"/>
      <c r="L192" s="40"/>
      <c r="M192" s="40"/>
      <c r="N192" s="40"/>
      <c r="O192" s="40"/>
      <c r="P192" s="40"/>
      <c r="Q192" s="40"/>
      <c r="R192" s="40"/>
      <c r="S192" s="40"/>
      <c r="T192" s="40"/>
      <c r="U192" s="40"/>
      <c r="V192" s="119"/>
      <c r="W192" s="40"/>
      <c r="X192" s="52"/>
      <c r="Y192" s="52"/>
      <c r="Z192" s="52"/>
      <c r="AA192" s="52"/>
      <c r="AB192" s="52"/>
      <c r="AC192" s="52"/>
      <c r="AD192" s="52"/>
      <c r="AE192" s="52"/>
      <c r="AF192" s="52"/>
      <c r="AG192" s="52"/>
      <c r="AH192" s="40"/>
      <c r="AI192" s="40"/>
      <c r="AJ192" s="119"/>
    </row>
    <row r="193" spans="1:36" ht="11.25" customHeight="1">
      <c r="A193" s="106"/>
      <c r="B193" s="1736"/>
      <c r="C193" s="1736"/>
      <c r="D193" s="1736"/>
      <c r="E193" s="1736"/>
      <c r="F193" s="1736"/>
      <c r="G193" s="1736"/>
      <c r="H193" s="554"/>
      <c r="I193" s="40"/>
      <c r="J193" s="40"/>
      <c r="K193" s="40"/>
      <c r="L193" s="40"/>
      <c r="M193" s="40"/>
      <c r="N193" s="40"/>
      <c r="O193" s="40"/>
      <c r="P193" s="40"/>
      <c r="Q193" s="40"/>
      <c r="R193" s="40"/>
      <c r="S193" s="40"/>
      <c r="T193" s="40"/>
      <c r="U193" s="40"/>
      <c r="V193" s="119"/>
      <c r="W193" s="116"/>
      <c r="X193" s="52"/>
      <c r="Y193" s="52"/>
      <c r="Z193" s="52"/>
      <c r="AA193" s="52"/>
      <c r="AB193" s="52"/>
      <c r="AC193" s="52"/>
      <c r="AD193" s="52"/>
      <c r="AE193" s="52"/>
      <c r="AF193" s="52"/>
      <c r="AG193" s="52"/>
      <c r="AH193" s="40"/>
      <c r="AI193" s="40"/>
      <c r="AJ193" s="119"/>
    </row>
    <row r="194" spans="1:36" ht="11.25" customHeight="1">
      <c r="A194" s="106"/>
      <c r="B194" s="1736"/>
      <c r="C194" s="1736"/>
      <c r="D194" s="1736"/>
      <c r="E194" s="1736"/>
      <c r="F194" s="1736"/>
      <c r="G194" s="1736"/>
      <c r="H194" s="554"/>
      <c r="I194" s="40"/>
      <c r="J194" s="40"/>
      <c r="K194" s="40"/>
      <c r="L194" s="40"/>
      <c r="M194" s="40"/>
      <c r="N194" s="40"/>
      <c r="O194" s="40"/>
      <c r="P194" s="40"/>
      <c r="Q194" s="40"/>
      <c r="R194" s="40"/>
      <c r="S194" s="40"/>
      <c r="T194" s="40"/>
      <c r="U194" s="40"/>
      <c r="V194" s="119"/>
      <c r="W194" s="116"/>
      <c r="X194" s="52"/>
      <c r="Y194" s="52"/>
      <c r="Z194" s="52"/>
      <c r="AA194" s="52"/>
      <c r="AB194" s="52"/>
      <c r="AC194" s="52"/>
      <c r="AD194" s="52"/>
      <c r="AE194" s="52"/>
      <c r="AF194" s="52"/>
      <c r="AG194" s="52"/>
      <c r="AH194" s="40"/>
      <c r="AI194" s="40"/>
      <c r="AJ194" s="119"/>
    </row>
    <row r="195" spans="1:36" ht="11.25" customHeight="1">
      <c r="A195" s="106"/>
      <c r="B195" s="1736"/>
      <c r="C195" s="1736"/>
      <c r="D195" s="1736"/>
      <c r="E195" s="1736"/>
      <c r="F195" s="1736"/>
      <c r="G195" s="1736"/>
      <c r="H195" s="554"/>
      <c r="I195" s="40"/>
      <c r="J195" s="40"/>
      <c r="K195" s="40"/>
      <c r="L195" s="40"/>
      <c r="M195" s="40"/>
      <c r="N195" s="40"/>
      <c r="O195" s="40"/>
      <c r="P195" s="40"/>
      <c r="Q195" s="40"/>
      <c r="R195" s="40"/>
      <c r="S195" s="40"/>
      <c r="T195" s="40"/>
      <c r="U195" s="40"/>
      <c r="V195" s="119"/>
      <c r="W195" s="116"/>
      <c r="X195" s="52"/>
      <c r="Y195" s="52"/>
      <c r="Z195" s="52"/>
      <c r="AA195" s="52"/>
      <c r="AB195" s="52"/>
      <c r="AC195" s="52"/>
      <c r="AD195" s="52"/>
      <c r="AE195" s="52"/>
      <c r="AF195" s="52"/>
      <c r="AG195" s="52"/>
      <c r="AH195" s="40"/>
      <c r="AI195" s="40"/>
      <c r="AJ195" s="119"/>
    </row>
    <row r="196" spans="1:36" ht="11.25" customHeight="1">
      <c r="A196" s="106"/>
      <c r="B196" s="1736"/>
      <c r="C196" s="1736"/>
      <c r="D196" s="1736"/>
      <c r="E196" s="1736"/>
      <c r="F196" s="1736"/>
      <c r="G196" s="1736"/>
      <c r="H196" s="554"/>
      <c r="I196" s="40"/>
      <c r="J196" s="40"/>
      <c r="K196" s="40"/>
      <c r="L196" s="40"/>
      <c r="M196" s="40"/>
      <c r="N196" s="40"/>
      <c r="O196" s="40"/>
      <c r="P196" s="40"/>
      <c r="Q196" s="40"/>
      <c r="R196" s="40"/>
      <c r="S196" s="40"/>
      <c r="T196" s="40"/>
      <c r="U196" s="40"/>
      <c r="V196" s="119"/>
      <c r="W196" s="116"/>
      <c r="X196" s="52"/>
      <c r="Y196" s="52"/>
      <c r="Z196" s="52"/>
      <c r="AA196" s="52"/>
      <c r="AB196" s="52"/>
      <c r="AC196" s="52"/>
      <c r="AD196" s="52"/>
      <c r="AE196" s="52"/>
      <c r="AF196" s="52"/>
      <c r="AG196" s="52"/>
      <c r="AH196" s="40"/>
      <c r="AI196" s="40"/>
      <c r="AJ196" s="119"/>
    </row>
    <row r="197" spans="1:36" ht="11.25" customHeight="1">
      <c r="A197" s="106"/>
      <c r="B197" s="1736"/>
      <c r="C197" s="1736"/>
      <c r="D197" s="1736"/>
      <c r="E197" s="1736"/>
      <c r="F197" s="1736"/>
      <c r="G197" s="1736"/>
      <c r="H197" s="554"/>
      <c r="I197" s="40"/>
      <c r="J197" s="40"/>
      <c r="K197" s="40"/>
      <c r="L197" s="40"/>
      <c r="M197" s="40"/>
      <c r="N197" s="40"/>
      <c r="O197" s="40"/>
      <c r="P197" s="40"/>
      <c r="Q197" s="40"/>
      <c r="R197" s="40"/>
      <c r="S197" s="40"/>
      <c r="T197" s="40"/>
      <c r="U197" s="40"/>
      <c r="V197" s="119"/>
      <c r="W197" s="116"/>
      <c r="X197" s="52"/>
      <c r="Y197" s="52"/>
      <c r="Z197" s="52"/>
      <c r="AA197" s="52"/>
      <c r="AB197" s="52"/>
      <c r="AC197" s="52"/>
      <c r="AD197" s="52"/>
      <c r="AE197" s="52"/>
      <c r="AF197" s="52"/>
      <c r="AG197" s="52"/>
      <c r="AH197" s="40"/>
      <c r="AI197" s="40"/>
      <c r="AJ197" s="119"/>
    </row>
    <row r="198" spans="1:36" ht="11.25" customHeight="1">
      <c r="A198" s="106"/>
      <c r="B198" s="1736"/>
      <c r="C198" s="1736"/>
      <c r="D198" s="1736"/>
      <c r="E198" s="1736"/>
      <c r="F198" s="1736"/>
      <c r="G198" s="1736"/>
      <c r="H198" s="554"/>
      <c r="I198" s="40"/>
      <c r="J198" s="40"/>
      <c r="K198" s="40"/>
      <c r="L198" s="40"/>
      <c r="M198" s="40"/>
      <c r="N198" s="40"/>
      <c r="O198" s="40"/>
      <c r="P198" s="40"/>
      <c r="Q198" s="40"/>
      <c r="R198" s="40"/>
      <c r="S198" s="40"/>
      <c r="T198" s="40"/>
      <c r="U198" s="40"/>
      <c r="V198" s="119"/>
      <c r="W198" s="116"/>
      <c r="X198" s="52"/>
      <c r="Y198" s="52"/>
      <c r="Z198" s="52"/>
      <c r="AA198" s="52"/>
      <c r="AB198" s="52"/>
      <c r="AC198" s="52"/>
      <c r="AD198" s="52"/>
      <c r="AE198" s="52"/>
      <c r="AF198" s="52"/>
      <c r="AG198" s="52"/>
      <c r="AH198" s="40"/>
      <c r="AI198" s="40"/>
      <c r="AJ198" s="119"/>
    </row>
    <row r="199" spans="1:36" ht="11.25" customHeight="1">
      <c r="A199" s="106"/>
      <c r="B199" s="1736"/>
      <c r="C199" s="1736"/>
      <c r="D199" s="1736"/>
      <c r="E199" s="1736"/>
      <c r="F199" s="1736"/>
      <c r="G199" s="1736"/>
      <c r="H199" s="554"/>
      <c r="I199" s="40"/>
      <c r="J199" s="40"/>
      <c r="K199" s="40"/>
      <c r="L199" s="40"/>
      <c r="M199" s="40"/>
      <c r="N199" s="40"/>
      <c r="O199" s="40"/>
      <c r="P199" s="40"/>
      <c r="Q199" s="40"/>
      <c r="R199" s="40"/>
      <c r="S199" s="40"/>
      <c r="T199" s="40"/>
      <c r="U199" s="40"/>
      <c r="V199" s="119"/>
      <c r="W199" s="116"/>
      <c r="X199" s="52"/>
      <c r="Y199" s="52"/>
      <c r="Z199" s="52"/>
      <c r="AA199" s="52"/>
      <c r="AB199" s="52"/>
      <c r="AC199" s="52"/>
      <c r="AD199" s="52"/>
      <c r="AE199" s="52"/>
      <c r="AF199" s="52"/>
      <c r="AG199" s="52"/>
      <c r="AH199" s="40"/>
      <c r="AI199" s="40"/>
      <c r="AJ199" s="119"/>
    </row>
    <row r="200" spans="1:36" ht="11.25" customHeight="1">
      <c r="A200" s="106"/>
      <c r="B200" s="1736"/>
      <c r="C200" s="1736"/>
      <c r="D200" s="1736"/>
      <c r="E200" s="1736"/>
      <c r="F200" s="1736"/>
      <c r="G200" s="1736"/>
      <c r="H200" s="554"/>
      <c r="I200" s="40"/>
      <c r="J200" s="40"/>
      <c r="K200" s="40"/>
      <c r="L200" s="40"/>
      <c r="M200" s="40"/>
      <c r="N200" s="40"/>
      <c r="O200" s="40"/>
      <c r="P200" s="40"/>
      <c r="Q200" s="40"/>
      <c r="R200" s="40"/>
      <c r="S200" s="40"/>
      <c r="T200" s="40"/>
      <c r="U200" s="40"/>
      <c r="V200" s="119"/>
      <c r="W200" s="116"/>
      <c r="X200" s="52"/>
      <c r="Y200" s="52"/>
      <c r="Z200" s="52"/>
      <c r="AA200" s="52"/>
      <c r="AB200" s="52"/>
      <c r="AC200" s="52"/>
      <c r="AD200" s="52"/>
      <c r="AE200" s="52"/>
      <c r="AF200" s="52"/>
      <c r="AG200" s="52"/>
      <c r="AH200" s="40"/>
      <c r="AI200" s="40"/>
      <c r="AJ200" s="119"/>
    </row>
    <row r="201" spans="1:36" ht="11.25" customHeight="1">
      <c r="A201" s="106"/>
      <c r="B201" s="1736"/>
      <c r="C201" s="1736"/>
      <c r="D201" s="1736"/>
      <c r="E201" s="1736"/>
      <c r="F201" s="1736"/>
      <c r="G201" s="1736"/>
      <c r="H201" s="554"/>
      <c r="I201" s="40"/>
      <c r="J201" s="40"/>
      <c r="K201" s="40"/>
      <c r="L201" s="40"/>
      <c r="M201" s="40"/>
      <c r="N201" s="40"/>
      <c r="O201" s="40"/>
      <c r="P201" s="40"/>
      <c r="Q201" s="40"/>
      <c r="R201" s="40"/>
      <c r="S201" s="40"/>
      <c r="T201" s="40"/>
      <c r="U201" s="40"/>
      <c r="V201" s="119"/>
      <c r="W201" s="116"/>
      <c r="X201" s="52"/>
      <c r="Y201" s="52"/>
      <c r="Z201" s="52"/>
      <c r="AA201" s="52"/>
      <c r="AB201" s="52"/>
      <c r="AC201" s="52"/>
      <c r="AD201" s="52"/>
      <c r="AE201" s="52"/>
      <c r="AF201" s="52"/>
      <c r="AG201" s="52"/>
      <c r="AH201" s="40"/>
      <c r="AI201" s="40"/>
      <c r="AJ201" s="119"/>
    </row>
    <row r="202" spans="1:36" ht="11.25" customHeight="1">
      <c r="A202" s="106"/>
      <c r="B202" s="1736"/>
      <c r="C202" s="1736"/>
      <c r="D202" s="1736"/>
      <c r="E202" s="1736"/>
      <c r="F202" s="1736"/>
      <c r="G202" s="1736"/>
      <c r="H202" s="554"/>
      <c r="I202" s="40"/>
      <c r="J202" s="40"/>
      <c r="K202" s="40"/>
      <c r="L202" s="40"/>
      <c r="M202" s="40"/>
      <c r="N202" s="40"/>
      <c r="O202" s="40"/>
      <c r="P202" s="40"/>
      <c r="Q202" s="40"/>
      <c r="R202" s="40"/>
      <c r="S202" s="40"/>
      <c r="T202" s="40"/>
      <c r="U202" s="40"/>
      <c r="V202" s="119"/>
      <c r="W202" s="116"/>
      <c r="X202" s="52"/>
      <c r="Y202" s="52"/>
      <c r="Z202" s="52"/>
      <c r="AA202" s="52"/>
      <c r="AB202" s="52"/>
      <c r="AC202" s="52"/>
      <c r="AD202" s="52"/>
      <c r="AE202" s="52"/>
      <c r="AF202" s="52"/>
      <c r="AG202" s="52"/>
      <c r="AH202" s="40"/>
      <c r="AI202" s="40"/>
      <c r="AJ202" s="119"/>
    </row>
    <row r="203" spans="1:36" ht="11.25" customHeight="1">
      <c r="A203" s="106"/>
      <c r="B203" s="1736"/>
      <c r="C203" s="1736"/>
      <c r="D203" s="1736"/>
      <c r="E203" s="1736"/>
      <c r="F203" s="1736"/>
      <c r="G203" s="1736"/>
      <c r="H203" s="554"/>
      <c r="I203" s="40"/>
      <c r="J203" s="40"/>
      <c r="K203" s="40"/>
      <c r="L203" s="40"/>
      <c r="M203" s="40"/>
      <c r="N203" s="40"/>
      <c r="O203" s="40"/>
      <c r="P203" s="40"/>
      <c r="Q203" s="40"/>
      <c r="R203" s="40"/>
      <c r="S203" s="40"/>
      <c r="T203" s="40"/>
      <c r="U203" s="40"/>
      <c r="V203" s="119"/>
      <c r="W203" s="116"/>
      <c r="X203" s="52"/>
      <c r="Y203" s="52"/>
      <c r="Z203" s="52"/>
      <c r="AA203" s="52"/>
      <c r="AB203" s="52"/>
      <c r="AC203" s="52"/>
      <c r="AD203" s="52"/>
      <c r="AE203" s="52"/>
      <c r="AF203" s="52"/>
      <c r="AG203" s="52"/>
      <c r="AH203" s="40"/>
      <c r="AI203" s="40"/>
      <c r="AJ203" s="119"/>
    </row>
    <row r="204" spans="1:36" ht="11.25" customHeight="1">
      <c r="A204" s="106"/>
      <c r="B204" s="1736"/>
      <c r="C204" s="1736"/>
      <c r="D204" s="1736"/>
      <c r="E204" s="1736"/>
      <c r="F204" s="1736"/>
      <c r="G204" s="1736"/>
      <c r="H204" s="554"/>
      <c r="I204" s="40"/>
      <c r="J204" s="40"/>
      <c r="K204" s="40"/>
      <c r="L204" s="40"/>
      <c r="M204" s="40"/>
      <c r="N204" s="40"/>
      <c r="O204" s="40"/>
      <c r="P204" s="40"/>
      <c r="Q204" s="40"/>
      <c r="R204" s="40"/>
      <c r="S204" s="40"/>
      <c r="T204" s="40"/>
      <c r="U204" s="40"/>
      <c r="V204" s="119"/>
      <c r="W204" s="116"/>
      <c r="X204" s="52"/>
      <c r="Y204" s="52"/>
      <c r="Z204" s="52"/>
      <c r="AA204" s="52"/>
      <c r="AB204" s="52"/>
      <c r="AC204" s="52"/>
      <c r="AD204" s="52"/>
      <c r="AE204" s="52"/>
      <c r="AF204" s="52"/>
      <c r="AG204" s="52"/>
      <c r="AH204" s="40"/>
      <c r="AI204" s="40"/>
      <c r="AJ204" s="119"/>
    </row>
    <row r="205" spans="1:36" ht="11.25" customHeight="1">
      <c r="A205" s="106"/>
      <c r="B205" s="1736"/>
      <c r="C205" s="1736"/>
      <c r="D205" s="1736"/>
      <c r="E205" s="1736"/>
      <c r="F205" s="1736"/>
      <c r="G205" s="1736"/>
      <c r="H205" s="554"/>
      <c r="I205" s="40"/>
      <c r="J205" s="40"/>
      <c r="K205" s="40"/>
      <c r="L205" s="40"/>
      <c r="M205" s="40"/>
      <c r="N205" s="40"/>
      <c r="O205" s="40"/>
      <c r="P205" s="40"/>
      <c r="Q205" s="40"/>
      <c r="R205" s="40"/>
      <c r="S205" s="40"/>
      <c r="T205" s="40"/>
      <c r="U205" s="40"/>
      <c r="V205" s="119"/>
      <c r="W205" s="116"/>
      <c r="X205" s="52"/>
      <c r="Y205" s="52"/>
      <c r="Z205" s="52"/>
      <c r="AA205" s="52"/>
      <c r="AB205" s="52"/>
      <c r="AC205" s="52"/>
      <c r="AD205" s="52"/>
      <c r="AE205" s="52"/>
      <c r="AF205" s="52"/>
      <c r="AG205" s="52"/>
      <c r="AH205" s="40"/>
      <c r="AI205" s="40"/>
      <c r="AJ205" s="119"/>
    </row>
    <row r="206" spans="1:36" ht="11.25" customHeight="1">
      <c r="A206" s="106"/>
      <c r="B206" s="1736"/>
      <c r="C206" s="1736"/>
      <c r="D206" s="1736"/>
      <c r="E206" s="1736"/>
      <c r="F206" s="1736"/>
      <c r="G206" s="1736"/>
      <c r="H206" s="554"/>
      <c r="I206" s="40"/>
      <c r="J206" s="40"/>
      <c r="K206" s="40"/>
      <c r="L206" s="40"/>
      <c r="M206" s="40"/>
      <c r="N206" s="40"/>
      <c r="O206" s="40"/>
      <c r="P206" s="40"/>
      <c r="Q206" s="40"/>
      <c r="R206" s="40"/>
      <c r="S206" s="40"/>
      <c r="T206" s="40"/>
      <c r="U206" s="40"/>
      <c r="V206" s="119"/>
      <c r="W206" s="116"/>
      <c r="X206" s="52"/>
      <c r="Y206" s="52"/>
      <c r="Z206" s="52"/>
      <c r="AA206" s="52"/>
      <c r="AB206" s="52"/>
      <c r="AC206" s="52"/>
      <c r="AD206" s="52"/>
      <c r="AE206" s="52"/>
      <c r="AF206" s="52"/>
      <c r="AG206" s="52"/>
      <c r="AH206" s="40"/>
      <c r="AI206" s="40"/>
      <c r="AJ206" s="119"/>
    </row>
    <row r="207" spans="1:36" ht="11.25" customHeight="1">
      <c r="A207" s="106"/>
      <c r="B207" s="1736"/>
      <c r="C207" s="1736"/>
      <c r="D207" s="1736"/>
      <c r="E207" s="1736"/>
      <c r="F207" s="1736"/>
      <c r="G207" s="1736"/>
      <c r="H207" s="554"/>
      <c r="I207" s="40"/>
      <c r="J207" s="40"/>
      <c r="K207" s="40"/>
      <c r="L207" s="40"/>
      <c r="M207" s="40"/>
      <c r="N207" s="40"/>
      <c r="O207" s="40"/>
      <c r="P207" s="40"/>
      <c r="Q207" s="40"/>
      <c r="R207" s="40"/>
      <c r="S207" s="40"/>
      <c r="T207" s="40"/>
      <c r="U207" s="40"/>
      <c r="V207" s="119"/>
      <c r="W207" s="116"/>
      <c r="X207" s="52"/>
      <c r="Y207" s="52"/>
      <c r="Z207" s="52"/>
      <c r="AA207" s="52"/>
      <c r="AB207" s="52"/>
      <c r="AC207" s="52"/>
      <c r="AD207" s="52"/>
      <c r="AE207" s="52"/>
      <c r="AF207" s="52"/>
      <c r="AG207" s="52"/>
      <c r="AH207" s="40"/>
      <c r="AI207" s="40"/>
      <c r="AJ207" s="119"/>
    </row>
    <row r="208" spans="1:36" ht="11.25" customHeight="1">
      <c r="A208" s="711"/>
      <c r="B208" s="712"/>
      <c r="C208" s="713"/>
      <c r="D208" s="713"/>
      <c r="E208" s="713"/>
      <c r="F208" s="152"/>
      <c r="G208" s="152"/>
      <c r="H208" s="714"/>
      <c r="I208" s="152"/>
      <c r="J208" s="152"/>
      <c r="K208" s="152"/>
      <c r="L208" s="152"/>
      <c r="M208" s="152"/>
      <c r="N208" s="152"/>
      <c r="O208" s="152"/>
      <c r="P208" s="152"/>
      <c r="Q208" s="152"/>
      <c r="R208" s="152"/>
      <c r="S208" s="859"/>
      <c r="T208" s="151"/>
      <c r="U208" s="151"/>
      <c r="V208" s="865"/>
      <c r="W208" s="1315"/>
      <c r="X208" s="52"/>
      <c r="Y208" s="52"/>
      <c r="Z208" s="52"/>
      <c r="AA208" s="52"/>
      <c r="AB208" s="52"/>
      <c r="AC208" s="52"/>
      <c r="AD208" s="52"/>
      <c r="AE208" s="52"/>
      <c r="AF208" s="52"/>
      <c r="AG208" s="52"/>
      <c r="AH208" s="152"/>
      <c r="AI208" s="152"/>
      <c r="AJ208" s="184"/>
    </row>
    <row r="209" spans="25:27" s="52" customFormat="1" ht="11.25" customHeight="1"/>
    <row r="210" spans="25:27" s="52" customFormat="1" ht="11.25" customHeight="1"/>
    <row r="211" spans="25:27" s="52" customFormat="1" ht="11.25" customHeight="1">
      <c r="Y211" s="53"/>
      <c r="Z211" s="53"/>
      <c r="AA211" s="53"/>
    </row>
    <row r="212" spans="25:27" s="52" customFormat="1" ht="11.25" customHeight="1">
      <c r="Y212" s="53"/>
      <c r="Z212" s="53"/>
      <c r="AA212" s="53"/>
    </row>
    <row r="213" spans="25:27" s="52" customFormat="1" ht="11.25" customHeight="1">
      <c r="Y213" s="53"/>
      <c r="Z213" s="53"/>
      <c r="AA213" s="53"/>
    </row>
    <row r="214" spans="25:27" s="52" customFormat="1" ht="11.25" customHeight="1">
      <c r="Y214" s="53"/>
      <c r="Z214" s="53"/>
      <c r="AA214" s="53"/>
    </row>
    <row r="215" spans="25:27" s="52" customFormat="1" ht="11.25" customHeight="1">
      <c r="Y215" s="53"/>
      <c r="Z215" s="53"/>
      <c r="AA215" s="53"/>
    </row>
    <row r="216" spans="25:27" s="52" customFormat="1" ht="11.25" customHeight="1">
      <c r="Y216" s="53"/>
      <c r="Z216" s="53"/>
      <c r="AA216" s="53"/>
    </row>
    <row r="217" spans="25:27" s="52" customFormat="1" ht="11.25" customHeight="1">
      <c r="Y217" s="53"/>
      <c r="Z217" s="53"/>
      <c r="AA217" s="53"/>
    </row>
    <row r="218" spans="25:27" s="52" customFormat="1" ht="11.25" customHeight="1">
      <c r="Y218" s="53"/>
      <c r="Z218" s="53"/>
      <c r="AA218" s="53"/>
    </row>
    <row r="219" spans="25:27" s="52" customFormat="1" ht="11.25" customHeight="1">
      <c r="Y219" s="53"/>
      <c r="Z219" s="53"/>
      <c r="AA219" s="53"/>
    </row>
    <row r="220" spans="25:27" s="52" customFormat="1" ht="11.25" customHeight="1">
      <c r="Y220" s="53"/>
      <c r="Z220" s="53"/>
      <c r="AA220" s="53"/>
    </row>
    <row r="221" spans="25:27" s="52" customFormat="1" ht="11.25" customHeight="1">
      <c r="Y221" s="53"/>
      <c r="Z221" s="53"/>
      <c r="AA221" s="53"/>
    </row>
    <row r="222" spans="25:27" s="52" customFormat="1" ht="11.25" customHeight="1">
      <c r="Y222" s="53"/>
      <c r="Z222" s="53"/>
      <c r="AA222" s="53"/>
    </row>
    <row r="223" spans="25:27" s="52" customFormat="1" ht="11.25" customHeight="1">
      <c r="Y223" s="53"/>
      <c r="Z223" s="53"/>
      <c r="AA223" s="53"/>
    </row>
    <row r="224" spans="25:27" s="52" customFormat="1" ht="11.25" customHeight="1">
      <c r="Y224" s="53"/>
      <c r="Z224" s="53"/>
      <c r="AA224" s="53"/>
    </row>
    <row r="225" spans="10:34" ht="11.25" customHeight="1">
      <c r="J225" s="52"/>
      <c r="V225" s="52"/>
      <c r="W225" s="52"/>
      <c r="X225" s="52"/>
      <c r="Y225" s="53"/>
      <c r="Z225" s="53"/>
      <c r="AA225" s="53"/>
      <c r="AB225" s="52"/>
      <c r="AC225" s="52"/>
      <c r="AD225" s="52"/>
      <c r="AE225" s="52"/>
      <c r="AF225" s="52"/>
      <c r="AG225" s="52"/>
      <c r="AH225" s="52"/>
    </row>
    <row r="226" spans="10:34" ht="11.25" customHeight="1">
      <c r="J226" s="52"/>
      <c r="V226" s="52"/>
      <c r="W226" s="52"/>
      <c r="X226" s="52"/>
      <c r="Y226" s="53"/>
      <c r="Z226" s="53"/>
      <c r="AA226" s="53"/>
      <c r="AB226" s="52"/>
      <c r="AC226" s="52"/>
      <c r="AD226" s="52"/>
      <c r="AE226" s="52"/>
      <c r="AF226" s="52"/>
      <c r="AG226" s="52"/>
      <c r="AH226" s="52"/>
    </row>
    <row r="227" spans="10:34" ht="11.25" customHeight="1">
      <c r="J227" s="52"/>
      <c r="V227" s="52"/>
      <c r="AB227" s="52"/>
      <c r="AC227" s="52"/>
      <c r="AD227" s="52"/>
      <c r="AE227" s="52"/>
      <c r="AF227" s="52"/>
      <c r="AG227" s="52"/>
    </row>
    <row r="228" spans="10:34" ht="11.25" customHeight="1">
      <c r="J228" s="52"/>
      <c r="V228" s="52"/>
      <c r="AB228" s="52"/>
      <c r="AC228" s="52"/>
      <c r="AD228" s="52"/>
      <c r="AE228" s="52"/>
      <c r="AF228" s="52"/>
      <c r="AG228" s="52"/>
    </row>
    <row r="329" spans="37:37" ht="11.25" customHeight="1">
      <c r="AK329" s="52" t="b">
        <v>1</v>
      </c>
    </row>
  </sheetData>
  <sheetProtection sheet="1" objects="1" scenarios="1"/>
  <mergeCells count="59">
    <mergeCell ref="Z8:Z10"/>
    <mergeCell ref="Y8:Y10"/>
    <mergeCell ref="B5:N6"/>
    <mergeCell ref="D7:H7"/>
    <mergeCell ref="I7:I10"/>
    <mergeCell ref="O10:P10"/>
    <mergeCell ref="D8:D9"/>
    <mergeCell ref="H8:H9"/>
    <mergeCell ref="G8:G9"/>
    <mergeCell ref="F8:F9"/>
    <mergeCell ref="E8:E9"/>
    <mergeCell ref="S7:T9"/>
    <mergeCell ref="O8:P9"/>
    <mergeCell ref="N8:N9"/>
    <mergeCell ref="M8:M9"/>
    <mergeCell ref="A102:U102"/>
    <mergeCell ref="Q7:Q10"/>
    <mergeCell ref="B7:B10"/>
    <mergeCell ref="A67:U67"/>
    <mergeCell ref="A68:U68"/>
    <mergeCell ref="K7:P7"/>
    <mergeCell ref="L62:O62"/>
    <mergeCell ref="L8:L9"/>
    <mergeCell ref="Q61:T61"/>
    <mergeCell ref="K8:K9"/>
    <mergeCell ref="A34:U34"/>
    <mergeCell ref="A35:U35"/>
    <mergeCell ref="B200:G201"/>
    <mergeCell ref="AW35:BA35"/>
    <mergeCell ref="AR35:AV35"/>
    <mergeCell ref="AL35:AP35"/>
    <mergeCell ref="AQ35:AQ37"/>
    <mergeCell ref="A136:U136"/>
    <mergeCell ref="B173:B174"/>
    <mergeCell ref="A103:U103"/>
    <mergeCell ref="B107:B108"/>
    <mergeCell ref="B141:B142"/>
    <mergeCell ref="A135:U135"/>
    <mergeCell ref="Q62:T62"/>
    <mergeCell ref="L61:O61"/>
    <mergeCell ref="A169:U169"/>
    <mergeCell ref="A170:U170"/>
    <mergeCell ref="B105:I106"/>
    <mergeCell ref="B202:G203"/>
    <mergeCell ref="B204:G205"/>
    <mergeCell ref="B206:G207"/>
    <mergeCell ref="B175:G176"/>
    <mergeCell ref="B177:G178"/>
    <mergeCell ref="B179:G180"/>
    <mergeCell ref="B181:G182"/>
    <mergeCell ref="B183:G184"/>
    <mergeCell ref="B185:G186"/>
    <mergeCell ref="B187:G187"/>
    <mergeCell ref="B188:G189"/>
    <mergeCell ref="B190:G191"/>
    <mergeCell ref="B192:G193"/>
    <mergeCell ref="B194:G195"/>
    <mergeCell ref="B196:G197"/>
    <mergeCell ref="B198:G199"/>
  </mergeCells>
  <conditionalFormatting sqref="A1:A170">
    <cfRule type="containsErrors" dxfId="605" priority="2">
      <formula>ISERROR(A1)</formula>
    </cfRule>
  </conditionalFormatting>
  <conditionalFormatting sqref="A11:A31">
    <cfRule type="cellIs" dxfId="604" priority="1" operator="equal">
      <formula>0</formula>
    </cfRule>
  </conditionalFormatting>
  <conditionalFormatting sqref="A109:A128">
    <cfRule type="cellIs" dxfId="603" priority="61" operator="equal">
      <formula>0</formula>
    </cfRule>
  </conditionalFormatting>
  <conditionalFormatting sqref="A143:A163">
    <cfRule type="cellIs" dxfId="602" priority="3" operator="equal">
      <formula>0</formula>
    </cfRule>
  </conditionalFormatting>
  <conditionalFormatting sqref="A229:A1048576">
    <cfRule type="containsErrors" dxfId="601" priority="59">
      <formula>ISERROR(A229)</formula>
    </cfRule>
  </conditionalFormatting>
  <conditionalFormatting sqref="B11:B29 D11:H29 K11:O29 S11:T29 AF11:AF29 B48:C63 B109:B127 D109:H127 B143:B161 D143:H161">
    <cfRule type="containsErrors" dxfId="600" priority="92">
      <formula>ISERROR(B11)</formula>
    </cfRule>
  </conditionalFormatting>
  <conditionalFormatting sqref="B11:B29 D11:I29 K11:O29 S11:T29 P11:Q30 P31 B48:C63 B109:B127 D109:H127 B143:B161 D143:H161">
    <cfRule type="expression" dxfId="599" priority="3536">
      <formula>$B11=$Y$4</formula>
    </cfRule>
  </conditionalFormatting>
  <conditionalFormatting sqref="B30 B128:B129 B162:B163">
    <cfRule type="expression" dxfId="598" priority="3533" stopIfTrue="1">
      <formula>$B30=$Y$4</formula>
    </cfRule>
  </conditionalFormatting>
  <conditionalFormatting sqref="B31:O31">
    <cfRule type="containsErrors" dxfId="597" priority="21">
      <formula>ISERROR(B31)</formula>
    </cfRule>
  </conditionalFormatting>
  <conditionalFormatting sqref="D8:H8 Y106:AC106 AE106:AI106 Y141:AC141">
    <cfRule type="containsErrors" dxfId="596" priority="37">
      <formula>ISERROR(D8)</formula>
    </cfRule>
  </conditionalFormatting>
  <conditionalFormatting sqref="D10:H10 I11:I29 Q11:Q29 Y107:AC107 AE107:AI107 Y142:AC142">
    <cfRule type="containsErrors" dxfId="595" priority="90">
      <formula>ISERROR(D10)</formula>
    </cfRule>
  </conditionalFormatting>
  <conditionalFormatting sqref="D107:H107">
    <cfRule type="containsErrors" dxfId="594" priority="32">
      <formula>ISERROR(D107)</formula>
    </cfRule>
  </conditionalFormatting>
  <conditionalFormatting sqref="D108:H108">
    <cfRule type="containsErrors" dxfId="593" priority="33">
      <formula>ISERROR(D108)</formula>
    </cfRule>
  </conditionalFormatting>
  <conditionalFormatting sqref="D129:H129">
    <cfRule type="containsErrors" dxfId="592" priority="6">
      <formula>ISERROR(D129)</formula>
    </cfRule>
  </conditionalFormatting>
  <conditionalFormatting sqref="D141:H141">
    <cfRule type="containsErrors" dxfId="591" priority="30">
      <formula>ISERROR(D141)</formula>
    </cfRule>
  </conditionalFormatting>
  <conditionalFormatting sqref="D142:H142">
    <cfRule type="containsErrors" dxfId="590" priority="31">
      <formula>ISERROR(D142)</formula>
    </cfRule>
  </conditionalFormatting>
  <conditionalFormatting sqref="D163:H163">
    <cfRule type="containsErrors" dxfId="589" priority="5">
      <formula>ISERROR(D163)</formula>
    </cfRule>
  </conditionalFormatting>
  <conditionalFormatting sqref="D30:I30 K30:O30 Q30 D128:H128 D162:H162">
    <cfRule type="containsErrors" dxfId="588" priority="42">
      <formula>ISERROR(D30)</formula>
    </cfRule>
  </conditionalFormatting>
  <conditionalFormatting sqref="K8:O8 K10:O10">
    <cfRule type="containsErrors" dxfId="587" priority="93">
      <formula>ISERROR(K8)</formula>
    </cfRule>
  </conditionalFormatting>
  <conditionalFormatting sqref="P11:P31">
    <cfRule type="containsErrors" dxfId="586" priority="3530">
      <formula>ISERROR(P11)</formula>
    </cfRule>
    <cfRule type="dataBar" priority="3531">
      <dataBar showValue="0">
        <cfvo type="min"/>
        <cfvo type="max"/>
        <color theme="9"/>
      </dataBar>
      <extLst>
        <ext xmlns:x14="http://schemas.microsoft.com/office/spreadsheetml/2009/9/main" uri="{B025F937-C7B1-47D3-B67F-A62EFF666E3E}">
          <x14:id>{88103D56-1589-4710-8C9C-228A0803790D}</x14:id>
        </ext>
      </extLst>
    </cfRule>
  </conditionalFormatting>
  <conditionalFormatting sqref="P30:P31">
    <cfRule type="containsErrors" dxfId="585" priority="19">
      <formula>ISERROR(P30)</formula>
    </cfRule>
  </conditionalFormatting>
  <conditionalFormatting sqref="Q31:T31">
    <cfRule type="containsErrors" dxfId="584" priority="9">
      <formula>ISERROR(Q31)</formula>
    </cfRule>
  </conditionalFormatting>
  <conditionalFormatting sqref="S30:T30">
    <cfRule type="containsErrors" dxfId="583" priority="10">
      <formula>ISERROR(S30)</formula>
    </cfRule>
  </conditionalFormatting>
  <conditionalFormatting sqref="X2:AC3">
    <cfRule type="containsErrors" dxfId="582" priority="7">
      <formula>ISERROR(X2)</formula>
    </cfRule>
  </conditionalFormatting>
  <conditionalFormatting sqref="AA10:AE10">
    <cfRule type="cellIs" dxfId="581" priority="84" stopIfTrue="1" operator="equal">
      <formula>0</formula>
    </cfRule>
  </conditionalFormatting>
  <conditionalFormatting sqref="AF11:AF22">
    <cfRule type="expression" dxfId="580" priority="45">
      <formula>$B11=$W$4</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3" manualBreakCount="3">
    <brk id="35" max="20" man="1"/>
    <brk id="68" max="20" man="1"/>
    <brk id="136" max="20" man="1"/>
  </rowBreaks>
  <ignoredErrors>
    <ignoredError sqref="D10:O10 D7:H7 J7:K7 D107:H108 D142:H142 D8:O8"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macro="[0]!CheckBox1_Click" altText="">
                <anchor>
                  <from>
                    <xdr:col>22</xdr:col>
                    <xdr:colOff>95250</xdr:colOff>
                    <xdr:row>36</xdr:row>
                    <xdr:rowOff>9525</xdr:rowOff>
                  </from>
                  <to>
                    <xdr:col>35</xdr:col>
                    <xdr:colOff>66675</xdr:colOff>
                    <xdr:row>37</xdr:row>
                    <xdr:rowOff>161925</xdr:rowOff>
                  </to>
                </anchor>
              </controlPr>
            </control>
          </mc:Choice>
        </mc:AlternateContent>
        <mc:AlternateContent xmlns:mc="http://schemas.openxmlformats.org/markup-compatibility/2006">
          <mc:Choice Requires="x14">
            <control shapeId="34818" r:id="rId5" name="Check Box 2">
              <controlPr defaultSize="0" autoFill="0" autoLine="0" autoPict="0" macro="[0]!CheckBox1_Click" altText="">
                <anchor>
                  <from>
                    <xdr:col>22</xdr:col>
                    <xdr:colOff>95250</xdr:colOff>
                    <xdr:row>37</xdr:row>
                    <xdr:rowOff>123825</xdr:rowOff>
                  </from>
                  <to>
                    <xdr:col>35</xdr:col>
                    <xdr:colOff>66675</xdr:colOff>
                    <xdr:row>38</xdr:row>
                    <xdr:rowOff>161925</xdr:rowOff>
                  </to>
                </anchor>
              </controlPr>
            </control>
          </mc:Choice>
        </mc:AlternateContent>
        <mc:AlternateContent xmlns:mc="http://schemas.openxmlformats.org/markup-compatibility/2006">
          <mc:Choice Requires="x14">
            <control shapeId="34819" r:id="rId6" name="Check Box 3">
              <controlPr defaultSize="0" autoFill="0" autoLine="0" autoPict="0" macro="[0]!CheckBox1_Click" altText="">
                <anchor>
                  <from>
                    <xdr:col>22</xdr:col>
                    <xdr:colOff>95250</xdr:colOff>
                    <xdr:row>38</xdr:row>
                    <xdr:rowOff>123825</xdr:rowOff>
                  </from>
                  <to>
                    <xdr:col>35</xdr:col>
                    <xdr:colOff>66675</xdr:colOff>
                    <xdr:row>39</xdr:row>
                    <xdr:rowOff>161925</xdr:rowOff>
                  </to>
                </anchor>
              </controlPr>
            </control>
          </mc:Choice>
        </mc:AlternateContent>
        <mc:AlternateContent xmlns:mc="http://schemas.openxmlformats.org/markup-compatibility/2006">
          <mc:Choice Requires="x14">
            <control shapeId="34820" r:id="rId7" name="Check Box 4">
              <controlPr defaultSize="0" autoFill="0" autoLine="0" autoPict="0" macro="[0]!CheckBox1_Click" altText="">
                <anchor>
                  <from>
                    <xdr:col>22</xdr:col>
                    <xdr:colOff>95250</xdr:colOff>
                    <xdr:row>39</xdr:row>
                    <xdr:rowOff>123825</xdr:rowOff>
                  </from>
                  <to>
                    <xdr:col>35</xdr:col>
                    <xdr:colOff>66675</xdr:colOff>
                    <xdr:row>40</xdr:row>
                    <xdr:rowOff>161925</xdr:rowOff>
                  </to>
                </anchor>
              </controlPr>
            </control>
          </mc:Choice>
        </mc:AlternateContent>
        <mc:AlternateContent xmlns:mc="http://schemas.openxmlformats.org/markup-compatibility/2006">
          <mc:Choice Requires="x14">
            <control shapeId="34821" r:id="rId8" name="Check Box 5">
              <controlPr defaultSize="0" autoFill="0" autoLine="0" autoPict="0" macro="[0]!CheckBox1_Click" altText="">
                <anchor>
                  <from>
                    <xdr:col>22</xdr:col>
                    <xdr:colOff>95250</xdr:colOff>
                    <xdr:row>40</xdr:row>
                    <xdr:rowOff>123825</xdr:rowOff>
                  </from>
                  <to>
                    <xdr:col>35</xdr:col>
                    <xdr:colOff>66675</xdr:colOff>
                    <xdr:row>41</xdr:row>
                    <xdr:rowOff>161925</xdr:rowOff>
                  </to>
                </anchor>
              </controlPr>
            </control>
          </mc:Choice>
        </mc:AlternateContent>
        <mc:AlternateContent xmlns:mc="http://schemas.openxmlformats.org/markup-compatibility/2006">
          <mc:Choice Requires="x14">
            <control shapeId="34822" r:id="rId9" name="Check Box 6">
              <controlPr defaultSize="0" autoFill="0" autoLine="0" autoPict="0" macro="[0]!CheckBox1_Click" altText="">
                <anchor>
                  <from>
                    <xdr:col>22</xdr:col>
                    <xdr:colOff>95250</xdr:colOff>
                    <xdr:row>41</xdr:row>
                    <xdr:rowOff>123825</xdr:rowOff>
                  </from>
                  <to>
                    <xdr:col>35</xdr:col>
                    <xdr:colOff>66675</xdr:colOff>
                    <xdr:row>42</xdr:row>
                    <xdr:rowOff>161925</xdr:rowOff>
                  </to>
                </anchor>
              </controlPr>
            </control>
          </mc:Choice>
        </mc:AlternateContent>
        <mc:AlternateContent xmlns:mc="http://schemas.openxmlformats.org/markup-compatibility/2006">
          <mc:Choice Requires="x14">
            <control shapeId="34823" r:id="rId10" name="Check Box 7">
              <controlPr defaultSize="0" autoFill="0" autoLine="0" autoPict="0" macro="[0]!CheckBox1_Click" altText="">
                <anchor>
                  <from>
                    <xdr:col>22</xdr:col>
                    <xdr:colOff>95250</xdr:colOff>
                    <xdr:row>42</xdr:row>
                    <xdr:rowOff>123825</xdr:rowOff>
                  </from>
                  <to>
                    <xdr:col>35</xdr:col>
                    <xdr:colOff>66675</xdr:colOff>
                    <xdr:row>43</xdr:row>
                    <xdr:rowOff>161925</xdr:rowOff>
                  </to>
                </anchor>
              </controlPr>
            </control>
          </mc:Choice>
        </mc:AlternateContent>
        <mc:AlternateContent xmlns:mc="http://schemas.openxmlformats.org/markup-compatibility/2006">
          <mc:Choice Requires="x14">
            <control shapeId="34824" r:id="rId11" name="Check Box 8">
              <controlPr defaultSize="0" autoFill="0" autoLine="0" autoPict="0" macro="[0]!CheckBox1_Click" altText="">
                <anchor>
                  <from>
                    <xdr:col>22</xdr:col>
                    <xdr:colOff>95250</xdr:colOff>
                    <xdr:row>43</xdr:row>
                    <xdr:rowOff>123825</xdr:rowOff>
                  </from>
                  <to>
                    <xdr:col>35</xdr:col>
                    <xdr:colOff>66675</xdr:colOff>
                    <xdr:row>44</xdr:row>
                    <xdr:rowOff>161925</xdr:rowOff>
                  </to>
                </anchor>
              </controlPr>
            </control>
          </mc:Choice>
        </mc:AlternateContent>
        <mc:AlternateContent xmlns:mc="http://schemas.openxmlformats.org/markup-compatibility/2006">
          <mc:Choice Requires="x14">
            <control shapeId="34825" r:id="rId12" name="Check Box 9">
              <controlPr defaultSize="0" autoFill="0" autoLine="0" autoPict="0" macro="[0]!CheckBox1_Click" altText="">
                <anchor>
                  <from>
                    <xdr:col>22</xdr:col>
                    <xdr:colOff>95250</xdr:colOff>
                    <xdr:row>44</xdr:row>
                    <xdr:rowOff>123825</xdr:rowOff>
                  </from>
                  <to>
                    <xdr:col>35</xdr:col>
                    <xdr:colOff>66675</xdr:colOff>
                    <xdr:row>45</xdr:row>
                    <xdr:rowOff>161925</xdr:rowOff>
                  </to>
                </anchor>
              </controlPr>
            </control>
          </mc:Choice>
        </mc:AlternateContent>
        <mc:AlternateContent xmlns:mc="http://schemas.openxmlformats.org/markup-compatibility/2006">
          <mc:Choice Requires="x14">
            <control shapeId="34826" r:id="rId13" name="Check Box 10">
              <controlPr defaultSize="0" autoFill="0" autoLine="0" autoPict="0" macro="[0]!CheckBox1_Click" altText="">
                <anchor>
                  <from>
                    <xdr:col>22</xdr:col>
                    <xdr:colOff>95250</xdr:colOff>
                    <xdr:row>45</xdr:row>
                    <xdr:rowOff>123825</xdr:rowOff>
                  </from>
                  <to>
                    <xdr:col>35</xdr:col>
                    <xdr:colOff>66675</xdr:colOff>
                    <xdr:row>46</xdr:row>
                    <xdr:rowOff>161925</xdr:rowOff>
                  </to>
                </anchor>
              </controlPr>
            </control>
          </mc:Choice>
        </mc:AlternateContent>
        <mc:AlternateContent xmlns:mc="http://schemas.openxmlformats.org/markup-compatibility/2006">
          <mc:Choice Requires="x14">
            <control shapeId="34827" r:id="rId14" name="Check Box 11">
              <controlPr defaultSize="0" autoFill="0" autoLine="0" autoPict="0" macro="[0]!CheckBox1_Click" altText="">
                <anchor>
                  <from>
                    <xdr:col>22</xdr:col>
                    <xdr:colOff>95250</xdr:colOff>
                    <xdr:row>46</xdr:row>
                    <xdr:rowOff>123825</xdr:rowOff>
                  </from>
                  <to>
                    <xdr:col>35</xdr:col>
                    <xdr:colOff>66675</xdr:colOff>
                    <xdr:row>47</xdr:row>
                    <xdr:rowOff>161925</xdr:rowOff>
                  </to>
                </anchor>
              </controlPr>
            </control>
          </mc:Choice>
        </mc:AlternateContent>
        <mc:AlternateContent xmlns:mc="http://schemas.openxmlformats.org/markup-compatibility/2006">
          <mc:Choice Requires="x14">
            <control shapeId="34828" r:id="rId15" name="Check Box 12">
              <controlPr defaultSize="0" autoFill="0" autoLine="0" autoPict="0" macro="[0]!CheckBox1_Click" altText="">
                <anchor>
                  <from>
                    <xdr:col>22</xdr:col>
                    <xdr:colOff>95250</xdr:colOff>
                    <xdr:row>47</xdr:row>
                    <xdr:rowOff>123825</xdr:rowOff>
                  </from>
                  <to>
                    <xdr:col>35</xdr:col>
                    <xdr:colOff>66675</xdr:colOff>
                    <xdr:row>48</xdr:row>
                    <xdr:rowOff>161925</xdr:rowOff>
                  </to>
                </anchor>
              </controlPr>
            </control>
          </mc:Choice>
        </mc:AlternateContent>
        <mc:AlternateContent xmlns:mc="http://schemas.openxmlformats.org/markup-compatibility/2006">
          <mc:Choice Requires="x14">
            <control shapeId="34829" r:id="rId16" name="Check Box 13">
              <controlPr defaultSize="0" autoFill="0" autoLine="0" autoPict="0" macro="[0]!CheckBox1_Click" altText="">
                <anchor>
                  <from>
                    <xdr:col>22</xdr:col>
                    <xdr:colOff>95250</xdr:colOff>
                    <xdr:row>48</xdr:row>
                    <xdr:rowOff>123825</xdr:rowOff>
                  </from>
                  <to>
                    <xdr:col>35</xdr:col>
                    <xdr:colOff>66675</xdr:colOff>
                    <xdr:row>49</xdr:row>
                    <xdr:rowOff>161925</xdr:rowOff>
                  </to>
                </anchor>
              </controlPr>
            </control>
          </mc:Choice>
        </mc:AlternateContent>
        <mc:AlternateContent xmlns:mc="http://schemas.openxmlformats.org/markup-compatibility/2006">
          <mc:Choice Requires="x14">
            <control shapeId="34831" r:id="rId17" name="Check Box 15">
              <controlPr defaultSize="0" autoFill="0" autoLine="0" autoPict="0" macro="[0]!CheckBox1_Click" altText="">
                <anchor>
                  <from>
                    <xdr:col>22</xdr:col>
                    <xdr:colOff>95250</xdr:colOff>
                    <xdr:row>49</xdr:row>
                    <xdr:rowOff>123825</xdr:rowOff>
                  </from>
                  <to>
                    <xdr:col>35</xdr:col>
                    <xdr:colOff>66675</xdr:colOff>
                    <xdr:row>50</xdr:row>
                    <xdr:rowOff>161925</xdr:rowOff>
                  </to>
                </anchor>
              </controlPr>
            </control>
          </mc:Choice>
        </mc:AlternateContent>
        <mc:AlternateContent xmlns:mc="http://schemas.openxmlformats.org/markup-compatibility/2006">
          <mc:Choice Requires="x14">
            <control shapeId="34832" r:id="rId18" name="Check Box 16">
              <controlPr defaultSize="0" autoFill="0" autoLine="0" autoPict="0" macro="[0]!CheckBox1_Click" altText="">
                <anchor>
                  <from>
                    <xdr:col>22</xdr:col>
                    <xdr:colOff>95250</xdr:colOff>
                    <xdr:row>50</xdr:row>
                    <xdr:rowOff>123825</xdr:rowOff>
                  </from>
                  <to>
                    <xdr:col>35</xdr:col>
                    <xdr:colOff>66675</xdr:colOff>
                    <xdr:row>51</xdr:row>
                    <xdr:rowOff>161925</xdr:rowOff>
                  </to>
                </anchor>
              </controlPr>
            </control>
          </mc:Choice>
        </mc:AlternateContent>
        <mc:AlternateContent xmlns:mc="http://schemas.openxmlformats.org/markup-compatibility/2006">
          <mc:Choice Requires="x14">
            <control shapeId="34833" r:id="rId19" name="Check Box 17">
              <controlPr defaultSize="0" autoFill="0" autoLine="0" autoPict="0" macro="[0]!CheckBox1_Click" altText="">
                <anchor>
                  <from>
                    <xdr:col>22</xdr:col>
                    <xdr:colOff>95250</xdr:colOff>
                    <xdr:row>51</xdr:row>
                    <xdr:rowOff>123825</xdr:rowOff>
                  </from>
                  <to>
                    <xdr:col>35</xdr:col>
                    <xdr:colOff>66675</xdr:colOff>
                    <xdr:row>52</xdr:row>
                    <xdr:rowOff>161925</xdr:rowOff>
                  </to>
                </anchor>
              </controlPr>
            </control>
          </mc:Choice>
        </mc:AlternateContent>
        <mc:AlternateContent xmlns:mc="http://schemas.openxmlformats.org/markup-compatibility/2006">
          <mc:Choice Requires="x14">
            <control shapeId="34834" r:id="rId20" name="Check Box 18">
              <controlPr defaultSize="0" autoFill="0" autoLine="0" autoPict="0" macro="[0]!CheckBox1_Click" altText="">
                <anchor>
                  <from>
                    <xdr:col>22</xdr:col>
                    <xdr:colOff>95250</xdr:colOff>
                    <xdr:row>52</xdr:row>
                    <xdr:rowOff>123825</xdr:rowOff>
                  </from>
                  <to>
                    <xdr:col>35</xdr:col>
                    <xdr:colOff>66675</xdr:colOff>
                    <xdr:row>53</xdr:row>
                    <xdr:rowOff>161925</xdr:rowOff>
                  </to>
                </anchor>
              </controlPr>
            </control>
          </mc:Choice>
        </mc:AlternateContent>
        <mc:AlternateContent xmlns:mc="http://schemas.openxmlformats.org/markup-compatibility/2006">
          <mc:Choice Requires="x14">
            <control shapeId="34835" r:id="rId21" name="Check Box 19">
              <controlPr defaultSize="0" autoFill="0" autoLine="0" autoPict="0" macro="[0]!CheckBox1_Click" altText="">
                <anchor>
                  <from>
                    <xdr:col>22</xdr:col>
                    <xdr:colOff>95250</xdr:colOff>
                    <xdr:row>53</xdr:row>
                    <xdr:rowOff>123825</xdr:rowOff>
                  </from>
                  <to>
                    <xdr:col>35</xdr:col>
                    <xdr:colOff>66675</xdr:colOff>
                    <xdr:row>54</xdr:row>
                    <xdr:rowOff>161925</xdr:rowOff>
                  </to>
                </anchor>
              </controlPr>
            </control>
          </mc:Choice>
        </mc:AlternateContent>
        <mc:AlternateContent xmlns:mc="http://schemas.openxmlformats.org/markup-compatibility/2006">
          <mc:Choice Requires="x14">
            <control shapeId="34836" r:id="rId22" name="Check Box 20">
              <controlPr defaultSize="0" autoFill="0" autoLine="0" autoPict="0" macro="[0]!CheckBox1_Click" altText="">
                <anchor>
                  <from>
                    <xdr:col>22</xdr:col>
                    <xdr:colOff>95250</xdr:colOff>
                    <xdr:row>54</xdr:row>
                    <xdr:rowOff>123825</xdr:rowOff>
                  </from>
                  <to>
                    <xdr:col>35</xdr:col>
                    <xdr:colOff>66675</xdr:colOff>
                    <xdr:row>55</xdr:row>
                    <xdr:rowOff>161925</xdr:rowOff>
                  </to>
                </anchor>
              </controlPr>
            </control>
          </mc:Choice>
        </mc:AlternateContent>
        <mc:AlternateContent xmlns:mc="http://schemas.openxmlformats.org/markup-compatibility/2006">
          <mc:Choice Requires="x14">
            <control shapeId="34837" r:id="rId23" name="Check Box 21">
              <controlPr defaultSize="0" autoFill="0" autoLine="0" autoPict="0" macro="[0]!CheckBox1_Click" altText="">
                <anchor>
                  <from>
                    <xdr:col>22</xdr:col>
                    <xdr:colOff>95250</xdr:colOff>
                    <xdr:row>55</xdr:row>
                    <xdr:rowOff>123825</xdr:rowOff>
                  </from>
                  <to>
                    <xdr:col>35</xdr:col>
                    <xdr:colOff>66675</xdr:colOff>
                    <xdr:row>56</xdr:row>
                    <xdr:rowOff>161925</xdr:rowOff>
                  </to>
                </anchor>
              </controlPr>
            </control>
          </mc:Choice>
        </mc:AlternateContent>
        <mc:AlternateContent xmlns:mc="http://schemas.openxmlformats.org/markup-compatibility/2006">
          <mc:Choice Requires="x14">
            <control shapeId="34840" r:id="rId24" name="Check Box 24">
              <controlPr defaultSize="0" autoFill="0" autoLine="0" autoPict="0" macro="[0]!CheckBox1_Click" altText="">
                <anchor>
                  <from>
                    <xdr:col>22</xdr:col>
                    <xdr:colOff>95250</xdr:colOff>
                    <xdr:row>56</xdr:row>
                    <xdr:rowOff>123825</xdr:rowOff>
                  </from>
                  <to>
                    <xdr:col>35</xdr:col>
                    <xdr:colOff>66675</xdr:colOff>
                    <xdr:row>57</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88103D56-1589-4710-8C9C-228A0803790D}">
            <x14:dataBar minLength="0" maxLength="100" gradient="0" negativeBarColorSameAsPositive="1">
              <x14:cfvo type="autoMin"/>
              <x14:cfvo type="autoMax"/>
              <x14:axisColor rgb="FF000000"/>
            </x14:dataBar>
          </x14:cfRule>
          <xm:sqref>P11:P31</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FFC000"/>
  </sheetPr>
  <dimension ref="A1:ED200"/>
  <sheetViews>
    <sheetView showGridLines="0" showRowColHeaders="0" workbookViewId="0"/>
  </sheetViews>
  <sheetFormatPr defaultColWidth="9.140625" defaultRowHeight="11.25" customHeight="1"/>
  <cols>
    <col min="1" max="1" width="2.140625" style="52" customWidth="1"/>
    <col min="2" max="2" width="19.42578125" style="52" customWidth="1"/>
    <col min="3" max="3" width="1.42578125" style="52" customWidth="1"/>
    <col min="4" max="14" width="5.42578125" style="52" customWidth="1"/>
    <col min="15" max="15" width="5.42578125" customWidth="1"/>
    <col min="16" max="22" width="5.42578125" style="52" customWidth="1"/>
    <col min="23" max="23" width="5.5703125" style="52" customWidth="1"/>
    <col min="24" max="24" width="3.85546875" style="52" customWidth="1"/>
    <col min="25" max="25" width="2.140625" style="52" customWidth="1"/>
    <col min="26" max="26" width="6.42578125" style="55" customWidth="1"/>
    <col min="27" max="27" width="4.85546875" style="55" hidden="1" customWidth="1"/>
    <col min="28" max="28" width="17" style="56" hidden="1" customWidth="1"/>
    <col min="29" max="29" width="11.5703125" style="56" hidden="1" customWidth="1"/>
    <col min="30" max="30" width="30.42578125" style="56" hidden="1" customWidth="1"/>
    <col min="31" max="38" width="6.42578125" style="56" hidden="1" customWidth="1"/>
    <col min="39" max="53" width="6.42578125" style="52" hidden="1" customWidth="1"/>
    <col min="54" max="54" width="7" style="52" hidden="1" customWidth="1"/>
    <col min="55" max="55" width="17" style="52" hidden="1" customWidth="1"/>
    <col min="56" max="77" width="6.42578125" style="52" hidden="1" customWidth="1"/>
    <col min="78" max="132" width="6.5703125" style="52" hidden="1" customWidth="1"/>
    <col min="133" max="134" width="9.140625" style="52" customWidth="1"/>
    <col min="135" max="16384" width="9.140625" style="52"/>
  </cols>
  <sheetData>
    <row r="1" spans="1:55" ht="18.75" customHeight="1" thickBot="1">
      <c r="A1" s="81"/>
      <c r="B1" s="82"/>
      <c r="C1" s="82"/>
      <c r="D1" s="82"/>
      <c r="E1" s="82"/>
      <c r="F1" s="82"/>
      <c r="G1" s="82"/>
      <c r="H1" s="82"/>
      <c r="I1" s="82"/>
      <c r="J1" s="82"/>
      <c r="K1" s="82"/>
      <c r="L1" s="82"/>
      <c r="M1" s="82"/>
      <c r="N1" s="82"/>
      <c r="O1" s="83"/>
      <c r="P1" s="82"/>
      <c r="Q1" s="82"/>
      <c r="R1" s="82"/>
      <c r="S1" s="82"/>
      <c r="T1" s="82"/>
      <c r="U1" s="82"/>
      <c r="V1" s="82"/>
      <c r="W1" s="82"/>
      <c r="X1" s="82"/>
      <c r="Y1" s="84"/>
      <c r="Z1" s="207"/>
      <c r="AA1" s="798"/>
      <c r="AB1" s="135"/>
      <c r="AC1" s="135"/>
      <c r="AD1" s="135"/>
      <c r="AE1" s="135"/>
      <c r="AF1" s="135"/>
      <c r="AG1" s="135"/>
      <c r="AH1" s="135"/>
      <c r="AI1" s="135"/>
      <c r="AJ1" s="135"/>
      <c r="AK1" s="135"/>
      <c r="AL1" s="135"/>
      <c r="AM1" s="136"/>
      <c r="AN1" s="137"/>
    </row>
    <row r="2" spans="1:55" ht="18.75" customHeight="1">
      <c r="A2" s="208"/>
      <c r="B2" s="888" t="s">
        <v>66</v>
      </c>
      <c r="C2" s="5"/>
      <c r="D2" s="5"/>
      <c r="E2" s="5"/>
      <c r="F2" s="5"/>
      <c r="G2" s="5"/>
      <c r="H2" s="5"/>
      <c r="I2" s="5"/>
      <c r="J2" s="5"/>
      <c r="K2" s="5"/>
      <c r="L2" s="5"/>
      <c r="M2" s="5"/>
      <c r="N2" s="5"/>
      <c r="O2" s="1"/>
      <c r="P2" s="5"/>
      <c r="Q2" s="5"/>
      <c r="R2" s="5"/>
      <c r="S2" s="5"/>
      <c r="T2" s="5"/>
      <c r="U2" s="5"/>
      <c r="V2" s="5"/>
      <c r="W2" s="5"/>
      <c r="X2" s="5"/>
      <c r="Y2" s="86"/>
      <c r="Z2" s="122"/>
      <c r="AA2" s="138"/>
      <c r="AB2" s="483">
        <f>IF(ReportData!$C$3="Annual",1,4)</f>
        <v>1</v>
      </c>
      <c r="AC2" s="461" t="str">
        <f>IF(ReportData!$C$3="Annual","",ReportData!$D$28)</f>
        <v/>
      </c>
      <c r="AD2" s="462" t="str">
        <f>IF(ReportData!$C$3="Annual","",ReportData!$E$28)</f>
        <v/>
      </c>
      <c r="AE2" s="462" t="str">
        <f>IF(ReportData!$C$3="Annual","",ReportData!$F$28)</f>
        <v/>
      </c>
      <c r="AF2" s="462" t="str">
        <f>IF(ReportData!$C$3="Annual","",ReportData!$G$28)</f>
        <v/>
      </c>
      <c r="AG2" s="463" t="str">
        <f>IF(ReportData!$C$3="Annual","",ReportData!$H$28)</f>
        <v/>
      </c>
      <c r="AN2" s="139"/>
    </row>
    <row r="3" spans="1:55" ht="18.75" customHeight="1" thickBot="1">
      <c r="A3" s="1118"/>
      <c r="B3" s="1119"/>
      <c r="C3" s="1119"/>
      <c r="D3" s="1119"/>
      <c r="E3" s="1119"/>
      <c r="F3" s="1119"/>
      <c r="G3" s="1119"/>
      <c r="H3" s="1119"/>
      <c r="I3" s="1119"/>
      <c r="J3" s="1119"/>
      <c r="K3" s="1119"/>
      <c r="L3" s="1119"/>
      <c r="M3" s="1119"/>
      <c r="N3" s="1119"/>
      <c r="O3" s="1120"/>
      <c r="P3" s="1119"/>
      <c r="Q3" s="1119"/>
      <c r="R3" s="1119"/>
      <c r="S3" s="1119"/>
      <c r="T3" s="1119"/>
      <c r="U3" s="1119"/>
      <c r="V3" s="1119"/>
      <c r="W3" s="1119"/>
      <c r="X3" s="1119"/>
      <c r="Y3" s="599"/>
      <c r="Z3" s="122"/>
      <c r="AA3" s="138"/>
      <c r="AB3" s="464"/>
      <c r="AC3" s="464" t="str">
        <f>ReportData!$D$27</f>
        <v>2019/20</v>
      </c>
      <c r="AD3" s="465" t="str">
        <f>ReportData!$E$27</f>
        <v>2020/21</v>
      </c>
      <c r="AE3" s="465" t="str">
        <f>ReportData!$F$27</f>
        <v>2021/22</v>
      </c>
      <c r="AF3" s="465" t="str">
        <f>ReportData!$G$27</f>
        <v>2022/23</v>
      </c>
      <c r="AG3" s="466" t="str">
        <f>ReportData!$H$27</f>
        <v>2023/24</v>
      </c>
      <c r="AN3" s="139"/>
    </row>
    <row r="4" spans="1:55" ht="11.45" customHeight="1">
      <c r="A4" s="81"/>
      <c r="B4" s="82"/>
      <c r="C4" s="82"/>
      <c r="D4" s="82"/>
      <c r="E4" s="82"/>
      <c r="F4" s="82"/>
      <c r="G4" s="82"/>
      <c r="H4" s="82"/>
      <c r="I4" s="82"/>
      <c r="J4" s="82"/>
      <c r="K4" s="82"/>
      <c r="L4" s="82"/>
      <c r="M4" s="82"/>
      <c r="N4" s="82"/>
      <c r="O4" s="83"/>
      <c r="P4" s="82"/>
      <c r="Q4" s="82"/>
      <c r="R4" s="82"/>
      <c r="S4" s="82"/>
      <c r="T4" s="82"/>
      <c r="U4" s="82"/>
      <c r="V4" s="82"/>
      <c r="W4" s="82"/>
      <c r="X4" s="82"/>
      <c r="Y4" s="84"/>
      <c r="Z4" s="119"/>
      <c r="AA4" s="138"/>
      <c r="AB4" s="140"/>
      <c r="AC4" s="54" t="str">
        <f>Home!$D$5</f>
        <v>(none)</v>
      </c>
      <c r="AD4" s="25" t="str">
        <f>"Selected LA- "&amp;AC4</f>
        <v>Selected LA- (none)</v>
      </c>
      <c r="AN4" s="139"/>
    </row>
    <row r="5" spans="1:55" ht="18.75" customHeight="1">
      <c r="A5" s="208"/>
      <c r="B5" s="1855" t="str">
        <f>AB8&amp;" of Referrals from each Source "&amp;Frontpage!J5&amp;" [RIIA20202-20212]"</f>
        <v>Proportion (%) of Referrals from each Source 2023-24 [RIIA20202-20212]</v>
      </c>
      <c r="C5" s="1855"/>
      <c r="D5" s="1855"/>
      <c r="E5" s="1855"/>
      <c r="F5" s="1855"/>
      <c r="G5" s="1855"/>
      <c r="H5" s="1855"/>
      <c r="I5" s="1855"/>
      <c r="J5" s="1855"/>
      <c r="K5" s="1855"/>
      <c r="L5" s="1855"/>
      <c r="M5" s="1855"/>
      <c r="N5" s="1855"/>
      <c r="O5" s="1855"/>
      <c r="P5" s="1855"/>
      <c r="Q5" s="1855"/>
      <c r="R5" s="1855"/>
      <c r="S5" s="1855"/>
      <c r="T5" s="1855"/>
      <c r="U5" s="1855"/>
      <c r="V5" s="1855"/>
      <c r="W5" s="1855"/>
      <c r="X5" s="50"/>
      <c r="Y5" s="86"/>
      <c r="Z5" s="119"/>
      <c r="AA5" s="138"/>
      <c r="AB5" s="520" t="s">
        <v>84</v>
      </c>
      <c r="AC5" s="52"/>
      <c r="AD5" s="52"/>
      <c r="AE5" s="52"/>
      <c r="AF5" s="52"/>
      <c r="AG5" s="52"/>
      <c r="AH5" s="52"/>
      <c r="AI5" s="52"/>
      <c r="AJ5" s="52"/>
      <c r="AK5" s="52"/>
      <c r="AL5" s="52"/>
      <c r="AN5" s="139"/>
    </row>
    <row r="6" spans="1:55" ht="18.75" customHeight="1">
      <c r="A6" s="427"/>
      <c r="B6" s="1122" t="s">
        <v>102</v>
      </c>
      <c r="C6" s="1123"/>
      <c r="D6" s="1123"/>
      <c r="E6" s="1123"/>
      <c r="F6" s="1123"/>
      <c r="G6" s="1123"/>
      <c r="H6" s="1123"/>
      <c r="I6" s="1123"/>
      <c r="J6" s="1123"/>
      <c r="K6" s="1123"/>
      <c r="L6" s="1123"/>
      <c r="M6" s="64"/>
      <c r="N6" s="64"/>
      <c r="O6" s="64"/>
      <c r="P6" s="64"/>
      <c r="Q6" s="64"/>
      <c r="R6" s="64"/>
      <c r="S6" s="64"/>
      <c r="T6" s="64"/>
      <c r="U6" s="64"/>
      <c r="V6" s="1072"/>
      <c r="W6" s="64"/>
      <c r="X6" s="64"/>
      <c r="Y6" s="428"/>
      <c r="Z6" s="119"/>
      <c r="AA6" s="138"/>
      <c r="AB6" s="520" t="s">
        <v>97</v>
      </c>
      <c r="AC6" s="141"/>
      <c r="AF6" s="56">
        <v>3</v>
      </c>
      <c r="AG6" s="56">
        <v>4</v>
      </c>
      <c r="AH6" s="56">
        <v>5</v>
      </c>
      <c r="AI6" s="56">
        <v>6</v>
      </c>
      <c r="AJ6" s="56">
        <v>7</v>
      </c>
      <c r="AK6" s="56">
        <v>8</v>
      </c>
      <c r="AL6" s="56">
        <v>9</v>
      </c>
      <c r="AM6" s="56">
        <v>10</v>
      </c>
      <c r="AN6" s="56">
        <v>11</v>
      </c>
      <c r="AO6" s="56">
        <v>12</v>
      </c>
      <c r="AP6" s="56">
        <v>13</v>
      </c>
      <c r="AQ6" s="56">
        <v>14</v>
      </c>
      <c r="AR6" s="56">
        <v>15</v>
      </c>
      <c r="AS6" s="56">
        <v>16</v>
      </c>
      <c r="AT6" s="56">
        <v>17</v>
      </c>
      <c r="AU6" s="56">
        <v>18</v>
      </c>
      <c r="AV6" s="56">
        <v>19</v>
      </c>
      <c r="AW6" s="56">
        <v>20</v>
      </c>
      <c r="AX6" s="56">
        <v>21</v>
      </c>
      <c r="AY6" s="56">
        <v>22</v>
      </c>
      <c r="AZ6" s="56">
        <v>23</v>
      </c>
      <c r="BA6" s="56">
        <v>24</v>
      </c>
    </row>
    <row r="7" spans="1:55" ht="12.95" hidden="1" customHeight="1">
      <c r="A7" s="427"/>
      <c r="B7" s="1836" t="s">
        <v>603</v>
      </c>
      <c r="C7" s="64"/>
      <c r="D7" s="1078" t="s">
        <v>46</v>
      </c>
      <c r="E7" s="1078" t="s">
        <v>47</v>
      </c>
      <c r="F7" s="1078" t="s">
        <v>48</v>
      </c>
      <c r="G7" s="1078" t="s">
        <v>49</v>
      </c>
      <c r="H7" s="1078" t="s">
        <v>50</v>
      </c>
      <c r="I7" s="1078" t="s">
        <v>51</v>
      </c>
      <c r="J7" s="1078" t="s">
        <v>52</v>
      </c>
      <c r="K7" s="1078" t="s">
        <v>53</v>
      </c>
      <c r="L7" s="1078" t="s">
        <v>54</v>
      </c>
      <c r="M7" s="1078" t="s">
        <v>55</v>
      </c>
      <c r="N7" s="1078" t="s">
        <v>56</v>
      </c>
      <c r="O7" s="1078" t="s">
        <v>57</v>
      </c>
      <c r="P7" s="1078">
        <v>4</v>
      </c>
      <c r="Q7" s="1078" t="s">
        <v>58</v>
      </c>
      <c r="R7" s="1078" t="s">
        <v>59</v>
      </c>
      <c r="S7" s="1078" t="s">
        <v>60</v>
      </c>
      <c r="T7" s="1078">
        <v>6</v>
      </c>
      <c r="U7" s="1078">
        <v>7</v>
      </c>
      <c r="V7" s="1078">
        <v>8</v>
      </c>
      <c r="W7" s="1078">
        <v>9</v>
      </c>
      <c r="X7" s="1096">
        <v>10</v>
      </c>
      <c r="Y7" s="428"/>
      <c r="Z7" s="186"/>
      <c r="AA7" s="138"/>
      <c r="AB7" s="520" t="s">
        <v>96</v>
      </c>
      <c r="AC7" s="142"/>
      <c r="AD7" s="143"/>
      <c r="AE7" s="143"/>
      <c r="AF7" s="32" t="s">
        <v>46</v>
      </c>
      <c r="AG7" s="134" t="s">
        <v>47</v>
      </c>
      <c r="AH7" s="134" t="s">
        <v>48</v>
      </c>
      <c r="AI7" s="134" t="s">
        <v>49</v>
      </c>
      <c r="AJ7" s="134" t="s">
        <v>50</v>
      </c>
      <c r="AK7" s="134" t="s">
        <v>51</v>
      </c>
      <c r="AL7" s="134" t="s">
        <v>52</v>
      </c>
      <c r="AM7" s="134" t="s">
        <v>53</v>
      </c>
      <c r="AN7" s="134" t="s">
        <v>54</v>
      </c>
      <c r="AO7" s="134" t="s">
        <v>55</v>
      </c>
      <c r="AP7" s="134" t="s">
        <v>56</v>
      </c>
      <c r="AQ7" s="134" t="s">
        <v>57</v>
      </c>
      <c r="AR7" s="134">
        <v>4</v>
      </c>
      <c r="AS7" s="134" t="s">
        <v>58</v>
      </c>
      <c r="AT7" s="134" t="s">
        <v>59</v>
      </c>
      <c r="AU7" s="134" t="s">
        <v>60</v>
      </c>
      <c r="AV7" s="134">
        <v>6</v>
      </c>
      <c r="AW7" s="134">
        <v>7</v>
      </c>
      <c r="AX7" s="134">
        <v>8</v>
      </c>
      <c r="AY7" s="134">
        <v>9</v>
      </c>
      <c r="AZ7" s="33">
        <v>10</v>
      </c>
      <c r="BA7" s="1829" t="s">
        <v>82</v>
      </c>
    </row>
    <row r="8" spans="1:55" s="61" customFormat="1" ht="61.5" hidden="1" customHeight="1" thickBot="1">
      <c r="A8" s="1097"/>
      <c r="B8" s="1837"/>
      <c r="C8" s="1098"/>
      <c r="D8" s="1099" t="s">
        <v>31</v>
      </c>
      <c r="E8" s="1100" t="s">
        <v>32</v>
      </c>
      <c r="F8" s="1100" t="s">
        <v>33</v>
      </c>
      <c r="G8" s="1100" t="s">
        <v>34</v>
      </c>
      <c r="H8" s="1100" t="s">
        <v>35</v>
      </c>
      <c r="I8" s="1100" t="s">
        <v>36</v>
      </c>
      <c r="J8" s="1100" t="s">
        <v>37</v>
      </c>
      <c r="K8" s="1100" t="s">
        <v>38</v>
      </c>
      <c r="L8" s="1100" t="s">
        <v>39</v>
      </c>
      <c r="M8" s="1100" t="s">
        <v>40</v>
      </c>
      <c r="N8" s="1100" t="s">
        <v>41</v>
      </c>
      <c r="O8" s="1100" t="s">
        <v>42</v>
      </c>
      <c r="P8" s="1100" t="s">
        <v>43</v>
      </c>
      <c r="Q8" s="1100" t="s">
        <v>44</v>
      </c>
      <c r="R8" s="1100" t="s">
        <v>45</v>
      </c>
      <c r="S8" s="1100" t="s">
        <v>65</v>
      </c>
      <c r="T8" s="1100" t="s">
        <v>23</v>
      </c>
      <c r="U8" s="1100" t="s">
        <v>64</v>
      </c>
      <c r="V8" s="1100" t="s">
        <v>63</v>
      </c>
      <c r="W8" s="1100" t="s">
        <v>61</v>
      </c>
      <c r="X8" s="1101" t="s">
        <v>62</v>
      </c>
      <c r="Y8" s="1102"/>
      <c r="Z8" s="103"/>
      <c r="AA8" s="144"/>
      <c r="AB8" s="519" t="s">
        <v>96</v>
      </c>
      <c r="AC8" s="142"/>
      <c r="AD8" s="143"/>
      <c r="AE8" s="143"/>
      <c r="AF8" s="75" t="s">
        <v>31</v>
      </c>
      <c r="AG8" s="74" t="s">
        <v>32</v>
      </c>
      <c r="AH8" s="74" t="s">
        <v>33</v>
      </c>
      <c r="AI8" s="74" t="s">
        <v>34</v>
      </c>
      <c r="AJ8" s="74" t="s">
        <v>35</v>
      </c>
      <c r="AK8" s="74" t="s">
        <v>36</v>
      </c>
      <c r="AL8" s="74" t="s">
        <v>37</v>
      </c>
      <c r="AM8" s="74" t="s">
        <v>38</v>
      </c>
      <c r="AN8" s="74" t="s">
        <v>39</v>
      </c>
      <c r="AO8" s="74" t="s">
        <v>40</v>
      </c>
      <c r="AP8" s="74" t="s">
        <v>41</v>
      </c>
      <c r="AQ8" s="74" t="s">
        <v>42</v>
      </c>
      <c r="AR8" s="74" t="s">
        <v>43</v>
      </c>
      <c r="AS8" s="74" t="s">
        <v>44</v>
      </c>
      <c r="AT8" s="74" t="s">
        <v>45</v>
      </c>
      <c r="AU8" s="74" t="s">
        <v>65</v>
      </c>
      <c r="AV8" s="74" t="s">
        <v>23</v>
      </c>
      <c r="AW8" s="74" t="s">
        <v>64</v>
      </c>
      <c r="AX8" s="74" t="s">
        <v>63</v>
      </c>
      <c r="AY8" s="74" t="s">
        <v>61</v>
      </c>
      <c r="AZ8" s="73" t="s">
        <v>62</v>
      </c>
      <c r="BA8" s="1830"/>
    </row>
    <row r="9" spans="1:55" s="61" customFormat="1" ht="13.5" hidden="1" customHeight="1">
      <c r="A9" s="1103">
        <f>VLOOKUP(B9,ReportData!$AQ$4:$AR$25,2,FALSE)</f>
        <v>0</v>
      </c>
      <c r="B9" s="885" t="str">
        <f>ReportData!$K$4</f>
        <v>Bracknell Forest</v>
      </c>
      <c r="C9" s="896"/>
      <c r="D9" s="1104">
        <f t="shared" ref="D9:D30" si="0">VLOOKUP(CONCATENATE($B9,$AB$8),$AD$9:$BA$72,AF$6,FALSE)</f>
        <v>7.4123097286565187</v>
      </c>
      <c r="E9" s="1104" t="str">
        <f t="shared" ref="E9:E30" si="1">VLOOKUP(CONCATENATE($B9,$AB$8),$AD$9:$BA$72,AG$6,FALSE)</f>
        <v/>
      </c>
      <c r="F9" s="1104" t="str">
        <f t="shared" ref="F9:F30" si="2">VLOOKUP(CONCATENATE($B9,$AB$8),$AD$9:$BA$72,AH$6,FALSE)</f>
        <v/>
      </c>
      <c r="G9" s="1104" t="str">
        <f t="shared" ref="G9:G30" si="3">VLOOKUP(CONCATENATE($B9,$AB$8),$AD$9:$BA$72,AI$6,FALSE)</f>
        <v/>
      </c>
      <c r="H9" s="1104">
        <f t="shared" ref="H9:H30" si="4">VLOOKUP(CONCATENATE($B9,$AB$8),$AD$9:$BA$72,AJ$6,FALSE)</f>
        <v>27.862342819324947</v>
      </c>
      <c r="I9" s="1104">
        <f t="shared" ref="I9:I30" si="5">VLOOKUP(CONCATENATE($B9,$AB$8),$AD$9:$BA$72,AK$6,FALSE)</f>
        <v>0.59563203176704171</v>
      </c>
      <c r="J9" s="1104">
        <f t="shared" ref="J9:J30" si="6">VLOOKUP(CONCATENATE($B9,$AB$8),$AD$9:$BA$72,AL$6,FALSE)</f>
        <v>12.508272667107875</v>
      </c>
      <c r="K9" s="1104" t="str">
        <f t="shared" ref="K9:K30" si="7">VLOOKUP(CONCATENATE($B9,$AB$8),$AD$9:$BA$72,AM$6,FALSE)</f>
        <v/>
      </c>
      <c r="L9" s="1104" t="str">
        <f t="shared" ref="L9:L30" si="8">VLOOKUP(CONCATENATE($B9,$AB$8),$AD$9:$BA$72,AN$6,FALSE)</f>
        <v/>
      </c>
      <c r="M9" s="1104" t="str">
        <f t="shared" ref="M9:M30" si="9">VLOOKUP(CONCATENATE($B9,$AB$8),$AD$9:$BA$72,AO$6,FALSE)</f>
        <v/>
      </c>
      <c r="N9" s="1104" t="str">
        <f t="shared" ref="N9:N30" si="10">VLOOKUP(CONCATENATE($B9,$AB$8),$AD$9:$BA$72,AP$6,FALSE)</f>
        <v/>
      </c>
      <c r="O9" s="1104" t="str">
        <f t="shared" ref="O9:O30" si="11">VLOOKUP(CONCATENATE($B9,$AB$8),$AD$9:$BA$72,AQ$6,FALSE)</f>
        <v/>
      </c>
      <c r="P9" s="1104">
        <f t="shared" ref="P9:P30" si="12">VLOOKUP(CONCATENATE($B9,$AB$8),$AD$9:$BA$72,AR$6,FALSE)</f>
        <v>1.7207147584381206</v>
      </c>
      <c r="Q9" s="1104">
        <f t="shared" ref="Q9:Q30" si="13">VLOOKUP(CONCATENATE($B9,$AB$8),$AD$9:$BA$72,AS$6,FALSE)</f>
        <v>20.780939774983452</v>
      </c>
      <c r="R9" s="1104" t="str">
        <f t="shared" ref="R9:R30" si="14">VLOOKUP(CONCATENATE($B9,$AB$8),$AD$9:$BA$72,AT$6,FALSE)</f>
        <v/>
      </c>
      <c r="S9" s="1104" t="str">
        <f t="shared" ref="S9:S30" si="15">VLOOKUP(CONCATENATE($B9,$AB$8),$AD$9:$BA$72,AU$6,FALSE)</f>
        <v/>
      </c>
      <c r="T9" s="1104">
        <f t="shared" ref="T9:T30" si="16">VLOOKUP(CONCATENATE($B9,$AB$8),$AD$9:$BA$72,AV$6,FALSE)</f>
        <v>22.8987425545996</v>
      </c>
      <c r="U9" s="1104">
        <f t="shared" ref="U9:U30" si="17">VLOOKUP(CONCATENATE($B9,$AB$8),$AD$9:$BA$72,AW$6,FALSE)</f>
        <v>2.5810721376571806</v>
      </c>
      <c r="V9" s="1104">
        <f t="shared" ref="V9:V30" si="18">VLOOKUP(CONCATENATE($B9,$AB$8),$AD$9:$BA$72,AX$6,FALSE)</f>
        <v>2.6472534745201854</v>
      </c>
      <c r="W9" s="1104">
        <f t="shared" ref="W9:W30" si="19">VLOOKUP(CONCATENATE($B9,$AB$8),$AD$9:$BA$72,AY$6,FALSE)</f>
        <v>0.9927200529450696</v>
      </c>
      <c r="X9" s="1105">
        <f t="shared" ref="X9:X30" si="20">VLOOKUP(CONCATENATE($B9,$AB$8),$AD$9:$BA$72,AZ$6,FALSE)</f>
        <v>0</v>
      </c>
      <c r="Y9" s="1102"/>
      <c r="Z9" s="103"/>
      <c r="AA9" s="144"/>
      <c r="AB9" s="30" t="str">
        <f>B9</f>
        <v>Bracknell Forest</v>
      </c>
      <c r="AC9" s="29">
        <v>1</v>
      </c>
      <c r="AD9" s="30" t="str">
        <f>CONCATENATE(AB9,$AB$5)</f>
        <v>Bracknell ForestNumber</v>
      </c>
      <c r="AE9" s="31" t="b">
        <f>IF(AB9=$AA$6,1)</f>
        <v>0</v>
      </c>
      <c r="AF9" s="338">
        <f>IF(Year5_Bracknell_Forest Year5_ReferralSource_Individual_Family="","",Year5_Bracknell_Forest Year5_ReferralSource_Individual_Family)</f>
        <v>112</v>
      </c>
      <c r="AG9" s="339" t="str">
        <f>IF(Year5_Bracknell_Forest Year5_ReferralSource_Individual_Acquaintance="","",Year5_Bracknell_Forest Year5_ReferralSource_Individual_Acquaintance)</f>
        <v/>
      </c>
      <c r="AH9" s="339" t="str">
        <f>IF(Year5_Bracknell_Forest Year5_ReferralSource_Individual_Self="","",Year5_Bracknell_Forest Year5_ReferralSource_Individual_Self)</f>
        <v/>
      </c>
      <c r="AI9" s="339" t="str">
        <f>IF(Year5_Bracknell_Forest Year5_ReferralSource_Individual_Other="","",Year5_Bracknell_Forest Year5_ReferralSource_Individual_Other)</f>
        <v/>
      </c>
      <c r="AJ9" s="339">
        <f>IF(Year5_Bracknell_Forest Year5_ReferralSource_School="","",Year5_Bracknell_Forest Year5_ReferralSource_School)</f>
        <v>421</v>
      </c>
      <c r="AK9" s="339">
        <f>IF(Year5_Bracknell_Forest Year5_ReferralSource_EducationServices="","",Year5_Bracknell_Forest Year5_ReferralSource_EducationServices)</f>
        <v>9</v>
      </c>
      <c r="AL9" s="339">
        <f>IF(Year5_Bracknell_Forest Year5_ReferralSource_Health_services_GP="","",Year5_Bracknell_Forest Year5_ReferralSource_Health_services_GP)</f>
        <v>189</v>
      </c>
      <c r="AM9" s="339" t="str">
        <f>IF(Year5_Bracknell_Forest Year5_ReferralSource_Health_services_HealthVisitor="","",Year5_Bracknell_Forest Year5_ReferralSource_Health_services_HealthVisitor)</f>
        <v/>
      </c>
      <c r="AN9" s="339" t="str">
        <f>IF(Year5_Bracknell_Forest Year5_ReferralSource_Health_services_SchoolNurse="","",Year5_Bracknell_Forest Year5_ReferralSource_Health_services_SchoolNurse)</f>
        <v/>
      </c>
      <c r="AO9" s="339" t="str">
        <f>IF(Year5_Bracknell_Forest Year5_ReferralSource_Health_services_OthPrimary="","",Year5_Bracknell_Forest Year5_ReferralSource_Health_services_OthPrimary)</f>
        <v/>
      </c>
      <c r="AP9" s="339" t="str">
        <f>IF(Year5_Bracknell_Forest Year5_ReferralSource_Health_services_AE="","",Year5_Bracknell_Forest Year5_ReferralSource_Health_services_AE)</f>
        <v/>
      </c>
      <c r="AQ9" s="339" t="str">
        <f>IF(Year5_Bracknell_Forest Year5_ReferralSource_Health_services_Other="","",Year5_Bracknell_Forest Year5_ReferralSource_Health_services_Other)</f>
        <v/>
      </c>
      <c r="AR9" s="339">
        <f>IF(Year5_Bracknell_Forest Year5_ReferralSource_Housing="","",Year5_Bracknell_Forest Year5_ReferralSource_Housing)</f>
        <v>26</v>
      </c>
      <c r="AS9" s="339">
        <f>IF(Year5_Bracknell_Forest Year5_ReferralSource_LA_SC="","",Year5_Bracknell_Forest Year5_ReferralSource_LA_SC)</f>
        <v>314</v>
      </c>
      <c r="AT9" s="339" t="str">
        <f>IF(Year5_Bracknell_Forest Year5_ReferralSource_LA_Other="","",Year5_Bracknell_Forest Year5_ReferralSource_LA_Other)</f>
        <v/>
      </c>
      <c r="AU9" s="339" t="str">
        <f>IF(Year5_Bracknell_Forest Year5_ReferralSource_LA_External="","",Year5_Bracknell_Forest Year5_ReferralSource_LA_External)</f>
        <v/>
      </c>
      <c r="AV9" s="339">
        <f>IF(Year5_Bracknell_Forest Year5_ReferralSource_Police="","",Year5_Bracknell_Forest Year5_ReferralSource_Police)</f>
        <v>346</v>
      </c>
      <c r="AW9" s="339">
        <f>IF(Year5_Bracknell_Forest Year5_ReferralSource_Other_Legal="","",Year5_Bracknell_Forest Year5_ReferralSource_Other_Legal)</f>
        <v>39</v>
      </c>
      <c r="AX9" s="339">
        <f>IF(Year5_Bracknell_Forest Year5_ReferralSource_Other="","",Year5_Bracknell_Forest Year5_ReferralSource_Other)</f>
        <v>40</v>
      </c>
      <c r="AY9" s="339">
        <f>IF(Year5_Bracknell_Forest Year5_ReferralSource_Anonymous="","",Year5_Bracknell_Forest Year5_ReferralSource_Anonymous)</f>
        <v>15</v>
      </c>
      <c r="AZ9" s="340">
        <f>IF(Year5_Bracknell_Forest Year5_ReferralSource_Unknown="","",Year5_Bracknell_Forest Year5_ReferralSource_Unknown)</f>
        <v>0</v>
      </c>
      <c r="BA9" s="400">
        <f>SUM(AF9:AZ9)</f>
        <v>1511</v>
      </c>
      <c r="BB9" s="61">
        <f>IF(BA9&gt;0,Population!H11,0)</f>
        <v>28647</v>
      </c>
      <c r="BC9" s="110">
        <f>BA9/BB9*10000</f>
        <v>527.45488183753969</v>
      </c>
    </row>
    <row r="10" spans="1:55" s="61" customFormat="1" ht="13.5" hidden="1" customHeight="1">
      <c r="A10" s="1103">
        <f>VLOOKUP(B10,ReportData!$AQ$4:$AR$25,2,FALSE)</f>
        <v>0</v>
      </c>
      <c r="B10" s="885" t="str">
        <f>ReportData!$K$5</f>
        <v>Brighton &amp; Hove</v>
      </c>
      <c r="C10" s="896"/>
      <c r="D10" s="1104">
        <f t="shared" si="0"/>
        <v>6.5090574147988951</v>
      </c>
      <c r="E10" s="1104" t="str">
        <f t="shared" si="1"/>
        <v/>
      </c>
      <c r="F10" s="1104" t="str">
        <f t="shared" si="2"/>
        <v/>
      </c>
      <c r="G10" s="1104" t="str">
        <f t="shared" si="3"/>
        <v/>
      </c>
      <c r="H10" s="1104">
        <f t="shared" si="4"/>
        <v>5.8335891925084438</v>
      </c>
      <c r="I10" s="1104">
        <f t="shared" si="5"/>
        <v>17.255142769419713</v>
      </c>
      <c r="J10" s="1104">
        <f t="shared" si="6"/>
        <v>14.860300890389929</v>
      </c>
      <c r="K10" s="1104" t="str">
        <f t="shared" si="7"/>
        <v/>
      </c>
      <c r="L10" s="1104" t="str">
        <f t="shared" si="8"/>
        <v/>
      </c>
      <c r="M10" s="1104" t="str">
        <f t="shared" si="9"/>
        <v/>
      </c>
      <c r="N10" s="1104" t="str">
        <f t="shared" si="10"/>
        <v/>
      </c>
      <c r="O10" s="1104" t="str">
        <f t="shared" si="11"/>
        <v/>
      </c>
      <c r="P10" s="1104">
        <f t="shared" si="12"/>
        <v>1.1974209395148909</v>
      </c>
      <c r="Q10" s="1104">
        <f t="shared" si="13"/>
        <v>18.974516426159042</v>
      </c>
      <c r="R10" s="1104" t="str">
        <f t="shared" si="14"/>
        <v/>
      </c>
      <c r="S10" s="1104" t="str">
        <f t="shared" si="15"/>
        <v/>
      </c>
      <c r="T10" s="1104">
        <f t="shared" si="16"/>
        <v>31.593490942585202</v>
      </c>
      <c r="U10" s="1104">
        <f t="shared" si="17"/>
        <v>1.105311636475284</v>
      </c>
      <c r="V10" s="1104">
        <f t="shared" si="18"/>
        <v>0</v>
      </c>
      <c r="W10" s="1104">
        <f t="shared" si="19"/>
        <v>1.6579674547129262</v>
      </c>
      <c r="X10" s="1105">
        <f t="shared" si="20"/>
        <v>1.013202333435677</v>
      </c>
      <c r="Y10" s="1102"/>
      <c r="Z10" s="103"/>
      <c r="AA10" s="144"/>
      <c r="AB10" s="30" t="str">
        <f t="shared" ref="AB10:AB29" si="21">B10</f>
        <v>Brighton &amp; Hove</v>
      </c>
      <c r="AC10" s="29">
        <v>2</v>
      </c>
      <c r="AD10" s="30" t="str">
        <f t="shared" ref="AD10:AD31" si="22">CONCATENATE(AB10,$AB$5)</f>
        <v>Brighton &amp; HoveNumber</v>
      </c>
      <c r="AE10" s="31" t="b">
        <f t="shared" ref="AE10:AE68" si="23">IF(AB10=$AA$6,1)</f>
        <v>0</v>
      </c>
      <c r="AF10" s="341">
        <f>IF(Year5_Brighton_and_Hove Year5_ReferralSource_Individual_Family="","",Year5_Brighton_and_Hove Year5_ReferralSource_Individual_Family)</f>
        <v>212</v>
      </c>
      <c r="AG10" s="342" t="str">
        <f>IF(Year5_Brighton_and_Hove Year5_ReferralSource_Individual_Acquaintance="","",Year5_Brighton_and_Hove Year5_ReferralSource_Individual_Acquaintance)</f>
        <v/>
      </c>
      <c r="AH10" s="342" t="str">
        <f>IF(Year5_Brighton_and_Hove Year5_ReferralSource_Individual_Self="","",Year5_Brighton_and_Hove Year5_ReferralSource_Individual_Self)</f>
        <v/>
      </c>
      <c r="AI10" s="342" t="str">
        <f>IF(Year5_Brighton_and_Hove Year5_ReferralSource_Individual_Other="","",Year5_Brighton_and_Hove Year5_ReferralSource_Individual_Other)</f>
        <v/>
      </c>
      <c r="AJ10" s="342">
        <f>IF(Year5_Brighton_and_Hove Year5_ReferralSource_School="","",Year5_Brighton_and_Hove Year5_ReferralSource_School)</f>
        <v>190</v>
      </c>
      <c r="AK10" s="342">
        <f>IF(Year5_Brighton_and_Hove Year5_ReferralSource_EducationServices="","",Year5_Brighton_and_Hove Year5_ReferralSource_EducationServices)</f>
        <v>562</v>
      </c>
      <c r="AL10" s="342">
        <f>IF(Year5_Brighton_and_Hove Year5_ReferralSource_Health_services_GP="","",Year5_Brighton_and_Hove Year5_ReferralSource_Health_services_GP)</f>
        <v>484</v>
      </c>
      <c r="AM10" s="342" t="str">
        <f>IF(Year5_Brighton_and_Hove Year5_ReferralSource_Health_services_HealthVisitor="","",Year5_Brighton_and_Hove Year5_ReferralSource_Health_services_HealthVisitor)</f>
        <v/>
      </c>
      <c r="AN10" s="342" t="str">
        <f>IF(Year5_Brighton_and_Hove Year5_ReferralSource_Health_services_SchoolNurse="","",Year5_Brighton_and_Hove Year5_ReferralSource_Health_services_SchoolNurse)</f>
        <v/>
      </c>
      <c r="AO10" s="342" t="str">
        <f>IF(Year5_Brighton_and_Hove Year5_ReferralSource_Health_services_OthPrimary="","",Year5_Brighton_and_Hove Year5_ReferralSource_Health_services_OthPrimary)</f>
        <v/>
      </c>
      <c r="AP10" s="342" t="str">
        <f>IF(Year5_Brighton_and_Hove Year5_ReferralSource_Health_services_AE="","",Year5_Brighton_and_Hove Year5_ReferralSource_Health_services_AE)</f>
        <v/>
      </c>
      <c r="AQ10" s="342" t="str">
        <f>IF(Year5_Brighton_and_Hove Year5_ReferralSource_Health_services_Other="","",Year5_Brighton_and_Hove Year5_ReferralSource_Health_services_Other)</f>
        <v/>
      </c>
      <c r="AR10" s="342">
        <f>IF(Year5_Brighton_and_Hove Year5_ReferralSource_Housing="","",Year5_Brighton_and_Hove Year5_ReferralSource_Housing)</f>
        <v>39</v>
      </c>
      <c r="AS10" s="342">
        <f>IF(Year5_Brighton_and_Hove Year5_ReferralSource_LA_SC="","",Year5_Brighton_and_Hove Year5_ReferralSource_LA_SC)</f>
        <v>618</v>
      </c>
      <c r="AT10" s="342" t="str">
        <f>IF(Year5_Brighton_and_Hove Year5_ReferralSource_LA_Other="","",Year5_Brighton_and_Hove Year5_ReferralSource_LA_Other)</f>
        <v/>
      </c>
      <c r="AU10" s="342" t="str">
        <f>IF(Year5_Brighton_and_Hove Year5_ReferralSource_LA_External="","",Year5_Brighton_and_Hove Year5_ReferralSource_LA_External)</f>
        <v/>
      </c>
      <c r="AV10" s="342">
        <f>IF(Year5_Brighton_and_Hove Year5_ReferralSource_Police="","",Year5_Brighton_and_Hove Year5_ReferralSource_Police)</f>
        <v>1029</v>
      </c>
      <c r="AW10" s="342">
        <f>IF(Year5_Brighton_and_Hove Year5_ReferralSource_Other_Legal="","",Year5_Brighton_and_Hove Year5_ReferralSource_Other_Legal)</f>
        <v>36</v>
      </c>
      <c r="AX10" s="342">
        <f>IF(Year5_Brighton_and_Hove Year5_ReferralSource_Other="","",Year5_Brighton_and_Hove Year5_ReferralSource_Other)</f>
        <v>0</v>
      </c>
      <c r="AY10" s="342">
        <f>IF(Year5_Brighton_and_Hove Year5_ReferralSource_Anonymous="","",Year5_Brighton_and_Hove Year5_ReferralSource_Anonymous)</f>
        <v>54</v>
      </c>
      <c r="AZ10" s="343">
        <f>IF(Year5_Brighton_and_Hove Year5_ReferralSource_Unknown="","",Year5_Brighton_and_Hove Year5_ReferralSource_Unknown)</f>
        <v>33</v>
      </c>
      <c r="BA10" s="39">
        <f t="shared" ref="BA10:BA28" si="24">SUM(AF10:AZ10)</f>
        <v>3257</v>
      </c>
      <c r="BB10" s="61">
        <f>IF(BA10&gt;0,Population!H12,0)</f>
        <v>46666</v>
      </c>
      <c r="BC10" s="110">
        <f t="shared" ref="BC10:BC29" si="25">BA10/BB10*10000</f>
        <v>697.93854197917119</v>
      </c>
    </row>
    <row r="11" spans="1:55" s="61" customFormat="1" ht="13.5" hidden="1" customHeight="1">
      <c r="A11" s="1103">
        <f>VLOOKUP(B11,ReportData!$AQ$4:$AR$25,2,FALSE)</f>
        <v>0</v>
      </c>
      <c r="B11" s="885" t="str">
        <f>ReportData!$K$6</f>
        <v>Buckinghamshire</v>
      </c>
      <c r="C11" s="896"/>
      <c r="D11" s="1104">
        <f t="shared" si="0"/>
        <v>5.6948640483383688</v>
      </c>
      <c r="E11" s="1104" t="str">
        <f t="shared" si="1"/>
        <v/>
      </c>
      <c r="F11" s="1104" t="str">
        <f t="shared" si="2"/>
        <v/>
      </c>
      <c r="G11" s="1104" t="str">
        <f t="shared" si="3"/>
        <v/>
      </c>
      <c r="H11" s="1104">
        <f t="shared" si="4"/>
        <v>20.13595166163142</v>
      </c>
      <c r="I11" s="1104">
        <f t="shared" si="5"/>
        <v>1.3293051359516617</v>
      </c>
      <c r="J11" s="1104">
        <f t="shared" si="6"/>
        <v>15.37764350453172</v>
      </c>
      <c r="K11" s="1104" t="str">
        <f t="shared" si="7"/>
        <v/>
      </c>
      <c r="L11" s="1104" t="str">
        <f t="shared" si="8"/>
        <v/>
      </c>
      <c r="M11" s="1104" t="str">
        <f t="shared" si="9"/>
        <v/>
      </c>
      <c r="N11" s="1104" t="str">
        <f t="shared" si="10"/>
        <v/>
      </c>
      <c r="O11" s="1104" t="str">
        <f t="shared" si="11"/>
        <v/>
      </c>
      <c r="P11" s="1104">
        <f t="shared" si="12"/>
        <v>0.52870090634441091</v>
      </c>
      <c r="Q11" s="1104">
        <f t="shared" si="13"/>
        <v>13.051359516616316</v>
      </c>
      <c r="R11" s="1104" t="str">
        <f t="shared" si="14"/>
        <v/>
      </c>
      <c r="S11" s="1104" t="str">
        <f t="shared" si="15"/>
        <v/>
      </c>
      <c r="T11" s="1104">
        <f t="shared" si="16"/>
        <v>35.861027190332329</v>
      </c>
      <c r="U11" s="1104">
        <f t="shared" si="17"/>
        <v>3.1722054380664653</v>
      </c>
      <c r="V11" s="1104">
        <f t="shared" si="18"/>
        <v>3.8217522658610275</v>
      </c>
      <c r="W11" s="1104">
        <f t="shared" si="19"/>
        <v>0.6344410876132931</v>
      </c>
      <c r="X11" s="1105">
        <f t="shared" si="20"/>
        <v>0.392749244712991</v>
      </c>
      <c r="Y11" s="1102"/>
      <c r="Z11" s="103"/>
      <c r="AA11" s="144"/>
      <c r="AB11" s="30" t="str">
        <f t="shared" si="21"/>
        <v>Buckinghamshire</v>
      </c>
      <c r="AC11" s="29">
        <v>3</v>
      </c>
      <c r="AD11" s="30" t="str">
        <f t="shared" si="22"/>
        <v>BuckinghamshireNumber</v>
      </c>
      <c r="AE11" s="31" t="b">
        <f t="shared" si="23"/>
        <v>0</v>
      </c>
      <c r="AF11" s="341">
        <f>IF(Year5_Buckinghamshire Year5_ReferralSource_Individual_Family="","",Year5_Buckinghamshire Year5_ReferralSource_Individual_Family)</f>
        <v>377</v>
      </c>
      <c r="AG11" s="342" t="str">
        <f>IF(Year5_Buckinghamshire Year5_ReferralSource_Individual_Acquaintance="","",Year5_Buckinghamshire Year5_ReferralSource_Individual_Acquaintance)</f>
        <v/>
      </c>
      <c r="AH11" s="342" t="str">
        <f>IF(Year5_Buckinghamshire Year5_ReferralSource_Individual_Self="","",Year5_Buckinghamshire Year5_ReferralSource_Individual_Self)</f>
        <v/>
      </c>
      <c r="AI11" s="342" t="str">
        <f>IF(Year5_Buckinghamshire Year5_ReferralSource_Individual_Other="","",Year5_Buckinghamshire Year5_ReferralSource_Individual_Other)</f>
        <v/>
      </c>
      <c r="AJ11" s="342">
        <f>IF(Year5_Buckinghamshire Year5_ReferralSource_School="","",Year5_Buckinghamshire Year5_ReferralSource_School)</f>
        <v>1333</v>
      </c>
      <c r="AK11" s="342">
        <f>IF(Year5_Buckinghamshire Year5_ReferralSource_EducationServices="","",Year5_Buckinghamshire Year5_ReferralSource_EducationServices)</f>
        <v>88</v>
      </c>
      <c r="AL11" s="342">
        <f>IF(Year5_Buckinghamshire Year5_ReferralSource_Health_services_GP="","",Year5_Buckinghamshire Year5_ReferralSource_Health_services_GP)</f>
        <v>1018</v>
      </c>
      <c r="AM11" s="342" t="str">
        <f>IF(Year5_Buckinghamshire Year5_ReferralSource_Health_services_HealthVisitor="","",Year5_Buckinghamshire Year5_ReferralSource_Health_services_HealthVisitor)</f>
        <v/>
      </c>
      <c r="AN11" s="342" t="str">
        <f>IF(Year5_Buckinghamshire Year5_ReferralSource_Health_services_SchoolNurse="","",Year5_Buckinghamshire Year5_ReferralSource_Health_services_SchoolNurse)</f>
        <v/>
      </c>
      <c r="AO11" s="342" t="str">
        <f>IF(Year5_Buckinghamshire Year5_ReferralSource_Health_services_OthPrimary="","",Year5_Buckinghamshire Year5_ReferralSource_Health_services_OthPrimary)</f>
        <v/>
      </c>
      <c r="AP11" s="342" t="str">
        <f>IF(Year5_Buckinghamshire Year5_ReferralSource_Health_services_AE="","",Year5_Buckinghamshire Year5_ReferralSource_Health_services_AE)</f>
        <v/>
      </c>
      <c r="AQ11" s="342" t="str">
        <f>IF(Year5_Buckinghamshire Year5_ReferralSource_Health_services_Other="","",Year5_Buckinghamshire Year5_ReferralSource_Health_services_Other)</f>
        <v/>
      </c>
      <c r="AR11" s="342">
        <f>IF(Year5_Buckinghamshire Year5_ReferralSource_Housing="","",Year5_Buckinghamshire Year5_ReferralSource_Housing)</f>
        <v>35</v>
      </c>
      <c r="AS11" s="342">
        <f>IF(Year5_Buckinghamshire Year5_ReferralSource_LA_SC="","",Year5_Buckinghamshire Year5_ReferralSource_LA_SC)</f>
        <v>864</v>
      </c>
      <c r="AT11" s="342" t="str">
        <f>IF(Year5_Buckinghamshire Year5_ReferralSource_LA_Other="","",Year5_Buckinghamshire Year5_ReferralSource_LA_Other)</f>
        <v/>
      </c>
      <c r="AU11" s="342" t="str">
        <f>IF(Year5_Buckinghamshire Year5_ReferralSource_LA_External="","",Year5_Buckinghamshire Year5_ReferralSource_LA_External)</f>
        <v/>
      </c>
      <c r="AV11" s="342">
        <f>IF(Year5_Buckinghamshire Year5_ReferralSource_Police="","",Year5_Buckinghamshire Year5_ReferralSource_Police)</f>
        <v>2374</v>
      </c>
      <c r="AW11" s="342">
        <f>IF(Year5_Buckinghamshire Year5_ReferralSource_Other_Legal="","",Year5_Buckinghamshire Year5_ReferralSource_Other_Legal)</f>
        <v>210</v>
      </c>
      <c r="AX11" s="342">
        <f>IF(Year5_Buckinghamshire Year5_ReferralSource_Other="","",Year5_Buckinghamshire Year5_ReferralSource_Other)</f>
        <v>253</v>
      </c>
      <c r="AY11" s="342">
        <f>IF(Year5_Buckinghamshire Year5_ReferralSource_Anonymous="","",Year5_Buckinghamshire Year5_ReferralSource_Anonymous)</f>
        <v>42</v>
      </c>
      <c r="AZ11" s="343">
        <f>IF(Year5_Buckinghamshire Year5_ReferralSource_Unknown="","",Year5_Buckinghamshire Year5_ReferralSource_Unknown)</f>
        <v>26</v>
      </c>
      <c r="BA11" s="39">
        <f t="shared" si="24"/>
        <v>6620</v>
      </c>
      <c r="BB11" s="61">
        <f>IF(BA11&gt;0,Population!H13,0)</f>
        <v>127616</v>
      </c>
      <c r="BC11" s="110">
        <f t="shared" si="25"/>
        <v>518.74373119358074</v>
      </c>
    </row>
    <row r="12" spans="1:55" s="61" customFormat="1" ht="13.5" hidden="1" customHeight="1">
      <c r="A12" s="1103">
        <f>VLOOKUP(B12,ReportData!$AQ$4:$AR$25,2,FALSE)</f>
        <v>0</v>
      </c>
      <c r="B12" s="885" t="str">
        <f>ReportData!$K$7</f>
        <v>East Sussex</v>
      </c>
      <c r="C12" s="896"/>
      <c r="D12" s="1104">
        <f t="shared" si="0"/>
        <v>10.090466249130133</v>
      </c>
      <c r="E12" s="1104" t="str">
        <f t="shared" si="1"/>
        <v/>
      </c>
      <c r="F12" s="1104" t="str">
        <f t="shared" si="2"/>
        <v/>
      </c>
      <c r="G12" s="1104" t="str">
        <f t="shared" si="3"/>
        <v/>
      </c>
      <c r="H12" s="1104">
        <f t="shared" si="4"/>
        <v>11.899791231732777</v>
      </c>
      <c r="I12" s="1104">
        <f t="shared" si="5"/>
        <v>3.2707028531663185</v>
      </c>
      <c r="J12" s="1104">
        <f t="shared" si="6"/>
        <v>11.969380654140572</v>
      </c>
      <c r="K12" s="1104" t="str">
        <f t="shared" si="7"/>
        <v/>
      </c>
      <c r="L12" s="1104" t="str">
        <f t="shared" si="8"/>
        <v/>
      </c>
      <c r="M12" s="1104" t="str">
        <f t="shared" si="9"/>
        <v/>
      </c>
      <c r="N12" s="1104" t="str">
        <f t="shared" si="10"/>
        <v/>
      </c>
      <c r="O12" s="1104" t="str">
        <f t="shared" si="11"/>
        <v/>
      </c>
      <c r="P12" s="1104">
        <f t="shared" si="12"/>
        <v>1.6005567153792624</v>
      </c>
      <c r="Q12" s="1104">
        <f t="shared" si="13"/>
        <v>21.340756205056831</v>
      </c>
      <c r="R12" s="1104" t="str">
        <f t="shared" si="14"/>
        <v/>
      </c>
      <c r="S12" s="1104" t="str">
        <f t="shared" si="15"/>
        <v/>
      </c>
      <c r="T12" s="1104">
        <f t="shared" si="16"/>
        <v>29.900255161215494</v>
      </c>
      <c r="U12" s="1104">
        <f t="shared" si="17"/>
        <v>4.4537230340988172</v>
      </c>
      <c r="V12" s="1104">
        <f t="shared" si="18"/>
        <v>2.7835768963117609</v>
      </c>
      <c r="W12" s="1104">
        <f t="shared" si="19"/>
        <v>2.1572720946416144</v>
      </c>
      <c r="X12" s="1105">
        <f t="shared" si="20"/>
        <v>0.53351890512642075</v>
      </c>
      <c r="Y12" s="1102"/>
      <c r="Z12" s="103"/>
      <c r="AA12" s="144"/>
      <c r="AB12" s="30" t="str">
        <f t="shared" si="21"/>
        <v>East Sussex</v>
      </c>
      <c r="AC12" s="29">
        <v>4</v>
      </c>
      <c r="AD12" s="30" t="str">
        <f t="shared" si="22"/>
        <v>East SussexNumber</v>
      </c>
      <c r="AE12" s="31" t="b">
        <f t="shared" si="23"/>
        <v>0</v>
      </c>
      <c r="AF12" s="401">
        <f>IF(Year5_East_Sussex Year5_ReferralSource_Individual_Family="","",Year5_East_Sussex Year5_ReferralSource_Individual_Family)</f>
        <v>435</v>
      </c>
      <c r="AG12" s="344" t="str">
        <f>IF(Year5_East_Sussex Year5_ReferralSource_Individual_Acquaintance="","",Year5_East_Sussex Year5_ReferralSource_Individual_Acquaintance)</f>
        <v/>
      </c>
      <c r="AH12" s="344" t="str">
        <f>IF(Year5_East_Sussex Year5_ReferralSource_Individual_Self="","",Year5_East_Sussex Year5_ReferralSource_Individual_Self)</f>
        <v/>
      </c>
      <c r="AI12" s="344" t="str">
        <f>IF(Year5_East_Sussex Year5_ReferralSource_Individual_Other="","",Year5_East_Sussex Year5_ReferralSource_Individual_Other)</f>
        <v/>
      </c>
      <c r="AJ12" s="344">
        <f>IF(Year5_East_Sussex Year5_ReferralSource_School="","",Year5_East_Sussex Year5_ReferralSource_School)</f>
        <v>513</v>
      </c>
      <c r="AK12" s="344">
        <f>IF(Year5_East_Sussex Year5_ReferralSource_EducationServices="","",Year5_East_Sussex Year5_ReferralSource_EducationServices)</f>
        <v>141</v>
      </c>
      <c r="AL12" s="344">
        <f>IF(Year5_East_Sussex Year5_ReferralSource_Health_services_GP="","",Year5_East_Sussex Year5_ReferralSource_Health_services_GP)</f>
        <v>516</v>
      </c>
      <c r="AM12" s="344" t="str">
        <f>IF(Year5_East_Sussex Year5_ReferralSource_Health_services_HealthVisitor="","",Year5_East_Sussex Year5_ReferralSource_Health_services_HealthVisitor)</f>
        <v/>
      </c>
      <c r="AN12" s="344" t="str">
        <f>IF(Year5_East_Sussex Year5_ReferralSource_Health_services_SchoolNurse="","",Year5_East_Sussex Year5_ReferralSource_Health_services_SchoolNurse)</f>
        <v/>
      </c>
      <c r="AO12" s="344" t="str">
        <f>IF(Year5_East_Sussex Year5_ReferralSource_Health_services_OthPrimary="","",Year5_East_Sussex Year5_ReferralSource_Health_services_OthPrimary)</f>
        <v/>
      </c>
      <c r="AP12" s="344" t="str">
        <f>IF(Year5_East_Sussex Year5_ReferralSource_Health_services_AE="","",Year5_East_Sussex Year5_ReferralSource_Health_services_AE)</f>
        <v/>
      </c>
      <c r="AQ12" s="344" t="str">
        <f>IF(Year5_East_Sussex Year5_ReferralSource_Health_services_Other="","",Year5_East_Sussex Year5_ReferralSource_Health_services_Other)</f>
        <v/>
      </c>
      <c r="AR12" s="344">
        <f>IF(Year5_East_Sussex Year5_ReferralSource_Housing="","",Year5_East_Sussex Year5_ReferralSource_Housing)</f>
        <v>69</v>
      </c>
      <c r="AS12" s="344">
        <f>IF(Year5_East_Sussex Year5_ReferralSource_LA_SC="","",Year5_East_Sussex Year5_ReferralSource_LA_SC)</f>
        <v>920</v>
      </c>
      <c r="AT12" s="344" t="str">
        <f>IF(Year5_East_Sussex Year5_ReferralSource_LA_Other="","",Year5_East_Sussex Year5_ReferralSource_LA_Other)</f>
        <v/>
      </c>
      <c r="AU12" s="344" t="str">
        <f>IF(Year5_East_Sussex Year5_ReferralSource_LA_External="","",Year5_East_Sussex Year5_ReferralSource_LA_External)</f>
        <v/>
      </c>
      <c r="AV12" s="344">
        <f>IF(Year5_East_Sussex Year5_ReferralSource_Police="","",Year5_East_Sussex Year5_ReferralSource_Police)</f>
        <v>1289</v>
      </c>
      <c r="AW12" s="344">
        <f>IF(Year5_East_Sussex Year5_ReferralSource_Other_Legal="","",Year5_East_Sussex Year5_ReferralSource_Other_Legal)</f>
        <v>192</v>
      </c>
      <c r="AX12" s="344">
        <f>IF(Year5_East_Sussex Year5_ReferralSource_Other="","",Year5_East_Sussex Year5_ReferralSource_Other)</f>
        <v>120</v>
      </c>
      <c r="AY12" s="344">
        <f>IF(Year5_East_Sussex Year5_ReferralSource_Anonymous="","",Year5_East_Sussex Year5_ReferralSource_Anonymous)</f>
        <v>93</v>
      </c>
      <c r="AZ12" s="344">
        <f>IF(Year5_East_Sussex Year5_ReferralSource_Unknown="","",Year5_East_Sussex Year5_ReferralSource_Unknown)</f>
        <v>23</v>
      </c>
      <c r="BA12" s="39">
        <f t="shared" si="24"/>
        <v>4311</v>
      </c>
      <c r="BB12" s="61">
        <f>IF(BA12&gt;0,Population!H14,0)</f>
        <v>103606</v>
      </c>
      <c r="BC12" s="110">
        <f t="shared" si="25"/>
        <v>416.09559291932896</v>
      </c>
    </row>
    <row r="13" spans="1:55" s="61" customFormat="1" ht="13.5" hidden="1" customHeight="1">
      <c r="A13" s="1103">
        <f>VLOOKUP(B13,ReportData!$AQ$4:$AR$25,2,FALSE)</f>
        <v>0</v>
      </c>
      <c r="B13" s="885" t="str">
        <f>ReportData!$K$8</f>
        <v>Hampshire</v>
      </c>
      <c r="C13" s="896"/>
      <c r="D13" s="1104" t="str">
        <f t="shared" si="0"/>
        <v/>
      </c>
      <c r="E13" s="1104" t="str">
        <f t="shared" si="1"/>
        <v/>
      </c>
      <c r="F13" s="1104" t="str">
        <f t="shared" si="2"/>
        <v/>
      </c>
      <c r="G13" s="1104" t="str">
        <f t="shared" si="3"/>
        <v/>
      </c>
      <c r="H13" s="1104" t="str">
        <f t="shared" si="4"/>
        <v/>
      </c>
      <c r="I13" s="1104" t="str">
        <f t="shared" si="5"/>
        <v/>
      </c>
      <c r="J13" s="1104" t="str">
        <f t="shared" si="6"/>
        <v/>
      </c>
      <c r="K13" s="1104" t="str">
        <f t="shared" si="7"/>
        <v/>
      </c>
      <c r="L13" s="1104" t="str">
        <f t="shared" si="8"/>
        <v/>
      </c>
      <c r="M13" s="1104" t="str">
        <f t="shared" si="9"/>
        <v/>
      </c>
      <c r="N13" s="1104" t="str">
        <f t="shared" si="10"/>
        <v/>
      </c>
      <c r="O13" s="1104" t="str">
        <f t="shared" si="11"/>
        <v/>
      </c>
      <c r="P13" s="1104" t="str">
        <f t="shared" si="12"/>
        <v/>
      </c>
      <c r="Q13" s="1104" t="str">
        <f t="shared" si="13"/>
        <v/>
      </c>
      <c r="R13" s="1104" t="str">
        <f t="shared" si="14"/>
        <v/>
      </c>
      <c r="S13" s="1104" t="str">
        <f t="shared" si="15"/>
        <v/>
      </c>
      <c r="T13" s="1104" t="str">
        <f t="shared" si="16"/>
        <v/>
      </c>
      <c r="U13" s="1104" t="str">
        <f t="shared" si="17"/>
        <v/>
      </c>
      <c r="V13" s="1104" t="str">
        <f t="shared" si="18"/>
        <v/>
      </c>
      <c r="W13" s="1104" t="str">
        <f t="shared" si="19"/>
        <v/>
      </c>
      <c r="X13" s="1105" t="str">
        <f t="shared" si="20"/>
        <v/>
      </c>
      <c r="Y13" s="1102"/>
      <c r="Z13" s="103"/>
      <c r="AA13" s="144"/>
      <c r="AB13" s="30" t="str">
        <f t="shared" si="21"/>
        <v>Hampshire</v>
      </c>
      <c r="AC13" s="29">
        <v>5</v>
      </c>
      <c r="AD13" s="30" t="str">
        <f t="shared" si="22"/>
        <v>HampshireNumber</v>
      </c>
      <c r="AE13" s="31" t="b">
        <f t="shared" si="23"/>
        <v>0</v>
      </c>
      <c r="AF13" s="341" t="str">
        <f>IF(Year5_Hampshire Year5_ReferralSource_Individual_Family="","",Year5_Hampshire Year5_ReferralSource_Individual_Family)</f>
        <v>u</v>
      </c>
      <c r="AG13" s="342" t="str">
        <f>IF(Year5_Hampshire Year5_ReferralSource_Individual_Acquaintance="","",Year5_Hampshire Year5_ReferralSource_Individual_Acquaintance)</f>
        <v/>
      </c>
      <c r="AH13" s="342" t="str">
        <f>IF(Year5_Hampshire Year5_ReferralSource_Individual_Self="","",Year5_Hampshire Year5_ReferralSource_Individual_Self)</f>
        <v/>
      </c>
      <c r="AI13" s="342" t="str">
        <f>IF(Year5_Hampshire Year5_ReferralSource_Individual_Other="","",Year5_Hampshire Year5_ReferralSource_Individual_Other)</f>
        <v/>
      </c>
      <c r="AJ13" s="342" t="str">
        <f>IF(Year5_Hampshire Year5_ReferralSource_School="","",Year5_Hampshire Year5_ReferralSource_School)</f>
        <v>u</v>
      </c>
      <c r="AK13" s="342" t="str">
        <f>IF(Year5_Hampshire Year5_ReferralSource_EducationServices="","",Year5_Hampshire Year5_ReferralSource_EducationServices)</f>
        <v>u</v>
      </c>
      <c r="AL13" s="342" t="str">
        <f>IF(Year5_Hampshire Year5_ReferralSource_Health_services_GP="","",Year5_Hampshire Year5_ReferralSource_Health_services_GP)</f>
        <v>u</v>
      </c>
      <c r="AM13" s="342" t="str">
        <f>IF(Year5_Hampshire Year5_ReferralSource_Health_services_HealthVisitor="","",Year5_Hampshire Year5_ReferralSource_Health_services_HealthVisitor)</f>
        <v/>
      </c>
      <c r="AN13" s="342" t="str">
        <f>IF(Year5_Hampshire Year5_ReferralSource_Health_services_SchoolNurse="","",Year5_Hampshire Year5_ReferralSource_Health_services_SchoolNurse)</f>
        <v/>
      </c>
      <c r="AO13" s="342" t="str">
        <f>IF(Year5_Hampshire Year5_ReferralSource_Health_services_OthPrimary="","",Year5_Hampshire Year5_ReferralSource_Health_services_OthPrimary)</f>
        <v/>
      </c>
      <c r="AP13" s="342" t="str">
        <f>IF(Year5_Hampshire Year5_ReferralSource_Health_services_AE="","",Year5_Hampshire Year5_ReferralSource_Health_services_AE)</f>
        <v/>
      </c>
      <c r="AQ13" s="342" t="str">
        <f>IF(Year5_Hampshire Year5_ReferralSource_Health_services_Other="","",Year5_Hampshire Year5_ReferralSource_Health_services_Other)</f>
        <v/>
      </c>
      <c r="AR13" s="342" t="str">
        <f>IF(Year5_Hampshire Year5_ReferralSource_Housing="","",Year5_Hampshire Year5_ReferralSource_Housing)</f>
        <v>u</v>
      </c>
      <c r="AS13" s="342" t="str">
        <f>IF(Year5_Hampshire Year5_ReferralSource_LA_SC="","",Year5_Hampshire Year5_ReferralSource_LA_SC)</f>
        <v>u</v>
      </c>
      <c r="AT13" s="342" t="str">
        <f>IF(Year5_Hampshire Year5_ReferralSource_LA_Other="","",Year5_Hampshire Year5_ReferralSource_LA_Other)</f>
        <v/>
      </c>
      <c r="AU13" s="342" t="str">
        <f>IF(Year5_Hampshire Year5_ReferralSource_LA_External="","",Year5_Hampshire Year5_ReferralSource_LA_External)</f>
        <v/>
      </c>
      <c r="AV13" s="342" t="str">
        <f>IF(Year5_Hampshire Year5_ReferralSource_Police="","",Year5_Hampshire Year5_ReferralSource_Police)</f>
        <v>u</v>
      </c>
      <c r="AW13" s="342" t="str">
        <f>IF(Year5_Hampshire Year5_ReferralSource_Other_Legal="","",Year5_Hampshire Year5_ReferralSource_Other_Legal)</f>
        <v>u</v>
      </c>
      <c r="AX13" s="342" t="str">
        <f>IF(Year5_Hampshire Year5_ReferralSource_Other="","",Year5_Hampshire Year5_ReferralSource_Other)</f>
        <v>u</v>
      </c>
      <c r="AY13" s="342" t="str">
        <f>IF(Year5_Hampshire Year5_ReferralSource_Anonymous="","",Year5_Hampshire Year5_ReferralSource_Anonymous)</f>
        <v>u</v>
      </c>
      <c r="AZ13" s="343" t="str">
        <f>IF(Year5_Hampshire Year5_ReferralSource_Unknown="","",Year5_Hampshire Year5_ReferralSource_Unknown)</f>
        <v>u</v>
      </c>
      <c r="BA13" s="39">
        <f t="shared" si="24"/>
        <v>0</v>
      </c>
      <c r="BB13" s="61">
        <f>IF(BA13&gt;0,Population!H15,0)</f>
        <v>0</v>
      </c>
      <c r="BC13" s="110" t="e">
        <f t="shared" si="25"/>
        <v>#DIV/0!</v>
      </c>
    </row>
    <row r="14" spans="1:55" s="61" customFormat="1" ht="13.5" hidden="1" customHeight="1">
      <c r="A14" s="1103">
        <f>VLOOKUP(B14,ReportData!$AQ$4:$AR$25,2,FALSE)</f>
        <v>0</v>
      </c>
      <c r="B14" s="885" t="str">
        <f>ReportData!$K$9</f>
        <v>Isle of Wight</v>
      </c>
      <c r="C14" s="896"/>
      <c r="D14" s="1104">
        <f t="shared" si="0"/>
        <v>6.7153951576062134</v>
      </c>
      <c r="E14" s="1104" t="str">
        <f t="shared" si="1"/>
        <v/>
      </c>
      <c r="F14" s="1104" t="str">
        <f t="shared" si="2"/>
        <v/>
      </c>
      <c r="G14" s="1104" t="str">
        <f t="shared" si="3"/>
        <v/>
      </c>
      <c r="H14" s="1104">
        <f t="shared" si="4"/>
        <v>34.307903152124261</v>
      </c>
      <c r="I14" s="1104">
        <f t="shared" si="5"/>
        <v>0.22841480127912286</v>
      </c>
      <c r="J14" s="1104">
        <f t="shared" si="6"/>
        <v>14.595705801735953</v>
      </c>
      <c r="K14" s="1104" t="str">
        <f t="shared" si="7"/>
        <v/>
      </c>
      <c r="L14" s="1104" t="str">
        <f t="shared" si="8"/>
        <v/>
      </c>
      <c r="M14" s="1104" t="str">
        <f t="shared" si="9"/>
        <v/>
      </c>
      <c r="N14" s="1104" t="str">
        <f t="shared" si="10"/>
        <v/>
      </c>
      <c r="O14" s="1104" t="str">
        <f t="shared" si="11"/>
        <v/>
      </c>
      <c r="P14" s="1104">
        <f t="shared" si="12"/>
        <v>1.3933302878026497</v>
      </c>
      <c r="Q14" s="1104">
        <f t="shared" si="13"/>
        <v>6.5326633165829149</v>
      </c>
      <c r="R14" s="1104" t="str">
        <f t="shared" si="14"/>
        <v/>
      </c>
      <c r="S14" s="1104" t="str">
        <f t="shared" si="15"/>
        <v/>
      </c>
      <c r="T14" s="1104">
        <f t="shared" si="16"/>
        <v>22.316126084970307</v>
      </c>
      <c r="U14" s="1104">
        <f t="shared" si="17"/>
        <v>3.4033805390589311</v>
      </c>
      <c r="V14" s="1104">
        <f t="shared" si="18"/>
        <v>8.0630424851530371</v>
      </c>
      <c r="W14" s="1104">
        <f t="shared" si="19"/>
        <v>1.8501598903608953</v>
      </c>
      <c r="X14" s="1105">
        <f t="shared" si="20"/>
        <v>0.59387848332571946</v>
      </c>
      <c r="Y14" s="1102"/>
      <c r="Z14" s="103"/>
      <c r="AA14" s="144"/>
      <c r="AB14" s="30" t="str">
        <f t="shared" si="21"/>
        <v>Isle of Wight</v>
      </c>
      <c r="AC14" s="29">
        <v>6</v>
      </c>
      <c r="AD14" s="30" t="str">
        <f t="shared" si="22"/>
        <v>Isle of WightNumber</v>
      </c>
      <c r="AE14" s="31" t="b">
        <f t="shared" si="23"/>
        <v>0</v>
      </c>
      <c r="AF14" s="341">
        <f>IF(Year5_Isle_of_Wight Year5_ReferralSource_Individual_Family="","",Year5_Isle_of_Wight Year5_ReferralSource_Individual_Family)</f>
        <v>294</v>
      </c>
      <c r="AG14" s="342" t="str">
        <f>IF(Year5_Isle_of_Wight Year5_ReferralSource_Individual_Acquaintance="","",Year5_Isle_of_Wight Year5_ReferralSource_Individual_Acquaintance)</f>
        <v/>
      </c>
      <c r="AH14" s="342" t="str">
        <f>IF(Year5_Isle_of_Wight Year5_ReferralSource_Individual_Self="","",Year5_Isle_of_Wight Year5_ReferralSource_Individual_Self)</f>
        <v/>
      </c>
      <c r="AI14" s="342" t="str">
        <f>IF(Year5_Isle_of_Wight Year5_ReferralSource_Individual_Other="","",Year5_Isle_of_Wight Year5_ReferralSource_Individual_Other)</f>
        <v/>
      </c>
      <c r="AJ14" s="342">
        <f>IF(Year5_Isle_of_Wight Year5_ReferralSource_School="","",Year5_Isle_of_Wight Year5_ReferralSource_School)</f>
        <v>1502</v>
      </c>
      <c r="AK14" s="342">
        <f>IF(Year5_Isle_of_Wight Year5_ReferralSource_EducationServices="","",Year5_Isle_of_Wight Year5_ReferralSource_EducationServices)</f>
        <v>10</v>
      </c>
      <c r="AL14" s="342">
        <f>IF(Year5_Isle_of_Wight Year5_ReferralSource_Health_services_GP="","",Year5_Isle_of_Wight Year5_ReferralSource_Health_services_GP)</f>
        <v>639</v>
      </c>
      <c r="AM14" s="342" t="str">
        <f>IF(Year5_Isle_of_Wight Year5_ReferralSource_Health_services_HealthVisitor="","",Year5_Isle_of_Wight Year5_ReferralSource_Health_services_HealthVisitor)</f>
        <v/>
      </c>
      <c r="AN14" s="342" t="str">
        <f>IF(Year5_Isle_of_Wight Year5_ReferralSource_Health_services_SchoolNurse="","",Year5_Isle_of_Wight Year5_ReferralSource_Health_services_SchoolNurse)</f>
        <v/>
      </c>
      <c r="AO14" s="342" t="str">
        <f>IF(Year5_Isle_of_Wight Year5_ReferralSource_Health_services_OthPrimary="","",Year5_Isle_of_Wight Year5_ReferralSource_Health_services_OthPrimary)</f>
        <v/>
      </c>
      <c r="AP14" s="342" t="str">
        <f>IF(Year5_Isle_of_Wight Year5_ReferralSource_Health_services_AE="","",Year5_Isle_of_Wight Year5_ReferralSource_Health_services_AE)</f>
        <v/>
      </c>
      <c r="AQ14" s="342" t="str">
        <f>IF(Year5_Isle_of_Wight Year5_ReferralSource_Health_services_Other="","",Year5_Isle_of_Wight Year5_ReferralSource_Health_services_Other)</f>
        <v/>
      </c>
      <c r="AR14" s="342">
        <f>IF(Year5_Isle_of_Wight Year5_ReferralSource_Housing="","",Year5_Isle_of_Wight Year5_ReferralSource_Housing)</f>
        <v>61</v>
      </c>
      <c r="AS14" s="342">
        <f>IF(Year5_Isle_of_Wight Year5_ReferralSource_LA_SC="","",Year5_Isle_of_Wight Year5_ReferralSource_LA_SC)</f>
        <v>286</v>
      </c>
      <c r="AT14" s="342" t="str">
        <f>IF(Year5_Isle_of_Wight Year5_ReferralSource_LA_Other="","",Year5_Isle_of_Wight Year5_ReferralSource_LA_Other)</f>
        <v/>
      </c>
      <c r="AU14" s="342" t="str">
        <f>IF(Year5_Isle_of_Wight Year5_ReferralSource_LA_External="","",Year5_Isle_of_Wight Year5_ReferralSource_LA_External)</f>
        <v/>
      </c>
      <c r="AV14" s="342">
        <f>IF(Year5_Isle_of_Wight Year5_ReferralSource_Police="","",Year5_Isle_of_Wight Year5_ReferralSource_Police)</f>
        <v>977</v>
      </c>
      <c r="AW14" s="342">
        <f>IF(Year5_Isle_of_Wight Year5_ReferralSource_Other_Legal="","",Year5_Isle_of_Wight Year5_ReferralSource_Other_Legal)</f>
        <v>149</v>
      </c>
      <c r="AX14" s="342">
        <f>IF(Year5_Isle_of_Wight Year5_ReferralSource_Other="","",Year5_Isle_of_Wight Year5_ReferralSource_Other)</f>
        <v>353</v>
      </c>
      <c r="AY14" s="342">
        <f>IF(Year5_Isle_of_Wight Year5_ReferralSource_Anonymous="","",Year5_Isle_of_Wight Year5_ReferralSource_Anonymous)</f>
        <v>81</v>
      </c>
      <c r="AZ14" s="343">
        <f>IF(Year5_Isle_of_Wight Year5_ReferralSource_Unknown="","",Year5_Isle_of_Wight Year5_ReferralSource_Unknown)</f>
        <v>26</v>
      </c>
      <c r="BA14" s="39">
        <f t="shared" si="24"/>
        <v>4378</v>
      </c>
      <c r="BB14" s="61">
        <f>IF(BA14&gt;0,Population!H16,0)</f>
        <v>23438</v>
      </c>
      <c r="BC14" s="110">
        <f t="shared" si="25"/>
        <v>1867.906817987883</v>
      </c>
    </row>
    <row r="15" spans="1:55" s="61" customFormat="1" ht="13.5" hidden="1" customHeight="1">
      <c r="A15" s="1103">
        <f>VLOOKUP(B15,ReportData!$AQ$4:$AR$25,2,FALSE)</f>
        <v>0</v>
      </c>
      <c r="B15" s="885" t="str">
        <f>ReportData!$K$10</f>
        <v>Kent</v>
      </c>
      <c r="C15" s="896"/>
      <c r="D15" s="1104">
        <f t="shared" si="0"/>
        <v>7.328605200945626</v>
      </c>
      <c r="E15" s="1104" t="str">
        <f t="shared" si="1"/>
        <v/>
      </c>
      <c r="F15" s="1104" t="str">
        <f t="shared" si="2"/>
        <v/>
      </c>
      <c r="G15" s="1104" t="str">
        <f t="shared" si="3"/>
        <v/>
      </c>
      <c r="H15" s="1104">
        <f t="shared" si="4"/>
        <v>25.216706067769895</v>
      </c>
      <c r="I15" s="1104">
        <f t="shared" si="5"/>
        <v>0.52258305337812616</v>
      </c>
      <c r="J15" s="1104">
        <f t="shared" si="6"/>
        <v>14.41665629795529</v>
      </c>
      <c r="K15" s="1104" t="str">
        <f t="shared" si="7"/>
        <v/>
      </c>
      <c r="L15" s="1104" t="str">
        <f t="shared" si="8"/>
        <v/>
      </c>
      <c r="M15" s="1104" t="str">
        <f t="shared" si="9"/>
        <v/>
      </c>
      <c r="N15" s="1104" t="str">
        <f t="shared" si="10"/>
        <v/>
      </c>
      <c r="O15" s="1104" t="str">
        <f t="shared" si="11"/>
        <v/>
      </c>
      <c r="P15" s="1104">
        <f t="shared" si="12"/>
        <v>1.7046161503048403</v>
      </c>
      <c r="Q15" s="1104">
        <f t="shared" si="13"/>
        <v>10.464103521214383</v>
      </c>
      <c r="R15" s="1104" t="str">
        <f t="shared" si="14"/>
        <v/>
      </c>
      <c r="S15" s="1104" t="str">
        <f t="shared" si="15"/>
        <v/>
      </c>
      <c r="T15" s="1104">
        <f t="shared" si="16"/>
        <v>21.31392310563643</v>
      </c>
      <c r="U15" s="1104">
        <f t="shared" si="17"/>
        <v>13.46273485131268</v>
      </c>
      <c r="V15" s="1104">
        <f t="shared" si="18"/>
        <v>2.6875699888017914</v>
      </c>
      <c r="W15" s="1104">
        <f t="shared" si="19"/>
        <v>0.69262991995354817</v>
      </c>
      <c r="X15" s="1105">
        <f t="shared" si="20"/>
        <v>2.1898718427273858</v>
      </c>
      <c r="Y15" s="1102"/>
      <c r="Z15" s="103"/>
      <c r="AA15" s="144"/>
      <c r="AB15" s="30" t="str">
        <f t="shared" si="21"/>
        <v>Kent</v>
      </c>
      <c r="AC15" s="29">
        <v>7</v>
      </c>
      <c r="AD15" s="30" t="str">
        <f t="shared" si="22"/>
        <v>KentNumber</v>
      </c>
      <c r="AE15" s="31" t="b">
        <f t="shared" si="23"/>
        <v>0</v>
      </c>
      <c r="AF15" s="341">
        <f>IF(Year5_Kent Year5_ReferralSource_Individual_Family="","",Year5_Kent Year5_ReferralSource_Individual_Family)</f>
        <v>1767</v>
      </c>
      <c r="AG15" s="342" t="str">
        <f>IF(Year5_Kent Year5_ReferralSource_Individual_Acquaintance="","",Year5_Kent Year5_ReferralSource_Individual_Acquaintance)</f>
        <v/>
      </c>
      <c r="AH15" s="342" t="str">
        <f>IF(Year5_Kent Year5_ReferralSource_Individual_Self="","",Year5_Kent Year5_ReferralSource_Individual_Self)</f>
        <v/>
      </c>
      <c r="AI15" s="342" t="str">
        <f>IF(Year5_Kent Year5_ReferralSource_Individual_Other="","",Year5_Kent Year5_ReferralSource_Individual_Other)</f>
        <v/>
      </c>
      <c r="AJ15" s="342">
        <f>IF(Year5_Kent Year5_ReferralSource_School="","",Year5_Kent Year5_ReferralSource_School)</f>
        <v>6080</v>
      </c>
      <c r="AK15" s="342">
        <f>IF(Year5_Kent Year5_ReferralSource_EducationServices="","",Year5_Kent Year5_ReferralSource_EducationServices)</f>
        <v>126</v>
      </c>
      <c r="AL15" s="342">
        <f>IF(Year5_Kent Year5_ReferralSource_Health_services_GP="","",Year5_Kent Year5_ReferralSource_Health_services_GP)</f>
        <v>3476</v>
      </c>
      <c r="AM15" s="342" t="str">
        <f>IF(Year5_Kent Year5_ReferralSource_Health_services_HealthVisitor="","",Year5_Kent Year5_ReferralSource_Health_services_HealthVisitor)</f>
        <v/>
      </c>
      <c r="AN15" s="342" t="str">
        <f>IF(Year5_Kent Year5_ReferralSource_Health_services_SchoolNurse="","",Year5_Kent Year5_ReferralSource_Health_services_SchoolNurse)</f>
        <v/>
      </c>
      <c r="AO15" s="342" t="str">
        <f>IF(Year5_Kent Year5_ReferralSource_Health_services_OthPrimary="","",Year5_Kent Year5_ReferralSource_Health_services_OthPrimary)</f>
        <v/>
      </c>
      <c r="AP15" s="342" t="str">
        <f>IF(Year5_Kent Year5_ReferralSource_Health_services_AE="","",Year5_Kent Year5_ReferralSource_Health_services_AE)</f>
        <v/>
      </c>
      <c r="AQ15" s="342" t="str">
        <f>IF(Year5_Kent Year5_ReferralSource_Health_services_Other="","",Year5_Kent Year5_ReferralSource_Health_services_Other)</f>
        <v/>
      </c>
      <c r="AR15" s="342">
        <f>IF(Year5_Kent Year5_ReferralSource_Housing="","",Year5_Kent Year5_ReferralSource_Housing)</f>
        <v>411</v>
      </c>
      <c r="AS15" s="342">
        <f>IF(Year5_Kent Year5_ReferralSource_LA_SC="","",Year5_Kent Year5_ReferralSource_LA_SC)</f>
        <v>2523</v>
      </c>
      <c r="AT15" s="342" t="str">
        <f>IF(Year5_Kent Year5_ReferralSource_LA_Other="","",Year5_Kent Year5_ReferralSource_LA_Other)</f>
        <v/>
      </c>
      <c r="AU15" s="342" t="str">
        <f>IF(Year5_Kent Year5_ReferralSource_LA_External="","",Year5_Kent Year5_ReferralSource_LA_External)</f>
        <v/>
      </c>
      <c r="AV15" s="342">
        <f>IF(Year5_Kent Year5_ReferralSource_Police="","",Year5_Kent Year5_ReferralSource_Police)</f>
        <v>5139</v>
      </c>
      <c r="AW15" s="342">
        <f>IF(Year5_Kent Year5_ReferralSource_Other_Legal="","",Year5_Kent Year5_ReferralSource_Other_Legal)</f>
        <v>3246</v>
      </c>
      <c r="AX15" s="342">
        <f>IF(Year5_Kent Year5_ReferralSource_Other="","",Year5_Kent Year5_ReferralSource_Other)</f>
        <v>648</v>
      </c>
      <c r="AY15" s="342">
        <f>IF(Year5_Kent Year5_ReferralSource_Anonymous="","",Year5_Kent Year5_ReferralSource_Anonymous)</f>
        <v>167</v>
      </c>
      <c r="AZ15" s="343">
        <f>IF(Year5_Kent Year5_ReferralSource_Unknown="","",Year5_Kent Year5_ReferralSource_Unknown)</f>
        <v>528</v>
      </c>
      <c r="BA15" s="39">
        <f t="shared" si="24"/>
        <v>24111</v>
      </c>
      <c r="BB15" s="61">
        <f>IF(BA15&gt;0,Population!H17,0)</f>
        <v>348332</v>
      </c>
      <c r="BC15" s="110">
        <f t="shared" si="25"/>
        <v>692.18446769174238</v>
      </c>
    </row>
    <row r="16" spans="1:55" s="61" customFormat="1" ht="13.5" hidden="1" customHeight="1">
      <c r="A16" s="1103">
        <f>VLOOKUP(B16,ReportData!$AQ$4:$AR$25,2,FALSE)</f>
        <v>0</v>
      </c>
      <c r="B16" s="885" t="str">
        <f>ReportData!$K$11</f>
        <v>Medway</v>
      </c>
      <c r="C16" s="896"/>
      <c r="D16" s="1104">
        <f t="shared" si="0"/>
        <v>7.9500283929585471</v>
      </c>
      <c r="E16" s="1104" t="str">
        <f t="shared" si="1"/>
        <v/>
      </c>
      <c r="F16" s="1104" t="str">
        <f t="shared" si="2"/>
        <v/>
      </c>
      <c r="G16" s="1104" t="str">
        <f t="shared" si="3"/>
        <v/>
      </c>
      <c r="H16" s="1104">
        <f t="shared" si="4"/>
        <v>30.512966117736134</v>
      </c>
      <c r="I16" s="1104">
        <f t="shared" si="5"/>
        <v>0.35964414158621993</v>
      </c>
      <c r="J16" s="1104">
        <f t="shared" si="6"/>
        <v>11.20575430626538</v>
      </c>
      <c r="K16" s="1104" t="str">
        <f t="shared" si="7"/>
        <v/>
      </c>
      <c r="L16" s="1104" t="str">
        <f t="shared" si="8"/>
        <v/>
      </c>
      <c r="M16" s="1104" t="str">
        <f t="shared" si="9"/>
        <v/>
      </c>
      <c r="N16" s="1104" t="str">
        <f t="shared" si="10"/>
        <v/>
      </c>
      <c r="O16" s="1104" t="str">
        <f t="shared" si="11"/>
        <v/>
      </c>
      <c r="P16" s="1104">
        <f t="shared" si="12"/>
        <v>1.722506151807685</v>
      </c>
      <c r="Q16" s="1104">
        <f t="shared" si="13"/>
        <v>13.382547794813554</v>
      </c>
      <c r="R16" s="1104" t="str">
        <f t="shared" si="14"/>
        <v/>
      </c>
      <c r="S16" s="1104" t="str">
        <f t="shared" si="15"/>
        <v/>
      </c>
      <c r="T16" s="1104">
        <f t="shared" si="16"/>
        <v>23.736513344690515</v>
      </c>
      <c r="U16" s="1104">
        <f t="shared" si="17"/>
        <v>4.2589437819420786</v>
      </c>
      <c r="V16" s="1104">
        <f t="shared" si="18"/>
        <v>2.4796517130418323</v>
      </c>
      <c r="W16" s="1104">
        <f t="shared" si="19"/>
        <v>4.2400151429112247</v>
      </c>
      <c r="X16" s="1105">
        <f t="shared" si="20"/>
        <v>0.15142911224682945</v>
      </c>
      <c r="Y16" s="1102"/>
      <c r="Z16" s="103"/>
      <c r="AA16" s="144"/>
      <c r="AB16" s="30" t="str">
        <f t="shared" si="21"/>
        <v>Medway</v>
      </c>
      <c r="AC16" s="29">
        <v>8</v>
      </c>
      <c r="AD16" s="30" t="str">
        <f t="shared" si="22"/>
        <v>MedwayNumber</v>
      </c>
      <c r="AE16" s="31" t="b">
        <f t="shared" si="23"/>
        <v>0</v>
      </c>
      <c r="AF16" s="341">
        <f>IF(Year5_Medway Year5_ReferralSource_Individual_Family="","",Year5_Medway Year5_ReferralSource_Individual_Family)</f>
        <v>420</v>
      </c>
      <c r="AG16" s="342" t="str">
        <f>IF(Year5_Medway Year5_ReferralSource_Individual_Acquaintance="","",Year5_Medway Year5_ReferralSource_Individual_Acquaintance)</f>
        <v/>
      </c>
      <c r="AH16" s="342" t="str">
        <f>IF(Year5_Medway Year5_ReferralSource_Individual_Self="","",Year5_Medway Year5_ReferralSource_Individual_Self)</f>
        <v/>
      </c>
      <c r="AI16" s="342" t="str">
        <f>IF(Year5_Medway Year5_ReferralSource_Individual_Other="","",Year5_Medway Year5_ReferralSource_Individual_Other)</f>
        <v/>
      </c>
      <c r="AJ16" s="342">
        <f>IF(Year5_Medway Year5_ReferralSource_School="","",Year5_Medway Year5_ReferralSource_School)</f>
        <v>1612</v>
      </c>
      <c r="AK16" s="342">
        <f>IF(Year5_Medway Year5_ReferralSource_EducationServices="","",Year5_Medway Year5_ReferralSource_EducationServices)</f>
        <v>19</v>
      </c>
      <c r="AL16" s="342">
        <f>IF(Year5_Medway Year5_ReferralSource_Health_services_GP="","",Year5_Medway Year5_ReferralSource_Health_services_GP)</f>
        <v>592</v>
      </c>
      <c r="AM16" s="342" t="str">
        <f>IF(Year5_Medway Year5_ReferralSource_Health_services_HealthVisitor="","",Year5_Medway Year5_ReferralSource_Health_services_HealthVisitor)</f>
        <v/>
      </c>
      <c r="AN16" s="342" t="str">
        <f>IF(Year5_Medway Year5_ReferralSource_Health_services_SchoolNurse="","",Year5_Medway Year5_ReferralSource_Health_services_SchoolNurse)</f>
        <v/>
      </c>
      <c r="AO16" s="342" t="str">
        <f>IF(Year5_Medway Year5_ReferralSource_Health_services_OthPrimary="","",Year5_Medway Year5_ReferralSource_Health_services_OthPrimary)</f>
        <v/>
      </c>
      <c r="AP16" s="342" t="str">
        <f>IF(Year5_Medway Year5_ReferralSource_Health_services_AE="","",Year5_Medway Year5_ReferralSource_Health_services_AE)</f>
        <v/>
      </c>
      <c r="AQ16" s="342" t="str">
        <f>IF(Year5_Medway Year5_ReferralSource_Health_services_Other="","",Year5_Medway Year5_ReferralSource_Health_services_Other)</f>
        <v/>
      </c>
      <c r="AR16" s="342">
        <f>IF(Year5_Medway Year5_ReferralSource_Housing="","",Year5_Medway Year5_ReferralSource_Housing)</f>
        <v>91</v>
      </c>
      <c r="AS16" s="342">
        <f>IF(Year5_Medway Year5_ReferralSource_LA_SC="","",Year5_Medway Year5_ReferralSource_LA_SC)</f>
        <v>707</v>
      </c>
      <c r="AT16" s="342" t="str">
        <f>IF(Year5_Medway Year5_ReferralSource_LA_Other="","",Year5_Medway Year5_ReferralSource_LA_Other)</f>
        <v/>
      </c>
      <c r="AU16" s="342" t="str">
        <f>IF(Year5_Medway Year5_ReferralSource_LA_External="","",Year5_Medway Year5_ReferralSource_LA_External)</f>
        <v/>
      </c>
      <c r="AV16" s="342">
        <f>IF(Year5_Medway Year5_ReferralSource_Police="","",Year5_Medway Year5_ReferralSource_Police)</f>
        <v>1254</v>
      </c>
      <c r="AW16" s="342">
        <f>IF(Year5_Medway Year5_ReferralSource_Other_Legal="","",Year5_Medway Year5_ReferralSource_Other_Legal)</f>
        <v>225</v>
      </c>
      <c r="AX16" s="342">
        <f>IF(Year5_Medway Year5_ReferralSource_Other="","",Year5_Medway Year5_ReferralSource_Other)</f>
        <v>131</v>
      </c>
      <c r="AY16" s="342">
        <f>IF(Year5_Medway Year5_ReferralSource_Anonymous="","",Year5_Medway Year5_ReferralSource_Anonymous)</f>
        <v>224</v>
      </c>
      <c r="AZ16" s="343">
        <f>IF(Year5_Medway Year5_ReferralSource_Unknown="","",Year5_Medway Year5_ReferralSource_Unknown)</f>
        <v>8</v>
      </c>
      <c r="BA16" s="39">
        <f t="shared" si="24"/>
        <v>5283</v>
      </c>
      <c r="BB16" s="61">
        <f>IF(BA16&gt;0,Population!H18,0)</f>
        <v>66687</v>
      </c>
      <c r="BC16" s="110">
        <f t="shared" si="25"/>
        <v>792.20837644518429</v>
      </c>
    </row>
    <row r="17" spans="1:65" s="61" customFormat="1" ht="13.5" hidden="1" customHeight="1">
      <c r="A17" s="1103">
        <f>VLOOKUP(B17,ReportData!$AQ$4:$AR$25,2,FALSE)</f>
        <v>0</v>
      </c>
      <c r="B17" s="885" t="str">
        <f>ReportData!$K$12</f>
        <v>Milton Keynes</v>
      </c>
      <c r="C17" s="896"/>
      <c r="D17" s="1104">
        <f t="shared" si="0"/>
        <v>7.7448747152619593</v>
      </c>
      <c r="E17" s="1104" t="str">
        <f t="shared" si="1"/>
        <v/>
      </c>
      <c r="F17" s="1104" t="str">
        <f t="shared" si="2"/>
        <v/>
      </c>
      <c r="G17" s="1104" t="str">
        <f t="shared" si="3"/>
        <v/>
      </c>
      <c r="H17" s="1104">
        <f t="shared" si="4"/>
        <v>14.220631304913764</v>
      </c>
      <c r="I17" s="1104">
        <f t="shared" si="5"/>
        <v>9.9251545720794017</v>
      </c>
      <c r="J17" s="1104">
        <f t="shared" si="6"/>
        <v>12.495932313699967</v>
      </c>
      <c r="K17" s="1104" t="str">
        <f t="shared" si="7"/>
        <v/>
      </c>
      <c r="L17" s="1104" t="str">
        <f t="shared" si="8"/>
        <v/>
      </c>
      <c r="M17" s="1104" t="str">
        <f t="shared" si="9"/>
        <v/>
      </c>
      <c r="N17" s="1104" t="str">
        <f t="shared" si="10"/>
        <v/>
      </c>
      <c r="O17" s="1104" t="str">
        <f t="shared" si="11"/>
        <v/>
      </c>
      <c r="P17" s="1104">
        <f t="shared" si="12"/>
        <v>0</v>
      </c>
      <c r="Q17" s="1104">
        <f t="shared" si="13"/>
        <v>14.123006833712983</v>
      </c>
      <c r="R17" s="1104" t="str">
        <f t="shared" si="14"/>
        <v/>
      </c>
      <c r="S17" s="1104" t="str">
        <f t="shared" si="15"/>
        <v/>
      </c>
      <c r="T17" s="1104">
        <f t="shared" si="16"/>
        <v>32.085909534656686</v>
      </c>
      <c r="U17" s="1104">
        <f t="shared" si="17"/>
        <v>3.6771884152294176</v>
      </c>
      <c r="V17" s="1104">
        <f t="shared" si="18"/>
        <v>3.6446469248291571</v>
      </c>
      <c r="W17" s="1104">
        <f t="shared" si="19"/>
        <v>2.0826553856166612</v>
      </c>
      <c r="X17" s="1105">
        <f t="shared" si="20"/>
        <v>0</v>
      </c>
      <c r="Y17" s="1102"/>
      <c r="Z17" s="103"/>
      <c r="AA17" s="144"/>
      <c r="AB17" s="30" t="str">
        <f t="shared" si="21"/>
        <v>Milton Keynes</v>
      </c>
      <c r="AC17" s="29">
        <v>9</v>
      </c>
      <c r="AD17" s="30" t="str">
        <f t="shared" si="22"/>
        <v>Milton KeynesNumber</v>
      </c>
      <c r="AE17" s="31" t="b">
        <f t="shared" si="23"/>
        <v>0</v>
      </c>
      <c r="AF17" s="341">
        <f>IF(Year5_Milton_Keynes Year5_ReferralSource_Individual_Family="","",Year5_Milton_Keynes Year5_ReferralSource_Individual_Family)</f>
        <v>238</v>
      </c>
      <c r="AG17" s="342" t="str">
        <f>IF(Year5_Milton_Keynes Year5_ReferralSource_Individual_Acquaintance="","",Year5_Milton_Keynes Year5_ReferralSource_Individual_Acquaintance)</f>
        <v/>
      </c>
      <c r="AH17" s="342" t="str">
        <f>IF(Year5_Milton_Keynes Year5_ReferralSource_Individual_Self="","",Year5_Milton_Keynes Year5_ReferralSource_Individual_Self)</f>
        <v/>
      </c>
      <c r="AI17" s="342" t="str">
        <f>IF(Year5_Milton_Keynes Year5_ReferralSource_Individual_Other="","",Year5_Milton_Keynes Year5_ReferralSource_Individual_Other)</f>
        <v/>
      </c>
      <c r="AJ17" s="342">
        <f>IF(Year5_Milton_Keynes Year5_ReferralSource_School="","",Year5_Milton_Keynes Year5_ReferralSource_School)</f>
        <v>437</v>
      </c>
      <c r="AK17" s="342">
        <f>IF(Year5_Milton_Keynes Year5_ReferralSource_EducationServices="","",Year5_Milton_Keynes Year5_ReferralSource_EducationServices)</f>
        <v>305</v>
      </c>
      <c r="AL17" s="342">
        <f>IF(Year5_Milton_Keynes Year5_ReferralSource_Health_services_GP="","",Year5_Milton_Keynes Year5_ReferralSource_Health_services_GP)</f>
        <v>384</v>
      </c>
      <c r="AM17" s="342" t="str">
        <f>IF(Year5_Milton_Keynes Year5_ReferralSource_Health_services_HealthVisitor="","",Year5_Milton_Keynes Year5_ReferralSource_Health_services_HealthVisitor)</f>
        <v/>
      </c>
      <c r="AN17" s="342" t="str">
        <f>IF(Year5_Milton_Keynes Year5_ReferralSource_Health_services_SchoolNurse="","",Year5_Milton_Keynes Year5_ReferralSource_Health_services_SchoolNurse)</f>
        <v/>
      </c>
      <c r="AO17" s="342" t="str">
        <f>IF(Year5_Milton_Keynes Year5_ReferralSource_Health_services_OthPrimary="","",Year5_Milton_Keynes Year5_ReferralSource_Health_services_OthPrimary)</f>
        <v/>
      </c>
      <c r="AP17" s="342" t="str">
        <f>IF(Year5_Milton_Keynes Year5_ReferralSource_Health_services_AE="","",Year5_Milton_Keynes Year5_ReferralSource_Health_services_AE)</f>
        <v/>
      </c>
      <c r="AQ17" s="342" t="str">
        <f>IF(Year5_Milton_Keynes Year5_ReferralSource_Health_services_Other="","",Year5_Milton_Keynes Year5_ReferralSource_Health_services_Other)</f>
        <v/>
      </c>
      <c r="AR17" s="342">
        <f>IF(Year5_Milton_Keynes Year5_ReferralSource_Housing="","",Year5_Milton_Keynes Year5_ReferralSource_Housing)</f>
        <v>0</v>
      </c>
      <c r="AS17" s="342">
        <f>IF(Year5_Milton_Keynes Year5_ReferralSource_LA_SC="","",Year5_Milton_Keynes Year5_ReferralSource_LA_SC)</f>
        <v>434</v>
      </c>
      <c r="AT17" s="342" t="str">
        <f>IF(Year5_Milton_Keynes Year5_ReferralSource_LA_Other="","",Year5_Milton_Keynes Year5_ReferralSource_LA_Other)</f>
        <v/>
      </c>
      <c r="AU17" s="342" t="str">
        <f>IF(Year5_Milton_Keynes Year5_ReferralSource_LA_External="","",Year5_Milton_Keynes Year5_ReferralSource_LA_External)</f>
        <v/>
      </c>
      <c r="AV17" s="342">
        <f>IF(Year5_Milton_Keynes Year5_ReferralSource_Police="","",Year5_Milton_Keynes Year5_ReferralSource_Police)</f>
        <v>986</v>
      </c>
      <c r="AW17" s="342">
        <f>IF(Year5_Milton_Keynes Year5_ReferralSource_Other_Legal="","",Year5_Milton_Keynes Year5_ReferralSource_Other_Legal)</f>
        <v>113</v>
      </c>
      <c r="AX17" s="342">
        <f>IF(Year5_Milton_Keynes Year5_ReferralSource_Other="","",Year5_Milton_Keynes Year5_ReferralSource_Other)</f>
        <v>112</v>
      </c>
      <c r="AY17" s="342">
        <f>IF(Year5_Milton_Keynes Year5_ReferralSource_Anonymous="","",Year5_Milton_Keynes Year5_ReferralSource_Anonymous)</f>
        <v>64</v>
      </c>
      <c r="AZ17" s="343">
        <f>IF(Year5_Milton_Keynes Year5_ReferralSource_Unknown="","",Year5_Milton_Keynes Year5_ReferralSource_Unknown)</f>
        <v>0</v>
      </c>
      <c r="BA17" s="39">
        <f t="shared" si="24"/>
        <v>3073</v>
      </c>
      <c r="BB17" s="61">
        <f>IF(BA17&gt;0,Population!H19,0)</f>
        <v>72797</v>
      </c>
      <c r="BC17" s="110">
        <f t="shared" si="25"/>
        <v>422.13278019698612</v>
      </c>
    </row>
    <row r="18" spans="1:65" s="61" customFormat="1" ht="13.5" hidden="1" customHeight="1">
      <c r="A18" s="1103">
        <f>VLOOKUP(B18,ReportData!$AQ$4:$AR$25,2,FALSE)</f>
        <v>0</v>
      </c>
      <c r="B18" s="885" t="str">
        <f>ReportData!$K$13</f>
        <v>Oxfordshire</v>
      </c>
      <c r="C18" s="896"/>
      <c r="D18" s="1104">
        <f t="shared" si="0"/>
        <v>8.0047553001783243</v>
      </c>
      <c r="E18" s="1104" t="str">
        <f t="shared" si="1"/>
        <v/>
      </c>
      <c r="F18" s="1104" t="str">
        <f t="shared" si="2"/>
        <v/>
      </c>
      <c r="G18" s="1104" t="str">
        <f t="shared" si="3"/>
        <v/>
      </c>
      <c r="H18" s="1104">
        <f t="shared" si="4"/>
        <v>19.17971071923915</v>
      </c>
      <c r="I18" s="1104">
        <f t="shared" si="5"/>
        <v>1.7436100653853777</v>
      </c>
      <c r="J18" s="1104">
        <f t="shared" si="6"/>
        <v>13.176144244105409</v>
      </c>
      <c r="K18" s="1104" t="str">
        <f t="shared" si="7"/>
        <v/>
      </c>
      <c r="L18" s="1104" t="str">
        <f t="shared" si="8"/>
        <v/>
      </c>
      <c r="M18" s="1104" t="str">
        <f t="shared" si="9"/>
        <v/>
      </c>
      <c r="N18" s="1104" t="str">
        <f t="shared" si="10"/>
        <v/>
      </c>
      <c r="O18" s="1104" t="str">
        <f t="shared" si="11"/>
        <v/>
      </c>
      <c r="P18" s="1104">
        <f t="shared" si="12"/>
        <v>0.87180503269268883</v>
      </c>
      <c r="Q18" s="1104">
        <f t="shared" si="13"/>
        <v>19.575985734099465</v>
      </c>
      <c r="R18" s="1104" t="str">
        <f t="shared" si="14"/>
        <v/>
      </c>
      <c r="S18" s="1104" t="str">
        <f t="shared" si="15"/>
        <v/>
      </c>
      <c r="T18" s="1104">
        <f t="shared" si="16"/>
        <v>28.769566078858727</v>
      </c>
      <c r="U18" s="1104">
        <f t="shared" si="17"/>
        <v>4.0221914008321775</v>
      </c>
      <c r="V18" s="1104">
        <f t="shared" si="18"/>
        <v>2.3380225876758467</v>
      </c>
      <c r="W18" s="1104">
        <f t="shared" si="19"/>
        <v>1.8823063205864872</v>
      </c>
      <c r="X18" s="1105">
        <f t="shared" si="20"/>
        <v>0.43590251634634442</v>
      </c>
      <c r="Y18" s="1102"/>
      <c r="Z18" s="103"/>
      <c r="AA18" s="144"/>
      <c r="AB18" s="30" t="str">
        <f t="shared" si="21"/>
        <v>Oxfordshire</v>
      </c>
      <c r="AC18" s="29">
        <v>10</v>
      </c>
      <c r="AD18" s="30" t="str">
        <f t="shared" si="22"/>
        <v>OxfordshireNumber</v>
      </c>
      <c r="AE18" s="31" t="b">
        <f t="shared" si="23"/>
        <v>0</v>
      </c>
      <c r="AF18" s="401">
        <f>IF(Year5_Oxfordshire Year5_ReferralSource_Individual_Family="","",Year5_Oxfordshire Year5_ReferralSource_Individual_Family)</f>
        <v>404</v>
      </c>
      <c r="AG18" s="344" t="str">
        <f>IF(Year5_Oxfordshire Year5_ReferralSource_Individual_Acquaintance="","",Year5_Oxfordshire Year5_ReferralSource_Individual_Acquaintance)</f>
        <v/>
      </c>
      <c r="AH18" s="344" t="str">
        <f>IF(Year5_Oxfordshire Year5_ReferralSource_Individual_Self="","",Year5_Oxfordshire Year5_ReferralSource_Individual_Self)</f>
        <v/>
      </c>
      <c r="AI18" s="344" t="str">
        <f>IF(Year5_Oxfordshire Year5_ReferralSource_Individual_Other="","",Year5_Oxfordshire Year5_ReferralSource_Individual_Other)</f>
        <v/>
      </c>
      <c r="AJ18" s="344">
        <f>IF(Year5_Oxfordshire Year5_ReferralSource_School="","",Year5_Oxfordshire Year5_ReferralSource_School)</f>
        <v>968</v>
      </c>
      <c r="AK18" s="344">
        <f>IF(Year5_Oxfordshire Year5_ReferralSource_EducationServices="","",Year5_Oxfordshire Year5_ReferralSource_EducationServices)</f>
        <v>88</v>
      </c>
      <c r="AL18" s="344">
        <f>IF(Year5_Oxfordshire Year5_ReferralSource_Health_services_GP="","",Year5_Oxfordshire Year5_ReferralSource_Health_services_GP)</f>
        <v>665</v>
      </c>
      <c r="AM18" s="344" t="str">
        <f>IF(Year5_Oxfordshire Year5_ReferralSource_Health_services_HealthVisitor="","",Year5_Oxfordshire Year5_ReferralSource_Health_services_HealthVisitor)</f>
        <v/>
      </c>
      <c r="AN18" s="344" t="str">
        <f>IF(Year5_Oxfordshire Year5_ReferralSource_Health_services_SchoolNurse="","",Year5_Oxfordshire Year5_ReferralSource_Health_services_SchoolNurse)</f>
        <v/>
      </c>
      <c r="AO18" s="344" t="str">
        <f>IF(Year5_Oxfordshire Year5_ReferralSource_Health_services_OthPrimary="","",Year5_Oxfordshire Year5_ReferralSource_Health_services_OthPrimary)</f>
        <v/>
      </c>
      <c r="AP18" s="344" t="str">
        <f>IF(Year5_Oxfordshire Year5_ReferralSource_Health_services_AE="","",Year5_Oxfordshire Year5_ReferralSource_Health_services_AE)</f>
        <v/>
      </c>
      <c r="AQ18" s="344" t="str">
        <f>IF(Year5_Oxfordshire Year5_ReferralSource_Health_services_Other="","",Year5_Oxfordshire Year5_ReferralSource_Health_services_Other)</f>
        <v/>
      </c>
      <c r="AR18" s="344">
        <f>IF(Year5_Oxfordshire Year5_ReferralSource_Housing="","",Year5_Oxfordshire Year5_ReferralSource_Housing)</f>
        <v>44</v>
      </c>
      <c r="AS18" s="344">
        <f>IF(Year5_Oxfordshire Year5_ReferralSource_LA_SC="","",Year5_Oxfordshire Year5_ReferralSource_LA_SC)</f>
        <v>988</v>
      </c>
      <c r="AT18" s="344" t="str">
        <f>IF(Year5_Oxfordshire Year5_ReferralSource_LA_Other="","",Year5_Oxfordshire Year5_ReferralSource_LA_Other)</f>
        <v/>
      </c>
      <c r="AU18" s="344" t="str">
        <f>IF(Year5_Oxfordshire Year5_ReferralSource_LA_External="","",Year5_Oxfordshire Year5_ReferralSource_LA_External)</f>
        <v/>
      </c>
      <c r="AV18" s="344">
        <f>IF(Year5_Oxfordshire Year5_ReferralSource_Police="","",Year5_Oxfordshire Year5_ReferralSource_Police)</f>
        <v>1452</v>
      </c>
      <c r="AW18" s="344">
        <f>IF(Year5_Oxfordshire Year5_ReferralSource_Other_Legal="","",Year5_Oxfordshire Year5_ReferralSource_Other_Legal)</f>
        <v>203</v>
      </c>
      <c r="AX18" s="344">
        <f>IF(Year5_Oxfordshire Year5_ReferralSource_Other="","",Year5_Oxfordshire Year5_ReferralSource_Other)</f>
        <v>118</v>
      </c>
      <c r="AY18" s="344">
        <f>IF(Year5_Oxfordshire Year5_ReferralSource_Anonymous="","",Year5_Oxfordshire Year5_ReferralSource_Anonymous)</f>
        <v>95</v>
      </c>
      <c r="AZ18" s="344">
        <f>IF(Year5_Oxfordshire Year5_ReferralSource_Unknown="","",Year5_Oxfordshire Year5_ReferralSource_Unknown)</f>
        <v>22</v>
      </c>
      <c r="BA18" s="39">
        <f t="shared" si="24"/>
        <v>5047</v>
      </c>
      <c r="BB18" s="61">
        <f>IF(BA18&gt;0,Population!H20,0)</f>
        <v>152505</v>
      </c>
      <c r="BC18" s="110">
        <f t="shared" si="25"/>
        <v>330.93996918133831</v>
      </c>
    </row>
    <row r="19" spans="1:65" s="61" customFormat="1" ht="13.5" hidden="1" customHeight="1">
      <c r="A19" s="1103">
        <f>VLOOKUP(B19,ReportData!$AQ$4:$AR$25,2,FALSE)</f>
        <v>0</v>
      </c>
      <c r="B19" s="885" t="str">
        <f>ReportData!$K$14</f>
        <v>Portsmouth</v>
      </c>
      <c r="C19" s="896"/>
      <c r="D19" s="1104">
        <f t="shared" si="0"/>
        <v>6.9444444444444446</v>
      </c>
      <c r="E19" s="1104" t="str">
        <f t="shared" si="1"/>
        <v/>
      </c>
      <c r="F19" s="1104" t="str">
        <f t="shared" si="2"/>
        <v/>
      </c>
      <c r="G19" s="1104" t="str">
        <f t="shared" si="3"/>
        <v/>
      </c>
      <c r="H19" s="1104">
        <f t="shared" si="4"/>
        <v>18.353174603174601</v>
      </c>
      <c r="I19" s="1104">
        <f t="shared" si="5"/>
        <v>0</v>
      </c>
      <c r="J19" s="1104">
        <f t="shared" si="6"/>
        <v>14.814814814814813</v>
      </c>
      <c r="K19" s="1104" t="str">
        <f t="shared" si="7"/>
        <v/>
      </c>
      <c r="L19" s="1104" t="str">
        <f t="shared" si="8"/>
        <v/>
      </c>
      <c r="M19" s="1104" t="str">
        <f t="shared" si="9"/>
        <v/>
      </c>
      <c r="N19" s="1104" t="str">
        <f t="shared" si="10"/>
        <v/>
      </c>
      <c r="O19" s="1104" t="str">
        <f t="shared" si="11"/>
        <v/>
      </c>
      <c r="P19" s="1104">
        <f t="shared" si="12"/>
        <v>2.0502645502645502</v>
      </c>
      <c r="Q19" s="1104">
        <f t="shared" si="13"/>
        <v>17.791005291005291</v>
      </c>
      <c r="R19" s="1104" t="str">
        <f t="shared" si="14"/>
        <v/>
      </c>
      <c r="S19" s="1104" t="str">
        <f t="shared" si="15"/>
        <v/>
      </c>
      <c r="T19" s="1104">
        <f t="shared" si="16"/>
        <v>29.100529100529098</v>
      </c>
      <c r="U19" s="1104">
        <f t="shared" si="17"/>
        <v>4.1005291005291005</v>
      </c>
      <c r="V19" s="1104">
        <f t="shared" si="18"/>
        <v>3.6706349206349209</v>
      </c>
      <c r="W19" s="1104">
        <f t="shared" si="19"/>
        <v>3.1746031746031744</v>
      </c>
      <c r="X19" s="1105">
        <f t="shared" si="20"/>
        <v>0</v>
      </c>
      <c r="Y19" s="1102"/>
      <c r="Z19" s="103"/>
      <c r="AA19" s="144"/>
      <c r="AB19" s="30" t="str">
        <f t="shared" si="21"/>
        <v>Portsmouth</v>
      </c>
      <c r="AC19" s="29">
        <v>11</v>
      </c>
      <c r="AD19" s="30" t="str">
        <f t="shared" si="22"/>
        <v>PortsmouthNumber</v>
      </c>
      <c r="AE19" s="31" t="b">
        <f t="shared" si="23"/>
        <v>0</v>
      </c>
      <c r="AF19" s="401">
        <f>IF(Year5_Portsmouth Year5_ReferralSource_Individual_Family="","",Year5_Portsmouth Year5_ReferralSource_Individual_Family)</f>
        <v>210</v>
      </c>
      <c r="AG19" s="344" t="str">
        <f>IF(Year5_Portsmouth Year5_ReferralSource_Individual_Acquaintance="","",Year5_Portsmouth Year5_ReferralSource_Individual_Acquaintance)</f>
        <v/>
      </c>
      <c r="AH19" s="344" t="str">
        <f>IF(Year5_Portsmouth Year5_ReferralSource_Individual_Self="","",Year5_Portsmouth Year5_ReferralSource_Individual_Self)</f>
        <v/>
      </c>
      <c r="AI19" s="344" t="str">
        <f>IF(Year5_Portsmouth Year5_ReferralSource_Individual_Other="","",Year5_Portsmouth Year5_ReferralSource_Individual_Other)</f>
        <v/>
      </c>
      <c r="AJ19" s="344">
        <f>IF(Year5_Portsmouth Year5_ReferralSource_School="","",Year5_Portsmouth Year5_ReferralSource_School)</f>
        <v>555</v>
      </c>
      <c r="AK19" s="344">
        <f>IF(Year5_Portsmouth Year5_ReferralSource_EducationServices="","",Year5_Portsmouth Year5_ReferralSource_EducationServices)</f>
        <v>0</v>
      </c>
      <c r="AL19" s="344">
        <f>IF(Year5_Portsmouth Year5_ReferralSource_Health_services_GP="","",Year5_Portsmouth Year5_ReferralSource_Health_services_GP)</f>
        <v>448</v>
      </c>
      <c r="AM19" s="344" t="str">
        <f>IF(Year5_Portsmouth Year5_ReferralSource_Health_services_HealthVisitor="","",Year5_Portsmouth Year5_ReferralSource_Health_services_HealthVisitor)</f>
        <v/>
      </c>
      <c r="AN19" s="344" t="str">
        <f>IF(Year5_Portsmouth Year5_ReferralSource_Health_services_SchoolNurse="","",Year5_Portsmouth Year5_ReferralSource_Health_services_SchoolNurse)</f>
        <v/>
      </c>
      <c r="AO19" s="344" t="str">
        <f>IF(Year5_Portsmouth Year5_ReferralSource_Health_services_OthPrimary="","",Year5_Portsmouth Year5_ReferralSource_Health_services_OthPrimary)</f>
        <v/>
      </c>
      <c r="AP19" s="344" t="str">
        <f>IF(Year5_Portsmouth Year5_ReferralSource_Health_services_AE="","",Year5_Portsmouth Year5_ReferralSource_Health_services_AE)</f>
        <v/>
      </c>
      <c r="AQ19" s="344" t="str">
        <f>IF(Year5_Portsmouth Year5_ReferralSource_Health_services_Other="","",Year5_Portsmouth Year5_ReferralSource_Health_services_Other)</f>
        <v/>
      </c>
      <c r="AR19" s="344">
        <f>IF(Year5_Portsmouth Year5_ReferralSource_Housing="","",Year5_Portsmouth Year5_ReferralSource_Housing)</f>
        <v>62</v>
      </c>
      <c r="AS19" s="344">
        <f>IF(Year5_Portsmouth Year5_ReferralSource_LA_SC="","",Year5_Portsmouth Year5_ReferralSource_LA_SC)</f>
        <v>538</v>
      </c>
      <c r="AT19" s="344" t="str">
        <f>IF(Year5_Portsmouth Year5_ReferralSource_LA_Other="","",Year5_Portsmouth Year5_ReferralSource_LA_Other)</f>
        <v/>
      </c>
      <c r="AU19" s="344" t="str">
        <f>IF(Year5_Portsmouth Year5_ReferralSource_LA_External="","",Year5_Portsmouth Year5_ReferralSource_LA_External)</f>
        <v/>
      </c>
      <c r="AV19" s="344">
        <f>IF(Year5_Portsmouth Year5_ReferralSource_Police="","",Year5_Portsmouth Year5_ReferralSource_Police)</f>
        <v>880</v>
      </c>
      <c r="AW19" s="344">
        <f>IF(Year5_Portsmouth Year5_ReferralSource_Other_Legal="","",Year5_Portsmouth Year5_ReferralSource_Other_Legal)</f>
        <v>124</v>
      </c>
      <c r="AX19" s="344">
        <f>IF(Year5_Portsmouth Year5_ReferralSource_Other="","",Year5_Portsmouth Year5_ReferralSource_Other)</f>
        <v>111</v>
      </c>
      <c r="AY19" s="344">
        <f>IF(Year5_Portsmouth Year5_ReferralSource_Anonymous="","",Year5_Portsmouth Year5_ReferralSource_Anonymous)</f>
        <v>96</v>
      </c>
      <c r="AZ19" s="344">
        <f>IF(Year5_Portsmouth Year5_ReferralSource_Unknown="","",Year5_Portsmouth Year5_ReferralSource_Unknown)</f>
        <v>0</v>
      </c>
      <c r="BA19" s="39">
        <f t="shared" si="24"/>
        <v>3024</v>
      </c>
      <c r="BB19" s="61">
        <f>IF(BA19&gt;0,Population!H21,0)</f>
        <v>42307</v>
      </c>
      <c r="BC19" s="110">
        <f t="shared" si="25"/>
        <v>714.77533268726222</v>
      </c>
    </row>
    <row r="20" spans="1:65" s="61" customFormat="1" ht="13.5" hidden="1" customHeight="1">
      <c r="A20" s="1103">
        <f>VLOOKUP(B20,ReportData!$AQ$4:$AR$25,2,FALSE)</f>
        <v>0</v>
      </c>
      <c r="B20" s="885" t="str">
        <f>ReportData!$K$15</f>
        <v>Reading</v>
      </c>
      <c r="C20" s="896"/>
      <c r="D20" s="1104">
        <f t="shared" si="0"/>
        <v>4.7952047952047954</v>
      </c>
      <c r="E20" s="1104" t="str">
        <f t="shared" si="1"/>
        <v/>
      </c>
      <c r="F20" s="1104" t="str">
        <f t="shared" si="2"/>
        <v/>
      </c>
      <c r="G20" s="1104" t="str">
        <f t="shared" si="3"/>
        <v/>
      </c>
      <c r="H20" s="1104">
        <f t="shared" si="4"/>
        <v>17.615717615717617</v>
      </c>
      <c r="I20" s="1104">
        <f t="shared" si="5"/>
        <v>0.89910089910089919</v>
      </c>
      <c r="J20" s="1104">
        <f t="shared" si="6"/>
        <v>15.251415251415251</v>
      </c>
      <c r="K20" s="1104" t="str">
        <f t="shared" si="7"/>
        <v/>
      </c>
      <c r="L20" s="1104" t="str">
        <f t="shared" si="8"/>
        <v/>
      </c>
      <c r="M20" s="1104" t="str">
        <f t="shared" si="9"/>
        <v/>
      </c>
      <c r="N20" s="1104" t="str">
        <f t="shared" si="10"/>
        <v/>
      </c>
      <c r="O20" s="1104" t="str">
        <f t="shared" si="11"/>
        <v/>
      </c>
      <c r="P20" s="1104">
        <f t="shared" si="12"/>
        <v>2.231102231102231</v>
      </c>
      <c r="Q20" s="1104">
        <f t="shared" si="13"/>
        <v>15.451215451215452</v>
      </c>
      <c r="R20" s="1104" t="str">
        <f t="shared" si="14"/>
        <v/>
      </c>
      <c r="S20" s="1104" t="str">
        <f t="shared" si="15"/>
        <v/>
      </c>
      <c r="T20" s="1104">
        <f t="shared" si="16"/>
        <v>34.532134532134535</v>
      </c>
      <c r="U20" s="1104">
        <f t="shared" si="17"/>
        <v>3.9960039960039961</v>
      </c>
      <c r="V20" s="1104">
        <f t="shared" si="18"/>
        <v>3.3633033633033631</v>
      </c>
      <c r="W20" s="1104">
        <f t="shared" si="19"/>
        <v>1.8648018648018647</v>
      </c>
      <c r="X20" s="1105">
        <f t="shared" si="20"/>
        <v>0</v>
      </c>
      <c r="Y20" s="1102"/>
      <c r="Z20" s="103"/>
      <c r="AA20" s="144"/>
      <c r="AB20" s="30" t="str">
        <f t="shared" si="21"/>
        <v>Reading</v>
      </c>
      <c r="AC20" s="29">
        <v>12</v>
      </c>
      <c r="AD20" s="30" t="str">
        <f t="shared" si="22"/>
        <v>ReadingNumber</v>
      </c>
      <c r="AE20" s="31" t="b">
        <f t="shared" si="23"/>
        <v>0</v>
      </c>
      <c r="AF20" s="401">
        <f>IF(Year5_Reading Year5_ReferralSource_Individual_Family="","",Year5_Reading Year5_ReferralSource_Individual_Family)</f>
        <v>144</v>
      </c>
      <c r="AG20" s="344" t="str">
        <f>IF(Year5_Reading Year5_ReferralSource_Individual_Acquaintance="","",Year5_Reading Year5_ReferralSource_Individual_Acquaintance)</f>
        <v/>
      </c>
      <c r="AH20" s="344" t="str">
        <f>IF(Year5_Reading Year5_ReferralSource_Individual_Self="","",Year5_Reading Year5_ReferralSource_Individual_Self)</f>
        <v/>
      </c>
      <c r="AI20" s="344" t="str">
        <f>IF(Year5_Reading Year5_ReferralSource_Individual_Other="","",Year5_Reading Year5_ReferralSource_Individual_Other)</f>
        <v/>
      </c>
      <c r="AJ20" s="344">
        <f>IF(Year5_Reading Year5_ReferralSource_School="","",Year5_Reading Year5_ReferralSource_School)</f>
        <v>529</v>
      </c>
      <c r="AK20" s="344">
        <f>IF(Year5_Reading Year5_ReferralSource_EducationServices="","",Year5_Reading Year5_ReferralSource_EducationServices)</f>
        <v>27</v>
      </c>
      <c r="AL20" s="344">
        <f>IF(Year5_Reading Year5_ReferralSource_Health_services_GP="","",Year5_Reading Year5_ReferralSource_Health_services_GP)</f>
        <v>458</v>
      </c>
      <c r="AM20" s="344" t="str">
        <f>IF(Year5_Reading Year5_ReferralSource_Health_services_HealthVisitor="","",Year5_Reading Year5_ReferralSource_Health_services_HealthVisitor)</f>
        <v/>
      </c>
      <c r="AN20" s="344" t="str">
        <f>IF(Year5_Reading Year5_ReferralSource_Health_services_SchoolNurse="","",Year5_Reading Year5_ReferralSource_Health_services_SchoolNurse)</f>
        <v/>
      </c>
      <c r="AO20" s="344" t="str">
        <f>IF(Year5_Reading Year5_ReferralSource_Health_services_OthPrimary="","",Year5_Reading Year5_ReferralSource_Health_services_OthPrimary)</f>
        <v/>
      </c>
      <c r="AP20" s="344" t="str">
        <f>IF(Year5_Reading Year5_ReferralSource_Health_services_AE="","",Year5_Reading Year5_ReferralSource_Health_services_AE)</f>
        <v/>
      </c>
      <c r="AQ20" s="344" t="str">
        <f>IF(Year5_Reading Year5_ReferralSource_Health_services_Other="","",Year5_Reading Year5_ReferralSource_Health_services_Other)</f>
        <v/>
      </c>
      <c r="AR20" s="344">
        <f>IF(Year5_Reading Year5_ReferralSource_Housing="","",Year5_Reading Year5_ReferralSource_Housing)</f>
        <v>67</v>
      </c>
      <c r="AS20" s="344">
        <f>IF(Year5_Reading Year5_ReferralSource_LA_SC="","",Year5_Reading Year5_ReferralSource_LA_SC)</f>
        <v>464</v>
      </c>
      <c r="AT20" s="344" t="str">
        <f>IF(Year5_Reading Year5_ReferralSource_LA_Other="","",Year5_Reading Year5_ReferralSource_LA_Other)</f>
        <v/>
      </c>
      <c r="AU20" s="344" t="str">
        <f>IF(Year5_Reading Year5_ReferralSource_LA_External="","",Year5_Reading Year5_ReferralSource_LA_External)</f>
        <v/>
      </c>
      <c r="AV20" s="344">
        <f>IF(Year5_Reading Year5_ReferralSource_Police="","",Year5_Reading Year5_ReferralSource_Police)</f>
        <v>1037</v>
      </c>
      <c r="AW20" s="344">
        <f>IF(Year5_Reading Year5_ReferralSource_Other_Legal="","",Year5_Reading Year5_ReferralSource_Other_Legal)</f>
        <v>120</v>
      </c>
      <c r="AX20" s="344">
        <f>IF(Year5_Reading Year5_ReferralSource_Other="","",Year5_Reading Year5_ReferralSource_Other)</f>
        <v>101</v>
      </c>
      <c r="AY20" s="344">
        <f>IF(Year5_Reading Year5_ReferralSource_Anonymous="","",Year5_Reading Year5_ReferralSource_Anonymous)</f>
        <v>56</v>
      </c>
      <c r="AZ20" s="344">
        <f>IF(Year5_Reading Year5_ReferralSource_Unknown="","",Year5_Reading Year5_ReferralSource_Unknown)</f>
        <v>0</v>
      </c>
      <c r="BA20" s="39">
        <f t="shared" si="24"/>
        <v>3003</v>
      </c>
      <c r="BB20" s="61">
        <f>IF(BA20&gt;0,Population!H22,0)</f>
        <v>37929</v>
      </c>
      <c r="BC20" s="110">
        <f t="shared" si="25"/>
        <v>791.74246618682275</v>
      </c>
    </row>
    <row r="21" spans="1:65" s="61" customFormat="1" ht="13.5" hidden="1" customHeight="1">
      <c r="A21" s="1103">
        <f>VLOOKUP(B21,ReportData!$AQ$4:$AR$25,2,FALSE)</f>
        <v>0</v>
      </c>
      <c r="B21" s="885" t="str">
        <f>ReportData!$K$16</f>
        <v>Slough</v>
      </c>
      <c r="C21" s="896"/>
      <c r="D21" s="1104">
        <f t="shared" si="0"/>
        <v>3.2826022082960309</v>
      </c>
      <c r="E21" s="1104" t="str">
        <f t="shared" si="1"/>
        <v/>
      </c>
      <c r="F21" s="1104" t="str">
        <f t="shared" si="2"/>
        <v/>
      </c>
      <c r="G21" s="1104" t="str">
        <f t="shared" si="3"/>
        <v/>
      </c>
      <c r="H21" s="1104">
        <f t="shared" si="4"/>
        <v>25.544613548194565</v>
      </c>
      <c r="I21" s="1104">
        <f t="shared" si="5"/>
        <v>0</v>
      </c>
      <c r="J21" s="1104">
        <f t="shared" si="6"/>
        <v>14.32408236347359</v>
      </c>
      <c r="K21" s="1104" t="str">
        <f t="shared" si="7"/>
        <v/>
      </c>
      <c r="L21" s="1104" t="str">
        <f t="shared" si="8"/>
        <v/>
      </c>
      <c r="M21" s="1104" t="str">
        <f t="shared" si="9"/>
        <v/>
      </c>
      <c r="N21" s="1104" t="str">
        <f t="shared" si="10"/>
        <v/>
      </c>
      <c r="O21" s="1104" t="str">
        <f t="shared" si="11"/>
        <v/>
      </c>
      <c r="P21" s="1104">
        <f t="shared" si="12"/>
        <v>0</v>
      </c>
      <c r="Q21" s="1104">
        <f t="shared" si="13"/>
        <v>9.9373321396598033</v>
      </c>
      <c r="R21" s="1104" t="str">
        <f t="shared" si="14"/>
        <v/>
      </c>
      <c r="S21" s="1104" t="str">
        <f t="shared" si="15"/>
        <v/>
      </c>
      <c r="T21" s="1104">
        <f t="shared" si="16"/>
        <v>38.94359892569382</v>
      </c>
      <c r="U21" s="1104">
        <f t="shared" si="17"/>
        <v>2.5962399283795885</v>
      </c>
      <c r="V21" s="1104">
        <f t="shared" si="18"/>
        <v>5.1626380185019398</v>
      </c>
      <c r="W21" s="1104">
        <f t="shared" si="19"/>
        <v>0.20889286780065652</v>
      </c>
      <c r="X21" s="1105">
        <f t="shared" si="20"/>
        <v>0</v>
      </c>
      <c r="Y21" s="1102"/>
      <c r="Z21" s="103"/>
      <c r="AA21" s="144"/>
      <c r="AB21" s="30" t="str">
        <f t="shared" si="21"/>
        <v>Slough</v>
      </c>
      <c r="AC21" s="29">
        <v>13</v>
      </c>
      <c r="AD21" s="30" t="str">
        <f t="shared" si="22"/>
        <v>SloughNumber</v>
      </c>
      <c r="AE21" s="31" t="b">
        <f t="shared" si="23"/>
        <v>0</v>
      </c>
      <c r="AF21" s="324">
        <f>IF(Year5_Slough Year5_ReferralSource_Individual_Family="","",Year5_Slough Year5_ReferralSource_Individual_Family)</f>
        <v>110</v>
      </c>
      <c r="AG21" s="325" t="str">
        <f>IF(Year5_Slough Year5_ReferralSource_Individual_Acquaintance="","",Year5_Slough Year5_ReferralSource_Individual_Acquaintance)</f>
        <v/>
      </c>
      <c r="AH21" s="325" t="str">
        <f>IF(Year5_Slough Year5_ReferralSource_Individual_Self="","",Year5_Slough Year5_ReferralSource_Individual_Self)</f>
        <v/>
      </c>
      <c r="AI21" s="325" t="str">
        <f>IF(Year5_Slough Year5_ReferralSource_Individual_Other="","",Year5_Slough Year5_ReferralSource_Individual_Other)</f>
        <v/>
      </c>
      <c r="AJ21" s="325">
        <f>IF(Year5_Slough Year5_ReferralSource_School="","",Year5_Slough Year5_ReferralSource_School)</f>
        <v>856</v>
      </c>
      <c r="AK21" s="325">
        <f>IF(Year5_Slough Year5_ReferralSource_EducationServices="","",Year5_Slough Year5_ReferralSource_EducationServices)</f>
        <v>0</v>
      </c>
      <c r="AL21" s="325">
        <f>IF(Year5_Slough Year5_ReferralSource_Health_services_GP="","",Year5_Slough Year5_ReferralSource_Health_services_GP)</f>
        <v>480</v>
      </c>
      <c r="AM21" s="325" t="str">
        <f>IF(Year5_Slough Year5_ReferralSource_Health_services_HealthVisitor="","",Year5_Slough Year5_ReferralSource_Health_services_HealthVisitor)</f>
        <v/>
      </c>
      <c r="AN21" s="325" t="str">
        <f>IF(Year5_Slough Year5_ReferralSource_Health_services_SchoolNurse="","",Year5_Slough Year5_ReferralSource_Health_services_SchoolNurse)</f>
        <v/>
      </c>
      <c r="AO21" s="325" t="str">
        <f>IF(Year5_Slough Year5_ReferralSource_Health_services_OthPrimary="","",Year5_Slough Year5_ReferralSource_Health_services_OthPrimary)</f>
        <v/>
      </c>
      <c r="AP21" s="325" t="str">
        <f>IF(Year5_Slough Year5_ReferralSource_Health_services_AE="","",Year5_Slough Year5_ReferralSource_Health_services_AE)</f>
        <v/>
      </c>
      <c r="AQ21" s="325" t="str">
        <f>IF(Year5_Slough Year5_ReferralSource_Health_services_Other="","",Year5_Slough Year5_ReferralSource_Health_services_Other)</f>
        <v/>
      </c>
      <c r="AR21" s="325">
        <f>IF(Year5_Slough Year5_ReferralSource_Housing="","",Year5_Slough Year5_ReferralSource_Housing)</f>
        <v>0</v>
      </c>
      <c r="AS21" s="325">
        <f>IF(Year5_Slough Year5_ReferralSource_LA_SC="","",Year5_Slough Year5_ReferralSource_LA_SC)</f>
        <v>333</v>
      </c>
      <c r="AT21" s="325" t="str">
        <f>IF(Year5_Slough Year5_ReferralSource_LA_Other="","",Year5_Slough Year5_ReferralSource_LA_Other)</f>
        <v/>
      </c>
      <c r="AU21" s="325" t="str">
        <f>IF(Year5_Slough Year5_ReferralSource_LA_External="","",Year5_Slough Year5_ReferralSource_LA_External)</f>
        <v/>
      </c>
      <c r="AV21" s="325">
        <f>IF(Year5_Slough Year5_ReferralSource_Police="","",Year5_Slough Year5_ReferralSource_Police)</f>
        <v>1305</v>
      </c>
      <c r="AW21" s="325">
        <f>IF(Year5_Slough Year5_ReferralSource_Other_Legal="","",Year5_Slough Year5_ReferralSource_Other_Legal)</f>
        <v>87</v>
      </c>
      <c r="AX21" s="325">
        <f>IF(Year5_Slough Year5_ReferralSource_Other="","",Year5_Slough Year5_ReferralSource_Other)</f>
        <v>173</v>
      </c>
      <c r="AY21" s="325">
        <f>IF(Year5_Slough Year5_ReferralSource_Anonymous="","",Year5_Slough Year5_ReferralSource_Anonymous)</f>
        <v>7</v>
      </c>
      <c r="AZ21" s="326">
        <f>IF(Year5_Slough Year5_ReferralSource_Unknown="","",Year5_Slough Year5_ReferralSource_Unknown)</f>
        <v>0</v>
      </c>
      <c r="BA21" s="39">
        <f t="shared" si="24"/>
        <v>3351</v>
      </c>
      <c r="BB21" s="61">
        <f>IF(BA21&gt;0,Population!H23,0)</f>
        <v>44849</v>
      </c>
      <c r="BC21" s="110">
        <f t="shared" si="25"/>
        <v>747.17385003010099</v>
      </c>
    </row>
    <row r="22" spans="1:65" s="61" customFormat="1" ht="13.5" hidden="1" customHeight="1">
      <c r="A22" s="1103" t="e">
        <f>VLOOKUP(B22,ReportData!$AQ$4:$AR$25,2,FALSE)</f>
        <v>#REF!</v>
      </c>
      <c r="B22" s="885" t="e">
        <f>ReportData!#REF!</f>
        <v>#REF!</v>
      </c>
      <c r="C22" s="896"/>
      <c r="D22" s="1104" t="e">
        <f t="shared" si="0"/>
        <v>#REF!</v>
      </c>
      <c r="E22" s="1104" t="e">
        <f t="shared" si="1"/>
        <v>#REF!</v>
      </c>
      <c r="F22" s="1104" t="e">
        <f t="shared" si="2"/>
        <v>#REF!</v>
      </c>
      <c r="G22" s="1104" t="e">
        <f t="shared" si="3"/>
        <v>#REF!</v>
      </c>
      <c r="H22" s="1104" t="e">
        <f t="shared" si="4"/>
        <v>#REF!</v>
      </c>
      <c r="I22" s="1104" t="e">
        <f t="shared" si="5"/>
        <v>#REF!</v>
      </c>
      <c r="J22" s="1104" t="e">
        <f t="shared" si="6"/>
        <v>#REF!</v>
      </c>
      <c r="K22" s="1104" t="e">
        <f t="shared" si="7"/>
        <v>#REF!</v>
      </c>
      <c r="L22" s="1104" t="e">
        <f t="shared" si="8"/>
        <v>#REF!</v>
      </c>
      <c r="M22" s="1104" t="e">
        <f t="shared" si="9"/>
        <v>#REF!</v>
      </c>
      <c r="N22" s="1104" t="e">
        <f t="shared" si="10"/>
        <v>#REF!</v>
      </c>
      <c r="O22" s="1104" t="e">
        <f t="shared" si="11"/>
        <v>#REF!</v>
      </c>
      <c r="P22" s="1104" t="e">
        <f t="shared" si="12"/>
        <v>#REF!</v>
      </c>
      <c r="Q22" s="1104" t="e">
        <f t="shared" si="13"/>
        <v>#REF!</v>
      </c>
      <c r="R22" s="1104" t="e">
        <f t="shared" si="14"/>
        <v>#REF!</v>
      </c>
      <c r="S22" s="1104" t="e">
        <f t="shared" si="15"/>
        <v>#REF!</v>
      </c>
      <c r="T22" s="1104" t="e">
        <f t="shared" si="16"/>
        <v>#REF!</v>
      </c>
      <c r="U22" s="1104" t="e">
        <f t="shared" si="17"/>
        <v>#REF!</v>
      </c>
      <c r="V22" s="1104" t="e">
        <f t="shared" si="18"/>
        <v>#REF!</v>
      </c>
      <c r="W22" s="1104" t="e">
        <f t="shared" si="19"/>
        <v>#REF!</v>
      </c>
      <c r="X22" s="1105" t="e">
        <f t="shared" si="20"/>
        <v>#REF!</v>
      </c>
      <c r="Y22" s="1102"/>
      <c r="Z22" s="103"/>
      <c r="AA22" s="144"/>
      <c r="AB22" s="30" t="e">
        <f t="shared" si="21"/>
        <v>#REF!</v>
      </c>
      <c r="AC22" s="29">
        <v>14</v>
      </c>
      <c r="AD22" s="30" t="e">
        <f t="shared" si="22"/>
        <v>#REF!</v>
      </c>
      <c r="AE22" s="31" t="e">
        <f t="shared" si="23"/>
        <v>#REF!</v>
      </c>
      <c r="AF22" s="402" t="e">
        <f>IF(Year5_Somerset Year5_ReferralSource_Individual_Family="","",Year5_Somerset Year5_ReferralSource_Individual_Family)</f>
        <v>#NAME?</v>
      </c>
      <c r="AG22" s="334" t="e">
        <f>IF(Year5_Somerset Year5_ReferralSource_Individual_Acquaintance="","",Year5_Somerset Year5_ReferralSource_Individual_Acquaintance)</f>
        <v>#NAME?</v>
      </c>
      <c r="AH22" s="334" t="e">
        <f>IF(Year5_Somerset Year5_ReferralSource_Individual_Self="","",Year5_Somerset Year5_ReferralSource_Individual_Self)</f>
        <v>#NAME?</v>
      </c>
      <c r="AI22" s="334" t="e">
        <f>IF(Year5_Somerset Year5_ReferralSource_Individual_Other="","",Year5_Somerset Year5_ReferralSource_Individual_Other)</f>
        <v>#NAME?</v>
      </c>
      <c r="AJ22" s="334" t="e">
        <f>IF(Year5_Somerset Year5_ReferralSource_School="","",Year5_Somerset Year5_ReferralSource_School)</f>
        <v>#NAME?</v>
      </c>
      <c r="AK22" s="334" t="e">
        <f>IF(Year5_Somerset Year5_ReferralSource_EducationServices="","",Year5_Somerset Year5_ReferralSource_EducationServices)</f>
        <v>#NAME?</v>
      </c>
      <c r="AL22" s="334" t="e">
        <f>IF(Year5_Somerset Year5_ReferralSource_Health_services_GP="","",Year5_Somerset Year5_ReferralSource_Health_services_GP)</f>
        <v>#NAME?</v>
      </c>
      <c r="AM22" s="334" t="e">
        <f>IF(Year5_Somerset Year5_ReferralSource_Health_services_HealthVisitor="","",Year5_Somerset Year5_ReferralSource_Health_services_HealthVisitor)</f>
        <v>#NAME?</v>
      </c>
      <c r="AN22" s="334" t="e">
        <f>IF(Year5_Somerset Year5_ReferralSource_Health_services_SchoolNurse="","",Year5_Somerset Year5_ReferralSource_Health_services_SchoolNurse)</f>
        <v>#NAME?</v>
      </c>
      <c r="AO22" s="334" t="e">
        <f>IF(Year5_Somerset Year5_ReferralSource_Health_services_OthPrimary="","",Year5_Somerset Year5_ReferralSource_Health_services_OthPrimary)</f>
        <v>#NAME?</v>
      </c>
      <c r="AP22" s="334" t="e">
        <f>IF(Year5_Somerset Year5_ReferralSource_Health_services_AE="","",Year5_Somerset Year5_ReferralSource_Health_services_AE)</f>
        <v>#NAME?</v>
      </c>
      <c r="AQ22" s="334" t="e">
        <f>IF(Year5_Somerset Year5_ReferralSource_Health_services_Other="","",Year5_Somerset Year5_ReferralSource_Health_services_Other)</f>
        <v>#NAME?</v>
      </c>
      <c r="AR22" s="334" t="e">
        <f>IF(Year5_Somerset Year5_ReferralSource_Housing="","",Year5_Somerset Year5_ReferralSource_Housing)</f>
        <v>#NAME?</v>
      </c>
      <c r="AS22" s="334" t="e">
        <f>IF(Year5_Somerset Year5_ReferralSource_LA_SC="","",Year5_Somerset Year5_ReferralSource_LA_SC)</f>
        <v>#NAME?</v>
      </c>
      <c r="AT22" s="334" t="e">
        <f>IF(Year5_Somerset Year5_ReferralSource_LA_Other="","",Year5_Somerset Year5_ReferralSource_LA_Other)</f>
        <v>#NAME?</v>
      </c>
      <c r="AU22" s="334" t="e">
        <f>IF(Year5_Somerset Year5_ReferralSource_LA_External="","",Year5_Somerset Year5_ReferralSource_LA_External)</f>
        <v>#NAME?</v>
      </c>
      <c r="AV22" s="334" t="e">
        <f>IF(Year5_Somerset Year5_ReferralSource_Police="","",Year5_Somerset Year5_ReferralSource_Police)</f>
        <v>#NAME?</v>
      </c>
      <c r="AW22" s="334" t="e">
        <f>IF(Year5_Somerset Year5_ReferralSource_Other_Legal="","",Year5_Somerset Year5_ReferralSource_Other_Legal)</f>
        <v>#NAME?</v>
      </c>
      <c r="AX22" s="334" t="e">
        <f>IF(Year5_Somerset Year5_ReferralSource_Other="","",Year5_Somerset Year5_ReferralSource_Other)</f>
        <v>#NAME?</v>
      </c>
      <c r="AY22" s="334" t="e">
        <f>IF(Year5_Somerset Year5_ReferralSource_Anonymous="","",Year5_Somerset Year5_ReferralSource_Anonymous)</f>
        <v>#NAME?</v>
      </c>
      <c r="AZ22" s="334" t="e">
        <f>IF(Year5_Somerset Year5_ReferralSource_Unknown="","",Year5_Somerset Year5_ReferralSource_Unknown)</f>
        <v>#NAME?</v>
      </c>
      <c r="BA22" s="39" t="e">
        <f t="shared" si="24"/>
        <v>#NAME?</v>
      </c>
      <c r="BB22" s="61" t="e">
        <f>IF(BA22&gt;0,Population!#REF!,0)</f>
        <v>#NAME?</v>
      </c>
      <c r="BC22" s="110" t="e">
        <f t="shared" si="25"/>
        <v>#NAME?</v>
      </c>
    </row>
    <row r="23" spans="1:65" s="61" customFormat="1" ht="13.5" hidden="1" customHeight="1">
      <c r="A23" s="1103">
        <f>VLOOKUP(B23,ReportData!$AQ$4:$AR$25,2,FALSE)</f>
        <v>0</v>
      </c>
      <c r="B23" s="885" t="str">
        <f>ReportData!$K$17</f>
        <v>Southampton</v>
      </c>
      <c r="C23" s="896"/>
      <c r="D23" s="1104">
        <f t="shared" si="0"/>
        <v>6.4641241111829357</v>
      </c>
      <c r="E23" s="1104" t="str">
        <f t="shared" si="1"/>
        <v/>
      </c>
      <c r="F23" s="1104" t="str">
        <f t="shared" si="2"/>
        <v/>
      </c>
      <c r="G23" s="1104" t="str">
        <f t="shared" si="3"/>
        <v/>
      </c>
      <c r="H23" s="1104">
        <f t="shared" si="4"/>
        <v>28.118939883645766</v>
      </c>
      <c r="I23" s="1104">
        <f t="shared" si="5"/>
        <v>0.7433742727860374</v>
      </c>
      <c r="J23" s="1104">
        <f t="shared" si="6"/>
        <v>14.835164835164836</v>
      </c>
      <c r="K23" s="1104" t="str">
        <f t="shared" si="7"/>
        <v/>
      </c>
      <c r="L23" s="1104" t="str">
        <f t="shared" si="8"/>
        <v/>
      </c>
      <c r="M23" s="1104" t="str">
        <f t="shared" si="9"/>
        <v/>
      </c>
      <c r="N23" s="1104" t="str">
        <f t="shared" si="10"/>
        <v/>
      </c>
      <c r="O23" s="1104" t="str">
        <f t="shared" si="11"/>
        <v/>
      </c>
      <c r="P23" s="1104">
        <f t="shared" si="12"/>
        <v>0.90497737556561098</v>
      </c>
      <c r="Q23" s="1104">
        <f t="shared" si="13"/>
        <v>13.542340012928248</v>
      </c>
      <c r="R23" s="1104" t="str">
        <f t="shared" si="14"/>
        <v/>
      </c>
      <c r="S23" s="1104" t="str">
        <f t="shared" si="15"/>
        <v/>
      </c>
      <c r="T23" s="1104">
        <f t="shared" si="16"/>
        <v>27.537168713639304</v>
      </c>
      <c r="U23" s="1104">
        <f t="shared" si="17"/>
        <v>3.3613445378151261</v>
      </c>
      <c r="V23" s="1104">
        <f t="shared" si="18"/>
        <v>3.8138332255979317</v>
      </c>
      <c r="W23" s="1104">
        <f t="shared" si="19"/>
        <v>0.67873303167420818</v>
      </c>
      <c r="X23" s="1105">
        <f t="shared" si="20"/>
        <v>0</v>
      </c>
      <c r="Y23" s="1102"/>
      <c r="Z23" s="103"/>
      <c r="AA23" s="144"/>
      <c r="AB23" s="30" t="str">
        <f t="shared" si="21"/>
        <v>Southampton</v>
      </c>
      <c r="AC23" s="29">
        <v>15</v>
      </c>
      <c r="AD23" s="30" t="str">
        <f t="shared" si="22"/>
        <v>SouthamptonNumber</v>
      </c>
      <c r="AE23" s="31" t="b">
        <f t="shared" si="23"/>
        <v>0</v>
      </c>
      <c r="AF23" s="403">
        <f>IF(Year5_Southampton Year5_ReferralSource_Individual_Family="","",Year5_Southampton Year5_ReferralSource_Individual_Family)</f>
        <v>200</v>
      </c>
      <c r="AG23" s="346" t="str">
        <f>IF(Year5_Southampton Year5_ReferralSource_Individual_Acquaintance="","",Year5_Southampton Year5_ReferralSource_Individual_Acquaintance)</f>
        <v/>
      </c>
      <c r="AH23" s="346" t="str">
        <f>IF(Year5_Southampton Year5_ReferralSource_Individual_Self="","",Year5_Southampton Year5_ReferralSource_Individual_Self)</f>
        <v/>
      </c>
      <c r="AI23" s="346" t="str">
        <f>IF(Year5_Southampton Year5_ReferralSource_Individual_Other="","",Year5_Southampton Year5_ReferralSource_Individual_Other)</f>
        <v/>
      </c>
      <c r="AJ23" s="346">
        <f>IF(Year5_Southampton Year5_ReferralSource_School="","",Year5_Southampton Year5_ReferralSource_School)</f>
        <v>870</v>
      </c>
      <c r="AK23" s="345">
        <f>IF(Year5_Southampton Year5_ReferralSource_EducationServices="","",Year5_Southampton Year5_ReferralSource_EducationServices)</f>
        <v>23</v>
      </c>
      <c r="AL23" s="345">
        <f>IF(Year5_Southampton Year5_ReferralSource_Health_services_GP="","",Year5_Southampton Year5_ReferralSource_Health_services_GP)</f>
        <v>459</v>
      </c>
      <c r="AM23" s="346" t="str">
        <f>IF(Year5_Southampton Year5_ReferralSource_Health_services_HealthVisitor="","",Year5_Southampton Year5_ReferralSource_Health_services_HealthVisitor)</f>
        <v/>
      </c>
      <c r="AN23" s="346" t="str">
        <f>IF(Year5_Southampton Year5_ReferralSource_Health_services_SchoolNurse="","",Year5_Southampton Year5_ReferralSource_Health_services_SchoolNurse)</f>
        <v/>
      </c>
      <c r="AO23" s="346" t="str">
        <f>IF(Year5_Southampton Year5_ReferralSource_Health_services_OthPrimary="","",Year5_Southampton Year5_ReferralSource_Health_services_OthPrimary)</f>
        <v/>
      </c>
      <c r="AP23" s="346" t="str">
        <f>IF(Year5_Southampton Year5_ReferralSource_Health_services_AE="","",Year5_Southampton Year5_ReferralSource_Health_services_AE)</f>
        <v/>
      </c>
      <c r="AQ23" s="346" t="str">
        <f>IF(Year5_Southampton Year5_ReferralSource_Health_services_Other="","",Year5_Southampton Year5_ReferralSource_Health_services_Other)</f>
        <v/>
      </c>
      <c r="AR23" s="345">
        <f>IF(Year5_Southampton Year5_ReferralSource_Housing="","",Year5_Southampton Year5_ReferralSource_Housing)</f>
        <v>28</v>
      </c>
      <c r="AS23" s="345">
        <f>IF(Year5_Southampton Year5_ReferralSource_LA_SC="","",Year5_Southampton Year5_ReferralSource_LA_SC)</f>
        <v>419</v>
      </c>
      <c r="AT23" s="346" t="str">
        <f>IF(Year5_Southampton Year5_ReferralSource_LA_Other="","",Year5_Southampton Year5_ReferralSource_LA_Other)</f>
        <v/>
      </c>
      <c r="AU23" s="346" t="str">
        <f>IF(Year5_Southampton Year5_ReferralSource_LA_External="","",Year5_Southampton Year5_ReferralSource_LA_External)</f>
        <v/>
      </c>
      <c r="AV23" s="345">
        <f>IF(Year5_Southampton Year5_ReferralSource_Police="","",Year5_Southampton Year5_ReferralSource_Police)</f>
        <v>852</v>
      </c>
      <c r="AW23" s="345">
        <f>IF(Year5_Southampton Year5_ReferralSource_Other_Legal="","",Year5_Southampton Year5_ReferralSource_Other_Legal)</f>
        <v>104</v>
      </c>
      <c r="AX23" s="345">
        <f>IF(Year5_Southampton Year5_ReferralSource_Other="","",Year5_Southampton Year5_ReferralSource_Other)</f>
        <v>118</v>
      </c>
      <c r="AY23" s="345">
        <f>IF(Year5_Southampton Year5_ReferralSource_Anonymous="","",Year5_Southampton Year5_ReferralSource_Anonymous)</f>
        <v>21</v>
      </c>
      <c r="AZ23" s="345">
        <f>IF(Year5_Southampton Year5_ReferralSource_Unknown="","",Year5_Southampton Year5_ReferralSource_Unknown)</f>
        <v>0</v>
      </c>
      <c r="BA23" s="39">
        <f t="shared" si="24"/>
        <v>3094</v>
      </c>
      <c r="BB23" s="61">
        <f>IF(BA23&gt;0,Population!H24,0)</f>
        <v>50373</v>
      </c>
      <c r="BC23" s="110">
        <f t="shared" si="25"/>
        <v>614.21793421078746</v>
      </c>
    </row>
    <row r="24" spans="1:65" s="61" customFormat="1" ht="13.5" hidden="1" customHeight="1">
      <c r="A24" s="1103">
        <f>VLOOKUP(B24,ReportData!$AQ$4:$AR$25,2,FALSE)</f>
        <v>0</v>
      </c>
      <c r="B24" s="885" t="str">
        <f>ReportData!$K$18</f>
        <v>Surrey</v>
      </c>
      <c r="C24" s="896"/>
      <c r="D24" s="1104">
        <f t="shared" si="0"/>
        <v>6.7300182244207241</v>
      </c>
      <c r="E24" s="1104" t="str">
        <f t="shared" si="1"/>
        <v/>
      </c>
      <c r="F24" s="1104" t="str">
        <f t="shared" si="2"/>
        <v/>
      </c>
      <c r="G24" s="1104" t="str">
        <f t="shared" si="3"/>
        <v/>
      </c>
      <c r="H24" s="1104">
        <f t="shared" si="4"/>
        <v>19.565217391304348</v>
      </c>
      <c r="I24" s="1104">
        <f t="shared" si="5"/>
        <v>1.5100234313980734</v>
      </c>
      <c r="J24" s="1104">
        <f t="shared" si="6"/>
        <v>16.701379848997657</v>
      </c>
      <c r="K24" s="1104" t="str">
        <f t="shared" si="7"/>
        <v/>
      </c>
      <c r="L24" s="1104" t="str">
        <f t="shared" si="8"/>
        <v/>
      </c>
      <c r="M24" s="1104" t="str">
        <f t="shared" si="9"/>
        <v/>
      </c>
      <c r="N24" s="1104" t="str">
        <f t="shared" si="10"/>
        <v/>
      </c>
      <c r="O24" s="1104" t="str">
        <f t="shared" si="11"/>
        <v/>
      </c>
      <c r="P24" s="1104">
        <f t="shared" si="12"/>
        <v>1.0544129133038271</v>
      </c>
      <c r="Q24" s="1104">
        <f t="shared" si="13"/>
        <v>12.093204894558708</v>
      </c>
      <c r="R24" s="1104" t="str">
        <f t="shared" si="14"/>
        <v/>
      </c>
      <c r="S24" s="1104" t="str">
        <f t="shared" si="15"/>
        <v/>
      </c>
      <c r="T24" s="1104">
        <f t="shared" si="16"/>
        <v>29.614683676126006</v>
      </c>
      <c r="U24" s="1104">
        <f t="shared" si="17"/>
        <v>3.397552720645665</v>
      </c>
      <c r="V24" s="1104">
        <f t="shared" si="18"/>
        <v>8.1489195521999491</v>
      </c>
      <c r="W24" s="1104">
        <f t="shared" si="19"/>
        <v>1.1845873470450403</v>
      </c>
      <c r="X24" s="1105">
        <f t="shared" si="20"/>
        <v>0</v>
      </c>
      <c r="Y24" s="1102"/>
      <c r="Z24" s="103"/>
      <c r="AA24" s="144"/>
      <c r="AB24" s="30" t="str">
        <f t="shared" si="21"/>
        <v>Surrey</v>
      </c>
      <c r="AC24" s="29">
        <v>16</v>
      </c>
      <c r="AD24" s="30" t="str">
        <f t="shared" si="22"/>
        <v>SurreyNumber</v>
      </c>
      <c r="AE24" s="31" t="b">
        <f t="shared" si="23"/>
        <v>0</v>
      </c>
      <c r="AF24" s="324">
        <f>IF(Year5_Surrey Year5_ReferralSource_Individual_Family="","",Year5_Surrey Year5_ReferralSource_Individual_Family)</f>
        <v>517</v>
      </c>
      <c r="AG24" s="325" t="str">
        <f>IF(Year5_Surrey Year5_ReferralSource_Individual_Acquaintance="","",Year5_Surrey Year5_ReferralSource_Individual_Acquaintance)</f>
        <v/>
      </c>
      <c r="AH24" s="325" t="str">
        <f>IF(Year5_Surrey Year5_ReferralSource_Individual_Self="","",Year5_Surrey Year5_ReferralSource_Individual_Self)</f>
        <v/>
      </c>
      <c r="AI24" s="325" t="str">
        <f>IF(Year5_Surrey Year5_ReferralSource_Individual_Other="","",Year5_Surrey Year5_ReferralSource_Individual_Other)</f>
        <v/>
      </c>
      <c r="AJ24" s="325">
        <f>IF(Year5_Surrey Year5_ReferralSource_School="","",Year5_Surrey Year5_ReferralSource_School)</f>
        <v>1503</v>
      </c>
      <c r="AK24" s="325">
        <f>IF(Year5_Surrey Year5_ReferralSource_EducationServices="","",Year5_Surrey Year5_ReferralSource_EducationServices)</f>
        <v>116</v>
      </c>
      <c r="AL24" s="325">
        <f>IF(Year5_Surrey Year5_ReferralSource_Health_services_GP="","",Year5_Surrey Year5_ReferralSource_Health_services_GP)</f>
        <v>1283</v>
      </c>
      <c r="AM24" s="325" t="str">
        <f>IF(Year5_Surrey Year5_ReferralSource_Health_services_HealthVisitor="","",Year5_Surrey Year5_ReferralSource_Health_services_HealthVisitor)</f>
        <v/>
      </c>
      <c r="AN24" s="325" t="str">
        <f>IF(Year5_Surrey Year5_ReferralSource_Health_services_SchoolNurse="","",Year5_Surrey Year5_ReferralSource_Health_services_SchoolNurse)</f>
        <v/>
      </c>
      <c r="AO24" s="325" t="str">
        <f>IF(Year5_Surrey Year5_ReferralSource_Health_services_OthPrimary="","",Year5_Surrey Year5_ReferralSource_Health_services_OthPrimary)</f>
        <v/>
      </c>
      <c r="AP24" s="325" t="str">
        <f>IF(Year5_Surrey Year5_ReferralSource_Health_services_AE="","",Year5_Surrey Year5_ReferralSource_Health_services_AE)</f>
        <v/>
      </c>
      <c r="AQ24" s="325" t="str">
        <f>IF(Year5_Surrey Year5_ReferralSource_Health_services_Other="","",Year5_Surrey Year5_ReferralSource_Health_services_Other)</f>
        <v/>
      </c>
      <c r="AR24" s="325">
        <f>IF(Year5_Surrey Year5_ReferralSource_Housing="","",Year5_Surrey Year5_ReferralSource_Housing)</f>
        <v>81</v>
      </c>
      <c r="AS24" s="325">
        <f>IF(Year5_Surrey Year5_ReferralSource_LA_SC="","",Year5_Surrey Year5_ReferralSource_LA_SC)</f>
        <v>929</v>
      </c>
      <c r="AT24" s="325" t="str">
        <f>IF(Year5_Surrey Year5_ReferralSource_LA_Other="","",Year5_Surrey Year5_ReferralSource_LA_Other)</f>
        <v/>
      </c>
      <c r="AU24" s="325" t="str">
        <f>IF(Year5_Surrey Year5_ReferralSource_LA_External="","",Year5_Surrey Year5_ReferralSource_LA_External)</f>
        <v/>
      </c>
      <c r="AV24" s="325">
        <f>IF(Year5_Surrey Year5_ReferralSource_Police="","",Year5_Surrey Year5_ReferralSource_Police)</f>
        <v>2275</v>
      </c>
      <c r="AW24" s="325">
        <f>IF(Year5_Surrey Year5_ReferralSource_Other_Legal="","",Year5_Surrey Year5_ReferralSource_Other_Legal)</f>
        <v>261</v>
      </c>
      <c r="AX24" s="325">
        <f>IF(Year5_Surrey Year5_ReferralSource_Other="","",Year5_Surrey Year5_ReferralSource_Other)</f>
        <v>626</v>
      </c>
      <c r="AY24" s="325">
        <f>IF(Year5_Surrey Year5_ReferralSource_Anonymous="","",Year5_Surrey Year5_ReferralSource_Anonymous)</f>
        <v>91</v>
      </c>
      <c r="AZ24" s="326">
        <f>IF(Year5_Surrey Year5_ReferralSource_Unknown="","",Year5_Surrey Year5_ReferralSource_Unknown)</f>
        <v>0</v>
      </c>
      <c r="BA24" s="39">
        <f t="shared" si="24"/>
        <v>7682</v>
      </c>
      <c r="BB24" s="61">
        <f>IF(BA24&gt;0,Population!H25,0)</f>
        <v>265672</v>
      </c>
      <c r="BC24" s="110">
        <f t="shared" si="25"/>
        <v>289.15354271432443</v>
      </c>
    </row>
    <row r="25" spans="1:65" s="61" customFormat="1" ht="13.5" hidden="1" customHeight="1">
      <c r="A25" s="1103" t="e">
        <f>VLOOKUP(B25,ReportData!$AQ$4:$AR$25,2,FALSE)</f>
        <v>#REF!</v>
      </c>
      <c r="B25" s="885" t="e">
        <f>ReportData!#REF!</f>
        <v>#REF!</v>
      </c>
      <c r="C25" s="896"/>
      <c r="D25" s="1104" t="e">
        <f t="shared" si="0"/>
        <v>#REF!</v>
      </c>
      <c r="E25" s="1104" t="e">
        <f t="shared" si="1"/>
        <v>#REF!</v>
      </c>
      <c r="F25" s="1104" t="e">
        <f t="shared" si="2"/>
        <v>#REF!</v>
      </c>
      <c r="G25" s="1104" t="e">
        <f t="shared" si="3"/>
        <v>#REF!</v>
      </c>
      <c r="H25" s="1104" t="e">
        <f t="shared" si="4"/>
        <v>#REF!</v>
      </c>
      <c r="I25" s="1104" t="e">
        <f t="shared" si="5"/>
        <v>#REF!</v>
      </c>
      <c r="J25" s="1104" t="e">
        <f t="shared" si="6"/>
        <v>#REF!</v>
      </c>
      <c r="K25" s="1104" t="e">
        <f t="shared" si="7"/>
        <v>#REF!</v>
      </c>
      <c r="L25" s="1104" t="e">
        <f t="shared" si="8"/>
        <v>#REF!</v>
      </c>
      <c r="M25" s="1104" t="e">
        <f t="shared" si="9"/>
        <v>#REF!</v>
      </c>
      <c r="N25" s="1104" t="e">
        <f t="shared" si="10"/>
        <v>#REF!</v>
      </c>
      <c r="O25" s="1104" t="e">
        <f t="shared" si="11"/>
        <v>#REF!</v>
      </c>
      <c r="P25" s="1104" t="e">
        <f t="shared" si="12"/>
        <v>#REF!</v>
      </c>
      <c r="Q25" s="1104" t="e">
        <f t="shared" si="13"/>
        <v>#REF!</v>
      </c>
      <c r="R25" s="1104" t="e">
        <f t="shared" si="14"/>
        <v>#REF!</v>
      </c>
      <c r="S25" s="1104" t="e">
        <f t="shared" si="15"/>
        <v>#REF!</v>
      </c>
      <c r="T25" s="1104" t="e">
        <f t="shared" si="16"/>
        <v>#REF!</v>
      </c>
      <c r="U25" s="1104" t="e">
        <f t="shared" si="17"/>
        <v>#REF!</v>
      </c>
      <c r="V25" s="1104" t="e">
        <f t="shared" si="18"/>
        <v>#REF!</v>
      </c>
      <c r="W25" s="1104" t="e">
        <f t="shared" si="19"/>
        <v>#REF!</v>
      </c>
      <c r="X25" s="1105" t="e">
        <f t="shared" si="20"/>
        <v>#REF!</v>
      </c>
      <c r="Y25" s="1102"/>
      <c r="Z25" s="103"/>
      <c r="AA25" s="144"/>
      <c r="AB25" s="30" t="e">
        <f t="shared" si="21"/>
        <v>#REF!</v>
      </c>
      <c r="AC25" s="29">
        <v>17</v>
      </c>
      <c r="AD25" s="30" t="e">
        <f t="shared" si="22"/>
        <v>#REF!</v>
      </c>
      <c r="AE25" s="31" t="e">
        <f t="shared" si="23"/>
        <v>#REF!</v>
      </c>
      <c r="AF25" s="401" t="e">
        <f>IF(Year5_Swindon Year5_ReferralSource_Individual_Family="","",Year5_Swindon Year5_ReferralSource_Individual_Family)</f>
        <v>#NAME?</v>
      </c>
      <c r="AG25" s="344" t="e">
        <f>IF(Year5_Swindon Year5_ReferralSource_Individual_Acquaintance="","",Year5_Swindon Year5_ReferralSource_Individual_Acquaintance)</f>
        <v>#NAME?</v>
      </c>
      <c r="AH25" s="344" t="e">
        <f>IF(Year5_Swindon Year5_ReferralSource_Individual_Self="","",Year5_Swindon Year5_ReferralSource_Individual_Self)</f>
        <v>#NAME?</v>
      </c>
      <c r="AI25" s="344" t="e">
        <f>IF(Year5_Swindon Year5_ReferralSource_Individual_Other="","",Year5_Swindon Year5_ReferralSource_Individual_Other)</f>
        <v>#NAME?</v>
      </c>
      <c r="AJ25" s="344" t="e">
        <f>IF(Year5_Swindon Year5_ReferralSource_School="","",Year5_Swindon Year5_ReferralSource_School)</f>
        <v>#NAME?</v>
      </c>
      <c r="AK25" s="344" t="e">
        <f>IF(Year5_Swindon Year5_ReferralSource_EducationServices="","",Year5_Swindon Year5_ReferralSource_EducationServices)</f>
        <v>#NAME?</v>
      </c>
      <c r="AL25" s="344" t="e">
        <f>IF(Year5_Swindon Year5_ReferralSource_Health_services_GP="","",Year5_Swindon Year5_ReferralSource_Health_services_GP)</f>
        <v>#NAME?</v>
      </c>
      <c r="AM25" s="344" t="e">
        <f>IF(Year5_Swindon Year5_ReferralSource_Health_services_HealthVisitor="","",Year5_Swindon Year5_ReferralSource_Health_services_HealthVisitor)</f>
        <v>#NAME?</v>
      </c>
      <c r="AN25" s="344" t="e">
        <f>IF(Year5_Swindon Year5_ReferralSource_Health_services_SchoolNurse="","",Year5_Swindon Year5_ReferralSource_Health_services_SchoolNurse)</f>
        <v>#NAME?</v>
      </c>
      <c r="AO25" s="344" t="e">
        <f>IF(Year5_Swindon Year5_ReferralSource_Health_services_OthPrimary="","",Year5_Swindon Year5_ReferralSource_Health_services_OthPrimary)</f>
        <v>#NAME?</v>
      </c>
      <c r="AP25" s="344" t="e">
        <f>IF(Year5_Swindon Year5_ReferralSource_Health_services_AE="","",Year5_Swindon Year5_ReferralSource_Health_services_AE)</f>
        <v>#NAME?</v>
      </c>
      <c r="AQ25" s="344" t="e">
        <f>IF(Year5_Swindon Year5_ReferralSource_Health_services_Other="","",Year5_Swindon Year5_ReferralSource_Health_services_Other)</f>
        <v>#NAME?</v>
      </c>
      <c r="AR25" s="344" t="e">
        <f>IF(Year5_Swindon Year5_ReferralSource_Housing="","",Year5_Swindon Year5_ReferralSource_Housing)</f>
        <v>#NAME?</v>
      </c>
      <c r="AS25" s="344" t="e">
        <f>IF(Year5_Swindon Year5_ReferralSource_LA_SC="","",Year5_Swindon Year5_ReferralSource_LA_SC)</f>
        <v>#NAME?</v>
      </c>
      <c r="AT25" s="344" t="e">
        <f>IF(Year5_Swindon Year5_ReferralSource_LA_Other="","",Year5_Swindon Year5_ReferralSource_LA_Other)</f>
        <v>#NAME?</v>
      </c>
      <c r="AU25" s="344" t="e">
        <f>IF(Year5_Swindon Year5_ReferralSource_LA_External="","",Year5_Swindon Year5_ReferralSource_LA_External)</f>
        <v>#NAME?</v>
      </c>
      <c r="AV25" s="344" t="e">
        <f>IF(Year5_Swindon Year5_ReferralSource_Police="","",Year5_Swindon Year5_ReferralSource_Police)</f>
        <v>#NAME?</v>
      </c>
      <c r="AW25" s="344" t="e">
        <f>IF(Year5_Swindon Year5_ReferralSource_Other_Legal="","",Year5_Swindon Year5_ReferralSource_Other_Legal)</f>
        <v>#NAME?</v>
      </c>
      <c r="AX25" s="344" t="e">
        <f>IF(Year5_Swindon Year5_ReferralSource_Other="","",Year5_Swindon Year5_ReferralSource_Other)</f>
        <v>#NAME?</v>
      </c>
      <c r="AY25" s="344" t="e">
        <f>IF(Year5_Swindon Year5_ReferralSource_Anonymous="","",Year5_Swindon Year5_ReferralSource_Anonymous)</f>
        <v>#NAME?</v>
      </c>
      <c r="AZ25" s="344" t="e">
        <f>IF(Year5_Swindon Year5_ReferralSource_Unknown="","",Year5_Swindon Year5_ReferralSource_Unknown)</f>
        <v>#NAME?</v>
      </c>
      <c r="BA25" s="39" t="e">
        <f t="shared" si="24"/>
        <v>#NAME?</v>
      </c>
      <c r="BB25" s="61" t="e">
        <f>IF(BA25&gt;0,Population!#REF!,0)</f>
        <v>#NAME?</v>
      </c>
      <c r="BC25" s="110" t="e">
        <f t="shared" si="25"/>
        <v>#NAME?</v>
      </c>
    </row>
    <row r="26" spans="1:65" s="61" customFormat="1" ht="13.5" hidden="1" customHeight="1">
      <c r="A26" s="1103">
        <f>VLOOKUP(B26,ReportData!$AQ$4:$AR$25,2,FALSE)</f>
        <v>0</v>
      </c>
      <c r="B26" s="885" t="str">
        <f>ReportData!$K$19</f>
        <v>West Berkshire</v>
      </c>
      <c r="C26" s="896"/>
      <c r="D26" s="1104">
        <f t="shared" si="0"/>
        <v>8.234560199625701</v>
      </c>
      <c r="E26" s="1104" t="str">
        <f t="shared" si="1"/>
        <v/>
      </c>
      <c r="F26" s="1104" t="str">
        <f t="shared" si="2"/>
        <v/>
      </c>
      <c r="G26" s="1104" t="str">
        <f t="shared" si="3"/>
        <v/>
      </c>
      <c r="H26" s="1104">
        <f t="shared" si="4"/>
        <v>18.964441671865252</v>
      </c>
      <c r="I26" s="1104">
        <f t="shared" si="5"/>
        <v>2.9320024953212727</v>
      </c>
      <c r="J26" s="1104">
        <f t="shared" si="6"/>
        <v>11.228945726762321</v>
      </c>
      <c r="K26" s="1104" t="str">
        <f t="shared" si="7"/>
        <v/>
      </c>
      <c r="L26" s="1104" t="str">
        <f t="shared" si="8"/>
        <v/>
      </c>
      <c r="M26" s="1104" t="str">
        <f t="shared" si="9"/>
        <v/>
      </c>
      <c r="N26" s="1104" t="str">
        <f t="shared" si="10"/>
        <v/>
      </c>
      <c r="O26" s="1104" t="str">
        <f t="shared" si="11"/>
        <v/>
      </c>
      <c r="P26" s="1104">
        <f t="shared" si="12"/>
        <v>0.37429819089207733</v>
      </c>
      <c r="Q26" s="1104">
        <f t="shared" si="13"/>
        <v>15.782907049282596</v>
      </c>
      <c r="R26" s="1104" t="str">
        <f t="shared" si="14"/>
        <v/>
      </c>
      <c r="S26" s="1104" t="str">
        <f t="shared" si="15"/>
        <v/>
      </c>
      <c r="T26" s="1104">
        <f t="shared" si="16"/>
        <v>32.252027448534001</v>
      </c>
      <c r="U26" s="1104">
        <f t="shared" si="17"/>
        <v>4.8658764815970059</v>
      </c>
      <c r="V26" s="1104">
        <f t="shared" si="18"/>
        <v>1.3100436681222707</v>
      </c>
      <c r="W26" s="1104">
        <f t="shared" si="19"/>
        <v>2.3705552089831565</v>
      </c>
      <c r="X26" s="1105">
        <f t="shared" si="20"/>
        <v>1.6843418590143482</v>
      </c>
      <c r="Y26" s="1102"/>
      <c r="Z26" s="103"/>
      <c r="AA26" s="144"/>
      <c r="AB26" s="30" t="str">
        <f t="shared" si="21"/>
        <v>West Berkshire</v>
      </c>
      <c r="AC26" s="29">
        <v>19</v>
      </c>
      <c r="AD26" s="30" t="str">
        <f t="shared" si="22"/>
        <v>West BerkshireNumber</v>
      </c>
      <c r="AE26" s="31" t="b">
        <f t="shared" si="23"/>
        <v>0</v>
      </c>
      <c r="AF26" s="401">
        <f>IF(Year5_West_Berkshire Year5_ReferralSource_Individual_Family="","",Year5_West_Berkshire Year5_ReferralSource_Individual_Family)</f>
        <v>132</v>
      </c>
      <c r="AG26" s="344" t="str">
        <f>IF(Year5_West_Berkshire Year5_ReferralSource_Individual_Acquaintance="","",Year5_West_Berkshire Year5_ReferralSource_Individual_Acquaintance)</f>
        <v/>
      </c>
      <c r="AH26" s="344" t="str">
        <f>IF(Year5_West_Berkshire Year5_ReferralSource_Individual_Self="","",Year5_West_Berkshire Year5_ReferralSource_Individual_Self)</f>
        <v/>
      </c>
      <c r="AI26" s="344" t="str">
        <f>IF(Year5_West_Berkshire Year5_ReferralSource_Individual_Other="","",Year5_West_Berkshire Year5_ReferralSource_Individual_Other)</f>
        <v/>
      </c>
      <c r="AJ26" s="344">
        <f>IF(Year5_West_Berkshire Year5_ReferralSource_School="","",Year5_West_Berkshire Year5_ReferralSource_School)</f>
        <v>304</v>
      </c>
      <c r="AK26" s="344">
        <f>IF(Year5_West_Berkshire Year5_ReferralSource_EducationServices="","",Year5_West_Berkshire Year5_ReferralSource_EducationServices)</f>
        <v>47</v>
      </c>
      <c r="AL26" s="344">
        <f>IF(Year5_West_Berkshire Year5_ReferralSource_Health_services_GP="","",Year5_West_Berkshire Year5_ReferralSource_Health_services_GP)</f>
        <v>180</v>
      </c>
      <c r="AM26" s="344" t="str">
        <f>IF(Year5_West_Berkshire Year5_ReferralSource_Health_services_HealthVisitor="","",Year5_West_Berkshire Year5_ReferralSource_Health_services_HealthVisitor)</f>
        <v/>
      </c>
      <c r="AN26" s="344" t="str">
        <f>IF(Year5_West_Berkshire Year5_ReferralSource_Health_services_SchoolNurse="","",Year5_West_Berkshire Year5_ReferralSource_Health_services_SchoolNurse)</f>
        <v/>
      </c>
      <c r="AO26" s="344" t="str">
        <f>IF(Year5_West_Berkshire Year5_ReferralSource_Health_services_OthPrimary="","",Year5_West_Berkshire Year5_ReferralSource_Health_services_OthPrimary)</f>
        <v/>
      </c>
      <c r="AP26" s="344" t="str">
        <f>IF(Year5_West_Berkshire Year5_ReferralSource_Health_services_AE="","",Year5_West_Berkshire Year5_ReferralSource_Health_services_AE)</f>
        <v/>
      </c>
      <c r="AQ26" s="344" t="str">
        <f>IF(Year5_West_Berkshire Year5_ReferralSource_Health_services_Other="","",Year5_West_Berkshire Year5_ReferralSource_Health_services_Other)</f>
        <v/>
      </c>
      <c r="AR26" s="344">
        <f>IF(Year5_West_Berkshire Year5_ReferralSource_Housing="","",Year5_West_Berkshire Year5_ReferralSource_Housing)</f>
        <v>6</v>
      </c>
      <c r="AS26" s="344">
        <f>IF(Year5_West_Berkshire Year5_ReferralSource_LA_SC="","",Year5_West_Berkshire Year5_ReferralSource_LA_SC)</f>
        <v>253</v>
      </c>
      <c r="AT26" s="344" t="str">
        <f>IF(Year5_West_Berkshire Year5_ReferralSource_LA_Other="","",Year5_West_Berkshire Year5_ReferralSource_LA_Other)</f>
        <v/>
      </c>
      <c r="AU26" s="344" t="str">
        <f>IF(Year5_West_Berkshire Year5_ReferralSource_LA_External="","",Year5_West_Berkshire Year5_ReferralSource_LA_External)</f>
        <v/>
      </c>
      <c r="AV26" s="344">
        <f>IF(Year5_West_Berkshire Year5_ReferralSource_Police="","",Year5_West_Berkshire Year5_ReferralSource_Police)</f>
        <v>517</v>
      </c>
      <c r="AW26" s="344">
        <f>IF(Year5_West_Berkshire Year5_ReferralSource_Other_Legal="","",Year5_West_Berkshire Year5_ReferralSource_Other_Legal)</f>
        <v>78</v>
      </c>
      <c r="AX26" s="344">
        <f>IF(Year5_West_Berkshire Year5_ReferralSource_Other="","",Year5_West_Berkshire Year5_ReferralSource_Other)</f>
        <v>21</v>
      </c>
      <c r="AY26" s="344">
        <f>IF(Year5_West_Berkshire Year5_ReferralSource_Anonymous="","",Year5_West_Berkshire Year5_ReferralSource_Anonymous)</f>
        <v>38</v>
      </c>
      <c r="AZ26" s="344">
        <f>IF(Year5_West_Berkshire Year5_ReferralSource_Unknown="","",Year5_West_Berkshire Year5_ReferralSource_Unknown)</f>
        <v>27</v>
      </c>
      <c r="BA26" s="39">
        <f t="shared" si="24"/>
        <v>1603</v>
      </c>
      <c r="BB26" s="61">
        <f>IF(BA26&gt;0,Population!H26,0)</f>
        <v>35325</v>
      </c>
      <c r="BC26" s="110">
        <f t="shared" si="25"/>
        <v>453.78627034677987</v>
      </c>
    </row>
    <row r="27" spans="1:65" s="61" customFormat="1" ht="13.5" hidden="1" customHeight="1">
      <c r="A27" s="1103">
        <f>VLOOKUP(B27,ReportData!$AQ$4:$AR$25,2,FALSE)</f>
        <v>0</v>
      </c>
      <c r="B27" s="885" t="str">
        <f>ReportData!$K$20</f>
        <v>West Sussex</v>
      </c>
      <c r="C27" s="896"/>
      <c r="D27" s="1104">
        <f t="shared" si="0"/>
        <v>8.4226453158491985</v>
      </c>
      <c r="E27" s="1104" t="str">
        <f t="shared" si="1"/>
        <v/>
      </c>
      <c r="F27" s="1104" t="str">
        <f t="shared" si="2"/>
        <v/>
      </c>
      <c r="G27" s="1104" t="str">
        <f t="shared" si="3"/>
        <v/>
      </c>
      <c r="H27" s="1104">
        <f t="shared" si="4"/>
        <v>18.509645694111715</v>
      </c>
      <c r="I27" s="1104">
        <f t="shared" si="5"/>
        <v>0</v>
      </c>
      <c r="J27" s="1104">
        <f t="shared" si="6"/>
        <v>12.066574202496533</v>
      </c>
      <c r="K27" s="1104" t="str">
        <f t="shared" si="7"/>
        <v/>
      </c>
      <c r="L27" s="1104" t="str">
        <f t="shared" si="8"/>
        <v/>
      </c>
      <c r="M27" s="1104" t="str">
        <f t="shared" si="9"/>
        <v/>
      </c>
      <c r="N27" s="1104" t="str">
        <f t="shared" si="10"/>
        <v/>
      </c>
      <c r="O27" s="1104" t="str">
        <f t="shared" si="11"/>
        <v/>
      </c>
      <c r="P27" s="1104">
        <f t="shared" si="12"/>
        <v>0.84478628167948566</v>
      </c>
      <c r="Q27" s="1104">
        <f t="shared" si="13"/>
        <v>11.978312949186735</v>
      </c>
      <c r="R27" s="1104" t="str">
        <f t="shared" si="14"/>
        <v/>
      </c>
      <c r="S27" s="1104" t="str">
        <f t="shared" si="15"/>
        <v/>
      </c>
      <c r="T27" s="1104">
        <f t="shared" si="16"/>
        <v>28.36968856386332</v>
      </c>
      <c r="U27" s="1104">
        <f t="shared" si="17"/>
        <v>0.55478502080443826</v>
      </c>
      <c r="V27" s="1104">
        <f t="shared" si="18"/>
        <v>12.533097969991175</v>
      </c>
      <c r="W27" s="1104">
        <f t="shared" si="19"/>
        <v>0</v>
      </c>
      <c r="X27" s="1105">
        <f t="shared" si="20"/>
        <v>6.7204640020173994</v>
      </c>
      <c r="Y27" s="1102"/>
      <c r="Z27" s="103"/>
      <c r="AA27" s="144"/>
      <c r="AB27" s="30" t="str">
        <f t="shared" si="21"/>
        <v>West Sussex</v>
      </c>
      <c r="AC27" s="29">
        <v>20</v>
      </c>
      <c r="AD27" s="30" t="str">
        <f t="shared" si="22"/>
        <v>West SussexNumber</v>
      </c>
      <c r="AE27" s="31" t="b">
        <f t="shared" si="23"/>
        <v>0</v>
      </c>
      <c r="AF27" s="401">
        <f>IF(Year5_West_Sussex Year5_ReferralSource_Individual_Family="","",Year5_West_Sussex Year5_ReferralSource_Individual_Family)</f>
        <v>668</v>
      </c>
      <c r="AG27" s="344" t="str">
        <f>IF(Year5_West_Sussex Year5_ReferralSource_Individual_Acquaintance="","",Year5_West_Sussex Year5_ReferralSource_Individual_Acquaintance)</f>
        <v/>
      </c>
      <c r="AH27" s="344" t="str">
        <f>IF(Year5_West_Sussex Year5_ReferralSource_Individual_Self="","",Year5_West_Sussex Year5_ReferralSource_Individual_Self)</f>
        <v/>
      </c>
      <c r="AI27" s="344" t="str">
        <f>IF(Year5_West_Sussex Year5_ReferralSource_Individual_Other="","",Year5_West_Sussex Year5_ReferralSource_Individual_Other)</f>
        <v/>
      </c>
      <c r="AJ27" s="344">
        <f>IF(Year5_West_Sussex Year5_ReferralSource_School="","",Year5_West_Sussex Year5_ReferralSource_School)</f>
        <v>1468</v>
      </c>
      <c r="AK27" s="344">
        <f>IF(Year5_West_Sussex Year5_ReferralSource_EducationServices="","",Year5_West_Sussex Year5_ReferralSource_EducationServices)</f>
        <v>0</v>
      </c>
      <c r="AL27" s="344">
        <f>IF(Year5_West_Sussex Year5_ReferralSource_Health_services_GP="","",Year5_West_Sussex Year5_ReferralSource_Health_services_GP)</f>
        <v>957</v>
      </c>
      <c r="AM27" s="344" t="str">
        <f>IF(Year5_West_Sussex Year5_ReferralSource_Health_services_HealthVisitor="","",Year5_West_Sussex Year5_ReferralSource_Health_services_HealthVisitor)</f>
        <v/>
      </c>
      <c r="AN27" s="344" t="str">
        <f>IF(Year5_West_Sussex Year5_ReferralSource_Health_services_SchoolNurse="","",Year5_West_Sussex Year5_ReferralSource_Health_services_SchoolNurse)</f>
        <v/>
      </c>
      <c r="AO27" s="344" t="str">
        <f>IF(Year5_West_Sussex Year5_ReferralSource_Health_services_OthPrimary="","",Year5_West_Sussex Year5_ReferralSource_Health_services_OthPrimary)</f>
        <v/>
      </c>
      <c r="AP27" s="344" t="str">
        <f>IF(Year5_West_Sussex Year5_ReferralSource_Health_services_AE="","",Year5_West_Sussex Year5_ReferralSource_Health_services_AE)</f>
        <v/>
      </c>
      <c r="AQ27" s="344" t="str">
        <f>IF(Year5_West_Sussex Year5_ReferralSource_Health_services_Other="","",Year5_West_Sussex Year5_ReferralSource_Health_services_Other)</f>
        <v/>
      </c>
      <c r="AR27" s="344">
        <f>IF(Year5_West_Sussex Year5_ReferralSource_Housing="","",Year5_West_Sussex Year5_ReferralSource_Housing)</f>
        <v>67</v>
      </c>
      <c r="AS27" s="344">
        <f>IF(Year5_West_Sussex Year5_ReferralSource_LA_SC="","",Year5_West_Sussex Year5_ReferralSource_LA_SC)</f>
        <v>950</v>
      </c>
      <c r="AT27" s="344" t="str">
        <f>IF(Year5_West_Sussex Year5_ReferralSource_LA_Other="","",Year5_West_Sussex Year5_ReferralSource_LA_Other)</f>
        <v/>
      </c>
      <c r="AU27" s="344" t="str">
        <f>IF(Year5_West_Sussex Year5_ReferralSource_LA_External="","",Year5_West_Sussex Year5_ReferralSource_LA_External)</f>
        <v/>
      </c>
      <c r="AV27" s="344">
        <f>IF(Year5_West_Sussex Year5_ReferralSource_Police="","",Year5_West_Sussex Year5_ReferralSource_Police)</f>
        <v>2250</v>
      </c>
      <c r="AW27" s="344">
        <f>IF(Year5_West_Sussex Year5_ReferralSource_Other_Legal="","",Year5_West_Sussex Year5_ReferralSource_Other_Legal)</f>
        <v>44</v>
      </c>
      <c r="AX27" s="344">
        <f>IF(Year5_West_Sussex Year5_ReferralSource_Other="","",Year5_West_Sussex Year5_ReferralSource_Other)</f>
        <v>994</v>
      </c>
      <c r="AY27" s="344">
        <f>IF(Year5_West_Sussex Year5_ReferralSource_Anonymous="","",Year5_West_Sussex Year5_ReferralSource_Anonymous)</f>
        <v>0</v>
      </c>
      <c r="AZ27" s="344">
        <f>IF(Year5_West_Sussex Year5_ReferralSource_Unknown="","",Year5_West_Sussex Year5_ReferralSource_Unknown)</f>
        <v>533</v>
      </c>
      <c r="BA27" s="39">
        <f t="shared" si="24"/>
        <v>7931</v>
      </c>
      <c r="BB27" s="61">
        <f>IF(BA27&gt;0,Population!H27,0)</f>
        <v>179008</v>
      </c>
      <c r="BC27" s="110">
        <f t="shared" si="25"/>
        <v>443.05282445477297</v>
      </c>
    </row>
    <row r="28" spans="1:65" s="61" customFormat="1" ht="13.5" hidden="1" customHeight="1">
      <c r="A28" s="1103">
        <f>VLOOKUP(B28,ReportData!$AQ$4:$AR$25,2,FALSE)</f>
        <v>0</v>
      </c>
      <c r="B28" s="885" t="str">
        <f>ReportData!$K$21</f>
        <v>Windsor &amp; Maidenhead</v>
      </c>
      <c r="C28" s="896"/>
      <c r="D28" s="1104">
        <f t="shared" si="0"/>
        <v>3.6403750689464975</v>
      </c>
      <c r="E28" s="1104" t="str">
        <f t="shared" si="1"/>
        <v/>
      </c>
      <c r="F28" s="1104" t="str">
        <f t="shared" si="2"/>
        <v/>
      </c>
      <c r="G28" s="1104" t="str">
        <f t="shared" si="3"/>
        <v/>
      </c>
      <c r="H28" s="1104">
        <f t="shared" si="4"/>
        <v>24.489795918367346</v>
      </c>
      <c r="I28" s="1104">
        <f t="shared" si="5"/>
        <v>0.55157198014340869</v>
      </c>
      <c r="J28" s="1104">
        <f t="shared" si="6"/>
        <v>14.230557087699944</v>
      </c>
      <c r="K28" s="1104" t="str">
        <f t="shared" si="7"/>
        <v/>
      </c>
      <c r="L28" s="1104" t="str">
        <f t="shared" si="8"/>
        <v/>
      </c>
      <c r="M28" s="1104" t="str">
        <f t="shared" si="9"/>
        <v/>
      </c>
      <c r="N28" s="1104" t="str">
        <f t="shared" si="10"/>
        <v/>
      </c>
      <c r="O28" s="1104" t="str">
        <f t="shared" si="11"/>
        <v/>
      </c>
      <c r="P28" s="1104">
        <f t="shared" si="12"/>
        <v>0.60672917815774963</v>
      </c>
      <c r="Q28" s="1104">
        <f t="shared" si="13"/>
        <v>11.969111969111969</v>
      </c>
      <c r="R28" s="1104" t="str">
        <f t="shared" si="14"/>
        <v/>
      </c>
      <c r="S28" s="1104" t="str">
        <f t="shared" si="15"/>
        <v/>
      </c>
      <c r="T28" s="1104">
        <f t="shared" si="16"/>
        <v>33.039161610590185</v>
      </c>
      <c r="U28" s="1104">
        <f t="shared" si="17"/>
        <v>1.2134583563154993</v>
      </c>
      <c r="V28" s="1104">
        <f t="shared" si="18"/>
        <v>4.7986762272476557</v>
      </c>
      <c r="W28" s="1104">
        <f t="shared" si="19"/>
        <v>0.77220077220077221</v>
      </c>
      <c r="X28" s="1105">
        <f t="shared" si="20"/>
        <v>4.6883618312189741</v>
      </c>
      <c r="Y28" s="1102"/>
      <c r="Z28" s="103"/>
      <c r="AA28" s="144"/>
      <c r="AB28" s="30" t="str">
        <f t="shared" si="21"/>
        <v>Windsor &amp; Maidenhead</v>
      </c>
      <c r="AC28" s="29">
        <v>21</v>
      </c>
      <c r="AD28" s="30" t="str">
        <f t="shared" si="22"/>
        <v>Windsor &amp; MaidenheadNumber</v>
      </c>
      <c r="AE28" s="31" t="b">
        <f t="shared" si="23"/>
        <v>0</v>
      </c>
      <c r="AF28" s="324">
        <f>IF(Year5_Windsor_and_Maidenhead Year5_ReferralSource_Individual_Family="","",Year5_Windsor_and_Maidenhead Year5_ReferralSource_Individual_Family)</f>
        <v>66</v>
      </c>
      <c r="AG28" s="325" t="str">
        <f>IF(Year5_Windsor_and_Maidenhead Year5_ReferralSource_Individual_Acquaintance="","",Year5_Windsor_and_Maidenhead Year5_ReferralSource_Individual_Acquaintance)</f>
        <v/>
      </c>
      <c r="AH28" s="325" t="str">
        <f>IF(Year5_Windsor_and_Maidenhead Year5_ReferralSource_Individual_Self="","",Year5_Windsor_and_Maidenhead Year5_ReferralSource_Individual_Self)</f>
        <v/>
      </c>
      <c r="AI28" s="325" t="str">
        <f>IF(Year5_Windsor_and_Maidenhead Year5_ReferralSource_Individual_Other="","",Year5_Windsor_and_Maidenhead Year5_ReferralSource_Individual_Other)</f>
        <v/>
      </c>
      <c r="AJ28" s="325">
        <f>IF(Year5_Windsor_and_Maidenhead Year5_ReferralSource_School="","",Year5_Windsor_and_Maidenhead Year5_ReferralSource_School)</f>
        <v>444</v>
      </c>
      <c r="AK28" s="325">
        <f>IF(Year5_Windsor_and_Maidenhead Year5_ReferralSource_EducationServices="","",Year5_Windsor_and_Maidenhead Year5_ReferralSource_EducationServices)</f>
        <v>10</v>
      </c>
      <c r="AL28" s="325">
        <f>IF(Year5_Windsor_and_Maidenhead Year5_ReferralSource_Health_services_GP="","",Year5_Windsor_and_Maidenhead Year5_ReferralSource_Health_services_GP)</f>
        <v>258</v>
      </c>
      <c r="AM28" s="325" t="str">
        <f>IF(Year5_Windsor_and_Maidenhead Year5_ReferralSource_Health_services_HealthVisitor="","",Year5_Windsor_and_Maidenhead Year5_ReferralSource_Health_services_HealthVisitor)</f>
        <v/>
      </c>
      <c r="AN28" s="325" t="str">
        <f>IF(Year5_Windsor_and_Maidenhead Year5_ReferralSource_Health_services_SchoolNurse="","",Year5_Windsor_and_Maidenhead Year5_ReferralSource_Health_services_SchoolNurse)</f>
        <v/>
      </c>
      <c r="AO28" s="325" t="str">
        <f>IF(Year5_Windsor_and_Maidenhead Year5_ReferralSource_Health_services_OthPrimary="","",Year5_Windsor_and_Maidenhead Year5_ReferralSource_Health_services_OthPrimary)</f>
        <v/>
      </c>
      <c r="AP28" s="325" t="str">
        <f>IF(Year5_Windsor_and_Maidenhead Year5_ReferralSource_Health_services_AE="","",Year5_Windsor_and_Maidenhead Year5_ReferralSource_Health_services_AE)</f>
        <v/>
      </c>
      <c r="AQ28" s="325" t="str">
        <f>IF(Year5_Windsor_and_Maidenhead Year5_ReferralSource_Health_services_Other="","",Year5_Windsor_and_Maidenhead Year5_ReferralSource_Health_services_Other)</f>
        <v/>
      </c>
      <c r="AR28" s="325">
        <f>IF(Year5_Windsor_and_Maidenhead Year5_ReferralSource_Housing="","",Year5_Windsor_and_Maidenhead Year5_ReferralSource_Housing)</f>
        <v>11</v>
      </c>
      <c r="AS28" s="325">
        <f>IF(Year5_Windsor_and_Maidenhead Year5_ReferralSource_LA_SC="","",Year5_Windsor_and_Maidenhead Year5_ReferralSource_LA_SC)</f>
        <v>217</v>
      </c>
      <c r="AT28" s="325" t="str">
        <f>IF(Year5_Windsor_and_Maidenhead Year5_ReferralSource_LA_Other="","",Year5_Windsor_and_Maidenhead Year5_ReferralSource_LA_Other)</f>
        <v/>
      </c>
      <c r="AU28" s="325" t="str">
        <f>IF(Year5_Windsor_and_Maidenhead Year5_ReferralSource_LA_External="","",Year5_Windsor_and_Maidenhead Year5_ReferralSource_LA_External)</f>
        <v/>
      </c>
      <c r="AV28" s="325">
        <f>IF(Year5_Windsor_and_Maidenhead Year5_ReferralSource_Police="","",Year5_Windsor_and_Maidenhead Year5_ReferralSource_Police)</f>
        <v>599</v>
      </c>
      <c r="AW28" s="325">
        <f>IF(Year5_Windsor_and_Maidenhead Year5_ReferralSource_Other_Legal="","",Year5_Windsor_and_Maidenhead Year5_ReferralSource_Other_Legal)</f>
        <v>22</v>
      </c>
      <c r="AX28" s="325">
        <f>IF(Year5_Windsor_and_Maidenhead Year5_ReferralSource_Other="","",Year5_Windsor_and_Maidenhead Year5_ReferralSource_Other)</f>
        <v>87</v>
      </c>
      <c r="AY28" s="325">
        <f>IF(Year5_Windsor_and_Maidenhead Year5_ReferralSource_Anonymous="","",Year5_Windsor_and_Maidenhead Year5_ReferralSource_Anonymous)</f>
        <v>14</v>
      </c>
      <c r="AZ28" s="326">
        <f>IF(Year5_Windsor_and_Maidenhead Year5_ReferralSource_Unknown="","",Year5_Windsor_and_Maidenhead Year5_ReferralSource_Unknown)</f>
        <v>85</v>
      </c>
      <c r="BA28" s="39">
        <f t="shared" si="24"/>
        <v>1813</v>
      </c>
      <c r="BB28" s="61">
        <f>IF(BA28&gt;0,Population!H28,0)</f>
        <v>34281</v>
      </c>
      <c r="BC28" s="110">
        <f t="shared" si="25"/>
        <v>528.86438551967558</v>
      </c>
    </row>
    <row r="29" spans="1:65" s="61" customFormat="1" ht="13.5" hidden="1" customHeight="1">
      <c r="A29" s="1103">
        <f>VLOOKUP(B29,ReportData!$AQ$4:$AR$25,2,FALSE)</f>
        <v>0</v>
      </c>
      <c r="B29" s="885" t="str">
        <f>ReportData!$K$22</f>
        <v>Wokingham</v>
      </c>
      <c r="C29" s="896"/>
      <c r="D29" s="1104">
        <f t="shared" si="0"/>
        <v>9.043927648578812</v>
      </c>
      <c r="E29" s="1104" t="str">
        <f t="shared" si="1"/>
        <v/>
      </c>
      <c r="F29" s="1104" t="str">
        <f t="shared" si="2"/>
        <v/>
      </c>
      <c r="G29" s="1104" t="str">
        <f t="shared" si="3"/>
        <v/>
      </c>
      <c r="H29" s="1104">
        <f t="shared" si="4"/>
        <v>23.643410852713178</v>
      </c>
      <c r="I29" s="1104">
        <f t="shared" si="5"/>
        <v>1.1627906976744187</v>
      </c>
      <c r="J29" s="1104">
        <f t="shared" si="6"/>
        <v>15.051679586563308</v>
      </c>
      <c r="K29" s="1104" t="str">
        <f t="shared" si="7"/>
        <v/>
      </c>
      <c r="L29" s="1104" t="str">
        <f t="shared" si="8"/>
        <v/>
      </c>
      <c r="M29" s="1104" t="str">
        <f t="shared" si="9"/>
        <v/>
      </c>
      <c r="N29" s="1104" t="str">
        <f t="shared" si="10"/>
        <v/>
      </c>
      <c r="O29" s="1104" t="str">
        <f t="shared" si="11"/>
        <v/>
      </c>
      <c r="P29" s="1104">
        <f t="shared" si="12"/>
        <v>0.58139534883720934</v>
      </c>
      <c r="Q29" s="1104">
        <f t="shared" si="13"/>
        <v>12.27390180878553</v>
      </c>
      <c r="R29" s="1104" t="str">
        <f t="shared" si="14"/>
        <v/>
      </c>
      <c r="S29" s="1104" t="str">
        <f t="shared" si="15"/>
        <v/>
      </c>
      <c r="T29" s="1104">
        <f t="shared" si="16"/>
        <v>31.136950904392762</v>
      </c>
      <c r="U29" s="1104">
        <f t="shared" si="17"/>
        <v>4.3927648578811365</v>
      </c>
      <c r="V29" s="1104">
        <f t="shared" si="18"/>
        <v>1.4857881136950903</v>
      </c>
      <c r="W29" s="1104">
        <f t="shared" si="19"/>
        <v>0.710594315245478</v>
      </c>
      <c r="X29" s="1105">
        <f t="shared" si="20"/>
        <v>0.516795865633075</v>
      </c>
      <c r="Y29" s="1102"/>
      <c r="Z29" s="103"/>
      <c r="AA29" s="144"/>
      <c r="AB29" s="30" t="str">
        <f t="shared" si="21"/>
        <v>Wokingham</v>
      </c>
      <c r="AC29" s="29">
        <v>22</v>
      </c>
      <c r="AD29" s="30" t="str">
        <f t="shared" si="22"/>
        <v>WokinghamNumber</v>
      </c>
      <c r="AE29" s="31" t="b">
        <f t="shared" si="23"/>
        <v>0</v>
      </c>
      <c r="AF29" s="347">
        <f>IF(Year5_Wokingham Year5_ReferralSource_Individual_Family="","",Year5_Wokingham Year5_ReferralSource_Individual_Family)</f>
        <v>140</v>
      </c>
      <c r="AG29" s="348" t="str">
        <f>IF(Year5_Wokingham Year5_ReferralSource_Individual_Acquaintance="","",Year5_Wokingham Year5_ReferralSource_Individual_Acquaintance)</f>
        <v/>
      </c>
      <c r="AH29" s="348" t="str">
        <f>IF(Year5_Wokingham Year5_ReferralSource_Individual_Self="","",Year5_Wokingham Year5_ReferralSource_Individual_Self)</f>
        <v/>
      </c>
      <c r="AI29" s="348" t="str">
        <f>IF(Year5_Wokingham Year5_ReferralSource_Individual_Other="","",Year5_Wokingham Year5_ReferralSource_Individual_Other)</f>
        <v/>
      </c>
      <c r="AJ29" s="348">
        <f>IF(Year5_Wokingham Year5_ReferralSource_School="","",Year5_Wokingham Year5_ReferralSource_School)</f>
        <v>366</v>
      </c>
      <c r="AK29" s="348">
        <f>IF(Year5_Wokingham Year5_ReferralSource_EducationServices="","",Year5_Wokingham Year5_ReferralSource_EducationServices)</f>
        <v>18</v>
      </c>
      <c r="AL29" s="348">
        <f>IF(Year5_Wokingham Year5_ReferralSource_Health_services_GP="","",Year5_Wokingham Year5_ReferralSource_Health_services_GP)</f>
        <v>233</v>
      </c>
      <c r="AM29" s="348" t="str">
        <f>IF(Year5_Wokingham Year5_ReferralSource_Health_services_HealthVisitor="","",Year5_Wokingham Year5_ReferralSource_Health_services_HealthVisitor)</f>
        <v/>
      </c>
      <c r="AN29" s="348" t="str">
        <f>IF(Year5_Wokingham Year5_ReferralSource_Health_services_SchoolNurse="","",Year5_Wokingham Year5_ReferralSource_Health_services_SchoolNurse)</f>
        <v/>
      </c>
      <c r="AO29" s="348" t="str">
        <f>IF(Year5_Wokingham Year5_ReferralSource_Health_services_OthPrimary="","",Year5_Wokingham Year5_ReferralSource_Health_services_OthPrimary)</f>
        <v/>
      </c>
      <c r="AP29" s="348" t="str">
        <f>IF(Year5_Wokingham Year5_ReferralSource_Health_services_AE="","",Year5_Wokingham Year5_ReferralSource_Health_services_AE)</f>
        <v/>
      </c>
      <c r="AQ29" s="348" t="str">
        <f>IF(Year5_Wokingham Year5_ReferralSource_Health_services_Other="","",Year5_Wokingham Year5_ReferralSource_Health_services_Other)</f>
        <v/>
      </c>
      <c r="AR29" s="348">
        <f>IF(Year5_Wokingham Year5_ReferralSource_Housing="","",Year5_Wokingham Year5_ReferralSource_Housing)</f>
        <v>9</v>
      </c>
      <c r="AS29" s="348">
        <f>IF(Year5_Wokingham Year5_ReferralSource_LA_SC="","",Year5_Wokingham Year5_ReferralSource_LA_SC)</f>
        <v>190</v>
      </c>
      <c r="AT29" s="348" t="str">
        <f>IF(Year5_Wokingham Year5_ReferralSource_LA_Other="","",Year5_Wokingham Year5_ReferralSource_LA_Other)</f>
        <v/>
      </c>
      <c r="AU29" s="348" t="str">
        <f>IF(Year5_Wokingham Year5_ReferralSource_LA_External="","",Year5_Wokingham Year5_ReferralSource_LA_External)</f>
        <v/>
      </c>
      <c r="AV29" s="348">
        <f>IF(Year5_Wokingham Year5_ReferralSource_Police="","",Year5_Wokingham Year5_ReferralSource_Police)</f>
        <v>482</v>
      </c>
      <c r="AW29" s="348">
        <f>IF(Year5_Wokingham Year5_ReferralSource_Other_Legal="","",Year5_Wokingham Year5_ReferralSource_Other_Legal)</f>
        <v>68</v>
      </c>
      <c r="AX29" s="348">
        <f>IF(Year5_Wokingham Year5_ReferralSource_Other="","",Year5_Wokingham Year5_ReferralSource_Other)</f>
        <v>23</v>
      </c>
      <c r="AY29" s="348">
        <f>IF(Year5_Wokingham Year5_ReferralSource_Anonymous="","",Year5_Wokingham Year5_ReferralSource_Anonymous)</f>
        <v>11</v>
      </c>
      <c r="AZ29" s="349">
        <f>IF(Year5_Wokingham Year5_ReferralSource_Unknown="","",Year5_Wokingham Year5_ReferralSource_Unknown)</f>
        <v>8</v>
      </c>
      <c r="BA29" s="39">
        <f>SUM(AF29:AZ29)</f>
        <v>1548</v>
      </c>
      <c r="BB29" s="61">
        <f>IF(BA29&gt;0,Population!H29,0)</f>
        <v>43314</v>
      </c>
      <c r="BC29" s="110">
        <f t="shared" si="25"/>
        <v>357.39022025211244</v>
      </c>
      <c r="BD29" s="61" t="s">
        <v>548</v>
      </c>
    </row>
    <row r="30" spans="1:65" s="61" customFormat="1" ht="13.5" hidden="1" customHeight="1">
      <c r="A30" s="1097"/>
      <c r="B30" s="1106" t="str">
        <f>ReportData!$K$23</f>
        <v>South East</v>
      </c>
      <c r="C30" s="896"/>
      <c r="D30" s="1104">
        <f t="shared" si="0"/>
        <v>7.1116504854368934</v>
      </c>
      <c r="E30" s="1104">
        <f t="shared" si="1"/>
        <v>0</v>
      </c>
      <c r="F30" s="1104">
        <f t="shared" si="2"/>
        <v>0</v>
      </c>
      <c r="G30" s="1104">
        <f t="shared" si="3"/>
        <v>0</v>
      </c>
      <c r="H30" s="1104">
        <f t="shared" si="4"/>
        <v>22.011253309796999</v>
      </c>
      <c r="I30" s="1104">
        <f t="shared" si="5"/>
        <v>1.7530891438658429</v>
      </c>
      <c r="J30" s="1104">
        <f t="shared" si="6"/>
        <v>14.032436010591351</v>
      </c>
      <c r="K30" s="1104">
        <f t="shared" si="7"/>
        <v>0</v>
      </c>
      <c r="L30" s="1104">
        <f t="shared" si="8"/>
        <v>0</v>
      </c>
      <c r="M30" s="1104">
        <f t="shared" si="9"/>
        <v>0</v>
      </c>
      <c r="N30" s="1104">
        <f t="shared" si="10"/>
        <v>0</v>
      </c>
      <c r="O30" s="1104">
        <f t="shared" si="11"/>
        <v>0</v>
      </c>
      <c r="P30" s="1104">
        <f t="shared" si="12"/>
        <v>1.2213150926743159</v>
      </c>
      <c r="Q30" s="1104">
        <f t="shared" si="13"/>
        <v>13.180714916151809</v>
      </c>
      <c r="R30" s="1104">
        <f t="shared" si="14"/>
        <v>0</v>
      </c>
      <c r="S30" s="1104">
        <f t="shared" si="15"/>
        <v>0</v>
      </c>
      <c r="T30" s="1104">
        <f t="shared" si="16"/>
        <v>27.629082082965578</v>
      </c>
      <c r="U30" s="1104">
        <f t="shared" si="17"/>
        <v>5.8704766107678736</v>
      </c>
      <c r="V30" s="1104">
        <f t="shared" si="18"/>
        <v>4.4450573698146512</v>
      </c>
      <c r="W30" s="1104">
        <f t="shared" si="19"/>
        <v>1.2897175639894085</v>
      </c>
      <c r="X30" s="1105">
        <f t="shared" si="20"/>
        <v>1.4552074139452782</v>
      </c>
      <c r="Y30" s="1102"/>
      <c r="Z30" s="103"/>
      <c r="AA30" s="144"/>
      <c r="AB30" s="30" t="str">
        <f>B30</f>
        <v>South East</v>
      </c>
      <c r="AC30" s="29">
        <v>23</v>
      </c>
      <c r="AD30" s="30" t="str">
        <f t="shared" si="22"/>
        <v>South EastNumber</v>
      </c>
      <c r="AE30" s="31" t="b">
        <f t="shared" si="23"/>
        <v>0</v>
      </c>
      <c r="AF30" s="34">
        <f t="shared" ref="AF30:AZ30" si="26">SUM(AF9:AF21,AF23:AF24,AF26:AF29)</f>
        <v>6446</v>
      </c>
      <c r="AG30" s="34">
        <f t="shared" si="26"/>
        <v>0</v>
      </c>
      <c r="AH30" s="34">
        <f t="shared" si="26"/>
        <v>0</v>
      </c>
      <c r="AI30" s="34">
        <f t="shared" si="26"/>
        <v>0</v>
      </c>
      <c r="AJ30" s="34">
        <f t="shared" si="26"/>
        <v>19951</v>
      </c>
      <c r="AK30" s="34">
        <f t="shared" si="26"/>
        <v>1589</v>
      </c>
      <c r="AL30" s="34">
        <f t="shared" si="26"/>
        <v>12719</v>
      </c>
      <c r="AM30" s="34">
        <f t="shared" si="26"/>
        <v>0</v>
      </c>
      <c r="AN30" s="34">
        <f t="shared" si="26"/>
        <v>0</v>
      </c>
      <c r="AO30" s="34">
        <f t="shared" si="26"/>
        <v>0</v>
      </c>
      <c r="AP30" s="34">
        <f t="shared" si="26"/>
        <v>0</v>
      </c>
      <c r="AQ30" s="34">
        <f t="shared" si="26"/>
        <v>0</v>
      </c>
      <c r="AR30" s="34">
        <f t="shared" si="26"/>
        <v>1107</v>
      </c>
      <c r="AS30" s="34">
        <f t="shared" si="26"/>
        <v>11947</v>
      </c>
      <c r="AT30" s="34">
        <f t="shared" si="26"/>
        <v>0</v>
      </c>
      <c r="AU30" s="34">
        <f t="shared" si="26"/>
        <v>0</v>
      </c>
      <c r="AV30" s="34">
        <f t="shared" si="26"/>
        <v>25043</v>
      </c>
      <c r="AW30" s="34">
        <f t="shared" si="26"/>
        <v>5321</v>
      </c>
      <c r="AX30" s="34">
        <f t="shared" si="26"/>
        <v>4029</v>
      </c>
      <c r="AY30" s="34">
        <f t="shared" si="26"/>
        <v>1169</v>
      </c>
      <c r="AZ30" s="34">
        <f t="shared" si="26"/>
        <v>1319</v>
      </c>
      <c r="BA30" s="39">
        <f>SUM(AF30:AZ30)</f>
        <v>90640</v>
      </c>
      <c r="BB30" s="61">
        <f>IF(BA30&gt;0,Population!H30,0)</f>
        <v>1988962</v>
      </c>
    </row>
    <row r="31" spans="1:65" s="61" customFormat="1" ht="13.5" hidden="1" customHeight="1" thickBot="1">
      <c r="A31" s="1097"/>
      <c r="B31" s="1107" t="str">
        <f>ReportData!$K$24</f>
        <v>England</v>
      </c>
      <c r="C31" s="896"/>
      <c r="D31" s="1813">
        <f>VLOOKUP(CONCATENATE($B31,$AB$8),$AD$9:$BA$73,AF$6,FALSE)</f>
        <v>8.0194899173447389</v>
      </c>
      <c r="E31" s="1814"/>
      <c r="F31" s="1814"/>
      <c r="G31" s="1815"/>
      <c r="H31" s="1108">
        <f>VLOOKUP(CONCATENATE($B31,$AB$8),$AD$9:$BA$73,AJ$6,FALSE)</f>
        <v>20.335766892869778</v>
      </c>
      <c r="I31" s="1108">
        <f>VLOOKUP(CONCATENATE($B31,$AB$8),$AD$9:$BA$73,AK$6,FALSE)</f>
        <v>1.6611455954716494</v>
      </c>
      <c r="J31" s="1813">
        <f>VLOOKUP(CONCATENATE($B31,$AB$8),$AD$9:$BA$73,AL$6,FALSE)</f>
        <v>14.693017721030458</v>
      </c>
      <c r="K31" s="1814"/>
      <c r="L31" s="1814"/>
      <c r="M31" s="1814"/>
      <c r="N31" s="1814"/>
      <c r="O31" s="1815"/>
      <c r="P31" s="1108">
        <f>VLOOKUP(CONCATENATE($B31,$AB$8),$AD$9:$BA$73,AR$6,FALSE)</f>
        <v>1.2398289003955874</v>
      </c>
      <c r="Q31" s="1813">
        <f>VLOOKUP(CONCATENATE($B31,$AB$8),$AD$9:$BA$73,AS$6,FALSE)</f>
        <v>14.147878943813721</v>
      </c>
      <c r="R31" s="1814"/>
      <c r="S31" s="1815"/>
      <c r="T31" s="1108">
        <f>VLOOKUP(CONCATENATE($B31,$AB$8),$AD$9:$BA$73,AV$6,FALSE)</f>
        <v>28.496767761232434</v>
      </c>
      <c r="U31" s="1108">
        <f>VLOOKUP(CONCATENATE($B31,$AB$8),$AD$9:$BA$73,AW$6,FALSE)</f>
        <v>4.4366899302093721</v>
      </c>
      <c r="V31" s="1108">
        <f>VLOOKUP(CONCATENATE($B31,$AB$8),$AD$9:$BA$73,AX$6,FALSE)</f>
        <v>4.2003023188499018</v>
      </c>
      <c r="W31" s="1108">
        <f>VLOOKUP(CONCATENATE($B31,$AB$8),$AD$9:$BA$73,AY$6,FALSE)</f>
        <v>1.6129032258064515</v>
      </c>
      <c r="X31" s="1109">
        <f>VLOOKUP(CONCATENATE($B31,$AB$8),$AD$9:$BA$73,AZ$6,FALSE)</f>
        <v>1.1562087929759111</v>
      </c>
      <c r="Y31" s="1102"/>
      <c r="Z31" s="103"/>
      <c r="AA31" s="144"/>
      <c r="AB31" s="30" t="str">
        <f>B31</f>
        <v>England</v>
      </c>
      <c r="AC31" s="29">
        <v>24</v>
      </c>
      <c r="AD31" s="30" t="str">
        <f t="shared" si="22"/>
        <v>EnglandNumber</v>
      </c>
      <c r="AE31" s="31" t="b">
        <f t="shared" si="23"/>
        <v>0</v>
      </c>
      <c r="AF31" s="404">
        <f>IF(Year5_England Year5_ReferralSource_Individual_Family="","",Year5_England Year5_ReferralSource_Individual_Family)</f>
        <v>49870</v>
      </c>
      <c r="AG31" s="405" t="str">
        <f>IF(Year5_England Year5_ReferralSource_Individual_Acquaintance="","",Year5_England Year5_ReferralSource_Individual_Acquaintance)</f>
        <v/>
      </c>
      <c r="AH31" s="405" t="str">
        <f>IF(Year5_England Year5_ReferralSource_Individual_Self="","",Year5_England Year5_ReferralSource_Individual_Self)</f>
        <v/>
      </c>
      <c r="AI31" s="405" t="str">
        <f>IF(Year5_England Year5_ReferralSource_Individual_Other="","",Year5_England Year5_ReferralSource_Individual_Other)</f>
        <v/>
      </c>
      <c r="AJ31" s="405">
        <f>IF(Year5_England Year5_ReferralSource_School="","",Year5_England Year5_ReferralSource_School)</f>
        <v>126460</v>
      </c>
      <c r="AK31" s="405">
        <f>IF(Year5_England Year5_ReferralSource_EducationServices="","",Year5_England Year5_ReferralSource_EducationServices)</f>
        <v>10330</v>
      </c>
      <c r="AL31" s="405">
        <f>IF(Year5_England Year5_ReferralSource_Health_services_GP="","",Year5_England Year5_ReferralSource_Health_services_GP)</f>
        <v>91370</v>
      </c>
      <c r="AM31" s="405" t="str">
        <f>IF(Year5_England Year5_ReferralSource_Health_services_HealthVisitor="","",Year5_England Year5_ReferralSource_Health_services_HealthVisitor)</f>
        <v/>
      </c>
      <c r="AN31" s="405" t="str">
        <f>IF(Year5_England Year5_ReferralSource_Health_services_SchoolNurse="","",Year5_England Year5_ReferralSource_Health_services_SchoolNurse)</f>
        <v/>
      </c>
      <c r="AO31" s="405" t="str">
        <f>IF(Year5_England Year5_ReferralSource_Health_services_OthPrimary="","",Year5_England Year5_ReferralSource_Health_services_OthPrimary)</f>
        <v/>
      </c>
      <c r="AP31" s="405" t="str">
        <f>IF(Year5_England Year5_ReferralSource_Health_services_AE="","",Year5_England Year5_ReferralSource_Health_services_AE)</f>
        <v/>
      </c>
      <c r="AQ31" s="405" t="str">
        <f>IF(Year5_England Year5_ReferralSource_Health_services_Other="","",Year5_England Year5_ReferralSource_Health_services_Other)</f>
        <v/>
      </c>
      <c r="AR31" s="405">
        <f>IF(Year5_England Year5_ReferralSource_Housing="","",Year5_England Year5_ReferralSource_Housing)</f>
        <v>7710</v>
      </c>
      <c r="AS31" s="405">
        <f>IF(Year5_England Year5_ReferralSource_LA_SC="","",Year5_England Year5_ReferralSource_LA_SC)</f>
        <v>87980</v>
      </c>
      <c r="AT31" s="405" t="str">
        <f>IF(Year5_England Year5_ReferralSource_LA_Other="","",Year5_England Year5_ReferralSource_LA_Other)</f>
        <v/>
      </c>
      <c r="AU31" s="405" t="str">
        <f>IF(Year5_England Year5_ReferralSource_LA_External="","",Year5_England Year5_ReferralSource_LA_External)</f>
        <v/>
      </c>
      <c r="AV31" s="405">
        <f>IF(Year5_England Year5_ReferralSource_Police="","",Year5_England Year5_ReferralSource_Police)</f>
        <v>177210</v>
      </c>
      <c r="AW31" s="405">
        <f>IF(Year5_England Year5_ReferralSource_Other_Legal="","",Year5_England Year5_ReferralSource_Other_Legal)</f>
        <v>27590</v>
      </c>
      <c r="AX31" s="405">
        <f>IF(Year5_England Year5_ReferralSource_Other="","",Year5_England Year5_ReferralSource_Other)</f>
        <v>26120</v>
      </c>
      <c r="AY31" s="405">
        <f>IF(Year5_England Year5_ReferralSource_Anonymous="","",Year5_England Year5_ReferralSource_Anonymous)</f>
        <v>10030</v>
      </c>
      <c r="AZ31" s="405">
        <f>IF(Year5_England Year5_ReferralSource_Unknown="","",Year5_England Year5_ReferralSource_Unknown)</f>
        <v>7190</v>
      </c>
      <c r="BA31" s="406">
        <f>SUM(AF31:AZ31)</f>
        <v>621860</v>
      </c>
      <c r="BB31" s="61">
        <f>IF(BA31&gt;0,Population!H31,0)</f>
        <v>11998646</v>
      </c>
      <c r="BD31" s="407" t="s">
        <v>90</v>
      </c>
      <c r="BE31" s="407" t="s">
        <v>35</v>
      </c>
      <c r="BF31" s="407" t="s">
        <v>98</v>
      </c>
      <c r="BG31" s="407" t="s">
        <v>43</v>
      </c>
      <c r="BH31" s="407" t="s">
        <v>99</v>
      </c>
      <c r="BI31" s="407" t="s">
        <v>23</v>
      </c>
      <c r="BJ31" s="407" t="s">
        <v>64</v>
      </c>
      <c r="BK31" s="407" t="s">
        <v>63</v>
      </c>
      <c r="BL31" s="407" t="s">
        <v>61</v>
      </c>
      <c r="BM31" s="407" t="s">
        <v>62</v>
      </c>
    </row>
    <row r="32" spans="1:65" s="56" customFormat="1" ht="37.5" hidden="1" customHeight="1">
      <c r="A32" s="427"/>
      <c r="B32" s="1124"/>
      <c r="C32" s="1124"/>
      <c r="D32" s="1125"/>
      <c r="E32" s="1125"/>
      <c r="F32" s="1125"/>
      <c r="G32" s="1125"/>
      <c r="H32" s="1125"/>
      <c r="I32" s="1125"/>
      <c r="J32" s="1125"/>
      <c r="K32" s="1125"/>
      <c r="L32" s="1125"/>
      <c r="M32" s="1125"/>
      <c r="N32" s="1125"/>
      <c r="O32" s="3"/>
      <c r="P32" s="13"/>
      <c r="Q32" s="13"/>
      <c r="R32" s="13"/>
      <c r="S32" s="13"/>
      <c r="T32" s="13"/>
      <c r="U32" s="13"/>
      <c r="V32" s="13"/>
      <c r="W32" s="13"/>
      <c r="X32" s="1126"/>
      <c r="Y32" s="428"/>
      <c r="Z32" s="102"/>
      <c r="AA32" s="138"/>
      <c r="AB32" s="30" t="str">
        <f t="shared" ref="AB32:AB44" si="27">B9</f>
        <v>Bracknell Forest</v>
      </c>
      <c r="AC32" s="29">
        <v>1</v>
      </c>
      <c r="AD32" s="30" t="str">
        <f>CONCATENATE(AB32,$AB$6)</f>
        <v>Bracknell ForestRate per 10,000</v>
      </c>
      <c r="AE32" s="31" t="b">
        <f t="shared" si="23"/>
        <v>0</v>
      </c>
      <c r="AF32" s="396">
        <f t="shared" ref="AF32:BA32" si="28">IF(ISERROR(AF9/$BB9*10000),NA(),AF9/$BB9*10000)</f>
        <v>39.0965895207177</v>
      </c>
      <c r="AG32" s="397" t="e">
        <f t="shared" si="28"/>
        <v>#N/A</v>
      </c>
      <c r="AH32" s="397" t="e">
        <f t="shared" si="28"/>
        <v>#N/A</v>
      </c>
      <c r="AI32" s="397" t="e">
        <f t="shared" si="28"/>
        <v>#N/A</v>
      </c>
      <c r="AJ32" s="397">
        <f t="shared" si="28"/>
        <v>146.96128739484064</v>
      </c>
      <c r="AK32" s="397">
        <f t="shared" si="28"/>
        <v>3.1416902293433866</v>
      </c>
      <c r="AL32" s="397">
        <f t="shared" si="28"/>
        <v>65.975494816211125</v>
      </c>
      <c r="AM32" s="397" t="e">
        <f t="shared" si="28"/>
        <v>#N/A</v>
      </c>
      <c r="AN32" s="397" t="e">
        <f t="shared" si="28"/>
        <v>#N/A</v>
      </c>
      <c r="AO32" s="397" t="e">
        <f t="shared" si="28"/>
        <v>#N/A</v>
      </c>
      <c r="AP32" s="397" t="e">
        <f t="shared" si="28"/>
        <v>#N/A</v>
      </c>
      <c r="AQ32" s="397" t="e">
        <f t="shared" si="28"/>
        <v>#N/A</v>
      </c>
      <c r="AR32" s="397">
        <f t="shared" si="28"/>
        <v>9.0759939958808946</v>
      </c>
      <c r="AS32" s="397">
        <f t="shared" si="28"/>
        <v>109.61008133486928</v>
      </c>
      <c r="AT32" s="397" t="e">
        <f t="shared" si="28"/>
        <v>#N/A</v>
      </c>
      <c r="AU32" s="397" t="e">
        <f t="shared" si="28"/>
        <v>#N/A</v>
      </c>
      <c r="AV32" s="397">
        <f t="shared" si="28"/>
        <v>120.78053548364576</v>
      </c>
      <c r="AW32" s="397">
        <f t="shared" si="28"/>
        <v>13.613990993821341</v>
      </c>
      <c r="AX32" s="397">
        <f t="shared" si="28"/>
        <v>13.963067685970607</v>
      </c>
      <c r="AY32" s="397">
        <f t="shared" si="28"/>
        <v>5.2361503822389777</v>
      </c>
      <c r="AZ32" s="398">
        <f t="shared" si="28"/>
        <v>0</v>
      </c>
      <c r="BA32" s="399">
        <f t="shared" si="28"/>
        <v>527.45488183753969</v>
      </c>
      <c r="BB32" s="61"/>
      <c r="BC32" s="56" t="str">
        <f>AB32</f>
        <v>Bracknell Forest</v>
      </c>
      <c r="BD32" s="132">
        <f t="shared" ref="BD32:BD44" si="29">SUM(AF9:AI9)/$BA9</f>
        <v>7.4123097286565187E-2</v>
      </c>
      <c r="BE32" s="132">
        <f t="shared" ref="BE32:BE44" si="30">SUM(AJ9:AK9)/$BA9</f>
        <v>0.28457974851091994</v>
      </c>
      <c r="BF32" s="132">
        <f t="shared" ref="BF32:BF44" si="31">SUM(AL9:AQ9)/$BA9</f>
        <v>0.12508272667107875</v>
      </c>
      <c r="BG32" s="132">
        <f t="shared" ref="BG32:BG44" si="32">AR9/$BA9</f>
        <v>1.7207147584381206E-2</v>
      </c>
      <c r="BH32" s="132">
        <f t="shared" ref="BH32:BH44" si="33">SUM(AS9:AU9)/$BA9</f>
        <v>0.20780939774983453</v>
      </c>
      <c r="BI32" s="132">
        <f t="shared" ref="BI32:BI44" si="34">AV9/$BA9</f>
        <v>0.22898742554599602</v>
      </c>
      <c r="BJ32" s="132">
        <f t="shared" ref="BJ32:BJ44" si="35">AW9/$BA9</f>
        <v>2.5810721376571807E-2</v>
      </c>
      <c r="BK32" s="132">
        <f t="shared" ref="BK32:BK44" si="36">AX9/$BA9</f>
        <v>2.6472534745201854E-2</v>
      </c>
      <c r="BL32" s="132">
        <f t="shared" ref="BL32:BL44" si="37">AY9/$BA9</f>
        <v>9.9272005294506957E-3</v>
      </c>
      <c r="BM32" s="132">
        <f t="shared" ref="BM32:BM44" si="38">AZ9/$BA9</f>
        <v>0</v>
      </c>
    </row>
    <row r="33" spans="1:65" s="56" customFormat="1" ht="15" hidden="1" customHeight="1">
      <c r="A33" s="1758"/>
      <c r="B33" s="1831"/>
      <c r="C33" s="1831"/>
      <c r="D33" s="1831"/>
      <c r="E33" s="1831"/>
      <c r="F33" s="1831"/>
      <c r="G33" s="1831"/>
      <c r="H33" s="1831"/>
      <c r="I33" s="1831"/>
      <c r="J33" s="1831"/>
      <c r="K33" s="1831"/>
      <c r="L33" s="1831"/>
      <c r="M33" s="1831"/>
      <c r="N33" s="1831"/>
      <c r="O33" s="1831"/>
      <c r="P33" s="1831"/>
      <c r="Q33" s="1831"/>
      <c r="R33" s="1831"/>
      <c r="S33" s="1831"/>
      <c r="T33" s="1831"/>
      <c r="U33" s="1831"/>
      <c r="V33" s="1831"/>
      <c r="W33" s="1831"/>
      <c r="X33" s="1831"/>
      <c r="Y33" s="1832"/>
      <c r="Z33" s="102"/>
      <c r="AB33" s="30" t="str">
        <f t="shared" si="27"/>
        <v>Brighton &amp; Hove</v>
      </c>
      <c r="AC33" s="29">
        <v>2</v>
      </c>
      <c r="AD33" s="30" t="str">
        <f t="shared" ref="AD33:AD51" si="39">CONCATENATE(AB33,$AB$6)</f>
        <v>Brighton &amp; HoveRate per 10,000</v>
      </c>
      <c r="AE33" s="31" t="b">
        <f t="shared" si="23"/>
        <v>0</v>
      </c>
      <c r="AF33" s="34">
        <f t="shared" ref="AF33:BA33" si="40">IF(ISERROR(AF10/$BB10*10000),NA(),AF10/$BB10*10000)</f>
        <v>45.429220417434536</v>
      </c>
      <c r="AG33" s="35" t="e">
        <f t="shared" si="40"/>
        <v>#N/A</v>
      </c>
      <c r="AH33" s="35" t="e">
        <f t="shared" si="40"/>
        <v>#N/A</v>
      </c>
      <c r="AI33" s="35" t="e">
        <f t="shared" si="40"/>
        <v>#N/A</v>
      </c>
      <c r="AJ33" s="35">
        <f t="shared" si="40"/>
        <v>40.714867355247932</v>
      </c>
      <c r="AK33" s="35">
        <f t="shared" si="40"/>
        <v>120.4302918613123</v>
      </c>
      <c r="AL33" s="35">
        <f t="shared" si="40"/>
        <v>103.71576736810526</v>
      </c>
      <c r="AM33" s="35" t="e">
        <f t="shared" si="40"/>
        <v>#N/A</v>
      </c>
      <c r="AN33" s="35" t="e">
        <f t="shared" si="40"/>
        <v>#N/A</v>
      </c>
      <c r="AO33" s="35" t="e">
        <f t="shared" si="40"/>
        <v>#N/A</v>
      </c>
      <c r="AP33" s="35" t="e">
        <f t="shared" si="40"/>
        <v>#N/A</v>
      </c>
      <c r="AQ33" s="35" t="e">
        <f t="shared" si="40"/>
        <v>#N/A</v>
      </c>
      <c r="AR33" s="35">
        <f t="shared" si="40"/>
        <v>8.357262246603522</v>
      </c>
      <c r="AS33" s="35">
        <f t="shared" si="40"/>
        <v>132.43046329233275</v>
      </c>
      <c r="AT33" s="35" t="e">
        <f t="shared" si="40"/>
        <v>#N/A</v>
      </c>
      <c r="AU33" s="35" t="e">
        <f t="shared" si="40"/>
        <v>#N/A</v>
      </c>
      <c r="AV33" s="35">
        <f t="shared" si="40"/>
        <v>220.50315004500064</v>
      </c>
      <c r="AW33" s="35">
        <f t="shared" si="40"/>
        <v>7.7143959199417127</v>
      </c>
      <c r="AX33" s="35">
        <f t="shared" si="40"/>
        <v>0</v>
      </c>
      <c r="AY33" s="35">
        <f t="shared" si="40"/>
        <v>11.571593879912569</v>
      </c>
      <c r="AZ33" s="36">
        <f t="shared" si="40"/>
        <v>7.0715295932799034</v>
      </c>
      <c r="BA33" s="39">
        <f t="shared" si="40"/>
        <v>697.93854197917119</v>
      </c>
      <c r="BC33" s="56" t="str">
        <f t="shared" ref="BC33:BC44" si="41">AB33</f>
        <v>Brighton &amp; Hove</v>
      </c>
      <c r="BD33" s="132">
        <f t="shared" si="29"/>
        <v>6.5090574147988953E-2</v>
      </c>
      <c r="BE33" s="132">
        <f t="shared" si="30"/>
        <v>0.23088731961928155</v>
      </c>
      <c r="BF33" s="132">
        <f t="shared" si="31"/>
        <v>0.1486030089038993</v>
      </c>
      <c r="BG33" s="132">
        <f t="shared" si="32"/>
        <v>1.197420939514891E-2</v>
      </c>
      <c r="BH33" s="132">
        <f t="shared" si="33"/>
        <v>0.18974516426159041</v>
      </c>
      <c r="BI33" s="132">
        <f t="shared" si="34"/>
        <v>0.31593490942585201</v>
      </c>
      <c r="BJ33" s="132">
        <f t="shared" si="35"/>
        <v>1.1053116364752841E-2</v>
      </c>
      <c r="BK33" s="132">
        <f t="shared" si="36"/>
        <v>0</v>
      </c>
      <c r="BL33" s="132">
        <f t="shared" si="37"/>
        <v>1.6579674547129261E-2</v>
      </c>
      <c r="BM33" s="132">
        <f t="shared" si="38"/>
        <v>1.013202333435677E-2</v>
      </c>
    </row>
    <row r="34" spans="1:65" s="56" customFormat="1" ht="9.9499999999999993" hidden="1" customHeight="1">
      <c r="A34" s="1833" t="e">
        <f>Home!#REF!</f>
        <v>#REF!</v>
      </c>
      <c r="B34" s="1834"/>
      <c r="C34" s="1834"/>
      <c r="D34" s="1834"/>
      <c r="E34" s="1834"/>
      <c r="F34" s="1834"/>
      <c r="G34" s="1834"/>
      <c r="H34" s="1834"/>
      <c r="I34" s="1834"/>
      <c r="J34" s="1834"/>
      <c r="K34" s="1834"/>
      <c r="L34" s="1834"/>
      <c r="M34" s="1834"/>
      <c r="N34" s="1834"/>
      <c r="O34" s="1834"/>
      <c r="P34" s="1834"/>
      <c r="Q34" s="1834"/>
      <c r="R34" s="1834"/>
      <c r="S34" s="1834"/>
      <c r="T34" s="1834"/>
      <c r="U34" s="1834"/>
      <c r="V34" s="1834"/>
      <c r="W34" s="1834"/>
      <c r="X34" s="1834"/>
      <c r="Y34" s="1835"/>
      <c r="Z34" s="102"/>
      <c r="AB34" s="30" t="str">
        <f t="shared" si="27"/>
        <v>Buckinghamshire</v>
      </c>
      <c r="AC34" s="29">
        <v>3</v>
      </c>
      <c r="AD34" s="30" t="str">
        <f t="shared" si="39"/>
        <v>BuckinghamshireRate per 10,000</v>
      </c>
      <c r="AE34" s="31" t="b">
        <f t="shared" si="23"/>
        <v>0</v>
      </c>
      <c r="AF34" s="34">
        <f t="shared" ref="AF34:BA34" si="42">IF(ISERROR(AF11/$BB11*10000),NA(),AF11/$BB11*10000)</f>
        <v>29.541750250752255</v>
      </c>
      <c r="AG34" s="35" t="e">
        <f t="shared" si="42"/>
        <v>#N/A</v>
      </c>
      <c r="AH34" s="35" t="e">
        <f t="shared" si="42"/>
        <v>#N/A</v>
      </c>
      <c r="AI34" s="35" t="e">
        <f t="shared" si="42"/>
        <v>#N/A</v>
      </c>
      <c r="AJ34" s="35">
        <f t="shared" si="42"/>
        <v>104.45398696088265</v>
      </c>
      <c r="AK34" s="35">
        <f t="shared" si="42"/>
        <v>6.8956870611835512</v>
      </c>
      <c r="AL34" s="35">
        <f t="shared" si="42"/>
        <v>79.770561685055171</v>
      </c>
      <c r="AM34" s="35" t="e">
        <f t="shared" si="42"/>
        <v>#N/A</v>
      </c>
      <c r="AN34" s="35" t="e">
        <f t="shared" si="42"/>
        <v>#N/A</v>
      </c>
      <c r="AO34" s="35" t="e">
        <f t="shared" si="42"/>
        <v>#N/A</v>
      </c>
      <c r="AP34" s="35" t="e">
        <f t="shared" si="42"/>
        <v>#N/A</v>
      </c>
      <c r="AQ34" s="35" t="e">
        <f t="shared" si="42"/>
        <v>#N/A</v>
      </c>
      <c r="AR34" s="35">
        <f t="shared" si="42"/>
        <v>2.7426028084252758</v>
      </c>
      <c r="AS34" s="35">
        <f t="shared" si="42"/>
        <v>67.703109327983952</v>
      </c>
      <c r="AT34" s="35" t="e">
        <f t="shared" si="42"/>
        <v>#N/A</v>
      </c>
      <c r="AU34" s="35" t="e">
        <f t="shared" si="42"/>
        <v>#N/A</v>
      </c>
      <c r="AV34" s="35">
        <f t="shared" si="42"/>
        <v>186.02683049147441</v>
      </c>
      <c r="AW34" s="35">
        <f t="shared" si="42"/>
        <v>16.455616850551653</v>
      </c>
      <c r="AX34" s="35">
        <f t="shared" si="42"/>
        <v>19.825100300902708</v>
      </c>
      <c r="AY34" s="35">
        <f t="shared" si="42"/>
        <v>3.2911233701103311</v>
      </c>
      <c r="AZ34" s="36">
        <f t="shared" si="42"/>
        <v>2.0373620862587765</v>
      </c>
      <c r="BA34" s="39">
        <f t="shared" si="42"/>
        <v>518.74373119358074</v>
      </c>
      <c r="BC34" s="56" t="str">
        <f t="shared" si="41"/>
        <v>Buckinghamshire</v>
      </c>
      <c r="BD34" s="132">
        <f t="shared" si="29"/>
        <v>5.6948640483383689E-2</v>
      </c>
      <c r="BE34" s="132">
        <f t="shared" si="30"/>
        <v>0.21465256797583082</v>
      </c>
      <c r="BF34" s="132">
        <f t="shared" si="31"/>
        <v>0.15377643504531721</v>
      </c>
      <c r="BG34" s="132">
        <f t="shared" si="32"/>
        <v>5.287009063444109E-3</v>
      </c>
      <c r="BH34" s="132">
        <f t="shared" si="33"/>
        <v>0.13051359516616315</v>
      </c>
      <c r="BI34" s="132">
        <f t="shared" si="34"/>
        <v>0.35861027190332329</v>
      </c>
      <c r="BJ34" s="132">
        <f t="shared" si="35"/>
        <v>3.1722054380664652E-2</v>
      </c>
      <c r="BK34" s="132">
        <f t="shared" si="36"/>
        <v>3.8217522658610274E-2</v>
      </c>
      <c r="BL34" s="132">
        <f t="shared" si="37"/>
        <v>6.3444108761329309E-3</v>
      </c>
      <c r="BM34" s="132">
        <f t="shared" si="38"/>
        <v>3.9274924471299098E-3</v>
      </c>
    </row>
    <row r="35" spans="1:65" s="56" customFormat="1" ht="11.1" hidden="1" customHeight="1">
      <c r="A35" s="1110"/>
      <c r="B35" s="1050"/>
      <c r="C35" s="1050"/>
      <c r="D35" s="1050"/>
      <c r="E35" s="1050"/>
      <c r="F35" s="1050"/>
      <c r="G35" s="1050"/>
      <c r="H35" s="1050"/>
      <c r="I35" s="1050"/>
      <c r="J35" s="1050"/>
      <c r="K35" s="1050"/>
      <c r="L35" s="1050"/>
      <c r="M35" s="1050"/>
      <c r="N35" s="1050"/>
      <c r="O35" s="1050"/>
      <c r="P35" s="1050"/>
      <c r="Q35" s="1050"/>
      <c r="R35" s="1050"/>
      <c r="S35" s="1050"/>
      <c r="T35" s="1050"/>
      <c r="U35" s="1050"/>
      <c r="V35" s="1050"/>
      <c r="W35" s="1050"/>
      <c r="X35" s="1050"/>
      <c r="Y35" s="1111"/>
      <c r="Z35" s="102"/>
      <c r="AB35" s="30" t="str">
        <f t="shared" si="27"/>
        <v>East Sussex</v>
      </c>
      <c r="AC35" s="29">
        <v>4</v>
      </c>
      <c r="AD35" s="30" t="str">
        <f t="shared" si="39"/>
        <v>East SussexRate per 10,000</v>
      </c>
      <c r="AE35" s="31" t="b">
        <f t="shared" si="23"/>
        <v>0</v>
      </c>
      <c r="AF35" s="34">
        <f t="shared" ref="AF35:BA35" si="43">IF(ISERROR(AF12/$BB12*10000),NA(),AF12/$BB12*10000)</f>
        <v>41.985985367642805</v>
      </c>
      <c r="AG35" s="35" t="e">
        <f t="shared" si="43"/>
        <v>#N/A</v>
      </c>
      <c r="AH35" s="35" t="e">
        <f t="shared" si="43"/>
        <v>#N/A</v>
      </c>
      <c r="AI35" s="35" t="e">
        <f t="shared" si="43"/>
        <v>#N/A</v>
      </c>
      <c r="AJ35" s="35">
        <f t="shared" si="43"/>
        <v>49.514506881840823</v>
      </c>
      <c r="AK35" s="35">
        <f t="shared" si="43"/>
        <v>13.609250429511803</v>
      </c>
      <c r="AL35" s="35">
        <f t="shared" si="43"/>
        <v>49.804065401617663</v>
      </c>
      <c r="AM35" s="35" t="e">
        <f t="shared" si="43"/>
        <v>#N/A</v>
      </c>
      <c r="AN35" s="35" t="e">
        <f t="shared" si="43"/>
        <v>#N/A</v>
      </c>
      <c r="AO35" s="35" t="e">
        <f t="shared" si="43"/>
        <v>#N/A</v>
      </c>
      <c r="AP35" s="35" t="e">
        <f t="shared" si="43"/>
        <v>#N/A</v>
      </c>
      <c r="AQ35" s="35" t="e">
        <f t="shared" si="43"/>
        <v>#N/A</v>
      </c>
      <c r="AR35" s="35">
        <f t="shared" si="43"/>
        <v>6.6598459548674791</v>
      </c>
      <c r="AS35" s="35">
        <f t="shared" si="43"/>
        <v>88.797946064899705</v>
      </c>
      <c r="AT35" s="35" t="e">
        <f t="shared" si="43"/>
        <v>#N/A</v>
      </c>
      <c r="AU35" s="35" t="e">
        <f t="shared" si="43"/>
        <v>#N/A</v>
      </c>
      <c r="AV35" s="35">
        <f t="shared" si="43"/>
        <v>124.41364399745189</v>
      </c>
      <c r="AW35" s="35">
        <f t="shared" si="43"/>
        <v>18.5317452657182</v>
      </c>
      <c r="AX35" s="35">
        <f t="shared" si="43"/>
        <v>11.582340791073877</v>
      </c>
      <c r="AY35" s="35">
        <f t="shared" si="43"/>
        <v>8.9763141130822532</v>
      </c>
      <c r="AZ35" s="36">
        <f t="shared" si="43"/>
        <v>2.2199486516224929</v>
      </c>
      <c r="BA35" s="39">
        <f t="shared" si="43"/>
        <v>416.09559291932896</v>
      </c>
      <c r="BC35" s="56" t="str">
        <f t="shared" si="41"/>
        <v>East Sussex</v>
      </c>
      <c r="BD35" s="132">
        <f t="shared" si="29"/>
        <v>0.10090466249130133</v>
      </c>
      <c r="BE35" s="132">
        <f t="shared" si="30"/>
        <v>0.15170494084899094</v>
      </c>
      <c r="BF35" s="132">
        <f t="shared" si="31"/>
        <v>0.11969380654140571</v>
      </c>
      <c r="BG35" s="132">
        <f t="shared" si="32"/>
        <v>1.6005567153792623E-2</v>
      </c>
      <c r="BH35" s="132">
        <f t="shared" si="33"/>
        <v>0.21340756205056832</v>
      </c>
      <c r="BI35" s="132">
        <f t="shared" si="34"/>
        <v>0.29900255161215494</v>
      </c>
      <c r="BJ35" s="132">
        <f t="shared" si="35"/>
        <v>4.4537230340988172E-2</v>
      </c>
      <c r="BK35" s="132">
        <f t="shared" si="36"/>
        <v>2.7835768963117607E-2</v>
      </c>
      <c r="BL35" s="132">
        <f t="shared" si="37"/>
        <v>2.1572720946416143E-2</v>
      </c>
      <c r="BM35" s="132">
        <f t="shared" si="38"/>
        <v>5.3351890512642079E-3</v>
      </c>
    </row>
    <row r="36" spans="1:65" s="56" customFormat="1" ht="17.100000000000001" hidden="1" customHeight="1">
      <c r="A36" s="427"/>
      <c r="B36" s="1127" t="str">
        <f>$AB$8&amp;" of Referrals from each Source "&amp;Frontpage!J5</f>
        <v>Proportion (%) of Referrals from each Source 2023-24</v>
      </c>
      <c r="C36" s="1128"/>
      <c r="D36" s="1128"/>
      <c r="E36" s="1128"/>
      <c r="F36" s="1128"/>
      <c r="G36" s="1128"/>
      <c r="H36" s="1128"/>
      <c r="I36" s="1128"/>
      <c r="J36" s="1128"/>
      <c r="K36" s="1128"/>
      <c r="L36" s="1128"/>
      <c r="M36" s="1072"/>
      <c r="N36" s="64"/>
      <c r="O36" s="64"/>
      <c r="P36" s="64"/>
      <c r="Q36" s="64"/>
      <c r="R36" s="64"/>
      <c r="S36" s="64"/>
      <c r="T36" s="64"/>
      <c r="U36" s="64"/>
      <c r="V36" s="64"/>
      <c r="W36" s="64"/>
      <c r="X36" s="64"/>
      <c r="Y36" s="428"/>
      <c r="Z36" s="102"/>
      <c r="AB36" s="30" t="str">
        <f t="shared" si="27"/>
        <v>Hampshire</v>
      </c>
      <c r="AC36" s="29">
        <v>5</v>
      </c>
      <c r="AD36" s="30" t="str">
        <f t="shared" si="39"/>
        <v>HampshireRate per 10,000</v>
      </c>
      <c r="AE36" s="31" t="b">
        <f t="shared" si="23"/>
        <v>0</v>
      </c>
      <c r="AF36" s="34" t="e">
        <f t="shared" ref="AF36:BA36" si="44">IF(ISERROR(AF13/$BB13*10000),NA(),AF13/$BB13*10000)</f>
        <v>#N/A</v>
      </c>
      <c r="AG36" s="35" t="e">
        <f t="shared" si="44"/>
        <v>#N/A</v>
      </c>
      <c r="AH36" s="35" t="e">
        <f t="shared" si="44"/>
        <v>#N/A</v>
      </c>
      <c r="AI36" s="35" t="e">
        <f t="shared" si="44"/>
        <v>#N/A</v>
      </c>
      <c r="AJ36" s="35" t="e">
        <f t="shared" si="44"/>
        <v>#N/A</v>
      </c>
      <c r="AK36" s="35" t="e">
        <f t="shared" si="44"/>
        <v>#N/A</v>
      </c>
      <c r="AL36" s="35" t="e">
        <f t="shared" si="44"/>
        <v>#N/A</v>
      </c>
      <c r="AM36" s="35" t="e">
        <f t="shared" si="44"/>
        <v>#N/A</v>
      </c>
      <c r="AN36" s="35" t="e">
        <f t="shared" si="44"/>
        <v>#N/A</v>
      </c>
      <c r="AO36" s="35" t="e">
        <f t="shared" si="44"/>
        <v>#N/A</v>
      </c>
      <c r="AP36" s="35" t="e">
        <f t="shared" si="44"/>
        <v>#N/A</v>
      </c>
      <c r="AQ36" s="35" t="e">
        <f t="shared" si="44"/>
        <v>#N/A</v>
      </c>
      <c r="AR36" s="35" t="e">
        <f t="shared" si="44"/>
        <v>#N/A</v>
      </c>
      <c r="AS36" s="35" t="e">
        <f t="shared" si="44"/>
        <v>#N/A</v>
      </c>
      <c r="AT36" s="35" t="e">
        <f t="shared" si="44"/>
        <v>#N/A</v>
      </c>
      <c r="AU36" s="35" t="e">
        <f t="shared" si="44"/>
        <v>#N/A</v>
      </c>
      <c r="AV36" s="35" t="e">
        <f t="shared" si="44"/>
        <v>#N/A</v>
      </c>
      <c r="AW36" s="35" t="e">
        <f t="shared" si="44"/>
        <v>#N/A</v>
      </c>
      <c r="AX36" s="35" t="e">
        <f t="shared" si="44"/>
        <v>#N/A</v>
      </c>
      <c r="AY36" s="35" t="e">
        <f t="shared" si="44"/>
        <v>#N/A</v>
      </c>
      <c r="AZ36" s="36" t="e">
        <f t="shared" si="44"/>
        <v>#N/A</v>
      </c>
      <c r="BA36" s="39" t="e">
        <f t="shared" si="44"/>
        <v>#N/A</v>
      </c>
      <c r="BC36" s="56" t="str">
        <f t="shared" si="41"/>
        <v>Hampshire</v>
      </c>
      <c r="BD36" s="132" t="e">
        <f t="shared" si="29"/>
        <v>#DIV/0!</v>
      </c>
      <c r="BE36" s="132" t="e">
        <f t="shared" si="30"/>
        <v>#DIV/0!</v>
      </c>
      <c r="BF36" s="132" t="e">
        <f t="shared" si="31"/>
        <v>#DIV/0!</v>
      </c>
      <c r="BG36" s="132" t="e">
        <f t="shared" si="32"/>
        <v>#VALUE!</v>
      </c>
      <c r="BH36" s="132" t="e">
        <f t="shared" si="33"/>
        <v>#DIV/0!</v>
      </c>
      <c r="BI36" s="132" t="e">
        <f t="shared" si="34"/>
        <v>#VALUE!</v>
      </c>
      <c r="BJ36" s="132" t="e">
        <f t="shared" si="35"/>
        <v>#VALUE!</v>
      </c>
      <c r="BK36" s="132" t="e">
        <f t="shared" si="36"/>
        <v>#VALUE!</v>
      </c>
      <c r="BL36" s="132" t="e">
        <f t="shared" si="37"/>
        <v>#VALUE!</v>
      </c>
      <c r="BM36" s="132" t="e">
        <f t="shared" si="38"/>
        <v>#VALUE!</v>
      </c>
    </row>
    <row r="37" spans="1:65" s="56" customFormat="1" ht="18" hidden="1" customHeight="1">
      <c r="A37" s="427"/>
      <c r="B37" s="1129" t="s">
        <v>102</v>
      </c>
      <c r="C37" s="1128"/>
      <c r="D37" s="1128"/>
      <c r="E37" s="1128"/>
      <c r="F37" s="1128"/>
      <c r="G37" s="1128"/>
      <c r="H37" s="1128"/>
      <c r="I37" s="1128"/>
      <c r="J37" s="1128"/>
      <c r="K37" s="1128"/>
      <c r="L37" s="1128"/>
      <c r="M37" s="64"/>
      <c r="N37" s="64"/>
      <c r="O37" s="64"/>
      <c r="P37" s="64"/>
      <c r="Q37" s="64"/>
      <c r="R37" s="64"/>
      <c r="S37" s="64"/>
      <c r="T37" s="64"/>
      <c r="U37" s="64"/>
      <c r="V37" s="1072"/>
      <c r="W37" s="64"/>
      <c r="X37" s="64"/>
      <c r="Y37" s="428"/>
      <c r="Z37" s="102"/>
      <c r="AB37" s="30" t="str">
        <f t="shared" si="27"/>
        <v>Isle of Wight</v>
      </c>
      <c r="AC37" s="29">
        <v>6</v>
      </c>
      <c r="AD37" s="30" t="str">
        <f t="shared" si="39"/>
        <v>Isle of WightRate per 10,000</v>
      </c>
      <c r="AE37" s="31" t="b">
        <f t="shared" si="23"/>
        <v>0</v>
      </c>
      <c r="AF37" s="34">
        <f t="shared" ref="AF37:BA37" si="45">IF(ISERROR(AF14/$BB14*10000),NA(),AF14/$BB14*10000)</f>
        <v>125.43732400375458</v>
      </c>
      <c r="AG37" s="35" t="e">
        <f t="shared" si="45"/>
        <v>#N/A</v>
      </c>
      <c r="AH37" s="35" t="e">
        <f t="shared" si="45"/>
        <v>#N/A</v>
      </c>
      <c r="AI37" s="35" t="e">
        <f t="shared" si="45"/>
        <v>#N/A</v>
      </c>
      <c r="AJ37" s="35">
        <f t="shared" si="45"/>
        <v>640.83966208720881</v>
      </c>
      <c r="AK37" s="35">
        <f t="shared" si="45"/>
        <v>4.2665756463862108</v>
      </c>
      <c r="AL37" s="35">
        <f t="shared" si="45"/>
        <v>272.63418380407882</v>
      </c>
      <c r="AM37" s="35" t="e">
        <f t="shared" si="45"/>
        <v>#N/A</v>
      </c>
      <c r="AN37" s="35" t="e">
        <f t="shared" si="45"/>
        <v>#N/A</v>
      </c>
      <c r="AO37" s="35" t="e">
        <f t="shared" si="45"/>
        <v>#N/A</v>
      </c>
      <c r="AP37" s="35" t="e">
        <f t="shared" si="45"/>
        <v>#N/A</v>
      </c>
      <c r="AQ37" s="35" t="e">
        <f t="shared" si="45"/>
        <v>#N/A</v>
      </c>
      <c r="AR37" s="35">
        <f t="shared" si="45"/>
        <v>26.026111442955884</v>
      </c>
      <c r="AS37" s="35">
        <f t="shared" si="45"/>
        <v>122.02406348664562</v>
      </c>
      <c r="AT37" s="35" t="e">
        <f t="shared" si="45"/>
        <v>#N/A</v>
      </c>
      <c r="AU37" s="35" t="e">
        <f t="shared" si="45"/>
        <v>#N/A</v>
      </c>
      <c r="AV37" s="35">
        <f t="shared" si="45"/>
        <v>416.84444065193276</v>
      </c>
      <c r="AW37" s="35">
        <f t="shared" si="45"/>
        <v>63.571977131154533</v>
      </c>
      <c r="AX37" s="35">
        <f t="shared" si="45"/>
        <v>150.61012031743323</v>
      </c>
      <c r="AY37" s="35">
        <f t="shared" si="45"/>
        <v>34.559262735728304</v>
      </c>
      <c r="AZ37" s="36">
        <f t="shared" si="45"/>
        <v>11.093096680604146</v>
      </c>
      <c r="BA37" s="39">
        <f t="shared" si="45"/>
        <v>1867.906817987883</v>
      </c>
      <c r="BC37" s="56" t="str">
        <f t="shared" si="41"/>
        <v>Isle of Wight</v>
      </c>
      <c r="BD37" s="132">
        <f t="shared" si="29"/>
        <v>6.7153951576062132E-2</v>
      </c>
      <c r="BE37" s="132">
        <f t="shared" si="30"/>
        <v>0.34536317953403378</v>
      </c>
      <c r="BF37" s="132">
        <f t="shared" si="31"/>
        <v>0.14595705801735953</v>
      </c>
      <c r="BG37" s="132">
        <f t="shared" si="32"/>
        <v>1.3933302878026497E-2</v>
      </c>
      <c r="BH37" s="132">
        <f t="shared" si="33"/>
        <v>6.5326633165829151E-2</v>
      </c>
      <c r="BI37" s="132">
        <f t="shared" si="34"/>
        <v>0.22316126084970306</v>
      </c>
      <c r="BJ37" s="132">
        <f t="shared" si="35"/>
        <v>3.4033805390589311E-2</v>
      </c>
      <c r="BK37" s="132">
        <f t="shared" si="36"/>
        <v>8.063042485153038E-2</v>
      </c>
      <c r="BL37" s="132">
        <f t="shared" si="37"/>
        <v>1.8501598903608953E-2</v>
      </c>
      <c r="BM37" s="132">
        <f t="shared" si="38"/>
        <v>5.9387848332571949E-3</v>
      </c>
    </row>
    <row r="38" spans="1:65" s="56" customFormat="1" ht="12.75" customHeight="1">
      <c r="A38" s="427"/>
      <c r="B38" s="1749" t="s">
        <v>177</v>
      </c>
      <c r="C38" s="3"/>
      <c r="D38" s="1816">
        <v>1</v>
      </c>
      <c r="E38" s="1817"/>
      <c r="F38" s="1816">
        <v>2</v>
      </c>
      <c r="G38" s="1817"/>
      <c r="H38" s="1816">
        <v>3</v>
      </c>
      <c r="I38" s="1817"/>
      <c r="J38" s="1816">
        <v>4</v>
      </c>
      <c r="K38" s="1817"/>
      <c r="L38" s="1816">
        <v>5</v>
      </c>
      <c r="M38" s="1817"/>
      <c r="N38" s="1816">
        <v>6</v>
      </c>
      <c r="O38" s="1817"/>
      <c r="P38" s="1816">
        <v>7</v>
      </c>
      <c r="Q38" s="1817"/>
      <c r="R38" s="1816">
        <v>8</v>
      </c>
      <c r="S38" s="1817"/>
      <c r="T38" s="1816">
        <v>9</v>
      </c>
      <c r="U38" s="1817"/>
      <c r="V38" s="1816">
        <v>10</v>
      </c>
      <c r="W38" s="1820"/>
      <c r="X38" s="3"/>
      <c r="Y38" s="428"/>
      <c r="Z38" s="102"/>
      <c r="AB38" s="30" t="str">
        <f t="shared" si="27"/>
        <v>Kent</v>
      </c>
      <c r="AC38" s="29">
        <v>7</v>
      </c>
      <c r="AD38" s="30" t="str">
        <f t="shared" si="39"/>
        <v>KentRate per 10,000</v>
      </c>
      <c r="AE38" s="31" t="b">
        <f t="shared" si="23"/>
        <v>0</v>
      </c>
      <c r="AF38" s="34">
        <f t="shared" ref="AF38:BA38" si="46">IF(ISERROR(AF15/$BB15*10000),NA(),AF15/$BB15*10000)</f>
        <v>50.727466899394827</v>
      </c>
      <c r="AG38" s="35" t="e">
        <f t="shared" si="46"/>
        <v>#N/A</v>
      </c>
      <c r="AH38" s="35" t="e">
        <f t="shared" si="46"/>
        <v>#N/A</v>
      </c>
      <c r="AI38" s="35" t="e">
        <f t="shared" si="46"/>
        <v>#N/A</v>
      </c>
      <c r="AJ38" s="35">
        <f t="shared" si="46"/>
        <v>174.54612266458437</v>
      </c>
      <c r="AK38" s="35">
        <f t="shared" si="46"/>
        <v>3.6172387262726362</v>
      </c>
      <c r="AL38" s="35">
        <f t="shared" si="46"/>
        <v>99.789855654949875</v>
      </c>
      <c r="AM38" s="35" t="e">
        <f t="shared" si="46"/>
        <v>#N/A</v>
      </c>
      <c r="AN38" s="35" t="e">
        <f t="shared" si="46"/>
        <v>#N/A</v>
      </c>
      <c r="AO38" s="35" t="e">
        <f t="shared" si="46"/>
        <v>#N/A</v>
      </c>
      <c r="AP38" s="35" t="e">
        <f t="shared" si="46"/>
        <v>#N/A</v>
      </c>
      <c r="AQ38" s="35" t="e">
        <f t="shared" si="46"/>
        <v>#N/A</v>
      </c>
      <c r="AR38" s="35">
        <f t="shared" si="46"/>
        <v>11.799088226175028</v>
      </c>
      <c r="AS38" s="35">
        <f t="shared" si="46"/>
        <v>72.430899257030646</v>
      </c>
      <c r="AT38" s="35" t="e">
        <f t="shared" si="46"/>
        <v>#N/A</v>
      </c>
      <c r="AU38" s="35" t="e">
        <f t="shared" si="46"/>
        <v>#N/A</v>
      </c>
      <c r="AV38" s="35">
        <f t="shared" si="46"/>
        <v>147.53166519297682</v>
      </c>
      <c r="AW38" s="35">
        <f t="shared" si="46"/>
        <v>93.186959567309344</v>
      </c>
      <c r="AX38" s="35">
        <f t="shared" si="46"/>
        <v>18.602942020830699</v>
      </c>
      <c r="AY38" s="35">
        <f t="shared" si="46"/>
        <v>4.7942767245042086</v>
      </c>
      <c r="AZ38" s="36">
        <f t="shared" si="46"/>
        <v>15.157952757713904</v>
      </c>
      <c r="BA38" s="39">
        <f t="shared" si="46"/>
        <v>692.18446769174238</v>
      </c>
      <c r="BC38" s="56" t="str">
        <f t="shared" si="41"/>
        <v>Kent</v>
      </c>
      <c r="BD38" s="132">
        <f t="shared" si="29"/>
        <v>7.328605200945626E-2</v>
      </c>
      <c r="BE38" s="132">
        <f t="shared" si="30"/>
        <v>0.25739289121148023</v>
      </c>
      <c r="BF38" s="132">
        <f t="shared" si="31"/>
        <v>0.14416656297955291</v>
      </c>
      <c r="BG38" s="132">
        <f t="shared" si="32"/>
        <v>1.7046161503048402E-2</v>
      </c>
      <c r="BH38" s="132">
        <f t="shared" si="33"/>
        <v>0.10464103521214384</v>
      </c>
      <c r="BI38" s="132">
        <f t="shared" si="34"/>
        <v>0.21313923105636431</v>
      </c>
      <c r="BJ38" s="132">
        <f t="shared" si="35"/>
        <v>0.1346273485131268</v>
      </c>
      <c r="BK38" s="132">
        <f t="shared" si="36"/>
        <v>2.6875699888017916E-2</v>
      </c>
      <c r="BL38" s="132">
        <f t="shared" si="37"/>
        <v>6.9262991995354814E-3</v>
      </c>
      <c r="BM38" s="132">
        <f t="shared" si="38"/>
        <v>2.189871842727386E-2</v>
      </c>
    </row>
    <row r="39" spans="1:65" s="56" customFormat="1" ht="37.5" customHeight="1">
      <c r="A39" s="1112"/>
      <c r="B39" s="1750"/>
      <c r="C39" s="1113"/>
      <c r="D39" s="1818" t="s">
        <v>90</v>
      </c>
      <c r="E39" s="1819"/>
      <c r="F39" s="1818" t="s">
        <v>1228</v>
      </c>
      <c r="G39" s="1819"/>
      <c r="H39" s="1818" t="s">
        <v>98</v>
      </c>
      <c r="I39" s="1819"/>
      <c r="J39" s="1818" t="s">
        <v>43</v>
      </c>
      <c r="K39" s="1819"/>
      <c r="L39" s="1818" t="s">
        <v>99</v>
      </c>
      <c r="M39" s="1819"/>
      <c r="N39" s="1818" t="s">
        <v>23</v>
      </c>
      <c r="O39" s="1819"/>
      <c r="P39" s="1818" t="s">
        <v>64</v>
      </c>
      <c r="Q39" s="1819"/>
      <c r="R39" s="1818" t="s">
        <v>63</v>
      </c>
      <c r="S39" s="1819"/>
      <c r="T39" s="1818" t="s">
        <v>61</v>
      </c>
      <c r="U39" s="1819"/>
      <c r="V39" s="1818" t="s">
        <v>62</v>
      </c>
      <c r="W39" s="1838"/>
      <c r="X39" s="3"/>
      <c r="Y39" s="428"/>
      <c r="Z39" s="102"/>
      <c r="AB39" s="30" t="str">
        <f t="shared" si="27"/>
        <v>Medway</v>
      </c>
      <c r="AC39" s="29">
        <v>8</v>
      </c>
      <c r="AD39" s="30" t="str">
        <f t="shared" si="39"/>
        <v>MedwayRate per 10,000</v>
      </c>
      <c r="AE39" s="31" t="b">
        <f t="shared" si="23"/>
        <v>0</v>
      </c>
      <c r="AF39" s="34">
        <f t="shared" ref="AF39:BA39" si="47">IF(ISERROR(AF16/$BB16*10000),NA(),AF16/$BB16*10000)</f>
        <v>62.980790858788076</v>
      </c>
      <c r="AG39" s="35" t="e">
        <f t="shared" si="47"/>
        <v>#N/A</v>
      </c>
      <c r="AH39" s="35" t="e">
        <f t="shared" si="47"/>
        <v>#N/A</v>
      </c>
      <c r="AI39" s="35" t="e">
        <f t="shared" si="47"/>
        <v>#N/A</v>
      </c>
      <c r="AJ39" s="35">
        <f t="shared" si="47"/>
        <v>241.72627348658659</v>
      </c>
      <c r="AK39" s="35">
        <f t="shared" si="47"/>
        <v>2.8491310150404128</v>
      </c>
      <c r="AL39" s="35">
        <f t="shared" si="47"/>
        <v>88.772924258101284</v>
      </c>
      <c r="AM39" s="35" t="e">
        <f t="shared" si="47"/>
        <v>#N/A</v>
      </c>
      <c r="AN39" s="35" t="e">
        <f t="shared" si="47"/>
        <v>#N/A</v>
      </c>
      <c r="AO39" s="35" t="e">
        <f t="shared" si="47"/>
        <v>#N/A</v>
      </c>
      <c r="AP39" s="35" t="e">
        <f t="shared" si="47"/>
        <v>#N/A</v>
      </c>
      <c r="AQ39" s="35" t="e">
        <f t="shared" si="47"/>
        <v>#N/A</v>
      </c>
      <c r="AR39" s="35">
        <f t="shared" si="47"/>
        <v>13.645838019404081</v>
      </c>
      <c r="AS39" s="35">
        <f t="shared" si="47"/>
        <v>106.01766461229326</v>
      </c>
      <c r="AT39" s="35" t="e">
        <f t="shared" si="47"/>
        <v>#N/A</v>
      </c>
      <c r="AU39" s="35" t="e">
        <f t="shared" si="47"/>
        <v>#N/A</v>
      </c>
      <c r="AV39" s="35">
        <f t="shared" si="47"/>
        <v>188.04264699266722</v>
      </c>
      <c r="AW39" s="35">
        <f t="shared" si="47"/>
        <v>33.739709388636463</v>
      </c>
      <c r="AX39" s="35">
        <f t="shared" si="47"/>
        <v>19.644008577383897</v>
      </c>
      <c r="AY39" s="35">
        <f t="shared" si="47"/>
        <v>33.589755124686967</v>
      </c>
      <c r="AZ39" s="36">
        <f t="shared" si="47"/>
        <v>1.1996341115959632</v>
      </c>
      <c r="BA39" s="39">
        <f t="shared" si="47"/>
        <v>792.20837644518429</v>
      </c>
      <c r="BC39" s="56" t="str">
        <f t="shared" si="41"/>
        <v>Medway</v>
      </c>
      <c r="BD39" s="132">
        <f t="shared" si="29"/>
        <v>7.9500283929585469E-2</v>
      </c>
      <c r="BE39" s="132">
        <f t="shared" si="30"/>
        <v>0.30872610259322353</v>
      </c>
      <c r="BF39" s="132">
        <f t="shared" si="31"/>
        <v>0.11205754306265379</v>
      </c>
      <c r="BG39" s="132">
        <f t="shared" si="32"/>
        <v>1.7225061518076849E-2</v>
      </c>
      <c r="BH39" s="132">
        <f t="shared" si="33"/>
        <v>0.13382547794813554</v>
      </c>
      <c r="BI39" s="132">
        <f t="shared" si="34"/>
        <v>0.23736513344690516</v>
      </c>
      <c r="BJ39" s="132">
        <f t="shared" si="35"/>
        <v>4.2589437819420782E-2</v>
      </c>
      <c r="BK39" s="132">
        <f t="shared" si="36"/>
        <v>2.4796517130418323E-2</v>
      </c>
      <c r="BL39" s="132">
        <f t="shared" si="37"/>
        <v>4.240015142911225E-2</v>
      </c>
      <c r="BM39" s="132">
        <f t="shared" si="38"/>
        <v>1.5142911224682945E-3</v>
      </c>
    </row>
    <row r="40" spans="1:65" ht="15.75" customHeight="1">
      <c r="A40" s="1103">
        <f>VLOOKUP(B40,ReportData!$AQ$4:$AR$25,2,FALSE)</f>
        <v>0</v>
      </c>
      <c r="B40" s="1114" t="str">
        <f>ReportData!$K$4</f>
        <v>Bracknell Forest</v>
      </c>
      <c r="C40" s="1130"/>
      <c r="D40" s="1811">
        <f>IF(SUM($AF9:$AZ9)&gt;0,SUM(D9:G9),NA())</f>
        <v>7.4123097286565187</v>
      </c>
      <c r="E40" s="1812"/>
      <c r="F40" s="1811">
        <f>IF(SUM($AF9:$AZ9)&gt;0,SUM(H9:I9),NA())</f>
        <v>28.45797485109199</v>
      </c>
      <c r="G40" s="1812"/>
      <c r="H40" s="1811">
        <f>IF(SUM($AF9:$AZ9)&gt;0,SUM(J9:O9),NA())</f>
        <v>12.508272667107875</v>
      </c>
      <c r="I40" s="1812"/>
      <c r="J40" s="1811">
        <f>IF(SUM($AF9:$AZ9)&gt;0,P9,NA())</f>
        <v>1.7207147584381206</v>
      </c>
      <c r="K40" s="1812"/>
      <c r="L40" s="1811">
        <f>IF(SUM($AF9:$AZ9)&gt;0,SUM(Q9:S9),NA())</f>
        <v>20.780939774983452</v>
      </c>
      <c r="M40" s="1812"/>
      <c r="N40" s="1811">
        <f>IF(SUM($AF9:$AZ9)&gt;0,T9,NA())</f>
        <v>22.8987425545996</v>
      </c>
      <c r="O40" s="1812"/>
      <c r="P40" s="1811">
        <f>IF(SUM($AF9:$AZ9)&gt;0,U9,NA())</f>
        <v>2.5810721376571806</v>
      </c>
      <c r="Q40" s="1812"/>
      <c r="R40" s="1811">
        <f>IF(SUM($AF9:$AZ9)&gt;0,V9,NA())</f>
        <v>2.6472534745201854</v>
      </c>
      <c r="S40" s="1812"/>
      <c r="T40" s="1811">
        <f>IF(SUM($AF9:$AZ9)&gt;0,W9,NA())</f>
        <v>0.9927200529450696</v>
      </c>
      <c r="U40" s="1812"/>
      <c r="V40" s="1811">
        <f>IF(SUM($AF9:$AZ9)&gt;0,X9,NA())</f>
        <v>0</v>
      </c>
      <c r="W40" s="1821"/>
      <c r="X40" s="3"/>
      <c r="Y40" s="428"/>
      <c r="Z40" s="102"/>
      <c r="AA40" s="52"/>
      <c r="AB40" s="30" t="str">
        <f t="shared" si="27"/>
        <v>Milton Keynes</v>
      </c>
      <c r="AC40" s="29">
        <v>9</v>
      </c>
      <c r="AD40" s="30" t="str">
        <f t="shared" si="39"/>
        <v>Milton KeynesRate per 10,000</v>
      </c>
      <c r="AE40" s="31" t="b">
        <f t="shared" si="23"/>
        <v>0</v>
      </c>
      <c r="AF40" s="34">
        <f t="shared" ref="AF40:BA40" si="48">IF(ISERROR(AF17/$BB17*10000),NA(),AF17/$BB17*10000)</f>
        <v>32.69365495830872</v>
      </c>
      <c r="AG40" s="35" t="e">
        <f t="shared" si="48"/>
        <v>#N/A</v>
      </c>
      <c r="AH40" s="35" t="e">
        <f t="shared" si="48"/>
        <v>#N/A</v>
      </c>
      <c r="AI40" s="35" t="e">
        <f t="shared" si="48"/>
        <v>#N/A</v>
      </c>
      <c r="AJ40" s="35">
        <f t="shared" si="48"/>
        <v>60.029946288995426</v>
      </c>
      <c r="AK40" s="35">
        <f t="shared" si="48"/>
        <v>41.897330933967062</v>
      </c>
      <c r="AL40" s="35">
        <f t="shared" si="48"/>
        <v>52.749426487355251</v>
      </c>
      <c r="AM40" s="35" t="e">
        <f t="shared" si="48"/>
        <v>#N/A</v>
      </c>
      <c r="AN40" s="35" t="e">
        <f t="shared" si="48"/>
        <v>#N/A</v>
      </c>
      <c r="AO40" s="35" t="e">
        <f t="shared" si="48"/>
        <v>#N/A</v>
      </c>
      <c r="AP40" s="35" t="e">
        <f t="shared" si="48"/>
        <v>#N/A</v>
      </c>
      <c r="AQ40" s="35" t="e">
        <f t="shared" si="48"/>
        <v>#N/A</v>
      </c>
      <c r="AR40" s="35">
        <f t="shared" si="48"/>
        <v>0</v>
      </c>
      <c r="AS40" s="35">
        <f t="shared" si="48"/>
        <v>59.617841394562966</v>
      </c>
      <c r="AT40" s="35" t="e">
        <f t="shared" si="48"/>
        <v>#N/A</v>
      </c>
      <c r="AU40" s="35" t="e">
        <f t="shared" si="48"/>
        <v>#N/A</v>
      </c>
      <c r="AV40" s="35">
        <f t="shared" si="48"/>
        <v>135.44514197013612</v>
      </c>
      <c r="AW40" s="35">
        <f t="shared" si="48"/>
        <v>15.522617690289435</v>
      </c>
      <c r="AX40" s="35">
        <f t="shared" si="48"/>
        <v>15.385249392145282</v>
      </c>
      <c r="AY40" s="35">
        <f t="shared" si="48"/>
        <v>8.7915710812258752</v>
      </c>
      <c r="AZ40" s="36">
        <f t="shared" si="48"/>
        <v>0</v>
      </c>
      <c r="BA40" s="39">
        <f t="shared" si="48"/>
        <v>422.13278019698612</v>
      </c>
      <c r="BC40" s="56" t="str">
        <f t="shared" si="41"/>
        <v>Milton Keynes</v>
      </c>
      <c r="BD40" s="132">
        <f t="shared" si="29"/>
        <v>7.7448747152619596E-2</v>
      </c>
      <c r="BE40" s="132">
        <f t="shared" si="30"/>
        <v>0.24145785876993167</v>
      </c>
      <c r="BF40" s="132">
        <f t="shared" si="31"/>
        <v>0.12495932313699967</v>
      </c>
      <c r="BG40" s="132">
        <f t="shared" si="32"/>
        <v>0</v>
      </c>
      <c r="BH40" s="132">
        <f t="shared" si="33"/>
        <v>0.14123006833712984</v>
      </c>
      <c r="BI40" s="132">
        <f t="shared" si="34"/>
        <v>0.32085909534656687</v>
      </c>
      <c r="BJ40" s="132">
        <f t="shared" si="35"/>
        <v>3.6771884152294175E-2</v>
      </c>
      <c r="BK40" s="132">
        <f t="shared" si="36"/>
        <v>3.644646924829157E-2</v>
      </c>
      <c r="BL40" s="132">
        <f t="shared" si="37"/>
        <v>2.0826553856166611E-2</v>
      </c>
      <c r="BM40" s="132">
        <f t="shared" si="38"/>
        <v>0</v>
      </c>
    </row>
    <row r="41" spans="1:65" ht="15.75" customHeight="1">
      <c r="A41" s="1103">
        <f>VLOOKUP(B41,ReportData!$AQ$4:$AR$25,2,FALSE)</f>
        <v>0</v>
      </c>
      <c r="B41" s="1114" t="str">
        <f>ReportData!$K$5</f>
        <v>Brighton &amp; Hove</v>
      </c>
      <c r="C41" s="3"/>
      <c r="D41" s="1811">
        <f t="shared" ref="D41:D52" si="49">IF(SUM($AF10:$AZ10)&gt;0,SUM(D10:G10),NA())</f>
        <v>6.5090574147988951</v>
      </c>
      <c r="E41" s="1812"/>
      <c r="F41" s="1811">
        <f t="shared" ref="F41:F52" si="50">IF(SUM($AF10:$AZ10)&gt;0,SUM(H10:I10),NA())</f>
        <v>23.088731961928158</v>
      </c>
      <c r="G41" s="1812"/>
      <c r="H41" s="1811">
        <f t="shared" ref="H41:H52" si="51">IF(SUM($AF10:$AZ10)&gt;0,SUM(J10:O10),NA())</f>
        <v>14.860300890389929</v>
      </c>
      <c r="I41" s="1812"/>
      <c r="J41" s="1811">
        <f t="shared" ref="J41:J52" si="52">IF(SUM($AF10:$AZ10)&gt;0,P10,NA())</f>
        <v>1.1974209395148909</v>
      </c>
      <c r="K41" s="1812"/>
      <c r="L41" s="1811">
        <f t="shared" ref="L41:L52" si="53">IF(SUM($AF10:$AZ10)&gt;0,SUM(Q10:S10),NA())</f>
        <v>18.974516426159042</v>
      </c>
      <c r="M41" s="1812"/>
      <c r="N41" s="1811">
        <f t="shared" ref="N41:N52" si="54">IF(SUM($AF10:$AZ10)&gt;0,T10,NA())</f>
        <v>31.593490942585202</v>
      </c>
      <c r="O41" s="1812"/>
      <c r="P41" s="1811">
        <f t="shared" ref="P41:P52" si="55">IF(SUM($AF10:$AZ10)&gt;0,U10,NA())</f>
        <v>1.105311636475284</v>
      </c>
      <c r="Q41" s="1812"/>
      <c r="R41" s="1811">
        <f t="shared" ref="R41:R52" si="56">IF(SUM($AF10:$AZ10)&gt;0,V10,NA())</f>
        <v>0</v>
      </c>
      <c r="S41" s="1812"/>
      <c r="T41" s="1811">
        <f t="shared" ref="T41:T52" si="57">IF(SUM($AF10:$AZ10)&gt;0,W10,NA())</f>
        <v>1.6579674547129262</v>
      </c>
      <c r="U41" s="1812"/>
      <c r="V41" s="1811">
        <f t="shared" ref="V41:V52" si="58">IF(SUM($AF10:$AZ10)&gt;0,X10,NA())</f>
        <v>1.013202333435677</v>
      </c>
      <c r="W41" s="1821"/>
      <c r="X41" s="3"/>
      <c r="Y41" s="428"/>
      <c r="Z41" s="102"/>
      <c r="AA41" s="52"/>
      <c r="AB41" s="30" t="str">
        <f t="shared" si="27"/>
        <v>Oxfordshire</v>
      </c>
      <c r="AC41" s="29">
        <v>10</v>
      </c>
      <c r="AD41" s="30" t="str">
        <f t="shared" si="39"/>
        <v>OxfordshireRate per 10,000</v>
      </c>
      <c r="AE41" s="31" t="b">
        <f t="shared" si="23"/>
        <v>0</v>
      </c>
      <c r="AF41" s="34">
        <f t="shared" ref="AF41:BA41" si="59">IF(ISERROR(AF18/$BB18*10000),NA(),AF18/$BB18*10000)</f>
        <v>26.490934723451691</v>
      </c>
      <c r="AG41" s="35" t="e">
        <f t="shared" si="59"/>
        <v>#N/A</v>
      </c>
      <c r="AH41" s="35" t="e">
        <f t="shared" si="59"/>
        <v>#N/A</v>
      </c>
      <c r="AI41" s="35" t="e">
        <f t="shared" si="59"/>
        <v>#N/A</v>
      </c>
      <c r="AJ41" s="35">
        <f t="shared" si="59"/>
        <v>63.473328743319897</v>
      </c>
      <c r="AK41" s="35">
        <f t="shared" si="59"/>
        <v>5.7703026130290809</v>
      </c>
      <c r="AL41" s="35">
        <f t="shared" si="59"/>
        <v>43.605127700731124</v>
      </c>
      <c r="AM41" s="35" t="e">
        <f t="shared" si="59"/>
        <v>#N/A</v>
      </c>
      <c r="AN41" s="35" t="e">
        <f t="shared" si="59"/>
        <v>#N/A</v>
      </c>
      <c r="AO41" s="35" t="e">
        <f t="shared" si="59"/>
        <v>#N/A</v>
      </c>
      <c r="AP41" s="35" t="e">
        <f t="shared" si="59"/>
        <v>#N/A</v>
      </c>
      <c r="AQ41" s="35" t="e">
        <f t="shared" si="59"/>
        <v>#N/A</v>
      </c>
      <c r="AR41" s="35">
        <f t="shared" si="59"/>
        <v>2.8851513065145404</v>
      </c>
      <c r="AS41" s="35">
        <f t="shared" si="59"/>
        <v>64.784761155371953</v>
      </c>
      <c r="AT41" s="35" t="e">
        <f t="shared" si="59"/>
        <v>#N/A</v>
      </c>
      <c r="AU41" s="35" t="e">
        <f t="shared" si="59"/>
        <v>#N/A</v>
      </c>
      <c r="AV41" s="35">
        <f t="shared" si="59"/>
        <v>95.209993114979838</v>
      </c>
      <c r="AW41" s="35">
        <f t="shared" si="59"/>
        <v>13.311038982328448</v>
      </c>
      <c r="AX41" s="35">
        <f t="shared" si="59"/>
        <v>7.7374512311071761</v>
      </c>
      <c r="AY41" s="35">
        <f t="shared" si="59"/>
        <v>6.2293039572473035</v>
      </c>
      <c r="AZ41" s="36">
        <f t="shared" si="59"/>
        <v>1.4425756532572702</v>
      </c>
      <c r="BA41" s="39">
        <f t="shared" si="59"/>
        <v>330.93996918133831</v>
      </c>
      <c r="BC41" s="56" t="str">
        <f t="shared" si="41"/>
        <v>Oxfordshire</v>
      </c>
      <c r="BD41" s="132">
        <f t="shared" si="29"/>
        <v>8.0047553001783234E-2</v>
      </c>
      <c r="BE41" s="132">
        <f t="shared" si="30"/>
        <v>0.2092332078462453</v>
      </c>
      <c r="BF41" s="132">
        <f t="shared" si="31"/>
        <v>0.13176144244105409</v>
      </c>
      <c r="BG41" s="132">
        <f t="shared" si="32"/>
        <v>8.7180503269268881E-3</v>
      </c>
      <c r="BH41" s="132">
        <f t="shared" si="33"/>
        <v>0.19575985734099466</v>
      </c>
      <c r="BI41" s="132">
        <f t="shared" si="34"/>
        <v>0.28769566078858727</v>
      </c>
      <c r="BJ41" s="132">
        <f t="shared" si="35"/>
        <v>4.0221914008321778E-2</v>
      </c>
      <c r="BK41" s="132">
        <f t="shared" si="36"/>
        <v>2.3380225876758469E-2</v>
      </c>
      <c r="BL41" s="132">
        <f t="shared" si="37"/>
        <v>1.8823063205864871E-2</v>
      </c>
      <c r="BM41" s="132">
        <f t="shared" si="38"/>
        <v>4.359025163463444E-3</v>
      </c>
    </row>
    <row r="42" spans="1:65" ht="15.75" customHeight="1">
      <c r="A42" s="1103">
        <f>VLOOKUP(B42,ReportData!$AQ$4:$AR$25,2,FALSE)</f>
        <v>0</v>
      </c>
      <c r="B42" s="1114" t="str">
        <f>ReportData!$K$6</f>
        <v>Buckinghamshire</v>
      </c>
      <c r="C42" s="3"/>
      <c r="D42" s="1811">
        <f t="shared" si="49"/>
        <v>5.6948640483383688</v>
      </c>
      <c r="E42" s="1812"/>
      <c r="F42" s="1811">
        <f t="shared" si="50"/>
        <v>21.465256797583081</v>
      </c>
      <c r="G42" s="1812"/>
      <c r="H42" s="1811">
        <f t="shared" si="51"/>
        <v>15.37764350453172</v>
      </c>
      <c r="I42" s="1812"/>
      <c r="J42" s="1811">
        <f t="shared" si="52"/>
        <v>0.52870090634441091</v>
      </c>
      <c r="K42" s="1812"/>
      <c r="L42" s="1811">
        <f t="shared" si="53"/>
        <v>13.051359516616316</v>
      </c>
      <c r="M42" s="1812"/>
      <c r="N42" s="1811">
        <f t="shared" si="54"/>
        <v>35.861027190332329</v>
      </c>
      <c r="O42" s="1812"/>
      <c r="P42" s="1811">
        <f t="shared" si="55"/>
        <v>3.1722054380664653</v>
      </c>
      <c r="Q42" s="1812"/>
      <c r="R42" s="1811">
        <f t="shared" si="56"/>
        <v>3.8217522658610275</v>
      </c>
      <c r="S42" s="1812"/>
      <c r="T42" s="1811">
        <f t="shared" si="57"/>
        <v>0.6344410876132931</v>
      </c>
      <c r="U42" s="1812"/>
      <c r="V42" s="1811">
        <f t="shared" si="58"/>
        <v>0.392749244712991</v>
      </c>
      <c r="W42" s="1821"/>
      <c r="X42" s="3"/>
      <c r="Y42" s="428"/>
      <c r="Z42" s="102"/>
      <c r="AA42" s="52"/>
      <c r="AB42" s="30" t="str">
        <f t="shared" si="27"/>
        <v>Portsmouth</v>
      </c>
      <c r="AC42" s="29">
        <v>11</v>
      </c>
      <c r="AD42" s="30" t="str">
        <f t="shared" si="39"/>
        <v>PortsmouthRate per 10,000</v>
      </c>
      <c r="AE42" s="31" t="b">
        <f t="shared" si="23"/>
        <v>0</v>
      </c>
      <c r="AF42" s="34">
        <f t="shared" ref="AF42:BA42" si="60">IF(ISERROR(AF19/$BB19*10000),NA(),AF19/$BB19*10000)</f>
        <v>49.637175881059868</v>
      </c>
      <c r="AG42" s="35" t="e">
        <f t="shared" si="60"/>
        <v>#N/A</v>
      </c>
      <c r="AH42" s="35" t="e">
        <f t="shared" si="60"/>
        <v>#N/A</v>
      </c>
      <c r="AI42" s="35" t="e">
        <f t="shared" si="60"/>
        <v>#N/A</v>
      </c>
      <c r="AJ42" s="35">
        <f t="shared" si="60"/>
        <v>131.18396482851537</v>
      </c>
      <c r="AK42" s="35">
        <f t="shared" si="60"/>
        <v>0</v>
      </c>
      <c r="AL42" s="35">
        <f t="shared" si="60"/>
        <v>105.89264187959439</v>
      </c>
      <c r="AM42" s="35" t="e">
        <f t="shared" si="60"/>
        <v>#N/A</v>
      </c>
      <c r="AN42" s="35" t="e">
        <f t="shared" si="60"/>
        <v>#N/A</v>
      </c>
      <c r="AO42" s="35" t="e">
        <f t="shared" si="60"/>
        <v>#N/A</v>
      </c>
      <c r="AP42" s="35" t="e">
        <f t="shared" si="60"/>
        <v>#N/A</v>
      </c>
      <c r="AQ42" s="35" t="e">
        <f t="shared" si="60"/>
        <v>#N/A</v>
      </c>
      <c r="AR42" s="35">
        <f t="shared" si="60"/>
        <v>14.654785260122438</v>
      </c>
      <c r="AS42" s="35">
        <f t="shared" si="60"/>
        <v>127.16571725719147</v>
      </c>
      <c r="AT42" s="35" t="e">
        <f t="shared" si="60"/>
        <v>#N/A</v>
      </c>
      <c r="AU42" s="35" t="e">
        <f t="shared" si="60"/>
        <v>#N/A</v>
      </c>
      <c r="AV42" s="35">
        <f t="shared" si="60"/>
        <v>208.0034036920604</v>
      </c>
      <c r="AW42" s="35">
        <f t="shared" si="60"/>
        <v>29.309570520244876</v>
      </c>
      <c r="AX42" s="35">
        <f t="shared" si="60"/>
        <v>26.236792965703078</v>
      </c>
      <c r="AY42" s="35">
        <f t="shared" si="60"/>
        <v>22.691280402770225</v>
      </c>
      <c r="AZ42" s="36">
        <f t="shared" si="60"/>
        <v>0</v>
      </c>
      <c r="BA42" s="39">
        <f t="shared" si="60"/>
        <v>714.77533268726222</v>
      </c>
      <c r="BC42" s="56" t="str">
        <f t="shared" si="41"/>
        <v>Portsmouth</v>
      </c>
      <c r="BD42" s="132">
        <f t="shared" si="29"/>
        <v>6.9444444444444448E-2</v>
      </c>
      <c r="BE42" s="132">
        <f t="shared" si="30"/>
        <v>0.18353174603174602</v>
      </c>
      <c r="BF42" s="132">
        <f t="shared" si="31"/>
        <v>0.14814814814814814</v>
      </c>
      <c r="BG42" s="132">
        <f t="shared" si="32"/>
        <v>2.0502645502645502E-2</v>
      </c>
      <c r="BH42" s="132">
        <f t="shared" si="33"/>
        <v>0.17791005291005291</v>
      </c>
      <c r="BI42" s="132">
        <f t="shared" si="34"/>
        <v>0.29100529100529099</v>
      </c>
      <c r="BJ42" s="132">
        <f t="shared" si="35"/>
        <v>4.1005291005291003E-2</v>
      </c>
      <c r="BK42" s="132">
        <f t="shared" si="36"/>
        <v>3.6706349206349208E-2</v>
      </c>
      <c r="BL42" s="132">
        <f t="shared" si="37"/>
        <v>3.1746031746031744E-2</v>
      </c>
      <c r="BM42" s="132">
        <f t="shared" si="38"/>
        <v>0</v>
      </c>
    </row>
    <row r="43" spans="1:65" ht="15.75" customHeight="1">
      <c r="A43" s="1103">
        <f>VLOOKUP(B43,ReportData!$AQ$4:$AR$25,2,FALSE)</f>
        <v>0</v>
      </c>
      <c r="B43" s="1114" t="str">
        <f>ReportData!$K$7</f>
        <v>East Sussex</v>
      </c>
      <c r="C43" s="3"/>
      <c r="D43" s="1811">
        <f t="shared" si="49"/>
        <v>10.090466249130133</v>
      </c>
      <c r="E43" s="1812"/>
      <c r="F43" s="1811">
        <f t="shared" si="50"/>
        <v>15.170494084899095</v>
      </c>
      <c r="G43" s="1812"/>
      <c r="H43" s="1811">
        <f t="shared" si="51"/>
        <v>11.969380654140572</v>
      </c>
      <c r="I43" s="1812"/>
      <c r="J43" s="1811">
        <f t="shared" si="52"/>
        <v>1.6005567153792624</v>
      </c>
      <c r="K43" s="1812"/>
      <c r="L43" s="1811">
        <f t="shared" si="53"/>
        <v>21.340756205056831</v>
      </c>
      <c r="M43" s="1812"/>
      <c r="N43" s="1811">
        <f t="shared" si="54"/>
        <v>29.900255161215494</v>
      </c>
      <c r="O43" s="1812"/>
      <c r="P43" s="1811">
        <f t="shared" si="55"/>
        <v>4.4537230340988172</v>
      </c>
      <c r="Q43" s="1812"/>
      <c r="R43" s="1811">
        <f t="shared" si="56"/>
        <v>2.7835768963117609</v>
      </c>
      <c r="S43" s="1812"/>
      <c r="T43" s="1811">
        <f t="shared" si="57"/>
        <v>2.1572720946416144</v>
      </c>
      <c r="U43" s="1812"/>
      <c r="V43" s="1811">
        <f t="shared" si="58"/>
        <v>0.53351890512642075</v>
      </c>
      <c r="W43" s="1821"/>
      <c r="X43" s="3"/>
      <c r="Y43" s="428"/>
      <c r="Z43" s="102"/>
      <c r="AA43" s="52"/>
      <c r="AB43" s="30" t="str">
        <f t="shared" si="27"/>
        <v>Reading</v>
      </c>
      <c r="AC43" s="29">
        <v>12</v>
      </c>
      <c r="AD43" s="30" t="str">
        <f t="shared" si="39"/>
        <v>ReadingRate per 10,000</v>
      </c>
      <c r="AE43" s="31" t="b">
        <f t="shared" si="23"/>
        <v>0</v>
      </c>
      <c r="AF43" s="34">
        <f t="shared" ref="AF43:BA43" si="61">IF(ISERROR(AF20/$BB20*10000),NA(),AF20/$BB20*10000)</f>
        <v>37.965672704263227</v>
      </c>
      <c r="AG43" s="35" t="e">
        <f t="shared" si="61"/>
        <v>#N/A</v>
      </c>
      <c r="AH43" s="35" t="e">
        <f t="shared" si="61"/>
        <v>#N/A</v>
      </c>
      <c r="AI43" s="35" t="e">
        <f t="shared" si="61"/>
        <v>#N/A</v>
      </c>
      <c r="AJ43" s="35">
        <f t="shared" si="61"/>
        <v>139.47111708718921</v>
      </c>
      <c r="AK43" s="35">
        <f t="shared" si="61"/>
        <v>7.118563632049355</v>
      </c>
      <c r="AL43" s="35">
        <f t="shared" si="61"/>
        <v>120.75193123994833</v>
      </c>
      <c r="AM43" s="35" t="e">
        <f t="shared" si="61"/>
        <v>#N/A</v>
      </c>
      <c r="AN43" s="35" t="e">
        <f t="shared" si="61"/>
        <v>#N/A</v>
      </c>
      <c r="AO43" s="35" t="e">
        <f t="shared" si="61"/>
        <v>#N/A</v>
      </c>
      <c r="AP43" s="35" t="e">
        <f t="shared" si="61"/>
        <v>#N/A</v>
      </c>
      <c r="AQ43" s="35" t="e">
        <f t="shared" si="61"/>
        <v>#N/A</v>
      </c>
      <c r="AR43" s="35">
        <f t="shared" si="61"/>
        <v>17.66458382767803</v>
      </c>
      <c r="AS43" s="35">
        <f t="shared" si="61"/>
        <v>122.33383426929264</v>
      </c>
      <c r="AT43" s="35" t="e">
        <f t="shared" si="61"/>
        <v>#N/A</v>
      </c>
      <c r="AU43" s="35" t="e">
        <f t="shared" si="61"/>
        <v>#N/A</v>
      </c>
      <c r="AV43" s="35">
        <f t="shared" si="61"/>
        <v>273.40557357167341</v>
      </c>
      <c r="AW43" s="35">
        <f t="shared" si="61"/>
        <v>31.638060586886024</v>
      </c>
      <c r="AX43" s="35">
        <f t="shared" si="61"/>
        <v>26.628700993962404</v>
      </c>
      <c r="AY43" s="35">
        <f t="shared" si="61"/>
        <v>14.764428273880144</v>
      </c>
      <c r="AZ43" s="36">
        <f t="shared" si="61"/>
        <v>0</v>
      </c>
      <c r="BA43" s="39">
        <f t="shared" si="61"/>
        <v>791.74246618682275</v>
      </c>
      <c r="BC43" s="56" t="str">
        <f t="shared" si="41"/>
        <v>Reading</v>
      </c>
      <c r="BD43" s="132">
        <f t="shared" si="29"/>
        <v>4.7952047952047952E-2</v>
      </c>
      <c r="BE43" s="132">
        <f t="shared" si="30"/>
        <v>0.18514818514818515</v>
      </c>
      <c r="BF43" s="132">
        <f t="shared" si="31"/>
        <v>0.15251415251415251</v>
      </c>
      <c r="BG43" s="132">
        <f t="shared" si="32"/>
        <v>2.2311022311022312E-2</v>
      </c>
      <c r="BH43" s="132">
        <f t="shared" si="33"/>
        <v>0.15451215451215453</v>
      </c>
      <c r="BI43" s="132">
        <f t="shared" si="34"/>
        <v>0.34532134532134534</v>
      </c>
      <c r="BJ43" s="132">
        <f t="shared" si="35"/>
        <v>3.996003996003996E-2</v>
      </c>
      <c r="BK43" s="132">
        <f t="shared" si="36"/>
        <v>3.3633033633033632E-2</v>
      </c>
      <c r="BL43" s="132">
        <f t="shared" si="37"/>
        <v>1.8648018648018648E-2</v>
      </c>
      <c r="BM43" s="132">
        <f t="shared" si="38"/>
        <v>0</v>
      </c>
    </row>
    <row r="44" spans="1:65" ht="15.75" customHeight="1">
      <c r="A44" s="1103">
        <f>VLOOKUP(B44,ReportData!$AQ$4:$AR$25,2,FALSE)</f>
        <v>0</v>
      </c>
      <c r="B44" s="1114" t="str">
        <f>ReportData!$K$8</f>
        <v>Hampshire</v>
      </c>
      <c r="C44" s="3"/>
      <c r="D44" s="1811" t="e">
        <f t="shared" si="49"/>
        <v>#N/A</v>
      </c>
      <c r="E44" s="1812"/>
      <c r="F44" s="1811" t="e">
        <f t="shared" si="50"/>
        <v>#N/A</v>
      </c>
      <c r="G44" s="1812"/>
      <c r="H44" s="1811" t="e">
        <f t="shared" si="51"/>
        <v>#N/A</v>
      </c>
      <c r="I44" s="1812"/>
      <c r="J44" s="1811" t="e">
        <f t="shared" si="52"/>
        <v>#N/A</v>
      </c>
      <c r="K44" s="1812"/>
      <c r="L44" s="1811" t="e">
        <f t="shared" si="53"/>
        <v>#N/A</v>
      </c>
      <c r="M44" s="1812"/>
      <c r="N44" s="1811" t="e">
        <f t="shared" si="54"/>
        <v>#N/A</v>
      </c>
      <c r="O44" s="1812"/>
      <c r="P44" s="1811" t="e">
        <f t="shared" si="55"/>
        <v>#N/A</v>
      </c>
      <c r="Q44" s="1812"/>
      <c r="R44" s="1811" t="e">
        <f t="shared" si="56"/>
        <v>#N/A</v>
      </c>
      <c r="S44" s="1812"/>
      <c r="T44" s="1811" t="e">
        <f t="shared" si="57"/>
        <v>#N/A</v>
      </c>
      <c r="U44" s="1812"/>
      <c r="V44" s="1811" t="e">
        <f t="shared" si="58"/>
        <v>#N/A</v>
      </c>
      <c r="W44" s="1821"/>
      <c r="X44" s="3"/>
      <c r="Y44" s="428"/>
      <c r="Z44" s="102"/>
      <c r="AA44" s="52"/>
      <c r="AB44" s="30" t="str">
        <f t="shared" si="27"/>
        <v>Slough</v>
      </c>
      <c r="AC44" s="29">
        <v>13</v>
      </c>
      <c r="AD44" s="30" t="str">
        <f t="shared" si="39"/>
        <v>SloughRate per 10,000</v>
      </c>
      <c r="AE44" s="31" t="b">
        <f t="shared" si="23"/>
        <v>0</v>
      </c>
      <c r="AF44" s="34">
        <f t="shared" ref="AF44:BA44" si="62">IF(ISERROR(AF21/$BB21*10000),NA(),AF21/$BB21*10000)</f>
        <v>24.526745300898572</v>
      </c>
      <c r="AG44" s="35" t="e">
        <f t="shared" si="62"/>
        <v>#N/A</v>
      </c>
      <c r="AH44" s="35" t="e">
        <f t="shared" si="62"/>
        <v>#N/A</v>
      </c>
      <c r="AI44" s="35" t="e">
        <f t="shared" si="62"/>
        <v>#N/A</v>
      </c>
      <c r="AJ44" s="35">
        <f t="shared" si="62"/>
        <v>190.86267252335614</v>
      </c>
      <c r="AK44" s="35">
        <f t="shared" si="62"/>
        <v>0</v>
      </c>
      <c r="AL44" s="35">
        <f t="shared" si="62"/>
        <v>107.02579767664831</v>
      </c>
      <c r="AM44" s="35" t="e">
        <f t="shared" si="62"/>
        <v>#N/A</v>
      </c>
      <c r="AN44" s="35" t="e">
        <f t="shared" si="62"/>
        <v>#N/A</v>
      </c>
      <c r="AO44" s="35" t="e">
        <f t="shared" si="62"/>
        <v>#N/A</v>
      </c>
      <c r="AP44" s="35" t="e">
        <f t="shared" si="62"/>
        <v>#N/A</v>
      </c>
      <c r="AQ44" s="35" t="e">
        <f t="shared" si="62"/>
        <v>#N/A</v>
      </c>
      <c r="AR44" s="35">
        <f t="shared" si="62"/>
        <v>0</v>
      </c>
      <c r="AS44" s="35">
        <f t="shared" si="62"/>
        <v>74.249147138174763</v>
      </c>
      <c r="AT44" s="35" t="e">
        <f t="shared" si="62"/>
        <v>#N/A</v>
      </c>
      <c r="AU44" s="35" t="e">
        <f t="shared" si="62"/>
        <v>#N/A</v>
      </c>
      <c r="AV44" s="35">
        <f t="shared" si="62"/>
        <v>290.97638743338763</v>
      </c>
      <c r="AW44" s="35">
        <f t="shared" si="62"/>
        <v>19.398425828892506</v>
      </c>
      <c r="AX44" s="35">
        <f t="shared" si="62"/>
        <v>38.57388124595866</v>
      </c>
      <c r="AY44" s="35">
        <f t="shared" si="62"/>
        <v>1.5607928827844546</v>
      </c>
      <c r="AZ44" s="36">
        <f t="shared" si="62"/>
        <v>0</v>
      </c>
      <c r="BA44" s="39">
        <f t="shared" si="62"/>
        <v>747.17385003010099</v>
      </c>
      <c r="BC44" s="56" t="str">
        <f t="shared" si="41"/>
        <v>Slough</v>
      </c>
      <c r="BD44" s="132">
        <f t="shared" si="29"/>
        <v>3.2826022082960309E-2</v>
      </c>
      <c r="BE44" s="132">
        <f t="shared" si="30"/>
        <v>0.25544613548194567</v>
      </c>
      <c r="BF44" s="132">
        <f t="shared" si="31"/>
        <v>0.14324082363473589</v>
      </c>
      <c r="BG44" s="132">
        <f t="shared" si="32"/>
        <v>0</v>
      </c>
      <c r="BH44" s="132">
        <f t="shared" si="33"/>
        <v>9.9373321396598033E-2</v>
      </c>
      <c r="BI44" s="132">
        <f t="shared" si="34"/>
        <v>0.38943598925693823</v>
      </c>
      <c r="BJ44" s="132">
        <f t="shared" si="35"/>
        <v>2.5962399283795883E-2</v>
      </c>
      <c r="BK44" s="132">
        <f t="shared" si="36"/>
        <v>5.1626380185019395E-2</v>
      </c>
      <c r="BL44" s="132">
        <f t="shared" si="37"/>
        <v>2.0889286780065653E-3</v>
      </c>
      <c r="BM44" s="132">
        <f t="shared" si="38"/>
        <v>0</v>
      </c>
    </row>
    <row r="45" spans="1:65" ht="15.75" customHeight="1">
      <c r="A45" s="1103">
        <f>VLOOKUP(B45,ReportData!$AQ$4:$AR$25,2,FALSE)</f>
        <v>0</v>
      </c>
      <c r="B45" s="1114" t="str">
        <f>ReportData!$K$9</f>
        <v>Isle of Wight</v>
      </c>
      <c r="C45" s="3"/>
      <c r="D45" s="1811">
        <f t="shared" si="49"/>
        <v>6.7153951576062134</v>
      </c>
      <c r="E45" s="1812"/>
      <c r="F45" s="1811">
        <f t="shared" si="50"/>
        <v>34.536317953403383</v>
      </c>
      <c r="G45" s="1812"/>
      <c r="H45" s="1811">
        <f t="shared" si="51"/>
        <v>14.595705801735953</v>
      </c>
      <c r="I45" s="1812"/>
      <c r="J45" s="1811">
        <f t="shared" si="52"/>
        <v>1.3933302878026497</v>
      </c>
      <c r="K45" s="1812"/>
      <c r="L45" s="1811">
        <f t="shared" si="53"/>
        <v>6.5326633165829149</v>
      </c>
      <c r="M45" s="1812"/>
      <c r="N45" s="1811">
        <f t="shared" si="54"/>
        <v>22.316126084970307</v>
      </c>
      <c r="O45" s="1812"/>
      <c r="P45" s="1811">
        <f t="shared" si="55"/>
        <v>3.4033805390589311</v>
      </c>
      <c r="Q45" s="1812"/>
      <c r="R45" s="1811">
        <f t="shared" si="56"/>
        <v>8.0630424851530371</v>
      </c>
      <c r="S45" s="1812"/>
      <c r="T45" s="1811">
        <f t="shared" si="57"/>
        <v>1.8501598903608953</v>
      </c>
      <c r="U45" s="1812"/>
      <c r="V45" s="1811">
        <f t="shared" si="58"/>
        <v>0.59387848332571946</v>
      </c>
      <c r="W45" s="1821"/>
      <c r="X45" s="3"/>
      <c r="Y45" s="428"/>
      <c r="Z45" s="102"/>
      <c r="AA45" s="52"/>
      <c r="AB45" s="30" t="str">
        <f>B23</f>
        <v>Southampton</v>
      </c>
      <c r="AC45" s="29">
        <v>15</v>
      </c>
      <c r="AD45" s="30" t="str">
        <f t="shared" si="39"/>
        <v>SouthamptonRate per 10,000</v>
      </c>
      <c r="AE45" s="31" t="b">
        <f t="shared" si="23"/>
        <v>0</v>
      </c>
      <c r="AF45" s="34">
        <f t="shared" ref="AF45:BA45" si="63">IF(ISERROR(AF23/$BB23*10000),NA(),AF23/$BB23*10000)</f>
        <v>39.703809580529253</v>
      </c>
      <c r="AG45" s="35" t="e">
        <f t="shared" si="63"/>
        <v>#N/A</v>
      </c>
      <c r="AH45" s="35" t="e">
        <f t="shared" si="63"/>
        <v>#N/A</v>
      </c>
      <c r="AI45" s="35" t="e">
        <f t="shared" si="63"/>
        <v>#N/A</v>
      </c>
      <c r="AJ45" s="35">
        <f t="shared" si="63"/>
        <v>172.71157167530225</v>
      </c>
      <c r="AK45" s="35">
        <f t="shared" si="63"/>
        <v>4.5659381017608638</v>
      </c>
      <c r="AL45" s="35">
        <f t="shared" si="63"/>
        <v>91.120242987314626</v>
      </c>
      <c r="AM45" s="35" t="e">
        <f t="shared" si="63"/>
        <v>#N/A</v>
      </c>
      <c r="AN45" s="35" t="e">
        <f t="shared" si="63"/>
        <v>#N/A</v>
      </c>
      <c r="AO45" s="35" t="e">
        <f t="shared" si="63"/>
        <v>#N/A</v>
      </c>
      <c r="AP45" s="35" t="e">
        <f t="shared" si="63"/>
        <v>#N/A</v>
      </c>
      <c r="AQ45" s="35" t="e">
        <f t="shared" si="63"/>
        <v>#N/A</v>
      </c>
      <c r="AR45" s="35">
        <f t="shared" si="63"/>
        <v>5.5585333412740949</v>
      </c>
      <c r="AS45" s="35">
        <f t="shared" si="63"/>
        <v>83.179481071208784</v>
      </c>
      <c r="AT45" s="35" t="e">
        <f t="shared" si="63"/>
        <v>#N/A</v>
      </c>
      <c r="AU45" s="35" t="e">
        <f t="shared" si="63"/>
        <v>#N/A</v>
      </c>
      <c r="AV45" s="35">
        <f t="shared" si="63"/>
        <v>169.13822881305461</v>
      </c>
      <c r="AW45" s="35">
        <f t="shared" si="63"/>
        <v>20.645980981875208</v>
      </c>
      <c r="AX45" s="35">
        <f t="shared" si="63"/>
        <v>23.425247652512262</v>
      </c>
      <c r="AY45" s="35">
        <f t="shared" si="63"/>
        <v>4.168900005955571</v>
      </c>
      <c r="AZ45" s="36">
        <f t="shared" si="63"/>
        <v>0</v>
      </c>
      <c r="BA45" s="39">
        <f t="shared" si="63"/>
        <v>614.21793421078746</v>
      </c>
      <c r="BC45" s="56" t="str">
        <f t="shared" ref="BC45:BC52" si="64">AB45</f>
        <v>Southampton</v>
      </c>
      <c r="BD45" s="132">
        <f>SUM(AF23:AI23)/$BA23</f>
        <v>6.4641241111829353E-2</v>
      </c>
      <c r="BE45" s="132">
        <f>SUM(AJ23:AK23)/$BA23</f>
        <v>0.28862314156431801</v>
      </c>
      <c r="BF45" s="132">
        <f>SUM(AL23:AQ23)/$BA23</f>
        <v>0.14835164835164835</v>
      </c>
      <c r="BG45" s="132">
        <f>AR23/$BA23</f>
        <v>9.0497737556561094E-3</v>
      </c>
      <c r="BH45" s="132">
        <f>SUM(AS23:AU23)/$BA23</f>
        <v>0.13542340012928247</v>
      </c>
      <c r="BI45" s="132">
        <f t="shared" ref="BI45:BM46" si="65">AV23/$BA23</f>
        <v>0.27537168713639304</v>
      </c>
      <c r="BJ45" s="132">
        <f t="shared" si="65"/>
        <v>3.3613445378151259E-2</v>
      </c>
      <c r="BK45" s="132">
        <f t="shared" si="65"/>
        <v>3.8138332255979318E-2</v>
      </c>
      <c r="BL45" s="132">
        <f t="shared" si="65"/>
        <v>6.7873303167420816E-3</v>
      </c>
      <c r="BM45" s="132">
        <f t="shared" si="65"/>
        <v>0</v>
      </c>
    </row>
    <row r="46" spans="1:65" ht="15.75" customHeight="1">
      <c r="A46" s="1103">
        <f>VLOOKUP(B46,ReportData!$AQ$4:$AR$25,2,FALSE)</f>
        <v>0</v>
      </c>
      <c r="B46" s="1114" t="str">
        <f>ReportData!$K$10</f>
        <v>Kent</v>
      </c>
      <c r="C46" s="3"/>
      <c r="D46" s="1811">
        <f t="shared" si="49"/>
        <v>7.328605200945626</v>
      </c>
      <c r="E46" s="1812"/>
      <c r="F46" s="1811">
        <f t="shared" si="50"/>
        <v>25.739289121148023</v>
      </c>
      <c r="G46" s="1812"/>
      <c r="H46" s="1811">
        <f t="shared" si="51"/>
        <v>14.41665629795529</v>
      </c>
      <c r="I46" s="1812"/>
      <c r="J46" s="1811">
        <f t="shared" si="52"/>
        <v>1.7046161503048403</v>
      </c>
      <c r="K46" s="1812"/>
      <c r="L46" s="1811">
        <f t="shared" si="53"/>
        <v>10.464103521214383</v>
      </c>
      <c r="M46" s="1812"/>
      <c r="N46" s="1811">
        <f t="shared" si="54"/>
        <v>21.31392310563643</v>
      </c>
      <c r="O46" s="1812"/>
      <c r="P46" s="1811">
        <f t="shared" si="55"/>
        <v>13.46273485131268</v>
      </c>
      <c r="Q46" s="1812"/>
      <c r="R46" s="1811">
        <f t="shared" si="56"/>
        <v>2.6875699888017914</v>
      </c>
      <c r="S46" s="1812"/>
      <c r="T46" s="1811">
        <f t="shared" si="57"/>
        <v>0.69262991995354817</v>
      </c>
      <c r="U46" s="1812"/>
      <c r="V46" s="1811">
        <f t="shared" si="58"/>
        <v>2.1898718427273858</v>
      </c>
      <c r="W46" s="1821"/>
      <c r="X46" s="3"/>
      <c r="Y46" s="428"/>
      <c r="Z46" s="102"/>
      <c r="AA46" s="52"/>
      <c r="AB46" s="30" t="str">
        <f>B24</f>
        <v>Surrey</v>
      </c>
      <c r="AC46" s="29">
        <v>16</v>
      </c>
      <c r="AD46" s="30" t="str">
        <f t="shared" si="39"/>
        <v>SurreyRate per 10,000</v>
      </c>
      <c r="AE46" s="31" t="b">
        <f t="shared" si="23"/>
        <v>0</v>
      </c>
      <c r="AF46" s="34">
        <f t="shared" ref="AF46:BA46" si="66">IF(ISERROR(AF24/$BB24*10000),NA(),AF24/$BB24*10000)</f>
        <v>19.460086121232198</v>
      </c>
      <c r="AG46" s="35" t="e">
        <f t="shared" si="66"/>
        <v>#N/A</v>
      </c>
      <c r="AH46" s="35" t="e">
        <f t="shared" si="66"/>
        <v>#N/A</v>
      </c>
      <c r="AI46" s="35" t="e">
        <f t="shared" si="66"/>
        <v>#N/A</v>
      </c>
      <c r="AJ46" s="35">
        <f t="shared" si="66"/>
        <v>56.573519226715646</v>
      </c>
      <c r="AK46" s="35">
        <f t="shared" si="66"/>
        <v>4.3662862477039353</v>
      </c>
      <c r="AL46" s="35">
        <f t="shared" si="66"/>
        <v>48.292631515553019</v>
      </c>
      <c r="AM46" s="35" t="e">
        <f t="shared" si="66"/>
        <v>#N/A</v>
      </c>
      <c r="AN46" s="35" t="e">
        <f t="shared" si="66"/>
        <v>#N/A</v>
      </c>
      <c r="AO46" s="35" t="e">
        <f t="shared" si="66"/>
        <v>#N/A</v>
      </c>
      <c r="AP46" s="35" t="e">
        <f t="shared" si="66"/>
        <v>#N/A</v>
      </c>
      <c r="AQ46" s="35" t="e">
        <f t="shared" si="66"/>
        <v>#N/A</v>
      </c>
      <c r="AR46" s="35">
        <f t="shared" si="66"/>
        <v>3.0488722936553345</v>
      </c>
      <c r="AS46" s="35">
        <f t="shared" si="66"/>
        <v>34.967930380318585</v>
      </c>
      <c r="AT46" s="35" t="e">
        <f t="shared" si="66"/>
        <v>#N/A</v>
      </c>
      <c r="AU46" s="35" t="e">
        <f t="shared" si="66"/>
        <v>#N/A</v>
      </c>
      <c r="AV46" s="35">
        <f t="shared" si="66"/>
        <v>85.631907013159079</v>
      </c>
      <c r="AW46" s="35">
        <f t="shared" si="66"/>
        <v>9.8241440573338554</v>
      </c>
      <c r="AX46" s="35">
        <f t="shared" si="66"/>
        <v>23.562889578126409</v>
      </c>
      <c r="AY46" s="35">
        <f t="shared" si="66"/>
        <v>3.4252762805263632</v>
      </c>
      <c r="AZ46" s="36">
        <f t="shared" si="66"/>
        <v>0</v>
      </c>
      <c r="BA46" s="39">
        <f t="shared" si="66"/>
        <v>289.15354271432443</v>
      </c>
      <c r="BC46" s="56" t="str">
        <f t="shared" si="64"/>
        <v>Surrey</v>
      </c>
      <c r="BD46" s="132">
        <f>SUM(AF24:AI24)/$BA24</f>
        <v>6.7300182244207238E-2</v>
      </c>
      <c r="BE46" s="132">
        <f>SUM(AJ24:AK24)/$BA24</f>
        <v>0.21075240822702421</v>
      </c>
      <c r="BF46" s="132">
        <f>SUM(AL24:AQ24)/$BA24</f>
        <v>0.16701379848997658</v>
      </c>
      <c r="BG46" s="132">
        <f>AR24/$BA24</f>
        <v>1.0544129133038271E-2</v>
      </c>
      <c r="BH46" s="132">
        <f>SUM(AS24:AU24)/$BA24</f>
        <v>0.12093204894558708</v>
      </c>
      <c r="BI46" s="132">
        <f t="shared" si="65"/>
        <v>0.29614683676126008</v>
      </c>
      <c r="BJ46" s="132">
        <f t="shared" si="65"/>
        <v>3.3975527206456649E-2</v>
      </c>
      <c r="BK46" s="132">
        <f t="shared" si="65"/>
        <v>8.1489195521999486E-2</v>
      </c>
      <c r="BL46" s="132">
        <f t="shared" si="65"/>
        <v>1.1845873470450404E-2</v>
      </c>
      <c r="BM46" s="132">
        <f t="shared" si="65"/>
        <v>0</v>
      </c>
    </row>
    <row r="47" spans="1:65" ht="15.75" customHeight="1">
      <c r="A47" s="1103">
        <f>VLOOKUP(B47,ReportData!$AQ$4:$AR$25,2,FALSE)</f>
        <v>0</v>
      </c>
      <c r="B47" s="1114" t="str">
        <f>ReportData!$K$11</f>
        <v>Medway</v>
      </c>
      <c r="C47" s="3"/>
      <c r="D47" s="1811">
        <f t="shared" si="49"/>
        <v>7.9500283929585471</v>
      </c>
      <c r="E47" s="1812"/>
      <c r="F47" s="1811">
        <f t="shared" si="50"/>
        <v>30.872610259322354</v>
      </c>
      <c r="G47" s="1812"/>
      <c r="H47" s="1811">
        <f t="shared" si="51"/>
        <v>11.20575430626538</v>
      </c>
      <c r="I47" s="1812"/>
      <c r="J47" s="1811">
        <f t="shared" si="52"/>
        <v>1.722506151807685</v>
      </c>
      <c r="K47" s="1812"/>
      <c r="L47" s="1811">
        <f t="shared" si="53"/>
        <v>13.382547794813554</v>
      </c>
      <c r="M47" s="1812"/>
      <c r="N47" s="1811">
        <f t="shared" si="54"/>
        <v>23.736513344690515</v>
      </c>
      <c r="O47" s="1812"/>
      <c r="P47" s="1811">
        <f t="shared" si="55"/>
        <v>4.2589437819420786</v>
      </c>
      <c r="Q47" s="1812"/>
      <c r="R47" s="1811">
        <f t="shared" si="56"/>
        <v>2.4796517130418323</v>
      </c>
      <c r="S47" s="1812"/>
      <c r="T47" s="1811">
        <f t="shared" si="57"/>
        <v>4.2400151429112247</v>
      </c>
      <c r="U47" s="1812"/>
      <c r="V47" s="1811">
        <f t="shared" si="58"/>
        <v>0.15142911224682945</v>
      </c>
      <c r="W47" s="1821"/>
      <c r="X47" s="3"/>
      <c r="Y47" s="428"/>
      <c r="Z47" s="102"/>
      <c r="AA47" s="52"/>
      <c r="AB47" s="30" t="str">
        <f t="shared" ref="AB47:AB52" si="67">B26</f>
        <v>West Berkshire</v>
      </c>
      <c r="AC47" s="29">
        <v>19</v>
      </c>
      <c r="AD47" s="30" t="str">
        <f t="shared" si="39"/>
        <v>West BerkshireRate per 10,000</v>
      </c>
      <c r="AE47" s="31" t="b">
        <f t="shared" si="23"/>
        <v>0</v>
      </c>
      <c r="AF47" s="34">
        <f t="shared" ref="AF47:BA47" si="68">IF(ISERROR(AF26/$BB26*10000),NA(),AF26/$BB26*10000)</f>
        <v>37.367303609341825</v>
      </c>
      <c r="AG47" s="35" t="e">
        <f t="shared" si="68"/>
        <v>#N/A</v>
      </c>
      <c r="AH47" s="35" t="e">
        <f t="shared" si="68"/>
        <v>#N/A</v>
      </c>
      <c r="AI47" s="35" t="e">
        <f t="shared" si="68"/>
        <v>#N/A</v>
      </c>
      <c r="AJ47" s="35">
        <f t="shared" si="68"/>
        <v>86.058032554847841</v>
      </c>
      <c r="AK47" s="35">
        <f t="shared" si="68"/>
        <v>13.305024769992922</v>
      </c>
      <c r="AL47" s="35">
        <f t="shared" si="68"/>
        <v>50.955414012738849</v>
      </c>
      <c r="AM47" s="35" t="e">
        <f t="shared" si="68"/>
        <v>#N/A</v>
      </c>
      <c r="AN47" s="35" t="e">
        <f t="shared" si="68"/>
        <v>#N/A</v>
      </c>
      <c r="AO47" s="35" t="e">
        <f t="shared" si="68"/>
        <v>#N/A</v>
      </c>
      <c r="AP47" s="35" t="e">
        <f t="shared" si="68"/>
        <v>#N/A</v>
      </c>
      <c r="AQ47" s="35" t="e">
        <f t="shared" si="68"/>
        <v>#N/A</v>
      </c>
      <c r="AR47" s="35">
        <f t="shared" si="68"/>
        <v>1.6985138004246285</v>
      </c>
      <c r="AS47" s="35">
        <f t="shared" si="68"/>
        <v>71.620665251238492</v>
      </c>
      <c r="AT47" s="35" t="e">
        <f t="shared" si="68"/>
        <v>#N/A</v>
      </c>
      <c r="AU47" s="35" t="e">
        <f t="shared" si="68"/>
        <v>#N/A</v>
      </c>
      <c r="AV47" s="35">
        <f t="shared" si="68"/>
        <v>146.35527246992214</v>
      </c>
      <c r="AW47" s="35">
        <f t="shared" si="68"/>
        <v>22.080679405520172</v>
      </c>
      <c r="AX47" s="35">
        <f t="shared" si="68"/>
        <v>5.9447983014861991</v>
      </c>
      <c r="AY47" s="35">
        <f t="shared" si="68"/>
        <v>10.75725406935598</v>
      </c>
      <c r="AZ47" s="36">
        <f t="shared" si="68"/>
        <v>7.6433121019108281</v>
      </c>
      <c r="BA47" s="39">
        <f t="shared" si="68"/>
        <v>453.78627034677987</v>
      </c>
      <c r="BC47" s="56" t="str">
        <f t="shared" si="64"/>
        <v>West Berkshire</v>
      </c>
      <c r="BD47" s="132">
        <f t="shared" ref="BD47:BD52" si="69">SUM(AF26:AI26)/$BA26</f>
        <v>8.2345601996257012E-2</v>
      </c>
      <c r="BE47" s="132">
        <f t="shared" ref="BE47:BE52" si="70">SUM(AJ26:AK26)/$BA26</f>
        <v>0.21896444167186524</v>
      </c>
      <c r="BF47" s="132">
        <f t="shared" ref="BF47:BF52" si="71">SUM(AL26:AQ26)/$BA26</f>
        <v>0.11228945726762321</v>
      </c>
      <c r="BG47" s="132">
        <f t="shared" ref="BG47:BG52" si="72">AR26/$BA26</f>
        <v>3.7429819089207735E-3</v>
      </c>
      <c r="BH47" s="132">
        <f t="shared" ref="BH47:BH52" si="73">SUM(AS26:AU26)/$BA26</f>
        <v>0.15782907049282596</v>
      </c>
      <c r="BI47" s="132">
        <f t="shared" ref="BI47:BM52" si="74">AV26/$BA26</f>
        <v>0.32252027448533999</v>
      </c>
      <c r="BJ47" s="132">
        <f t="shared" si="74"/>
        <v>4.8658764815970056E-2</v>
      </c>
      <c r="BK47" s="132">
        <f t="shared" si="74"/>
        <v>1.3100436681222707E-2</v>
      </c>
      <c r="BL47" s="132">
        <f t="shared" si="74"/>
        <v>2.3705552089831567E-2</v>
      </c>
      <c r="BM47" s="132">
        <f t="shared" si="74"/>
        <v>1.6843418590143482E-2</v>
      </c>
    </row>
    <row r="48" spans="1:65" ht="15.75" customHeight="1">
      <c r="A48" s="1103">
        <f>VLOOKUP(B48,ReportData!$AQ$4:$AR$25,2,FALSE)</f>
        <v>0</v>
      </c>
      <c r="B48" s="1114" t="str">
        <f>ReportData!$K$12</f>
        <v>Milton Keynes</v>
      </c>
      <c r="C48" s="3"/>
      <c r="D48" s="1811">
        <f t="shared" si="49"/>
        <v>7.7448747152619593</v>
      </c>
      <c r="E48" s="1812"/>
      <c r="F48" s="1811">
        <f t="shared" si="50"/>
        <v>24.145785876993166</v>
      </c>
      <c r="G48" s="1812"/>
      <c r="H48" s="1811">
        <f t="shared" si="51"/>
        <v>12.495932313699967</v>
      </c>
      <c r="I48" s="1812"/>
      <c r="J48" s="1811">
        <f t="shared" si="52"/>
        <v>0</v>
      </c>
      <c r="K48" s="1812"/>
      <c r="L48" s="1811">
        <f t="shared" si="53"/>
        <v>14.123006833712983</v>
      </c>
      <c r="M48" s="1812"/>
      <c r="N48" s="1811">
        <f t="shared" si="54"/>
        <v>32.085909534656686</v>
      </c>
      <c r="O48" s="1812"/>
      <c r="P48" s="1811">
        <f t="shared" si="55"/>
        <v>3.6771884152294176</v>
      </c>
      <c r="Q48" s="1812"/>
      <c r="R48" s="1811">
        <f t="shared" si="56"/>
        <v>3.6446469248291571</v>
      </c>
      <c r="S48" s="1812"/>
      <c r="T48" s="1811">
        <f t="shared" si="57"/>
        <v>2.0826553856166612</v>
      </c>
      <c r="U48" s="1812"/>
      <c r="V48" s="1811">
        <f t="shared" si="58"/>
        <v>0</v>
      </c>
      <c r="W48" s="1821"/>
      <c r="X48" s="3"/>
      <c r="Y48" s="428"/>
      <c r="Z48" s="102"/>
      <c r="AA48" s="52"/>
      <c r="AB48" s="30" t="str">
        <f t="shared" si="67"/>
        <v>West Sussex</v>
      </c>
      <c r="AC48" s="29">
        <v>20</v>
      </c>
      <c r="AD48" s="30" t="str">
        <f t="shared" si="39"/>
        <v>West SussexRate per 10,000</v>
      </c>
      <c r="AE48" s="31" t="b">
        <f t="shared" si="23"/>
        <v>0</v>
      </c>
      <c r="AF48" s="34">
        <f t="shared" ref="AF48:BA48" si="75">IF(ISERROR(AF27/$BB27*10000),NA(),AF27/$BB27*10000)</f>
        <v>37.316767965677514</v>
      </c>
      <c r="AG48" s="35" t="e">
        <f t="shared" si="75"/>
        <v>#N/A</v>
      </c>
      <c r="AH48" s="35" t="e">
        <f t="shared" si="75"/>
        <v>#N/A</v>
      </c>
      <c r="AI48" s="35" t="e">
        <f t="shared" si="75"/>
        <v>#N/A</v>
      </c>
      <c r="AJ48" s="35">
        <f t="shared" si="75"/>
        <v>82.007508044333221</v>
      </c>
      <c r="AK48" s="35">
        <f t="shared" si="75"/>
        <v>0</v>
      </c>
      <c r="AL48" s="35">
        <f t="shared" si="75"/>
        <v>53.461297819091882</v>
      </c>
      <c r="AM48" s="35" t="e">
        <f t="shared" si="75"/>
        <v>#N/A</v>
      </c>
      <c r="AN48" s="35" t="e">
        <f t="shared" si="75"/>
        <v>#N/A</v>
      </c>
      <c r="AO48" s="35" t="e">
        <f t="shared" si="75"/>
        <v>#N/A</v>
      </c>
      <c r="AP48" s="35" t="e">
        <f t="shared" si="75"/>
        <v>#N/A</v>
      </c>
      <c r="AQ48" s="35" t="e">
        <f t="shared" si="75"/>
        <v>#N/A</v>
      </c>
      <c r="AR48" s="35">
        <f t="shared" si="75"/>
        <v>3.7428494815874154</v>
      </c>
      <c r="AS48" s="35">
        <f t="shared" si="75"/>
        <v>53.070253843403648</v>
      </c>
      <c r="AT48" s="35" t="e">
        <f t="shared" si="75"/>
        <v>#N/A</v>
      </c>
      <c r="AU48" s="35" t="e">
        <f t="shared" si="75"/>
        <v>#N/A</v>
      </c>
      <c r="AV48" s="35">
        <f t="shared" si="75"/>
        <v>125.69270647121915</v>
      </c>
      <c r="AW48" s="35">
        <f t="shared" si="75"/>
        <v>2.4579907043260634</v>
      </c>
      <c r="AX48" s="35">
        <f t="shared" si="75"/>
        <v>55.528244547729706</v>
      </c>
      <c r="AY48" s="35">
        <f t="shared" si="75"/>
        <v>0</v>
      </c>
      <c r="AZ48" s="36">
        <f t="shared" si="75"/>
        <v>29.775205577404364</v>
      </c>
      <c r="BA48" s="39">
        <f t="shared" si="75"/>
        <v>443.05282445477297</v>
      </c>
      <c r="BC48" s="56" t="str">
        <f t="shared" si="64"/>
        <v>West Sussex</v>
      </c>
      <c r="BD48" s="132">
        <f t="shared" si="69"/>
        <v>8.422645315849199E-2</v>
      </c>
      <c r="BE48" s="132">
        <f t="shared" si="70"/>
        <v>0.18509645694111715</v>
      </c>
      <c r="BF48" s="132">
        <f t="shared" si="71"/>
        <v>0.12066574202496533</v>
      </c>
      <c r="BG48" s="132">
        <f t="shared" si="72"/>
        <v>8.4478628167948561E-3</v>
      </c>
      <c r="BH48" s="132">
        <f t="shared" si="73"/>
        <v>0.11978312949186735</v>
      </c>
      <c r="BI48" s="132">
        <f t="shared" si="74"/>
        <v>0.28369688563863321</v>
      </c>
      <c r="BJ48" s="132">
        <f t="shared" si="74"/>
        <v>5.5478502080443829E-3</v>
      </c>
      <c r="BK48" s="132">
        <f t="shared" si="74"/>
        <v>0.12533097969991175</v>
      </c>
      <c r="BL48" s="132">
        <f t="shared" si="74"/>
        <v>0</v>
      </c>
      <c r="BM48" s="132">
        <f t="shared" si="74"/>
        <v>6.7204640020173997E-2</v>
      </c>
    </row>
    <row r="49" spans="1:69" ht="15.75" customHeight="1">
      <c r="A49" s="1103">
        <f>VLOOKUP(B49,ReportData!$AQ$4:$AR$25,2,FALSE)</f>
        <v>0</v>
      </c>
      <c r="B49" s="1114" t="str">
        <f>ReportData!$K$13</f>
        <v>Oxfordshire</v>
      </c>
      <c r="C49" s="3"/>
      <c r="D49" s="1811">
        <f t="shared" si="49"/>
        <v>8.0047553001783243</v>
      </c>
      <c r="E49" s="1812"/>
      <c r="F49" s="1811">
        <f t="shared" si="50"/>
        <v>20.923320784624529</v>
      </c>
      <c r="G49" s="1812"/>
      <c r="H49" s="1811">
        <f t="shared" si="51"/>
        <v>13.176144244105409</v>
      </c>
      <c r="I49" s="1812"/>
      <c r="J49" s="1811">
        <f t="shared" si="52"/>
        <v>0.87180503269268883</v>
      </c>
      <c r="K49" s="1812"/>
      <c r="L49" s="1811">
        <f t="shared" si="53"/>
        <v>19.575985734099465</v>
      </c>
      <c r="M49" s="1812"/>
      <c r="N49" s="1811">
        <f t="shared" si="54"/>
        <v>28.769566078858727</v>
      </c>
      <c r="O49" s="1812"/>
      <c r="P49" s="1811">
        <f t="shared" si="55"/>
        <v>4.0221914008321775</v>
      </c>
      <c r="Q49" s="1812"/>
      <c r="R49" s="1811">
        <f t="shared" si="56"/>
        <v>2.3380225876758467</v>
      </c>
      <c r="S49" s="1812"/>
      <c r="T49" s="1811">
        <f t="shared" si="57"/>
        <v>1.8823063205864872</v>
      </c>
      <c r="U49" s="1812"/>
      <c r="V49" s="1811">
        <f t="shared" si="58"/>
        <v>0.43590251634634442</v>
      </c>
      <c r="W49" s="1821"/>
      <c r="X49" s="3"/>
      <c r="Y49" s="428"/>
      <c r="Z49" s="102"/>
      <c r="AA49" s="52"/>
      <c r="AB49" s="30" t="str">
        <f t="shared" si="67"/>
        <v>Windsor &amp; Maidenhead</v>
      </c>
      <c r="AC49" s="29">
        <v>21</v>
      </c>
      <c r="AD49" s="30" t="str">
        <f t="shared" si="39"/>
        <v>Windsor &amp; MaidenheadRate per 10,000</v>
      </c>
      <c r="AE49" s="31" t="b">
        <f t="shared" si="23"/>
        <v>0</v>
      </c>
      <c r="AF49" s="34">
        <f t="shared" ref="AF49:BA49" si="76">IF(ISERROR(AF28/$BB28*10000),NA(),AF28/$BB28*10000)</f>
        <v>19.252647238995362</v>
      </c>
      <c r="AG49" s="35" t="e">
        <f t="shared" si="76"/>
        <v>#N/A</v>
      </c>
      <c r="AH49" s="35" t="e">
        <f t="shared" si="76"/>
        <v>#N/A</v>
      </c>
      <c r="AI49" s="35" t="e">
        <f t="shared" si="76"/>
        <v>#N/A</v>
      </c>
      <c r="AJ49" s="35">
        <f t="shared" si="76"/>
        <v>129.51780869869606</v>
      </c>
      <c r="AK49" s="35">
        <f t="shared" si="76"/>
        <v>2.9170677634841455</v>
      </c>
      <c r="AL49" s="35">
        <f t="shared" si="76"/>
        <v>75.260348297890957</v>
      </c>
      <c r="AM49" s="35" t="e">
        <f t="shared" si="76"/>
        <v>#N/A</v>
      </c>
      <c r="AN49" s="35" t="e">
        <f t="shared" si="76"/>
        <v>#N/A</v>
      </c>
      <c r="AO49" s="35" t="e">
        <f t="shared" si="76"/>
        <v>#N/A</v>
      </c>
      <c r="AP49" s="35" t="e">
        <f t="shared" si="76"/>
        <v>#N/A</v>
      </c>
      <c r="AQ49" s="35" t="e">
        <f t="shared" si="76"/>
        <v>#N/A</v>
      </c>
      <c r="AR49" s="35">
        <f t="shared" si="76"/>
        <v>3.2087745398325604</v>
      </c>
      <c r="AS49" s="35">
        <f t="shared" si="76"/>
        <v>63.300370467605966</v>
      </c>
      <c r="AT49" s="35" t="e">
        <f t="shared" si="76"/>
        <v>#N/A</v>
      </c>
      <c r="AU49" s="35" t="e">
        <f t="shared" si="76"/>
        <v>#N/A</v>
      </c>
      <c r="AV49" s="35">
        <f t="shared" si="76"/>
        <v>174.73235903270032</v>
      </c>
      <c r="AW49" s="35">
        <f t="shared" si="76"/>
        <v>6.4175490796651209</v>
      </c>
      <c r="AX49" s="35">
        <f t="shared" si="76"/>
        <v>25.378489542312067</v>
      </c>
      <c r="AY49" s="35">
        <f t="shared" si="76"/>
        <v>4.0838948688778043</v>
      </c>
      <c r="AZ49" s="36">
        <f t="shared" si="76"/>
        <v>24.795075989615238</v>
      </c>
      <c r="BA49" s="39">
        <f t="shared" si="76"/>
        <v>528.86438551967558</v>
      </c>
      <c r="BC49" s="56" t="str">
        <f t="shared" si="64"/>
        <v>Windsor &amp; Maidenhead</v>
      </c>
      <c r="BD49" s="132">
        <f t="shared" si="69"/>
        <v>3.6403750689464977E-2</v>
      </c>
      <c r="BE49" s="132">
        <f t="shared" si="70"/>
        <v>0.25041367898510758</v>
      </c>
      <c r="BF49" s="132">
        <f t="shared" si="71"/>
        <v>0.14230557087699944</v>
      </c>
      <c r="BG49" s="132">
        <f t="shared" si="72"/>
        <v>6.0672917815774961E-3</v>
      </c>
      <c r="BH49" s="132">
        <f t="shared" si="73"/>
        <v>0.11969111969111969</v>
      </c>
      <c r="BI49" s="132">
        <f t="shared" si="74"/>
        <v>0.33039161610590184</v>
      </c>
      <c r="BJ49" s="132">
        <f t="shared" si="74"/>
        <v>1.2134583563154992E-2</v>
      </c>
      <c r="BK49" s="132">
        <f t="shared" si="74"/>
        <v>4.7986762272476557E-2</v>
      </c>
      <c r="BL49" s="132">
        <f t="shared" si="74"/>
        <v>7.7220077220077222E-3</v>
      </c>
      <c r="BM49" s="132">
        <f t="shared" si="74"/>
        <v>4.6883618312189741E-2</v>
      </c>
    </row>
    <row r="50" spans="1:69" ht="15.75" customHeight="1">
      <c r="A50" s="1103">
        <f>VLOOKUP(B50,ReportData!$AQ$4:$AR$25,2,FALSE)</f>
        <v>0</v>
      </c>
      <c r="B50" s="1114" t="str">
        <f>ReportData!$K$14</f>
        <v>Portsmouth</v>
      </c>
      <c r="C50" s="3"/>
      <c r="D50" s="1811">
        <f t="shared" si="49"/>
        <v>6.9444444444444446</v>
      </c>
      <c r="E50" s="1812"/>
      <c r="F50" s="1811">
        <f t="shared" si="50"/>
        <v>18.353174603174601</v>
      </c>
      <c r="G50" s="1812"/>
      <c r="H50" s="1811">
        <f t="shared" si="51"/>
        <v>14.814814814814813</v>
      </c>
      <c r="I50" s="1812"/>
      <c r="J50" s="1811">
        <f t="shared" si="52"/>
        <v>2.0502645502645502</v>
      </c>
      <c r="K50" s="1812"/>
      <c r="L50" s="1811">
        <f t="shared" si="53"/>
        <v>17.791005291005291</v>
      </c>
      <c r="M50" s="1812"/>
      <c r="N50" s="1811">
        <f t="shared" si="54"/>
        <v>29.100529100529098</v>
      </c>
      <c r="O50" s="1812"/>
      <c r="P50" s="1811">
        <f t="shared" si="55"/>
        <v>4.1005291005291005</v>
      </c>
      <c r="Q50" s="1812"/>
      <c r="R50" s="1811">
        <f t="shared" si="56"/>
        <v>3.6706349206349209</v>
      </c>
      <c r="S50" s="1812"/>
      <c r="T50" s="1811">
        <f t="shared" si="57"/>
        <v>3.1746031746031744</v>
      </c>
      <c r="U50" s="1812"/>
      <c r="V50" s="1811">
        <f t="shared" si="58"/>
        <v>0</v>
      </c>
      <c r="W50" s="1821"/>
      <c r="X50" s="3"/>
      <c r="Y50" s="428"/>
      <c r="Z50" s="102"/>
      <c r="AA50" s="52"/>
      <c r="AB50" s="30" t="str">
        <f t="shared" si="67"/>
        <v>Wokingham</v>
      </c>
      <c r="AC50" s="29">
        <v>22</v>
      </c>
      <c r="AD50" s="30" t="str">
        <f t="shared" si="39"/>
        <v>WokinghamRate per 10,000</v>
      </c>
      <c r="AE50" s="31" t="b">
        <f t="shared" si="23"/>
        <v>0</v>
      </c>
      <c r="AF50" s="34">
        <f t="shared" ref="AF50:BA50" si="77">IF(ISERROR(AF29/$BB29*10000),NA(),AF29/$BB29*10000)</f>
        <v>32.322112942697508</v>
      </c>
      <c r="AG50" s="35" t="e">
        <f t="shared" si="77"/>
        <v>#N/A</v>
      </c>
      <c r="AH50" s="35" t="e">
        <f t="shared" si="77"/>
        <v>#N/A</v>
      </c>
      <c r="AI50" s="35" t="e">
        <f t="shared" si="77"/>
        <v>#N/A</v>
      </c>
      <c r="AJ50" s="35">
        <f t="shared" si="77"/>
        <v>84.499238121623492</v>
      </c>
      <c r="AK50" s="35">
        <f t="shared" si="77"/>
        <v>4.1557002354896797</v>
      </c>
      <c r="AL50" s="35">
        <f t="shared" si="77"/>
        <v>53.793230826060864</v>
      </c>
      <c r="AM50" s="35" t="e">
        <f t="shared" si="77"/>
        <v>#N/A</v>
      </c>
      <c r="AN50" s="35" t="e">
        <f t="shared" si="77"/>
        <v>#N/A</v>
      </c>
      <c r="AO50" s="35" t="e">
        <f t="shared" si="77"/>
        <v>#N/A</v>
      </c>
      <c r="AP50" s="35" t="e">
        <f t="shared" si="77"/>
        <v>#N/A</v>
      </c>
      <c r="AQ50" s="35" t="e">
        <f t="shared" si="77"/>
        <v>#N/A</v>
      </c>
      <c r="AR50" s="35">
        <f t="shared" si="77"/>
        <v>2.0778501177448399</v>
      </c>
      <c r="AS50" s="35">
        <f t="shared" si="77"/>
        <v>43.865724707946619</v>
      </c>
      <c r="AT50" s="35" t="e">
        <f t="shared" si="77"/>
        <v>#N/A</v>
      </c>
      <c r="AU50" s="35" t="e">
        <f t="shared" si="77"/>
        <v>#N/A</v>
      </c>
      <c r="AV50" s="35">
        <f t="shared" si="77"/>
        <v>111.28041741700144</v>
      </c>
      <c r="AW50" s="35">
        <f t="shared" si="77"/>
        <v>15.699312000738789</v>
      </c>
      <c r="AX50" s="35">
        <f t="shared" si="77"/>
        <v>5.3100614120145915</v>
      </c>
      <c r="AY50" s="35">
        <f t="shared" si="77"/>
        <v>2.5395945883548046</v>
      </c>
      <c r="AZ50" s="36">
        <f t="shared" si="77"/>
        <v>1.8469778824398579</v>
      </c>
      <c r="BA50" s="39">
        <f t="shared" si="77"/>
        <v>357.39022025211244</v>
      </c>
      <c r="BC50" s="56" t="str">
        <f t="shared" si="64"/>
        <v>Wokingham</v>
      </c>
      <c r="BD50" s="132">
        <f t="shared" si="69"/>
        <v>9.0439276485788117E-2</v>
      </c>
      <c r="BE50" s="132">
        <f t="shared" si="70"/>
        <v>0.24806201550387597</v>
      </c>
      <c r="BF50" s="132">
        <f t="shared" si="71"/>
        <v>0.15051679586563307</v>
      </c>
      <c r="BG50" s="132">
        <f t="shared" si="72"/>
        <v>5.8139534883720929E-3</v>
      </c>
      <c r="BH50" s="132">
        <f t="shared" si="73"/>
        <v>0.1227390180878553</v>
      </c>
      <c r="BI50" s="132">
        <f t="shared" si="74"/>
        <v>0.31136950904392763</v>
      </c>
      <c r="BJ50" s="132">
        <f t="shared" si="74"/>
        <v>4.3927648578811367E-2</v>
      </c>
      <c r="BK50" s="132">
        <f t="shared" si="74"/>
        <v>1.4857881136950904E-2</v>
      </c>
      <c r="BL50" s="132">
        <f t="shared" si="74"/>
        <v>7.1059431524547806E-3</v>
      </c>
      <c r="BM50" s="132">
        <f t="shared" si="74"/>
        <v>5.1679586563307496E-3</v>
      </c>
    </row>
    <row r="51" spans="1:69" ht="15.75" customHeight="1">
      <c r="A51" s="1103">
        <f>VLOOKUP(B51,ReportData!$AQ$4:$AR$25,2,FALSE)</f>
        <v>0</v>
      </c>
      <c r="B51" s="1114" t="str">
        <f>ReportData!$K$15</f>
        <v>Reading</v>
      </c>
      <c r="C51" s="3"/>
      <c r="D51" s="1811">
        <f t="shared" si="49"/>
        <v>4.7952047952047954</v>
      </c>
      <c r="E51" s="1812"/>
      <c r="F51" s="1811">
        <f t="shared" si="50"/>
        <v>18.514818514818515</v>
      </c>
      <c r="G51" s="1812"/>
      <c r="H51" s="1811">
        <f t="shared" si="51"/>
        <v>15.251415251415251</v>
      </c>
      <c r="I51" s="1812"/>
      <c r="J51" s="1811">
        <f t="shared" si="52"/>
        <v>2.231102231102231</v>
      </c>
      <c r="K51" s="1812"/>
      <c r="L51" s="1811">
        <f t="shared" si="53"/>
        <v>15.451215451215452</v>
      </c>
      <c r="M51" s="1812"/>
      <c r="N51" s="1811">
        <f t="shared" si="54"/>
        <v>34.532134532134535</v>
      </c>
      <c r="O51" s="1812"/>
      <c r="P51" s="1811">
        <f t="shared" si="55"/>
        <v>3.9960039960039961</v>
      </c>
      <c r="Q51" s="1812"/>
      <c r="R51" s="1811">
        <f t="shared" si="56"/>
        <v>3.3633033633033631</v>
      </c>
      <c r="S51" s="1812"/>
      <c r="T51" s="1811">
        <f t="shared" si="57"/>
        <v>1.8648018648018647</v>
      </c>
      <c r="U51" s="1812"/>
      <c r="V51" s="1811">
        <f t="shared" si="58"/>
        <v>0</v>
      </c>
      <c r="W51" s="1821"/>
      <c r="X51" s="3"/>
      <c r="Y51" s="428"/>
      <c r="Z51" s="102"/>
      <c r="AA51" s="52"/>
      <c r="AB51" s="30" t="str">
        <f t="shared" si="67"/>
        <v>South East</v>
      </c>
      <c r="AC51" s="29">
        <v>23</v>
      </c>
      <c r="AD51" s="30" t="str">
        <f t="shared" si="39"/>
        <v>South EastRate per 10,000</v>
      </c>
      <c r="AE51" s="31" t="b">
        <f t="shared" si="23"/>
        <v>0</v>
      </c>
      <c r="AF51" s="34">
        <f t="shared" ref="AF51:BA51" si="78">IF(ISERROR(AF30/$BB30*10000),NA(),AF30/$BB30*10000)</f>
        <v>32.408864523304118</v>
      </c>
      <c r="AG51" s="35">
        <f t="shared" si="78"/>
        <v>0</v>
      </c>
      <c r="AH51" s="35">
        <f t="shared" si="78"/>
        <v>0</v>
      </c>
      <c r="AI51" s="35">
        <f t="shared" si="78"/>
        <v>0</v>
      </c>
      <c r="AJ51" s="35">
        <f t="shared" si="78"/>
        <v>100.3086031809557</v>
      </c>
      <c r="AK51" s="35">
        <f t="shared" si="78"/>
        <v>7.9890917976311258</v>
      </c>
      <c r="AL51" s="35">
        <f t="shared" si="78"/>
        <v>63.94792861804298</v>
      </c>
      <c r="AM51" s="35">
        <f t="shared" si="78"/>
        <v>0</v>
      </c>
      <c r="AN51" s="35">
        <f t="shared" si="78"/>
        <v>0</v>
      </c>
      <c r="AO51" s="35">
        <f t="shared" si="78"/>
        <v>0</v>
      </c>
      <c r="AP51" s="35">
        <f t="shared" si="78"/>
        <v>0</v>
      </c>
      <c r="AQ51" s="35">
        <f t="shared" si="78"/>
        <v>0</v>
      </c>
      <c r="AR51" s="35">
        <f t="shared" si="78"/>
        <v>5.5657171931892115</v>
      </c>
      <c r="AS51" s="35">
        <f t="shared" si="78"/>
        <v>60.066507052422317</v>
      </c>
      <c r="AT51" s="35">
        <f t="shared" si="78"/>
        <v>0</v>
      </c>
      <c r="AU51" s="35">
        <f t="shared" si="78"/>
        <v>0</v>
      </c>
      <c r="AV51" s="35">
        <f t="shared" si="78"/>
        <v>125.90989671999768</v>
      </c>
      <c r="AW51" s="35">
        <f t="shared" si="78"/>
        <v>26.75264786355898</v>
      </c>
      <c r="AX51" s="35">
        <f t="shared" si="78"/>
        <v>20.25679726410057</v>
      </c>
      <c r="AY51" s="35">
        <f t="shared" si="78"/>
        <v>5.8774375779929429</v>
      </c>
      <c r="AZ51" s="36">
        <f t="shared" si="78"/>
        <v>6.6315997992922942</v>
      </c>
      <c r="BA51" s="39">
        <f t="shared" si="78"/>
        <v>455.71509159048793</v>
      </c>
      <c r="BC51" s="56" t="str">
        <f t="shared" si="64"/>
        <v>South East</v>
      </c>
      <c r="BD51" s="132">
        <f t="shared" si="69"/>
        <v>7.1116504854368934E-2</v>
      </c>
      <c r="BE51" s="132">
        <f t="shared" si="70"/>
        <v>0.23764342453662843</v>
      </c>
      <c r="BF51" s="132">
        <f t="shared" si="71"/>
        <v>0.14032436010591351</v>
      </c>
      <c r="BG51" s="132">
        <f t="shared" si="72"/>
        <v>1.221315092674316E-2</v>
      </c>
      <c r="BH51" s="132">
        <f t="shared" si="73"/>
        <v>0.13180714916151809</v>
      </c>
      <c r="BI51" s="132">
        <f t="shared" si="74"/>
        <v>0.27629082082965578</v>
      </c>
      <c r="BJ51" s="132">
        <f t="shared" si="74"/>
        <v>5.8704766107678732E-2</v>
      </c>
      <c r="BK51" s="132">
        <f t="shared" si="74"/>
        <v>4.4450573698146513E-2</v>
      </c>
      <c r="BL51" s="132">
        <f t="shared" si="74"/>
        <v>1.2897175639894086E-2</v>
      </c>
      <c r="BM51" s="132">
        <f t="shared" si="74"/>
        <v>1.4552074139452781E-2</v>
      </c>
    </row>
    <row r="52" spans="1:69" ht="15.75" customHeight="1">
      <c r="A52" s="1103">
        <f>VLOOKUP(B52,ReportData!$AQ$4:$AR$25,2,FALSE)</f>
        <v>0</v>
      </c>
      <c r="B52" s="1114" t="str">
        <f>ReportData!$K$16</f>
        <v>Slough</v>
      </c>
      <c r="C52" s="3"/>
      <c r="D52" s="1811">
        <f t="shared" si="49"/>
        <v>3.2826022082960309</v>
      </c>
      <c r="E52" s="1812"/>
      <c r="F52" s="1811">
        <f t="shared" si="50"/>
        <v>25.544613548194565</v>
      </c>
      <c r="G52" s="1812"/>
      <c r="H52" s="1811">
        <f t="shared" si="51"/>
        <v>14.32408236347359</v>
      </c>
      <c r="I52" s="1812"/>
      <c r="J52" s="1811">
        <f t="shared" si="52"/>
        <v>0</v>
      </c>
      <c r="K52" s="1812"/>
      <c r="L52" s="1811">
        <f t="shared" si="53"/>
        <v>9.9373321396598033</v>
      </c>
      <c r="M52" s="1812"/>
      <c r="N52" s="1811">
        <f t="shared" si="54"/>
        <v>38.94359892569382</v>
      </c>
      <c r="O52" s="1812"/>
      <c r="P52" s="1811">
        <f t="shared" si="55"/>
        <v>2.5962399283795885</v>
      </c>
      <c r="Q52" s="1812"/>
      <c r="R52" s="1811">
        <f t="shared" si="56"/>
        <v>5.1626380185019398</v>
      </c>
      <c r="S52" s="1812"/>
      <c r="T52" s="1811">
        <f t="shared" si="57"/>
        <v>0.20889286780065652</v>
      </c>
      <c r="U52" s="1812"/>
      <c r="V52" s="1811">
        <f t="shared" si="58"/>
        <v>0</v>
      </c>
      <c r="W52" s="1821"/>
      <c r="X52" s="3"/>
      <c r="Y52" s="428"/>
      <c r="Z52" s="102"/>
      <c r="AA52" s="52"/>
      <c r="AB52" s="30" t="str">
        <f t="shared" si="67"/>
        <v>England</v>
      </c>
      <c r="AC52" s="29">
        <v>24</v>
      </c>
      <c r="AD52" s="30" t="str">
        <f>CONCATENATE(AB52,$AB$6)</f>
        <v>EnglandRate per 10,000</v>
      </c>
      <c r="AE52" s="31" t="b">
        <f>IF(AB52=$AA$6,1)</f>
        <v>0</v>
      </c>
      <c r="AF52" s="34">
        <f t="shared" ref="AF52:BA52" si="79">IF(ISERROR(AF31/$BB31*10000),NA(),AF31/$BB31*10000)</f>
        <v>41.563023027764963</v>
      </c>
      <c r="AG52" s="35" t="e">
        <f t="shared" si="79"/>
        <v>#N/A</v>
      </c>
      <c r="AH52" s="35" t="e">
        <f t="shared" si="79"/>
        <v>#N/A</v>
      </c>
      <c r="AI52" s="35" t="e">
        <f t="shared" si="79"/>
        <v>#N/A</v>
      </c>
      <c r="AJ52" s="35">
        <f t="shared" si="79"/>
        <v>105.39522542793578</v>
      </c>
      <c r="AK52" s="35">
        <f t="shared" si="79"/>
        <v>8.6093047498859452</v>
      </c>
      <c r="AL52" s="35">
        <f t="shared" si="79"/>
        <v>76.150258954218671</v>
      </c>
      <c r="AM52" s="35" t="e">
        <f t="shared" si="79"/>
        <v>#N/A</v>
      </c>
      <c r="AN52" s="35" t="e">
        <f t="shared" si="79"/>
        <v>#N/A</v>
      </c>
      <c r="AO52" s="35" t="e">
        <f t="shared" si="79"/>
        <v>#N/A</v>
      </c>
      <c r="AP52" s="35" t="e">
        <f t="shared" si="79"/>
        <v>#N/A</v>
      </c>
      <c r="AQ52" s="35" t="e">
        <f t="shared" si="79"/>
        <v>#N/A</v>
      </c>
      <c r="AR52" s="35">
        <f t="shared" si="79"/>
        <v>6.4257250359748923</v>
      </c>
      <c r="AS52" s="35">
        <f t="shared" si="79"/>
        <v>73.324940164081852</v>
      </c>
      <c r="AT52" s="35" t="e">
        <f t="shared" si="79"/>
        <v>#N/A</v>
      </c>
      <c r="AU52" s="35" t="e">
        <f t="shared" si="79"/>
        <v>#N/A</v>
      </c>
      <c r="AV52" s="35">
        <f t="shared" si="79"/>
        <v>147.69166454281591</v>
      </c>
      <c r="AW52" s="35">
        <f t="shared" si="79"/>
        <v>22.994261185803797</v>
      </c>
      <c r="AX52" s="35">
        <f t="shared" si="79"/>
        <v>21.769122949372786</v>
      </c>
      <c r="AY52" s="35">
        <f t="shared" si="79"/>
        <v>8.3592765383694125</v>
      </c>
      <c r="AZ52" s="36">
        <f t="shared" si="79"/>
        <v>5.9923428026795689</v>
      </c>
      <c r="BA52" s="39">
        <f t="shared" si="79"/>
        <v>518.27514537890352</v>
      </c>
      <c r="BC52" s="56" t="str">
        <f t="shared" si="64"/>
        <v>England</v>
      </c>
      <c r="BD52" s="132">
        <f t="shared" si="69"/>
        <v>8.0194899173447395E-2</v>
      </c>
      <c r="BE52" s="132">
        <f t="shared" si="70"/>
        <v>0.21996912488341427</v>
      </c>
      <c r="BF52" s="132">
        <f t="shared" si="71"/>
        <v>0.14693017721030457</v>
      </c>
      <c r="BG52" s="132">
        <f t="shared" si="72"/>
        <v>1.2398289003955874E-2</v>
      </c>
      <c r="BH52" s="132">
        <f t="shared" si="73"/>
        <v>0.14147878943813721</v>
      </c>
      <c r="BI52" s="132">
        <f t="shared" si="74"/>
        <v>0.28496767761232433</v>
      </c>
      <c r="BJ52" s="132">
        <f t="shared" si="74"/>
        <v>4.4366899302093719E-2</v>
      </c>
      <c r="BK52" s="132">
        <f t="shared" si="74"/>
        <v>4.2003023188499022E-2</v>
      </c>
      <c r="BL52" s="132">
        <f t="shared" si="74"/>
        <v>1.6129032258064516E-2</v>
      </c>
      <c r="BM52" s="132">
        <f t="shared" si="74"/>
        <v>1.156208792975911E-2</v>
      </c>
    </row>
    <row r="53" spans="1:69" ht="15.75" customHeight="1">
      <c r="A53" s="1103">
        <f>VLOOKUP(B53,ReportData!$AQ$4:$AR$25,2,FALSE)</f>
        <v>0</v>
      </c>
      <c r="B53" s="1114" t="str">
        <f>ReportData!$K$17</f>
        <v>Southampton</v>
      </c>
      <c r="C53" s="3"/>
      <c r="D53" s="1811">
        <f>IF(SUM($AF23:$AZ23)&gt;0,SUM(D23:G23),NA())</f>
        <v>6.4641241111829357</v>
      </c>
      <c r="E53" s="1812"/>
      <c r="F53" s="1811">
        <f>IF(SUM($AF23:$AZ23)&gt;0,SUM(H23:I23),NA())</f>
        <v>28.862314156431804</v>
      </c>
      <c r="G53" s="1812"/>
      <c r="H53" s="1811">
        <f>IF(SUM($AF23:$AZ23)&gt;0,SUM(J23:O23),NA())</f>
        <v>14.835164835164836</v>
      </c>
      <c r="I53" s="1812"/>
      <c r="J53" s="1811">
        <f>IF(SUM($AF23:$AZ23)&gt;0,P23,NA())</f>
        <v>0.90497737556561098</v>
      </c>
      <c r="K53" s="1812"/>
      <c r="L53" s="1811">
        <f>IF(SUM($AF23:$AZ23)&gt;0,SUM(Q23:S23),NA())</f>
        <v>13.542340012928248</v>
      </c>
      <c r="M53" s="1812"/>
      <c r="N53" s="1811">
        <f>IF(SUM($AF23:$AZ23)&gt;0,T23,NA())</f>
        <v>27.537168713639304</v>
      </c>
      <c r="O53" s="1812"/>
      <c r="P53" s="1811">
        <f>IF(SUM($AF23:$AZ23)&gt;0,U23,NA())</f>
        <v>3.3613445378151261</v>
      </c>
      <c r="Q53" s="1812"/>
      <c r="R53" s="1811">
        <f>IF(SUM($AF23:$AZ23)&gt;0,V23,NA())</f>
        <v>3.8138332255979317</v>
      </c>
      <c r="S53" s="1812"/>
      <c r="T53" s="1811">
        <f>IF(SUM($AF23:$AZ23)&gt;0,W23,NA())</f>
        <v>0.67873303167420818</v>
      </c>
      <c r="U53" s="1812"/>
      <c r="V53" s="1811">
        <f>IF(SUM($AF23:$AZ23)&gt;0,X23,NA())</f>
        <v>0</v>
      </c>
      <c r="W53" s="1821"/>
      <c r="X53" s="3"/>
      <c r="Y53" s="428"/>
      <c r="Z53" s="102"/>
      <c r="AA53" s="52"/>
      <c r="AB53" s="30" t="str">
        <f t="shared" ref="AB53:AB65" si="80">B9</f>
        <v>Bracknell Forest</v>
      </c>
      <c r="AC53" s="29">
        <v>1</v>
      </c>
      <c r="AD53" s="30" t="str">
        <f>CONCATENATE(AB53,$AB$7)</f>
        <v>Bracknell ForestProportion (%)</v>
      </c>
      <c r="AE53" s="31" t="b">
        <f t="shared" si="23"/>
        <v>0</v>
      </c>
      <c r="AF53" s="34">
        <f t="shared" ref="AF53:BA53" si="81">IF(ISERROR(AF9/$BA9*100),"",AF9/$BA9*100)</f>
        <v>7.4123097286565187</v>
      </c>
      <c r="AG53" s="35" t="str">
        <f t="shared" si="81"/>
        <v/>
      </c>
      <c r="AH53" s="35" t="str">
        <f t="shared" si="81"/>
        <v/>
      </c>
      <c r="AI53" s="35" t="str">
        <f t="shared" si="81"/>
        <v/>
      </c>
      <c r="AJ53" s="35">
        <f t="shared" si="81"/>
        <v>27.862342819324947</v>
      </c>
      <c r="AK53" s="35">
        <f t="shared" si="81"/>
        <v>0.59563203176704171</v>
      </c>
      <c r="AL53" s="35">
        <f t="shared" si="81"/>
        <v>12.508272667107875</v>
      </c>
      <c r="AM53" s="35" t="str">
        <f t="shared" si="81"/>
        <v/>
      </c>
      <c r="AN53" s="35" t="str">
        <f t="shared" si="81"/>
        <v/>
      </c>
      <c r="AO53" s="35" t="str">
        <f t="shared" si="81"/>
        <v/>
      </c>
      <c r="AP53" s="35" t="str">
        <f t="shared" si="81"/>
        <v/>
      </c>
      <c r="AQ53" s="35" t="str">
        <f t="shared" si="81"/>
        <v/>
      </c>
      <c r="AR53" s="35">
        <f t="shared" si="81"/>
        <v>1.7207147584381206</v>
      </c>
      <c r="AS53" s="35">
        <f t="shared" si="81"/>
        <v>20.780939774983452</v>
      </c>
      <c r="AT53" s="35" t="str">
        <f t="shared" si="81"/>
        <v/>
      </c>
      <c r="AU53" s="35" t="str">
        <f t="shared" si="81"/>
        <v/>
      </c>
      <c r="AV53" s="35">
        <f t="shared" si="81"/>
        <v>22.8987425545996</v>
      </c>
      <c r="AW53" s="35">
        <f t="shared" si="81"/>
        <v>2.5810721376571806</v>
      </c>
      <c r="AX53" s="35">
        <f t="shared" si="81"/>
        <v>2.6472534745201854</v>
      </c>
      <c r="AY53" s="35">
        <f t="shared" si="81"/>
        <v>0.9927200529450696</v>
      </c>
      <c r="AZ53" s="36">
        <f t="shared" si="81"/>
        <v>0</v>
      </c>
      <c r="BA53" s="39">
        <f t="shared" si="81"/>
        <v>100</v>
      </c>
    </row>
    <row r="54" spans="1:69" ht="15.75" customHeight="1">
      <c r="A54" s="1103">
        <f>VLOOKUP(B54,ReportData!$AQ$4:$AR$25,2,FALSE)</f>
        <v>0</v>
      </c>
      <c r="B54" s="1114" t="str">
        <f>ReportData!$K$18</f>
        <v>Surrey</v>
      </c>
      <c r="C54" s="3"/>
      <c r="D54" s="1811">
        <f>IF(SUM($AF24:$AZ24)&gt;0,SUM(D24:G24),NA())</f>
        <v>6.7300182244207241</v>
      </c>
      <c r="E54" s="1812"/>
      <c r="F54" s="1811">
        <f>IF(SUM($AF24:$AZ24)&gt;0,SUM(H24:I24),NA())</f>
        <v>21.075240822702423</v>
      </c>
      <c r="G54" s="1812"/>
      <c r="H54" s="1811">
        <f>IF(SUM($AF24:$AZ24)&gt;0,SUM(J24:O24),NA())</f>
        <v>16.701379848997657</v>
      </c>
      <c r="I54" s="1812"/>
      <c r="J54" s="1811">
        <f>IF(SUM($AF24:$AZ24)&gt;0,P24,NA())</f>
        <v>1.0544129133038271</v>
      </c>
      <c r="K54" s="1812"/>
      <c r="L54" s="1811">
        <f>IF(SUM($AF24:$AZ24)&gt;0,SUM(Q24:S24),NA())</f>
        <v>12.093204894558708</v>
      </c>
      <c r="M54" s="1812"/>
      <c r="N54" s="1811">
        <f>IF(SUM($AF24:$AZ24)&gt;0,T24,NA())</f>
        <v>29.614683676126006</v>
      </c>
      <c r="O54" s="1812"/>
      <c r="P54" s="1811">
        <f>IF(SUM($AF24:$AZ24)&gt;0,U24,NA())</f>
        <v>3.397552720645665</v>
      </c>
      <c r="Q54" s="1812"/>
      <c r="R54" s="1811">
        <f>IF(SUM($AF24:$AZ24)&gt;0,V24,NA())</f>
        <v>8.1489195521999491</v>
      </c>
      <c r="S54" s="1812"/>
      <c r="T54" s="1811">
        <f>IF(SUM($AF24:$AZ24)&gt;0,W24,NA())</f>
        <v>1.1845873470450403</v>
      </c>
      <c r="U54" s="1812"/>
      <c r="V54" s="1811">
        <f>IF(SUM($AF24:$AZ24)&gt;0,X24,NA())</f>
        <v>0</v>
      </c>
      <c r="W54" s="1821"/>
      <c r="X54" s="3"/>
      <c r="Y54" s="428"/>
      <c r="Z54" s="102"/>
      <c r="AA54" s="52"/>
      <c r="AB54" s="30" t="str">
        <f t="shared" si="80"/>
        <v>Brighton &amp; Hove</v>
      </c>
      <c r="AC54" s="29">
        <v>2</v>
      </c>
      <c r="AD54" s="30" t="str">
        <f t="shared" ref="AD54:AD72" si="82">CONCATENATE(AB54,$AB$7)</f>
        <v>Brighton &amp; HoveProportion (%)</v>
      </c>
      <c r="AE54" s="31" t="b">
        <f t="shared" si="23"/>
        <v>0</v>
      </c>
      <c r="AF54" s="34">
        <f t="shared" ref="AF54:BA54" si="83">IF(ISERROR(AF10/$BA10*100),"",AF10/$BA10*100)</f>
        <v>6.5090574147988951</v>
      </c>
      <c r="AG54" s="35" t="str">
        <f t="shared" si="83"/>
        <v/>
      </c>
      <c r="AH54" s="35" t="str">
        <f t="shared" si="83"/>
        <v/>
      </c>
      <c r="AI54" s="35" t="str">
        <f t="shared" si="83"/>
        <v/>
      </c>
      <c r="AJ54" s="35">
        <f t="shared" si="83"/>
        <v>5.8335891925084438</v>
      </c>
      <c r="AK54" s="35">
        <f t="shared" si="83"/>
        <v>17.255142769419713</v>
      </c>
      <c r="AL54" s="35">
        <f t="shared" si="83"/>
        <v>14.860300890389929</v>
      </c>
      <c r="AM54" s="35" t="str">
        <f t="shared" si="83"/>
        <v/>
      </c>
      <c r="AN54" s="35" t="str">
        <f t="shared" si="83"/>
        <v/>
      </c>
      <c r="AO54" s="35" t="str">
        <f t="shared" si="83"/>
        <v/>
      </c>
      <c r="AP54" s="35" t="str">
        <f t="shared" si="83"/>
        <v/>
      </c>
      <c r="AQ54" s="35" t="str">
        <f t="shared" si="83"/>
        <v/>
      </c>
      <c r="AR54" s="35">
        <f t="shared" si="83"/>
        <v>1.1974209395148909</v>
      </c>
      <c r="AS54" s="35">
        <f t="shared" si="83"/>
        <v>18.974516426159042</v>
      </c>
      <c r="AT54" s="35" t="str">
        <f t="shared" si="83"/>
        <v/>
      </c>
      <c r="AU54" s="35" t="str">
        <f t="shared" si="83"/>
        <v/>
      </c>
      <c r="AV54" s="35">
        <f t="shared" si="83"/>
        <v>31.593490942585202</v>
      </c>
      <c r="AW54" s="35">
        <f t="shared" si="83"/>
        <v>1.105311636475284</v>
      </c>
      <c r="AX54" s="35">
        <f t="shared" si="83"/>
        <v>0</v>
      </c>
      <c r="AY54" s="35">
        <f t="shared" si="83"/>
        <v>1.6579674547129262</v>
      </c>
      <c r="AZ54" s="36">
        <f t="shared" si="83"/>
        <v>1.013202333435677</v>
      </c>
      <c r="BA54" s="39">
        <f t="shared" si="83"/>
        <v>100</v>
      </c>
    </row>
    <row r="55" spans="1:69" ht="15.75" customHeight="1">
      <c r="A55" s="1103">
        <f>VLOOKUP(B55,ReportData!$AQ$4:$AR$25,2,FALSE)</f>
        <v>0</v>
      </c>
      <c r="B55" s="1114" t="str">
        <f>ReportData!$K$19</f>
        <v>West Berkshire</v>
      </c>
      <c r="C55" s="3"/>
      <c r="D55" s="1811">
        <f>IF(SUM($AF26:$AZ26)&gt;0,SUM(D26:G26),NA())</f>
        <v>8.234560199625701</v>
      </c>
      <c r="E55" s="1812"/>
      <c r="F55" s="1811">
        <f>IF(SUM($AF26:$AZ26)&gt;0,SUM(H26:I26),NA())</f>
        <v>21.896444167186523</v>
      </c>
      <c r="G55" s="1812"/>
      <c r="H55" s="1811">
        <f>IF(SUM($AF26:$AZ26)&gt;0,SUM(J26:O26),NA())</f>
        <v>11.228945726762321</v>
      </c>
      <c r="I55" s="1812"/>
      <c r="J55" s="1811">
        <f>IF(SUM($AF26:$AZ26)&gt;0,P26,NA())</f>
        <v>0.37429819089207733</v>
      </c>
      <c r="K55" s="1812"/>
      <c r="L55" s="1811">
        <f>IF(SUM($AF26:$AZ26)&gt;0,SUM(Q26:S26),NA())</f>
        <v>15.782907049282596</v>
      </c>
      <c r="M55" s="1812"/>
      <c r="N55" s="1811">
        <f>IF(SUM($AF26:$AZ26)&gt;0,T26,NA())</f>
        <v>32.252027448534001</v>
      </c>
      <c r="O55" s="1812"/>
      <c r="P55" s="1811">
        <f>IF(SUM($AF26:$AZ26)&gt;0,U26,NA())</f>
        <v>4.8658764815970059</v>
      </c>
      <c r="Q55" s="1812"/>
      <c r="R55" s="1811">
        <f>IF(SUM($AF26:$AZ26)&gt;0,V26,NA())</f>
        <v>1.3100436681222707</v>
      </c>
      <c r="S55" s="1812"/>
      <c r="T55" s="1811">
        <f>IF(SUM($AF26:$AZ26)&gt;0,W26,NA())</f>
        <v>2.3705552089831565</v>
      </c>
      <c r="U55" s="1812"/>
      <c r="V55" s="1811">
        <f>IF(SUM($AF26:$AZ26)&gt;0,X26,NA())</f>
        <v>1.6843418590143482</v>
      </c>
      <c r="W55" s="1821"/>
      <c r="X55" s="3"/>
      <c r="Y55" s="428"/>
      <c r="Z55" s="102"/>
      <c r="AA55" s="56"/>
      <c r="AB55" s="30" t="str">
        <f t="shared" si="80"/>
        <v>Buckinghamshire</v>
      </c>
      <c r="AC55" s="29">
        <v>3</v>
      </c>
      <c r="AD55" s="30" t="str">
        <f t="shared" si="82"/>
        <v>BuckinghamshireProportion (%)</v>
      </c>
      <c r="AE55" s="31" t="b">
        <f t="shared" si="23"/>
        <v>0</v>
      </c>
      <c r="AF55" s="34">
        <f t="shared" ref="AF55:BA55" si="84">IF(ISERROR(AF11/$BA11*100),"",AF11/$BA11*100)</f>
        <v>5.6948640483383688</v>
      </c>
      <c r="AG55" s="35" t="str">
        <f t="shared" si="84"/>
        <v/>
      </c>
      <c r="AH55" s="35" t="str">
        <f t="shared" si="84"/>
        <v/>
      </c>
      <c r="AI55" s="35" t="str">
        <f t="shared" si="84"/>
        <v/>
      </c>
      <c r="AJ55" s="35">
        <f t="shared" si="84"/>
        <v>20.13595166163142</v>
      </c>
      <c r="AK55" s="35">
        <f t="shared" si="84"/>
        <v>1.3293051359516617</v>
      </c>
      <c r="AL55" s="35">
        <f t="shared" si="84"/>
        <v>15.37764350453172</v>
      </c>
      <c r="AM55" s="35" t="str">
        <f t="shared" si="84"/>
        <v/>
      </c>
      <c r="AN55" s="35" t="str">
        <f t="shared" si="84"/>
        <v/>
      </c>
      <c r="AO55" s="35" t="str">
        <f t="shared" si="84"/>
        <v/>
      </c>
      <c r="AP55" s="35" t="str">
        <f t="shared" si="84"/>
        <v/>
      </c>
      <c r="AQ55" s="35" t="str">
        <f t="shared" si="84"/>
        <v/>
      </c>
      <c r="AR55" s="35">
        <f t="shared" si="84"/>
        <v>0.52870090634441091</v>
      </c>
      <c r="AS55" s="35">
        <f t="shared" si="84"/>
        <v>13.051359516616316</v>
      </c>
      <c r="AT55" s="35" t="str">
        <f t="shared" si="84"/>
        <v/>
      </c>
      <c r="AU55" s="35" t="str">
        <f t="shared" si="84"/>
        <v/>
      </c>
      <c r="AV55" s="35">
        <f t="shared" si="84"/>
        <v>35.861027190332329</v>
      </c>
      <c r="AW55" s="35">
        <f t="shared" si="84"/>
        <v>3.1722054380664653</v>
      </c>
      <c r="AX55" s="35">
        <f t="shared" si="84"/>
        <v>3.8217522658610275</v>
      </c>
      <c r="AY55" s="35">
        <f t="shared" si="84"/>
        <v>0.6344410876132931</v>
      </c>
      <c r="AZ55" s="36">
        <f t="shared" si="84"/>
        <v>0.392749244712991</v>
      </c>
      <c r="BA55" s="39">
        <f t="shared" si="84"/>
        <v>100</v>
      </c>
      <c r="BD55" s="408"/>
      <c r="BE55" s="408"/>
      <c r="BF55" s="408"/>
      <c r="BG55" s="408"/>
      <c r="BH55" s="408"/>
      <c r="BI55" s="408"/>
      <c r="BJ55" s="408"/>
      <c r="BK55" s="408"/>
      <c r="BL55" s="408"/>
      <c r="BM55" s="408"/>
      <c r="BN55" s="56"/>
      <c r="BO55" s="56"/>
      <c r="BP55" s="56"/>
      <c r="BQ55" s="56"/>
    </row>
    <row r="56" spans="1:69" s="56" customFormat="1" ht="15.75" customHeight="1">
      <c r="A56" s="1103">
        <f>VLOOKUP(B56,ReportData!$AQ$4:$AR$25,2,FALSE)</f>
        <v>0</v>
      </c>
      <c r="B56" s="1114" t="str">
        <f>ReportData!$K$20</f>
        <v>West Sussex</v>
      </c>
      <c r="C56" s="3"/>
      <c r="D56" s="1811">
        <f>IF(SUM($AF27:$AZ27)&gt;0,SUM(D27:G27),NA())</f>
        <v>8.4226453158491985</v>
      </c>
      <c r="E56" s="1812"/>
      <c r="F56" s="1811">
        <f>IF(SUM($AF27:$AZ27)&gt;0,SUM(H27:I27),NA())</f>
        <v>18.509645694111715</v>
      </c>
      <c r="G56" s="1812"/>
      <c r="H56" s="1811">
        <f>IF(SUM($AF27:$AZ27)&gt;0,SUM(J27:O27),NA())</f>
        <v>12.066574202496533</v>
      </c>
      <c r="I56" s="1812"/>
      <c r="J56" s="1811">
        <f>IF(SUM($AF27:$AZ27)&gt;0,P27,NA())</f>
        <v>0.84478628167948566</v>
      </c>
      <c r="K56" s="1812"/>
      <c r="L56" s="1811">
        <f>IF(SUM($AF27:$AZ27)&gt;0,SUM(Q27:S27),NA())</f>
        <v>11.978312949186735</v>
      </c>
      <c r="M56" s="1812"/>
      <c r="N56" s="1811">
        <f>IF(SUM($AF27:$AZ27)&gt;0,T27,NA())</f>
        <v>28.36968856386332</v>
      </c>
      <c r="O56" s="1812"/>
      <c r="P56" s="1811">
        <f>IF(SUM($AF27:$AZ27)&gt;0,U27,NA())</f>
        <v>0.55478502080443826</v>
      </c>
      <c r="Q56" s="1812"/>
      <c r="R56" s="1811">
        <f>IF(SUM($AF27:$AZ27)&gt;0,V27,NA())</f>
        <v>12.533097969991175</v>
      </c>
      <c r="S56" s="1812"/>
      <c r="T56" s="1811">
        <f>IF(SUM($AF27:$AZ27)&gt;0,W27,NA())</f>
        <v>0</v>
      </c>
      <c r="U56" s="1812"/>
      <c r="V56" s="1811">
        <f>IF(SUM($AF27:$AZ27)&gt;0,X27,NA())</f>
        <v>6.7204640020173994</v>
      </c>
      <c r="W56" s="1821"/>
      <c r="X56" s="3"/>
      <c r="Y56" s="428"/>
      <c r="Z56" s="102"/>
      <c r="AB56" s="30" t="str">
        <f t="shared" si="80"/>
        <v>East Sussex</v>
      </c>
      <c r="AC56" s="29">
        <v>4</v>
      </c>
      <c r="AD56" s="30" t="str">
        <f t="shared" si="82"/>
        <v>East SussexProportion (%)</v>
      </c>
      <c r="AE56" s="31" t="b">
        <f t="shared" si="23"/>
        <v>0</v>
      </c>
      <c r="AF56" s="34">
        <f t="shared" ref="AF56:BA56" si="85">IF(ISERROR(AF12/$BA12*100),"",AF12/$BA12*100)</f>
        <v>10.090466249130133</v>
      </c>
      <c r="AG56" s="35" t="str">
        <f t="shared" si="85"/>
        <v/>
      </c>
      <c r="AH56" s="35" t="str">
        <f t="shared" si="85"/>
        <v/>
      </c>
      <c r="AI56" s="35" t="str">
        <f t="shared" si="85"/>
        <v/>
      </c>
      <c r="AJ56" s="35">
        <f t="shared" si="85"/>
        <v>11.899791231732777</v>
      </c>
      <c r="AK56" s="35">
        <f t="shared" si="85"/>
        <v>3.2707028531663185</v>
      </c>
      <c r="AL56" s="35">
        <f t="shared" si="85"/>
        <v>11.969380654140572</v>
      </c>
      <c r="AM56" s="35" t="str">
        <f t="shared" si="85"/>
        <v/>
      </c>
      <c r="AN56" s="35" t="str">
        <f t="shared" si="85"/>
        <v/>
      </c>
      <c r="AO56" s="35" t="str">
        <f t="shared" si="85"/>
        <v/>
      </c>
      <c r="AP56" s="35" t="str">
        <f t="shared" si="85"/>
        <v/>
      </c>
      <c r="AQ56" s="35" t="str">
        <f t="shared" si="85"/>
        <v/>
      </c>
      <c r="AR56" s="35">
        <f t="shared" si="85"/>
        <v>1.6005567153792624</v>
      </c>
      <c r="AS56" s="35">
        <f t="shared" si="85"/>
        <v>21.340756205056831</v>
      </c>
      <c r="AT56" s="35" t="str">
        <f t="shared" si="85"/>
        <v/>
      </c>
      <c r="AU56" s="35" t="str">
        <f t="shared" si="85"/>
        <v/>
      </c>
      <c r="AV56" s="35">
        <f t="shared" si="85"/>
        <v>29.900255161215494</v>
      </c>
      <c r="AW56" s="35">
        <f t="shared" si="85"/>
        <v>4.4537230340988172</v>
      </c>
      <c r="AX56" s="35">
        <f t="shared" si="85"/>
        <v>2.7835768963117609</v>
      </c>
      <c r="AY56" s="35">
        <f t="shared" si="85"/>
        <v>2.1572720946416144</v>
      </c>
      <c r="AZ56" s="36">
        <f t="shared" si="85"/>
        <v>0.53351890512642075</v>
      </c>
      <c r="BA56" s="39">
        <f t="shared" si="85"/>
        <v>100</v>
      </c>
      <c r="BD56" s="408"/>
      <c r="BE56" s="408"/>
      <c r="BF56" s="408"/>
      <c r="BG56" s="408"/>
      <c r="BH56" s="408"/>
      <c r="BI56" s="408"/>
      <c r="BJ56" s="408"/>
      <c r="BK56" s="408"/>
      <c r="BL56" s="408"/>
      <c r="BM56" s="408"/>
    </row>
    <row r="57" spans="1:69" s="56" customFormat="1" ht="15.75" customHeight="1">
      <c r="A57" s="1103">
        <f>VLOOKUP(B57,ReportData!$AQ$4:$AR$25,2,FALSE)</f>
        <v>0</v>
      </c>
      <c r="B57" s="1114" t="str">
        <f>ReportData!$K$21</f>
        <v>Windsor &amp; Maidenhead</v>
      </c>
      <c r="C57" s="3"/>
      <c r="D57" s="1811">
        <f>IF(SUM($AF28:$AZ28)&gt;0,SUM(D28:G28),NA())</f>
        <v>3.6403750689464975</v>
      </c>
      <c r="E57" s="1812"/>
      <c r="F57" s="1811">
        <f>IF(SUM($AF28:$AZ28)&gt;0,SUM(H28:I28),NA())</f>
        <v>25.041367898510753</v>
      </c>
      <c r="G57" s="1812"/>
      <c r="H57" s="1811">
        <f>IF(SUM($AF28:$AZ28)&gt;0,SUM(J28:O28),NA())</f>
        <v>14.230557087699944</v>
      </c>
      <c r="I57" s="1812"/>
      <c r="J57" s="1811">
        <f>IF(SUM($AF28:$AZ28)&gt;0,P28,NA())</f>
        <v>0.60672917815774963</v>
      </c>
      <c r="K57" s="1812"/>
      <c r="L57" s="1811">
        <f>IF(SUM($AF28:$AZ28)&gt;0,SUM(Q28:S28),NA())</f>
        <v>11.969111969111969</v>
      </c>
      <c r="M57" s="1812"/>
      <c r="N57" s="1811">
        <f>IF(SUM($AF28:$AZ28)&gt;0,T28,NA())</f>
        <v>33.039161610590185</v>
      </c>
      <c r="O57" s="1812"/>
      <c r="P57" s="1811">
        <f>IF(SUM($AF28:$AZ28)&gt;0,U28,NA())</f>
        <v>1.2134583563154993</v>
      </c>
      <c r="Q57" s="1812"/>
      <c r="R57" s="1811">
        <f>IF(SUM($AF28:$AZ28)&gt;0,V28,NA())</f>
        <v>4.7986762272476557</v>
      </c>
      <c r="S57" s="1812"/>
      <c r="T57" s="1811">
        <f>IF(SUM($AF28:$AZ28)&gt;0,W28,NA())</f>
        <v>0.77220077220077221</v>
      </c>
      <c r="U57" s="1812"/>
      <c r="V57" s="1811">
        <f>IF(SUM($AF28:$AZ28)&gt;0,X28,NA())</f>
        <v>4.6883618312189741</v>
      </c>
      <c r="W57" s="1821"/>
      <c r="X57" s="3"/>
      <c r="Y57" s="428"/>
      <c r="Z57" s="102"/>
      <c r="AB57" s="30" t="str">
        <f t="shared" si="80"/>
        <v>Hampshire</v>
      </c>
      <c r="AC57" s="29">
        <v>5</v>
      </c>
      <c r="AD57" s="30" t="str">
        <f t="shared" si="82"/>
        <v>HampshireProportion (%)</v>
      </c>
      <c r="AE57" s="31" t="b">
        <f t="shared" si="23"/>
        <v>0</v>
      </c>
      <c r="AF57" s="34" t="str">
        <f t="shared" ref="AF57:BA57" si="86">IF(ISERROR(AF13/$BA13*100),"",AF13/$BA13*100)</f>
        <v/>
      </c>
      <c r="AG57" s="35" t="str">
        <f t="shared" si="86"/>
        <v/>
      </c>
      <c r="AH57" s="35" t="str">
        <f t="shared" si="86"/>
        <v/>
      </c>
      <c r="AI57" s="35" t="str">
        <f t="shared" si="86"/>
        <v/>
      </c>
      <c r="AJ57" s="35" t="str">
        <f t="shared" si="86"/>
        <v/>
      </c>
      <c r="AK57" s="35" t="str">
        <f t="shared" si="86"/>
        <v/>
      </c>
      <c r="AL57" s="35" t="str">
        <f t="shared" si="86"/>
        <v/>
      </c>
      <c r="AM57" s="35" t="str">
        <f t="shared" si="86"/>
        <v/>
      </c>
      <c r="AN57" s="35" t="str">
        <f t="shared" si="86"/>
        <v/>
      </c>
      <c r="AO57" s="35" t="str">
        <f t="shared" si="86"/>
        <v/>
      </c>
      <c r="AP57" s="35" t="str">
        <f t="shared" si="86"/>
        <v/>
      </c>
      <c r="AQ57" s="35" t="str">
        <f t="shared" si="86"/>
        <v/>
      </c>
      <c r="AR57" s="35" t="str">
        <f t="shared" si="86"/>
        <v/>
      </c>
      <c r="AS57" s="35" t="str">
        <f t="shared" si="86"/>
        <v/>
      </c>
      <c r="AT57" s="35" t="str">
        <f t="shared" si="86"/>
        <v/>
      </c>
      <c r="AU57" s="35" t="str">
        <f t="shared" si="86"/>
        <v/>
      </c>
      <c r="AV57" s="35" t="str">
        <f t="shared" si="86"/>
        <v/>
      </c>
      <c r="AW57" s="35" t="str">
        <f t="shared" si="86"/>
        <v/>
      </c>
      <c r="AX57" s="35" t="str">
        <f t="shared" si="86"/>
        <v/>
      </c>
      <c r="AY57" s="35" t="str">
        <f t="shared" si="86"/>
        <v/>
      </c>
      <c r="AZ57" s="36" t="str">
        <f t="shared" si="86"/>
        <v/>
      </c>
      <c r="BA57" s="39" t="str">
        <f t="shared" si="86"/>
        <v/>
      </c>
      <c r="BD57" s="408"/>
      <c r="BE57" s="408"/>
      <c r="BF57" s="408"/>
      <c r="BG57" s="408"/>
      <c r="BH57" s="408"/>
      <c r="BI57" s="408"/>
      <c r="BJ57" s="408"/>
      <c r="BK57" s="408"/>
      <c r="BL57" s="408"/>
      <c r="BM57" s="408"/>
    </row>
    <row r="58" spans="1:69" s="56" customFormat="1" ht="15.75" customHeight="1">
      <c r="A58" s="1115">
        <f>VLOOKUP(B58,ReportData!$AQ$4:$AR$25,2,FALSE)</f>
        <v>0</v>
      </c>
      <c r="B58" s="1114" t="str">
        <f>ReportData!$K$22</f>
        <v>Wokingham</v>
      </c>
      <c r="C58" s="3"/>
      <c r="D58" s="1811">
        <f>IF(SUM($AF29:$AZ29)&gt;0,SUM(D29:G29),NA())</f>
        <v>9.043927648578812</v>
      </c>
      <c r="E58" s="1812"/>
      <c r="F58" s="1811">
        <f>IF(SUM($AF29:$AZ29)&gt;0,SUM(H29:I29),NA())</f>
        <v>24.806201550387595</v>
      </c>
      <c r="G58" s="1812"/>
      <c r="H58" s="1811">
        <f>IF(SUM($AF29:$AZ29)&gt;0,SUM(J29:O29),NA())</f>
        <v>15.051679586563308</v>
      </c>
      <c r="I58" s="1812"/>
      <c r="J58" s="1811">
        <f>IF(SUM($AF29:$AZ29)&gt;0,P29,NA())</f>
        <v>0.58139534883720934</v>
      </c>
      <c r="K58" s="1812"/>
      <c r="L58" s="1811">
        <f>IF(SUM($AF29:$AZ29)&gt;0,SUM(Q29:S29),NA())</f>
        <v>12.27390180878553</v>
      </c>
      <c r="M58" s="1812"/>
      <c r="N58" s="1811">
        <f>IF(SUM($AF29:$AZ29)&gt;0,T29,NA())</f>
        <v>31.136950904392762</v>
      </c>
      <c r="O58" s="1812"/>
      <c r="P58" s="1811">
        <f>IF(SUM($AF29:$AZ29)&gt;0,U29,NA())</f>
        <v>4.3927648578811365</v>
      </c>
      <c r="Q58" s="1812"/>
      <c r="R58" s="1811">
        <f>IF(SUM($AF29:$AZ29)&gt;0,V29,NA())</f>
        <v>1.4857881136950903</v>
      </c>
      <c r="S58" s="1812"/>
      <c r="T58" s="1811">
        <f>IF(SUM($AF29:$AZ29)&gt;0,W29,NA())</f>
        <v>0.710594315245478</v>
      </c>
      <c r="U58" s="1812"/>
      <c r="V58" s="1811">
        <f>IF(SUM($AF29:$AZ29)&gt;0,X29,NA())</f>
        <v>0.516795865633075</v>
      </c>
      <c r="W58" s="1821"/>
      <c r="X58" s="3"/>
      <c r="Y58" s="428"/>
      <c r="Z58" s="102"/>
      <c r="AB58" s="30" t="str">
        <f t="shared" si="80"/>
        <v>Isle of Wight</v>
      </c>
      <c r="AC58" s="29">
        <v>6</v>
      </c>
      <c r="AD58" s="30" t="str">
        <f t="shared" si="82"/>
        <v>Isle of WightProportion (%)</v>
      </c>
      <c r="AE58" s="31" t="b">
        <f t="shared" si="23"/>
        <v>0</v>
      </c>
      <c r="AF58" s="34">
        <f t="shared" ref="AF58:BA58" si="87">IF(ISERROR(AF14/$BA14*100),"",AF14/$BA14*100)</f>
        <v>6.7153951576062134</v>
      </c>
      <c r="AG58" s="35" t="str">
        <f t="shared" si="87"/>
        <v/>
      </c>
      <c r="AH58" s="35" t="str">
        <f t="shared" si="87"/>
        <v/>
      </c>
      <c r="AI58" s="35" t="str">
        <f t="shared" si="87"/>
        <v/>
      </c>
      <c r="AJ58" s="35">
        <f t="shared" si="87"/>
        <v>34.307903152124261</v>
      </c>
      <c r="AK58" s="35">
        <f t="shared" si="87"/>
        <v>0.22841480127912286</v>
      </c>
      <c r="AL58" s="35">
        <f t="shared" si="87"/>
        <v>14.595705801735953</v>
      </c>
      <c r="AM58" s="35" t="str">
        <f t="shared" si="87"/>
        <v/>
      </c>
      <c r="AN58" s="35" t="str">
        <f t="shared" si="87"/>
        <v/>
      </c>
      <c r="AO58" s="35" t="str">
        <f t="shared" si="87"/>
        <v/>
      </c>
      <c r="AP58" s="35" t="str">
        <f t="shared" si="87"/>
        <v/>
      </c>
      <c r="AQ58" s="35" t="str">
        <f t="shared" si="87"/>
        <v/>
      </c>
      <c r="AR58" s="35">
        <f t="shared" si="87"/>
        <v>1.3933302878026497</v>
      </c>
      <c r="AS58" s="35">
        <f t="shared" si="87"/>
        <v>6.5326633165829149</v>
      </c>
      <c r="AT58" s="35" t="str">
        <f t="shared" si="87"/>
        <v/>
      </c>
      <c r="AU58" s="35" t="str">
        <f t="shared" si="87"/>
        <v/>
      </c>
      <c r="AV58" s="35">
        <f t="shared" si="87"/>
        <v>22.316126084970307</v>
      </c>
      <c r="AW58" s="35">
        <f t="shared" si="87"/>
        <v>3.4033805390589311</v>
      </c>
      <c r="AX58" s="35">
        <f t="shared" si="87"/>
        <v>8.0630424851530371</v>
      </c>
      <c r="AY58" s="35">
        <f t="shared" si="87"/>
        <v>1.8501598903608953</v>
      </c>
      <c r="AZ58" s="36">
        <f t="shared" si="87"/>
        <v>0.59387848332571946</v>
      </c>
      <c r="BA58" s="39">
        <f t="shared" si="87"/>
        <v>100</v>
      </c>
      <c r="BD58" s="408"/>
      <c r="BE58" s="408"/>
      <c r="BF58" s="408"/>
      <c r="BG58" s="408"/>
      <c r="BH58" s="408"/>
      <c r="BI58" s="408"/>
      <c r="BJ58" s="408"/>
      <c r="BK58" s="408"/>
      <c r="BL58" s="408"/>
      <c r="BM58" s="408"/>
    </row>
    <row r="59" spans="1:69" s="56" customFormat="1" ht="15.75" customHeight="1">
      <c r="A59" s="1116"/>
      <c r="B59" s="1117" t="str">
        <f>ReportData!$K$23</f>
        <v>South East</v>
      </c>
      <c r="C59" s="3"/>
      <c r="D59" s="1811">
        <f>IF(SUM($AF30:$AZ30)&gt;0,SUM(D30:G30),NA())</f>
        <v>7.1116504854368934</v>
      </c>
      <c r="E59" s="1812"/>
      <c r="F59" s="1811">
        <f>IF(SUM($AF30:$AZ30)&gt;0,SUM(H30:I30),NA())</f>
        <v>23.764342453662842</v>
      </c>
      <c r="G59" s="1812"/>
      <c r="H59" s="1811">
        <f>IF(SUM($AF30:$AZ30)&gt;0,SUM(J30:O30),NA())</f>
        <v>14.032436010591351</v>
      </c>
      <c r="I59" s="1812"/>
      <c r="J59" s="1811">
        <f>IF(SUM($AF30:$AZ30)&gt;0,P30,NA())</f>
        <v>1.2213150926743159</v>
      </c>
      <c r="K59" s="1812"/>
      <c r="L59" s="1811">
        <f>IF(SUM($AF30:$AZ30)&gt;0,SUM(Q30:S30),NA())</f>
        <v>13.180714916151809</v>
      </c>
      <c r="M59" s="1812"/>
      <c r="N59" s="1811">
        <f>IF(SUM($AF30:$AZ30)&gt;0,T30,NA())</f>
        <v>27.629082082965578</v>
      </c>
      <c r="O59" s="1812"/>
      <c r="P59" s="1811">
        <f>IF(SUM($AF30:$AZ30)&gt;0,U30,NA())</f>
        <v>5.8704766107678736</v>
      </c>
      <c r="Q59" s="1812"/>
      <c r="R59" s="1811">
        <f>IF(SUM($AF30:$AZ30)&gt;0,V30,NA())</f>
        <v>4.4450573698146512</v>
      </c>
      <c r="S59" s="1812"/>
      <c r="T59" s="1811">
        <f>IF(SUM($AF30:$AZ30)&gt;0,W30,NA())</f>
        <v>1.2897175639894085</v>
      </c>
      <c r="U59" s="1812"/>
      <c r="V59" s="1811">
        <f>IF(SUM($AF30:$AZ30)&gt;0,X30,NA())</f>
        <v>1.4552074139452782</v>
      </c>
      <c r="W59" s="1821"/>
      <c r="X59" s="3"/>
      <c r="Y59" s="428"/>
      <c r="Z59" s="102"/>
      <c r="AB59" s="30" t="str">
        <f t="shared" si="80"/>
        <v>Kent</v>
      </c>
      <c r="AC59" s="29">
        <v>7</v>
      </c>
      <c r="AD59" s="30" t="str">
        <f t="shared" si="82"/>
        <v>KentProportion (%)</v>
      </c>
      <c r="AE59" s="31" t="b">
        <f t="shared" si="23"/>
        <v>0</v>
      </c>
      <c r="AF59" s="34">
        <f t="shared" ref="AF59:BA59" si="88">IF(ISERROR(AF15/$BA15*100),"",AF15/$BA15*100)</f>
        <v>7.328605200945626</v>
      </c>
      <c r="AG59" s="35" t="str">
        <f t="shared" si="88"/>
        <v/>
      </c>
      <c r="AH59" s="35" t="str">
        <f t="shared" si="88"/>
        <v/>
      </c>
      <c r="AI59" s="35" t="str">
        <f t="shared" si="88"/>
        <v/>
      </c>
      <c r="AJ59" s="35">
        <f t="shared" si="88"/>
        <v>25.216706067769895</v>
      </c>
      <c r="AK59" s="35">
        <f t="shared" si="88"/>
        <v>0.52258305337812616</v>
      </c>
      <c r="AL59" s="35">
        <f t="shared" si="88"/>
        <v>14.41665629795529</v>
      </c>
      <c r="AM59" s="35" t="str">
        <f t="shared" si="88"/>
        <v/>
      </c>
      <c r="AN59" s="35" t="str">
        <f t="shared" si="88"/>
        <v/>
      </c>
      <c r="AO59" s="35" t="str">
        <f t="shared" si="88"/>
        <v/>
      </c>
      <c r="AP59" s="35" t="str">
        <f t="shared" si="88"/>
        <v/>
      </c>
      <c r="AQ59" s="35" t="str">
        <f t="shared" si="88"/>
        <v/>
      </c>
      <c r="AR59" s="35">
        <f t="shared" si="88"/>
        <v>1.7046161503048403</v>
      </c>
      <c r="AS59" s="35">
        <f t="shared" si="88"/>
        <v>10.464103521214383</v>
      </c>
      <c r="AT59" s="35" t="str">
        <f t="shared" si="88"/>
        <v/>
      </c>
      <c r="AU59" s="35" t="str">
        <f t="shared" si="88"/>
        <v/>
      </c>
      <c r="AV59" s="35">
        <f t="shared" si="88"/>
        <v>21.31392310563643</v>
      </c>
      <c r="AW59" s="35">
        <f t="shared" si="88"/>
        <v>13.46273485131268</v>
      </c>
      <c r="AX59" s="35">
        <f t="shared" si="88"/>
        <v>2.6875699888017914</v>
      </c>
      <c r="AY59" s="35">
        <f t="shared" si="88"/>
        <v>0.69262991995354817</v>
      </c>
      <c r="AZ59" s="36">
        <f t="shared" si="88"/>
        <v>2.1898718427273858</v>
      </c>
      <c r="BA59" s="39">
        <f t="shared" si="88"/>
        <v>100</v>
      </c>
    </row>
    <row r="60" spans="1:69" s="56" customFormat="1" ht="15.75" customHeight="1">
      <c r="A60" s="1131"/>
      <c r="B60" s="1117" t="str">
        <f>ReportData!$K$24</f>
        <v>England</v>
      </c>
      <c r="C60" s="3"/>
      <c r="D60" s="1811">
        <f>SUM(D31:G31)</f>
        <v>8.0194899173447389</v>
      </c>
      <c r="E60" s="1812"/>
      <c r="F60" s="1811">
        <f>SUM(H31:I31)</f>
        <v>21.996912488341426</v>
      </c>
      <c r="G60" s="1812"/>
      <c r="H60" s="1811">
        <f>SUM(J31:O31)</f>
        <v>14.693017721030458</v>
      </c>
      <c r="I60" s="1812"/>
      <c r="J60" s="1811">
        <f>P31</f>
        <v>1.2398289003955874</v>
      </c>
      <c r="K60" s="1812"/>
      <c r="L60" s="1811">
        <f>SUM(Q31:S31)</f>
        <v>14.147878943813721</v>
      </c>
      <c r="M60" s="1812"/>
      <c r="N60" s="1811">
        <f>T31</f>
        <v>28.496767761232434</v>
      </c>
      <c r="O60" s="1812"/>
      <c r="P60" s="1811">
        <f>U31</f>
        <v>4.4366899302093721</v>
      </c>
      <c r="Q60" s="1812"/>
      <c r="R60" s="1811">
        <f>V31</f>
        <v>4.2003023188499018</v>
      </c>
      <c r="S60" s="1812"/>
      <c r="T60" s="1811">
        <f>W31</f>
        <v>1.6129032258064515</v>
      </c>
      <c r="U60" s="1812"/>
      <c r="V60" s="1811">
        <f>X31</f>
        <v>1.1562087929759111</v>
      </c>
      <c r="W60" s="1821"/>
      <c r="X60" s="1072"/>
      <c r="Y60" s="428"/>
      <c r="Z60" s="121"/>
      <c r="AB60" s="30" t="str">
        <f t="shared" si="80"/>
        <v>Medway</v>
      </c>
      <c r="AC60" s="29">
        <v>8</v>
      </c>
      <c r="AD60" s="30" t="str">
        <f t="shared" si="82"/>
        <v>MedwayProportion (%)</v>
      </c>
      <c r="AE60" s="31" t="b">
        <f t="shared" si="23"/>
        <v>0</v>
      </c>
      <c r="AF60" s="34">
        <f t="shared" ref="AF60:BA60" si="89">IF(ISERROR(AF16/$BA16*100),"",AF16/$BA16*100)</f>
        <v>7.9500283929585471</v>
      </c>
      <c r="AG60" s="35" t="str">
        <f t="shared" si="89"/>
        <v/>
      </c>
      <c r="AH60" s="35" t="str">
        <f t="shared" si="89"/>
        <v/>
      </c>
      <c r="AI60" s="35" t="str">
        <f t="shared" si="89"/>
        <v/>
      </c>
      <c r="AJ60" s="35">
        <f t="shared" si="89"/>
        <v>30.512966117736134</v>
      </c>
      <c r="AK60" s="35">
        <f t="shared" si="89"/>
        <v>0.35964414158621993</v>
      </c>
      <c r="AL60" s="35">
        <f t="shared" si="89"/>
        <v>11.20575430626538</v>
      </c>
      <c r="AM60" s="35" t="str">
        <f t="shared" si="89"/>
        <v/>
      </c>
      <c r="AN60" s="35" t="str">
        <f t="shared" si="89"/>
        <v/>
      </c>
      <c r="AO60" s="35" t="str">
        <f t="shared" si="89"/>
        <v/>
      </c>
      <c r="AP60" s="35" t="str">
        <f t="shared" si="89"/>
        <v/>
      </c>
      <c r="AQ60" s="35" t="str">
        <f t="shared" si="89"/>
        <v/>
      </c>
      <c r="AR60" s="35">
        <f t="shared" si="89"/>
        <v>1.722506151807685</v>
      </c>
      <c r="AS60" s="35">
        <f t="shared" si="89"/>
        <v>13.382547794813554</v>
      </c>
      <c r="AT60" s="35" t="str">
        <f t="shared" si="89"/>
        <v/>
      </c>
      <c r="AU60" s="35" t="str">
        <f t="shared" si="89"/>
        <v/>
      </c>
      <c r="AV60" s="35">
        <f t="shared" si="89"/>
        <v>23.736513344690515</v>
      </c>
      <c r="AW60" s="35">
        <f t="shared" si="89"/>
        <v>4.2589437819420786</v>
      </c>
      <c r="AX60" s="35">
        <f t="shared" si="89"/>
        <v>2.4796517130418323</v>
      </c>
      <c r="AY60" s="35">
        <f t="shared" si="89"/>
        <v>4.2400151429112247</v>
      </c>
      <c r="AZ60" s="36">
        <f t="shared" si="89"/>
        <v>0.15142911224682945</v>
      </c>
      <c r="BA60" s="39">
        <f t="shared" si="89"/>
        <v>100</v>
      </c>
    </row>
    <row r="61" spans="1:69" s="56" customFormat="1" ht="19.5" customHeight="1">
      <c r="A61" s="1261"/>
      <c r="B61" s="46"/>
      <c r="C61" s="46"/>
      <c r="D61" s="46"/>
      <c r="E61" s="46"/>
      <c r="F61" s="46"/>
      <c r="G61" s="46"/>
      <c r="H61" s="46"/>
      <c r="I61" s="46"/>
      <c r="J61" s="46"/>
      <c r="K61" s="46"/>
      <c r="L61" s="46"/>
      <c r="M61" s="46"/>
      <c r="N61" s="46"/>
      <c r="O61" s="46"/>
      <c r="P61" s="46"/>
      <c r="Q61" s="46"/>
      <c r="R61" s="46"/>
      <c r="S61" s="46"/>
      <c r="T61" s="46"/>
      <c r="U61" s="46"/>
      <c r="V61" s="46"/>
      <c r="W61" s="46"/>
      <c r="X61" s="46"/>
      <c r="Y61" s="428"/>
      <c r="Z61" s="185"/>
      <c r="AB61" s="30" t="str">
        <f t="shared" si="80"/>
        <v>Milton Keynes</v>
      </c>
      <c r="AC61" s="29">
        <v>9</v>
      </c>
      <c r="AD61" s="30" t="str">
        <f t="shared" si="82"/>
        <v>Milton KeynesProportion (%)</v>
      </c>
      <c r="AE61" s="31" t="b">
        <f t="shared" si="23"/>
        <v>0</v>
      </c>
      <c r="AF61" s="34">
        <f t="shared" ref="AF61:BA61" si="90">IF(ISERROR(AF17/$BA17*100),"",AF17/$BA17*100)</f>
        <v>7.7448747152619593</v>
      </c>
      <c r="AG61" s="35" t="str">
        <f t="shared" si="90"/>
        <v/>
      </c>
      <c r="AH61" s="35" t="str">
        <f t="shared" si="90"/>
        <v/>
      </c>
      <c r="AI61" s="35" t="str">
        <f t="shared" si="90"/>
        <v/>
      </c>
      <c r="AJ61" s="35">
        <f t="shared" si="90"/>
        <v>14.220631304913764</v>
      </c>
      <c r="AK61" s="35">
        <f t="shared" si="90"/>
        <v>9.9251545720794017</v>
      </c>
      <c r="AL61" s="35">
        <f t="shared" si="90"/>
        <v>12.495932313699967</v>
      </c>
      <c r="AM61" s="35" t="str">
        <f t="shared" si="90"/>
        <v/>
      </c>
      <c r="AN61" s="35" t="str">
        <f t="shared" si="90"/>
        <v/>
      </c>
      <c r="AO61" s="35" t="str">
        <f t="shared" si="90"/>
        <v/>
      </c>
      <c r="AP61" s="35" t="str">
        <f t="shared" si="90"/>
        <v/>
      </c>
      <c r="AQ61" s="35" t="str">
        <f t="shared" si="90"/>
        <v/>
      </c>
      <c r="AR61" s="35">
        <f t="shared" si="90"/>
        <v>0</v>
      </c>
      <c r="AS61" s="35">
        <f t="shared" si="90"/>
        <v>14.123006833712983</v>
      </c>
      <c r="AT61" s="35" t="str">
        <f t="shared" si="90"/>
        <v/>
      </c>
      <c r="AU61" s="35" t="str">
        <f t="shared" si="90"/>
        <v/>
      </c>
      <c r="AV61" s="35">
        <f t="shared" si="90"/>
        <v>32.085909534656686</v>
      </c>
      <c r="AW61" s="35">
        <f t="shared" si="90"/>
        <v>3.6771884152294176</v>
      </c>
      <c r="AX61" s="35">
        <f t="shared" si="90"/>
        <v>3.6446469248291571</v>
      </c>
      <c r="AY61" s="35">
        <f t="shared" si="90"/>
        <v>2.0826553856166612</v>
      </c>
      <c r="AZ61" s="36">
        <f t="shared" si="90"/>
        <v>0</v>
      </c>
      <c r="BA61" s="39">
        <f t="shared" si="90"/>
        <v>100</v>
      </c>
    </row>
    <row r="62" spans="1:69" s="56" customFormat="1" ht="15" customHeight="1">
      <c r="A62" s="1261"/>
      <c r="B62" s="46"/>
      <c r="C62" s="46"/>
      <c r="D62" s="46"/>
      <c r="E62" s="46"/>
      <c r="F62" s="46"/>
      <c r="G62" s="46"/>
      <c r="H62" s="46"/>
      <c r="I62" s="46"/>
      <c r="J62" s="46"/>
      <c r="K62" s="46"/>
      <c r="L62" s="46"/>
      <c r="M62" s="46"/>
      <c r="N62" s="46"/>
      <c r="O62" s="46"/>
      <c r="P62" s="46"/>
      <c r="Q62" s="46"/>
      <c r="R62" s="46"/>
      <c r="S62" s="46"/>
      <c r="T62" s="46"/>
      <c r="U62" s="46"/>
      <c r="V62" s="46"/>
      <c r="W62" s="46"/>
      <c r="X62" s="46"/>
      <c r="Y62" s="170"/>
      <c r="Z62" s="185"/>
      <c r="AA62" s="138"/>
      <c r="AB62" s="30" t="str">
        <f t="shared" si="80"/>
        <v>Oxfordshire</v>
      </c>
      <c r="AC62" s="29">
        <v>10</v>
      </c>
      <c r="AD62" s="30" t="str">
        <f t="shared" si="82"/>
        <v>OxfordshireProportion (%)</v>
      </c>
      <c r="AE62" s="31" t="b">
        <f t="shared" si="23"/>
        <v>0</v>
      </c>
      <c r="AF62" s="34">
        <f t="shared" ref="AF62:BA62" si="91">IF(ISERROR(AF18/$BA18*100),"",AF18/$BA18*100)</f>
        <v>8.0047553001783243</v>
      </c>
      <c r="AG62" s="35" t="str">
        <f t="shared" si="91"/>
        <v/>
      </c>
      <c r="AH62" s="35" t="str">
        <f t="shared" si="91"/>
        <v/>
      </c>
      <c r="AI62" s="35" t="str">
        <f t="shared" si="91"/>
        <v/>
      </c>
      <c r="AJ62" s="35">
        <f t="shared" si="91"/>
        <v>19.17971071923915</v>
      </c>
      <c r="AK62" s="35">
        <f t="shared" si="91"/>
        <v>1.7436100653853777</v>
      </c>
      <c r="AL62" s="35">
        <f t="shared" si="91"/>
        <v>13.176144244105409</v>
      </c>
      <c r="AM62" s="35" t="str">
        <f t="shared" si="91"/>
        <v/>
      </c>
      <c r="AN62" s="35" t="str">
        <f t="shared" si="91"/>
        <v/>
      </c>
      <c r="AO62" s="35" t="str">
        <f t="shared" si="91"/>
        <v/>
      </c>
      <c r="AP62" s="35" t="str">
        <f t="shared" si="91"/>
        <v/>
      </c>
      <c r="AQ62" s="35" t="str">
        <f t="shared" si="91"/>
        <v/>
      </c>
      <c r="AR62" s="35">
        <f t="shared" si="91"/>
        <v>0.87180503269268883</v>
      </c>
      <c r="AS62" s="35">
        <f t="shared" si="91"/>
        <v>19.575985734099465</v>
      </c>
      <c r="AT62" s="35" t="str">
        <f t="shared" si="91"/>
        <v/>
      </c>
      <c r="AU62" s="35" t="str">
        <f t="shared" si="91"/>
        <v/>
      </c>
      <c r="AV62" s="35">
        <f t="shared" si="91"/>
        <v>28.769566078858727</v>
      </c>
      <c r="AW62" s="35">
        <f t="shared" si="91"/>
        <v>4.0221914008321775</v>
      </c>
      <c r="AX62" s="35">
        <f t="shared" si="91"/>
        <v>2.3380225876758467</v>
      </c>
      <c r="AY62" s="35">
        <f t="shared" si="91"/>
        <v>1.8823063205864872</v>
      </c>
      <c r="AZ62" s="36">
        <f t="shared" si="91"/>
        <v>0.43590251634634442</v>
      </c>
      <c r="BA62" s="39">
        <f t="shared" si="91"/>
        <v>100</v>
      </c>
    </row>
    <row r="63" spans="1:69" s="56" customFormat="1">
      <c r="A63" s="1808"/>
      <c r="B63" s="1809"/>
      <c r="C63" s="1809"/>
      <c r="D63" s="1809"/>
      <c r="E63" s="1809"/>
      <c r="F63" s="1809"/>
      <c r="G63" s="1809"/>
      <c r="H63" s="1809"/>
      <c r="I63" s="1809"/>
      <c r="J63" s="1809"/>
      <c r="K63" s="1809"/>
      <c r="L63" s="1809"/>
      <c r="M63" s="1809"/>
      <c r="N63" s="1809"/>
      <c r="O63" s="1809"/>
      <c r="P63" s="1809"/>
      <c r="Q63" s="1809"/>
      <c r="R63" s="1809"/>
      <c r="S63" s="1809"/>
      <c r="T63" s="1809"/>
      <c r="U63" s="1809"/>
      <c r="V63" s="1809"/>
      <c r="W63" s="1809"/>
      <c r="X63" s="1809"/>
      <c r="Y63" s="1810"/>
      <c r="Z63" s="185"/>
      <c r="AA63" s="138"/>
      <c r="AB63" s="30" t="str">
        <f t="shared" si="80"/>
        <v>Portsmouth</v>
      </c>
      <c r="AC63" s="29">
        <v>11</v>
      </c>
      <c r="AD63" s="30" t="str">
        <f t="shared" si="82"/>
        <v>PortsmouthProportion (%)</v>
      </c>
      <c r="AE63" s="31" t="b">
        <f t="shared" si="23"/>
        <v>0</v>
      </c>
      <c r="AF63" s="34">
        <f t="shared" ref="AF63:BA63" si="92">IF(ISERROR(AF19/$BA19*100),"",AF19/$BA19*100)</f>
        <v>6.9444444444444446</v>
      </c>
      <c r="AG63" s="35" t="str">
        <f t="shared" si="92"/>
        <v/>
      </c>
      <c r="AH63" s="35" t="str">
        <f t="shared" si="92"/>
        <v/>
      </c>
      <c r="AI63" s="35" t="str">
        <f t="shared" si="92"/>
        <v/>
      </c>
      <c r="AJ63" s="35">
        <f t="shared" si="92"/>
        <v>18.353174603174601</v>
      </c>
      <c r="AK63" s="35">
        <f t="shared" si="92"/>
        <v>0</v>
      </c>
      <c r="AL63" s="35">
        <f t="shared" si="92"/>
        <v>14.814814814814813</v>
      </c>
      <c r="AM63" s="35" t="str">
        <f t="shared" si="92"/>
        <v/>
      </c>
      <c r="AN63" s="35" t="str">
        <f t="shared" si="92"/>
        <v/>
      </c>
      <c r="AO63" s="35" t="str">
        <f t="shared" si="92"/>
        <v/>
      </c>
      <c r="AP63" s="35" t="str">
        <f t="shared" si="92"/>
        <v/>
      </c>
      <c r="AQ63" s="35" t="str">
        <f t="shared" si="92"/>
        <v/>
      </c>
      <c r="AR63" s="35">
        <f t="shared" si="92"/>
        <v>2.0502645502645502</v>
      </c>
      <c r="AS63" s="35">
        <f t="shared" si="92"/>
        <v>17.791005291005291</v>
      </c>
      <c r="AT63" s="35" t="str">
        <f t="shared" si="92"/>
        <v/>
      </c>
      <c r="AU63" s="35" t="str">
        <f t="shared" si="92"/>
        <v/>
      </c>
      <c r="AV63" s="35">
        <f t="shared" si="92"/>
        <v>29.100529100529098</v>
      </c>
      <c r="AW63" s="35">
        <f t="shared" si="92"/>
        <v>4.1005291005291005</v>
      </c>
      <c r="AX63" s="35">
        <f t="shared" si="92"/>
        <v>3.6706349206349209</v>
      </c>
      <c r="AY63" s="35">
        <f t="shared" si="92"/>
        <v>3.1746031746031744</v>
      </c>
      <c r="AZ63" s="36">
        <f t="shared" si="92"/>
        <v>0</v>
      </c>
      <c r="BA63" s="39">
        <f t="shared" si="92"/>
        <v>100</v>
      </c>
    </row>
    <row r="64" spans="1:69" s="56" customFormat="1" ht="13.5" customHeight="1">
      <c r="A64" s="81"/>
      <c r="B64" s="82"/>
      <c r="C64" s="82"/>
      <c r="D64" s="82"/>
      <c r="E64" s="82"/>
      <c r="F64" s="82"/>
      <c r="G64" s="82"/>
      <c r="H64" s="82"/>
      <c r="I64" s="82"/>
      <c r="J64" s="82"/>
      <c r="K64" s="82"/>
      <c r="L64" s="82"/>
      <c r="M64" s="82"/>
      <c r="N64" s="82"/>
      <c r="O64" s="83"/>
      <c r="P64" s="82"/>
      <c r="Q64" s="82"/>
      <c r="R64" s="82"/>
      <c r="S64" s="82"/>
      <c r="T64" s="82"/>
      <c r="U64" s="82"/>
      <c r="V64" s="82"/>
      <c r="W64" s="82"/>
      <c r="X64" s="82"/>
      <c r="Y64" s="84"/>
      <c r="Z64" s="102"/>
      <c r="AB64" s="30" t="str">
        <f t="shared" si="80"/>
        <v>Reading</v>
      </c>
      <c r="AC64" s="29">
        <v>12</v>
      </c>
      <c r="AD64" s="30" t="str">
        <f t="shared" si="82"/>
        <v>ReadingProportion (%)</v>
      </c>
      <c r="AE64" s="31" t="b">
        <f t="shared" si="23"/>
        <v>0</v>
      </c>
      <c r="AF64" s="34">
        <f t="shared" ref="AF64:BA64" si="93">IF(ISERROR(AF20/$BA20*100),"",AF20/$BA20*100)</f>
        <v>4.7952047952047954</v>
      </c>
      <c r="AG64" s="35" t="str">
        <f t="shared" si="93"/>
        <v/>
      </c>
      <c r="AH64" s="35" t="str">
        <f t="shared" si="93"/>
        <v/>
      </c>
      <c r="AI64" s="35" t="str">
        <f t="shared" si="93"/>
        <v/>
      </c>
      <c r="AJ64" s="35">
        <f t="shared" si="93"/>
        <v>17.615717615717617</v>
      </c>
      <c r="AK64" s="35">
        <f t="shared" si="93"/>
        <v>0.89910089910089919</v>
      </c>
      <c r="AL64" s="35">
        <f t="shared" si="93"/>
        <v>15.251415251415251</v>
      </c>
      <c r="AM64" s="35" t="str">
        <f t="shared" si="93"/>
        <v/>
      </c>
      <c r="AN64" s="35" t="str">
        <f t="shared" si="93"/>
        <v/>
      </c>
      <c r="AO64" s="35" t="str">
        <f t="shared" si="93"/>
        <v/>
      </c>
      <c r="AP64" s="35" t="str">
        <f t="shared" si="93"/>
        <v/>
      </c>
      <c r="AQ64" s="35" t="str">
        <f t="shared" si="93"/>
        <v/>
      </c>
      <c r="AR64" s="35">
        <f t="shared" si="93"/>
        <v>2.231102231102231</v>
      </c>
      <c r="AS64" s="35">
        <f t="shared" si="93"/>
        <v>15.451215451215452</v>
      </c>
      <c r="AT64" s="35" t="str">
        <f t="shared" si="93"/>
        <v/>
      </c>
      <c r="AU64" s="35" t="str">
        <f t="shared" si="93"/>
        <v/>
      </c>
      <c r="AV64" s="35">
        <f t="shared" si="93"/>
        <v>34.532134532134535</v>
      </c>
      <c r="AW64" s="35">
        <f t="shared" si="93"/>
        <v>3.9960039960039961</v>
      </c>
      <c r="AX64" s="35">
        <f t="shared" si="93"/>
        <v>3.3633033633033631</v>
      </c>
      <c r="AY64" s="35">
        <f t="shared" si="93"/>
        <v>1.8648018648018647</v>
      </c>
      <c r="AZ64" s="36">
        <f t="shared" si="93"/>
        <v>0</v>
      </c>
      <c r="BA64" s="39">
        <f t="shared" si="93"/>
        <v>100</v>
      </c>
    </row>
    <row r="65" spans="1:69" s="56" customFormat="1" ht="18.75" customHeight="1">
      <c r="A65" s="287"/>
      <c r="B65" s="1855" t="str">
        <f>$AB$8&amp;" of Referrals from each Source "&amp;Frontpage!J5</f>
        <v>Proportion (%) of Referrals from each Source 2023-24</v>
      </c>
      <c r="C65" s="1855"/>
      <c r="D65" s="1855"/>
      <c r="E65" s="1855"/>
      <c r="F65" s="1855"/>
      <c r="G65" s="1855"/>
      <c r="H65" s="1855"/>
      <c r="I65" s="1855"/>
      <c r="J65" s="1855"/>
      <c r="K65" s="1855"/>
      <c r="L65" s="1855"/>
      <c r="M65" s="1855"/>
      <c r="N65" s="1855"/>
      <c r="O65" s="1855"/>
      <c r="P65" s="1855"/>
      <c r="Q65" s="1855"/>
      <c r="R65" s="1855"/>
      <c r="S65" s="1855"/>
      <c r="T65" s="1855"/>
      <c r="U65" s="1855"/>
      <c r="V65" s="1855"/>
      <c r="W65" s="1855"/>
      <c r="X65" s="50"/>
      <c r="Y65" s="86"/>
      <c r="Z65" s="102"/>
      <c r="AB65" s="30" t="str">
        <f t="shared" si="80"/>
        <v>Slough</v>
      </c>
      <c r="AC65" s="29">
        <v>13</v>
      </c>
      <c r="AD65" s="30" t="str">
        <f t="shared" si="82"/>
        <v>SloughProportion (%)</v>
      </c>
      <c r="AE65" s="31" t="b">
        <f t="shared" si="23"/>
        <v>0</v>
      </c>
      <c r="AF65" s="34">
        <f t="shared" ref="AF65:BA65" si="94">IF(ISERROR(AF21/$BA21*100),"",AF21/$BA21*100)</f>
        <v>3.2826022082960309</v>
      </c>
      <c r="AG65" s="35" t="str">
        <f t="shared" si="94"/>
        <v/>
      </c>
      <c r="AH65" s="35" t="str">
        <f t="shared" si="94"/>
        <v/>
      </c>
      <c r="AI65" s="35" t="str">
        <f t="shared" si="94"/>
        <v/>
      </c>
      <c r="AJ65" s="35">
        <f t="shared" si="94"/>
        <v>25.544613548194565</v>
      </c>
      <c r="AK65" s="35">
        <f t="shared" si="94"/>
        <v>0</v>
      </c>
      <c r="AL65" s="35">
        <f t="shared" si="94"/>
        <v>14.32408236347359</v>
      </c>
      <c r="AM65" s="35" t="str">
        <f t="shared" si="94"/>
        <v/>
      </c>
      <c r="AN65" s="35" t="str">
        <f t="shared" si="94"/>
        <v/>
      </c>
      <c r="AO65" s="35" t="str">
        <f t="shared" si="94"/>
        <v/>
      </c>
      <c r="AP65" s="35" t="str">
        <f t="shared" si="94"/>
        <v/>
      </c>
      <c r="AQ65" s="35" t="str">
        <f t="shared" si="94"/>
        <v/>
      </c>
      <c r="AR65" s="35">
        <f t="shared" si="94"/>
        <v>0</v>
      </c>
      <c r="AS65" s="35">
        <f t="shared" si="94"/>
        <v>9.9373321396598033</v>
      </c>
      <c r="AT65" s="35" t="str">
        <f t="shared" si="94"/>
        <v/>
      </c>
      <c r="AU65" s="35" t="str">
        <f t="shared" si="94"/>
        <v/>
      </c>
      <c r="AV65" s="35">
        <f t="shared" si="94"/>
        <v>38.94359892569382</v>
      </c>
      <c r="AW65" s="35">
        <f t="shared" si="94"/>
        <v>2.5962399283795885</v>
      </c>
      <c r="AX65" s="35">
        <f t="shared" si="94"/>
        <v>5.1626380185019398</v>
      </c>
      <c r="AY65" s="35">
        <f t="shared" si="94"/>
        <v>0.20889286780065652</v>
      </c>
      <c r="AZ65" s="36">
        <f t="shared" si="94"/>
        <v>0</v>
      </c>
      <c r="BA65" s="39">
        <f t="shared" si="94"/>
        <v>100</v>
      </c>
    </row>
    <row r="66" spans="1:69" s="56" customFormat="1" ht="18.75" customHeight="1">
      <c r="A66" s="208"/>
      <c r="B66" s="1855"/>
      <c r="C66" s="1855"/>
      <c r="D66" s="1855"/>
      <c r="E66" s="1855"/>
      <c r="F66" s="1855"/>
      <c r="G66" s="1855"/>
      <c r="H66" s="1855"/>
      <c r="I66" s="1855"/>
      <c r="J66" s="1855"/>
      <c r="K66" s="1855"/>
      <c r="L66" s="1855"/>
      <c r="M66" s="1855"/>
      <c r="N66" s="1855"/>
      <c r="O66" s="1855"/>
      <c r="P66" s="1855"/>
      <c r="Q66" s="1855"/>
      <c r="R66" s="1855"/>
      <c r="S66" s="1855"/>
      <c r="T66" s="1855"/>
      <c r="U66" s="1855"/>
      <c r="V66" s="1855"/>
      <c r="W66" s="1855"/>
      <c r="X66" s="50"/>
      <c r="Y66" s="86"/>
      <c r="Z66" s="102"/>
      <c r="AB66" s="30" t="str">
        <f>B23</f>
        <v>Southampton</v>
      </c>
      <c r="AC66" s="29">
        <v>15</v>
      </c>
      <c r="AD66" s="30" t="str">
        <f t="shared" si="82"/>
        <v>SouthamptonProportion (%)</v>
      </c>
      <c r="AE66" s="31" t="b">
        <f t="shared" si="23"/>
        <v>0</v>
      </c>
      <c r="AF66" s="34">
        <f t="shared" ref="AF66:BA66" si="95">IF(ISERROR(AF23/$BA23*100),"",AF23/$BA23*100)</f>
        <v>6.4641241111829357</v>
      </c>
      <c r="AG66" s="35" t="str">
        <f t="shared" si="95"/>
        <v/>
      </c>
      <c r="AH66" s="35" t="str">
        <f t="shared" si="95"/>
        <v/>
      </c>
      <c r="AI66" s="35" t="str">
        <f t="shared" si="95"/>
        <v/>
      </c>
      <c r="AJ66" s="35">
        <f t="shared" si="95"/>
        <v>28.118939883645766</v>
      </c>
      <c r="AK66" s="35">
        <f t="shared" si="95"/>
        <v>0.7433742727860374</v>
      </c>
      <c r="AL66" s="35">
        <f t="shared" si="95"/>
        <v>14.835164835164836</v>
      </c>
      <c r="AM66" s="35" t="str">
        <f t="shared" si="95"/>
        <v/>
      </c>
      <c r="AN66" s="35" t="str">
        <f t="shared" si="95"/>
        <v/>
      </c>
      <c r="AO66" s="35" t="str">
        <f t="shared" si="95"/>
        <v/>
      </c>
      <c r="AP66" s="35" t="str">
        <f t="shared" si="95"/>
        <v/>
      </c>
      <c r="AQ66" s="35" t="str">
        <f t="shared" si="95"/>
        <v/>
      </c>
      <c r="AR66" s="35">
        <f t="shared" si="95"/>
        <v>0.90497737556561098</v>
      </c>
      <c r="AS66" s="35">
        <f t="shared" si="95"/>
        <v>13.542340012928248</v>
      </c>
      <c r="AT66" s="35" t="str">
        <f t="shared" si="95"/>
        <v/>
      </c>
      <c r="AU66" s="35" t="str">
        <f t="shared" si="95"/>
        <v/>
      </c>
      <c r="AV66" s="35">
        <f t="shared" si="95"/>
        <v>27.537168713639304</v>
      </c>
      <c r="AW66" s="35">
        <f t="shared" si="95"/>
        <v>3.3613445378151261</v>
      </c>
      <c r="AX66" s="35">
        <f t="shared" si="95"/>
        <v>3.8138332255979317</v>
      </c>
      <c r="AY66" s="35">
        <f t="shared" si="95"/>
        <v>0.67873303167420818</v>
      </c>
      <c r="AZ66" s="36">
        <f t="shared" si="95"/>
        <v>0</v>
      </c>
      <c r="BA66" s="39">
        <f t="shared" si="95"/>
        <v>100</v>
      </c>
    </row>
    <row r="67" spans="1:69" s="56" customFormat="1" ht="13.5" customHeight="1">
      <c r="A67" s="208"/>
      <c r="B67" s="1749" t="s">
        <v>177</v>
      </c>
      <c r="C67" s="5"/>
      <c r="D67" s="1839">
        <v>1</v>
      </c>
      <c r="E67" s="1840"/>
      <c r="F67" s="1841">
        <v>2</v>
      </c>
      <c r="G67" s="1842"/>
      <c r="H67" s="1843">
        <v>3</v>
      </c>
      <c r="I67" s="1844"/>
      <c r="J67" s="1845">
        <v>4</v>
      </c>
      <c r="K67" s="1846"/>
      <c r="L67" s="1847">
        <v>5</v>
      </c>
      <c r="M67" s="1848"/>
      <c r="N67" s="1849">
        <v>6</v>
      </c>
      <c r="O67" s="1850"/>
      <c r="P67" s="1851">
        <v>7</v>
      </c>
      <c r="Q67" s="1852"/>
      <c r="R67" s="1853">
        <v>8</v>
      </c>
      <c r="S67" s="1854"/>
      <c r="T67" s="1856">
        <v>9</v>
      </c>
      <c r="U67" s="1857"/>
      <c r="V67" s="1858">
        <v>10</v>
      </c>
      <c r="W67" s="1859"/>
      <c r="X67" s="5"/>
      <c r="Y67" s="86"/>
      <c r="Z67" s="102"/>
      <c r="AB67" s="30" t="str">
        <f>B24</f>
        <v>Surrey</v>
      </c>
      <c r="AC67" s="29">
        <v>16</v>
      </c>
      <c r="AD67" s="30" t="str">
        <f t="shared" si="82"/>
        <v>SurreyProportion (%)</v>
      </c>
      <c r="AE67" s="31" t="b">
        <f t="shared" si="23"/>
        <v>0</v>
      </c>
      <c r="AF67" s="34">
        <f t="shared" ref="AF67:BA67" si="96">IF(ISERROR(AF24/$BA24*100),"",AF24/$BA24*100)</f>
        <v>6.7300182244207241</v>
      </c>
      <c r="AG67" s="35" t="str">
        <f t="shared" si="96"/>
        <v/>
      </c>
      <c r="AH67" s="35" t="str">
        <f t="shared" si="96"/>
        <v/>
      </c>
      <c r="AI67" s="35" t="str">
        <f t="shared" si="96"/>
        <v/>
      </c>
      <c r="AJ67" s="35">
        <f t="shared" si="96"/>
        <v>19.565217391304348</v>
      </c>
      <c r="AK67" s="35">
        <f t="shared" si="96"/>
        <v>1.5100234313980734</v>
      </c>
      <c r="AL67" s="35">
        <f t="shared" si="96"/>
        <v>16.701379848997657</v>
      </c>
      <c r="AM67" s="35" t="str">
        <f t="shared" si="96"/>
        <v/>
      </c>
      <c r="AN67" s="35" t="str">
        <f t="shared" si="96"/>
        <v/>
      </c>
      <c r="AO67" s="35" t="str">
        <f t="shared" si="96"/>
        <v/>
      </c>
      <c r="AP67" s="35" t="str">
        <f t="shared" si="96"/>
        <v/>
      </c>
      <c r="AQ67" s="35" t="str">
        <f t="shared" si="96"/>
        <v/>
      </c>
      <c r="AR67" s="35">
        <f t="shared" si="96"/>
        <v>1.0544129133038271</v>
      </c>
      <c r="AS67" s="35">
        <f t="shared" si="96"/>
        <v>12.093204894558708</v>
      </c>
      <c r="AT67" s="35" t="str">
        <f t="shared" si="96"/>
        <v/>
      </c>
      <c r="AU67" s="35" t="str">
        <f t="shared" si="96"/>
        <v/>
      </c>
      <c r="AV67" s="35">
        <f t="shared" si="96"/>
        <v>29.614683676126006</v>
      </c>
      <c r="AW67" s="35">
        <f t="shared" si="96"/>
        <v>3.397552720645665</v>
      </c>
      <c r="AX67" s="35">
        <f t="shared" si="96"/>
        <v>8.1489195521999491</v>
      </c>
      <c r="AY67" s="35">
        <f t="shared" si="96"/>
        <v>1.1845873470450403</v>
      </c>
      <c r="AZ67" s="36">
        <f t="shared" si="96"/>
        <v>0</v>
      </c>
      <c r="BA67" s="39">
        <f t="shared" si="96"/>
        <v>100</v>
      </c>
    </row>
    <row r="68" spans="1:69" s="56" customFormat="1" ht="37.5" customHeight="1">
      <c r="A68" s="208"/>
      <c r="B68" s="1750"/>
      <c r="D68" s="1793" t="s">
        <v>90</v>
      </c>
      <c r="E68" s="1795"/>
      <c r="F68" s="1793" t="s">
        <v>1228</v>
      </c>
      <c r="G68" s="1795"/>
      <c r="H68" s="1793" t="s">
        <v>98</v>
      </c>
      <c r="I68" s="1795"/>
      <c r="J68" s="1793" t="s">
        <v>43</v>
      </c>
      <c r="K68" s="1795"/>
      <c r="L68" s="1793" t="s">
        <v>99</v>
      </c>
      <c r="M68" s="1795"/>
      <c r="N68" s="1793" t="s">
        <v>23</v>
      </c>
      <c r="O68" s="1795"/>
      <c r="P68" s="1793" t="s">
        <v>64</v>
      </c>
      <c r="Q68" s="1795"/>
      <c r="R68" s="1793" t="s">
        <v>63</v>
      </c>
      <c r="S68" s="1795"/>
      <c r="T68" s="1793" t="s">
        <v>61</v>
      </c>
      <c r="U68" s="1795"/>
      <c r="V68" s="1793" t="s">
        <v>62</v>
      </c>
      <c r="W68" s="1794"/>
      <c r="X68" s="5"/>
      <c r="Y68" s="86"/>
      <c r="Z68" s="102"/>
      <c r="AA68" s="52"/>
      <c r="AB68" s="30" t="str">
        <f t="shared" ref="AB68:AB73" si="97">B26</f>
        <v>West Berkshire</v>
      </c>
      <c r="AC68" s="29">
        <v>19</v>
      </c>
      <c r="AD68" s="30" t="str">
        <f t="shared" si="82"/>
        <v>West BerkshireProportion (%)</v>
      </c>
      <c r="AE68" s="31" t="b">
        <f t="shared" si="23"/>
        <v>0</v>
      </c>
      <c r="AF68" s="34">
        <f t="shared" ref="AF68:BA68" si="98">IF(ISERROR(AF26/$BA26*100),"",AF26/$BA26*100)</f>
        <v>8.234560199625701</v>
      </c>
      <c r="AG68" s="35" t="str">
        <f t="shared" si="98"/>
        <v/>
      </c>
      <c r="AH68" s="35" t="str">
        <f t="shared" si="98"/>
        <v/>
      </c>
      <c r="AI68" s="35" t="str">
        <f t="shared" si="98"/>
        <v/>
      </c>
      <c r="AJ68" s="35">
        <f t="shared" si="98"/>
        <v>18.964441671865252</v>
      </c>
      <c r="AK68" s="35">
        <f t="shared" si="98"/>
        <v>2.9320024953212727</v>
      </c>
      <c r="AL68" s="35">
        <f t="shared" si="98"/>
        <v>11.228945726762321</v>
      </c>
      <c r="AM68" s="35" t="str">
        <f t="shared" si="98"/>
        <v/>
      </c>
      <c r="AN68" s="35" t="str">
        <f t="shared" si="98"/>
        <v/>
      </c>
      <c r="AO68" s="35" t="str">
        <f t="shared" si="98"/>
        <v/>
      </c>
      <c r="AP68" s="35" t="str">
        <f t="shared" si="98"/>
        <v/>
      </c>
      <c r="AQ68" s="35" t="str">
        <f t="shared" si="98"/>
        <v/>
      </c>
      <c r="AR68" s="35">
        <f t="shared" si="98"/>
        <v>0.37429819089207733</v>
      </c>
      <c r="AS68" s="35">
        <f t="shared" si="98"/>
        <v>15.782907049282596</v>
      </c>
      <c r="AT68" s="35" t="str">
        <f t="shared" si="98"/>
        <v/>
      </c>
      <c r="AU68" s="35" t="str">
        <f t="shared" si="98"/>
        <v/>
      </c>
      <c r="AV68" s="35">
        <f t="shared" si="98"/>
        <v>32.252027448534001</v>
      </c>
      <c r="AW68" s="35">
        <f t="shared" si="98"/>
        <v>4.8658764815970059</v>
      </c>
      <c r="AX68" s="35">
        <f t="shared" si="98"/>
        <v>1.3100436681222707</v>
      </c>
      <c r="AY68" s="35">
        <f t="shared" si="98"/>
        <v>2.3705552089831565</v>
      </c>
      <c r="AZ68" s="36">
        <f t="shared" si="98"/>
        <v>1.6843418590143482</v>
      </c>
      <c r="BA68" s="39">
        <f t="shared" si="98"/>
        <v>100</v>
      </c>
      <c r="BD68" s="52"/>
      <c r="BE68" s="52"/>
      <c r="BF68" s="52"/>
      <c r="BG68" s="52"/>
      <c r="BH68" s="52"/>
      <c r="BI68" s="52"/>
      <c r="BJ68" s="52"/>
      <c r="BK68" s="52"/>
      <c r="BL68" s="52"/>
      <c r="BM68" s="52"/>
      <c r="BN68" s="52"/>
      <c r="BO68" s="52"/>
      <c r="BP68" s="52"/>
      <c r="BQ68" s="52"/>
    </row>
    <row r="69" spans="1:69" ht="17.25" customHeight="1">
      <c r="A69" s="1103">
        <f>VLOOKUP(B69,ReportData!$AQ$4:$AR$25,2,FALSE)</f>
        <v>0</v>
      </c>
      <c r="B69" s="1114" t="str">
        <f>ReportData!$K$4</f>
        <v>Bracknell Forest</v>
      </c>
      <c r="C69" s="1132"/>
      <c r="D69" s="1826"/>
      <c r="E69" s="1827"/>
      <c r="F69" s="1826"/>
      <c r="G69" s="1827"/>
      <c r="H69" s="1826"/>
      <c r="I69" s="1827"/>
      <c r="J69" s="1826"/>
      <c r="K69" s="1827"/>
      <c r="L69" s="1826"/>
      <c r="M69" s="1827"/>
      <c r="N69" s="1826"/>
      <c r="O69" s="1827"/>
      <c r="P69" s="1826"/>
      <c r="Q69" s="1827"/>
      <c r="R69" s="1826"/>
      <c r="S69" s="1827"/>
      <c r="T69" s="1826"/>
      <c r="U69" s="1827"/>
      <c r="V69" s="1826"/>
      <c r="W69" s="1828"/>
      <c r="X69" s="5"/>
      <c r="Y69" s="86"/>
      <c r="Z69" s="102"/>
      <c r="AA69" s="52"/>
      <c r="AB69" s="30" t="str">
        <f t="shared" si="97"/>
        <v>West Sussex</v>
      </c>
      <c r="AC69" s="29">
        <v>20</v>
      </c>
      <c r="AD69" s="30" t="str">
        <f t="shared" si="82"/>
        <v>West SussexProportion (%)</v>
      </c>
      <c r="AE69" s="31" t="b">
        <f>IF(AB69=$AA$6,1)</f>
        <v>0</v>
      </c>
      <c r="AF69" s="34">
        <f t="shared" ref="AF69:BA69" si="99">IF(ISERROR(AF27/$BA27*100),"",AF27/$BA27*100)</f>
        <v>8.4226453158491985</v>
      </c>
      <c r="AG69" s="35" t="str">
        <f t="shared" si="99"/>
        <v/>
      </c>
      <c r="AH69" s="35" t="str">
        <f t="shared" si="99"/>
        <v/>
      </c>
      <c r="AI69" s="35" t="str">
        <f t="shared" si="99"/>
        <v/>
      </c>
      <c r="AJ69" s="35">
        <f t="shared" si="99"/>
        <v>18.509645694111715</v>
      </c>
      <c r="AK69" s="35">
        <f t="shared" si="99"/>
        <v>0</v>
      </c>
      <c r="AL69" s="35">
        <f t="shared" si="99"/>
        <v>12.066574202496533</v>
      </c>
      <c r="AM69" s="35" t="str">
        <f t="shared" si="99"/>
        <v/>
      </c>
      <c r="AN69" s="35" t="str">
        <f t="shared" si="99"/>
        <v/>
      </c>
      <c r="AO69" s="35" t="str">
        <f t="shared" si="99"/>
        <v/>
      </c>
      <c r="AP69" s="35" t="str">
        <f t="shared" si="99"/>
        <v/>
      </c>
      <c r="AQ69" s="35" t="str">
        <f t="shared" si="99"/>
        <v/>
      </c>
      <c r="AR69" s="35">
        <f t="shared" si="99"/>
        <v>0.84478628167948566</v>
      </c>
      <c r="AS69" s="35">
        <f t="shared" si="99"/>
        <v>11.978312949186735</v>
      </c>
      <c r="AT69" s="35" t="str">
        <f t="shared" si="99"/>
        <v/>
      </c>
      <c r="AU69" s="35" t="str">
        <f t="shared" si="99"/>
        <v/>
      </c>
      <c r="AV69" s="35">
        <f t="shared" si="99"/>
        <v>28.36968856386332</v>
      </c>
      <c r="AW69" s="35">
        <f t="shared" si="99"/>
        <v>0.55478502080443826</v>
      </c>
      <c r="AX69" s="35">
        <f t="shared" si="99"/>
        <v>12.533097969991175</v>
      </c>
      <c r="AY69" s="35">
        <f t="shared" si="99"/>
        <v>0</v>
      </c>
      <c r="AZ69" s="36">
        <f t="shared" si="99"/>
        <v>6.7204640020173994</v>
      </c>
      <c r="BA69" s="39">
        <f t="shared" si="99"/>
        <v>100</v>
      </c>
    </row>
    <row r="70" spans="1:69" ht="17.25" customHeight="1">
      <c r="A70" s="1103">
        <f>VLOOKUP(B70,ReportData!$AQ$4:$AR$25,2,FALSE)</f>
        <v>0</v>
      </c>
      <c r="B70" s="1114" t="str">
        <f>ReportData!$K$5</f>
        <v>Brighton &amp; Hove</v>
      </c>
      <c r="C70" s="5"/>
      <c r="D70" s="1806"/>
      <c r="E70" s="1807"/>
      <c r="F70" s="1806"/>
      <c r="G70" s="1807"/>
      <c r="H70" s="1806"/>
      <c r="I70" s="1807"/>
      <c r="J70" s="1806"/>
      <c r="K70" s="1807"/>
      <c r="L70" s="1806"/>
      <c r="M70" s="1807"/>
      <c r="N70" s="1806"/>
      <c r="O70" s="1807"/>
      <c r="P70" s="1806"/>
      <c r="Q70" s="1807"/>
      <c r="R70" s="1806"/>
      <c r="S70" s="1807"/>
      <c r="T70" s="1806"/>
      <c r="U70" s="1807"/>
      <c r="V70" s="1806"/>
      <c r="W70" s="1825"/>
      <c r="X70" s="5"/>
      <c r="Y70" s="86"/>
      <c r="Z70" s="102"/>
      <c r="AA70" s="52"/>
      <c r="AB70" s="30" t="str">
        <f t="shared" si="97"/>
        <v>Windsor &amp; Maidenhead</v>
      </c>
      <c r="AC70" s="29">
        <v>21</v>
      </c>
      <c r="AD70" s="30" t="str">
        <f t="shared" si="82"/>
        <v>Windsor &amp; MaidenheadProportion (%)</v>
      </c>
      <c r="AE70" s="31" t="b">
        <f>IF(AB70=$AA$6,1)</f>
        <v>0</v>
      </c>
      <c r="AF70" s="34">
        <f t="shared" ref="AF70:BA70" si="100">IF(ISERROR(AF28/$BA28*100),"",AF28/$BA28*100)</f>
        <v>3.6403750689464975</v>
      </c>
      <c r="AG70" s="35" t="str">
        <f t="shared" si="100"/>
        <v/>
      </c>
      <c r="AH70" s="35" t="str">
        <f t="shared" si="100"/>
        <v/>
      </c>
      <c r="AI70" s="35" t="str">
        <f t="shared" si="100"/>
        <v/>
      </c>
      <c r="AJ70" s="35">
        <f t="shared" si="100"/>
        <v>24.489795918367346</v>
      </c>
      <c r="AK70" s="35">
        <f t="shared" si="100"/>
        <v>0.55157198014340869</v>
      </c>
      <c r="AL70" s="35">
        <f t="shared" si="100"/>
        <v>14.230557087699944</v>
      </c>
      <c r="AM70" s="35" t="str">
        <f t="shared" si="100"/>
        <v/>
      </c>
      <c r="AN70" s="35" t="str">
        <f t="shared" si="100"/>
        <v/>
      </c>
      <c r="AO70" s="35" t="str">
        <f t="shared" si="100"/>
        <v/>
      </c>
      <c r="AP70" s="35" t="str">
        <f t="shared" si="100"/>
        <v/>
      </c>
      <c r="AQ70" s="35" t="str">
        <f t="shared" si="100"/>
        <v/>
      </c>
      <c r="AR70" s="35">
        <f t="shared" si="100"/>
        <v>0.60672917815774963</v>
      </c>
      <c r="AS70" s="35">
        <f t="shared" si="100"/>
        <v>11.969111969111969</v>
      </c>
      <c r="AT70" s="35" t="str">
        <f t="shared" si="100"/>
        <v/>
      </c>
      <c r="AU70" s="35" t="str">
        <f t="shared" si="100"/>
        <v/>
      </c>
      <c r="AV70" s="35">
        <f t="shared" si="100"/>
        <v>33.039161610590185</v>
      </c>
      <c r="AW70" s="35">
        <f t="shared" si="100"/>
        <v>1.2134583563154993</v>
      </c>
      <c r="AX70" s="35">
        <f t="shared" si="100"/>
        <v>4.7986762272476557</v>
      </c>
      <c r="AY70" s="35">
        <f t="shared" si="100"/>
        <v>0.77220077220077221</v>
      </c>
      <c r="AZ70" s="36">
        <f t="shared" si="100"/>
        <v>4.6883618312189741</v>
      </c>
      <c r="BA70" s="39">
        <f t="shared" si="100"/>
        <v>100</v>
      </c>
    </row>
    <row r="71" spans="1:69" ht="17.25" customHeight="1">
      <c r="A71" s="1103">
        <f>VLOOKUP(B71,ReportData!$AQ$4:$AR$25,2,FALSE)</f>
        <v>0</v>
      </c>
      <c r="B71" s="1114" t="str">
        <f>ReportData!$K$6</f>
        <v>Buckinghamshire</v>
      </c>
      <c r="C71" s="5"/>
      <c r="D71" s="1806"/>
      <c r="E71" s="1807"/>
      <c r="F71" s="1806"/>
      <c r="G71" s="1807"/>
      <c r="H71" s="1806"/>
      <c r="I71" s="1807"/>
      <c r="J71" s="1806"/>
      <c r="K71" s="1807"/>
      <c r="L71" s="1806"/>
      <c r="M71" s="1807"/>
      <c r="N71" s="1806"/>
      <c r="O71" s="1807"/>
      <c r="P71" s="1806"/>
      <c r="Q71" s="1807"/>
      <c r="R71" s="1806"/>
      <c r="S71" s="1807"/>
      <c r="T71" s="1806"/>
      <c r="U71" s="1807"/>
      <c r="V71" s="1806"/>
      <c r="W71" s="1825"/>
      <c r="X71" s="5"/>
      <c r="Y71" s="86"/>
      <c r="Z71" s="102"/>
      <c r="AA71" s="52"/>
      <c r="AB71" s="30" t="str">
        <f t="shared" si="97"/>
        <v>Wokingham</v>
      </c>
      <c r="AC71" s="29">
        <v>22</v>
      </c>
      <c r="AD71" s="30" t="str">
        <f t="shared" si="82"/>
        <v>WokinghamProportion (%)</v>
      </c>
      <c r="AE71" s="31" t="b">
        <f>IF(AB71=$AA$6,1)</f>
        <v>0</v>
      </c>
      <c r="AF71" s="34">
        <f t="shared" ref="AF71:BA71" si="101">IF(ISERROR(AF29/$BA29*100),"",AF29/$BA29*100)</f>
        <v>9.043927648578812</v>
      </c>
      <c r="AG71" s="35" t="str">
        <f t="shared" si="101"/>
        <v/>
      </c>
      <c r="AH71" s="35" t="str">
        <f t="shared" si="101"/>
        <v/>
      </c>
      <c r="AI71" s="35" t="str">
        <f t="shared" si="101"/>
        <v/>
      </c>
      <c r="AJ71" s="35">
        <f t="shared" si="101"/>
        <v>23.643410852713178</v>
      </c>
      <c r="AK71" s="35">
        <f t="shared" si="101"/>
        <v>1.1627906976744187</v>
      </c>
      <c r="AL71" s="35">
        <f t="shared" si="101"/>
        <v>15.051679586563308</v>
      </c>
      <c r="AM71" s="35" t="str">
        <f t="shared" si="101"/>
        <v/>
      </c>
      <c r="AN71" s="35" t="str">
        <f t="shared" si="101"/>
        <v/>
      </c>
      <c r="AO71" s="35" t="str">
        <f t="shared" si="101"/>
        <v/>
      </c>
      <c r="AP71" s="35" t="str">
        <f t="shared" si="101"/>
        <v/>
      </c>
      <c r="AQ71" s="35" t="str">
        <f t="shared" si="101"/>
        <v/>
      </c>
      <c r="AR71" s="35">
        <f t="shared" si="101"/>
        <v>0.58139534883720934</v>
      </c>
      <c r="AS71" s="35">
        <f t="shared" si="101"/>
        <v>12.27390180878553</v>
      </c>
      <c r="AT71" s="35" t="str">
        <f t="shared" si="101"/>
        <v/>
      </c>
      <c r="AU71" s="35" t="str">
        <f t="shared" si="101"/>
        <v/>
      </c>
      <c r="AV71" s="35">
        <f t="shared" si="101"/>
        <v>31.136950904392762</v>
      </c>
      <c r="AW71" s="35">
        <f t="shared" si="101"/>
        <v>4.3927648578811365</v>
      </c>
      <c r="AX71" s="35">
        <f t="shared" si="101"/>
        <v>1.4857881136950903</v>
      </c>
      <c r="AY71" s="35">
        <f t="shared" si="101"/>
        <v>0.710594315245478</v>
      </c>
      <c r="AZ71" s="36">
        <f t="shared" si="101"/>
        <v>0.516795865633075</v>
      </c>
      <c r="BA71" s="39">
        <f t="shared" si="101"/>
        <v>100</v>
      </c>
    </row>
    <row r="72" spans="1:69" ht="17.25" customHeight="1">
      <c r="A72" s="1103">
        <f>VLOOKUP(B72,ReportData!$AQ$4:$AR$25,2,FALSE)</f>
        <v>0</v>
      </c>
      <c r="B72" s="1114" t="str">
        <f>ReportData!$K$7</f>
        <v>East Sussex</v>
      </c>
      <c r="C72" s="5"/>
      <c r="D72" s="1806"/>
      <c r="E72" s="1806"/>
      <c r="F72" s="1806"/>
      <c r="G72" s="1806"/>
      <c r="H72" s="1806"/>
      <c r="I72" s="1806"/>
      <c r="J72" s="1806"/>
      <c r="K72" s="1806"/>
      <c r="L72" s="1806"/>
      <c r="M72" s="1806"/>
      <c r="N72" s="1806"/>
      <c r="O72" s="1806"/>
      <c r="P72" s="1806"/>
      <c r="Q72" s="1806"/>
      <c r="R72" s="1806"/>
      <c r="S72" s="1806"/>
      <c r="T72" s="1806"/>
      <c r="U72" s="1806"/>
      <c r="V72" s="1806"/>
      <c r="W72" s="1824"/>
      <c r="X72" s="5"/>
      <c r="Y72" s="86"/>
      <c r="Z72" s="102"/>
      <c r="AA72" s="52"/>
      <c r="AB72" s="30" t="str">
        <f t="shared" si="97"/>
        <v>South East</v>
      </c>
      <c r="AC72" s="29">
        <v>23</v>
      </c>
      <c r="AD72" s="30" t="str">
        <f t="shared" si="82"/>
        <v>South EastProportion (%)</v>
      </c>
      <c r="AE72" s="31" t="b">
        <f>IF(AB72=$AA$6,1)</f>
        <v>0</v>
      </c>
      <c r="AF72" s="34">
        <f t="shared" ref="AF72:BA72" si="102">IF(ISERROR(AF30/$BA30*100),"",AF30/$BA30*100)</f>
        <v>7.1116504854368934</v>
      </c>
      <c r="AG72" s="35">
        <f t="shared" si="102"/>
        <v>0</v>
      </c>
      <c r="AH72" s="35">
        <f t="shared" si="102"/>
        <v>0</v>
      </c>
      <c r="AI72" s="35">
        <f t="shared" si="102"/>
        <v>0</v>
      </c>
      <c r="AJ72" s="35">
        <f t="shared" si="102"/>
        <v>22.011253309796999</v>
      </c>
      <c r="AK72" s="35">
        <f t="shared" si="102"/>
        <v>1.7530891438658429</v>
      </c>
      <c r="AL72" s="35">
        <f t="shared" si="102"/>
        <v>14.032436010591351</v>
      </c>
      <c r="AM72" s="35">
        <f t="shared" si="102"/>
        <v>0</v>
      </c>
      <c r="AN72" s="35">
        <f t="shared" si="102"/>
        <v>0</v>
      </c>
      <c r="AO72" s="35">
        <f t="shared" si="102"/>
        <v>0</v>
      </c>
      <c r="AP72" s="35">
        <f t="shared" si="102"/>
        <v>0</v>
      </c>
      <c r="AQ72" s="35">
        <f t="shared" si="102"/>
        <v>0</v>
      </c>
      <c r="AR72" s="35">
        <f t="shared" si="102"/>
        <v>1.2213150926743159</v>
      </c>
      <c r="AS72" s="35">
        <f t="shared" si="102"/>
        <v>13.180714916151809</v>
      </c>
      <c r="AT72" s="35">
        <f t="shared" si="102"/>
        <v>0</v>
      </c>
      <c r="AU72" s="35">
        <f t="shared" si="102"/>
        <v>0</v>
      </c>
      <c r="AV72" s="35">
        <f t="shared" si="102"/>
        <v>27.629082082965578</v>
      </c>
      <c r="AW72" s="35">
        <f t="shared" si="102"/>
        <v>5.8704766107678736</v>
      </c>
      <c r="AX72" s="35">
        <f t="shared" si="102"/>
        <v>4.4450573698146512</v>
      </c>
      <c r="AY72" s="35">
        <f t="shared" si="102"/>
        <v>1.2897175639894085</v>
      </c>
      <c r="AZ72" s="36">
        <f t="shared" si="102"/>
        <v>1.4552074139452782</v>
      </c>
      <c r="BA72" s="39">
        <f t="shared" si="102"/>
        <v>100</v>
      </c>
    </row>
    <row r="73" spans="1:69" ht="17.25" customHeight="1">
      <c r="A73" s="1103">
        <f>VLOOKUP(B73,ReportData!$AQ$4:$AR$25,2,FALSE)</f>
        <v>0</v>
      </c>
      <c r="B73" s="1114" t="str">
        <f>ReportData!$K$8</f>
        <v>Hampshire</v>
      </c>
      <c r="C73" s="5"/>
      <c r="D73" s="1806"/>
      <c r="E73" s="1807"/>
      <c r="F73" s="1806"/>
      <c r="G73" s="1807"/>
      <c r="H73" s="1806"/>
      <c r="I73" s="1807"/>
      <c r="J73" s="1806"/>
      <c r="K73" s="1807"/>
      <c r="L73" s="1806"/>
      <c r="M73" s="1807"/>
      <c r="N73" s="1806"/>
      <c r="O73" s="1807"/>
      <c r="P73" s="1806"/>
      <c r="Q73" s="1807"/>
      <c r="R73" s="1806"/>
      <c r="S73" s="1807"/>
      <c r="T73" s="1806"/>
      <c r="U73" s="1807"/>
      <c r="V73" s="1806"/>
      <c r="W73" s="1825"/>
      <c r="X73" s="5"/>
      <c r="Y73" s="86"/>
      <c r="Z73" s="102"/>
      <c r="AA73" s="52"/>
      <c r="AB73" s="30" t="str">
        <f t="shared" si="97"/>
        <v>England</v>
      </c>
      <c r="AC73" s="29">
        <v>24</v>
      </c>
      <c r="AD73" s="30" t="str">
        <f>CONCATENATE(AB73,$AB$7)</f>
        <v>EnglandProportion (%)</v>
      </c>
      <c r="AE73" s="31" t="b">
        <f>IF(AB73=$AA$6,1)</f>
        <v>0</v>
      </c>
      <c r="AF73" s="34">
        <f t="shared" ref="AF73:BA73" si="103">IF(ISERROR(AF31/$BA31*100),"",AF31/$BA31*100)</f>
        <v>8.0194899173447389</v>
      </c>
      <c r="AG73" s="35" t="str">
        <f t="shared" si="103"/>
        <v/>
      </c>
      <c r="AH73" s="35" t="str">
        <f t="shared" si="103"/>
        <v/>
      </c>
      <c r="AI73" s="35" t="str">
        <f t="shared" si="103"/>
        <v/>
      </c>
      <c r="AJ73" s="35">
        <f t="shared" si="103"/>
        <v>20.335766892869778</v>
      </c>
      <c r="AK73" s="35">
        <f t="shared" si="103"/>
        <v>1.6611455954716494</v>
      </c>
      <c r="AL73" s="35">
        <f t="shared" si="103"/>
        <v>14.693017721030458</v>
      </c>
      <c r="AM73" s="35" t="str">
        <f t="shared" si="103"/>
        <v/>
      </c>
      <c r="AN73" s="35" t="str">
        <f t="shared" si="103"/>
        <v/>
      </c>
      <c r="AO73" s="35" t="str">
        <f t="shared" si="103"/>
        <v/>
      </c>
      <c r="AP73" s="35" t="str">
        <f t="shared" si="103"/>
        <v/>
      </c>
      <c r="AQ73" s="35" t="str">
        <f t="shared" si="103"/>
        <v/>
      </c>
      <c r="AR73" s="35">
        <f t="shared" si="103"/>
        <v>1.2398289003955874</v>
      </c>
      <c r="AS73" s="35">
        <f t="shared" si="103"/>
        <v>14.147878943813721</v>
      </c>
      <c r="AT73" s="35" t="str">
        <f t="shared" si="103"/>
        <v/>
      </c>
      <c r="AU73" s="35" t="str">
        <f t="shared" si="103"/>
        <v/>
      </c>
      <c r="AV73" s="35">
        <f t="shared" si="103"/>
        <v>28.496767761232434</v>
      </c>
      <c r="AW73" s="35">
        <f t="shared" si="103"/>
        <v>4.4366899302093721</v>
      </c>
      <c r="AX73" s="35">
        <f t="shared" si="103"/>
        <v>4.2003023188499018</v>
      </c>
      <c r="AY73" s="35">
        <f t="shared" si="103"/>
        <v>1.6129032258064515</v>
      </c>
      <c r="AZ73" s="36">
        <f t="shared" si="103"/>
        <v>1.1562087929759111</v>
      </c>
      <c r="BA73" s="39">
        <f t="shared" si="103"/>
        <v>100</v>
      </c>
    </row>
    <row r="74" spans="1:69" ht="17.25" customHeight="1">
      <c r="A74" s="1103">
        <f>VLOOKUP(B74,ReportData!$AQ$4:$AR$25,2,FALSE)</f>
        <v>0</v>
      </c>
      <c r="B74" s="1114" t="str">
        <f>ReportData!$K$9</f>
        <v>Isle of Wight</v>
      </c>
      <c r="C74" s="5"/>
      <c r="D74" s="1806"/>
      <c r="E74" s="1806"/>
      <c r="F74" s="1806"/>
      <c r="G74" s="1806"/>
      <c r="H74" s="1806"/>
      <c r="I74" s="1806"/>
      <c r="J74" s="1806"/>
      <c r="K74" s="1806"/>
      <c r="L74" s="1806"/>
      <c r="M74" s="1806"/>
      <c r="N74" s="1806"/>
      <c r="O74" s="1806"/>
      <c r="P74" s="1806"/>
      <c r="Q74" s="1806"/>
      <c r="R74" s="1806"/>
      <c r="S74" s="1806"/>
      <c r="T74" s="1806"/>
      <c r="U74" s="1806"/>
      <c r="V74" s="1806"/>
      <c r="W74" s="1824"/>
      <c r="X74" s="5"/>
      <c r="Y74" s="86"/>
      <c r="Z74" s="102"/>
      <c r="AA74" s="52"/>
      <c r="AB74" s="1135"/>
      <c r="AC74" s="392"/>
      <c r="AD74" s="393"/>
      <c r="AE74" s="394"/>
      <c r="AF74" s="395"/>
      <c r="AG74" s="395"/>
      <c r="AH74" s="395"/>
      <c r="AI74" s="395"/>
      <c r="AJ74" s="395"/>
      <c r="AK74" s="395"/>
      <c r="AL74" s="395"/>
      <c r="AM74" s="395"/>
      <c r="AN74" s="395"/>
      <c r="AO74" s="395"/>
      <c r="AP74" s="395"/>
      <c r="AQ74" s="395"/>
      <c r="AR74" s="395"/>
      <c r="AS74" s="395"/>
      <c r="AT74" s="395"/>
      <c r="AU74" s="395"/>
      <c r="AV74" s="395"/>
      <c r="AW74" s="395"/>
      <c r="AX74" s="395"/>
      <c r="AY74" s="395"/>
      <c r="AZ74" s="395"/>
      <c r="BA74" s="392"/>
    </row>
    <row r="75" spans="1:69" ht="17.25" customHeight="1">
      <c r="A75" s="1103">
        <f>VLOOKUP(B75,ReportData!$AQ$4:$AR$25,2,FALSE)</f>
        <v>0</v>
      </c>
      <c r="B75" s="1114" t="str">
        <f>ReportData!$K$10</f>
        <v>Kent</v>
      </c>
      <c r="C75" s="5"/>
      <c r="D75" s="1806"/>
      <c r="E75" s="1807"/>
      <c r="F75" s="1806"/>
      <c r="G75" s="1807"/>
      <c r="H75" s="1806"/>
      <c r="I75" s="1807"/>
      <c r="J75" s="1806"/>
      <c r="K75" s="1807"/>
      <c r="L75" s="1806"/>
      <c r="M75" s="1807"/>
      <c r="N75" s="1806"/>
      <c r="O75" s="1807"/>
      <c r="P75" s="1806"/>
      <c r="Q75" s="1807"/>
      <c r="R75" s="1806"/>
      <c r="S75" s="1807"/>
      <c r="T75" s="1806"/>
      <c r="U75" s="1807"/>
      <c r="V75" s="1806"/>
      <c r="W75" s="1825"/>
      <c r="X75" s="5"/>
      <c r="Y75" s="86"/>
      <c r="Z75" s="102"/>
      <c r="AA75" s="52"/>
      <c r="AB75" s="1822" t="s">
        <v>90</v>
      </c>
      <c r="AC75" s="748">
        <v>0.5</v>
      </c>
      <c r="AD75" s="1136">
        <f>IF(AB8="Number",NA(),D59)</f>
        <v>7.1116504854368934</v>
      </c>
    </row>
    <row r="76" spans="1:69" ht="17.25" customHeight="1">
      <c r="A76" s="1103">
        <f>VLOOKUP(B76,ReportData!$AQ$4:$AR$25,2,FALSE)</f>
        <v>0</v>
      </c>
      <c r="B76" s="1114" t="str">
        <f>ReportData!$K$11</f>
        <v>Medway</v>
      </c>
      <c r="C76" s="5"/>
      <c r="D76" s="1806"/>
      <c r="E76" s="1806"/>
      <c r="F76" s="1806"/>
      <c r="G76" s="1806"/>
      <c r="H76" s="1806"/>
      <c r="I76" s="1806"/>
      <c r="J76" s="1806"/>
      <c r="K76" s="1806"/>
      <c r="L76" s="1806"/>
      <c r="M76" s="1806"/>
      <c r="N76" s="1806"/>
      <c r="O76" s="1806"/>
      <c r="P76" s="1806"/>
      <c r="Q76" s="1806"/>
      <c r="R76" s="1806"/>
      <c r="S76" s="1806"/>
      <c r="T76" s="1806"/>
      <c r="U76" s="1806"/>
      <c r="V76" s="1806"/>
      <c r="W76" s="1824"/>
      <c r="X76" s="5"/>
      <c r="Y76" s="86"/>
      <c r="Z76" s="102"/>
      <c r="AA76" s="52"/>
      <c r="AB76" s="1823"/>
      <c r="AC76" s="748">
        <v>23.5</v>
      </c>
      <c r="AD76" s="1137">
        <f>AD75</f>
        <v>7.1116504854368934</v>
      </c>
    </row>
    <row r="77" spans="1:69" ht="17.25" customHeight="1">
      <c r="A77" s="1103">
        <f>VLOOKUP(B77,ReportData!$AQ$4:$AR$25,2,FALSE)</f>
        <v>0</v>
      </c>
      <c r="B77" s="1114" t="str">
        <f>ReportData!$K$12</f>
        <v>Milton Keynes</v>
      </c>
      <c r="C77" s="5"/>
      <c r="D77" s="1806"/>
      <c r="E77" s="1807"/>
      <c r="F77" s="1806"/>
      <c r="G77" s="1807"/>
      <c r="H77" s="1806"/>
      <c r="I77" s="1807"/>
      <c r="J77" s="1806"/>
      <c r="K77" s="1807"/>
      <c r="L77" s="1806"/>
      <c r="M77" s="1807"/>
      <c r="N77" s="1806"/>
      <c r="O77" s="1807"/>
      <c r="P77" s="1806"/>
      <c r="Q77" s="1807"/>
      <c r="R77" s="1806"/>
      <c r="S77" s="1807"/>
      <c r="T77" s="1806"/>
      <c r="U77" s="1807"/>
      <c r="V77" s="1806"/>
      <c r="W77" s="1825"/>
      <c r="X77" s="5"/>
      <c r="Y77" s="86"/>
      <c r="Z77" s="102"/>
      <c r="AA77" s="52"/>
      <c r="AB77" s="1822" t="s">
        <v>35</v>
      </c>
      <c r="AC77" s="748">
        <v>0.5</v>
      </c>
      <c r="AD77" s="1136">
        <f>IF($AB$8="Number",NA(),F59)</f>
        <v>23.764342453662842</v>
      </c>
      <c r="AH77" s="52"/>
      <c r="AI77" s="52"/>
      <c r="AJ77" s="52"/>
      <c r="AK77" s="52"/>
      <c r="AL77" s="52"/>
    </row>
    <row r="78" spans="1:69" ht="17.25" customHeight="1">
      <c r="A78" s="1103">
        <f>VLOOKUP(B78,ReportData!$AQ$4:$AR$25,2,FALSE)</f>
        <v>0</v>
      </c>
      <c r="B78" s="1114" t="str">
        <f>ReportData!$K$13</f>
        <v>Oxfordshire</v>
      </c>
      <c r="C78" s="5"/>
      <c r="D78" s="1806"/>
      <c r="E78" s="1807"/>
      <c r="F78" s="1806"/>
      <c r="G78" s="1807"/>
      <c r="H78" s="1806"/>
      <c r="I78" s="1807"/>
      <c r="J78" s="1806"/>
      <c r="K78" s="1807"/>
      <c r="L78" s="1806"/>
      <c r="M78" s="1807"/>
      <c r="N78" s="1806"/>
      <c r="O78" s="1807"/>
      <c r="P78" s="1806"/>
      <c r="Q78" s="1806"/>
      <c r="R78" s="1806"/>
      <c r="S78" s="1806"/>
      <c r="T78" s="1806"/>
      <c r="U78" s="1806"/>
      <c r="V78" s="1806"/>
      <c r="W78" s="1824"/>
      <c r="X78" s="5"/>
      <c r="Y78" s="86"/>
      <c r="Z78" s="102"/>
      <c r="AA78" s="52"/>
      <c r="AB78" s="1823"/>
      <c r="AC78" s="748">
        <f>$AC$76</f>
        <v>23.5</v>
      </c>
      <c r="AD78" s="1137">
        <f>AD77</f>
        <v>23.764342453662842</v>
      </c>
      <c r="AE78" s="146"/>
      <c r="AF78" s="147"/>
      <c r="AG78" s="147"/>
    </row>
    <row r="79" spans="1:69" ht="17.25" customHeight="1">
      <c r="A79" s="1103">
        <f>VLOOKUP(B79,ReportData!$AQ$4:$AR$25,2,FALSE)</f>
        <v>0</v>
      </c>
      <c r="B79" s="1114" t="str">
        <f>ReportData!$K$14</f>
        <v>Portsmouth</v>
      </c>
      <c r="C79" s="5"/>
      <c r="D79" s="1806"/>
      <c r="E79" s="1807"/>
      <c r="F79" s="1806"/>
      <c r="G79" s="1807"/>
      <c r="H79" s="1806"/>
      <c r="I79" s="1807"/>
      <c r="J79" s="1806"/>
      <c r="K79" s="1807"/>
      <c r="L79" s="1806"/>
      <c r="M79" s="1807"/>
      <c r="N79" s="1806"/>
      <c r="O79" s="1807"/>
      <c r="P79" s="1806"/>
      <c r="Q79" s="1807"/>
      <c r="R79" s="1806"/>
      <c r="S79" s="1807"/>
      <c r="T79" s="1806"/>
      <c r="U79" s="1807"/>
      <c r="V79" s="1806"/>
      <c r="W79" s="1825"/>
      <c r="X79" s="5"/>
      <c r="Y79" s="86"/>
      <c r="Z79" s="102"/>
      <c r="AA79" s="52"/>
      <c r="AB79" s="1822" t="s">
        <v>98</v>
      </c>
      <c r="AC79" s="748">
        <v>0.5</v>
      </c>
      <c r="AD79" s="1136">
        <f>IF($AB$8="Number",NA(),H$59)</f>
        <v>14.032436010591351</v>
      </c>
      <c r="AH79" s="52"/>
      <c r="AI79" s="52"/>
      <c r="AJ79" s="52"/>
      <c r="AK79" s="52"/>
      <c r="AL79" s="52"/>
      <c r="AR79" s="61"/>
      <c r="AS79" s="61"/>
      <c r="AT79" s="61"/>
      <c r="AU79" s="61"/>
      <c r="AV79" s="61"/>
      <c r="AW79" s="61"/>
      <c r="AX79" s="61"/>
      <c r="AY79" s="61"/>
      <c r="AZ79" s="61"/>
      <c r="BA79" s="61"/>
    </row>
    <row r="80" spans="1:69" ht="17.25" customHeight="1">
      <c r="A80" s="1103">
        <f>VLOOKUP(B80,ReportData!$AQ$4:$AR$25,2,FALSE)</f>
        <v>0</v>
      </c>
      <c r="B80" s="1114" t="str">
        <f>ReportData!$K$15</f>
        <v>Reading</v>
      </c>
      <c r="C80" s="5"/>
      <c r="D80" s="1806"/>
      <c r="E80" s="1806"/>
      <c r="F80" s="1806"/>
      <c r="G80" s="1806"/>
      <c r="H80" s="1806"/>
      <c r="I80" s="1806"/>
      <c r="J80" s="1806"/>
      <c r="K80" s="1806"/>
      <c r="L80" s="1806"/>
      <c r="M80" s="1806"/>
      <c r="N80" s="1806"/>
      <c r="O80" s="1806"/>
      <c r="P80" s="1806"/>
      <c r="Q80" s="1806"/>
      <c r="R80" s="1806"/>
      <c r="S80" s="1806"/>
      <c r="T80" s="1806"/>
      <c r="U80" s="1806"/>
      <c r="V80" s="1806"/>
      <c r="W80" s="1824"/>
      <c r="X80" s="5"/>
      <c r="Y80" s="86"/>
      <c r="Z80" s="102"/>
      <c r="AA80" s="52"/>
      <c r="AB80" s="1823"/>
      <c r="AC80" s="748">
        <f>$AC$76</f>
        <v>23.5</v>
      </c>
      <c r="AD80" s="1137">
        <f>AD79</f>
        <v>14.032436010591351</v>
      </c>
      <c r="AE80" s="146"/>
      <c r="AF80" s="147"/>
      <c r="AG80" s="147"/>
      <c r="AR80" s="61"/>
      <c r="AS80" s="61"/>
      <c r="AT80" s="61"/>
      <c r="AU80" s="61"/>
      <c r="AV80" s="61"/>
      <c r="AW80" s="61"/>
      <c r="AX80" s="61"/>
      <c r="AY80" s="61"/>
      <c r="AZ80" s="61"/>
      <c r="BA80" s="61"/>
    </row>
    <row r="81" spans="1:69" ht="17.25" customHeight="1">
      <c r="A81" s="1103">
        <f>VLOOKUP(B81,ReportData!$AQ$4:$AR$25,2,FALSE)</f>
        <v>0</v>
      </c>
      <c r="B81" s="1114" t="str">
        <f>ReportData!$K$16</f>
        <v>Slough</v>
      </c>
      <c r="C81" s="5"/>
      <c r="D81" s="1806"/>
      <c r="E81" s="1807"/>
      <c r="F81" s="1806"/>
      <c r="G81" s="1807"/>
      <c r="H81" s="1806"/>
      <c r="I81" s="1807"/>
      <c r="J81" s="1806"/>
      <c r="K81" s="1807"/>
      <c r="L81" s="1806"/>
      <c r="M81" s="1807"/>
      <c r="N81" s="1806"/>
      <c r="O81" s="1807"/>
      <c r="P81" s="1806"/>
      <c r="Q81" s="1807"/>
      <c r="R81" s="1806"/>
      <c r="S81" s="1807"/>
      <c r="T81" s="1806"/>
      <c r="U81" s="1807"/>
      <c r="V81" s="1806"/>
      <c r="W81" s="1825"/>
      <c r="X81" s="5"/>
      <c r="Y81" s="86"/>
      <c r="Z81" s="102"/>
      <c r="AA81" s="52"/>
      <c r="AB81" s="1822" t="s">
        <v>43</v>
      </c>
      <c r="AC81" s="748">
        <v>0.5</v>
      </c>
      <c r="AD81" s="1136">
        <f>IF($AB$8="Number",NA(),J$59)</f>
        <v>1.2213150926743159</v>
      </c>
      <c r="AH81" s="52"/>
      <c r="AI81" s="52"/>
      <c r="AJ81" s="52"/>
      <c r="AK81" s="52"/>
      <c r="AL81" s="52"/>
      <c r="AR81" s="61"/>
      <c r="AS81" s="61"/>
      <c r="AT81" s="61"/>
      <c r="AU81" s="61"/>
      <c r="AV81" s="61"/>
      <c r="AW81" s="61"/>
      <c r="AX81" s="61"/>
      <c r="AY81" s="61"/>
      <c r="AZ81" s="61"/>
      <c r="BA81" s="61"/>
    </row>
    <row r="82" spans="1:69" ht="17.25" customHeight="1">
      <c r="A82" s="1103">
        <f>VLOOKUP(B82,ReportData!$AQ$4:$AR$25,2,FALSE)</f>
        <v>0</v>
      </c>
      <c r="B82" s="1114" t="str">
        <f>ReportData!$K$17</f>
        <v>Southampton</v>
      </c>
      <c r="C82" s="5"/>
      <c r="D82" s="1806"/>
      <c r="E82" s="1807"/>
      <c r="F82" s="1806"/>
      <c r="G82" s="1807"/>
      <c r="H82" s="1806"/>
      <c r="I82" s="1807"/>
      <c r="J82" s="1806"/>
      <c r="K82" s="1807"/>
      <c r="L82" s="1806"/>
      <c r="M82" s="1807"/>
      <c r="N82" s="1806"/>
      <c r="O82" s="1807"/>
      <c r="P82" s="1806"/>
      <c r="Q82" s="1807"/>
      <c r="R82" s="1806"/>
      <c r="S82" s="1807"/>
      <c r="T82" s="1806"/>
      <c r="U82" s="1807"/>
      <c r="V82" s="1806"/>
      <c r="W82" s="1825"/>
      <c r="X82" s="5"/>
      <c r="Y82" s="86"/>
      <c r="Z82" s="102"/>
      <c r="AA82" s="52"/>
      <c r="AB82" s="1823"/>
      <c r="AC82" s="748">
        <f>$AC$76</f>
        <v>23.5</v>
      </c>
      <c r="AD82" s="1137">
        <f>AD81</f>
        <v>1.2213150926743159</v>
      </c>
      <c r="AE82" s="146"/>
      <c r="AF82" s="147"/>
      <c r="AG82" s="147"/>
      <c r="AR82" s="61"/>
      <c r="AS82" s="61"/>
      <c r="AT82" s="61"/>
      <c r="AU82" s="61"/>
      <c r="AV82" s="61"/>
      <c r="AW82" s="61"/>
      <c r="AX82" s="61"/>
      <c r="AY82" s="61"/>
      <c r="AZ82" s="61"/>
      <c r="BA82" s="61"/>
    </row>
    <row r="83" spans="1:69" ht="17.25" customHeight="1">
      <c r="A83" s="1103">
        <f>VLOOKUP(B83,ReportData!$AQ$4:$AR$25,2,FALSE)</f>
        <v>0</v>
      </c>
      <c r="B83" s="1114" t="str">
        <f>ReportData!$K$18</f>
        <v>Surrey</v>
      </c>
      <c r="C83" s="5"/>
      <c r="D83" s="1806"/>
      <c r="E83" s="1807"/>
      <c r="F83" s="1806"/>
      <c r="G83" s="1807"/>
      <c r="H83" s="1806"/>
      <c r="I83" s="1807"/>
      <c r="J83" s="1806"/>
      <c r="K83" s="1807"/>
      <c r="L83" s="1806"/>
      <c r="M83" s="1807"/>
      <c r="N83" s="1806"/>
      <c r="O83" s="1807"/>
      <c r="P83" s="1806"/>
      <c r="Q83" s="1807"/>
      <c r="R83" s="1806"/>
      <c r="S83" s="1807"/>
      <c r="T83" s="1806"/>
      <c r="U83" s="1807"/>
      <c r="V83" s="1806"/>
      <c r="W83" s="1825"/>
      <c r="X83" s="5"/>
      <c r="Y83" s="86"/>
      <c r="Z83" s="102"/>
      <c r="AA83" s="52"/>
      <c r="AB83" s="1822" t="s">
        <v>99</v>
      </c>
      <c r="AC83" s="748">
        <v>0.5</v>
      </c>
      <c r="AD83" s="1136">
        <f>IF($AB$8="Number",NA(),L$59)</f>
        <v>13.180714916151809</v>
      </c>
      <c r="AH83" s="52"/>
      <c r="AI83" s="52"/>
      <c r="AJ83" s="52"/>
      <c r="AK83" s="52"/>
      <c r="AL83" s="52"/>
      <c r="AR83" s="61"/>
      <c r="AS83" s="61"/>
      <c r="AT83" s="61"/>
      <c r="AU83" s="61"/>
      <c r="AV83" s="61"/>
      <c r="AW83" s="61"/>
      <c r="AX83" s="61"/>
      <c r="AY83" s="61"/>
      <c r="AZ83" s="61"/>
      <c r="BA83" s="61"/>
      <c r="BD83" s="56"/>
      <c r="BE83" s="56"/>
      <c r="BF83" s="56"/>
      <c r="BG83" s="56"/>
      <c r="BH83" s="56"/>
    </row>
    <row r="84" spans="1:69" ht="17.25" customHeight="1">
      <c r="A84" s="1103">
        <f>VLOOKUP(B84,ReportData!$AQ$4:$AR$25,2,FALSE)</f>
        <v>0</v>
      </c>
      <c r="B84" s="1114" t="str">
        <f>ReportData!$K$19</f>
        <v>West Berkshire</v>
      </c>
      <c r="C84" s="5"/>
      <c r="D84" s="1806"/>
      <c r="E84" s="1807"/>
      <c r="F84" s="1806"/>
      <c r="G84" s="1807"/>
      <c r="H84" s="1806"/>
      <c r="I84" s="1807"/>
      <c r="J84" s="1806"/>
      <c r="K84" s="1807"/>
      <c r="L84" s="1806"/>
      <c r="M84" s="1807"/>
      <c r="N84" s="1806"/>
      <c r="O84" s="1807"/>
      <c r="P84" s="1806"/>
      <c r="Q84" s="1807"/>
      <c r="R84" s="1806"/>
      <c r="S84" s="1807"/>
      <c r="T84" s="1806"/>
      <c r="U84" s="1807"/>
      <c r="V84" s="1806"/>
      <c r="W84" s="1825"/>
      <c r="X84" s="5"/>
      <c r="Y84" s="86"/>
      <c r="Z84" s="102"/>
      <c r="AA84" s="56"/>
      <c r="AB84" s="1823"/>
      <c r="AC84" s="748">
        <f>$AC$76</f>
        <v>23.5</v>
      </c>
      <c r="AD84" s="1137">
        <f>AD83</f>
        <v>13.180714916151809</v>
      </c>
      <c r="AE84" s="146"/>
      <c r="AF84" s="147"/>
      <c r="AG84" s="147"/>
      <c r="AR84" s="61"/>
      <c r="AS84" s="61"/>
      <c r="AT84" s="61"/>
      <c r="AU84" s="61"/>
      <c r="AV84" s="61"/>
      <c r="AW84" s="61"/>
      <c r="AX84" s="61"/>
      <c r="AY84" s="61"/>
      <c r="AZ84" s="61"/>
      <c r="BA84" s="61"/>
      <c r="BC84" s="56"/>
      <c r="BD84" s="56"/>
      <c r="BE84" s="56"/>
      <c r="BF84" s="56"/>
      <c r="BG84" s="56"/>
      <c r="BH84" s="56"/>
      <c r="BI84" s="56"/>
      <c r="BJ84" s="56"/>
      <c r="BK84" s="56"/>
      <c r="BL84" s="56"/>
      <c r="BM84" s="56"/>
      <c r="BN84" s="56"/>
      <c r="BO84" s="56"/>
      <c r="BP84" s="56"/>
      <c r="BQ84" s="56"/>
    </row>
    <row r="85" spans="1:69" s="56" customFormat="1" ht="17.25" customHeight="1">
      <c r="A85" s="1103">
        <f>VLOOKUP(B85,ReportData!$AQ$4:$AR$25,2,FALSE)</f>
        <v>0</v>
      </c>
      <c r="B85" s="1114" t="str">
        <f>ReportData!$K$20</f>
        <v>West Sussex</v>
      </c>
      <c r="C85" s="5"/>
      <c r="D85" s="1806"/>
      <c r="E85" s="1807"/>
      <c r="F85" s="1806"/>
      <c r="G85" s="1807"/>
      <c r="H85" s="1806"/>
      <c r="I85" s="1807"/>
      <c r="J85" s="1806"/>
      <c r="K85" s="1807"/>
      <c r="L85" s="1806"/>
      <c r="M85" s="1807"/>
      <c r="N85" s="1806"/>
      <c r="O85" s="1807"/>
      <c r="P85" s="1806"/>
      <c r="Q85" s="1807"/>
      <c r="R85" s="1806"/>
      <c r="S85" s="1807"/>
      <c r="T85" s="1806"/>
      <c r="U85" s="1807"/>
      <c r="V85" s="1806"/>
      <c r="W85" s="1825"/>
      <c r="X85" s="5"/>
      <c r="Y85" s="86"/>
      <c r="Z85" s="102"/>
      <c r="AB85" s="1822" t="s">
        <v>23</v>
      </c>
      <c r="AC85" s="748">
        <v>0.5</v>
      </c>
      <c r="AD85" s="1136">
        <f>IF($AB$8="Number",NA(),N$59)</f>
        <v>27.629082082965578</v>
      </c>
      <c r="AH85" s="52"/>
      <c r="AI85" s="52"/>
      <c r="AJ85" s="52"/>
      <c r="AK85" s="52"/>
      <c r="AL85" s="52"/>
      <c r="AM85" s="52"/>
      <c r="AN85" s="52"/>
      <c r="AO85" s="52"/>
      <c r="AP85" s="52"/>
      <c r="AQ85" s="52"/>
      <c r="AR85" s="61"/>
      <c r="AS85" s="61"/>
      <c r="AT85" s="61"/>
      <c r="AU85" s="61"/>
      <c r="AV85" s="61"/>
      <c r="AW85" s="61"/>
      <c r="AX85" s="61"/>
      <c r="AY85" s="61"/>
      <c r="AZ85" s="61"/>
      <c r="BA85" s="61"/>
      <c r="BB85" s="52"/>
    </row>
    <row r="86" spans="1:69" s="56" customFormat="1" ht="17.25" customHeight="1">
      <c r="A86" s="1103">
        <f>VLOOKUP(B86,ReportData!$AQ$4:$AR$25,2,FALSE)</f>
        <v>0</v>
      </c>
      <c r="B86" s="1114" t="str">
        <f>ReportData!$K$21</f>
        <v>Windsor &amp; Maidenhead</v>
      </c>
      <c r="C86" s="5"/>
      <c r="D86" s="1806"/>
      <c r="E86" s="1807"/>
      <c r="F86" s="1806"/>
      <c r="G86" s="1807"/>
      <c r="H86" s="1806"/>
      <c r="I86" s="1807"/>
      <c r="J86" s="1806"/>
      <c r="K86" s="1807"/>
      <c r="L86" s="1806"/>
      <c r="M86" s="1807"/>
      <c r="N86" s="1806"/>
      <c r="O86" s="1807"/>
      <c r="P86" s="1806"/>
      <c r="Q86" s="1807"/>
      <c r="R86" s="1806"/>
      <c r="S86" s="1807"/>
      <c r="T86" s="1806"/>
      <c r="U86" s="1807"/>
      <c r="V86" s="1806"/>
      <c r="W86" s="1825"/>
      <c r="X86" s="5"/>
      <c r="Y86" s="86"/>
      <c r="Z86" s="102"/>
      <c r="AB86" s="1822"/>
      <c r="AC86" s="748">
        <f>$AC$76</f>
        <v>23.5</v>
      </c>
      <c r="AD86" s="1137">
        <f>AD85</f>
        <v>27.629082082965578</v>
      </c>
      <c r="AH86" s="52"/>
      <c r="AI86" s="52"/>
      <c r="AJ86" s="52"/>
      <c r="AK86" s="52"/>
      <c r="AL86" s="52"/>
      <c r="AM86" s="52"/>
      <c r="AN86" s="52"/>
      <c r="AO86" s="52"/>
      <c r="AP86" s="52"/>
      <c r="AQ86" s="52"/>
      <c r="AR86" s="61"/>
      <c r="AS86" s="61"/>
      <c r="AT86" s="61"/>
      <c r="AU86" s="61"/>
      <c r="AV86" s="61"/>
      <c r="AW86" s="61"/>
      <c r="AX86" s="61"/>
      <c r="AY86" s="61"/>
      <c r="AZ86" s="61"/>
      <c r="BA86" s="61"/>
    </row>
    <row r="87" spans="1:69" s="56" customFormat="1" ht="17.25" customHeight="1">
      <c r="A87" s="1115">
        <f>VLOOKUP(B87,ReportData!$AQ$4:$AR$25,2,FALSE)</f>
        <v>0</v>
      </c>
      <c r="B87" s="1114" t="str">
        <f>ReportData!$K$22</f>
        <v>Wokingham</v>
      </c>
      <c r="C87" s="5"/>
      <c r="D87" s="1806"/>
      <c r="E87" s="1807"/>
      <c r="F87" s="1806"/>
      <c r="G87" s="1807"/>
      <c r="H87" s="1806"/>
      <c r="I87" s="1807"/>
      <c r="J87" s="1806"/>
      <c r="K87" s="1807"/>
      <c r="L87" s="1806"/>
      <c r="M87" s="1807"/>
      <c r="N87" s="1806"/>
      <c r="O87" s="1807"/>
      <c r="P87" s="1806"/>
      <c r="Q87" s="1807"/>
      <c r="R87" s="1806"/>
      <c r="S87" s="1807"/>
      <c r="T87" s="1806"/>
      <c r="U87" s="1807"/>
      <c r="V87" s="1806"/>
      <c r="W87" s="1825"/>
      <c r="X87" s="5"/>
      <c r="Y87" s="86"/>
      <c r="Z87" s="102"/>
      <c r="AB87" s="1822" t="s">
        <v>64</v>
      </c>
      <c r="AC87" s="748">
        <v>0.5</v>
      </c>
      <c r="AD87" s="1136">
        <f>IF($AB$8="Number",NA(),P$59)</f>
        <v>5.8704766107678736</v>
      </c>
      <c r="AH87" s="52"/>
      <c r="AI87" s="52"/>
      <c r="AJ87" s="52"/>
      <c r="AK87" s="52"/>
      <c r="AL87" s="52"/>
      <c r="AM87" s="52"/>
      <c r="AN87" s="52"/>
      <c r="AO87" s="52"/>
      <c r="AP87" s="52"/>
      <c r="AQ87" s="52"/>
      <c r="AR87" s="61"/>
      <c r="AS87" s="61"/>
      <c r="AT87" s="61"/>
      <c r="AU87" s="61"/>
      <c r="AV87" s="61"/>
      <c r="AW87" s="61"/>
      <c r="AX87" s="61"/>
      <c r="AY87" s="61"/>
      <c r="AZ87" s="61"/>
      <c r="BA87" s="61"/>
    </row>
    <row r="88" spans="1:69" s="56" customFormat="1" ht="17.25" customHeight="1">
      <c r="A88" s="1116"/>
      <c r="B88" s="1114" t="str">
        <f>ReportData!$K$23</f>
        <v>South East</v>
      </c>
      <c r="C88" s="5"/>
      <c r="D88" s="1806"/>
      <c r="E88" s="1806"/>
      <c r="F88" s="1806"/>
      <c r="G88" s="1806"/>
      <c r="H88" s="1806"/>
      <c r="I88" s="1806"/>
      <c r="J88" s="1806"/>
      <c r="K88" s="1806"/>
      <c r="L88" s="1806"/>
      <c r="M88" s="1806"/>
      <c r="N88" s="1806"/>
      <c r="O88" s="1806"/>
      <c r="P88" s="1806"/>
      <c r="Q88" s="1806"/>
      <c r="R88" s="1806"/>
      <c r="S88" s="1806"/>
      <c r="T88" s="1806"/>
      <c r="U88" s="1806"/>
      <c r="V88" s="1806"/>
      <c r="W88" s="1824"/>
      <c r="X88" s="5"/>
      <c r="Y88" s="86"/>
      <c r="Z88" s="102"/>
      <c r="AB88" s="1823"/>
      <c r="AC88" s="748">
        <f>$AC$76</f>
        <v>23.5</v>
      </c>
      <c r="AD88" s="1137">
        <f>AD87</f>
        <v>5.8704766107678736</v>
      </c>
      <c r="AE88" s="146"/>
      <c r="AF88" s="147"/>
      <c r="AG88" s="147"/>
      <c r="AM88" s="52"/>
      <c r="AN88" s="52"/>
      <c r="AO88" s="52"/>
      <c r="AP88" s="52"/>
      <c r="AQ88" s="52"/>
      <c r="AR88" s="61"/>
      <c r="AS88" s="61"/>
      <c r="AT88" s="61"/>
      <c r="AU88" s="61"/>
      <c r="AV88" s="61"/>
      <c r="AW88" s="61"/>
      <c r="AX88" s="61"/>
      <c r="AY88" s="61"/>
      <c r="AZ88" s="61"/>
      <c r="BA88" s="61"/>
    </row>
    <row r="89" spans="1:69" s="56" customFormat="1" ht="17.25" customHeight="1">
      <c r="A89" s="1131"/>
      <c r="B89" s="1114" t="str">
        <f>ReportData!$K$24</f>
        <v>England</v>
      </c>
      <c r="C89" s="5"/>
      <c r="D89" s="1860"/>
      <c r="E89" s="1860"/>
      <c r="F89" s="1860"/>
      <c r="G89" s="1860"/>
      <c r="H89" s="1860"/>
      <c r="I89" s="1860"/>
      <c r="J89" s="1860"/>
      <c r="K89" s="1860"/>
      <c r="L89" s="1860"/>
      <c r="M89" s="1860"/>
      <c r="N89" s="1860"/>
      <c r="O89" s="1860"/>
      <c r="P89" s="1860"/>
      <c r="Q89" s="1860"/>
      <c r="R89" s="1860"/>
      <c r="S89" s="1860"/>
      <c r="T89" s="1860"/>
      <c r="U89" s="1860"/>
      <c r="V89" s="1860"/>
      <c r="W89" s="1861"/>
      <c r="X89" s="5"/>
      <c r="Y89" s="86"/>
      <c r="Z89" s="102"/>
      <c r="AB89" s="1822" t="s">
        <v>63</v>
      </c>
      <c r="AC89" s="748">
        <v>0.5</v>
      </c>
      <c r="AD89" s="1136">
        <f>IF($AB$8="Number",NA(),R$59)</f>
        <v>4.4450573698146512</v>
      </c>
      <c r="AH89" s="52"/>
      <c r="AI89" s="52"/>
      <c r="AJ89" s="52"/>
      <c r="AK89" s="52"/>
      <c r="AL89" s="52"/>
      <c r="AM89" s="52"/>
      <c r="AN89" s="52"/>
      <c r="AO89" s="52"/>
      <c r="AP89" s="52"/>
      <c r="AQ89" s="52"/>
      <c r="AR89" s="61"/>
      <c r="AS89" s="61"/>
      <c r="AT89" s="61"/>
      <c r="AU89" s="61"/>
      <c r="AV89" s="61" t="s">
        <v>95</v>
      </c>
      <c r="AW89" s="61"/>
      <c r="AX89" s="61"/>
      <c r="AY89" s="61"/>
      <c r="AZ89" s="61"/>
      <c r="BA89" s="61"/>
    </row>
    <row r="90" spans="1:69" s="56" customFormat="1" ht="41.25" customHeight="1">
      <c r="A90" s="217"/>
      <c r="B90" s="120"/>
      <c r="C90" s="120"/>
      <c r="D90" s="120"/>
      <c r="E90" s="120"/>
      <c r="F90" s="120"/>
      <c r="G90" s="120"/>
      <c r="H90" s="120"/>
      <c r="I90" s="120"/>
      <c r="J90" s="120"/>
      <c r="K90" s="120"/>
      <c r="L90" s="120"/>
      <c r="M90" s="120"/>
      <c r="N90" s="120"/>
      <c r="O90" s="120"/>
      <c r="P90" s="120"/>
      <c r="Q90" s="120"/>
      <c r="R90" s="120"/>
      <c r="S90" s="120"/>
      <c r="T90" s="120"/>
      <c r="U90" s="120"/>
      <c r="V90" s="120"/>
      <c r="W90" s="120"/>
      <c r="X90" s="59"/>
      <c r="Y90" s="86"/>
      <c r="Z90" s="121"/>
      <c r="AB90" s="1823"/>
      <c r="AC90" s="748">
        <f>$AC$76</f>
        <v>23.5</v>
      </c>
      <c r="AD90" s="1137">
        <f>AD89</f>
        <v>4.4450573698146512</v>
      </c>
      <c r="AE90" s="146"/>
      <c r="AF90" s="147"/>
      <c r="AG90" s="147"/>
      <c r="AM90" s="52"/>
      <c r="AN90" s="52"/>
      <c r="AO90" s="52"/>
      <c r="AP90" s="52"/>
      <c r="AQ90" s="52"/>
      <c r="AR90" s="61"/>
      <c r="AS90" s="61"/>
      <c r="AT90" s="61"/>
      <c r="AU90" s="61"/>
      <c r="AV90" s="61"/>
      <c r="AW90" s="61"/>
      <c r="AX90" s="61"/>
      <c r="AY90" s="61"/>
      <c r="AZ90" s="61"/>
      <c r="BA90" s="61"/>
    </row>
    <row r="91" spans="1:69" s="56" customFormat="1" ht="15" customHeight="1">
      <c r="A91" s="217"/>
      <c r="B91" s="90"/>
      <c r="C91" s="5"/>
      <c r="D91" s="1133"/>
      <c r="E91" s="1133"/>
      <c r="F91" s="1133"/>
      <c r="G91" s="1133"/>
      <c r="H91" s="1133"/>
      <c r="I91" s="1133"/>
      <c r="J91" s="1133"/>
      <c r="K91" s="1133"/>
      <c r="L91" s="1133"/>
      <c r="M91" s="1133"/>
      <c r="N91" s="1133"/>
      <c r="O91" s="1133"/>
      <c r="P91" s="1133"/>
      <c r="Q91" s="1133"/>
      <c r="R91" s="1133"/>
      <c r="S91" s="1133"/>
      <c r="T91" s="1133"/>
      <c r="U91" s="1133"/>
      <c r="V91" s="1133"/>
      <c r="W91" s="1133"/>
      <c r="X91" s="59"/>
      <c r="Y91" s="86"/>
      <c r="Z91" s="185"/>
      <c r="AB91" s="1822" t="s">
        <v>61</v>
      </c>
      <c r="AC91" s="748">
        <v>0.5</v>
      </c>
      <c r="AD91" s="1136">
        <f>IF($AB$8="Number",NA(),T$59)</f>
        <v>1.2897175639894085</v>
      </c>
      <c r="AH91" s="52"/>
      <c r="AI91" s="52"/>
      <c r="AJ91" s="52"/>
      <c r="AK91" s="52"/>
      <c r="AL91" s="52"/>
      <c r="AM91" s="52"/>
      <c r="AN91" s="52"/>
      <c r="AO91" s="52"/>
      <c r="AP91" s="52"/>
      <c r="AQ91" s="52"/>
      <c r="AR91" s="61"/>
      <c r="AS91" s="61"/>
      <c r="AT91" s="61"/>
      <c r="AU91" s="61"/>
      <c r="AV91" s="61"/>
      <c r="AW91" s="61"/>
      <c r="AX91" s="61"/>
      <c r="AY91" s="61"/>
      <c r="AZ91" s="61"/>
      <c r="BA91" s="61"/>
    </row>
    <row r="92" spans="1:69" s="56" customFormat="1" ht="11.25" customHeight="1">
      <c r="A92" s="1337"/>
      <c r="B92" s="1338"/>
      <c r="C92" s="1338"/>
      <c r="D92" s="1338"/>
      <c r="E92" s="1338"/>
      <c r="F92" s="1338"/>
      <c r="G92" s="1338"/>
      <c r="H92" s="1338"/>
      <c r="I92" s="1338"/>
      <c r="J92" s="1338"/>
      <c r="K92" s="1338"/>
      <c r="L92" s="1338"/>
      <c r="M92" s="1338"/>
      <c r="N92" s="1338"/>
      <c r="O92" s="1338"/>
      <c r="P92" s="1338"/>
      <c r="Q92" s="1338"/>
      <c r="R92" s="1338"/>
      <c r="S92" s="1338"/>
      <c r="T92" s="1338"/>
      <c r="U92" s="1338"/>
      <c r="V92" s="1338"/>
      <c r="W92" s="1338"/>
      <c r="X92" s="1338"/>
      <c r="Y92" s="1340"/>
      <c r="Z92" s="185"/>
      <c r="AA92" s="138"/>
      <c r="AB92" s="1823"/>
      <c r="AC92" s="748">
        <f>$AC$76</f>
        <v>23.5</v>
      </c>
      <c r="AD92" s="1137">
        <f>AD91</f>
        <v>1.2897175639894085</v>
      </c>
      <c r="AE92" s="146"/>
      <c r="AF92" s="147"/>
      <c r="AG92" s="147"/>
      <c r="AM92" s="52"/>
      <c r="AN92" s="52"/>
      <c r="AO92" s="52"/>
      <c r="AP92" s="52"/>
      <c r="AQ92" s="52"/>
      <c r="AR92" s="61"/>
      <c r="AS92" s="61"/>
      <c r="AT92" s="61"/>
      <c r="AU92" s="61"/>
      <c r="AV92" s="61"/>
      <c r="AW92" s="61"/>
      <c r="AX92" s="61"/>
      <c r="AY92" s="61"/>
      <c r="AZ92" s="61"/>
      <c r="BA92" s="61"/>
    </row>
    <row r="93" spans="1:69" s="56" customFormat="1" ht="13.5" customHeight="1">
      <c r="A93" s="81"/>
      <c r="B93" s="82"/>
      <c r="C93" s="82"/>
      <c r="D93" s="82"/>
      <c r="E93" s="82"/>
      <c r="F93" s="82"/>
      <c r="G93" s="82"/>
      <c r="H93" s="82"/>
      <c r="I93" s="82"/>
      <c r="J93" s="82"/>
      <c r="K93" s="82"/>
      <c r="L93" s="82"/>
      <c r="M93" s="82"/>
      <c r="N93" s="82"/>
      <c r="O93" s="83"/>
      <c r="P93" s="82"/>
      <c r="Q93" s="82"/>
      <c r="R93" s="82"/>
      <c r="S93" s="82"/>
      <c r="T93" s="82"/>
      <c r="U93" s="82"/>
      <c r="V93" s="82"/>
      <c r="W93" s="82"/>
      <c r="X93" s="82"/>
      <c r="Y93" s="84"/>
      <c r="Z93" s="185"/>
      <c r="AA93" s="138"/>
      <c r="AB93" s="1822" t="s">
        <v>62</v>
      </c>
      <c r="AC93" s="748">
        <v>0.5</v>
      </c>
      <c r="AD93" s="1136">
        <f>IF($AB$8="Number",NA(),V$59)</f>
        <v>1.4552074139452782</v>
      </c>
      <c r="AE93" s="146"/>
      <c r="AF93" s="147"/>
      <c r="AG93" s="147"/>
      <c r="AM93" s="52"/>
      <c r="AN93" s="52"/>
      <c r="AO93" s="52"/>
      <c r="AP93" s="52"/>
      <c r="AQ93" s="52"/>
      <c r="AR93" s="61"/>
      <c r="AS93" s="61"/>
      <c r="AT93" s="61"/>
      <c r="AU93" s="61"/>
      <c r="AV93" s="61"/>
      <c r="AW93" s="61"/>
      <c r="AX93" s="61"/>
      <c r="AY93" s="61"/>
      <c r="AZ93" s="61"/>
      <c r="BA93" s="61"/>
      <c r="BD93" s="52"/>
      <c r="BE93" s="52"/>
      <c r="BF93" s="52"/>
      <c r="BG93" s="52"/>
      <c r="BH93" s="52"/>
    </row>
    <row r="94" spans="1:69" s="56" customFormat="1" ht="18.75" customHeight="1">
      <c r="A94" s="287"/>
      <c r="B94" s="1121" t="str">
        <f>"Proportion (%) of Referrals from each Source - Trend over last 5 "&amp;ReportData!$F$3</f>
        <v>Proportion (%) of Referrals from each Source - Trend over last 5 Years</v>
      </c>
      <c r="C94" s="391"/>
      <c r="D94" s="391"/>
      <c r="E94" s="391"/>
      <c r="F94" s="391"/>
      <c r="G94" s="391"/>
      <c r="H94" s="391"/>
      <c r="I94" s="391"/>
      <c r="J94" s="391"/>
      <c r="K94" s="391"/>
      <c r="L94" s="391"/>
      <c r="M94" s="40"/>
      <c r="N94" s="50"/>
      <c r="O94" s="50"/>
      <c r="P94" s="50"/>
      <c r="Q94" s="50"/>
      <c r="R94" s="40"/>
      <c r="S94" s="50"/>
      <c r="T94" s="50"/>
      <c r="U94" s="50"/>
      <c r="V94" s="50"/>
      <c r="W94" s="50"/>
      <c r="X94" s="50"/>
      <c r="Y94" s="86"/>
      <c r="Z94" s="103"/>
      <c r="AA94" s="138"/>
      <c r="AB94" s="1823"/>
      <c r="AC94" s="748">
        <f>$AC$76</f>
        <v>23.5</v>
      </c>
      <c r="AD94" s="1137">
        <f>AD93</f>
        <v>1.4552074139452782</v>
      </c>
      <c r="AE94" s="146"/>
      <c r="AF94" s="147"/>
      <c r="AG94" s="147"/>
      <c r="AM94" s="52"/>
      <c r="AN94" s="52"/>
      <c r="AO94" s="52"/>
      <c r="AP94" s="52"/>
      <c r="AQ94" s="52"/>
      <c r="AR94" s="61"/>
      <c r="AS94" s="61"/>
      <c r="AT94" s="61"/>
      <c r="AU94" s="61"/>
      <c r="AV94" s="61"/>
      <c r="AW94" s="61"/>
      <c r="AX94" s="61"/>
      <c r="AY94" s="61"/>
      <c r="AZ94" s="61"/>
      <c r="BA94" s="61"/>
      <c r="BC94" s="52"/>
      <c r="BD94" s="52"/>
      <c r="BE94" s="52"/>
      <c r="BF94" s="52"/>
      <c r="BG94" s="52"/>
      <c r="BH94" s="52"/>
      <c r="BI94" s="52"/>
      <c r="BJ94" s="52"/>
      <c r="BK94" s="52"/>
      <c r="BL94" s="52"/>
      <c r="BM94" s="52"/>
      <c r="BN94" s="52"/>
      <c r="BO94" s="52"/>
      <c r="BP94" s="52"/>
      <c r="BQ94" s="52"/>
    </row>
    <row r="95" spans="1:69" ht="18.75" customHeight="1">
      <c r="A95" s="1134"/>
      <c r="C95" s="391"/>
      <c r="D95" s="391"/>
      <c r="E95" s="391"/>
      <c r="F95" s="391"/>
      <c r="G95" s="391"/>
      <c r="H95" s="391"/>
      <c r="I95" s="391"/>
      <c r="J95" s="391"/>
      <c r="K95" s="391"/>
      <c r="L95" s="391"/>
      <c r="M95" s="50"/>
      <c r="N95" s="50"/>
      <c r="O95" s="50"/>
      <c r="P95" s="50"/>
      <c r="Q95" s="50"/>
      <c r="R95" s="50"/>
      <c r="S95" s="50"/>
      <c r="T95" s="50"/>
      <c r="U95" s="50"/>
      <c r="V95" s="40"/>
      <c r="W95" s="50"/>
      <c r="X95" s="50"/>
      <c r="Y95" s="86"/>
      <c r="Z95" s="102"/>
      <c r="AA95" s="138"/>
      <c r="AB95" s="145"/>
      <c r="AC95" s="145"/>
      <c r="AD95" s="145"/>
      <c r="AE95" s="146"/>
      <c r="AF95" s="147"/>
      <c r="AG95" s="147"/>
      <c r="AR95" s="61"/>
      <c r="AS95" s="61"/>
      <c r="AT95" s="61"/>
      <c r="AU95" s="61"/>
      <c r="AV95" s="61"/>
      <c r="AW95" s="61"/>
      <c r="AX95" s="61"/>
      <c r="AY95" s="61"/>
      <c r="AZ95" s="61"/>
      <c r="BA95" s="61"/>
      <c r="BB95" s="56"/>
    </row>
    <row r="96" spans="1:69" ht="13.5" customHeight="1">
      <c r="A96" s="208"/>
      <c r="B96" s="1749" t="s">
        <v>177</v>
      </c>
      <c r="C96" s="5"/>
      <c r="D96" s="1862">
        <v>1</v>
      </c>
      <c r="E96" s="1863"/>
      <c r="F96" s="1864">
        <v>2</v>
      </c>
      <c r="G96" s="1865"/>
      <c r="H96" s="1866">
        <v>3</v>
      </c>
      <c r="I96" s="1867"/>
      <c r="J96" s="1868">
        <v>4</v>
      </c>
      <c r="K96" s="1869"/>
      <c r="L96" s="1870">
        <v>5</v>
      </c>
      <c r="M96" s="1871"/>
      <c r="N96" s="1872">
        <v>6</v>
      </c>
      <c r="O96" s="1873"/>
      <c r="P96" s="1874">
        <v>7</v>
      </c>
      <c r="Q96" s="1875"/>
      <c r="R96" s="1876">
        <v>8</v>
      </c>
      <c r="S96" s="1877"/>
      <c r="T96" s="1878">
        <v>9</v>
      </c>
      <c r="U96" s="1879"/>
      <c r="V96" s="1880">
        <v>10</v>
      </c>
      <c r="W96" s="1881"/>
      <c r="X96" s="5"/>
      <c r="Y96" s="86"/>
      <c r="Z96" s="102"/>
      <c r="AA96" s="138"/>
      <c r="AB96" s="224"/>
      <c r="AD96" s="145"/>
      <c r="AE96" s="146"/>
      <c r="AF96" s="147"/>
      <c r="AG96" s="147"/>
      <c r="AR96" s="61"/>
      <c r="AS96" s="61"/>
      <c r="AT96" s="61"/>
      <c r="AU96" s="61"/>
      <c r="AV96" s="61"/>
      <c r="AW96" s="61"/>
      <c r="AX96" s="61"/>
      <c r="AY96" s="61"/>
      <c r="AZ96" s="61"/>
      <c r="BA96" s="61"/>
      <c r="BB96" s="56"/>
      <c r="BD96" s="61"/>
      <c r="BE96" s="61"/>
      <c r="BF96" s="61"/>
      <c r="BG96" s="61"/>
      <c r="BH96" s="61"/>
    </row>
    <row r="97" spans="1:132" ht="37.5" customHeight="1">
      <c r="A97" s="208"/>
      <c r="B97" s="1750"/>
      <c r="C97" s="56"/>
      <c r="D97" s="1793" t="s">
        <v>90</v>
      </c>
      <c r="E97" s="1795"/>
      <c r="F97" s="1793" t="s">
        <v>1228</v>
      </c>
      <c r="G97" s="1795"/>
      <c r="H97" s="1793" t="s">
        <v>98</v>
      </c>
      <c r="I97" s="1795"/>
      <c r="J97" s="1793" t="s">
        <v>43</v>
      </c>
      <c r="K97" s="1795"/>
      <c r="L97" s="1793" t="s">
        <v>99</v>
      </c>
      <c r="M97" s="1795"/>
      <c r="N97" s="1793" t="s">
        <v>23</v>
      </c>
      <c r="O97" s="1795"/>
      <c r="P97" s="1793" t="s">
        <v>64</v>
      </c>
      <c r="Q97" s="1795"/>
      <c r="R97" s="1793" t="s">
        <v>63</v>
      </c>
      <c r="S97" s="1795"/>
      <c r="T97" s="1793" t="s">
        <v>61</v>
      </c>
      <c r="U97" s="1795"/>
      <c r="V97" s="1793" t="s">
        <v>62</v>
      </c>
      <c r="W97" s="1794"/>
      <c r="X97" s="5"/>
      <c r="Y97" s="86"/>
      <c r="Z97" s="102"/>
      <c r="AA97" s="138"/>
      <c r="AB97" s="61"/>
      <c r="AC97" s="61"/>
      <c r="AD97" s="61"/>
      <c r="AH97" s="52"/>
      <c r="AI97" s="52"/>
      <c r="AJ97" s="52"/>
      <c r="AK97" s="52"/>
      <c r="AL97" s="52"/>
      <c r="AR97" s="61"/>
      <c r="AS97" s="61"/>
      <c r="AT97" s="61"/>
      <c r="AU97" s="61"/>
      <c r="AV97" s="61"/>
      <c r="AW97" s="61"/>
      <c r="AX97" s="61"/>
      <c r="AY97" s="61"/>
      <c r="AZ97" s="61"/>
      <c r="BA97" s="61"/>
      <c r="BB97" s="56"/>
      <c r="BD97" s="61"/>
      <c r="BE97" s="61"/>
      <c r="BF97" s="61"/>
      <c r="BG97" s="61"/>
      <c r="BH97" s="61"/>
      <c r="BI97" s="61"/>
      <c r="BJ97" s="61"/>
      <c r="BK97" s="61"/>
      <c r="BL97" s="61"/>
      <c r="BM97" s="61"/>
      <c r="BN97" s="61"/>
      <c r="BO97" s="61"/>
      <c r="BP97" s="61"/>
      <c r="BQ97" s="61"/>
    </row>
    <row r="98" spans="1:132" s="61" customFormat="1" ht="17.25" customHeight="1">
      <c r="A98" s="1103">
        <f>VLOOKUP(B98,ReportData!$AQ$4:$AR$25,2,FALSE)</f>
        <v>0</v>
      </c>
      <c r="B98" s="1114" t="str">
        <f>ReportData!$K$4</f>
        <v>Bracknell Forest</v>
      </c>
      <c r="C98" s="1132"/>
      <c r="D98" s="1826"/>
      <c r="E98" s="1827"/>
      <c r="F98" s="1826"/>
      <c r="G98" s="1827"/>
      <c r="H98" s="1826"/>
      <c r="I98" s="1827"/>
      <c r="J98" s="1826"/>
      <c r="K98" s="1827"/>
      <c r="L98" s="1826"/>
      <c r="M98" s="1827"/>
      <c r="N98" s="1826"/>
      <c r="O98" s="1827"/>
      <c r="P98" s="1826"/>
      <c r="Q98" s="1827"/>
      <c r="R98" s="1826"/>
      <c r="S98" s="1827"/>
      <c r="T98" s="1826"/>
      <c r="U98" s="1827"/>
      <c r="V98" s="1826"/>
      <c r="W98" s="1827"/>
      <c r="X98" s="5"/>
      <c r="Y98" s="86"/>
      <c r="Z98" s="102"/>
      <c r="AA98" s="138"/>
      <c r="AE98" s="146"/>
      <c r="AF98" s="147"/>
      <c r="AG98" s="147"/>
      <c r="AH98" s="56"/>
      <c r="AI98" s="56"/>
      <c r="AJ98" s="56"/>
      <c r="AK98" s="56"/>
      <c r="AL98" s="56"/>
      <c r="AM98" s="52"/>
      <c r="AN98" s="52"/>
      <c r="AO98" s="52"/>
      <c r="AP98" s="52"/>
      <c r="AQ98" s="52"/>
      <c r="BB98" s="56"/>
      <c r="BC98" s="52"/>
    </row>
    <row r="99" spans="1:132" s="61" customFormat="1" ht="17.25" customHeight="1">
      <c r="A99" s="1103">
        <f>VLOOKUP(B99,ReportData!$AQ$4:$AR$25,2,FALSE)</f>
        <v>0</v>
      </c>
      <c r="B99" s="1114" t="str">
        <f>ReportData!$K$5</f>
        <v>Brighton &amp; Hove</v>
      </c>
      <c r="C99" s="5"/>
      <c r="D99" s="1796"/>
      <c r="E99" s="1797"/>
      <c r="F99" s="1796"/>
      <c r="G99" s="1797"/>
      <c r="H99" s="1796"/>
      <c r="I99" s="1797"/>
      <c r="J99" s="1796"/>
      <c r="K99" s="1797"/>
      <c r="L99" s="1796"/>
      <c r="M99" s="1797"/>
      <c r="N99" s="1796"/>
      <c r="O99" s="1797"/>
      <c r="P99" s="1796"/>
      <c r="Q99" s="1797"/>
      <c r="R99" s="1796"/>
      <c r="S99" s="1797"/>
      <c r="T99" s="1796"/>
      <c r="U99" s="1797"/>
      <c r="V99" s="1796"/>
      <c r="W99" s="1797"/>
      <c r="X99" s="5"/>
      <c r="Y99" s="86"/>
      <c r="Z99" s="102"/>
      <c r="AA99" s="138"/>
      <c r="AE99" s="146"/>
      <c r="AF99" s="147"/>
      <c r="AG99" s="147"/>
      <c r="AH99" s="56"/>
      <c r="AI99" s="56"/>
      <c r="AJ99" s="56"/>
      <c r="AK99" s="56"/>
      <c r="AL99" s="56"/>
      <c r="AM99" s="52"/>
      <c r="AN99" s="52"/>
      <c r="AO99" s="52"/>
      <c r="AP99" s="52"/>
      <c r="AQ99" s="52"/>
      <c r="BB99" s="56"/>
      <c r="BC99" s="52"/>
    </row>
    <row r="100" spans="1:132" s="61" customFormat="1" ht="17.25" customHeight="1">
      <c r="A100" s="1103">
        <f>VLOOKUP(B100,ReportData!$AQ$4:$AR$25,2,FALSE)</f>
        <v>0</v>
      </c>
      <c r="B100" s="1114" t="str">
        <f>ReportData!$K$6</f>
        <v>Buckinghamshire</v>
      </c>
      <c r="C100" s="5"/>
      <c r="D100" s="1796"/>
      <c r="E100" s="1797"/>
      <c r="F100" s="1796"/>
      <c r="G100" s="1797"/>
      <c r="H100" s="1796"/>
      <c r="I100" s="1797"/>
      <c r="J100" s="1796"/>
      <c r="K100" s="1797"/>
      <c r="L100" s="1796"/>
      <c r="M100" s="1797"/>
      <c r="N100" s="1796"/>
      <c r="O100" s="1797"/>
      <c r="P100" s="1796"/>
      <c r="Q100" s="1797"/>
      <c r="R100" s="1796"/>
      <c r="S100" s="1797"/>
      <c r="T100" s="1796"/>
      <c r="U100" s="1797"/>
      <c r="V100" s="1796"/>
      <c r="W100" s="1797"/>
      <c r="X100" s="5"/>
      <c r="Y100" s="86"/>
      <c r="Z100" s="102"/>
      <c r="AA100" s="138"/>
      <c r="AE100" s="146"/>
      <c r="AF100" s="147"/>
      <c r="AG100" s="147"/>
      <c r="AH100" s="56"/>
      <c r="AI100" s="56"/>
      <c r="AJ100" s="56"/>
      <c r="AK100" s="56"/>
      <c r="AL100" s="56"/>
      <c r="AM100" s="52"/>
      <c r="AN100" s="52"/>
      <c r="AO100" s="52"/>
      <c r="AP100" s="52"/>
      <c r="AQ100" s="52"/>
      <c r="BB100" s="56"/>
      <c r="BC100" s="52"/>
    </row>
    <row r="101" spans="1:132" s="61" customFormat="1" ht="17.25" customHeight="1">
      <c r="A101" s="1103">
        <f>VLOOKUP(B101,ReportData!$AQ$4:$AR$25,2,FALSE)</f>
        <v>0</v>
      </c>
      <c r="B101" s="1114" t="str">
        <f>ReportData!$K$7</f>
        <v>East Sussex</v>
      </c>
      <c r="C101" s="5"/>
      <c r="D101" s="1796"/>
      <c r="E101" s="1797"/>
      <c r="F101" s="1796"/>
      <c r="G101" s="1797"/>
      <c r="H101" s="1796"/>
      <c r="I101" s="1797"/>
      <c r="J101" s="1796"/>
      <c r="K101" s="1797"/>
      <c r="L101" s="1796"/>
      <c r="M101" s="1797"/>
      <c r="N101" s="1796"/>
      <c r="O101" s="1797"/>
      <c r="P101" s="1796"/>
      <c r="Q101" s="1797"/>
      <c r="R101" s="1796"/>
      <c r="S101" s="1797"/>
      <c r="T101" s="1796"/>
      <c r="U101" s="1797"/>
      <c r="V101" s="1796"/>
      <c r="W101" s="1797"/>
      <c r="X101" s="5"/>
      <c r="Y101" s="86"/>
      <c r="Z101" s="102"/>
      <c r="AA101" s="138"/>
      <c r="AE101" s="146"/>
      <c r="AF101" s="147"/>
      <c r="AG101" s="147"/>
      <c r="AH101" s="56"/>
      <c r="AI101" s="56"/>
      <c r="AJ101" s="56"/>
      <c r="AK101" s="56"/>
      <c r="AL101" s="56"/>
      <c r="AM101" s="52"/>
      <c r="AN101" s="52"/>
      <c r="AO101" s="52"/>
      <c r="AP101" s="52"/>
      <c r="AQ101" s="52"/>
      <c r="BB101" s="56"/>
    </row>
    <row r="102" spans="1:132" s="61" customFormat="1" ht="17.25" customHeight="1">
      <c r="A102" s="1103">
        <f>VLOOKUP(B102,ReportData!$AQ$4:$AR$25,2,FALSE)</f>
        <v>0</v>
      </c>
      <c r="B102" s="1114" t="str">
        <f>ReportData!$K$8</f>
        <v>Hampshire</v>
      </c>
      <c r="C102" s="5"/>
      <c r="D102" s="1796"/>
      <c r="E102" s="1797"/>
      <c r="F102" s="1796"/>
      <c r="G102" s="1797"/>
      <c r="H102" s="1796"/>
      <c r="I102" s="1797"/>
      <c r="J102" s="1796"/>
      <c r="K102" s="1797"/>
      <c r="L102" s="1796"/>
      <c r="M102" s="1797"/>
      <c r="N102" s="1796"/>
      <c r="O102" s="1797"/>
      <c r="P102" s="1796"/>
      <c r="Q102" s="1797"/>
      <c r="R102" s="1796"/>
      <c r="S102" s="1797"/>
      <c r="T102" s="1796"/>
      <c r="U102" s="1797"/>
      <c r="V102" s="1796"/>
      <c r="W102" s="1797"/>
      <c r="X102" s="5"/>
      <c r="Y102" s="86"/>
      <c r="Z102" s="102"/>
      <c r="AA102" s="138"/>
      <c r="AE102" s="146"/>
      <c r="AF102" s="147"/>
      <c r="AG102" s="147"/>
      <c r="AH102" s="56"/>
      <c r="AI102" s="56"/>
      <c r="AJ102" s="56"/>
      <c r="AK102" s="56"/>
      <c r="AL102" s="56"/>
      <c r="AM102" s="52"/>
      <c r="AN102" s="52"/>
      <c r="AO102" s="52"/>
      <c r="AP102" s="52"/>
      <c r="AQ102" s="52"/>
      <c r="BB102" s="52"/>
    </row>
    <row r="103" spans="1:132" s="61" customFormat="1" ht="17.25" customHeight="1">
      <c r="A103" s="1103">
        <f>VLOOKUP(B103,ReportData!$AQ$4:$AR$25,2,FALSE)</f>
        <v>0</v>
      </c>
      <c r="B103" s="1114" t="str">
        <f>ReportData!$K$9</f>
        <v>Isle of Wight</v>
      </c>
      <c r="C103" s="5"/>
      <c r="D103" s="1796"/>
      <c r="E103" s="1797"/>
      <c r="F103" s="1796"/>
      <c r="G103" s="1797"/>
      <c r="H103" s="1796"/>
      <c r="I103" s="1797"/>
      <c r="J103" s="1796"/>
      <c r="K103" s="1797"/>
      <c r="L103" s="1796"/>
      <c r="M103" s="1797"/>
      <c r="N103" s="1796"/>
      <c r="O103" s="1797"/>
      <c r="P103" s="1796"/>
      <c r="Q103" s="1797"/>
      <c r="R103" s="1796"/>
      <c r="S103" s="1797"/>
      <c r="T103" s="1796"/>
      <c r="U103" s="1797"/>
      <c r="V103" s="1796"/>
      <c r="W103" s="1797"/>
      <c r="X103" s="5"/>
      <c r="Y103" s="86"/>
      <c r="Z103" s="102"/>
      <c r="AA103" s="144"/>
      <c r="AB103" s="56"/>
      <c r="AC103" s="56"/>
      <c r="AD103" s="56"/>
      <c r="AE103" s="56"/>
      <c r="AF103" s="56"/>
      <c r="AG103" s="56"/>
      <c r="AH103" s="56"/>
      <c r="AI103" s="57"/>
      <c r="AJ103" s="56"/>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row>
    <row r="104" spans="1:132" s="61" customFormat="1" ht="17.25" customHeight="1">
      <c r="A104" s="1103">
        <f>VLOOKUP(B104,ReportData!$AQ$4:$AR$25,2,FALSE)</f>
        <v>0</v>
      </c>
      <c r="B104" s="1114" t="str">
        <f>ReportData!$K$10</f>
        <v>Kent</v>
      </c>
      <c r="C104" s="5"/>
      <c r="D104" s="1796"/>
      <c r="E104" s="1797"/>
      <c r="F104" s="1796"/>
      <c r="G104" s="1797"/>
      <c r="H104" s="1796"/>
      <c r="I104" s="1797"/>
      <c r="J104" s="1796"/>
      <c r="K104" s="1797"/>
      <c r="L104" s="1796"/>
      <c r="M104" s="1797"/>
      <c r="N104" s="1796"/>
      <c r="O104" s="1797"/>
      <c r="P104" s="1796"/>
      <c r="Q104" s="1797"/>
      <c r="R104" s="1796"/>
      <c r="S104" s="1797"/>
      <c r="T104" s="1796"/>
      <c r="U104" s="1797"/>
      <c r="V104" s="1796"/>
      <c r="W104" s="1797"/>
      <c r="X104" s="5"/>
      <c r="Y104" s="86"/>
      <c r="Z104" s="102"/>
      <c r="AA104" s="52"/>
      <c r="AB104" s="56"/>
      <c r="AC104" s="56"/>
      <c r="AD104" s="56"/>
      <c r="AE104" s="56"/>
      <c r="AF104" s="56"/>
      <c r="AG104" s="56"/>
      <c r="AH104" s="56"/>
      <c r="AI104" s="57"/>
      <c r="AJ104" s="56"/>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row>
    <row r="105" spans="1:132" ht="17.25" customHeight="1">
      <c r="A105" s="1103">
        <f>VLOOKUP(B105,ReportData!$AQ$4:$AR$25,2,FALSE)</f>
        <v>0</v>
      </c>
      <c r="B105" s="1114" t="str">
        <f>ReportData!$K$11</f>
        <v>Medway</v>
      </c>
      <c r="C105" s="5"/>
      <c r="D105" s="1796"/>
      <c r="E105" s="1797"/>
      <c r="F105" s="1796"/>
      <c r="G105" s="1797"/>
      <c r="H105" s="1796"/>
      <c r="I105" s="1797"/>
      <c r="J105" s="1796"/>
      <c r="K105" s="1797"/>
      <c r="L105" s="1796"/>
      <c r="M105" s="1797"/>
      <c r="N105" s="1796"/>
      <c r="O105" s="1797"/>
      <c r="P105" s="1796"/>
      <c r="Q105" s="1797"/>
      <c r="R105" s="1796"/>
      <c r="S105" s="1797"/>
      <c r="T105" s="1796"/>
      <c r="U105" s="1797"/>
      <c r="V105" s="1796"/>
      <c r="W105" s="1797"/>
      <c r="X105" s="5"/>
      <c r="Y105" s="86"/>
      <c r="Z105" s="102"/>
      <c r="AA105" s="52"/>
      <c r="AB105" s="1803" t="str">
        <f>D8</f>
        <v>Relative/ Carer</v>
      </c>
      <c r="AC105" s="1804"/>
      <c r="AD105" s="1804"/>
      <c r="AE105" s="1804"/>
      <c r="AF105" s="1798"/>
      <c r="AG105" s="1803" t="str">
        <f>E8</f>
        <v>Acquaintance</v>
      </c>
      <c r="AH105" s="1804"/>
      <c r="AI105" s="1804"/>
      <c r="AJ105" s="1804"/>
      <c r="AK105" s="1805"/>
      <c r="AL105" s="1803" t="str">
        <f>F8</f>
        <v>Self</v>
      </c>
      <c r="AM105" s="1804"/>
      <c r="AN105" s="1804"/>
      <c r="AO105" s="1804"/>
      <c r="AP105" s="1805"/>
      <c r="AQ105" s="1803" t="str">
        <f>G8</f>
        <v>Other Individual</v>
      </c>
      <c r="AR105" s="1804"/>
      <c r="AS105" s="1804"/>
      <c r="AT105" s="1804"/>
      <c r="AU105" s="1805"/>
      <c r="AV105" s="1800" t="str">
        <f>H8</f>
        <v>Schools</v>
      </c>
      <c r="AW105" s="1804"/>
      <c r="AX105" s="1804"/>
      <c r="AY105" s="1804"/>
      <c r="AZ105" s="1804"/>
      <c r="BA105" s="806" t="str">
        <f>I8</f>
        <v>Education Services</v>
      </c>
      <c r="BB105" s="806"/>
      <c r="BC105" s="806"/>
      <c r="BD105" s="806"/>
      <c r="BE105" s="806"/>
      <c r="BF105" s="1798" t="str">
        <f>J8</f>
        <v>GP</v>
      </c>
      <c r="BG105" s="1799"/>
      <c r="BH105" s="1799"/>
      <c r="BI105" s="1799"/>
      <c r="BJ105" s="1800"/>
      <c r="BK105" s="1798" t="str">
        <f>AM8</f>
        <v>Health Visitor</v>
      </c>
      <c r="BL105" s="1799"/>
      <c r="BM105" s="1799"/>
      <c r="BN105" s="1799"/>
      <c r="BO105" s="1800"/>
      <c r="BP105" s="1798" t="str">
        <f>AN8</f>
        <v>School Nurse</v>
      </c>
      <c r="BQ105" s="1799"/>
      <c r="BR105" s="1799"/>
      <c r="BS105" s="1799"/>
      <c r="BT105" s="1800"/>
      <c r="BU105" s="1798" t="str">
        <f>AO8</f>
        <v>Other primary health</v>
      </c>
      <c r="BV105" s="1799"/>
      <c r="BW105" s="1799"/>
      <c r="BX105" s="1799"/>
      <c r="BY105" s="1800"/>
      <c r="BZ105" s="1798" t="str">
        <f>AP8</f>
        <v>A&amp;E</v>
      </c>
      <c r="CA105" s="1799"/>
      <c r="CB105" s="1799"/>
      <c r="CC105" s="1799"/>
      <c r="CD105" s="1800"/>
      <c r="CE105" s="1798" t="str">
        <f>AQ8</f>
        <v>Other Health services</v>
      </c>
      <c r="CF105" s="1799"/>
      <c r="CG105" s="1799"/>
      <c r="CH105" s="1799"/>
      <c r="CI105" s="1800"/>
      <c r="CJ105" s="1798" t="str">
        <f>AR8</f>
        <v>Housing</v>
      </c>
      <c r="CK105" s="1799"/>
      <c r="CL105" s="1799"/>
      <c r="CM105" s="1799"/>
      <c r="CN105" s="1800"/>
      <c r="CO105" s="1798" t="str">
        <f>AS8</f>
        <v>Social care</v>
      </c>
      <c r="CP105" s="1799"/>
      <c r="CQ105" s="1799"/>
      <c r="CR105" s="1799"/>
      <c r="CS105" s="1800"/>
      <c r="CT105" s="1798" t="str">
        <f>AT8</f>
        <v xml:space="preserve">Other Internal LA </v>
      </c>
      <c r="CU105" s="1799"/>
      <c r="CV105" s="1799"/>
      <c r="CW105" s="1799"/>
      <c r="CX105" s="1800"/>
      <c r="CY105" s="1798" t="str">
        <f>AU8</f>
        <v>External LA services</v>
      </c>
      <c r="CZ105" s="1799"/>
      <c r="DA105" s="1799"/>
      <c r="DB105" s="1799"/>
      <c r="DC105" s="1800"/>
      <c r="DD105" s="1798" t="str">
        <f>AV8</f>
        <v>Police</v>
      </c>
      <c r="DE105" s="1799"/>
      <c r="DF105" s="1799"/>
      <c r="DG105" s="1799"/>
      <c r="DH105" s="1800"/>
      <c r="DI105" s="1798" t="str">
        <f>AW8</f>
        <v>Other legal agency</v>
      </c>
      <c r="DJ105" s="1799"/>
      <c r="DK105" s="1799"/>
      <c r="DL105" s="1799"/>
      <c r="DM105" s="1800"/>
      <c r="DN105" s="1798" t="str">
        <f>AX8</f>
        <v>Other</v>
      </c>
      <c r="DO105" s="1799"/>
      <c r="DP105" s="1799"/>
      <c r="DQ105" s="1799"/>
      <c r="DR105" s="1800"/>
      <c r="DS105" s="1798" t="str">
        <f>AY8</f>
        <v>Anonymous</v>
      </c>
      <c r="DT105" s="1799"/>
      <c r="DU105" s="1799"/>
      <c r="DV105" s="1799"/>
      <c r="DW105" s="1800"/>
      <c r="DX105" s="1798" t="str">
        <f>AZ8</f>
        <v>Unknown</v>
      </c>
      <c r="DY105" s="1799"/>
      <c r="DZ105" s="1799"/>
      <c r="EA105" s="1799"/>
      <c r="EB105" s="1800"/>
    </row>
    <row r="106" spans="1:132" ht="17.25" customHeight="1">
      <c r="A106" s="1103">
        <f>VLOOKUP(B106,ReportData!$AQ$4:$AR$25,2,FALSE)</f>
        <v>0</v>
      </c>
      <c r="B106" s="1114" t="str">
        <f>ReportData!$K$12</f>
        <v>Milton Keynes</v>
      </c>
      <c r="C106" s="5"/>
      <c r="D106" s="1796"/>
      <c r="E106" s="1797"/>
      <c r="F106" s="1796"/>
      <c r="G106" s="1797"/>
      <c r="H106" s="1796"/>
      <c r="I106" s="1797"/>
      <c r="J106" s="1796"/>
      <c r="K106" s="1797"/>
      <c r="L106" s="1796"/>
      <c r="M106" s="1797"/>
      <c r="N106" s="1796"/>
      <c r="O106" s="1797"/>
      <c r="P106" s="1796"/>
      <c r="Q106" s="1797"/>
      <c r="R106" s="1796"/>
      <c r="S106" s="1797"/>
      <c r="T106" s="1796"/>
      <c r="U106" s="1797"/>
      <c r="V106" s="1796"/>
      <c r="W106" s="1797"/>
      <c r="X106" s="5"/>
      <c r="Y106" s="86"/>
      <c r="Z106" s="102"/>
      <c r="AA106" s="52"/>
      <c r="AB106" s="496" t="str">
        <f>$AC$2</f>
        <v/>
      </c>
      <c r="AC106" s="354" t="str">
        <f>$AD$2</f>
        <v/>
      </c>
      <c r="AD106" s="354" t="str">
        <f>$AE$2</f>
        <v/>
      </c>
      <c r="AE106" s="354" t="str">
        <f>$AF$2</f>
        <v/>
      </c>
      <c r="AF106" s="498" t="str">
        <f>$AG$2</f>
        <v/>
      </c>
      <c r="AG106" s="496" t="str">
        <f>$AC$2</f>
        <v/>
      </c>
      <c r="AH106" s="354" t="str">
        <f>$AD$2</f>
        <v/>
      </c>
      <c r="AI106" s="354" t="str">
        <f>$AE$2</f>
        <v/>
      </c>
      <c r="AJ106" s="354" t="str">
        <f>$AF$2</f>
        <v/>
      </c>
      <c r="AK106" s="267" t="str">
        <f>$AG$2</f>
        <v/>
      </c>
      <c r="AL106" s="496" t="str">
        <f>$AC$2</f>
        <v/>
      </c>
      <c r="AM106" s="354" t="str">
        <f>$AD$2</f>
        <v/>
      </c>
      <c r="AN106" s="354" t="str">
        <f>$AE$2</f>
        <v/>
      </c>
      <c r="AO106" s="354" t="str">
        <f>$AF$2</f>
        <v/>
      </c>
      <c r="AP106" s="267" t="str">
        <f>$AG$2</f>
        <v/>
      </c>
      <c r="AQ106" s="496" t="str">
        <f>$AC$2</f>
        <v/>
      </c>
      <c r="AR106" s="354" t="str">
        <f>$AD$2</f>
        <v/>
      </c>
      <c r="AS106" s="354" t="str">
        <f>$AE$2</f>
        <v/>
      </c>
      <c r="AT106" s="354" t="str">
        <f>$AF$2</f>
        <v/>
      </c>
      <c r="AU106" s="267" t="str">
        <f>$AG$2</f>
        <v/>
      </c>
      <c r="AV106" s="436" t="str">
        <f>$AC$2</f>
        <v/>
      </c>
      <c r="AW106" s="354" t="str">
        <f>$AD$2</f>
        <v/>
      </c>
      <c r="AX106" s="354" t="str">
        <f>$AE$2</f>
        <v/>
      </c>
      <c r="AY106" s="354" t="str">
        <f>$AF$2</f>
        <v/>
      </c>
      <c r="AZ106" s="354" t="str">
        <f>$AG$2</f>
        <v/>
      </c>
      <c r="BA106" s="354" t="str">
        <f>$AC$2</f>
        <v/>
      </c>
      <c r="BB106" s="354" t="str">
        <f>$AD$2</f>
        <v/>
      </c>
      <c r="BC106" s="354" t="str">
        <f>$AE$2</f>
        <v/>
      </c>
      <c r="BD106" s="354" t="str">
        <f>$AF$2</f>
        <v/>
      </c>
      <c r="BE106" s="354" t="str">
        <f>$AG$2</f>
        <v/>
      </c>
      <c r="BF106" s="354" t="str">
        <f>$AC$2</f>
        <v/>
      </c>
      <c r="BG106" s="354" t="str">
        <f>$AD$2</f>
        <v/>
      </c>
      <c r="BH106" s="354" t="str">
        <f>$AE$2</f>
        <v/>
      </c>
      <c r="BI106" s="354" t="str">
        <f>$AF$2</f>
        <v/>
      </c>
      <c r="BJ106" s="354" t="str">
        <f>$AG$2</f>
        <v/>
      </c>
      <c r="BK106" s="354" t="str">
        <f>$AC$2</f>
        <v/>
      </c>
      <c r="BL106" s="354" t="str">
        <f>$AD$2</f>
        <v/>
      </c>
      <c r="BM106" s="354" t="str">
        <f>$AE$2</f>
        <v/>
      </c>
      <c r="BN106" s="354" t="str">
        <f>$AF$2</f>
        <v/>
      </c>
      <c r="BO106" s="354" t="str">
        <f>$AG$2</f>
        <v/>
      </c>
      <c r="BP106" s="354" t="str">
        <f>$AC$2</f>
        <v/>
      </c>
      <c r="BQ106" s="354" t="str">
        <f>$AD$2</f>
        <v/>
      </c>
      <c r="BR106" s="354" t="str">
        <f>$AE$2</f>
        <v/>
      </c>
      <c r="BS106" s="354" t="str">
        <f>$AF$2</f>
        <v/>
      </c>
      <c r="BT106" s="354" t="str">
        <f>$AG$2</f>
        <v/>
      </c>
      <c r="BU106" s="354" t="str">
        <f>$AC$2</f>
        <v/>
      </c>
      <c r="BV106" s="354" t="str">
        <f>$AD$2</f>
        <v/>
      </c>
      <c r="BW106" s="354" t="str">
        <f>$AE$2</f>
        <v/>
      </c>
      <c r="BX106" s="354" t="str">
        <f>$AF$2</f>
        <v/>
      </c>
      <c r="BY106" s="354" t="str">
        <f>$AG$2</f>
        <v/>
      </c>
      <c r="BZ106" s="354" t="str">
        <f>$AC$2</f>
        <v/>
      </c>
      <c r="CA106" s="354" t="str">
        <f>$AD$2</f>
        <v/>
      </c>
      <c r="CB106" s="354" t="str">
        <f>$AE$2</f>
        <v/>
      </c>
      <c r="CC106" s="354" t="str">
        <f>$AF$2</f>
        <v/>
      </c>
      <c r="CD106" s="354" t="str">
        <f>$AG$2</f>
        <v/>
      </c>
      <c r="CE106" s="354" t="str">
        <f>$AC$2</f>
        <v/>
      </c>
      <c r="CF106" s="354" t="str">
        <f>$AD$2</f>
        <v/>
      </c>
      <c r="CG106" s="354" t="str">
        <f>$AE$2</f>
        <v/>
      </c>
      <c r="CH106" s="354" t="str">
        <f>$AF$2</f>
        <v/>
      </c>
      <c r="CI106" s="354" t="str">
        <f>$AG$2</f>
        <v/>
      </c>
      <c r="CJ106" s="354" t="str">
        <f>$AC$2</f>
        <v/>
      </c>
      <c r="CK106" s="354" t="str">
        <f>$AD$2</f>
        <v/>
      </c>
      <c r="CL106" s="354" t="str">
        <f>$AE$2</f>
        <v/>
      </c>
      <c r="CM106" s="354" t="str">
        <f>$AF$2</f>
        <v/>
      </c>
      <c r="CN106" s="354" t="str">
        <f>$AG$2</f>
        <v/>
      </c>
      <c r="CO106" s="354" t="str">
        <f>$AC$2</f>
        <v/>
      </c>
      <c r="CP106" s="354" t="str">
        <f>$AD$2</f>
        <v/>
      </c>
      <c r="CQ106" s="354" t="str">
        <f>$AE$2</f>
        <v/>
      </c>
      <c r="CR106" s="354" t="str">
        <f>$AF$2</f>
        <v/>
      </c>
      <c r="CS106" s="354" t="str">
        <f>$AG$2</f>
        <v/>
      </c>
      <c r="CT106" s="354" t="str">
        <f>$AC$2</f>
        <v/>
      </c>
      <c r="CU106" s="354" t="str">
        <f>$AD$2</f>
        <v/>
      </c>
      <c r="CV106" s="354" t="str">
        <f>$AE$2</f>
        <v/>
      </c>
      <c r="CW106" s="354" t="str">
        <f>$AF$2</f>
        <v/>
      </c>
      <c r="CX106" s="354" t="str">
        <f>$AG$2</f>
        <v/>
      </c>
      <c r="CY106" s="354" t="str">
        <f>$AC$2</f>
        <v/>
      </c>
      <c r="CZ106" s="354" t="str">
        <f>$AD$2</f>
        <v/>
      </c>
      <c r="DA106" s="354" t="str">
        <f>$AE$2</f>
        <v/>
      </c>
      <c r="DB106" s="354" t="str">
        <f>$AF$2</f>
        <v/>
      </c>
      <c r="DC106" s="354" t="str">
        <f>$AG$2</f>
        <v/>
      </c>
      <c r="DD106" s="354" t="str">
        <f>$AC$2</f>
        <v/>
      </c>
      <c r="DE106" s="354" t="str">
        <f>$AD$2</f>
        <v/>
      </c>
      <c r="DF106" s="354" t="str">
        <f>$AE$2</f>
        <v/>
      </c>
      <c r="DG106" s="354" t="str">
        <f>$AF$2</f>
        <v/>
      </c>
      <c r="DH106" s="354" t="str">
        <f>$AG$2</f>
        <v/>
      </c>
      <c r="DI106" s="354" t="str">
        <f>$AC$2</f>
        <v/>
      </c>
      <c r="DJ106" s="354" t="str">
        <f>$AD$2</f>
        <v/>
      </c>
      <c r="DK106" s="354" t="str">
        <f>$AE$2</f>
        <v/>
      </c>
      <c r="DL106" s="354" t="str">
        <f>$AF$2</f>
        <v/>
      </c>
      <c r="DM106" s="354" t="str">
        <f>$AG$2</f>
        <v/>
      </c>
      <c r="DN106" s="354" t="str">
        <f>$AC$2</f>
        <v/>
      </c>
      <c r="DO106" s="354" t="str">
        <f>$AD$2</f>
        <v/>
      </c>
      <c r="DP106" s="354" t="str">
        <f>$AE$2</f>
        <v/>
      </c>
      <c r="DQ106" s="354" t="str">
        <f>$AF$2</f>
        <v/>
      </c>
      <c r="DR106" s="354" t="str">
        <f>$AG$2</f>
        <v/>
      </c>
      <c r="DS106" s="354" t="str">
        <f>$AC$2</f>
        <v/>
      </c>
      <c r="DT106" s="354" t="str">
        <f>$AD$2</f>
        <v/>
      </c>
      <c r="DU106" s="354" t="str">
        <f>$AE$2</f>
        <v/>
      </c>
      <c r="DV106" s="354" t="str">
        <f>$AF$2</f>
        <v/>
      </c>
      <c r="DW106" s="354" t="str">
        <f>$AG$2</f>
        <v/>
      </c>
      <c r="DX106" s="354" t="str">
        <f>$AC$2</f>
        <v/>
      </c>
      <c r="DY106" s="354" t="str">
        <f>$AD$2</f>
        <v/>
      </c>
      <c r="DZ106" s="354" t="str">
        <f>$AE$2</f>
        <v/>
      </c>
      <c r="EA106" s="354" t="str">
        <f>$AF$2</f>
        <v/>
      </c>
      <c r="EB106" s="354" t="str">
        <f>$AG$2</f>
        <v/>
      </c>
    </row>
    <row r="107" spans="1:132" ht="17.25" customHeight="1">
      <c r="A107" s="1103">
        <f>VLOOKUP(B107,ReportData!$AQ$4:$AR$25,2,FALSE)</f>
        <v>0</v>
      </c>
      <c r="B107" s="1114" t="str">
        <f>ReportData!$K$13</f>
        <v>Oxfordshire</v>
      </c>
      <c r="C107" s="5"/>
      <c r="D107" s="1796"/>
      <c r="E107" s="1797"/>
      <c r="F107" s="1796"/>
      <c r="G107" s="1797"/>
      <c r="H107" s="1796"/>
      <c r="I107" s="1797"/>
      <c r="J107" s="1796"/>
      <c r="K107" s="1797"/>
      <c r="L107" s="1796"/>
      <c r="M107" s="1797"/>
      <c r="N107" s="1796"/>
      <c r="O107" s="1797"/>
      <c r="P107" s="1796"/>
      <c r="Q107" s="1797"/>
      <c r="R107" s="1796"/>
      <c r="S107" s="1797"/>
      <c r="T107" s="1796"/>
      <c r="U107" s="1797"/>
      <c r="V107" s="1796"/>
      <c r="W107" s="1797"/>
      <c r="X107" s="5"/>
      <c r="Y107" s="86"/>
      <c r="Z107" s="102"/>
      <c r="AA107" s="52"/>
      <c r="AB107" s="497" t="str">
        <f>$AC$3</f>
        <v>2019/20</v>
      </c>
      <c r="AC107" s="486" t="str">
        <f>$AD$3</f>
        <v>2020/21</v>
      </c>
      <c r="AD107" s="486" t="str">
        <f>$AE$3</f>
        <v>2021/22</v>
      </c>
      <c r="AE107" s="486" t="str">
        <f>$AF$3</f>
        <v>2022/23</v>
      </c>
      <c r="AF107" s="499" t="str">
        <f>$AG$3</f>
        <v>2023/24</v>
      </c>
      <c r="AG107" s="496" t="str">
        <f>$AC$3</f>
        <v>2019/20</v>
      </c>
      <c r="AH107" s="354" t="str">
        <f>$AD$3</f>
        <v>2020/21</v>
      </c>
      <c r="AI107" s="354" t="str">
        <f>$AE$3</f>
        <v>2021/22</v>
      </c>
      <c r="AJ107" s="354" t="str">
        <f>$AF$3</f>
        <v>2022/23</v>
      </c>
      <c r="AK107" s="267" t="str">
        <f>$AG$3</f>
        <v>2023/24</v>
      </c>
      <c r="AL107" s="496" t="str">
        <f>$AC$3</f>
        <v>2019/20</v>
      </c>
      <c r="AM107" s="354" t="str">
        <f>$AD$3</f>
        <v>2020/21</v>
      </c>
      <c r="AN107" s="354" t="str">
        <f>$AE$3</f>
        <v>2021/22</v>
      </c>
      <c r="AO107" s="354" t="str">
        <f>$AF$3</f>
        <v>2022/23</v>
      </c>
      <c r="AP107" s="267" t="str">
        <f>$AG$3</f>
        <v>2023/24</v>
      </c>
      <c r="AQ107" s="496" t="str">
        <f>$AC$3</f>
        <v>2019/20</v>
      </c>
      <c r="AR107" s="354" t="str">
        <f>$AD$3</f>
        <v>2020/21</v>
      </c>
      <c r="AS107" s="354" t="str">
        <f>$AE$3</f>
        <v>2021/22</v>
      </c>
      <c r="AT107" s="354" t="str">
        <f>$AF$3</f>
        <v>2022/23</v>
      </c>
      <c r="AU107" s="267" t="str">
        <f>$AG$3</f>
        <v>2023/24</v>
      </c>
      <c r="AV107" s="436" t="str">
        <f>$AC$3</f>
        <v>2019/20</v>
      </c>
      <c r="AW107" s="354" t="str">
        <f>$AD$3</f>
        <v>2020/21</v>
      </c>
      <c r="AX107" s="354" t="str">
        <f>$AE$3</f>
        <v>2021/22</v>
      </c>
      <c r="AY107" s="354" t="str">
        <f>$AF$3</f>
        <v>2022/23</v>
      </c>
      <c r="AZ107" s="354" t="str">
        <f>$AG$3</f>
        <v>2023/24</v>
      </c>
      <c r="BA107" s="354" t="str">
        <f>$AC$3</f>
        <v>2019/20</v>
      </c>
      <c r="BB107" s="354" t="str">
        <f>$AD$3</f>
        <v>2020/21</v>
      </c>
      <c r="BC107" s="354" t="str">
        <f>$AE$3</f>
        <v>2021/22</v>
      </c>
      <c r="BD107" s="354" t="str">
        <f>$AF$3</f>
        <v>2022/23</v>
      </c>
      <c r="BE107" s="354" t="str">
        <f>$AG$3</f>
        <v>2023/24</v>
      </c>
      <c r="BF107" s="354" t="str">
        <f>$AC$3</f>
        <v>2019/20</v>
      </c>
      <c r="BG107" s="354" t="str">
        <f>$AD$3</f>
        <v>2020/21</v>
      </c>
      <c r="BH107" s="354" t="str">
        <f>$AE$3</f>
        <v>2021/22</v>
      </c>
      <c r="BI107" s="354" t="str">
        <f>$AF$3</f>
        <v>2022/23</v>
      </c>
      <c r="BJ107" s="354" t="str">
        <f>$AG$3</f>
        <v>2023/24</v>
      </c>
      <c r="BK107" s="354" t="str">
        <f>$AC$3</f>
        <v>2019/20</v>
      </c>
      <c r="BL107" s="354" t="str">
        <f>$AD$3</f>
        <v>2020/21</v>
      </c>
      <c r="BM107" s="354" t="str">
        <f>$AE$3</f>
        <v>2021/22</v>
      </c>
      <c r="BN107" s="354" t="str">
        <f>$AF$3</f>
        <v>2022/23</v>
      </c>
      <c r="BO107" s="354" t="str">
        <f>$AG$3</f>
        <v>2023/24</v>
      </c>
      <c r="BP107" s="354" t="str">
        <f>$AC$3</f>
        <v>2019/20</v>
      </c>
      <c r="BQ107" s="354" t="str">
        <f>$AD$3</f>
        <v>2020/21</v>
      </c>
      <c r="BR107" s="354" t="str">
        <f>$AE$3</f>
        <v>2021/22</v>
      </c>
      <c r="BS107" s="354" t="str">
        <f>$AF$3</f>
        <v>2022/23</v>
      </c>
      <c r="BT107" s="354" t="str">
        <f>$AG$3</f>
        <v>2023/24</v>
      </c>
      <c r="BU107" s="354" t="str">
        <f>$AC$3</f>
        <v>2019/20</v>
      </c>
      <c r="BV107" s="354" t="str">
        <f>$AD$3</f>
        <v>2020/21</v>
      </c>
      <c r="BW107" s="354" t="str">
        <f>$AE$3</f>
        <v>2021/22</v>
      </c>
      <c r="BX107" s="354" t="str">
        <f>$AF$3</f>
        <v>2022/23</v>
      </c>
      <c r="BY107" s="354" t="str">
        <f>$AG$3</f>
        <v>2023/24</v>
      </c>
      <c r="BZ107" s="354" t="str">
        <f>$AC$3</f>
        <v>2019/20</v>
      </c>
      <c r="CA107" s="354" t="str">
        <f>$AD$3</f>
        <v>2020/21</v>
      </c>
      <c r="CB107" s="354" t="str">
        <f>$AE$3</f>
        <v>2021/22</v>
      </c>
      <c r="CC107" s="354" t="str">
        <f>$AF$3</f>
        <v>2022/23</v>
      </c>
      <c r="CD107" s="354" t="str">
        <f>$AG$3</f>
        <v>2023/24</v>
      </c>
      <c r="CE107" s="354" t="str">
        <f>$AC$3</f>
        <v>2019/20</v>
      </c>
      <c r="CF107" s="354" t="str">
        <f>$AD$3</f>
        <v>2020/21</v>
      </c>
      <c r="CG107" s="354" t="str">
        <f>$AE$3</f>
        <v>2021/22</v>
      </c>
      <c r="CH107" s="354" t="str">
        <f>$AF$3</f>
        <v>2022/23</v>
      </c>
      <c r="CI107" s="354" t="str">
        <f>$AG$3</f>
        <v>2023/24</v>
      </c>
      <c r="CJ107" s="354" t="str">
        <f>$AC$3</f>
        <v>2019/20</v>
      </c>
      <c r="CK107" s="354" t="str">
        <f>$AD$3</f>
        <v>2020/21</v>
      </c>
      <c r="CL107" s="354" t="str">
        <f>$AE$3</f>
        <v>2021/22</v>
      </c>
      <c r="CM107" s="354" t="str">
        <f>$AF$3</f>
        <v>2022/23</v>
      </c>
      <c r="CN107" s="354" t="str">
        <f>$AG$3</f>
        <v>2023/24</v>
      </c>
      <c r="CO107" s="354" t="str">
        <f>$AC$3</f>
        <v>2019/20</v>
      </c>
      <c r="CP107" s="354" t="str">
        <f>$AD$3</f>
        <v>2020/21</v>
      </c>
      <c r="CQ107" s="354" t="str">
        <f>$AE$3</f>
        <v>2021/22</v>
      </c>
      <c r="CR107" s="354" t="str">
        <f>$AF$3</f>
        <v>2022/23</v>
      </c>
      <c r="CS107" s="354" t="str">
        <f>$AG$3</f>
        <v>2023/24</v>
      </c>
      <c r="CT107" s="354" t="str">
        <f>$AC$3</f>
        <v>2019/20</v>
      </c>
      <c r="CU107" s="354" t="str">
        <f>$AD$3</f>
        <v>2020/21</v>
      </c>
      <c r="CV107" s="354" t="str">
        <f>$AE$3</f>
        <v>2021/22</v>
      </c>
      <c r="CW107" s="354" t="str">
        <f>$AF$3</f>
        <v>2022/23</v>
      </c>
      <c r="CX107" s="354" t="str">
        <f>$AG$3</f>
        <v>2023/24</v>
      </c>
      <c r="CY107" s="354" t="str">
        <f>$AC$3</f>
        <v>2019/20</v>
      </c>
      <c r="CZ107" s="354" t="str">
        <f>$AD$3</f>
        <v>2020/21</v>
      </c>
      <c r="DA107" s="354" t="str">
        <f>$AE$3</f>
        <v>2021/22</v>
      </c>
      <c r="DB107" s="354" t="str">
        <f>$AF$3</f>
        <v>2022/23</v>
      </c>
      <c r="DC107" s="354" t="str">
        <f>$AG$3</f>
        <v>2023/24</v>
      </c>
      <c r="DD107" s="354" t="str">
        <f>$AC$3</f>
        <v>2019/20</v>
      </c>
      <c r="DE107" s="354" t="str">
        <f>$AD$3</f>
        <v>2020/21</v>
      </c>
      <c r="DF107" s="354" t="str">
        <f>$AE$3</f>
        <v>2021/22</v>
      </c>
      <c r="DG107" s="354" t="str">
        <f>$AF$3</f>
        <v>2022/23</v>
      </c>
      <c r="DH107" s="354" t="str">
        <f>$AG$3</f>
        <v>2023/24</v>
      </c>
      <c r="DI107" s="354" t="str">
        <f>$AC$3</f>
        <v>2019/20</v>
      </c>
      <c r="DJ107" s="354" t="str">
        <f>$AD$3</f>
        <v>2020/21</v>
      </c>
      <c r="DK107" s="354" t="str">
        <f>$AE$3</f>
        <v>2021/22</v>
      </c>
      <c r="DL107" s="354" t="str">
        <f>$AF$3</f>
        <v>2022/23</v>
      </c>
      <c r="DM107" s="354" t="str">
        <f>$AG$3</f>
        <v>2023/24</v>
      </c>
      <c r="DN107" s="354" t="str">
        <f>$AC$3</f>
        <v>2019/20</v>
      </c>
      <c r="DO107" s="354" t="str">
        <f>$AD$3</f>
        <v>2020/21</v>
      </c>
      <c r="DP107" s="354" t="str">
        <f>$AE$3</f>
        <v>2021/22</v>
      </c>
      <c r="DQ107" s="354" t="str">
        <f>$AF$3</f>
        <v>2022/23</v>
      </c>
      <c r="DR107" s="354" t="str">
        <f>$AG$3</f>
        <v>2023/24</v>
      </c>
      <c r="DS107" s="354" t="str">
        <f>$AC$3</f>
        <v>2019/20</v>
      </c>
      <c r="DT107" s="354" t="str">
        <f>$AD$3</f>
        <v>2020/21</v>
      </c>
      <c r="DU107" s="354" t="str">
        <f>$AE$3</f>
        <v>2021/22</v>
      </c>
      <c r="DV107" s="354" t="str">
        <f>$AF$3</f>
        <v>2022/23</v>
      </c>
      <c r="DW107" s="354" t="str">
        <f>$AG$3</f>
        <v>2023/24</v>
      </c>
      <c r="DX107" s="354" t="str">
        <f>$AC$3</f>
        <v>2019/20</v>
      </c>
      <c r="DY107" s="354" t="str">
        <f>$AD$3</f>
        <v>2020/21</v>
      </c>
      <c r="DZ107" s="354" t="str">
        <f>$AE$3</f>
        <v>2021/22</v>
      </c>
      <c r="EA107" s="354" t="str">
        <f>$AF$3</f>
        <v>2022/23</v>
      </c>
      <c r="EB107" s="354" t="str">
        <f>$AG$3</f>
        <v>2023/24</v>
      </c>
    </row>
    <row r="108" spans="1:132" ht="17.25" customHeight="1">
      <c r="A108" s="1103">
        <f>VLOOKUP(B108,ReportData!$AQ$4:$AR$25,2,FALSE)</f>
        <v>0</v>
      </c>
      <c r="B108" s="1114" t="str">
        <f>ReportData!$K$14</f>
        <v>Portsmouth</v>
      </c>
      <c r="C108" s="5"/>
      <c r="D108" s="1796"/>
      <c r="E108" s="1797"/>
      <c r="F108" s="1796"/>
      <c r="G108" s="1797"/>
      <c r="H108" s="1796"/>
      <c r="I108" s="1797"/>
      <c r="J108" s="1796"/>
      <c r="K108" s="1797"/>
      <c r="L108" s="1796"/>
      <c r="M108" s="1797"/>
      <c r="N108" s="1796"/>
      <c r="O108" s="1797"/>
      <c r="P108" s="1796"/>
      <c r="Q108" s="1797"/>
      <c r="R108" s="1796"/>
      <c r="S108" s="1797"/>
      <c r="T108" s="1796"/>
      <c r="U108" s="1797"/>
      <c r="V108" s="1796"/>
      <c r="W108" s="1797"/>
      <c r="X108" s="5"/>
      <c r="Y108" s="86"/>
      <c r="Z108" s="102"/>
      <c r="AA108" s="52"/>
      <c r="AB108" s="487">
        <f>IF(Year1_Bracknell_Forest Year1_ReferralSource_Individual_Family="","",Year1_Bracknell_Forest Year1_ReferralSource_Individual_Family)</f>
        <v>113</v>
      </c>
      <c r="AC108" s="488">
        <f>IF(Year2_Bracknell_Forest Year2_ReferralSource_Individual_Family="","",Year2_Bracknell_Forest Year2_ReferralSource_Individual_Family)</f>
        <v>142</v>
      </c>
      <c r="AD108" s="488">
        <f>IF(Year3_Bracknell_Forest Year3_ReferralSource_Individual_Family="","",Year3_Bracknell_Forest Year3_ReferralSource_Individual_Family)</f>
        <v>100</v>
      </c>
      <c r="AE108" s="488">
        <f>IF(Year4_Bracknell_Forest Year4_ReferralSource_Individual_Family="","",Year4_Bracknell_Forest Year4_ReferralSource_Individual_Family)</f>
        <v>146</v>
      </c>
      <c r="AF108" s="500">
        <f>IF(Year5_Bracknell_Forest Year5_ReferralSource_Individual_Family="","",Year5_Bracknell_Forest Year5_ReferralSource_Individual_Family)</f>
        <v>112</v>
      </c>
      <c r="AG108" s="487" t="str">
        <f>IF(Year1_Bracknell_Forest Year1_ReferralSource_Individual_Acquaintance="","",Year1_Bracknell_Forest Year1_ReferralSource_Individual_Acquaintance)</f>
        <v/>
      </c>
      <c r="AH108" s="488" t="str">
        <f>IF(Year2_Bracknell_Forest Year2_ReferralSource_Individual_Acquaintance="","",Year2_Bracknell_Forest Year2_ReferralSource_Individual_Acquaintance)</f>
        <v/>
      </c>
      <c r="AI108" s="488" t="str">
        <f>IF(Year3_Bracknell_Forest Year3_ReferralSource_Individual_Acquaintance="","",Year3_Bracknell_Forest Year3_ReferralSource_Individual_Acquaintance)</f>
        <v/>
      </c>
      <c r="AJ108" s="488" t="str">
        <f>IF(Year4_Bracknell_Forest Year4_ReferralSource_Individual_Acquaintance="","",Year4_Bracknell_Forest Year4_ReferralSource_Individual_Acquaintance)</f>
        <v/>
      </c>
      <c r="AK108" s="489" t="str">
        <f>IF(Year5_Bracknell_Forest Year5_ReferralSource_Individual_Acquaintance="","",Year5_Bracknell_Forest Year5_ReferralSource_Individual_Acquaintance)</f>
        <v/>
      </c>
      <c r="AL108" s="487" t="str">
        <f>IF(Year1_Bracknell_Forest Year1_ReferralSource_Individual_Self="","",Year1_Bracknell_Forest Year1_ReferralSource_Individual_Self)</f>
        <v/>
      </c>
      <c r="AM108" s="488" t="str">
        <f>IF(Year2_Bracknell_Forest Year2_ReferralSource_Individual_Self="","",Year2_Bracknell_Forest Year2_ReferralSource_Individual_Self)</f>
        <v/>
      </c>
      <c r="AN108" s="488" t="str">
        <f>IF(Year3_Bracknell_Forest Year3_ReferralSource_Individual_Self="","",Year3_Bracknell_Forest Year3_ReferralSource_Individual_Self)</f>
        <v/>
      </c>
      <c r="AO108" s="488" t="str">
        <f>IF(Year4_Bracknell_Forest Year4_ReferralSource_Individual_Self="","",Year4_Bracknell_Forest Year4_ReferralSource_Individual_Self)</f>
        <v/>
      </c>
      <c r="AP108" s="489" t="str">
        <f>IF(Year5_Bracknell_Forest Year5_ReferralSource_Individual_Self="","",Year5_Bracknell_Forest Year5_ReferralSource_Individual_Self)</f>
        <v/>
      </c>
      <c r="AQ108" s="487" t="str">
        <f>IF(Year1_Bracknell_Forest Year1_ReferralSource_Individual_Other="","",Year1_Bracknell_Forest Year1_ReferralSource_Individual_Other)</f>
        <v/>
      </c>
      <c r="AR108" s="488" t="str">
        <f>IF(Year2_Bracknell_Forest Year2_ReferralSource_Individual_Other="","",Year2_Bracknell_Forest Year2_ReferralSource_Individual_Other)</f>
        <v/>
      </c>
      <c r="AS108" s="488" t="str">
        <f>IF(Year3_Bracknell_Forest Year3_ReferralSource_Individual_Other="","",Year3_Bracknell_Forest Year3_ReferralSource_Individual_Other)</f>
        <v/>
      </c>
      <c r="AT108" s="488" t="str">
        <f>IF(Year4_Bracknell_Forest Year4_ReferralSource_Individual_Other="","",Year4_Bracknell_Forest Year4_ReferralSource_Individual_Other)</f>
        <v/>
      </c>
      <c r="AU108" s="489" t="str">
        <f>IF(Year5_Bracknell_Forest Year5_ReferralSource_Individual_Other="","",Year5_Bracknell_Forest Year5_ReferralSource_Individual_Other)</f>
        <v/>
      </c>
      <c r="AV108" s="487">
        <f>IF(Year1_Bracknell_Forest Year1_ReferralSource_School="","",Year1_Bracknell_Forest Year1_ReferralSource_School)</f>
        <v>472</v>
      </c>
      <c r="AW108" s="488">
        <f>IF(Year2_Bracknell_Forest Year2_ReferralSource_School="","",Year2_Bracknell_Forest Year2_ReferralSource_School)</f>
        <v>260</v>
      </c>
      <c r="AX108" s="488">
        <f>IF(Year3_Bracknell_Forest Year3_ReferralSource_School="","",Year3_Bracknell_Forest Year3_ReferralSource_School)</f>
        <v>395</v>
      </c>
      <c r="AY108" s="488">
        <f>IF(Year4_Bracknell_Forest Year4_ReferralSource_School="","",Year4_Bracknell_Forest Year4_ReferralSource_School)</f>
        <v>511</v>
      </c>
      <c r="AZ108" s="489">
        <f>IF(Year5_Bracknell_Forest Year5_ReferralSource_School="","",Year5_Bracknell_Forest Year5_ReferralSource_School)</f>
        <v>421</v>
      </c>
      <c r="BA108" s="487">
        <f>IF(Year1_Bracknell_Forest Year1_ReferralSource_EducationServices="","",Year1_Bracknell_Forest Year1_ReferralSource_EducationServices)</f>
        <v>22</v>
      </c>
      <c r="BB108" s="488">
        <f>IF(Year2_Bracknell_Forest Year2_ReferralSource_EducationServices="","",Year2_Bracknell_Forest Year2_ReferralSource_EducationServices)</f>
        <v>13</v>
      </c>
      <c r="BC108" s="488">
        <f>IF(Year3_Bracknell_Forest Year3_ReferralSource_EducationServices="","",Year3_Bracknell_Forest Year3_ReferralSource_EducationServices)</f>
        <v>36</v>
      </c>
      <c r="BD108" s="488">
        <f>IF(Year4_Bracknell_Forest Year4_ReferralSource_EducationServices="","",Year4_Bracknell_Forest Year4_ReferralSource_EducationServices)</f>
        <v>24</v>
      </c>
      <c r="BE108" s="489">
        <f>IF(Year5_Bracknell_Forest Year5_ReferralSource_EducationServices="","",Year5_Bracknell_Forest Year5_ReferralSource_EducationServices)</f>
        <v>9</v>
      </c>
      <c r="BF108" s="501">
        <f>IF(Year1_Bracknell_Forest Year1_ReferralSource_Health_services_GP="","",Year1_Bracknell_Forest Year1_ReferralSource_Health_services_GP)</f>
        <v>177</v>
      </c>
      <c r="BG108" s="502">
        <f>IF(Year2_Bracknell_Forest Year2_ReferralSource_Health_services_GP="","",Year2_Bracknell_Forest Year2_ReferralSource_Health_services_GP)</f>
        <v>277</v>
      </c>
      <c r="BH108" s="502">
        <f>IF(Year3_Bracknell_Forest Year3_ReferralSource_Health_services_GP="","",Year3_Bracknell_Forest Year3_ReferralSource_Health_services_GP)</f>
        <v>178</v>
      </c>
      <c r="BI108" s="502">
        <f>IF(Year4_Bracknell_Forest Year4_ReferralSource_Health_services_GP="","",Year4_Bracknell_Forest Year4_ReferralSource_Health_services_GP)</f>
        <v>171</v>
      </c>
      <c r="BJ108" s="503">
        <f>IF(Year5_Bracknell_Forest Year5_ReferralSource_Health_services_GP="","",Year5_Bracknell_Forest Year5_ReferralSource_Health_services_GP)</f>
        <v>189</v>
      </c>
      <c r="BK108" s="501" t="str">
        <f>IF(Year1_Bracknell_Forest Year1_ReferralSource_Health_services_HealthVisitor="","",Year1_Bracknell_Forest Year1_ReferralSource_Health_services_HealthVisitor)</f>
        <v/>
      </c>
      <c r="BL108" s="502" t="str">
        <f>IF(Year2_Bracknell_Forest Year2_ReferralSource_Health_services_HealthVisitor="","",Year2_Bracknell_Forest Year2_ReferralSource_Health_services_HealthVisitor)</f>
        <v/>
      </c>
      <c r="BM108" s="502" t="str">
        <f>IF(Year3_Bracknell_Forest Year3_ReferralSource_Health_services_HealthVisitor="","",Year3_Bracknell_Forest Year3_ReferralSource_Health_services_HealthVisitor)</f>
        <v/>
      </c>
      <c r="BN108" s="502" t="str">
        <f>IF(Year4_Bracknell_Forest Year4_ReferralSource_Health_services_HealthVisitor="","",Year4_Bracknell_Forest Year4_ReferralSource_Health_services_HealthVisitor)</f>
        <v/>
      </c>
      <c r="BO108" s="503" t="str">
        <f>IF(Year5_Bracknell_Forest Year5_ReferralSource_Health_services_HealthVisitor="","",Year5_Bracknell_Forest Year5_ReferralSource_Health_services_HealthVisitor)</f>
        <v/>
      </c>
      <c r="BP108" s="501" t="str">
        <f>IF(Year1_Bracknell_Forest Year1_ReferralSource_Health_services_SchoolNurse="","",Year1_Bracknell_Forest Year1_ReferralSource_Health_services_SchoolNurse)</f>
        <v/>
      </c>
      <c r="BQ108" s="502" t="str">
        <f>IF(Year2_Bracknell_Forest Year2_ReferralSource_Health_services_SchoolNurse="","",Year2_Bracknell_Forest Year2_ReferralSource_Health_services_SchoolNurse)</f>
        <v/>
      </c>
      <c r="BR108" s="502" t="str">
        <f>IF(Year3_Bracknell_Forest Year3_ReferralSource_Health_services_SchoolNurse="","",Year3_Bracknell_Forest Year3_ReferralSource_Health_services_SchoolNurse)</f>
        <v/>
      </c>
      <c r="BS108" s="502" t="str">
        <f>IF(Year4_Bracknell_Forest Year4_ReferralSource_Health_services_SchoolNurse="","",Year4_Bracknell_Forest Year4_ReferralSource_Health_services_SchoolNurse)</f>
        <v/>
      </c>
      <c r="BT108" s="503" t="str">
        <f>IF(Year5_Bracknell_Forest Year5_ReferralSource_Health_services_SchoolNurse="","",Year5_Bracknell_Forest Year5_ReferralSource_Health_services_SchoolNurse)</f>
        <v/>
      </c>
      <c r="BU108" s="501" t="str">
        <f>IF(Year1_Bracknell_Forest Year1_ReferralSource_Health_services_OthPrimary="","",Year1_Bracknell_Forest Year1_ReferralSource_Health_services_OthPrimary)</f>
        <v/>
      </c>
      <c r="BV108" s="502" t="str">
        <f>IF(Year2_Bracknell_Forest Year2_ReferralSource_Health_services_OthPrimary="","",Year2_Bracknell_Forest Year2_ReferralSource_Health_services_OthPrimary)</f>
        <v/>
      </c>
      <c r="BW108" s="502" t="str">
        <f>IF(Year3_Bracknell_Forest Year3_ReferralSource_Health_services_OthPrimary="","",Year3_Bracknell_Forest Year3_ReferralSource_Health_services_OthPrimary)</f>
        <v/>
      </c>
      <c r="BX108" s="502" t="str">
        <f>IF(Year4_Bracknell_Forest Year4_ReferralSource_Health_services_OthPrimary="","",Year4_Bracknell_Forest Year4_ReferralSource_Health_services_OthPrimary)</f>
        <v/>
      </c>
      <c r="BY108" s="503" t="str">
        <f>IF(Year5_Bracknell_Forest Year5_ReferralSource_Health_services_OthPrimary="","",Year5_Bracknell_Forest Year5_ReferralSource_Health_services_OthPrimary)</f>
        <v/>
      </c>
      <c r="BZ108" s="501" t="str">
        <f>IF(Year1_Bracknell_Forest Year1_ReferralSource_Health_services_AE="","",Year1_Bracknell_Forest Year1_ReferralSource_Health_services_AE)</f>
        <v/>
      </c>
      <c r="CA108" s="502" t="str">
        <f>IF(Year2_Bracknell_Forest Year2_ReferralSource_Health_services_AE="","",Year2_Bracknell_Forest Year2_ReferralSource_Health_services_AE)</f>
        <v/>
      </c>
      <c r="CB108" s="502" t="str">
        <f>IF(Year3_Bracknell_Forest Year3_ReferralSource_Health_services_AE="","",Year3_Bracknell_Forest Year3_ReferralSource_Health_services_AE)</f>
        <v/>
      </c>
      <c r="CC108" s="502" t="str">
        <f>IF(Year4_Bracknell_Forest Year4_ReferralSource_Health_services_AE="","",Year4_Bracknell_Forest Year4_ReferralSource_Health_services_AE)</f>
        <v/>
      </c>
      <c r="CD108" s="503" t="str">
        <f>IF(Year5_Bracknell_Forest Year5_ReferralSource_Health_services_AE="","",Year5_Bracknell_Forest Year5_ReferralSource_Health_services_AE)</f>
        <v/>
      </c>
      <c r="CE108" s="501" t="str">
        <f>IF(Year1_Bracknell_Forest Year1_ReferralSource_Health_services_Other="","",Year1_Bracknell_Forest Year1_ReferralSource_Health_services_Other)</f>
        <v/>
      </c>
      <c r="CF108" s="502" t="str">
        <f>IF(Year2_Bracknell_Forest Year2_ReferralSource_Health_services_Other="","",Year2_Bracknell_Forest Year2_ReferralSource_Health_services_Other)</f>
        <v/>
      </c>
      <c r="CG108" s="502" t="str">
        <f>IF(Year3_Bracknell_Forest Year3_ReferralSource_Health_services_Other="","",Year3_Bracknell_Forest Year3_ReferralSource_Health_services_Other)</f>
        <v/>
      </c>
      <c r="CH108" s="502" t="str">
        <f>IF(Year4_Bracknell_Forest Year4_ReferralSource_Health_services_Other="","",Year4_Bracknell_Forest Year4_ReferralSource_Health_services_Other)</f>
        <v/>
      </c>
      <c r="CI108" s="503" t="str">
        <f>IF(Year5_Bracknell_Forest Year5_ReferralSource_Health_services_Other="","",Year5_Bracknell_Forest Year5_ReferralSource_Health_services_Other)</f>
        <v/>
      </c>
      <c r="CJ108" s="487">
        <f>IF(Year1_Bracknell_Forest Year1_ReferralSource_Housing="","",Year1_Bracknell_Forest Year1_ReferralSource_Housing)</f>
        <v>18</v>
      </c>
      <c r="CK108" s="488">
        <f>IF(Year2_Bracknell_Forest Year2_ReferralSource_Housing="","",Year2_Bracknell_Forest Year2_ReferralSource_Housing)</f>
        <v>25</v>
      </c>
      <c r="CL108" s="488" t="str">
        <f>IF(Year3_Bracknell_Forest Year3_ReferralSource_Housing="","",Year3_Bracknell_Forest Year3_ReferralSource_Housing)</f>
        <v>c</v>
      </c>
      <c r="CM108" s="488">
        <f>IF(Year4_Bracknell_Forest Year4_ReferralSource_Housing="","",Year4_Bracknell_Forest Year4_ReferralSource_Housing)</f>
        <v>0</v>
      </c>
      <c r="CN108" s="489">
        <f>IF(Year5_Bracknell_Forest Year5_ReferralSource_Housing="","",Year5_Bracknell_Forest Year5_ReferralSource_Housing)</f>
        <v>26</v>
      </c>
      <c r="CO108" s="487">
        <f>IF(Year1_Bracknell_Forest Year1_ReferralSource_LA_SC="","",Year1_Bracknell_Forest Year1_ReferralSource_LA_SC)</f>
        <v>377</v>
      </c>
      <c r="CP108" s="488">
        <f>IF(Year2_Bracknell_Forest Year2_ReferralSource_LA_SC="","",Year2_Bracknell_Forest Year2_ReferralSource_LA_SC)</f>
        <v>304</v>
      </c>
      <c r="CQ108" s="488">
        <f>IF(Year3_Bracknell_Forest Year3_ReferralSource_LA_SC="","",Year3_Bracknell_Forest Year3_ReferralSource_LA_SC)</f>
        <v>361</v>
      </c>
      <c r="CR108" s="488">
        <f>IF(Year4_Bracknell_Forest Year4_ReferralSource_LA_SC="","",Year4_Bracknell_Forest Year4_ReferralSource_LA_SC)</f>
        <v>375</v>
      </c>
      <c r="CS108" s="489">
        <f>IF(Year5_Bracknell_Forest Year5_ReferralSource_LA_SC="","",Year5_Bracknell_Forest Year5_ReferralSource_LA_SC)</f>
        <v>314</v>
      </c>
      <c r="CT108" s="487" t="str">
        <f>IF(Year1_Bracknell_Forest Year1_ReferralSource_LA_Other="","",Year1_Bracknell_Forest Year1_ReferralSource_LA_Other)</f>
        <v/>
      </c>
      <c r="CU108" s="488" t="str">
        <f>IF(Year2_Bracknell_Forest Year2_ReferralSource_LA_Other="","",Year2_Bracknell_Forest Year2_ReferralSource_LA_Other)</f>
        <v/>
      </c>
      <c r="CV108" s="488" t="str">
        <f>IF(Year3_Bracknell_Forest Year3_ReferralSource_LA_Other="","",Year3_Bracknell_Forest Year3_ReferralSource_LA_Other)</f>
        <v/>
      </c>
      <c r="CW108" s="488" t="str">
        <f>IF(Year4_Bracknell_Forest Year4_ReferralSource_LA_Other="","",Year4_Bracknell_Forest Year4_ReferralSource_LA_Other)</f>
        <v/>
      </c>
      <c r="CX108" s="489" t="str">
        <f>IF(Year5_Bracknell_Forest Year5_ReferralSource_LA_Other="","",Year5_Bracknell_Forest Year5_ReferralSource_LA_Other)</f>
        <v/>
      </c>
      <c r="CY108" s="487" t="str">
        <f>IF(Year1_Bracknell_Forest Year1_ReferralSource_LA_External="","",Year1_Bracknell_Forest Year1_ReferralSource_LA_External)</f>
        <v/>
      </c>
      <c r="CZ108" s="488" t="str">
        <f>IF(Year2_Bracknell_Forest Year2_ReferralSource_LA_External="","",Year2_Bracknell_Forest Year2_ReferralSource_LA_External)</f>
        <v/>
      </c>
      <c r="DA108" s="488" t="str">
        <f>IF(Year3_Bracknell_Forest Year3_ReferralSource_LA_External="","",Year3_Bracknell_Forest Year3_ReferralSource_LA_External)</f>
        <v/>
      </c>
      <c r="DB108" s="488" t="str">
        <f>IF(Year4_Bracknell_Forest Year4_ReferralSource_LA_External="","",Year4_Bracknell_Forest Year4_ReferralSource_LA_External)</f>
        <v/>
      </c>
      <c r="DC108" s="489" t="str">
        <f>IF(Year5_Bracknell_Forest Year5_ReferralSource_LA_External="","",Year5_Bracknell_Forest Year5_ReferralSource_LA_External)</f>
        <v/>
      </c>
      <c r="DD108" s="487">
        <f>IF(Year1_Bracknell_Forest Year1_ReferralSource_Police="","",Year1_Bracknell_Forest Year1_ReferralSource_Police)</f>
        <v>387</v>
      </c>
      <c r="DE108" s="488">
        <f>IF(Year2_Bracknell_Forest Year2_ReferralSource_Police="","",Year2_Bracknell_Forest Year2_ReferralSource_Police)</f>
        <v>508</v>
      </c>
      <c r="DF108" s="488">
        <f>IF(Year3_Bracknell_Forest Year3_ReferralSource_Police="","",Year3_Bracknell_Forest Year3_ReferralSource_Police)</f>
        <v>345</v>
      </c>
      <c r="DG108" s="488">
        <f>IF(Year4_Bracknell_Forest Year4_ReferralSource_Police="","",Year4_Bracknell_Forest Year4_ReferralSource_Police)</f>
        <v>408</v>
      </c>
      <c r="DH108" s="489">
        <f>IF(Year5_Bracknell_Forest Year5_ReferralSource_Police="","",Year5_Bracknell_Forest Year5_ReferralSource_Police)</f>
        <v>346</v>
      </c>
      <c r="DI108" s="487">
        <f>IF(Year1_Bracknell_Forest Year1_ReferralSource_Other_Legal="","",Year1_Bracknell_Forest Year1_ReferralSource_Other_Legal)</f>
        <v>42</v>
      </c>
      <c r="DJ108" s="488">
        <f>IF(Year2_Bracknell_Forest Year2_ReferralSource_Other_Legal="","",Year2_Bracknell_Forest Year2_ReferralSource_Other_Legal)</f>
        <v>59</v>
      </c>
      <c r="DK108" s="488">
        <f>IF(Year3_Bracknell_Forest Year3_ReferralSource_Other_Legal="","",Year3_Bracknell_Forest Year3_ReferralSource_Other_Legal)</f>
        <v>43</v>
      </c>
      <c r="DL108" s="488">
        <f>IF(Year4_Bracknell_Forest Year4_ReferralSource_Other_Legal="","",Year4_Bracknell_Forest Year4_ReferralSource_Other_Legal)</f>
        <v>56</v>
      </c>
      <c r="DM108" s="489">
        <f>IF(Year5_Bracknell_Forest Year5_ReferralSource_Other_Legal="","",Year5_Bracknell_Forest Year5_ReferralSource_Other_Legal)</f>
        <v>39</v>
      </c>
      <c r="DN108" s="487">
        <f>IF(Year1_Bracknell_Forest Year1_ReferralSource_Other="","",Year1_Bracknell_Forest Year1_ReferralSource_Other)</f>
        <v>68</v>
      </c>
      <c r="DO108" s="488">
        <f>IF(Year2_Bracknell_Forest Year2_ReferralSource_Other="","",Year2_Bracknell_Forest Year2_ReferralSource_Other)</f>
        <v>60</v>
      </c>
      <c r="DP108" s="488">
        <f>IF(Year3_Bracknell_Forest Year3_ReferralSource_Other="","",Year3_Bracknell_Forest Year3_ReferralSource_Other)</f>
        <v>43</v>
      </c>
      <c r="DQ108" s="488">
        <f>IF(Year4_Bracknell_Forest Year4_ReferralSource_Other="","",Year4_Bracknell_Forest Year4_ReferralSource_Other)</f>
        <v>58</v>
      </c>
      <c r="DR108" s="489">
        <f>IF(Year5_Bracknell_Forest Year5_ReferralSource_Other="","",Year5_Bracknell_Forest Year5_ReferralSource_Other)</f>
        <v>40</v>
      </c>
      <c r="DS108" s="487">
        <f>IF(Year1_Bracknell_Forest Year1_ReferralSource_Anonymous="","",Year1_Bracknell_Forest Year1_ReferralSource_Anonymous)</f>
        <v>23</v>
      </c>
      <c r="DT108" s="488">
        <f>IF(Year2_Bracknell_Forest Year2_ReferralSource_Anonymous="","",Year2_Bracknell_Forest Year2_ReferralSource_Anonymous)</f>
        <v>21</v>
      </c>
      <c r="DU108" s="488" t="str">
        <f>IF(Year3_Bracknell_Forest Year3_ReferralSource_Anonymous="","",Year3_Bracknell_Forest Year3_ReferralSource_Anonymous)</f>
        <v>c</v>
      </c>
      <c r="DV108" s="488">
        <f>IF(Year4_Bracknell_Forest Year4_ReferralSource_Anonymous="","",Year4_Bracknell_Forest Year4_ReferralSource_Anonymous)</f>
        <v>20</v>
      </c>
      <c r="DW108" s="489">
        <f>IF(Year5_Bracknell_Forest Year5_ReferralSource_Anonymous="","",Year5_Bracknell_Forest Year5_ReferralSource_Anonymous)</f>
        <v>15</v>
      </c>
      <c r="DX108" s="487">
        <f>IF(Year1_Bracknell_Forest Year1_ReferralSource_Unknown="","",Year1_Bracknell_Forest Year1_ReferralSource_Unknown)</f>
        <v>0</v>
      </c>
      <c r="DY108" s="488">
        <f>IF(Year2_Bracknell_Forest Year2_ReferralSource_Unknown="","",Year2_Bracknell_Forest Year2_ReferralSource_Unknown)</f>
        <v>0</v>
      </c>
      <c r="DZ108" s="488">
        <f>IF(Year3_Bracknell_Forest Year3_ReferralSource_Unknown="","",Year3_Bracknell_Forest Year3_ReferralSource_Unknown)</f>
        <v>0</v>
      </c>
      <c r="EA108" s="488">
        <f>IF(Year4_Bracknell_Forest Year4_ReferralSource_Unknown="","",Year4_Bracknell_Forest Year4_ReferralSource_Unknown)</f>
        <v>0</v>
      </c>
      <c r="EB108" s="489">
        <f>IF(Year5_Bracknell_Forest Year5_ReferralSource_Unknown="","",Year5_Bracknell_Forest Year5_ReferralSource_Unknown)</f>
        <v>0</v>
      </c>
    </row>
    <row r="109" spans="1:132" ht="17.25" customHeight="1">
      <c r="A109" s="1103">
        <f>VLOOKUP(B109,ReportData!$AQ$4:$AR$25,2,FALSE)</f>
        <v>0</v>
      </c>
      <c r="B109" s="1114" t="str">
        <f>ReportData!$K$15</f>
        <v>Reading</v>
      </c>
      <c r="C109" s="5"/>
      <c r="D109" s="1796"/>
      <c r="E109" s="1797"/>
      <c r="F109" s="1796"/>
      <c r="G109" s="1797"/>
      <c r="H109" s="1796"/>
      <c r="I109" s="1797"/>
      <c r="J109" s="1796"/>
      <c r="K109" s="1797"/>
      <c r="L109" s="1796"/>
      <c r="M109" s="1797"/>
      <c r="N109" s="1796"/>
      <c r="O109" s="1797"/>
      <c r="P109" s="1796"/>
      <c r="Q109" s="1797"/>
      <c r="R109" s="1796"/>
      <c r="S109" s="1797"/>
      <c r="T109" s="1796"/>
      <c r="U109" s="1797"/>
      <c r="V109" s="1796"/>
      <c r="W109" s="1797"/>
      <c r="X109" s="5"/>
      <c r="Y109" s="86"/>
      <c r="Z109" s="102"/>
      <c r="AA109" s="52"/>
      <c r="AB109" s="487">
        <f>IF(Year1_Brighton_and_Hove Year1_ReferralSource_Individual_Family="","",Year1_Brighton_and_Hove Year1_ReferralSource_Individual_Family)</f>
        <v>105</v>
      </c>
      <c r="AC109" s="488">
        <f>IF(Year2_Brighton_and_Hove Year2_ReferralSource_Individual_Family="","",Year2_Brighton_and_Hove Year2_ReferralSource_Individual_Family)</f>
        <v>140</v>
      </c>
      <c r="AD109" s="488">
        <f>IF(Year3_Brighton_and_Hove Year3_ReferralSource_Individual_Family="","",Year3_Brighton_and_Hove Year3_ReferralSource_Individual_Family)</f>
        <v>219</v>
      </c>
      <c r="AE109" s="488">
        <f>IF(Year4_Brighton_and_Hove Year4_ReferralSource_Individual_Family="","",Year4_Brighton_and_Hove Year4_ReferralSource_Individual_Family)</f>
        <v>262</v>
      </c>
      <c r="AF109" s="500">
        <f>IF(Year5_Brighton_and_Hove Year5_ReferralSource_Individual_Family="","",Year5_Brighton_and_Hove Year5_ReferralSource_Individual_Family)</f>
        <v>212</v>
      </c>
      <c r="AG109" s="487" t="str">
        <f>IF(Year1_Brighton_and_Hove Year1_ReferralSource_Individual_Acquaintance="","",Year1_Brighton_and_Hove Year1_ReferralSource_Individual_Acquaintance)</f>
        <v/>
      </c>
      <c r="AH109" s="488" t="str">
        <f>IF(Year2_Brighton_and_Hove Year2_ReferralSource_Individual_Acquaintance="","",Year2_Brighton_and_Hove Year2_ReferralSource_Individual_Acquaintance)</f>
        <v/>
      </c>
      <c r="AI109" s="488" t="str">
        <f>IF(Year3_Brighton_and_Hove Year3_ReferralSource_Individual_Acquaintance="","",Year3_Brighton_and_Hove Year3_ReferralSource_Individual_Acquaintance)</f>
        <v/>
      </c>
      <c r="AJ109" s="488" t="str">
        <f>IF(Year4_Brighton_and_Hove Year4_ReferralSource_Individual_Acquaintance="","",Year4_Brighton_and_Hove Year4_ReferralSource_Individual_Acquaintance)</f>
        <v/>
      </c>
      <c r="AK109" s="489" t="str">
        <f>IF(Year5_Brighton_and_Hove Year5_ReferralSource_Individual_Acquaintance="","",Year5_Brighton_and_Hove Year5_ReferralSource_Individual_Acquaintance)</f>
        <v/>
      </c>
      <c r="AL109" s="487" t="str">
        <f>IF(Year1_Brighton_and_Hove Year1_ReferralSource_Individual_Self="","",Year1_Brighton_and_Hove Year1_ReferralSource_Individual_Self)</f>
        <v/>
      </c>
      <c r="AM109" s="488" t="str">
        <f>IF(Year2_Brighton_and_Hove Year2_ReferralSource_Individual_Self="","",Year2_Brighton_and_Hove Year2_ReferralSource_Individual_Self)</f>
        <v/>
      </c>
      <c r="AN109" s="488" t="str">
        <f>IF(Year3_Brighton_and_Hove Year3_ReferralSource_Individual_Self="","",Year3_Brighton_and_Hove Year3_ReferralSource_Individual_Self)</f>
        <v/>
      </c>
      <c r="AO109" s="488" t="str">
        <f>IF(Year4_Brighton_and_Hove Year4_ReferralSource_Individual_Self="","",Year4_Brighton_and_Hove Year4_ReferralSource_Individual_Self)</f>
        <v/>
      </c>
      <c r="AP109" s="489" t="str">
        <f>IF(Year5_Brighton_and_Hove Year5_ReferralSource_Individual_Self="","",Year5_Brighton_and_Hove Year5_ReferralSource_Individual_Self)</f>
        <v/>
      </c>
      <c r="AQ109" s="487" t="str">
        <f>IF(Year1_Brighton_and_Hove Year1_ReferralSource_Individual_Other="","",Year1_Brighton_and_Hove Year1_ReferralSource_Individual_Other)</f>
        <v/>
      </c>
      <c r="AR109" s="488" t="str">
        <f>IF(Year2_Brighton_and_Hove Year2_ReferralSource_Individual_Other="","",Year2_Brighton_and_Hove Year2_ReferralSource_Individual_Other)</f>
        <v/>
      </c>
      <c r="AS109" s="488" t="str">
        <f>IF(Year3_Brighton_and_Hove Year3_ReferralSource_Individual_Other="","",Year3_Brighton_and_Hove Year3_ReferralSource_Individual_Other)</f>
        <v/>
      </c>
      <c r="AT109" s="488" t="str">
        <f>IF(Year4_Brighton_and_Hove Year4_ReferralSource_Individual_Other="","",Year4_Brighton_and_Hove Year4_ReferralSource_Individual_Other)</f>
        <v/>
      </c>
      <c r="AU109" s="489" t="str">
        <f>IF(Year5_Brighton_and_Hove Year5_ReferralSource_Individual_Other="","",Year5_Brighton_and_Hove Year5_ReferralSource_Individual_Other)</f>
        <v/>
      </c>
      <c r="AV109" s="487">
        <f>IF(Year1_Brighton_and_Hove Year1_ReferralSource_School="","",Year1_Brighton_and_Hove Year1_ReferralSource_School)</f>
        <v>546</v>
      </c>
      <c r="AW109" s="488">
        <f>IF(Year2_Brighton_and_Hove Year2_ReferralSource_School="","",Year2_Brighton_and_Hove Year2_ReferralSource_School)</f>
        <v>255</v>
      </c>
      <c r="AX109" s="488">
        <f>IF(Year3_Brighton_and_Hove Year3_ReferralSource_School="","",Year3_Brighton_and_Hove Year3_ReferralSource_School)</f>
        <v>257</v>
      </c>
      <c r="AY109" s="488">
        <f>IF(Year4_Brighton_and_Hove Year4_ReferralSource_School="","",Year4_Brighton_and_Hove Year4_ReferralSource_School)</f>
        <v>0</v>
      </c>
      <c r="AZ109" s="489">
        <f>IF(Year5_Brighton_and_Hove Year5_ReferralSource_School="","",Year5_Brighton_and_Hove Year5_ReferralSource_School)</f>
        <v>190</v>
      </c>
      <c r="BA109" s="487">
        <f>IF(Year1_Brighton_and_Hove Year1_ReferralSource_EducationServices="","",Year1_Brighton_and_Hove Year1_ReferralSource_EducationServices)</f>
        <v>126</v>
      </c>
      <c r="BB109" s="488">
        <f>IF(Year2_Brighton_and_Hove Year2_ReferralSource_EducationServices="","",Year2_Brighton_and_Hove Year2_ReferralSource_EducationServices)</f>
        <v>87</v>
      </c>
      <c r="BC109" s="488">
        <f>IF(Year3_Brighton_and_Hove Year3_ReferralSource_EducationServices="","",Year3_Brighton_and_Hove Year3_ReferralSource_EducationServices)</f>
        <v>317</v>
      </c>
      <c r="BD109" s="488">
        <f>IF(Year4_Brighton_and_Hove Year4_ReferralSource_EducationServices="","",Year4_Brighton_and_Hove Year4_ReferralSource_EducationServices)</f>
        <v>616</v>
      </c>
      <c r="BE109" s="489">
        <f>IF(Year5_Brighton_and_Hove Year5_ReferralSource_EducationServices="","",Year5_Brighton_and_Hove Year5_ReferralSource_EducationServices)</f>
        <v>562</v>
      </c>
      <c r="BF109" s="501">
        <f>IF(Year1_Brighton_and_Hove Year1_ReferralSource_Health_services_GP="","",Year1_Brighton_and_Hove Year1_ReferralSource_Health_services_GP)</f>
        <v>451</v>
      </c>
      <c r="BG109" s="502">
        <f>IF(Year2_Brighton_and_Hove Year2_ReferralSource_Health_services_GP="","",Year2_Brighton_and_Hove Year2_ReferralSource_Health_services_GP)</f>
        <v>373</v>
      </c>
      <c r="BH109" s="502">
        <f>IF(Year3_Brighton_and_Hove Year3_ReferralSource_Health_services_GP="","",Year3_Brighton_and_Hove Year3_ReferralSource_Health_services_GP)</f>
        <v>425</v>
      </c>
      <c r="BI109" s="502">
        <f>IF(Year4_Brighton_and_Hove Year4_ReferralSource_Health_services_GP="","",Year4_Brighton_and_Hove Year4_ReferralSource_Health_services_GP)</f>
        <v>441</v>
      </c>
      <c r="BJ109" s="503">
        <f>IF(Year5_Brighton_and_Hove Year5_ReferralSource_Health_services_GP="","",Year5_Brighton_and_Hove Year5_ReferralSource_Health_services_GP)</f>
        <v>484</v>
      </c>
      <c r="BK109" s="501" t="str">
        <f>IF(Year1_Brighton_and_Hove Year1_ReferralSource_Health_services_HealthVisitor="","",Year1_Brighton_and_Hove Year1_ReferralSource_Health_services_HealthVisitor)</f>
        <v/>
      </c>
      <c r="BL109" s="502" t="str">
        <f>IF(Year2_Brighton_and_Hove Year2_ReferralSource_Health_services_HealthVisitor="","",Year2_Brighton_and_Hove Year2_ReferralSource_Health_services_HealthVisitor)</f>
        <v/>
      </c>
      <c r="BM109" s="502" t="str">
        <f>IF(Year3_Brighton_and_Hove Year3_ReferralSource_Health_services_HealthVisitor="","",Year3_Brighton_and_Hove Year3_ReferralSource_Health_services_HealthVisitor)</f>
        <v/>
      </c>
      <c r="BN109" s="502" t="str">
        <f>IF(Year4_Brighton_and_Hove Year4_ReferralSource_Health_services_HealthVisitor="","",Year4_Brighton_and_Hove Year4_ReferralSource_Health_services_HealthVisitor)</f>
        <v/>
      </c>
      <c r="BO109" s="503" t="str">
        <f>IF(Year5_Brighton_and_Hove Year5_ReferralSource_Health_services_HealthVisitor="","",Year5_Brighton_and_Hove Year5_ReferralSource_Health_services_HealthVisitor)</f>
        <v/>
      </c>
      <c r="BP109" s="501" t="str">
        <f>IF(Year1_Brighton_and_Hove Year1_ReferralSource_Health_services_SchoolNurse="","",Year1_Brighton_and_Hove Year1_ReferralSource_Health_services_SchoolNurse)</f>
        <v/>
      </c>
      <c r="BQ109" s="502" t="str">
        <f>IF(Year2_Brighton_and_Hove Year2_ReferralSource_Health_services_SchoolNurse="","",Year2_Brighton_and_Hove Year2_ReferralSource_Health_services_SchoolNurse)</f>
        <v/>
      </c>
      <c r="BR109" s="502" t="str">
        <f>IF(Year3_Brighton_and_Hove Year3_ReferralSource_Health_services_SchoolNurse="","",Year3_Brighton_and_Hove Year3_ReferralSource_Health_services_SchoolNurse)</f>
        <v/>
      </c>
      <c r="BS109" s="502" t="str">
        <f>IF(Year4_Brighton_and_Hove Year4_ReferralSource_Health_services_SchoolNurse="","",Year4_Brighton_and_Hove Year4_ReferralSource_Health_services_SchoolNurse)</f>
        <v/>
      </c>
      <c r="BT109" s="503" t="str">
        <f>IF(Year5_Brighton_and_Hove Year5_ReferralSource_Health_services_SchoolNurse="","",Year5_Brighton_and_Hove Year5_ReferralSource_Health_services_SchoolNurse)</f>
        <v/>
      </c>
      <c r="BU109" s="501" t="str">
        <f>IF(Year1_Brighton_and_Hove Year1_ReferralSource_Health_services_OthPrimary="","",Year1_Brighton_and_Hove Year1_ReferralSource_Health_services_OthPrimary)</f>
        <v/>
      </c>
      <c r="BV109" s="502" t="str">
        <f>IF(Year2_Brighton_and_Hove Year2_ReferralSource_Health_services_OthPrimary="","",Year2_Brighton_and_Hove Year2_ReferralSource_Health_services_OthPrimary)</f>
        <v/>
      </c>
      <c r="BW109" s="502" t="str">
        <f>IF(Year3_Brighton_and_Hove Year3_ReferralSource_Health_services_OthPrimary="","",Year3_Brighton_and_Hove Year3_ReferralSource_Health_services_OthPrimary)</f>
        <v/>
      </c>
      <c r="BX109" s="502" t="str">
        <f>IF(Year4_Brighton_and_Hove Year4_ReferralSource_Health_services_OthPrimary="","",Year4_Brighton_and_Hove Year4_ReferralSource_Health_services_OthPrimary)</f>
        <v/>
      </c>
      <c r="BY109" s="503" t="str">
        <f>IF(Year5_Brighton_and_Hove Year5_ReferralSource_Health_services_OthPrimary="","",Year5_Brighton_and_Hove Year5_ReferralSource_Health_services_OthPrimary)</f>
        <v/>
      </c>
      <c r="BZ109" s="501" t="str">
        <f>IF(Year1_Brighton_and_Hove Year1_ReferralSource_Health_services_AE="","",Year1_Brighton_and_Hove Year1_ReferralSource_Health_services_AE)</f>
        <v/>
      </c>
      <c r="CA109" s="502" t="str">
        <f>IF(Year2_Brighton_and_Hove Year2_ReferralSource_Health_services_AE="","",Year2_Brighton_and_Hove Year2_ReferralSource_Health_services_AE)</f>
        <v/>
      </c>
      <c r="CB109" s="502" t="str">
        <f>IF(Year3_Brighton_and_Hove Year3_ReferralSource_Health_services_AE="","",Year3_Brighton_and_Hove Year3_ReferralSource_Health_services_AE)</f>
        <v/>
      </c>
      <c r="CC109" s="502" t="str">
        <f>IF(Year4_Brighton_and_Hove Year4_ReferralSource_Health_services_AE="","",Year4_Brighton_and_Hove Year4_ReferralSource_Health_services_AE)</f>
        <v/>
      </c>
      <c r="CD109" s="503" t="str">
        <f>IF(Year5_Brighton_and_Hove Year5_ReferralSource_Health_services_AE="","",Year5_Brighton_and_Hove Year5_ReferralSource_Health_services_AE)</f>
        <v/>
      </c>
      <c r="CE109" s="501" t="str">
        <f>IF(Year1_Brighton_and_Hove Year1_ReferralSource_Health_services_Other="","",Year1_Brighton_and_Hove Year1_ReferralSource_Health_services_Other)</f>
        <v/>
      </c>
      <c r="CF109" s="502" t="str">
        <f>IF(Year2_Brighton_and_Hove Year2_ReferralSource_Health_services_Other="","",Year2_Brighton_and_Hove Year2_ReferralSource_Health_services_Other)</f>
        <v/>
      </c>
      <c r="CG109" s="502" t="str">
        <f>IF(Year3_Brighton_and_Hove Year3_ReferralSource_Health_services_Other="","",Year3_Brighton_and_Hove Year3_ReferralSource_Health_services_Other)</f>
        <v/>
      </c>
      <c r="CH109" s="502" t="str">
        <f>IF(Year4_Brighton_and_Hove Year4_ReferralSource_Health_services_Other="","",Year4_Brighton_and_Hove Year4_ReferralSource_Health_services_Other)</f>
        <v/>
      </c>
      <c r="CI109" s="503" t="str">
        <f>IF(Year5_Brighton_and_Hove Year5_ReferralSource_Health_services_Other="","",Year5_Brighton_and_Hove Year5_ReferralSource_Health_services_Other)</f>
        <v/>
      </c>
      <c r="CJ109" s="487">
        <f>IF(Year1_Brighton_and_Hove Year1_ReferralSource_Housing="","",Year1_Brighton_and_Hove Year1_ReferralSource_Housing)</f>
        <v>64</v>
      </c>
      <c r="CK109" s="488">
        <f>IF(Year2_Brighton_and_Hove Year2_ReferralSource_Housing="","",Year2_Brighton_and_Hove Year2_ReferralSource_Housing)</f>
        <v>34</v>
      </c>
      <c r="CL109" s="488">
        <f>IF(Year3_Brighton_and_Hove Year3_ReferralSource_Housing="","",Year3_Brighton_and_Hove Year3_ReferralSource_Housing)</f>
        <v>16</v>
      </c>
      <c r="CM109" s="488">
        <f>IF(Year4_Brighton_and_Hove Year4_ReferralSource_Housing="","",Year4_Brighton_and_Hove Year4_ReferralSource_Housing)</f>
        <v>44</v>
      </c>
      <c r="CN109" s="489">
        <f>IF(Year5_Brighton_and_Hove Year5_ReferralSource_Housing="","",Year5_Brighton_and_Hove Year5_ReferralSource_Housing)</f>
        <v>39</v>
      </c>
      <c r="CO109" s="487">
        <f>IF(Year1_Brighton_and_Hove Year1_ReferralSource_LA_SC="","",Year1_Brighton_and_Hove Year1_ReferralSource_LA_SC)</f>
        <v>497</v>
      </c>
      <c r="CP109" s="488">
        <f>IF(Year2_Brighton_and_Hove Year2_ReferralSource_LA_SC="","",Year2_Brighton_and_Hove Year2_ReferralSource_LA_SC)</f>
        <v>460</v>
      </c>
      <c r="CQ109" s="488">
        <f>IF(Year3_Brighton_and_Hove Year3_ReferralSource_LA_SC="","",Year3_Brighton_and_Hove Year3_ReferralSource_LA_SC)</f>
        <v>458</v>
      </c>
      <c r="CR109" s="488">
        <f>IF(Year4_Brighton_and_Hove Year4_ReferralSource_LA_SC="","",Year4_Brighton_and_Hove Year4_ReferralSource_LA_SC)</f>
        <v>617</v>
      </c>
      <c r="CS109" s="489">
        <f>IF(Year5_Brighton_and_Hove Year5_ReferralSource_LA_SC="","",Year5_Brighton_and_Hove Year5_ReferralSource_LA_SC)</f>
        <v>618</v>
      </c>
      <c r="CT109" s="487" t="str">
        <f>IF(Year1_Brighton_and_Hove Year1_ReferralSource_LA_Other="","",Year1_Brighton_and_Hove Year1_ReferralSource_LA_Other)</f>
        <v/>
      </c>
      <c r="CU109" s="488" t="str">
        <f>IF(Year2_Brighton_and_Hove Year2_ReferralSource_LA_Other="","",Year2_Brighton_and_Hove Year2_ReferralSource_LA_Other)</f>
        <v/>
      </c>
      <c r="CV109" s="488" t="str">
        <f>IF(Year3_Brighton_and_Hove Year3_ReferralSource_LA_Other="","",Year3_Brighton_and_Hove Year3_ReferralSource_LA_Other)</f>
        <v/>
      </c>
      <c r="CW109" s="488" t="str">
        <f>IF(Year4_Brighton_and_Hove Year4_ReferralSource_LA_Other="","",Year4_Brighton_and_Hove Year4_ReferralSource_LA_Other)</f>
        <v/>
      </c>
      <c r="CX109" s="489" t="str">
        <f>IF(Year5_Brighton_and_Hove Year5_ReferralSource_LA_Other="","",Year5_Brighton_and_Hove Year5_ReferralSource_LA_Other)</f>
        <v/>
      </c>
      <c r="CY109" s="487" t="str">
        <f>IF(Year1_Brighton_and_Hove Year1_ReferralSource_LA_External="","",Year1_Brighton_and_Hove Year1_ReferralSource_LA_External)</f>
        <v/>
      </c>
      <c r="CZ109" s="488" t="str">
        <f>IF(Year2_Brighton_and_Hove Year2_ReferralSource_LA_External="","",Year2_Brighton_and_Hove Year2_ReferralSource_LA_External)</f>
        <v/>
      </c>
      <c r="DA109" s="488" t="str">
        <f>IF(Year3_Brighton_and_Hove Year3_ReferralSource_LA_External="","",Year3_Brighton_and_Hove Year3_ReferralSource_LA_External)</f>
        <v/>
      </c>
      <c r="DB109" s="488" t="str">
        <f>IF(Year4_Brighton_and_Hove Year4_ReferralSource_LA_External="","",Year4_Brighton_and_Hove Year4_ReferralSource_LA_External)</f>
        <v/>
      </c>
      <c r="DC109" s="489" t="str">
        <f>IF(Year5_Brighton_and_Hove Year5_ReferralSource_LA_External="","",Year5_Brighton_and_Hove Year5_ReferralSource_LA_External)</f>
        <v/>
      </c>
      <c r="DD109" s="487">
        <f>IF(Year1_Brighton_and_Hove Year1_ReferralSource_Police="","",Year1_Brighton_and_Hove Year1_ReferralSource_Police)</f>
        <v>1021</v>
      </c>
      <c r="DE109" s="488">
        <f>IF(Year2_Brighton_and_Hove Year2_ReferralSource_Police="","",Year2_Brighton_and_Hove Year2_ReferralSource_Police)</f>
        <v>1093</v>
      </c>
      <c r="DF109" s="488">
        <f>IF(Year3_Brighton_and_Hove Year3_ReferralSource_Police="","",Year3_Brighton_and_Hove Year3_ReferralSource_Police)</f>
        <v>1020</v>
      </c>
      <c r="DG109" s="488">
        <f>IF(Year4_Brighton_and_Hove Year4_ReferralSource_Police="","",Year4_Brighton_and_Hove Year4_ReferralSource_Police)</f>
        <v>1047</v>
      </c>
      <c r="DH109" s="489">
        <f>IF(Year5_Brighton_and_Hove Year5_ReferralSource_Police="","",Year5_Brighton_and_Hove Year5_ReferralSource_Police)</f>
        <v>1029</v>
      </c>
      <c r="DI109" s="487">
        <f>IF(Year1_Brighton_and_Hove Year1_ReferralSource_Other_Legal="","",Year1_Brighton_and_Hove Year1_ReferralSource_Other_Legal)</f>
        <v>94</v>
      </c>
      <c r="DJ109" s="488">
        <f>IF(Year2_Brighton_and_Hove Year2_ReferralSource_Other_Legal="","",Year2_Brighton_and_Hove Year2_ReferralSource_Other_Legal)</f>
        <v>66</v>
      </c>
      <c r="DK109" s="488">
        <f>IF(Year3_Brighton_and_Hove Year3_ReferralSource_Other_Legal="","",Year3_Brighton_and_Hove Year3_ReferralSource_Other_Legal)</f>
        <v>30</v>
      </c>
      <c r="DL109" s="488">
        <f>IF(Year4_Brighton_and_Hove Year4_ReferralSource_Other_Legal="","",Year4_Brighton_and_Hove Year4_ReferralSource_Other_Legal)</f>
        <v>46</v>
      </c>
      <c r="DM109" s="489">
        <f>IF(Year5_Brighton_and_Hove Year5_ReferralSource_Other_Legal="","",Year5_Brighton_and_Hove Year5_ReferralSource_Other_Legal)</f>
        <v>36</v>
      </c>
      <c r="DN109" s="487">
        <f>IF(Year1_Brighton_and_Hove Year1_ReferralSource_Other="","",Year1_Brighton_and_Hove Year1_ReferralSource_Other)</f>
        <v>117</v>
      </c>
      <c r="DO109" s="488">
        <f>IF(Year2_Brighton_and_Hove Year2_ReferralSource_Other="","",Year2_Brighton_and_Hove Year2_ReferralSource_Other)</f>
        <v>142</v>
      </c>
      <c r="DP109" s="488">
        <f>IF(Year3_Brighton_and_Hove Year3_ReferralSource_Other="","",Year3_Brighton_and_Hove Year3_ReferralSource_Other)</f>
        <v>92</v>
      </c>
      <c r="DQ109" s="488">
        <f>IF(Year4_Brighton_and_Hove Year4_ReferralSource_Other="","",Year4_Brighton_and_Hove Year4_ReferralSource_Other)</f>
        <v>0</v>
      </c>
      <c r="DR109" s="489">
        <f>IF(Year5_Brighton_and_Hove Year5_ReferralSource_Other="","",Year5_Brighton_and_Hove Year5_ReferralSource_Other)</f>
        <v>0</v>
      </c>
      <c r="DS109" s="487">
        <f>IF(Year1_Brighton_and_Hove Year1_ReferralSource_Anonymous="","",Year1_Brighton_and_Hove Year1_ReferralSource_Anonymous)</f>
        <v>47</v>
      </c>
      <c r="DT109" s="488">
        <f>IF(Year2_Brighton_and_Hove Year2_ReferralSource_Anonymous="","",Year2_Brighton_and_Hove Year2_ReferralSource_Anonymous)</f>
        <v>48</v>
      </c>
      <c r="DU109" s="488">
        <f>IF(Year3_Brighton_and_Hove Year3_ReferralSource_Anonymous="","",Year3_Brighton_and_Hove Year3_ReferralSource_Anonymous)</f>
        <v>55</v>
      </c>
      <c r="DV109" s="488">
        <f>IF(Year4_Brighton_and_Hove Year4_ReferralSource_Anonymous="","",Year4_Brighton_and_Hove Year4_ReferralSource_Anonymous)</f>
        <v>62</v>
      </c>
      <c r="DW109" s="489">
        <f>IF(Year5_Brighton_and_Hove Year5_ReferralSource_Anonymous="","",Year5_Brighton_and_Hove Year5_ReferralSource_Anonymous)</f>
        <v>54</v>
      </c>
      <c r="DX109" s="487">
        <f>IF(Year1_Brighton_and_Hove Year1_ReferralSource_Unknown="","",Year1_Brighton_and_Hove Year1_ReferralSource_Unknown)</f>
        <v>503</v>
      </c>
      <c r="DY109" s="488">
        <f>IF(Year2_Brighton_and_Hove Year2_ReferralSource_Unknown="","",Year2_Brighton_and_Hove Year2_ReferralSource_Unknown)</f>
        <v>241</v>
      </c>
      <c r="DZ109" s="488">
        <f>IF(Year3_Brighton_and_Hove Year3_ReferralSource_Unknown="","",Year3_Brighton_and_Hove Year3_ReferralSource_Unknown)</f>
        <v>317</v>
      </c>
      <c r="EA109" s="488">
        <f>IF(Year4_Brighton_and_Hove Year4_ReferralSource_Unknown="","",Year4_Brighton_and_Hove Year4_ReferralSource_Unknown)</f>
        <v>108</v>
      </c>
      <c r="EB109" s="489">
        <f>IF(Year5_Brighton_and_Hove Year5_ReferralSource_Unknown="","",Year5_Brighton_and_Hove Year5_ReferralSource_Unknown)</f>
        <v>33</v>
      </c>
    </row>
    <row r="110" spans="1:132" ht="17.25" customHeight="1">
      <c r="A110" s="1103">
        <f>VLOOKUP(B110,ReportData!$AQ$4:$AR$25,2,FALSE)</f>
        <v>0</v>
      </c>
      <c r="B110" s="1114" t="str">
        <f>ReportData!$K$16</f>
        <v>Slough</v>
      </c>
      <c r="C110" s="5"/>
      <c r="D110" s="1796"/>
      <c r="E110" s="1797"/>
      <c r="F110" s="1796"/>
      <c r="G110" s="1797"/>
      <c r="H110" s="1796"/>
      <c r="I110" s="1797"/>
      <c r="J110" s="1796"/>
      <c r="K110" s="1797"/>
      <c r="L110" s="1796"/>
      <c r="M110" s="1797"/>
      <c r="N110" s="1796"/>
      <c r="O110" s="1797"/>
      <c r="P110" s="1796"/>
      <c r="Q110" s="1797"/>
      <c r="R110" s="1796"/>
      <c r="S110" s="1797"/>
      <c r="T110" s="1796"/>
      <c r="U110" s="1797"/>
      <c r="V110" s="1796"/>
      <c r="W110" s="1797"/>
      <c r="X110" s="5"/>
      <c r="Y110" s="86"/>
      <c r="Z110" s="102"/>
      <c r="AA110" s="52"/>
      <c r="AB110" s="487">
        <f>IF(Year1_Buckinghamshire Year1_ReferralSource_Individual_Family="","",Year1_Buckinghamshire Year1_ReferralSource_Individual_Family)</f>
        <v>631</v>
      </c>
      <c r="AC110" s="488">
        <f>IF(Year2_Buckinghamshire Year2_ReferralSource_Individual_Family="","",Year2_Buckinghamshire Year2_ReferralSource_Individual_Family)</f>
        <v>931</v>
      </c>
      <c r="AD110" s="488">
        <f>IF(Year3_Buckinghamshire Year3_ReferralSource_Individual_Family="","",Year3_Buckinghamshire Year3_ReferralSource_Individual_Family)</f>
        <v>1033</v>
      </c>
      <c r="AE110" s="488">
        <f>IF(Year4_Buckinghamshire Year4_ReferralSource_Individual_Family="","",Year4_Buckinghamshire Year4_ReferralSource_Individual_Family)</f>
        <v>910</v>
      </c>
      <c r="AF110" s="500">
        <f>IF(Year5_Buckinghamshire Year5_ReferralSource_Individual_Family="","",Year5_Buckinghamshire Year5_ReferralSource_Individual_Family)</f>
        <v>377</v>
      </c>
      <c r="AG110" s="487" t="str">
        <f>IF(Year1_Buckinghamshire Year1_ReferralSource_Individual_Acquaintance="","",Year1_Buckinghamshire Year1_ReferralSource_Individual_Acquaintance)</f>
        <v/>
      </c>
      <c r="AH110" s="488" t="str">
        <f>IF(Year2_Buckinghamshire Year2_ReferralSource_Individual_Acquaintance="","",Year2_Buckinghamshire Year2_ReferralSource_Individual_Acquaintance)</f>
        <v/>
      </c>
      <c r="AI110" s="488" t="str">
        <f>IF(Year3_Buckinghamshire Year3_ReferralSource_Individual_Acquaintance="","",Year3_Buckinghamshire Year3_ReferralSource_Individual_Acquaintance)</f>
        <v/>
      </c>
      <c r="AJ110" s="488" t="str">
        <f>IF(Year4_Buckinghamshire Year4_ReferralSource_Individual_Acquaintance="","",Year4_Buckinghamshire Year4_ReferralSource_Individual_Acquaintance)</f>
        <v/>
      </c>
      <c r="AK110" s="489" t="str">
        <f>IF(Year5_Buckinghamshire Year5_ReferralSource_Individual_Acquaintance="","",Year5_Buckinghamshire Year5_ReferralSource_Individual_Acquaintance)</f>
        <v/>
      </c>
      <c r="AL110" s="487" t="str">
        <f>IF(Year1_Buckinghamshire Year1_ReferralSource_Individual_Self="","",Year1_Buckinghamshire Year1_ReferralSource_Individual_Self)</f>
        <v/>
      </c>
      <c r="AM110" s="488" t="str">
        <f>IF(Year2_Buckinghamshire Year2_ReferralSource_Individual_Self="","",Year2_Buckinghamshire Year2_ReferralSource_Individual_Self)</f>
        <v/>
      </c>
      <c r="AN110" s="488" t="str">
        <f>IF(Year3_Buckinghamshire Year3_ReferralSource_Individual_Self="","",Year3_Buckinghamshire Year3_ReferralSource_Individual_Self)</f>
        <v/>
      </c>
      <c r="AO110" s="488" t="str">
        <f>IF(Year4_Buckinghamshire Year4_ReferralSource_Individual_Self="","",Year4_Buckinghamshire Year4_ReferralSource_Individual_Self)</f>
        <v/>
      </c>
      <c r="AP110" s="489" t="str">
        <f>IF(Year5_Buckinghamshire Year5_ReferralSource_Individual_Self="","",Year5_Buckinghamshire Year5_ReferralSource_Individual_Self)</f>
        <v/>
      </c>
      <c r="AQ110" s="487" t="str">
        <f>IF(Year1_Buckinghamshire Year1_ReferralSource_Individual_Other="","",Year1_Buckinghamshire Year1_ReferralSource_Individual_Other)</f>
        <v/>
      </c>
      <c r="AR110" s="488" t="str">
        <f>IF(Year2_Buckinghamshire Year2_ReferralSource_Individual_Other="","",Year2_Buckinghamshire Year2_ReferralSource_Individual_Other)</f>
        <v/>
      </c>
      <c r="AS110" s="488" t="str">
        <f>IF(Year3_Buckinghamshire Year3_ReferralSource_Individual_Other="","",Year3_Buckinghamshire Year3_ReferralSource_Individual_Other)</f>
        <v/>
      </c>
      <c r="AT110" s="488" t="str">
        <f>IF(Year4_Buckinghamshire Year4_ReferralSource_Individual_Other="","",Year4_Buckinghamshire Year4_ReferralSource_Individual_Other)</f>
        <v/>
      </c>
      <c r="AU110" s="489" t="str">
        <f>IF(Year5_Buckinghamshire Year5_ReferralSource_Individual_Other="","",Year5_Buckinghamshire Year5_ReferralSource_Individual_Other)</f>
        <v/>
      </c>
      <c r="AV110" s="487">
        <f>IF(Year1_Buckinghamshire Year1_ReferralSource_School="","",Year1_Buckinghamshire Year1_ReferralSource_School)</f>
        <v>1618</v>
      </c>
      <c r="AW110" s="488">
        <f>IF(Year2_Buckinghamshire Year2_ReferralSource_School="","",Year2_Buckinghamshire Year2_ReferralSource_School)</f>
        <v>1704</v>
      </c>
      <c r="AX110" s="488">
        <f>IF(Year3_Buckinghamshire Year3_ReferralSource_School="","",Year3_Buckinghamshire Year3_ReferralSource_School)</f>
        <v>2979</v>
      </c>
      <c r="AY110" s="488">
        <f>IF(Year4_Buckinghamshire Year4_ReferralSource_School="","",Year4_Buckinghamshire Year4_ReferralSource_School)</f>
        <v>2605</v>
      </c>
      <c r="AZ110" s="489">
        <f>IF(Year5_Buckinghamshire Year5_ReferralSource_School="","",Year5_Buckinghamshire Year5_ReferralSource_School)</f>
        <v>1333</v>
      </c>
      <c r="BA110" s="487" t="str">
        <f>IF(Year1_Buckinghamshire Year1_ReferralSource_EducationServices="","",Year1_Buckinghamshire Year1_ReferralSource_EducationServices)</f>
        <v>x</v>
      </c>
      <c r="BB110" s="488">
        <f>IF(Year2_Buckinghamshire Year2_ReferralSource_EducationServices="","",Year2_Buckinghamshire Year2_ReferralSource_EducationServices)</f>
        <v>46</v>
      </c>
      <c r="BC110" s="488">
        <f>IF(Year3_Buckinghamshire Year3_ReferralSource_EducationServices="","",Year3_Buckinghamshire Year3_ReferralSource_EducationServices)</f>
        <v>88</v>
      </c>
      <c r="BD110" s="488">
        <f>IF(Year4_Buckinghamshire Year4_ReferralSource_EducationServices="","",Year4_Buckinghamshire Year4_ReferralSource_EducationServices)</f>
        <v>93</v>
      </c>
      <c r="BE110" s="489">
        <f>IF(Year5_Buckinghamshire Year5_ReferralSource_EducationServices="","",Year5_Buckinghamshire Year5_ReferralSource_EducationServices)</f>
        <v>88</v>
      </c>
      <c r="BF110" s="501">
        <f>IF(Year1_Buckinghamshire Year1_ReferralSource_Health_services_GP="","",Year1_Buckinghamshire Year1_ReferralSource_Health_services_GP)</f>
        <v>1287</v>
      </c>
      <c r="BG110" s="502">
        <f>IF(Year2_Buckinghamshire Year2_ReferralSource_Health_services_GP="","",Year2_Buckinghamshire Year2_ReferralSource_Health_services_GP)</f>
        <v>2007</v>
      </c>
      <c r="BH110" s="502">
        <f>IF(Year3_Buckinghamshire Year3_ReferralSource_Health_services_GP="","",Year3_Buckinghamshire Year3_ReferralSource_Health_services_GP)</f>
        <v>2421</v>
      </c>
      <c r="BI110" s="502">
        <f>IF(Year4_Buckinghamshire Year4_ReferralSource_Health_services_GP="","",Year4_Buckinghamshire Year4_ReferralSource_Health_services_GP)</f>
        <v>2239</v>
      </c>
      <c r="BJ110" s="503">
        <f>IF(Year5_Buckinghamshire Year5_ReferralSource_Health_services_GP="","",Year5_Buckinghamshire Year5_ReferralSource_Health_services_GP)</f>
        <v>1018</v>
      </c>
      <c r="BK110" s="501" t="str">
        <f>IF(Year1_Buckinghamshire Year1_ReferralSource_Health_services_HealthVisitor="","",Year1_Buckinghamshire Year1_ReferralSource_Health_services_HealthVisitor)</f>
        <v/>
      </c>
      <c r="BL110" s="502" t="str">
        <f>IF(Year2_Buckinghamshire Year2_ReferralSource_Health_services_HealthVisitor="","",Year2_Buckinghamshire Year2_ReferralSource_Health_services_HealthVisitor)</f>
        <v/>
      </c>
      <c r="BM110" s="502" t="str">
        <f>IF(Year3_Buckinghamshire Year3_ReferralSource_Health_services_HealthVisitor="","",Year3_Buckinghamshire Year3_ReferralSource_Health_services_HealthVisitor)</f>
        <v/>
      </c>
      <c r="BN110" s="502" t="str">
        <f>IF(Year4_Buckinghamshire Year4_ReferralSource_Health_services_HealthVisitor="","",Year4_Buckinghamshire Year4_ReferralSource_Health_services_HealthVisitor)</f>
        <v/>
      </c>
      <c r="BO110" s="503" t="str">
        <f>IF(Year5_Buckinghamshire Year5_ReferralSource_Health_services_HealthVisitor="","",Year5_Buckinghamshire Year5_ReferralSource_Health_services_HealthVisitor)</f>
        <v/>
      </c>
      <c r="BP110" s="501" t="str">
        <f>IF(Year1_Buckinghamshire Year1_ReferralSource_Health_services_SchoolNurse="","",Year1_Buckinghamshire Year1_ReferralSource_Health_services_SchoolNurse)</f>
        <v/>
      </c>
      <c r="BQ110" s="502" t="str">
        <f>IF(Year2_Buckinghamshire Year2_ReferralSource_Health_services_SchoolNurse="","",Year2_Buckinghamshire Year2_ReferralSource_Health_services_SchoolNurse)</f>
        <v/>
      </c>
      <c r="BR110" s="502" t="str">
        <f>IF(Year3_Buckinghamshire Year3_ReferralSource_Health_services_SchoolNurse="","",Year3_Buckinghamshire Year3_ReferralSource_Health_services_SchoolNurse)</f>
        <v/>
      </c>
      <c r="BS110" s="502" t="str">
        <f>IF(Year4_Buckinghamshire Year4_ReferralSource_Health_services_SchoolNurse="","",Year4_Buckinghamshire Year4_ReferralSource_Health_services_SchoolNurse)</f>
        <v/>
      </c>
      <c r="BT110" s="503" t="str">
        <f>IF(Year5_Buckinghamshire Year5_ReferralSource_Health_services_SchoolNurse="","",Year5_Buckinghamshire Year5_ReferralSource_Health_services_SchoolNurse)</f>
        <v/>
      </c>
      <c r="BU110" s="501" t="str">
        <f>IF(Year1_Buckinghamshire Year1_ReferralSource_Health_services_OthPrimary="","",Year1_Buckinghamshire Year1_ReferralSource_Health_services_OthPrimary)</f>
        <v/>
      </c>
      <c r="BV110" s="502" t="str">
        <f>IF(Year2_Buckinghamshire Year2_ReferralSource_Health_services_OthPrimary="","",Year2_Buckinghamshire Year2_ReferralSource_Health_services_OthPrimary)</f>
        <v/>
      </c>
      <c r="BW110" s="502" t="str">
        <f>IF(Year3_Buckinghamshire Year3_ReferralSource_Health_services_OthPrimary="","",Year3_Buckinghamshire Year3_ReferralSource_Health_services_OthPrimary)</f>
        <v/>
      </c>
      <c r="BX110" s="502" t="str">
        <f>IF(Year4_Buckinghamshire Year4_ReferralSource_Health_services_OthPrimary="","",Year4_Buckinghamshire Year4_ReferralSource_Health_services_OthPrimary)</f>
        <v/>
      </c>
      <c r="BY110" s="503" t="str">
        <f>IF(Year5_Buckinghamshire Year5_ReferralSource_Health_services_OthPrimary="","",Year5_Buckinghamshire Year5_ReferralSource_Health_services_OthPrimary)</f>
        <v/>
      </c>
      <c r="BZ110" s="501" t="str">
        <f>IF(Year1_Buckinghamshire Year1_ReferralSource_Health_services_AE="","",Year1_Buckinghamshire Year1_ReferralSource_Health_services_AE)</f>
        <v/>
      </c>
      <c r="CA110" s="502" t="str">
        <f>IF(Year2_Buckinghamshire Year2_ReferralSource_Health_services_AE="","",Year2_Buckinghamshire Year2_ReferralSource_Health_services_AE)</f>
        <v/>
      </c>
      <c r="CB110" s="502" t="str">
        <f>IF(Year3_Buckinghamshire Year3_ReferralSource_Health_services_AE="","",Year3_Buckinghamshire Year3_ReferralSource_Health_services_AE)</f>
        <v/>
      </c>
      <c r="CC110" s="502" t="str">
        <f>IF(Year4_Buckinghamshire Year4_ReferralSource_Health_services_AE="","",Year4_Buckinghamshire Year4_ReferralSource_Health_services_AE)</f>
        <v/>
      </c>
      <c r="CD110" s="503" t="str">
        <f>IF(Year5_Buckinghamshire Year5_ReferralSource_Health_services_AE="","",Year5_Buckinghamshire Year5_ReferralSource_Health_services_AE)</f>
        <v/>
      </c>
      <c r="CE110" s="501" t="str">
        <f>IF(Year1_Buckinghamshire Year1_ReferralSource_Health_services_Other="","",Year1_Buckinghamshire Year1_ReferralSource_Health_services_Other)</f>
        <v/>
      </c>
      <c r="CF110" s="502" t="str">
        <f>IF(Year2_Buckinghamshire Year2_ReferralSource_Health_services_Other="","",Year2_Buckinghamshire Year2_ReferralSource_Health_services_Other)</f>
        <v/>
      </c>
      <c r="CG110" s="502" t="str">
        <f>IF(Year3_Buckinghamshire Year3_ReferralSource_Health_services_Other="","",Year3_Buckinghamshire Year3_ReferralSource_Health_services_Other)</f>
        <v/>
      </c>
      <c r="CH110" s="502" t="str">
        <f>IF(Year4_Buckinghamshire Year4_ReferralSource_Health_services_Other="","",Year4_Buckinghamshire Year4_ReferralSource_Health_services_Other)</f>
        <v/>
      </c>
      <c r="CI110" s="503" t="str">
        <f>IF(Year5_Buckinghamshire Year5_ReferralSource_Health_services_Other="","",Year5_Buckinghamshire Year5_ReferralSource_Health_services_Other)</f>
        <v/>
      </c>
      <c r="CJ110" s="487">
        <f>IF(Year1_Buckinghamshire Year1_ReferralSource_Housing="","",Year1_Buckinghamshire Year1_ReferralSource_Housing)</f>
        <v>124</v>
      </c>
      <c r="CK110" s="488">
        <f>IF(Year2_Buckinghamshire Year2_ReferralSource_Housing="","",Year2_Buckinghamshire Year2_ReferralSource_Housing)</f>
        <v>102</v>
      </c>
      <c r="CL110" s="488">
        <f>IF(Year3_Buckinghamshire Year3_ReferralSource_Housing="","",Year3_Buckinghamshire Year3_ReferralSource_Housing)</f>
        <v>64</v>
      </c>
      <c r="CM110" s="488">
        <f>IF(Year4_Buckinghamshire Year4_ReferralSource_Housing="","",Year4_Buckinghamshire Year4_ReferralSource_Housing)</f>
        <v>49</v>
      </c>
      <c r="CN110" s="489">
        <f>IF(Year5_Buckinghamshire Year5_ReferralSource_Housing="","",Year5_Buckinghamshire Year5_ReferralSource_Housing)</f>
        <v>35</v>
      </c>
      <c r="CO110" s="487">
        <f>IF(Year1_Buckinghamshire Year1_ReferralSource_LA_SC="","",Year1_Buckinghamshire Year1_ReferralSource_LA_SC)</f>
        <v>969</v>
      </c>
      <c r="CP110" s="488">
        <f>IF(Year2_Buckinghamshire Year2_ReferralSource_LA_SC="","",Year2_Buckinghamshire Year2_ReferralSource_LA_SC)</f>
        <v>1122</v>
      </c>
      <c r="CQ110" s="488">
        <f>IF(Year3_Buckinghamshire Year3_ReferralSource_LA_SC="","",Year3_Buckinghamshire Year3_ReferralSource_LA_SC)</f>
        <v>1214</v>
      </c>
      <c r="CR110" s="488">
        <f>IF(Year4_Buckinghamshire Year4_ReferralSource_LA_SC="","",Year4_Buckinghamshire Year4_ReferralSource_LA_SC)</f>
        <v>1216</v>
      </c>
      <c r="CS110" s="489">
        <f>IF(Year5_Buckinghamshire Year5_ReferralSource_LA_SC="","",Year5_Buckinghamshire Year5_ReferralSource_LA_SC)</f>
        <v>864</v>
      </c>
      <c r="CT110" s="487" t="str">
        <f>IF(Year1_Buckinghamshire Year1_ReferralSource_LA_Other="","",Year1_Buckinghamshire Year1_ReferralSource_LA_Other)</f>
        <v/>
      </c>
      <c r="CU110" s="488" t="str">
        <f>IF(Year2_Buckinghamshire Year2_ReferralSource_LA_Other="","",Year2_Buckinghamshire Year2_ReferralSource_LA_Other)</f>
        <v/>
      </c>
      <c r="CV110" s="488" t="str">
        <f>IF(Year3_Buckinghamshire Year3_ReferralSource_LA_Other="","",Year3_Buckinghamshire Year3_ReferralSource_LA_Other)</f>
        <v/>
      </c>
      <c r="CW110" s="488" t="str">
        <f>IF(Year4_Buckinghamshire Year4_ReferralSource_LA_Other="","",Year4_Buckinghamshire Year4_ReferralSource_LA_Other)</f>
        <v/>
      </c>
      <c r="CX110" s="489" t="str">
        <f>IF(Year5_Buckinghamshire Year5_ReferralSource_LA_Other="","",Year5_Buckinghamshire Year5_ReferralSource_LA_Other)</f>
        <v/>
      </c>
      <c r="CY110" s="487" t="str">
        <f>IF(Year1_Buckinghamshire Year1_ReferralSource_LA_External="","",Year1_Buckinghamshire Year1_ReferralSource_LA_External)</f>
        <v/>
      </c>
      <c r="CZ110" s="488" t="str">
        <f>IF(Year2_Buckinghamshire Year2_ReferralSource_LA_External="","",Year2_Buckinghamshire Year2_ReferralSource_LA_External)</f>
        <v/>
      </c>
      <c r="DA110" s="488" t="str">
        <f>IF(Year3_Buckinghamshire Year3_ReferralSource_LA_External="","",Year3_Buckinghamshire Year3_ReferralSource_LA_External)</f>
        <v/>
      </c>
      <c r="DB110" s="488" t="str">
        <f>IF(Year4_Buckinghamshire Year4_ReferralSource_LA_External="","",Year4_Buckinghamshire Year4_ReferralSource_LA_External)</f>
        <v/>
      </c>
      <c r="DC110" s="489" t="str">
        <f>IF(Year5_Buckinghamshire Year5_ReferralSource_LA_External="","",Year5_Buckinghamshire Year5_ReferralSource_LA_External)</f>
        <v/>
      </c>
      <c r="DD110" s="487">
        <f>IF(Year1_Buckinghamshire Year1_ReferralSource_Police="","",Year1_Buckinghamshire Year1_ReferralSource_Police)</f>
        <v>2910</v>
      </c>
      <c r="DE110" s="488">
        <f>IF(Year2_Buckinghamshire Year2_ReferralSource_Police="","",Year2_Buckinghamshire Year2_ReferralSource_Police)</f>
        <v>3820</v>
      </c>
      <c r="DF110" s="488">
        <f>IF(Year3_Buckinghamshire Year3_ReferralSource_Police="","",Year3_Buckinghamshire Year3_ReferralSource_Police)</f>
        <v>4352</v>
      </c>
      <c r="DG110" s="488">
        <f>IF(Year4_Buckinghamshire Year4_ReferralSource_Police="","",Year4_Buckinghamshire Year4_ReferralSource_Police)</f>
        <v>4239</v>
      </c>
      <c r="DH110" s="489">
        <f>IF(Year5_Buckinghamshire Year5_ReferralSource_Police="","",Year5_Buckinghamshire Year5_ReferralSource_Police)</f>
        <v>2374</v>
      </c>
      <c r="DI110" s="487">
        <f>IF(Year1_Buckinghamshire Year1_ReferralSource_Other_Legal="","",Year1_Buckinghamshire Year1_ReferralSource_Other_Legal)</f>
        <v>222</v>
      </c>
      <c r="DJ110" s="488">
        <f>IF(Year2_Buckinghamshire Year2_ReferralSource_Other_Legal="","",Year2_Buckinghamshire Year2_ReferralSource_Other_Legal)</f>
        <v>261</v>
      </c>
      <c r="DK110" s="488">
        <f>IF(Year3_Buckinghamshire Year3_ReferralSource_Other_Legal="","",Year3_Buckinghamshire Year3_ReferralSource_Other_Legal)</f>
        <v>272</v>
      </c>
      <c r="DL110" s="488">
        <f>IF(Year4_Buckinghamshire Year4_ReferralSource_Other_Legal="","",Year4_Buckinghamshire Year4_ReferralSource_Other_Legal)</f>
        <v>260</v>
      </c>
      <c r="DM110" s="489">
        <f>IF(Year5_Buckinghamshire Year5_ReferralSource_Other_Legal="","",Year5_Buckinghamshire Year5_ReferralSource_Other_Legal)</f>
        <v>210</v>
      </c>
      <c r="DN110" s="487">
        <f>IF(Year1_Buckinghamshire Year1_ReferralSource_Other="","",Year1_Buckinghamshire Year1_ReferralSource_Other)</f>
        <v>399</v>
      </c>
      <c r="DO110" s="488">
        <f>IF(Year2_Buckinghamshire Year2_ReferralSource_Other="","",Year2_Buckinghamshire Year2_ReferralSource_Other)</f>
        <v>440</v>
      </c>
      <c r="DP110" s="488">
        <f>IF(Year3_Buckinghamshire Year3_ReferralSource_Other="","",Year3_Buckinghamshire Year3_ReferralSource_Other)</f>
        <v>473</v>
      </c>
      <c r="DQ110" s="488">
        <f>IF(Year4_Buckinghamshire Year4_ReferralSource_Other="","",Year4_Buckinghamshire Year4_ReferralSource_Other)</f>
        <v>343</v>
      </c>
      <c r="DR110" s="489">
        <f>IF(Year5_Buckinghamshire Year5_ReferralSource_Other="","",Year5_Buckinghamshire Year5_ReferralSource_Other)</f>
        <v>253</v>
      </c>
      <c r="DS110" s="487">
        <f>IF(Year1_Buckinghamshire Year1_ReferralSource_Anonymous="","",Year1_Buckinghamshire Year1_ReferralSource_Anonymous)</f>
        <v>154</v>
      </c>
      <c r="DT110" s="488">
        <f>IF(Year2_Buckinghamshire Year2_ReferralSource_Anonymous="","",Year2_Buckinghamshire Year2_ReferralSource_Anonymous)</f>
        <v>326</v>
      </c>
      <c r="DU110" s="488">
        <f>IF(Year3_Buckinghamshire Year3_ReferralSource_Anonymous="","",Year3_Buckinghamshire Year3_ReferralSource_Anonymous)</f>
        <v>184</v>
      </c>
      <c r="DV110" s="488">
        <f>IF(Year4_Buckinghamshire Year4_ReferralSource_Anonymous="","",Year4_Buckinghamshire Year4_ReferralSource_Anonymous)</f>
        <v>194</v>
      </c>
      <c r="DW110" s="489">
        <f>IF(Year5_Buckinghamshire Year5_ReferralSource_Anonymous="","",Year5_Buckinghamshire Year5_ReferralSource_Anonymous)</f>
        <v>42</v>
      </c>
      <c r="DX110" s="487" t="str">
        <f>IF(Year1_Buckinghamshire Year1_ReferralSource_Unknown="","",Year1_Buckinghamshire Year1_ReferralSource_Unknown)</f>
        <v>x</v>
      </c>
      <c r="DY110" s="488">
        <f>IF(Year2_Buckinghamshire Year2_ReferralSource_Unknown="","",Year2_Buckinghamshire Year2_ReferralSource_Unknown)</f>
        <v>15</v>
      </c>
      <c r="DZ110" s="488">
        <f>IF(Year3_Buckinghamshire Year3_ReferralSource_Unknown="","",Year3_Buckinghamshire Year3_ReferralSource_Unknown)</f>
        <v>7</v>
      </c>
      <c r="EA110" s="488">
        <f>IF(Year4_Buckinghamshire Year4_ReferralSource_Unknown="","",Year4_Buckinghamshire Year4_ReferralSource_Unknown)</f>
        <v>9</v>
      </c>
      <c r="EB110" s="489">
        <f>IF(Year5_Buckinghamshire Year5_ReferralSource_Unknown="","",Year5_Buckinghamshire Year5_ReferralSource_Unknown)</f>
        <v>26</v>
      </c>
    </row>
    <row r="111" spans="1:132" ht="17.25" customHeight="1">
      <c r="A111" s="1103">
        <f>VLOOKUP(B111,ReportData!$AQ$4:$AR$25,2,FALSE)</f>
        <v>0</v>
      </c>
      <c r="B111" s="1114" t="str">
        <f>ReportData!$K$17</f>
        <v>Southampton</v>
      </c>
      <c r="C111" s="5"/>
      <c r="D111" s="1796"/>
      <c r="E111" s="1797"/>
      <c r="F111" s="1796"/>
      <c r="G111" s="1797"/>
      <c r="H111" s="1796"/>
      <c r="I111" s="1797"/>
      <c r="J111" s="1796"/>
      <c r="K111" s="1797"/>
      <c r="L111" s="1796"/>
      <c r="M111" s="1797"/>
      <c r="N111" s="1796"/>
      <c r="O111" s="1797"/>
      <c r="P111" s="1796"/>
      <c r="Q111" s="1797"/>
      <c r="R111" s="1796"/>
      <c r="S111" s="1797"/>
      <c r="T111" s="1796"/>
      <c r="U111" s="1797"/>
      <c r="V111" s="1796"/>
      <c r="W111" s="1797"/>
      <c r="X111" s="5"/>
      <c r="Y111" s="86"/>
      <c r="Z111" s="102"/>
      <c r="AA111" s="52"/>
      <c r="AB111" s="487">
        <f>IF(Year1_East_Sussex Year1_ReferralSource_Individual_Family="","",Year1_East_Sussex Year1_ReferralSource_Individual_Family)</f>
        <v>388</v>
      </c>
      <c r="AC111" s="488">
        <f>IF(Year2_East_Sussex Year2_ReferralSource_Individual_Family="","",Year2_East_Sussex Year2_ReferralSource_Individual_Family)</f>
        <v>378</v>
      </c>
      <c r="AD111" s="488">
        <f>IF(Year3_East_Sussex Year3_ReferralSource_Individual_Family="","",Year3_East_Sussex Year3_ReferralSource_Individual_Family)</f>
        <v>379</v>
      </c>
      <c r="AE111" s="488">
        <f>IF(Year4_East_Sussex Year4_ReferralSource_Individual_Family="","",Year4_East_Sussex Year4_ReferralSource_Individual_Family)</f>
        <v>389</v>
      </c>
      <c r="AF111" s="500">
        <f>IF(Year5_East_Sussex Year5_ReferralSource_Individual_Family="","",Year5_East_Sussex Year5_ReferralSource_Individual_Family)</f>
        <v>435</v>
      </c>
      <c r="AG111" s="487" t="str">
        <f>IF(Year1_East_Sussex Year1_ReferralSource_Individual_Acquaintance="","",Year1_East_Sussex Year1_ReferralSource_Individual_Acquaintance)</f>
        <v/>
      </c>
      <c r="AH111" s="488" t="str">
        <f>IF(Year2_East_Sussex Year2_ReferralSource_Individual_Acquaintance="","",Year2_East_Sussex Year2_ReferralSource_Individual_Acquaintance)</f>
        <v/>
      </c>
      <c r="AI111" s="488" t="str">
        <f>IF(Year3_East_Sussex Year3_ReferralSource_Individual_Acquaintance="","",Year3_East_Sussex Year3_ReferralSource_Individual_Acquaintance)</f>
        <v/>
      </c>
      <c r="AJ111" s="488" t="str">
        <f>IF(Year4_East_Sussex Year4_ReferralSource_Individual_Acquaintance="","",Year4_East_Sussex Year4_ReferralSource_Individual_Acquaintance)</f>
        <v/>
      </c>
      <c r="AK111" s="489" t="str">
        <f>IF(Year5_East_Sussex Year5_ReferralSource_Individual_Acquaintance="","",Year5_East_Sussex Year5_ReferralSource_Individual_Acquaintance)</f>
        <v/>
      </c>
      <c r="AL111" s="487" t="str">
        <f>IF(Year1_East_Sussex Year1_ReferralSource_Individual_Self="","",Year1_East_Sussex Year1_ReferralSource_Individual_Self)</f>
        <v/>
      </c>
      <c r="AM111" s="488" t="str">
        <f>IF(Year2_East_Sussex Year2_ReferralSource_Individual_Self="","",Year2_East_Sussex Year2_ReferralSource_Individual_Self)</f>
        <v/>
      </c>
      <c r="AN111" s="488" t="str">
        <f>IF(Year3_East_Sussex Year3_ReferralSource_Individual_Self="","",Year3_East_Sussex Year3_ReferralSource_Individual_Self)</f>
        <v/>
      </c>
      <c r="AO111" s="488" t="str">
        <f>IF(Year4_East_Sussex Year4_ReferralSource_Individual_Self="","",Year4_East_Sussex Year4_ReferralSource_Individual_Self)</f>
        <v/>
      </c>
      <c r="AP111" s="489" t="str">
        <f>IF(Year5_East_Sussex Year5_ReferralSource_Individual_Self="","",Year5_East_Sussex Year5_ReferralSource_Individual_Self)</f>
        <v/>
      </c>
      <c r="AQ111" s="487" t="str">
        <f>IF(Year1_East_Sussex Year1_ReferralSource_Individual_Other="","",Year1_East_Sussex Year1_ReferralSource_Individual_Other)</f>
        <v/>
      </c>
      <c r="AR111" s="488" t="str">
        <f>IF(Year2_East_Sussex Year2_ReferralSource_Individual_Other="","",Year2_East_Sussex Year2_ReferralSource_Individual_Other)</f>
        <v/>
      </c>
      <c r="AS111" s="488" t="str">
        <f>IF(Year3_East_Sussex Year3_ReferralSource_Individual_Other="","",Year3_East_Sussex Year3_ReferralSource_Individual_Other)</f>
        <v/>
      </c>
      <c r="AT111" s="488" t="str">
        <f>IF(Year4_East_Sussex Year4_ReferralSource_Individual_Other="","",Year4_East_Sussex Year4_ReferralSource_Individual_Other)</f>
        <v/>
      </c>
      <c r="AU111" s="489" t="str">
        <f>IF(Year5_East_Sussex Year5_ReferralSource_Individual_Other="","",Year5_East_Sussex Year5_ReferralSource_Individual_Other)</f>
        <v/>
      </c>
      <c r="AV111" s="487">
        <f>IF(Year1_East_Sussex Year1_ReferralSource_School="","",Year1_East_Sussex Year1_ReferralSource_School)</f>
        <v>597</v>
      </c>
      <c r="AW111" s="488">
        <f>IF(Year2_East_Sussex Year2_ReferralSource_School="","",Year2_East_Sussex Year2_ReferralSource_School)</f>
        <v>365</v>
      </c>
      <c r="AX111" s="488">
        <f>IF(Year3_East_Sussex Year3_ReferralSource_School="","",Year3_East_Sussex Year3_ReferralSource_School)</f>
        <v>630</v>
      </c>
      <c r="AY111" s="488">
        <f>IF(Year4_East_Sussex Year4_ReferralSource_School="","",Year4_East_Sussex Year4_ReferralSource_School)</f>
        <v>616</v>
      </c>
      <c r="AZ111" s="489">
        <f>IF(Year5_East_Sussex Year5_ReferralSource_School="","",Year5_East_Sussex Year5_ReferralSource_School)</f>
        <v>513</v>
      </c>
      <c r="BA111" s="487">
        <f>IF(Year1_East_Sussex Year1_ReferralSource_EducationServices="","",Year1_East_Sussex Year1_ReferralSource_EducationServices)</f>
        <v>103</v>
      </c>
      <c r="BB111" s="488">
        <f>IF(Year2_East_Sussex Year2_ReferralSource_EducationServices="","",Year2_East_Sussex Year2_ReferralSource_EducationServices)</f>
        <v>118</v>
      </c>
      <c r="BC111" s="488">
        <f>IF(Year3_East_Sussex Year3_ReferralSource_EducationServices="","",Year3_East_Sussex Year3_ReferralSource_EducationServices)</f>
        <v>111</v>
      </c>
      <c r="BD111" s="488">
        <f>IF(Year4_East_Sussex Year4_ReferralSource_EducationServices="","",Year4_East_Sussex Year4_ReferralSource_EducationServices)</f>
        <v>82</v>
      </c>
      <c r="BE111" s="489">
        <f>IF(Year5_East_Sussex Year5_ReferralSource_EducationServices="","",Year5_East_Sussex Year5_ReferralSource_EducationServices)</f>
        <v>141</v>
      </c>
      <c r="BF111" s="501">
        <f>IF(Year1_East_Sussex Year1_ReferralSource_Health_services_GP="","",Year1_East_Sussex Year1_ReferralSource_Health_services_GP)</f>
        <v>465</v>
      </c>
      <c r="BG111" s="502">
        <f>IF(Year2_East_Sussex Year2_ReferralSource_Health_services_GP="","",Year2_East_Sussex Year2_ReferralSource_Health_services_GP)</f>
        <v>432</v>
      </c>
      <c r="BH111" s="502">
        <f>IF(Year3_East_Sussex Year3_ReferralSource_Health_services_GP="","",Year3_East_Sussex Year3_ReferralSource_Health_services_GP)</f>
        <v>470</v>
      </c>
      <c r="BI111" s="502">
        <f>IF(Year4_East_Sussex Year4_ReferralSource_Health_services_GP="","",Year4_East_Sussex Year4_ReferralSource_Health_services_GP)</f>
        <v>432</v>
      </c>
      <c r="BJ111" s="503">
        <f>IF(Year5_East_Sussex Year5_ReferralSource_Health_services_GP="","",Year5_East_Sussex Year5_ReferralSource_Health_services_GP)</f>
        <v>516</v>
      </c>
      <c r="BK111" s="501" t="str">
        <f>IF(Year1_East_Sussex Year1_ReferralSource_Health_services_HealthVisitor="","",Year1_East_Sussex Year1_ReferralSource_Health_services_HealthVisitor)</f>
        <v/>
      </c>
      <c r="BL111" s="502" t="str">
        <f>IF(Year2_East_Sussex Year2_ReferralSource_Health_services_HealthVisitor="","",Year2_East_Sussex Year2_ReferralSource_Health_services_HealthVisitor)</f>
        <v/>
      </c>
      <c r="BM111" s="502" t="str">
        <f>IF(Year3_East_Sussex Year3_ReferralSource_Health_services_HealthVisitor="","",Year3_East_Sussex Year3_ReferralSource_Health_services_HealthVisitor)</f>
        <v/>
      </c>
      <c r="BN111" s="502" t="str">
        <f>IF(Year4_East_Sussex Year4_ReferralSource_Health_services_HealthVisitor="","",Year4_East_Sussex Year4_ReferralSource_Health_services_HealthVisitor)</f>
        <v/>
      </c>
      <c r="BO111" s="503" t="str">
        <f>IF(Year5_East_Sussex Year5_ReferralSource_Health_services_HealthVisitor="","",Year5_East_Sussex Year5_ReferralSource_Health_services_HealthVisitor)</f>
        <v/>
      </c>
      <c r="BP111" s="501" t="str">
        <f>IF(Year1_East_Sussex Year1_ReferralSource_Health_services_SchoolNurse="","",Year1_East_Sussex Year1_ReferralSource_Health_services_SchoolNurse)</f>
        <v/>
      </c>
      <c r="BQ111" s="502" t="str">
        <f>IF(Year2_East_Sussex Year2_ReferralSource_Health_services_SchoolNurse="","",Year2_East_Sussex Year2_ReferralSource_Health_services_SchoolNurse)</f>
        <v/>
      </c>
      <c r="BR111" s="502" t="str">
        <f>IF(Year3_East_Sussex Year3_ReferralSource_Health_services_SchoolNurse="","",Year3_East_Sussex Year3_ReferralSource_Health_services_SchoolNurse)</f>
        <v/>
      </c>
      <c r="BS111" s="502" t="str">
        <f>IF(Year4_East_Sussex Year4_ReferralSource_Health_services_SchoolNurse="","",Year4_East_Sussex Year4_ReferralSource_Health_services_SchoolNurse)</f>
        <v/>
      </c>
      <c r="BT111" s="503" t="str">
        <f>IF(Year5_East_Sussex Year5_ReferralSource_Health_services_SchoolNurse="","",Year5_East_Sussex Year5_ReferralSource_Health_services_SchoolNurse)</f>
        <v/>
      </c>
      <c r="BU111" s="501" t="str">
        <f>IF(Year1_East_Sussex Year1_ReferralSource_Health_services_OthPrimary="","",Year1_East_Sussex Year1_ReferralSource_Health_services_OthPrimary)</f>
        <v/>
      </c>
      <c r="BV111" s="502" t="str">
        <f>IF(Year2_East_Sussex Year2_ReferralSource_Health_services_OthPrimary="","",Year2_East_Sussex Year2_ReferralSource_Health_services_OthPrimary)</f>
        <v/>
      </c>
      <c r="BW111" s="502" t="str">
        <f>IF(Year3_East_Sussex Year3_ReferralSource_Health_services_OthPrimary="","",Year3_East_Sussex Year3_ReferralSource_Health_services_OthPrimary)</f>
        <v/>
      </c>
      <c r="BX111" s="502" t="str">
        <f>IF(Year4_East_Sussex Year4_ReferralSource_Health_services_OthPrimary="","",Year4_East_Sussex Year4_ReferralSource_Health_services_OthPrimary)</f>
        <v/>
      </c>
      <c r="BY111" s="503" t="str">
        <f>IF(Year5_East_Sussex Year5_ReferralSource_Health_services_OthPrimary="","",Year5_East_Sussex Year5_ReferralSource_Health_services_OthPrimary)</f>
        <v/>
      </c>
      <c r="BZ111" s="501" t="str">
        <f>IF(Year1_East_Sussex Year1_ReferralSource_Health_services_AE="","",Year1_East_Sussex Year1_ReferralSource_Health_services_AE)</f>
        <v/>
      </c>
      <c r="CA111" s="502" t="str">
        <f>IF(Year2_East_Sussex Year2_ReferralSource_Health_services_AE="","",Year2_East_Sussex Year2_ReferralSource_Health_services_AE)</f>
        <v/>
      </c>
      <c r="CB111" s="502" t="str">
        <f>IF(Year3_East_Sussex Year3_ReferralSource_Health_services_AE="","",Year3_East_Sussex Year3_ReferralSource_Health_services_AE)</f>
        <v/>
      </c>
      <c r="CC111" s="502" t="str">
        <f>IF(Year4_East_Sussex Year4_ReferralSource_Health_services_AE="","",Year4_East_Sussex Year4_ReferralSource_Health_services_AE)</f>
        <v/>
      </c>
      <c r="CD111" s="503" t="str">
        <f>IF(Year5_East_Sussex Year5_ReferralSource_Health_services_AE="","",Year5_East_Sussex Year5_ReferralSource_Health_services_AE)</f>
        <v/>
      </c>
      <c r="CE111" s="501" t="str">
        <f>IF(Year1_East_Sussex Year1_ReferralSource_Health_services_Other="","",Year1_East_Sussex Year1_ReferralSource_Health_services_Other)</f>
        <v/>
      </c>
      <c r="CF111" s="502" t="str">
        <f>IF(Year2_East_Sussex Year2_ReferralSource_Health_services_Other="","",Year2_East_Sussex Year2_ReferralSource_Health_services_Other)</f>
        <v/>
      </c>
      <c r="CG111" s="502" t="str">
        <f>IF(Year3_East_Sussex Year3_ReferralSource_Health_services_Other="","",Year3_East_Sussex Year3_ReferralSource_Health_services_Other)</f>
        <v/>
      </c>
      <c r="CH111" s="502" t="str">
        <f>IF(Year4_East_Sussex Year4_ReferralSource_Health_services_Other="","",Year4_East_Sussex Year4_ReferralSource_Health_services_Other)</f>
        <v/>
      </c>
      <c r="CI111" s="503" t="str">
        <f>IF(Year5_East_Sussex Year5_ReferralSource_Health_services_Other="","",Year5_East_Sussex Year5_ReferralSource_Health_services_Other)</f>
        <v/>
      </c>
      <c r="CJ111" s="487">
        <f>IF(Year1_East_Sussex Year1_ReferralSource_Housing="","",Year1_East_Sussex Year1_ReferralSource_Housing)</f>
        <v>57</v>
      </c>
      <c r="CK111" s="488">
        <f>IF(Year2_East_Sussex Year2_ReferralSource_Housing="","",Year2_East_Sussex Year2_ReferralSource_Housing)</f>
        <v>63</v>
      </c>
      <c r="CL111" s="488">
        <f>IF(Year3_East_Sussex Year3_ReferralSource_Housing="","",Year3_East_Sussex Year3_ReferralSource_Housing)</f>
        <v>70</v>
      </c>
      <c r="CM111" s="488">
        <f>IF(Year4_East_Sussex Year4_ReferralSource_Housing="","",Year4_East_Sussex Year4_ReferralSource_Housing)</f>
        <v>59</v>
      </c>
      <c r="CN111" s="489">
        <f>IF(Year5_East_Sussex Year5_ReferralSource_Housing="","",Year5_East_Sussex Year5_ReferralSource_Housing)</f>
        <v>69</v>
      </c>
      <c r="CO111" s="487">
        <f>IF(Year1_East_Sussex Year1_ReferralSource_LA_SC="","",Year1_East_Sussex Year1_ReferralSource_LA_SC)</f>
        <v>811</v>
      </c>
      <c r="CP111" s="488">
        <f>IF(Year2_East_Sussex Year2_ReferralSource_LA_SC="","",Year2_East_Sussex Year2_ReferralSource_LA_SC)</f>
        <v>758</v>
      </c>
      <c r="CQ111" s="488">
        <f>IF(Year3_East_Sussex Year3_ReferralSource_LA_SC="","",Year3_East_Sussex Year3_ReferralSource_LA_SC)</f>
        <v>890</v>
      </c>
      <c r="CR111" s="488">
        <f>IF(Year4_East_Sussex Year4_ReferralSource_LA_SC="","",Year4_East_Sussex Year4_ReferralSource_LA_SC)</f>
        <v>789</v>
      </c>
      <c r="CS111" s="489">
        <f>IF(Year5_East_Sussex Year5_ReferralSource_LA_SC="","",Year5_East_Sussex Year5_ReferralSource_LA_SC)</f>
        <v>920</v>
      </c>
      <c r="CT111" s="487" t="str">
        <f>IF(Year1_East_Sussex Year1_ReferralSource_LA_Other="","",Year1_East_Sussex Year1_ReferralSource_LA_Other)</f>
        <v/>
      </c>
      <c r="CU111" s="488" t="str">
        <f>IF(Year2_East_Sussex Year2_ReferralSource_LA_Other="","",Year2_East_Sussex Year2_ReferralSource_LA_Other)</f>
        <v/>
      </c>
      <c r="CV111" s="488" t="str">
        <f>IF(Year3_East_Sussex Year3_ReferralSource_LA_Other="","",Year3_East_Sussex Year3_ReferralSource_LA_Other)</f>
        <v/>
      </c>
      <c r="CW111" s="488" t="str">
        <f>IF(Year4_East_Sussex Year4_ReferralSource_LA_Other="","",Year4_East_Sussex Year4_ReferralSource_LA_Other)</f>
        <v/>
      </c>
      <c r="CX111" s="489" t="str">
        <f>IF(Year5_East_Sussex Year5_ReferralSource_LA_Other="","",Year5_East_Sussex Year5_ReferralSource_LA_Other)</f>
        <v/>
      </c>
      <c r="CY111" s="487" t="str">
        <f>IF(Year1_East_Sussex Year1_ReferralSource_LA_External="","",Year1_East_Sussex Year1_ReferralSource_LA_External)</f>
        <v/>
      </c>
      <c r="CZ111" s="488" t="str">
        <f>IF(Year2_East_Sussex Year2_ReferralSource_LA_External="","",Year2_East_Sussex Year2_ReferralSource_LA_External)</f>
        <v/>
      </c>
      <c r="DA111" s="488" t="str">
        <f>IF(Year3_East_Sussex Year3_ReferralSource_LA_External="","",Year3_East_Sussex Year3_ReferralSource_LA_External)</f>
        <v/>
      </c>
      <c r="DB111" s="488" t="str">
        <f>IF(Year4_East_Sussex Year4_ReferralSource_LA_External="","",Year4_East_Sussex Year4_ReferralSource_LA_External)</f>
        <v/>
      </c>
      <c r="DC111" s="489" t="str">
        <f>IF(Year5_East_Sussex Year5_ReferralSource_LA_External="","",Year5_East_Sussex Year5_ReferralSource_LA_External)</f>
        <v/>
      </c>
      <c r="DD111" s="487">
        <f>IF(Year1_East_Sussex Year1_ReferralSource_Police="","",Year1_East_Sussex Year1_ReferralSource_Police)</f>
        <v>1111</v>
      </c>
      <c r="DE111" s="488">
        <f>IF(Year2_East_Sussex Year2_ReferralSource_Police="","",Year2_East_Sussex Year2_ReferralSource_Police)</f>
        <v>1226</v>
      </c>
      <c r="DF111" s="488">
        <f>IF(Year3_East_Sussex Year3_ReferralSource_Police="","",Year3_East_Sussex Year3_ReferralSource_Police)</f>
        <v>1161</v>
      </c>
      <c r="DG111" s="488">
        <f>IF(Year4_East_Sussex Year4_ReferralSource_Police="","",Year4_East_Sussex Year4_ReferralSource_Police)</f>
        <v>1069</v>
      </c>
      <c r="DH111" s="489">
        <f>IF(Year5_East_Sussex Year5_ReferralSource_Police="","",Year5_East_Sussex Year5_ReferralSource_Police)</f>
        <v>1289</v>
      </c>
      <c r="DI111" s="487">
        <f>IF(Year1_East_Sussex Year1_ReferralSource_Other_Legal="","",Year1_East_Sussex Year1_ReferralSource_Other_Legal)</f>
        <v>194</v>
      </c>
      <c r="DJ111" s="488">
        <f>IF(Year2_East_Sussex Year2_ReferralSource_Other_Legal="","",Year2_East_Sussex Year2_ReferralSource_Other_Legal)</f>
        <v>158</v>
      </c>
      <c r="DK111" s="488">
        <f>IF(Year3_East_Sussex Year3_ReferralSource_Other_Legal="","",Year3_East_Sussex Year3_ReferralSource_Other_Legal)</f>
        <v>236</v>
      </c>
      <c r="DL111" s="488">
        <f>IF(Year4_East_Sussex Year4_ReferralSource_Other_Legal="","",Year4_East_Sussex Year4_ReferralSource_Other_Legal)</f>
        <v>229</v>
      </c>
      <c r="DM111" s="489">
        <f>IF(Year5_East_Sussex Year5_ReferralSource_Other_Legal="","",Year5_East_Sussex Year5_ReferralSource_Other_Legal)</f>
        <v>192</v>
      </c>
      <c r="DN111" s="487">
        <f>IF(Year1_East_Sussex Year1_ReferralSource_Other="","",Year1_East_Sussex Year1_ReferralSource_Other)</f>
        <v>274</v>
      </c>
      <c r="DO111" s="488">
        <f>IF(Year2_East_Sussex Year2_ReferralSource_Other="","",Year2_East_Sussex Year2_ReferralSource_Other)</f>
        <v>174</v>
      </c>
      <c r="DP111" s="488">
        <f>IF(Year3_East_Sussex Year3_ReferralSource_Other="","",Year3_East_Sussex Year3_ReferralSource_Other)</f>
        <v>188</v>
      </c>
      <c r="DQ111" s="488">
        <f>IF(Year4_East_Sussex Year4_ReferralSource_Other="","",Year4_East_Sussex Year4_ReferralSource_Other)</f>
        <v>160</v>
      </c>
      <c r="DR111" s="489">
        <f>IF(Year5_East_Sussex Year5_ReferralSource_Other="","",Year5_East_Sussex Year5_ReferralSource_Other)</f>
        <v>120</v>
      </c>
      <c r="DS111" s="487">
        <f>IF(Year1_East_Sussex Year1_ReferralSource_Anonymous="","",Year1_East_Sussex Year1_ReferralSource_Anonymous)</f>
        <v>95</v>
      </c>
      <c r="DT111" s="488">
        <f>IF(Year2_East_Sussex Year2_ReferralSource_Anonymous="","",Year2_East_Sussex Year2_ReferralSource_Anonymous)</f>
        <v>77</v>
      </c>
      <c r="DU111" s="488">
        <f>IF(Year3_East_Sussex Year3_ReferralSource_Anonymous="","",Year3_East_Sussex Year3_ReferralSource_Anonymous)</f>
        <v>103</v>
      </c>
      <c r="DV111" s="488">
        <f>IF(Year4_East_Sussex Year4_ReferralSource_Anonymous="","",Year4_East_Sussex Year4_ReferralSource_Anonymous)</f>
        <v>70</v>
      </c>
      <c r="DW111" s="489">
        <f>IF(Year5_East_Sussex Year5_ReferralSource_Anonymous="","",Year5_East_Sussex Year5_ReferralSource_Anonymous)</f>
        <v>93</v>
      </c>
      <c r="DX111" s="487">
        <f>IF(Year1_East_Sussex Year1_ReferralSource_Unknown="","",Year1_East_Sussex Year1_ReferralSource_Unknown)</f>
        <v>72</v>
      </c>
      <c r="DY111" s="488">
        <f>IF(Year2_East_Sussex Year2_ReferralSource_Unknown="","",Year2_East_Sussex Year2_ReferralSource_Unknown)</f>
        <v>75</v>
      </c>
      <c r="DZ111" s="488">
        <f>IF(Year3_East_Sussex Year3_ReferralSource_Unknown="","",Year3_East_Sussex Year3_ReferralSource_Unknown)</f>
        <v>54</v>
      </c>
      <c r="EA111" s="488">
        <f>IF(Year4_East_Sussex Year4_ReferralSource_Unknown="","",Year4_East_Sussex Year4_ReferralSource_Unknown)</f>
        <v>19</v>
      </c>
      <c r="EB111" s="489">
        <f>IF(Year5_East_Sussex Year5_ReferralSource_Unknown="","",Year5_East_Sussex Year5_ReferralSource_Unknown)</f>
        <v>23</v>
      </c>
    </row>
    <row r="112" spans="1:132" ht="17.25" customHeight="1">
      <c r="A112" s="1103">
        <f>VLOOKUP(B112,ReportData!$AQ$4:$AR$25,2,FALSE)</f>
        <v>0</v>
      </c>
      <c r="B112" s="1114" t="str">
        <f>ReportData!$K$18</f>
        <v>Surrey</v>
      </c>
      <c r="C112" s="5"/>
      <c r="D112" s="1796"/>
      <c r="E112" s="1797"/>
      <c r="F112" s="1796"/>
      <c r="G112" s="1797"/>
      <c r="H112" s="1796"/>
      <c r="I112" s="1797"/>
      <c r="J112" s="1796"/>
      <c r="K112" s="1797"/>
      <c r="L112" s="1796"/>
      <c r="M112" s="1797"/>
      <c r="N112" s="1796"/>
      <c r="O112" s="1797"/>
      <c r="P112" s="1796"/>
      <c r="Q112" s="1797"/>
      <c r="R112" s="1796"/>
      <c r="S112" s="1797"/>
      <c r="T112" s="1796"/>
      <c r="U112" s="1797"/>
      <c r="V112" s="1796"/>
      <c r="W112" s="1797"/>
      <c r="X112" s="5"/>
      <c r="Y112" s="86"/>
      <c r="Z112" s="102"/>
      <c r="AA112" s="52"/>
      <c r="AB112" s="487">
        <f>IF(Year1_Hampshire Year1_ReferralSource_Individual_Family="","",Year1_Hampshire Year1_ReferralSource_Individual_Family)</f>
        <v>2303</v>
      </c>
      <c r="AC112" s="488">
        <f>IF(Year2_Hampshire Year2_ReferralSource_Individual_Family="","",Year2_Hampshire Year2_ReferralSource_Individual_Family)</f>
        <v>2444</v>
      </c>
      <c r="AD112" s="488">
        <f>IF(Year3_Hampshire Year3_ReferralSource_Individual_Family="","",Year3_Hampshire Year3_ReferralSource_Individual_Family)</f>
        <v>2639</v>
      </c>
      <c r="AE112" s="488">
        <f>IF(Year4_Hampshire Year4_ReferralSource_Individual_Family="","",Year4_Hampshire Year4_ReferralSource_Individual_Family)</f>
        <v>2864</v>
      </c>
      <c r="AF112" s="500" t="str">
        <f>IF(Year5_Hampshire Year5_ReferralSource_Individual_Family="","",Year5_Hampshire Year5_ReferralSource_Individual_Family)</f>
        <v>u</v>
      </c>
      <c r="AG112" s="487" t="str">
        <f>IF(Year1_Hampshire Year1_ReferralSource_Individual_Acquaintance="","",Year1_Hampshire Year1_ReferralSource_Individual_Acquaintance)</f>
        <v/>
      </c>
      <c r="AH112" s="488" t="str">
        <f>IF(Year2_Hampshire Year2_ReferralSource_Individual_Acquaintance="","",Year2_Hampshire Year2_ReferralSource_Individual_Acquaintance)</f>
        <v/>
      </c>
      <c r="AI112" s="488" t="str">
        <f>IF(Year3_Hampshire Year3_ReferralSource_Individual_Acquaintance="","",Year3_Hampshire Year3_ReferralSource_Individual_Acquaintance)</f>
        <v/>
      </c>
      <c r="AJ112" s="488" t="str">
        <f>IF(Year4_Hampshire Year4_ReferralSource_Individual_Acquaintance="","",Year4_Hampshire Year4_ReferralSource_Individual_Acquaintance)</f>
        <v/>
      </c>
      <c r="AK112" s="489" t="str">
        <f>IF(Year5_Hampshire Year5_ReferralSource_Individual_Acquaintance="","",Year5_Hampshire Year5_ReferralSource_Individual_Acquaintance)</f>
        <v/>
      </c>
      <c r="AL112" s="487" t="str">
        <f>IF(Year1_Hampshire Year1_ReferralSource_Individual_Self="","",Year1_Hampshire Year1_ReferralSource_Individual_Self)</f>
        <v/>
      </c>
      <c r="AM112" s="488" t="str">
        <f>IF(Year2_Hampshire Year2_ReferralSource_Individual_Self="","",Year2_Hampshire Year2_ReferralSource_Individual_Self)</f>
        <v/>
      </c>
      <c r="AN112" s="488" t="str">
        <f>IF(Year3_Hampshire Year3_ReferralSource_Individual_Self="","",Year3_Hampshire Year3_ReferralSource_Individual_Self)</f>
        <v/>
      </c>
      <c r="AO112" s="488" t="str">
        <f>IF(Year4_Hampshire Year4_ReferralSource_Individual_Self="","",Year4_Hampshire Year4_ReferralSource_Individual_Self)</f>
        <v/>
      </c>
      <c r="AP112" s="489" t="str">
        <f>IF(Year5_Hampshire Year5_ReferralSource_Individual_Self="","",Year5_Hampshire Year5_ReferralSource_Individual_Self)</f>
        <v/>
      </c>
      <c r="AQ112" s="487" t="str">
        <f>IF(Year1_Hampshire Year1_ReferralSource_Individual_Other="","",Year1_Hampshire Year1_ReferralSource_Individual_Other)</f>
        <v/>
      </c>
      <c r="AR112" s="488" t="str">
        <f>IF(Year2_Hampshire Year2_ReferralSource_Individual_Other="","",Year2_Hampshire Year2_ReferralSource_Individual_Other)</f>
        <v/>
      </c>
      <c r="AS112" s="488" t="str">
        <f>IF(Year3_Hampshire Year3_ReferralSource_Individual_Other="","",Year3_Hampshire Year3_ReferralSource_Individual_Other)</f>
        <v/>
      </c>
      <c r="AT112" s="488" t="str">
        <f>IF(Year4_Hampshire Year4_ReferralSource_Individual_Other="","",Year4_Hampshire Year4_ReferralSource_Individual_Other)</f>
        <v/>
      </c>
      <c r="AU112" s="489" t="str">
        <f>IF(Year5_Hampshire Year5_ReferralSource_Individual_Other="","",Year5_Hampshire Year5_ReferralSource_Individual_Other)</f>
        <v/>
      </c>
      <c r="AV112" s="487">
        <f>IF(Year1_Hampshire Year1_ReferralSource_School="","",Year1_Hampshire Year1_ReferralSource_School)</f>
        <v>5007</v>
      </c>
      <c r="AW112" s="488">
        <f>IF(Year2_Hampshire Year2_ReferralSource_School="","",Year2_Hampshire Year2_ReferralSource_School)</f>
        <v>4135</v>
      </c>
      <c r="AX112" s="488">
        <f>IF(Year3_Hampshire Year3_ReferralSource_School="","",Year3_Hampshire Year3_ReferralSource_School)</f>
        <v>7348</v>
      </c>
      <c r="AY112" s="488">
        <f>IF(Year4_Hampshire Year4_ReferralSource_School="","",Year4_Hampshire Year4_ReferralSource_School)</f>
        <v>9040</v>
      </c>
      <c r="AZ112" s="489" t="str">
        <f>IF(Year5_Hampshire Year5_ReferralSource_School="","",Year5_Hampshire Year5_ReferralSource_School)</f>
        <v>u</v>
      </c>
      <c r="BA112" s="487">
        <f>IF(Year1_Hampshire Year1_ReferralSource_EducationServices="","",Year1_Hampshire Year1_ReferralSource_EducationServices)</f>
        <v>0</v>
      </c>
      <c r="BB112" s="488">
        <f>IF(Year2_Hampshire Year2_ReferralSource_EducationServices="","",Year2_Hampshire Year2_ReferralSource_EducationServices)</f>
        <v>0</v>
      </c>
      <c r="BC112" s="488">
        <f>IF(Year3_Hampshire Year3_ReferralSource_EducationServices="","",Year3_Hampshire Year3_ReferralSource_EducationServices)</f>
        <v>0</v>
      </c>
      <c r="BD112" s="488">
        <f>IF(Year4_Hampshire Year4_ReferralSource_EducationServices="","",Year4_Hampshire Year4_ReferralSource_EducationServices)</f>
        <v>0</v>
      </c>
      <c r="BE112" s="489" t="str">
        <f>IF(Year5_Hampshire Year5_ReferralSource_EducationServices="","",Year5_Hampshire Year5_ReferralSource_EducationServices)</f>
        <v>u</v>
      </c>
      <c r="BF112" s="501">
        <f>IF(Year1_Hampshire Year1_ReferralSource_Health_services_GP="","",Year1_Hampshire Year1_ReferralSource_Health_services_GP)</f>
        <v>3656</v>
      </c>
      <c r="BG112" s="502">
        <f>IF(Year2_Hampshire Year2_ReferralSource_Health_services_GP="","",Year2_Hampshire Year2_ReferralSource_Health_services_GP)</f>
        <v>4213</v>
      </c>
      <c r="BH112" s="502">
        <f>IF(Year3_Hampshire Year3_ReferralSource_Health_services_GP="","",Year3_Hampshire Year3_ReferralSource_Health_services_GP)</f>
        <v>5034</v>
      </c>
      <c r="BI112" s="502">
        <f>IF(Year4_Hampshire Year4_ReferralSource_Health_services_GP="","",Year4_Hampshire Year4_ReferralSource_Health_services_GP)</f>
        <v>5562</v>
      </c>
      <c r="BJ112" s="503" t="str">
        <f>IF(Year5_Hampshire Year5_ReferralSource_Health_services_GP="","",Year5_Hampshire Year5_ReferralSource_Health_services_GP)</f>
        <v>u</v>
      </c>
      <c r="BK112" s="501" t="str">
        <f>IF(Year1_Hampshire Year1_ReferralSource_Health_services_HealthVisitor="","",Year1_Hampshire Year1_ReferralSource_Health_services_HealthVisitor)</f>
        <v/>
      </c>
      <c r="BL112" s="502" t="str">
        <f>IF(Year2_Hampshire Year2_ReferralSource_Health_services_HealthVisitor="","",Year2_Hampshire Year2_ReferralSource_Health_services_HealthVisitor)</f>
        <v/>
      </c>
      <c r="BM112" s="502" t="str">
        <f>IF(Year3_Hampshire Year3_ReferralSource_Health_services_HealthVisitor="","",Year3_Hampshire Year3_ReferralSource_Health_services_HealthVisitor)</f>
        <v/>
      </c>
      <c r="BN112" s="502" t="str">
        <f>IF(Year4_Hampshire Year4_ReferralSource_Health_services_HealthVisitor="","",Year4_Hampshire Year4_ReferralSource_Health_services_HealthVisitor)</f>
        <v/>
      </c>
      <c r="BO112" s="503" t="str">
        <f>IF(Year5_Hampshire Year5_ReferralSource_Health_services_HealthVisitor="","",Year5_Hampshire Year5_ReferralSource_Health_services_HealthVisitor)</f>
        <v/>
      </c>
      <c r="BP112" s="501" t="str">
        <f>IF(Year1_Hampshire Year1_ReferralSource_Health_services_SchoolNurse="","",Year1_Hampshire Year1_ReferralSource_Health_services_SchoolNurse)</f>
        <v/>
      </c>
      <c r="BQ112" s="502" t="str">
        <f>IF(Year2_Hampshire Year2_ReferralSource_Health_services_SchoolNurse="","",Year2_Hampshire Year2_ReferralSource_Health_services_SchoolNurse)</f>
        <v/>
      </c>
      <c r="BR112" s="502" t="str">
        <f>IF(Year3_Hampshire Year3_ReferralSource_Health_services_SchoolNurse="","",Year3_Hampshire Year3_ReferralSource_Health_services_SchoolNurse)</f>
        <v/>
      </c>
      <c r="BS112" s="502" t="str">
        <f>IF(Year4_Hampshire Year4_ReferralSource_Health_services_SchoolNurse="","",Year4_Hampshire Year4_ReferralSource_Health_services_SchoolNurse)</f>
        <v/>
      </c>
      <c r="BT112" s="503" t="str">
        <f>IF(Year5_Hampshire Year5_ReferralSource_Health_services_SchoolNurse="","",Year5_Hampshire Year5_ReferralSource_Health_services_SchoolNurse)</f>
        <v/>
      </c>
      <c r="BU112" s="501" t="str">
        <f>IF(Year1_Hampshire Year1_ReferralSource_Health_services_OthPrimary="","",Year1_Hampshire Year1_ReferralSource_Health_services_OthPrimary)</f>
        <v/>
      </c>
      <c r="BV112" s="502" t="str">
        <f>IF(Year2_Hampshire Year2_ReferralSource_Health_services_OthPrimary="","",Year2_Hampshire Year2_ReferralSource_Health_services_OthPrimary)</f>
        <v/>
      </c>
      <c r="BW112" s="502" t="str">
        <f>IF(Year3_Hampshire Year3_ReferralSource_Health_services_OthPrimary="","",Year3_Hampshire Year3_ReferralSource_Health_services_OthPrimary)</f>
        <v/>
      </c>
      <c r="BX112" s="502" t="str">
        <f>IF(Year4_Hampshire Year4_ReferralSource_Health_services_OthPrimary="","",Year4_Hampshire Year4_ReferralSource_Health_services_OthPrimary)</f>
        <v/>
      </c>
      <c r="BY112" s="503" t="str">
        <f>IF(Year5_Hampshire Year5_ReferralSource_Health_services_OthPrimary="","",Year5_Hampshire Year5_ReferralSource_Health_services_OthPrimary)</f>
        <v/>
      </c>
      <c r="BZ112" s="501" t="str">
        <f>IF(Year1_Hampshire Year1_ReferralSource_Health_services_AE="","",Year1_Hampshire Year1_ReferralSource_Health_services_AE)</f>
        <v/>
      </c>
      <c r="CA112" s="502" t="str">
        <f>IF(Year2_Hampshire Year2_ReferralSource_Health_services_AE="","",Year2_Hampshire Year2_ReferralSource_Health_services_AE)</f>
        <v/>
      </c>
      <c r="CB112" s="502" t="str">
        <f>IF(Year3_Hampshire Year3_ReferralSource_Health_services_AE="","",Year3_Hampshire Year3_ReferralSource_Health_services_AE)</f>
        <v/>
      </c>
      <c r="CC112" s="502" t="str">
        <f>IF(Year4_Hampshire Year4_ReferralSource_Health_services_AE="","",Year4_Hampshire Year4_ReferralSource_Health_services_AE)</f>
        <v/>
      </c>
      <c r="CD112" s="503" t="str">
        <f>IF(Year5_Hampshire Year5_ReferralSource_Health_services_AE="","",Year5_Hampshire Year5_ReferralSource_Health_services_AE)</f>
        <v/>
      </c>
      <c r="CE112" s="501" t="str">
        <f>IF(Year1_Hampshire Year1_ReferralSource_Health_services_Other="","",Year1_Hampshire Year1_ReferralSource_Health_services_Other)</f>
        <v/>
      </c>
      <c r="CF112" s="502" t="str">
        <f>IF(Year2_Hampshire Year2_ReferralSource_Health_services_Other="","",Year2_Hampshire Year2_ReferralSource_Health_services_Other)</f>
        <v/>
      </c>
      <c r="CG112" s="502" t="str">
        <f>IF(Year3_Hampshire Year3_ReferralSource_Health_services_Other="","",Year3_Hampshire Year3_ReferralSource_Health_services_Other)</f>
        <v/>
      </c>
      <c r="CH112" s="502" t="str">
        <f>IF(Year4_Hampshire Year4_ReferralSource_Health_services_Other="","",Year4_Hampshire Year4_ReferralSource_Health_services_Other)</f>
        <v/>
      </c>
      <c r="CI112" s="503" t="str">
        <f>IF(Year5_Hampshire Year5_ReferralSource_Health_services_Other="","",Year5_Hampshire Year5_ReferralSource_Health_services_Other)</f>
        <v/>
      </c>
      <c r="CJ112" s="487">
        <f>IF(Year1_Hampshire Year1_ReferralSource_Housing="","",Year1_Hampshire Year1_ReferralSource_Housing)</f>
        <v>248</v>
      </c>
      <c r="CK112" s="488">
        <f>IF(Year2_Hampshire Year2_ReferralSource_Housing="","",Year2_Hampshire Year2_ReferralSource_Housing)</f>
        <v>176</v>
      </c>
      <c r="CL112" s="488">
        <f>IF(Year3_Hampshire Year3_ReferralSource_Housing="","",Year3_Hampshire Year3_ReferralSource_Housing)</f>
        <v>249</v>
      </c>
      <c r="CM112" s="488">
        <f>IF(Year4_Hampshire Year4_ReferralSource_Housing="","",Year4_Hampshire Year4_ReferralSource_Housing)</f>
        <v>0</v>
      </c>
      <c r="CN112" s="489" t="str">
        <f>IF(Year5_Hampshire Year5_ReferralSource_Housing="","",Year5_Hampshire Year5_ReferralSource_Housing)</f>
        <v>u</v>
      </c>
      <c r="CO112" s="487">
        <f>IF(Year1_Hampshire Year1_ReferralSource_LA_SC="","",Year1_Hampshire Year1_ReferralSource_LA_SC)</f>
        <v>1600</v>
      </c>
      <c r="CP112" s="488">
        <f>IF(Year2_Hampshire Year2_ReferralSource_LA_SC="","",Year2_Hampshire Year2_ReferralSource_LA_SC)</f>
        <v>1780</v>
      </c>
      <c r="CQ112" s="488">
        <f>IF(Year3_Hampshire Year3_ReferralSource_LA_SC="","",Year3_Hampshire Year3_ReferralSource_LA_SC)</f>
        <v>1875</v>
      </c>
      <c r="CR112" s="488">
        <f>IF(Year4_Hampshire Year4_ReferralSource_LA_SC="","",Year4_Hampshire Year4_ReferralSource_LA_SC)</f>
        <v>2843</v>
      </c>
      <c r="CS112" s="489" t="str">
        <f>IF(Year5_Hampshire Year5_ReferralSource_LA_SC="","",Year5_Hampshire Year5_ReferralSource_LA_SC)</f>
        <v>u</v>
      </c>
      <c r="CT112" s="487" t="str">
        <f>IF(Year1_Hampshire Year1_ReferralSource_LA_Other="","",Year1_Hampshire Year1_ReferralSource_LA_Other)</f>
        <v/>
      </c>
      <c r="CU112" s="488" t="str">
        <f>IF(Year2_Hampshire Year2_ReferralSource_LA_Other="","",Year2_Hampshire Year2_ReferralSource_LA_Other)</f>
        <v/>
      </c>
      <c r="CV112" s="488" t="str">
        <f>IF(Year3_Hampshire Year3_ReferralSource_LA_Other="","",Year3_Hampshire Year3_ReferralSource_LA_Other)</f>
        <v/>
      </c>
      <c r="CW112" s="488" t="str">
        <f>IF(Year4_Hampshire Year4_ReferralSource_LA_Other="","",Year4_Hampshire Year4_ReferralSource_LA_Other)</f>
        <v/>
      </c>
      <c r="CX112" s="489" t="str">
        <f>IF(Year5_Hampshire Year5_ReferralSource_LA_Other="","",Year5_Hampshire Year5_ReferralSource_LA_Other)</f>
        <v/>
      </c>
      <c r="CY112" s="487" t="str">
        <f>IF(Year1_Hampshire Year1_ReferralSource_LA_External="","",Year1_Hampshire Year1_ReferralSource_LA_External)</f>
        <v/>
      </c>
      <c r="CZ112" s="488" t="str">
        <f>IF(Year2_Hampshire Year2_ReferralSource_LA_External="","",Year2_Hampshire Year2_ReferralSource_LA_External)</f>
        <v/>
      </c>
      <c r="DA112" s="488" t="str">
        <f>IF(Year3_Hampshire Year3_ReferralSource_LA_External="","",Year3_Hampshire Year3_ReferralSource_LA_External)</f>
        <v/>
      </c>
      <c r="DB112" s="488" t="str">
        <f>IF(Year4_Hampshire Year4_ReferralSource_LA_External="","",Year4_Hampshire Year4_ReferralSource_LA_External)</f>
        <v/>
      </c>
      <c r="DC112" s="489" t="str">
        <f>IF(Year5_Hampshire Year5_ReferralSource_LA_External="","",Year5_Hampshire Year5_ReferralSource_LA_External)</f>
        <v/>
      </c>
      <c r="DD112" s="487">
        <f>IF(Year1_Hampshire Year1_ReferralSource_Police="","",Year1_Hampshire Year1_ReferralSource_Police)</f>
        <v>4585</v>
      </c>
      <c r="DE112" s="488">
        <f>IF(Year2_Hampshire Year2_ReferralSource_Police="","",Year2_Hampshire Year2_ReferralSource_Police)</f>
        <v>5698</v>
      </c>
      <c r="DF112" s="488">
        <f>IF(Year3_Hampshire Year3_ReferralSource_Police="","",Year3_Hampshire Year3_ReferralSource_Police)</f>
        <v>6883</v>
      </c>
      <c r="DG112" s="488">
        <f>IF(Year4_Hampshire Year4_ReferralSource_Police="","",Year4_Hampshire Year4_ReferralSource_Police)</f>
        <v>6443</v>
      </c>
      <c r="DH112" s="489" t="str">
        <f>IF(Year5_Hampshire Year5_ReferralSource_Police="","",Year5_Hampshire Year5_ReferralSource_Police)</f>
        <v>u</v>
      </c>
      <c r="DI112" s="487">
        <f>IF(Year1_Hampshire Year1_ReferralSource_Other_Legal="","",Year1_Hampshire Year1_ReferralSource_Other_Legal)</f>
        <v>696</v>
      </c>
      <c r="DJ112" s="488">
        <f>IF(Year2_Hampshire Year2_ReferralSource_Other_Legal="","",Year2_Hampshire Year2_ReferralSource_Other_Legal)</f>
        <v>849</v>
      </c>
      <c r="DK112" s="488">
        <f>IF(Year3_Hampshire Year3_ReferralSource_Other_Legal="","",Year3_Hampshire Year3_ReferralSource_Other_Legal)</f>
        <v>1067</v>
      </c>
      <c r="DL112" s="488">
        <f>IF(Year4_Hampshire Year4_ReferralSource_Other_Legal="","",Year4_Hampshire Year4_ReferralSource_Other_Legal)</f>
        <v>1260</v>
      </c>
      <c r="DM112" s="489" t="str">
        <f>IF(Year5_Hampshire Year5_ReferralSource_Other_Legal="","",Year5_Hampshire Year5_ReferralSource_Other_Legal)</f>
        <v>u</v>
      </c>
      <c r="DN112" s="487">
        <f>IF(Year1_Hampshire Year1_ReferralSource_Other="","",Year1_Hampshire Year1_ReferralSource_Other)</f>
        <v>1262</v>
      </c>
      <c r="DO112" s="488">
        <f>IF(Year2_Hampshire Year2_ReferralSource_Other="","",Year2_Hampshire Year2_ReferralSource_Other)</f>
        <v>1155</v>
      </c>
      <c r="DP112" s="488">
        <f>IF(Year3_Hampshire Year3_ReferralSource_Other="","",Year3_Hampshire Year3_ReferralSource_Other)</f>
        <v>1400</v>
      </c>
      <c r="DQ112" s="488">
        <f>IF(Year4_Hampshire Year4_ReferralSource_Other="","",Year4_Hampshire Year4_ReferralSource_Other)</f>
        <v>1433</v>
      </c>
      <c r="DR112" s="489" t="str">
        <f>IF(Year5_Hampshire Year5_ReferralSource_Other="","",Year5_Hampshire Year5_ReferralSource_Other)</f>
        <v>u</v>
      </c>
      <c r="DS112" s="487">
        <f>IF(Year1_Hampshire Year1_ReferralSource_Anonymous="","",Year1_Hampshire Year1_ReferralSource_Anonymous)</f>
        <v>531</v>
      </c>
      <c r="DT112" s="488">
        <f>IF(Year2_Hampshire Year2_ReferralSource_Anonymous="","",Year2_Hampshire Year2_ReferralSource_Anonymous)</f>
        <v>635</v>
      </c>
      <c r="DU112" s="488">
        <f>IF(Year3_Hampshire Year3_ReferralSource_Anonymous="","",Year3_Hampshire Year3_ReferralSource_Anonymous)</f>
        <v>628</v>
      </c>
      <c r="DV112" s="488">
        <f>IF(Year4_Hampshire Year4_ReferralSource_Anonymous="","",Year4_Hampshire Year4_ReferralSource_Anonymous)</f>
        <v>595</v>
      </c>
      <c r="DW112" s="489" t="str">
        <f>IF(Year5_Hampshire Year5_ReferralSource_Anonymous="","",Year5_Hampshire Year5_ReferralSource_Anonymous)</f>
        <v>u</v>
      </c>
      <c r="DX112" s="487">
        <f>IF(Year1_Hampshire Year1_ReferralSource_Unknown="","",Year1_Hampshire Year1_ReferralSource_Unknown)</f>
        <v>332</v>
      </c>
      <c r="DY112" s="488">
        <f>IF(Year2_Hampshire Year2_ReferralSource_Unknown="","",Year2_Hampshire Year2_ReferralSource_Unknown)</f>
        <v>246</v>
      </c>
      <c r="DZ112" s="488">
        <f>IF(Year3_Hampshire Year3_ReferralSource_Unknown="","",Year3_Hampshire Year3_ReferralSource_Unknown)</f>
        <v>251</v>
      </c>
      <c r="EA112" s="488">
        <f>IF(Year4_Hampshire Year4_ReferralSource_Unknown="","",Year4_Hampshire Year4_ReferralSource_Unknown)</f>
        <v>237</v>
      </c>
      <c r="EB112" s="489" t="str">
        <f>IF(Year5_Hampshire Year5_ReferralSource_Unknown="","",Year5_Hampshire Year5_ReferralSource_Unknown)</f>
        <v>u</v>
      </c>
    </row>
    <row r="113" spans="1:133" ht="17.25" customHeight="1">
      <c r="A113" s="1103">
        <f>VLOOKUP(B113,ReportData!$AQ$4:$AR$25,2,FALSE)</f>
        <v>0</v>
      </c>
      <c r="B113" s="1114" t="str">
        <f>ReportData!$K$19</f>
        <v>West Berkshire</v>
      </c>
      <c r="C113" s="5"/>
      <c r="D113" s="1796"/>
      <c r="E113" s="1797"/>
      <c r="F113" s="1796"/>
      <c r="G113" s="1797"/>
      <c r="H113" s="1796"/>
      <c r="I113" s="1797"/>
      <c r="J113" s="1796"/>
      <c r="K113" s="1797"/>
      <c r="L113" s="1796"/>
      <c r="M113" s="1797"/>
      <c r="N113" s="1796"/>
      <c r="O113" s="1797"/>
      <c r="P113" s="1796"/>
      <c r="Q113" s="1797"/>
      <c r="R113" s="1796"/>
      <c r="S113" s="1797"/>
      <c r="T113" s="1796"/>
      <c r="U113" s="1797"/>
      <c r="V113" s="1796"/>
      <c r="W113" s="1797"/>
      <c r="X113" s="5"/>
      <c r="Y113" s="86"/>
      <c r="Z113" s="102"/>
      <c r="AA113" s="52"/>
      <c r="AB113" s="487">
        <f>IF(Year1_Isle_of_Wight Year1_ReferralSource_Individual_Family="","",Year1_Isle_of_Wight Year1_ReferralSource_Individual_Family)</f>
        <v>308</v>
      </c>
      <c r="AC113" s="488">
        <f>IF(Year2_Isle_of_Wight Year2_ReferralSource_Individual_Family="","",Year2_Isle_of_Wight Year2_ReferralSource_Individual_Family)</f>
        <v>261</v>
      </c>
      <c r="AD113" s="488">
        <f>IF(Year3_Isle_of_Wight Year3_ReferralSource_Individual_Family="","",Year3_Isle_of_Wight Year3_ReferralSource_Individual_Family)</f>
        <v>292</v>
      </c>
      <c r="AE113" s="488">
        <f>IF(Year4_Isle_of_Wight Year4_ReferralSource_Individual_Family="","",Year4_Isle_of_Wight Year4_ReferralSource_Individual_Family)</f>
        <v>239</v>
      </c>
      <c r="AF113" s="500">
        <f>IF(Year5_Isle_of_Wight Year5_ReferralSource_Individual_Family="","",Year5_Isle_of_Wight Year5_ReferralSource_Individual_Family)</f>
        <v>294</v>
      </c>
      <c r="AG113" s="487" t="str">
        <f>IF(Year1_Isle_of_Wight Year1_ReferralSource_Individual_Acquaintance="","",Year1_Isle_of_Wight Year1_ReferralSource_Individual_Acquaintance)</f>
        <v/>
      </c>
      <c r="AH113" s="488" t="str">
        <f>IF(Year2_Isle_of_Wight Year2_ReferralSource_Individual_Acquaintance="","",Year2_Isle_of_Wight Year2_ReferralSource_Individual_Acquaintance)</f>
        <v/>
      </c>
      <c r="AI113" s="488" t="str">
        <f>IF(Year3_Isle_of_Wight Year3_ReferralSource_Individual_Acquaintance="","",Year3_Isle_of_Wight Year3_ReferralSource_Individual_Acquaintance)</f>
        <v/>
      </c>
      <c r="AJ113" s="488" t="str">
        <f>IF(Year4_Isle_of_Wight Year4_ReferralSource_Individual_Acquaintance="","",Year4_Isle_of_Wight Year4_ReferralSource_Individual_Acquaintance)</f>
        <v/>
      </c>
      <c r="AK113" s="489" t="str">
        <f>IF(Year5_Isle_of_Wight Year5_ReferralSource_Individual_Acquaintance="","",Year5_Isle_of_Wight Year5_ReferralSource_Individual_Acquaintance)</f>
        <v/>
      </c>
      <c r="AL113" s="487" t="str">
        <f>IF(Year1_Isle_of_Wight Year1_ReferralSource_Individual_Self="","",Year1_Isle_of_Wight Year1_ReferralSource_Individual_Self)</f>
        <v/>
      </c>
      <c r="AM113" s="488" t="str">
        <f>IF(Year2_Isle_of_Wight Year2_ReferralSource_Individual_Self="","",Year2_Isle_of_Wight Year2_ReferralSource_Individual_Self)</f>
        <v/>
      </c>
      <c r="AN113" s="488" t="str">
        <f>IF(Year3_Isle_of_Wight Year3_ReferralSource_Individual_Self="","",Year3_Isle_of_Wight Year3_ReferralSource_Individual_Self)</f>
        <v/>
      </c>
      <c r="AO113" s="488" t="str">
        <f>IF(Year4_Isle_of_Wight Year4_ReferralSource_Individual_Self="","",Year4_Isle_of_Wight Year4_ReferralSource_Individual_Self)</f>
        <v/>
      </c>
      <c r="AP113" s="489" t="str">
        <f>IF(Year5_Isle_of_Wight Year5_ReferralSource_Individual_Self="","",Year5_Isle_of_Wight Year5_ReferralSource_Individual_Self)</f>
        <v/>
      </c>
      <c r="AQ113" s="487" t="str">
        <f>IF(Year1_Isle_of_Wight Year1_ReferralSource_Individual_Other="","",Year1_Isle_of_Wight Year1_ReferralSource_Individual_Other)</f>
        <v/>
      </c>
      <c r="AR113" s="488" t="str">
        <f>IF(Year2_Isle_of_Wight Year2_ReferralSource_Individual_Other="","",Year2_Isle_of_Wight Year2_ReferralSource_Individual_Other)</f>
        <v/>
      </c>
      <c r="AS113" s="488" t="str">
        <f>IF(Year3_Isle_of_Wight Year3_ReferralSource_Individual_Other="","",Year3_Isle_of_Wight Year3_ReferralSource_Individual_Other)</f>
        <v/>
      </c>
      <c r="AT113" s="488" t="str">
        <f>IF(Year4_Isle_of_Wight Year4_ReferralSource_Individual_Other="","",Year4_Isle_of_Wight Year4_ReferralSource_Individual_Other)</f>
        <v/>
      </c>
      <c r="AU113" s="489" t="str">
        <f>IF(Year5_Isle_of_Wight Year5_ReferralSource_Individual_Other="","",Year5_Isle_of_Wight Year5_ReferralSource_Individual_Other)</f>
        <v/>
      </c>
      <c r="AV113" s="487">
        <f>IF(Year1_Isle_of_Wight Year1_ReferralSource_School="","",Year1_Isle_of_Wight Year1_ReferralSource_School)</f>
        <v>710</v>
      </c>
      <c r="AW113" s="488">
        <f>IF(Year2_Isle_of_Wight Year2_ReferralSource_School="","",Year2_Isle_of_Wight Year2_ReferralSource_School)</f>
        <v>699</v>
      </c>
      <c r="AX113" s="488">
        <f>IF(Year3_Isle_of_Wight Year3_ReferralSource_School="","",Year3_Isle_of_Wight Year3_ReferralSource_School)</f>
        <v>1054</v>
      </c>
      <c r="AY113" s="488">
        <f>IF(Year4_Isle_of_Wight Year4_ReferralSource_School="","",Year4_Isle_of_Wight Year4_ReferralSource_School)</f>
        <v>1340</v>
      </c>
      <c r="AZ113" s="489">
        <f>IF(Year5_Isle_of_Wight Year5_ReferralSource_School="","",Year5_Isle_of_Wight Year5_ReferralSource_School)</f>
        <v>1502</v>
      </c>
      <c r="BA113" s="487">
        <f>IF(Year1_Isle_of_Wight Year1_ReferralSource_EducationServices="","",Year1_Isle_of_Wight Year1_ReferralSource_EducationServices)</f>
        <v>8</v>
      </c>
      <c r="BB113" s="488">
        <f>IF(Year2_Isle_of_Wight Year2_ReferralSource_EducationServices="","",Year2_Isle_of_Wight Year2_ReferralSource_EducationServices)</f>
        <v>7</v>
      </c>
      <c r="BC113" s="488">
        <f>IF(Year3_Isle_of_Wight Year3_ReferralSource_EducationServices="","",Year3_Isle_of_Wight Year3_ReferralSource_EducationServices)</f>
        <v>54</v>
      </c>
      <c r="BD113" s="488">
        <f>IF(Year4_Isle_of_Wight Year4_ReferralSource_EducationServices="","",Year4_Isle_of_Wight Year4_ReferralSource_EducationServices)</f>
        <v>18</v>
      </c>
      <c r="BE113" s="489">
        <f>IF(Year5_Isle_of_Wight Year5_ReferralSource_EducationServices="","",Year5_Isle_of_Wight Year5_ReferralSource_EducationServices)</f>
        <v>10</v>
      </c>
      <c r="BF113" s="501">
        <f>IF(Year1_Isle_of_Wight Year1_ReferralSource_Health_services_GP="","",Year1_Isle_of_Wight Year1_ReferralSource_Health_services_GP)</f>
        <v>367</v>
      </c>
      <c r="BG113" s="502">
        <f>IF(Year2_Isle_of_Wight Year2_ReferralSource_Health_services_GP="","",Year2_Isle_of_Wight Year2_ReferralSource_Health_services_GP)</f>
        <v>347</v>
      </c>
      <c r="BH113" s="502">
        <f>IF(Year3_Isle_of_Wight Year3_ReferralSource_Health_services_GP="","",Year3_Isle_of_Wight Year3_ReferralSource_Health_services_GP)</f>
        <v>502</v>
      </c>
      <c r="BI113" s="502">
        <f>IF(Year4_Isle_of_Wight Year4_ReferralSource_Health_services_GP="","",Year4_Isle_of_Wight Year4_ReferralSource_Health_services_GP)</f>
        <v>594</v>
      </c>
      <c r="BJ113" s="503">
        <f>IF(Year5_Isle_of_Wight Year5_ReferralSource_Health_services_GP="","",Year5_Isle_of_Wight Year5_ReferralSource_Health_services_GP)</f>
        <v>639</v>
      </c>
      <c r="BK113" s="501" t="str">
        <f>IF(Year1_Isle_of_Wight Year1_ReferralSource_Health_services_HealthVisitor="","",Year1_Isle_of_Wight Year1_ReferralSource_Health_services_HealthVisitor)</f>
        <v/>
      </c>
      <c r="BL113" s="502" t="str">
        <f>IF(Year2_Isle_of_Wight Year2_ReferralSource_Health_services_HealthVisitor="","",Year2_Isle_of_Wight Year2_ReferralSource_Health_services_HealthVisitor)</f>
        <v/>
      </c>
      <c r="BM113" s="502" t="str">
        <f>IF(Year3_Isle_of_Wight Year3_ReferralSource_Health_services_HealthVisitor="","",Year3_Isle_of_Wight Year3_ReferralSource_Health_services_HealthVisitor)</f>
        <v/>
      </c>
      <c r="BN113" s="502" t="str">
        <f>IF(Year4_Isle_of_Wight Year4_ReferralSource_Health_services_HealthVisitor="","",Year4_Isle_of_Wight Year4_ReferralSource_Health_services_HealthVisitor)</f>
        <v/>
      </c>
      <c r="BO113" s="503" t="str">
        <f>IF(Year5_Isle_of_Wight Year5_ReferralSource_Health_services_HealthVisitor="","",Year5_Isle_of_Wight Year5_ReferralSource_Health_services_HealthVisitor)</f>
        <v/>
      </c>
      <c r="BP113" s="501" t="str">
        <f>IF(Year1_Isle_of_Wight Year1_ReferralSource_Health_services_SchoolNurse="","",Year1_Isle_of_Wight Year1_ReferralSource_Health_services_SchoolNurse)</f>
        <v/>
      </c>
      <c r="BQ113" s="502" t="str">
        <f>IF(Year2_Isle_of_Wight Year2_ReferralSource_Health_services_SchoolNurse="","",Year2_Isle_of_Wight Year2_ReferralSource_Health_services_SchoolNurse)</f>
        <v/>
      </c>
      <c r="BR113" s="502" t="str">
        <f>IF(Year3_Isle_of_Wight Year3_ReferralSource_Health_services_SchoolNurse="","",Year3_Isle_of_Wight Year3_ReferralSource_Health_services_SchoolNurse)</f>
        <v/>
      </c>
      <c r="BS113" s="502" t="str">
        <f>IF(Year4_Isle_of_Wight Year4_ReferralSource_Health_services_SchoolNurse="","",Year4_Isle_of_Wight Year4_ReferralSource_Health_services_SchoolNurse)</f>
        <v/>
      </c>
      <c r="BT113" s="503" t="str">
        <f>IF(Year5_Isle_of_Wight Year5_ReferralSource_Health_services_SchoolNurse="","",Year5_Isle_of_Wight Year5_ReferralSource_Health_services_SchoolNurse)</f>
        <v/>
      </c>
      <c r="BU113" s="501" t="str">
        <f>IF(Year1_Isle_of_Wight Year1_ReferralSource_Health_services_OthPrimary="","",Year1_Isle_of_Wight Year1_ReferralSource_Health_services_OthPrimary)</f>
        <v/>
      </c>
      <c r="BV113" s="502" t="str">
        <f>IF(Year2_Isle_of_Wight Year2_ReferralSource_Health_services_OthPrimary="","",Year2_Isle_of_Wight Year2_ReferralSource_Health_services_OthPrimary)</f>
        <v/>
      </c>
      <c r="BW113" s="502" t="str">
        <f>IF(Year3_Isle_of_Wight Year3_ReferralSource_Health_services_OthPrimary="","",Year3_Isle_of_Wight Year3_ReferralSource_Health_services_OthPrimary)</f>
        <v/>
      </c>
      <c r="BX113" s="502" t="str">
        <f>IF(Year4_Isle_of_Wight Year4_ReferralSource_Health_services_OthPrimary="","",Year4_Isle_of_Wight Year4_ReferralSource_Health_services_OthPrimary)</f>
        <v/>
      </c>
      <c r="BY113" s="503" t="str">
        <f>IF(Year5_Isle_of_Wight Year5_ReferralSource_Health_services_OthPrimary="","",Year5_Isle_of_Wight Year5_ReferralSource_Health_services_OthPrimary)</f>
        <v/>
      </c>
      <c r="BZ113" s="501" t="str">
        <f>IF(Year1_Isle_of_Wight Year1_ReferralSource_Health_services_AE="","",Year1_Isle_of_Wight Year1_ReferralSource_Health_services_AE)</f>
        <v/>
      </c>
      <c r="CA113" s="502" t="str">
        <f>IF(Year2_Isle_of_Wight Year2_ReferralSource_Health_services_AE="","",Year2_Isle_of_Wight Year2_ReferralSource_Health_services_AE)</f>
        <v/>
      </c>
      <c r="CB113" s="502" t="str">
        <f>IF(Year3_Isle_of_Wight Year3_ReferralSource_Health_services_AE="","",Year3_Isle_of_Wight Year3_ReferralSource_Health_services_AE)</f>
        <v/>
      </c>
      <c r="CC113" s="502" t="str">
        <f>IF(Year4_Isle_of_Wight Year4_ReferralSource_Health_services_AE="","",Year4_Isle_of_Wight Year4_ReferralSource_Health_services_AE)</f>
        <v/>
      </c>
      <c r="CD113" s="503" t="str">
        <f>IF(Year5_Isle_of_Wight Year5_ReferralSource_Health_services_AE="","",Year5_Isle_of_Wight Year5_ReferralSource_Health_services_AE)</f>
        <v/>
      </c>
      <c r="CE113" s="501" t="str">
        <f>IF(Year1_Isle_of_Wight Year1_ReferralSource_Health_services_Other="","",Year1_Isle_of_Wight Year1_ReferralSource_Health_services_Other)</f>
        <v/>
      </c>
      <c r="CF113" s="502" t="str">
        <f>IF(Year2_Isle_of_Wight Year2_ReferralSource_Health_services_Other="","",Year2_Isle_of_Wight Year2_ReferralSource_Health_services_Other)</f>
        <v/>
      </c>
      <c r="CG113" s="502" t="str">
        <f>IF(Year3_Isle_of_Wight Year3_ReferralSource_Health_services_Other="","",Year3_Isle_of_Wight Year3_ReferralSource_Health_services_Other)</f>
        <v/>
      </c>
      <c r="CH113" s="502" t="str">
        <f>IF(Year4_Isle_of_Wight Year4_ReferralSource_Health_services_Other="","",Year4_Isle_of_Wight Year4_ReferralSource_Health_services_Other)</f>
        <v/>
      </c>
      <c r="CI113" s="503" t="str">
        <f>IF(Year5_Isle_of_Wight Year5_ReferralSource_Health_services_Other="","",Year5_Isle_of_Wight Year5_ReferralSource_Health_services_Other)</f>
        <v/>
      </c>
      <c r="CJ113" s="487">
        <f>IF(Year1_Isle_of_Wight Year1_ReferralSource_Housing="","",Year1_Isle_of_Wight Year1_ReferralSource_Housing)</f>
        <v>41</v>
      </c>
      <c r="CK113" s="488">
        <f>IF(Year2_Isle_of_Wight Year2_ReferralSource_Housing="","",Year2_Isle_of_Wight Year2_ReferralSource_Housing)</f>
        <v>32</v>
      </c>
      <c r="CL113" s="488">
        <f>IF(Year3_Isle_of_Wight Year3_ReferralSource_Housing="","",Year3_Isle_of_Wight Year3_ReferralSource_Housing)</f>
        <v>44</v>
      </c>
      <c r="CM113" s="488">
        <f>IF(Year4_Isle_of_Wight Year4_ReferralSource_Housing="","",Year4_Isle_of_Wight Year4_ReferralSource_Housing)</f>
        <v>75</v>
      </c>
      <c r="CN113" s="489">
        <f>IF(Year5_Isle_of_Wight Year5_ReferralSource_Housing="","",Year5_Isle_of_Wight Year5_ReferralSource_Housing)</f>
        <v>61</v>
      </c>
      <c r="CO113" s="487">
        <f>IF(Year1_Isle_of_Wight Year1_ReferralSource_LA_SC="","",Year1_Isle_of_Wight Year1_ReferralSource_LA_SC)</f>
        <v>253</v>
      </c>
      <c r="CP113" s="488">
        <f>IF(Year2_Isle_of_Wight Year2_ReferralSource_LA_SC="","",Year2_Isle_of_Wight Year2_ReferralSource_LA_SC)</f>
        <v>248</v>
      </c>
      <c r="CQ113" s="488">
        <f>IF(Year3_Isle_of_Wight Year3_ReferralSource_LA_SC="","",Year3_Isle_of_Wight Year3_ReferralSource_LA_SC)</f>
        <v>211</v>
      </c>
      <c r="CR113" s="488">
        <f>IF(Year4_Isle_of_Wight Year4_ReferralSource_LA_SC="","",Year4_Isle_of_Wight Year4_ReferralSource_LA_SC)</f>
        <v>259</v>
      </c>
      <c r="CS113" s="489">
        <f>IF(Year5_Isle_of_Wight Year5_ReferralSource_LA_SC="","",Year5_Isle_of_Wight Year5_ReferralSource_LA_SC)</f>
        <v>286</v>
      </c>
      <c r="CT113" s="487" t="str">
        <f>IF(Year1_Isle_of_Wight Year1_ReferralSource_LA_Other="","",Year1_Isle_of_Wight Year1_ReferralSource_LA_Other)</f>
        <v/>
      </c>
      <c r="CU113" s="488" t="str">
        <f>IF(Year2_Isle_of_Wight Year2_ReferralSource_LA_Other="","",Year2_Isle_of_Wight Year2_ReferralSource_LA_Other)</f>
        <v/>
      </c>
      <c r="CV113" s="488" t="str">
        <f>IF(Year3_Isle_of_Wight Year3_ReferralSource_LA_Other="","",Year3_Isle_of_Wight Year3_ReferralSource_LA_Other)</f>
        <v/>
      </c>
      <c r="CW113" s="488" t="str">
        <f>IF(Year4_Isle_of_Wight Year4_ReferralSource_LA_Other="","",Year4_Isle_of_Wight Year4_ReferralSource_LA_Other)</f>
        <v/>
      </c>
      <c r="CX113" s="489" t="str">
        <f>IF(Year5_Isle_of_Wight Year5_ReferralSource_LA_Other="","",Year5_Isle_of_Wight Year5_ReferralSource_LA_Other)</f>
        <v/>
      </c>
      <c r="CY113" s="487" t="str">
        <f>IF(Year1_Isle_of_Wight Year1_ReferralSource_LA_External="","",Year1_Isle_of_Wight Year1_ReferralSource_LA_External)</f>
        <v/>
      </c>
      <c r="CZ113" s="488" t="str">
        <f>IF(Year2_Isle_of_Wight Year2_ReferralSource_LA_External="","",Year2_Isle_of_Wight Year2_ReferralSource_LA_External)</f>
        <v/>
      </c>
      <c r="DA113" s="488" t="str">
        <f>IF(Year3_Isle_of_Wight Year3_ReferralSource_LA_External="","",Year3_Isle_of_Wight Year3_ReferralSource_LA_External)</f>
        <v/>
      </c>
      <c r="DB113" s="488" t="str">
        <f>IF(Year4_Isle_of_Wight Year4_ReferralSource_LA_External="","",Year4_Isle_of_Wight Year4_ReferralSource_LA_External)</f>
        <v/>
      </c>
      <c r="DC113" s="489" t="str">
        <f>IF(Year5_Isle_of_Wight Year5_ReferralSource_LA_External="","",Year5_Isle_of_Wight Year5_ReferralSource_LA_External)</f>
        <v/>
      </c>
      <c r="DD113" s="487">
        <f>IF(Year1_Isle_of_Wight Year1_ReferralSource_Police="","",Year1_Isle_of_Wight Year1_ReferralSource_Police)</f>
        <v>519</v>
      </c>
      <c r="DE113" s="488">
        <f>IF(Year2_Isle_of_Wight Year2_ReferralSource_Police="","",Year2_Isle_of_Wight Year2_ReferralSource_Police)</f>
        <v>599</v>
      </c>
      <c r="DF113" s="488">
        <f>IF(Year3_Isle_of_Wight Year3_ReferralSource_Police="","",Year3_Isle_of_Wight Year3_ReferralSource_Police)</f>
        <v>717</v>
      </c>
      <c r="DG113" s="488">
        <f>IF(Year4_Isle_of_Wight Year4_ReferralSource_Police="","",Year4_Isle_of_Wight Year4_ReferralSource_Police)</f>
        <v>777</v>
      </c>
      <c r="DH113" s="489">
        <f>IF(Year5_Isle_of_Wight Year5_ReferralSource_Police="","",Year5_Isle_of_Wight Year5_ReferralSource_Police)</f>
        <v>977</v>
      </c>
      <c r="DI113" s="487">
        <f>IF(Year1_Isle_of_Wight Year1_ReferralSource_Other_Legal="","",Year1_Isle_of_Wight Year1_ReferralSource_Other_Legal)</f>
        <v>70</v>
      </c>
      <c r="DJ113" s="488">
        <f>IF(Year2_Isle_of_Wight Year2_ReferralSource_Other_Legal="","",Year2_Isle_of_Wight Year2_ReferralSource_Other_Legal)</f>
        <v>55</v>
      </c>
      <c r="DK113" s="488">
        <f>IF(Year3_Isle_of_Wight Year3_ReferralSource_Other_Legal="","",Year3_Isle_of_Wight Year3_ReferralSource_Other_Legal)</f>
        <v>99</v>
      </c>
      <c r="DL113" s="488">
        <f>IF(Year4_Isle_of_Wight Year4_ReferralSource_Other_Legal="","",Year4_Isle_of_Wight Year4_ReferralSource_Other_Legal)</f>
        <v>106</v>
      </c>
      <c r="DM113" s="489">
        <f>IF(Year5_Isle_of_Wight Year5_ReferralSource_Other_Legal="","",Year5_Isle_of_Wight Year5_ReferralSource_Other_Legal)</f>
        <v>149</v>
      </c>
      <c r="DN113" s="487">
        <f>IF(Year1_Isle_of_Wight Year1_ReferralSource_Other="","",Year1_Isle_of_Wight Year1_ReferralSource_Other)</f>
        <v>346</v>
      </c>
      <c r="DO113" s="488">
        <f>IF(Year2_Isle_of_Wight Year2_ReferralSource_Other="","",Year2_Isle_of_Wight Year2_ReferralSource_Other)</f>
        <v>281</v>
      </c>
      <c r="DP113" s="488">
        <f>IF(Year3_Isle_of_Wight Year3_ReferralSource_Other="","",Year3_Isle_of_Wight Year3_ReferralSource_Other)</f>
        <v>265</v>
      </c>
      <c r="DQ113" s="488">
        <f>IF(Year4_Isle_of_Wight Year4_ReferralSource_Other="","",Year4_Isle_of_Wight Year4_ReferralSource_Other)</f>
        <v>329</v>
      </c>
      <c r="DR113" s="489">
        <f>IF(Year5_Isle_of_Wight Year5_ReferralSource_Other="","",Year5_Isle_of_Wight Year5_ReferralSource_Other)</f>
        <v>353</v>
      </c>
      <c r="DS113" s="487">
        <f>IF(Year1_Isle_of_Wight Year1_ReferralSource_Anonymous="","",Year1_Isle_of_Wight Year1_ReferralSource_Anonymous)</f>
        <v>0</v>
      </c>
      <c r="DT113" s="488">
        <f>IF(Year2_Isle_of_Wight Year2_ReferralSource_Anonymous="","",Year2_Isle_of_Wight Year2_ReferralSource_Anonymous)</f>
        <v>0</v>
      </c>
      <c r="DU113" s="488">
        <f>IF(Year3_Isle_of_Wight Year3_ReferralSource_Anonymous="","",Year3_Isle_of_Wight Year3_ReferralSource_Anonymous)</f>
        <v>93</v>
      </c>
      <c r="DV113" s="488">
        <f>IF(Year4_Isle_of_Wight Year4_ReferralSource_Anonymous="","",Year4_Isle_of_Wight Year4_ReferralSource_Anonymous)</f>
        <v>112</v>
      </c>
      <c r="DW113" s="489">
        <f>IF(Year5_Isle_of_Wight Year5_ReferralSource_Anonymous="","",Year5_Isle_of_Wight Year5_ReferralSource_Anonymous)</f>
        <v>81</v>
      </c>
      <c r="DX113" s="487">
        <f>IF(Year1_Isle_of_Wight Year1_ReferralSource_Unknown="","",Year1_Isle_of_Wight Year1_ReferralSource_Unknown)</f>
        <v>48</v>
      </c>
      <c r="DY113" s="488">
        <f>IF(Year2_Isle_of_Wight Year2_ReferralSource_Unknown="","",Year2_Isle_of_Wight Year2_ReferralSource_Unknown)</f>
        <v>90</v>
      </c>
      <c r="DZ113" s="488">
        <f>IF(Year3_Isle_of_Wight Year3_ReferralSource_Unknown="","",Year3_Isle_of_Wight Year3_ReferralSource_Unknown)</f>
        <v>34</v>
      </c>
      <c r="EA113" s="488">
        <f>IF(Year4_Isle_of_Wight Year4_ReferralSource_Unknown="","",Year4_Isle_of_Wight Year4_ReferralSource_Unknown)</f>
        <v>21</v>
      </c>
      <c r="EB113" s="489">
        <f>IF(Year5_Isle_of_Wight Year5_ReferralSource_Unknown="","",Year5_Isle_of_Wight Year5_ReferralSource_Unknown)</f>
        <v>26</v>
      </c>
    </row>
    <row r="114" spans="1:133" ht="17.25" customHeight="1">
      <c r="A114" s="1103">
        <f>VLOOKUP(B114,ReportData!$AQ$4:$AR$25,2,FALSE)</f>
        <v>0</v>
      </c>
      <c r="B114" s="1114" t="str">
        <f>ReportData!$K$20</f>
        <v>West Sussex</v>
      </c>
      <c r="C114" s="5"/>
      <c r="D114" s="1796"/>
      <c r="E114" s="1797"/>
      <c r="F114" s="1796"/>
      <c r="G114" s="1797"/>
      <c r="H114" s="1796"/>
      <c r="I114" s="1797"/>
      <c r="J114" s="1796"/>
      <c r="K114" s="1797"/>
      <c r="L114" s="1796"/>
      <c r="M114" s="1797"/>
      <c r="N114" s="1796"/>
      <c r="O114" s="1797"/>
      <c r="P114" s="1796"/>
      <c r="Q114" s="1797"/>
      <c r="R114" s="1796"/>
      <c r="S114" s="1797"/>
      <c r="T114" s="1796"/>
      <c r="U114" s="1797"/>
      <c r="V114" s="1796"/>
      <c r="W114" s="1797"/>
      <c r="X114" s="5"/>
      <c r="Y114" s="86"/>
      <c r="Z114" s="102"/>
      <c r="AA114" s="52"/>
      <c r="AB114" s="487">
        <f>IF(Year1_Kent Year1_ReferralSource_Individual_Family="","",Year1_Kent Year1_ReferralSource_Individual_Family)</f>
        <v>1684</v>
      </c>
      <c r="AC114" s="488">
        <f>IF(Year2_Kent Year2_ReferralSource_Individual_Family="","",Year2_Kent Year2_ReferralSource_Individual_Family)</f>
        <v>1815</v>
      </c>
      <c r="AD114" s="488">
        <f>IF(Year3_Kent Year3_ReferralSource_Individual_Family="","",Year3_Kent Year3_ReferralSource_Individual_Family)</f>
        <v>1644</v>
      </c>
      <c r="AE114" s="488">
        <f>IF(Year4_Kent Year4_ReferralSource_Individual_Family="","",Year4_Kent Year4_ReferralSource_Individual_Family)</f>
        <v>1774</v>
      </c>
      <c r="AF114" s="500">
        <f>IF(Year5_Kent Year5_ReferralSource_Individual_Family="","",Year5_Kent Year5_ReferralSource_Individual_Family)</f>
        <v>1767</v>
      </c>
      <c r="AG114" s="487" t="str">
        <f>IF(Year1_Kent Year1_ReferralSource_Individual_Acquaintance="","",Year1_Kent Year1_ReferralSource_Individual_Acquaintance)</f>
        <v/>
      </c>
      <c r="AH114" s="488" t="str">
        <f>IF(Year2_Kent Year2_ReferralSource_Individual_Acquaintance="","",Year2_Kent Year2_ReferralSource_Individual_Acquaintance)</f>
        <v/>
      </c>
      <c r="AI114" s="488" t="str">
        <f>IF(Year3_Kent Year3_ReferralSource_Individual_Acquaintance="","",Year3_Kent Year3_ReferralSource_Individual_Acquaintance)</f>
        <v/>
      </c>
      <c r="AJ114" s="488" t="str">
        <f>IF(Year4_Kent Year4_ReferralSource_Individual_Acquaintance="","",Year4_Kent Year4_ReferralSource_Individual_Acquaintance)</f>
        <v/>
      </c>
      <c r="AK114" s="489" t="str">
        <f>IF(Year5_Kent Year5_ReferralSource_Individual_Acquaintance="","",Year5_Kent Year5_ReferralSource_Individual_Acquaintance)</f>
        <v/>
      </c>
      <c r="AL114" s="487" t="str">
        <f>IF(Year1_Kent Year1_ReferralSource_Individual_Self="","",Year1_Kent Year1_ReferralSource_Individual_Self)</f>
        <v/>
      </c>
      <c r="AM114" s="488" t="str">
        <f>IF(Year2_Kent Year2_ReferralSource_Individual_Self="","",Year2_Kent Year2_ReferralSource_Individual_Self)</f>
        <v/>
      </c>
      <c r="AN114" s="488" t="str">
        <f>IF(Year3_Kent Year3_ReferralSource_Individual_Self="","",Year3_Kent Year3_ReferralSource_Individual_Self)</f>
        <v/>
      </c>
      <c r="AO114" s="488" t="str">
        <f>IF(Year4_Kent Year4_ReferralSource_Individual_Self="","",Year4_Kent Year4_ReferralSource_Individual_Self)</f>
        <v/>
      </c>
      <c r="AP114" s="489" t="str">
        <f>IF(Year5_Kent Year5_ReferralSource_Individual_Self="","",Year5_Kent Year5_ReferralSource_Individual_Self)</f>
        <v/>
      </c>
      <c r="AQ114" s="487" t="str">
        <f>IF(Year1_Kent Year1_ReferralSource_Individual_Other="","",Year1_Kent Year1_ReferralSource_Individual_Other)</f>
        <v/>
      </c>
      <c r="AR114" s="488" t="str">
        <f>IF(Year2_Kent Year2_ReferralSource_Individual_Other="","",Year2_Kent Year2_ReferralSource_Individual_Other)</f>
        <v/>
      </c>
      <c r="AS114" s="488" t="str">
        <f>IF(Year3_Kent Year3_ReferralSource_Individual_Other="","",Year3_Kent Year3_ReferralSource_Individual_Other)</f>
        <v/>
      </c>
      <c r="AT114" s="488" t="str">
        <f>IF(Year4_Kent Year4_ReferralSource_Individual_Other="","",Year4_Kent Year4_ReferralSource_Individual_Other)</f>
        <v/>
      </c>
      <c r="AU114" s="489" t="str">
        <f>IF(Year5_Kent Year5_ReferralSource_Individual_Other="","",Year5_Kent Year5_ReferralSource_Individual_Other)</f>
        <v/>
      </c>
      <c r="AV114" s="487">
        <f>IF(Year1_Kent Year1_ReferralSource_School="","",Year1_Kent Year1_ReferralSource_School)</f>
        <v>4301</v>
      </c>
      <c r="AW114" s="488">
        <f>IF(Year2_Kent Year2_ReferralSource_School="","",Year2_Kent Year2_ReferralSource_School)</f>
        <v>2783</v>
      </c>
      <c r="AX114" s="488">
        <f>IF(Year3_Kent Year3_ReferralSource_School="","",Year3_Kent Year3_ReferralSource_School)</f>
        <v>4347</v>
      </c>
      <c r="AY114" s="488">
        <f>IF(Year4_Kent Year4_ReferralSource_School="","",Year4_Kent Year4_ReferralSource_School)</f>
        <v>5686</v>
      </c>
      <c r="AZ114" s="489">
        <f>IF(Year5_Kent Year5_ReferralSource_School="","",Year5_Kent Year5_ReferralSource_School)</f>
        <v>6080</v>
      </c>
      <c r="BA114" s="487">
        <f>IF(Year1_Kent Year1_ReferralSource_EducationServices="","",Year1_Kent Year1_ReferralSource_EducationServices)</f>
        <v>77</v>
      </c>
      <c r="BB114" s="488">
        <f>IF(Year2_Kent Year2_ReferralSource_EducationServices="","",Year2_Kent Year2_ReferralSource_EducationServices)</f>
        <v>54</v>
      </c>
      <c r="BC114" s="488">
        <f>IF(Year3_Kent Year3_ReferralSource_EducationServices="","",Year3_Kent Year3_ReferralSource_EducationServices)</f>
        <v>140</v>
      </c>
      <c r="BD114" s="488">
        <f>IF(Year4_Kent Year4_ReferralSource_EducationServices="","",Year4_Kent Year4_ReferralSource_EducationServices)</f>
        <v>117</v>
      </c>
      <c r="BE114" s="489">
        <f>IF(Year5_Kent Year5_ReferralSource_EducationServices="","",Year5_Kent Year5_ReferralSource_EducationServices)</f>
        <v>126</v>
      </c>
      <c r="BF114" s="501">
        <f>IF(Year1_Kent Year1_ReferralSource_Health_services_GP="","",Year1_Kent Year1_ReferralSource_Health_services_GP)</f>
        <v>2954</v>
      </c>
      <c r="BG114" s="502">
        <f>IF(Year2_Kent Year2_ReferralSource_Health_services_GP="","",Year2_Kent Year2_ReferralSource_Health_services_GP)</f>
        <v>2713</v>
      </c>
      <c r="BH114" s="502">
        <f>IF(Year3_Kent Year3_ReferralSource_Health_services_GP="","",Year3_Kent Year3_ReferralSource_Health_services_GP)</f>
        <v>2720</v>
      </c>
      <c r="BI114" s="502">
        <f>IF(Year4_Kent Year4_ReferralSource_Health_services_GP="","",Year4_Kent Year4_ReferralSource_Health_services_GP)</f>
        <v>3346</v>
      </c>
      <c r="BJ114" s="503">
        <f>IF(Year5_Kent Year5_ReferralSource_Health_services_GP="","",Year5_Kent Year5_ReferralSource_Health_services_GP)</f>
        <v>3476</v>
      </c>
      <c r="BK114" s="501" t="str">
        <f>IF(Year1_Kent Year1_ReferralSource_Health_services_HealthVisitor="","",Year1_Kent Year1_ReferralSource_Health_services_HealthVisitor)</f>
        <v/>
      </c>
      <c r="BL114" s="502" t="str">
        <f>IF(Year2_Kent Year2_ReferralSource_Health_services_HealthVisitor="","",Year2_Kent Year2_ReferralSource_Health_services_HealthVisitor)</f>
        <v/>
      </c>
      <c r="BM114" s="502" t="str">
        <f>IF(Year3_Kent Year3_ReferralSource_Health_services_HealthVisitor="","",Year3_Kent Year3_ReferralSource_Health_services_HealthVisitor)</f>
        <v/>
      </c>
      <c r="BN114" s="502" t="str">
        <f>IF(Year4_Kent Year4_ReferralSource_Health_services_HealthVisitor="","",Year4_Kent Year4_ReferralSource_Health_services_HealthVisitor)</f>
        <v/>
      </c>
      <c r="BO114" s="503" t="str">
        <f>IF(Year5_Kent Year5_ReferralSource_Health_services_HealthVisitor="","",Year5_Kent Year5_ReferralSource_Health_services_HealthVisitor)</f>
        <v/>
      </c>
      <c r="BP114" s="501" t="str">
        <f>IF(Year1_Kent Year1_ReferralSource_Health_services_SchoolNurse="","",Year1_Kent Year1_ReferralSource_Health_services_SchoolNurse)</f>
        <v/>
      </c>
      <c r="BQ114" s="502" t="str">
        <f>IF(Year2_Kent Year2_ReferralSource_Health_services_SchoolNurse="","",Year2_Kent Year2_ReferralSource_Health_services_SchoolNurse)</f>
        <v/>
      </c>
      <c r="BR114" s="502" t="str">
        <f>IF(Year3_Kent Year3_ReferralSource_Health_services_SchoolNurse="","",Year3_Kent Year3_ReferralSource_Health_services_SchoolNurse)</f>
        <v/>
      </c>
      <c r="BS114" s="502" t="str">
        <f>IF(Year4_Kent Year4_ReferralSource_Health_services_SchoolNurse="","",Year4_Kent Year4_ReferralSource_Health_services_SchoolNurse)</f>
        <v/>
      </c>
      <c r="BT114" s="503" t="str">
        <f>IF(Year5_Kent Year5_ReferralSource_Health_services_SchoolNurse="","",Year5_Kent Year5_ReferralSource_Health_services_SchoolNurse)</f>
        <v/>
      </c>
      <c r="BU114" s="501" t="str">
        <f>IF(Year1_Kent Year1_ReferralSource_Health_services_OthPrimary="","",Year1_Kent Year1_ReferralSource_Health_services_OthPrimary)</f>
        <v/>
      </c>
      <c r="BV114" s="502" t="str">
        <f>IF(Year2_Kent Year2_ReferralSource_Health_services_OthPrimary="","",Year2_Kent Year2_ReferralSource_Health_services_OthPrimary)</f>
        <v/>
      </c>
      <c r="BW114" s="502" t="str">
        <f>IF(Year3_Kent Year3_ReferralSource_Health_services_OthPrimary="","",Year3_Kent Year3_ReferralSource_Health_services_OthPrimary)</f>
        <v/>
      </c>
      <c r="BX114" s="502" t="str">
        <f>IF(Year4_Kent Year4_ReferralSource_Health_services_OthPrimary="","",Year4_Kent Year4_ReferralSource_Health_services_OthPrimary)</f>
        <v/>
      </c>
      <c r="BY114" s="503" t="str">
        <f>IF(Year5_Kent Year5_ReferralSource_Health_services_OthPrimary="","",Year5_Kent Year5_ReferralSource_Health_services_OthPrimary)</f>
        <v/>
      </c>
      <c r="BZ114" s="501" t="str">
        <f>IF(Year1_Kent Year1_ReferralSource_Health_services_AE="","",Year1_Kent Year1_ReferralSource_Health_services_AE)</f>
        <v/>
      </c>
      <c r="CA114" s="502" t="str">
        <f>IF(Year2_Kent Year2_ReferralSource_Health_services_AE="","",Year2_Kent Year2_ReferralSource_Health_services_AE)</f>
        <v/>
      </c>
      <c r="CB114" s="502" t="str">
        <f>IF(Year3_Kent Year3_ReferralSource_Health_services_AE="","",Year3_Kent Year3_ReferralSource_Health_services_AE)</f>
        <v/>
      </c>
      <c r="CC114" s="502" t="str">
        <f>IF(Year4_Kent Year4_ReferralSource_Health_services_AE="","",Year4_Kent Year4_ReferralSource_Health_services_AE)</f>
        <v/>
      </c>
      <c r="CD114" s="503" t="str">
        <f>IF(Year5_Kent Year5_ReferralSource_Health_services_AE="","",Year5_Kent Year5_ReferralSource_Health_services_AE)</f>
        <v/>
      </c>
      <c r="CE114" s="501" t="str">
        <f>IF(Year1_Kent Year1_ReferralSource_Health_services_Other="","",Year1_Kent Year1_ReferralSource_Health_services_Other)</f>
        <v/>
      </c>
      <c r="CF114" s="502" t="str">
        <f>IF(Year2_Kent Year2_ReferralSource_Health_services_Other="","",Year2_Kent Year2_ReferralSource_Health_services_Other)</f>
        <v/>
      </c>
      <c r="CG114" s="502" t="str">
        <f>IF(Year3_Kent Year3_ReferralSource_Health_services_Other="","",Year3_Kent Year3_ReferralSource_Health_services_Other)</f>
        <v/>
      </c>
      <c r="CH114" s="502" t="str">
        <f>IF(Year4_Kent Year4_ReferralSource_Health_services_Other="","",Year4_Kent Year4_ReferralSource_Health_services_Other)</f>
        <v/>
      </c>
      <c r="CI114" s="503" t="str">
        <f>IF(Year5_Kent Year5_ReferralSource_Health_services_Other="","",Year5_Kent Year5_ReferralSource_Health_services_Other)</f>
        <v/>
      </c>
      <c r="CJ114" s="487">
        <f>IF(Year1_Kent Year1_ReferralSource_Housing="","",Year1_Kent Year1_ReferralSource_Housing)</f>
        <v>449</v>
      </c>
      <c r="CK114" s="488">
        <f>IF(Year2_Kent Year2_ReferralSource_Housing="","",Year2_Kent Year2_ReferralSource_Housing)</f>
        <v>351</v>
      </c>
      <c r="CL114" s="488">
        <f>IF(Year3_Kent Year3_ReferralSource_Housing="","",Year3_Kent Year3_ReferralSource_Housing)</f>
        <v>291</v>
      </c>
      <c r="CM114" s="488">
        <f>IF(Year4_Kent Year4_ReferralSource_Housing="","",Year4_Kent Year4_ReferralSource_Housing)</f>
        <v>398</v>
      </c>
      <c r="CN114" s="489">
        <f>IF(Year5_Kent Year5_ReferralSource_Housing="","",Year5_Kent Year5_ReferralSource_Housing)</f>
        <v>411</v>
      </c>
      <c r="CO114" s="487">
        <f>IF(Year1_Kent Year1_ReferralSource_LA_SC="","",Year1_Kent Year1_ReferralSource_LA_SC)</f>
        <v>2706</v>
      </c>
      <c r="CP114" s="488">
        <f>IF(Year2_Kent Year2_ReferralSource_LA_SC="","",Year2_Kent Year2_ReferralSource_LA_SC)</f>
        <v>2584</v>
      </c>
      <c r="CQ114" s="488">
        <f>IF(Year3_Kent Year3_ReferralSource_LA_SC="","",Year3_Kent Year3_ReferralSource_LA_SC)</f>
        <v>2649</v>
      </c>
      <c r="CR114" s="488">
        <f>IF(Year4_Kent Year4_ReferralSource_LA_SC="","",Year4_Kent Year4_ReferralSource_LA_SC)</f>
        <v>2675</v>
      </c>
      <c r="CS114" s="489">
        <f>IF(Year5_Kent Year5_ReferralSource_LA_SC="","",Year5_Kent Year5_ReferralSource_LA_SC)</f>
        <v>2523</v>
      </c>
      <c r="CT114" s="487" t="str">
        <f>IF(Year1_Kent Year1_ReferralSource_LA_Other="","",Year1_Kent Year1_ReferralSource_LA_Other)</f>
        <v/>
      </c>
      <c r="CU114" s="488" t="str">
        <f>IF(Year2_Kent Year2_ReferralSource_LA_Other="","",Year2_Kent Year2_ReferralSource_LA_Other)</f>
        <v/>
      </c>
      <c r="CV114" s="488" t="str">
        <f>IF(Year3_Kent Year3_ReferralSource_LA_Other="","",Year3_Kent Year3_ReferralSource_LA_Other)</f>
        <v/>
      </c>
      <c r="CW114" s="488" t="str">
        <f>IF(Year4_Kent Year4_ReferralSource_LA_Other="","",Year4_Kent Year4_ReferralSource_LA_Other)</f>
        <v/>
      </c>
      <c r="CX114" s="489" t="str">
        <f>IF(Year5_Kent Year5_ReferralSource_LA_Other="","",Year5_Kent Year5_ReferralSource_LA_Other)</f>
        <v/>
      </c>
      <c r="CY114" s="487" t="str">
        <f>IF(Year1_Kent Year1_ReferralSource_LA_External="","",Year1_Kent Year1_ReferralSource_LA_External)</f>
        <v/>
      </c>
      <c r="CZ114" s="488" t="str">
        <f>IF(Year2_Kent Year2_ReferralSource_LA_External="","",Year2_Kent Year2_ReferralSource_LA_External)</f>
        <v/>
      </c>
      <c r="DA114" s="488" t="str">
        <f>IF(Year3_Kent Year3_ReferralSource_LA_External="","",Year3_Kent Year3_ReferralSource_LA_External)</f>
        <v/>
      </c>
      <c r="DB114" s="488" t="str">
        <f>IF(Year4_Kent Year4_ReferralSource_LA_External="","",Year4_Kent Year4_ReferralSource_LA_External)</f>
        <v/>
      </c>
      <c r="DC114" s="489" t="str">
        <f>IF(Year5_Kent Year5_ReferralSource_LA_External="","",Year5_Kent Year5_ReferralSource_LA_External)</f>
        <v/>
      </c>
      <c r="DD114" s="487">
        <f>IF(Year1_Kent Year1_ReferralSource_Police="","",Year1_Kent Year1_ReferralSource_Police)</f>
        <v>7430</v>
      </c>
      <c r="DE114" s="488">
        <f>IF(Year2_Kent Year2_ReferralSource_Police="","",Year2_Kent Year2_ReferralSource_Police)</f>
        <v>5821</v>
      </c>
      <c r="DF114" s="488">
        <f>IF(Year3_Kent Year3_ReferralSource_Police="","",Year3_Kent Year3_ReferralSource_Police)</f>
        <v>5018</v>
      </c>
      <c r="DG114" s="488">
        <f>IF(Year4_Kent Year4_ReferralSource_Police="","",Year4_Kent Year4_ReferralSource_Police)</f>
        <v>5046</v>
      </c>
      <c r="DH114" s="489">
        <f>IF(Year5_Kent Year5_ReferralSource_Police="","",Year5_Kent Year5_ReferralSource_Police)</f>
        <v>5139</v>
      </c>
      <c r="DI114" s="487">
        <f>IF(Year1_Kent Year1_ReferralSource_Other_Legal="","",Year1_Kent Year1_ReferralSource_Other_Legal)</f>
        <v>1228</v>
      </c>
      <c r="DJ114" s="488">
        <f>IF(Year2_Kent Year2_ReferralSource_Other_Legal="","",Year2_Kent Year2_ReferralSource_Other_Legal)</f>
        <v>1274</v>
      </c>
      <c r="DK114" s="488">
        <f>IF(Year3_Kent Year3_ReferralSource_Other_Legal="","",Year3_Kent Year3_ReferralSource_Other_Legal)</f>
        <v>1607</v>
      </c>
      <c r="DL114" s="488">
        <f>IF(Year4_Kent Year4_ReferralSource_Other_Legal="","",Year4_Kent Year4_ReferralSource_Other_Legal)</f>
        <v>2085</v>
      </c>
      <c r="DM114" s="489">
        <f>IF(Year5_Kent Year5_ReferralSource_Other_Legal="","",Year5_Kent Year5_ReferralSource_Other_Legal)</f>
        <v>3246</v>
      </c>
      <c r="DN114" s="487">
        <f>IF(Year1_Kent Year1_ReferralSource_Other="","",Year1_Kent Year1_ReferralSource_Other)</f>
        <v>713</v>
      </c>
      <c r="DO114" s="488">
        <f>IF(Year2_Kent Year2_ReferralSource_Other="","",Year2_Kent Year2_ReferralSource_Other)</f>
        <v>724</v>
      </c>
      <c r="DP114" s="488">
        <f>IF(Year3_Kent Year3_ReferralSource_Other="","",Year3_Kent Year3_ReferralSource_Other)</f>
        <v>535</v>
      </c>
      <c r="DQ114" s="488">
        <f>IF(Year4_Kent Year4_ReferralSource_Other="","",Year4_Kent Year4_ReferralSource_Other)</f>
        <v>688</v>
      </c>
      <c r="DR114" s="489">
        <f>IF(Year5_Kent Year5_ReferralSource_Other="","",Year5_Kent Year5_ReferralSource_Other)</f>
        <v>648</v>
      </c>
      <c r="DS114" s="487">
        <f>IF(Year1_Kent Year1_ReferralSource_Anonymous="","",Year1_Kent Year1_ReferralSource_Anonymous)</f>
        <v>315</v>
      </c>
      <c r="DT114" s="488">
        <f>IF(Year2_Kent Year2_ReferralSource_Anonymous="","",Year2_Kent Year2_ReferralSource_Anonymous)</f>
        <v>225</v>
      </c>
      <c r="DU114" s="488">
        <f>IF(Year3_Kent Year3_ReferralSource_Anonymous="","",Year3_Kent Year3_ReferralSource_Anonymous)</f>
        <v>181</v>
      </c>
      <c r="DV114" s="488">
        <f>IF(Year4_Kent Year4_ReferralSource_Anonymous="","",Year4_Kent Year4_ReferralSource_Anonymous)</f>
        <v>227</v>
      </c>
      <c r="DW114" s="489">
        <f>IF(Year5_Kent Year5_ReferralSource_Anonymous="","",Year5_Kent Year5_ReferralSource_Anonymous)</f>
        <v>167</v>
      </c>
      <c r="DX114" s="487">
        <f>IF(Year1_Kent Year1_ReferralSource_Unknown="","",Year1_Kent Year1_ReferralSource_Unknown)</f>
        <v>492</v>
      </c>
      <c r="DY114" s="488">
        <f>IF(Year2_Kent Year2_ReferralSource_Unknown="","",Year2_Kent Year2_ReferralSource_Unknown)</f>
        <v>598</v>
      </c>
      <c r="DZ114" s="488">
        <f>IF(Year3_Kent Year3_ReferralSource_Unknown="","",Year3_Kent Year3_ReferralSource_Unknown)</f>
        <v>365</v>
      </c>
      <c r="EA114" s="488">
        <f>IF(Year4_Kent Year4_ReferralSource_Unknown="","",Year4_Kent Year4_ReferralSource_Unknown)</f>
        <v>547</v>
      </c>
      <c r="EB114" s="489">
        <f>IF(Year5_Kent Year5_ReferralSource_Unknown="","",Year5_Kent Year5_ReferralSource_Unknown)</f>
        <v>528</v>
      </c>
    </row>
    <row r="115" spans="1:133" ht="17.25" customHeight="1">
      <c r="A115" s="1103">
        <f>VLOOKUP(B115,ReportData!$AQ$4:$AR$25,2,FALSE)</f>
        <v>0</v>
      </c>
      <c r="B115" s="1114" t="str">
        <f>ReportData!$K$21</f>
        <v>Windsor &amp; Maidenhead</v>
      </c>
      <c r="C115" s="5"/>
      <c r="D115" s="1796"/>
      <c r="E115" s="1797"/>
      <c r="F115" s="1796"/>
      <c r="G115" s="1797"/>
      <c r="H115" s="1796"/>
      <c r="I115" s="1797"/>
      <c r="J115" s="1796"/>
      <c r="K115" s="1797"/>
      <c r="L115" s="1796"/>
      <c r="M115" s="1797"/>
      <c r="N115" s="1796"/>
      <c r="O115" s="1797"/>
      <c r="P115" s="1796"/>
      <c r="Q115" s="1797"/>
      <c r="R115" s="1796"/>
      <c r="S115" s="1797"/>
      <c r="T115" s="1796"/>
      <c r="U115" s="1797"/>
      <c r="V115" s="1796"/>
      <c r="W115" s="1797"/>
      <c r="X115" s="5"/>
      <c r="Y115" s="86"/>
      <c r="Z115" s="102"/>
      <c r="AA115" s="52"/>
      <c r="AB115" s="487">
        <f>IF(Year1_Medway Year1_ReferralSource_Individual_Family="","",Year1_Medway Year1_ReferralSource_Individual_Family)</f>
        <v>444</v>
      </c>
      <c r="AC115" s="488">
        <f>IF(Year2_Medway Year2_ReferralSource_Individual_Family="","",Year2_Medway Year2_ReferralSource_Individual_Family)</f>
        <v>263</v>
      </c>
      <c r="AD115" s="488">
        <f>IF(Year3_Medway Year3_ReferralSource_Individual_Family="","",Year3_Medway Year3_ReferralSource_Individual_Family)</f>
        <v>443</v>
      </c>
      <c r="AE115" s="488">
        <f>IF(Year4_Medway Year4_ReferralSource_Individual_Family="","",Year4_Medway Year4_ReferralSource_Individual_Family)</f>
        <v>361</v>
      </c>
      <c r="AF115" s="500">
        <f>IF(Year5_Medway Year5_ReferralSource_Individual_Family="","",Year5_Medway Year5_ReferralSource_Individual_Family)</f>
        <v>420</v>
      </c>
      <c r="AG115" s="487" t="str">
        <f>IF(Year1_Medway Year1_ReferralSource_Individual_Acquaintance="","",Year1_Medway Year1_ReferralSource_Individual_Acquaintance)</f>
        <v/>
      </c>
      <c r="AH115" s="488" t="str">
        <f>IF(Year2_Medway Year2_ReferralSource_Individual_Acquaintance="","",Year2_Medway Year2_ReferralSource_Individual_Acquaintance)</f>
        <v/>
      </c>
      <c r="AI115" s="488" t="str">
        <f>IF(Year3_Medway Year3_ReferralSource_Individual_Acquaintance="","",Year3_Medway Year3_ReferralSource_Individual_Acquaintance)</f>
        <v/>
      </c>
      <c r="AJ115" s="488" t="str">
        <f>IF(Year4_Medway Year4_ReferralSource_Individual_Acquaintance="","",Year4_Medway Year4_ReferralSource_Individual_Acquaintance)</f>
        <v/>
      </c>
      <c r="AK115" s="489" t="str">
        <f>IF(Year5_Medway Year5_ReferralSource_Individual_Acquaintance="","",Year5_Medway Year5_ReferralSource_Individual_Acquaintance)</f>
        <v/>
      </c>
      <c r="AL115" s="487" t="str">
        <f>IF(Year1_Medway Year1_ReferralSource_Individual_Self="","",Year1_Medway Year1_ReferralSource_Individual_Self)</f>
        <v/>
      </c>
      <c r="AM115" s="488" t="str">
        <f>IF(Year2_Medway Year2_ReferralSource_Individual_Self="","",Year2_Medway Year2_ReferralSource_Individual_Self)</f>
        <v/>
      </c>
      <c r="AN115" s="488" t="str">
        <f>IF(Year3_Medway Year3_ReferralSource_Individual_Self="","",Year3_Medway Year3_ReferralSource_Individual_Self)</f>
        <v/>
      </c>
      <c r="AO115" s="488" t="str">
        <f>IF(Year4_Medway Year4_ReferralSource_Individual_Self="","",Year4_Medway Year4_ReferralSource_Individual_Self)</f>
        <v/>
      </c>
      <c r="AP115" s="489" t="str">
        <f>IF(Year5_Medway Year5_ReferralSource_Individual_Self="","",Year5_Medway Year5_ReferralSource_Individual_Self)</f>
        <v/>
      </c>
      <c r="AQ115" s="487" t="str">
        <f>IF(Year1_Medway Year1_ReferralSource_Individual_Other="","",Year1_Medway Year1_ReferralSource_Individual_Other)</f>
        <v/>
      </c>
      <c r="AR115" s="488" t="str">
        <f>IF(Year2_Medway Year2_ReferralSource_Individual_Other="","",Year2_Medway Year2_ReferralSource_Individual_Other)</f>
        <v/>
      </c>
      <c r="AS115" s="488" t="str">
        <f>IF(Year3_Medway Year3_ReferralSource_Individual_Other="","",Year3_Medway Year3_ReferralSource_Individual_Other)</f>
        <v/>
      </c>
      <c r="AT115" s="488" t="str">
        <f>IF(Year4_Medway Year4_ReferralSource_Individual_Other="","",Year4_Medway Year4_ReferralSource_Individual_Other)</f>
        <v/>
      </c>
      <c r="AU115" s="489" t="str">
        <f>IF(Year5_Medway Year5_ReferralSource_Individual_Other="","",Year5_Medway Year5_ReferralSource_Individual_Other)</f>
        <v/>
      </c>
      <c r="AV115" s="487">
        <f>IF(Year1_Medway Year1_ReferralSource_School="","",Year1_Medway Year1_ReferralSource_School)</f>
        <v>1161</v>
      </c>
      <c r="AW115" s="488">
        <f>IF(Year2_Medway Year2_ReferralSource_School="","",Year2_Medway Year2_ReferralSource_School)</f>
        <v>532</v>
      </c>
      <c r="AX115" s="488">
        <f>IF(Year3_Medway Year3_ReferralSource_School="","",Year3_Medway Year3_ReferralSource_School)</f>
        <v>1333</v>
      </c>
      <c r="AY115" s="488">
        <f>IF(Year4_Medway Year4_ReferralSource_School="","",Year4_Medway Year4_ReferralSource_School)</f>
        <v>1239</v>
      </c>
      <c r="AZ115" s="489">
        <f>IF(Year5_Medway Year5_ReferralSource_School="","",Year5_Medway Year5_ReferralSource_School)</f>
        <v>1612</v>
      </c>
      <c r="BA115" s="487">
        <f>IF(Year1_Medway Year1_ReferralSource_EducationServices="","",Year1_Medway Year1_ReferralSource_EducationServices)</f>
        <v>22</v>
      </c>
      <c r="BB115" s="488">
        <f>IF(Year2_Medway Year2_ReferralSource_EducationServices="","",Year2_Medway Year2_ReferralSource_EducationServices)</f>
        <v>19</v>
      </c>
      <c r="BC115" s="488">
        <f>IF(Year3_Medway Year3_ReferralSource_EducationServices="","",Year3_Medway Year3_ReferralSource_EducationServices)</f>
        <v>34</v>
      </c>
      <c r="BD115" s="488">
        <f>IF(Year4_Medway Year4_ReferralSource_EducationServices="","",Year4_Medway Year4_ReferralSource_EducationServices)</f>
        <v>25</v>
      </c>
      <c r="BE115" s="489">
        <f>IF(Year5_Medway Year5_ReferralSource_EducationServices="","",Year5_Medway Year5_ReferralSource_EducationServices)</f>
        <v>19</v>
      </c>
      <c r="BF115" s="501">
        <f>IF(Year1_Medway Year1_ReferralSource_Health_services_GP="","",Year1_Medway Year1_ReferralSource_Health_services_GP)</f>
        <v>454</v>
      </c>
      <c r="BG115" s="502">
        <f>IF(Year2_Medway Year2_ReferralSource_Health_services_GP="","",Year2_Medway Year2_ReferralSource_Health_services_GP)</f>
        <v>382</v>
      </c>
      <c r="BH115" s="502">
        <f>IF(Year3_Medway Year3_ReferralSource_Health_services_GP="","",Year3_Medway Year3_ReferralSource_Health_services_GP)</f>
        <v>548</v>
      </c>
      <c r="BI115" s="502">
        <f>IF(Year4_Medway Year4_ReferralSource_Health_services_GP="","",Year4_Medway Year4_ReferralSource_Health_services_GP)</f>
        <v>478</v>
      </c>
      <c r="BJ115" s="503">
        <f>IF(Year5_Medway Year5_ReferralSource_Health_services_GP="","",Year5_Medway Year5_ReferralSource_Health_services_GP)</f>
        <v>592</v>
      </c>
      <c r="BK115" s="501" t="str">
        <f>IF(Year1_Medway Year1_ReferralSource_Health_services_HealthVisitor="","",Year1_Medway Year1_ReferralSource_Health_services_HealthVisitor)</f>
        <v/>
      </c>
      <c r="BL115" s="502" t="str">
        <f>IF(Year2_Medway Year2_ReferralSource_Health_services_HealthVisitor="","",Year2_Medway Year2_ReferralSource_Health_services_HealthVisitor)</f>
        <v/>
      </c>
      <c r="BM115" s="502" t="str">
        <f>IF(Year3_Medway Year3_ReferralSource_Health_services_HealthVisitor="","",Year3_Medway Year3_ReferralSource_Health_services_HealthVisitor)</f>
        <v/>
      </c>
      <c r="BN115" s="502" t="str">
        <f>IF(Year4_Medway Year4_ReferralSource_Health_services_HealthVisitor="","",Year4_Medway Year4_ReferralSource_Health_services_HealthVisitor)</f>
        <v/>
      </c>
      <c r="BO115" s="503" t="str">
        <f>IF(Year5_Medway Year5_ReferralSource_Health_services_HealthVisitor="","",Year5_Medway Year5_ReferralSource_Health_services_HealthVisitor)</f>
        <v/>
      </c>
      <c r="BP115" s="501" t="str">
        <f>IF(Year1_Medway Year1_ReferralSource_Health_services_SchoolNurse="","",Year1_Medway Year1_ReferralSource_Health_services_SchoolNurse)</f>
        <v/>
      </c>
      <c r="BQ115" s="502" t="str">
        <f>IF(Year2_Medway Year2_ReferralSource_Health_services_SchoolNurse="","",Year2_Medway Year2_ReferralSource_Health_services_SchoolNurse)</f>
        <v/>
      </c>
      <c r="BR115" s="502" t="str">
        <f>IF(Year3_Medway Year3_ReferralSource_Health_services_SchoolNurse="","",Year3_Medway Year3_ReferralSource_Health_services_SchoolNurse)</f>
        <v/>
      </c>
      <c r="BS115" s="502" t="str">
        <f>IF(Year4_Medway Year4_ReferralSource_Health_services_SchoolNurse="","",Year4_Medway Year4_ReferralSource_Health_services_SchoolNurse)</f>
        <v/>
      </c>
      <c r="BT115" s="503" t="str">
        <f>IF(Year5_Medway Year5_ReferralSource_Health_services_SchoolNurse="","",Year5_Medway Year5_ReferralSource_Health_services_SchoolNurse)</f>
        <v/>
      </c>
      <c r="BU115" s="501" t="str">
        <f>IF(Year1_Medway Year1_ReferralSource_Health_services_OthPrimary="","",Year1_Medway Year1_ReferralSource_Health_services_OthPrimary)</f>
        <v/>
      </c>
      <c r="BV115" s="502" t="str">
        <f>IF(Year2_Medway Year2_ReferralSource_Health_services_OthPrimary="","",Year2_Medway Year2_ReferralSource_Health_services_OthPrimary)</f>
        <v/>
      </c>
      <c r="BW115" s="502" t="str">
        <f>IF(Year3_Medway Year3_ReferralSource_Health_services_OthPrimary="","",Year3_Medway Year3_ReferralSource_Health_services_OthPrimary)</f>
        <v/>
      </c>
      <c r="BX115" s="502" t="str">
        <f>IF(Year4_Medway Year4_ReferralSource_Health_services_OthPrimary="","",Year4_Medway Year4_ReferralSource_Health_services_OthPrimary)</f>
        <v/>
      </c>
      <c r="BY115" s="503" t="str">
        <f>IF(Year5_Medway Year5_ReferralSource_Health_services_OthPrimary="","",Year5_Medway Year5_ReferralSource_Health_services_OthPrimary)</f>
        <v/>
      </c>
      <c r="BZ115" s="501" t="str">
        <f>IF(Year1_Medway Year1_ReferralSource_Health_services_AE="","",Year1_Medway Year1_ReferralSource_Health_services_AE)</f>
        <v/>
      </c>
      <c r="CA115" s="502" t="str">
        <f>IF(Year2_Medway Year2_ReferralSource_Health_services_AE="","",Year2_Medway Year2_ReferralSource_Health_services_AE)</f>
        <v/>
      </c>
      <c r="CB115" s="502" t="str">
        <f>IF(Year3_Medway Year3_ReferralSource_Health_services_AE="","",Year3_Medway Year3_ReferralSource_Health_services_AE)</f>
        <v/>
      </c>
      <c r="CC115" s="502" t="str">
        <f>IF(Year4_Medway Year4_ReferralSource_Health_services_AE="","",Year4_Medway Year4_ReferralSource_Health_services_AE)</f>
        <v/>
      </c>
      <c r="CD115" s="503" t="str">
        <f>IF(Year5_Medway Year5_ReferralSource_Health_services_AE="","",Year5_Medway Year5_ReferralSource_Health_services_AE)</f>
        <v/>
      </c>
      <c r="CE115" s="501" t="str">
        <f>IF(Year1_Medway Year1_ReferralSource_Health_services_Other="","",Year1_Medway Year1_ReferralSource_Health_services_Other)</f>
        <v/>
      </c>
      <c r="CF115" s="502" t="str">
        <f>IF(Year2_Medway Year2_ReferralSource_Health_services_Other="","",Year2_Medway Year2_ReferralSource_Health_services_Other)</f>
        <v/>
      </c>
      <c r="CG115" s="502" t="str">
        <f>IF(Year3_Medway Year3_ReferralSource_Health_services_Other="","",Year3_Medway Year3_ReferralSource_Health_services_Other)</f>
        <v/>
      </c>
      <c r="CH115" s="502" t="str">
        <f>IF(Year4_Medway Year4_ReferralSource_Health_services_Other="","",Year4_Medway Year4_ReferralSource_Health_services_Other)</f>
        <v/>
      </c>
      <c r="CI115" s="503" t="str">
        <f>IF(Year5_Medway Year5_ReferralSource_Health_services_Other="","",Year5_Medway Year5_ReferralSource_Health_services_Other)</f>
        <v/>
      </c>
      <c r="CJ115" s="487">
        <f>IF(Year1_Medway Year1_ReferralSource_Housing="","",Year1_Medway Year1_ReferralSource_Housing)</f>
        <v>75</v>
      </c>
      <c r="CK115" s="488">
        <f>IF(Year2_Medway Year2_ReferralSource_Housing="","",Year2_Medway Year2_ReferralSource_Housing)</f>
        <v>17</v>
      </c>
      <c r="CL115" s="488">
        <f>IF(Year3_Medway Year3_ReferralSource_Housing="","",Year3_Medway Year3_ReferralSource_Housing)</f>
        <v>56</v>
      </c>
      <c r="CM115" s="488">
        <f>IF(Year4_Medway Year4_ReferralSource_Housing="","",Year4_Medway Year4_ReferralSource_Housing)</f>
        <v>100</v>
      </c>
      <c r="CN115" s="489">
        <f>IF(Year5_Medway Year5_ReferralSource_Housing="","",Year5_Medway Year5_ReferralSource_Housing)</f>
        <v>91</v>
      </c>
      <c r="CO115" s="487">
        <f>IF(Year1_Medway Year1_ReferralSource_LA_SC="","",Year1_Medway Year1_ReferralSource_LA_SC)</f>
        <v>621</v>
      </c>
      <c r="CP115" s="488">
        <f>IF(Year2_Medway Year2_ReferralSource_LA_SC="","",Year2_Medway Year2_ReferralSource_LA_SC)</f>
        <v>499</v>
      </c>
      <c r="CQ115" s="488">
        <f>IF(Year3_Medway Year3_ReferralSource_LA_SC="","",Year3_Medway Year3_ReferralSource_LA_SC)</f>
        <v>655</v>
      </c>
      <c r="CR115" s="488">
        <f>IF(Year4_Medway Year4_ReferralSource_LA_SC="","",Year4_Medway Year4_ReferralSource_LA_SC)</f>
        <v>698</v>
      </c>
      <c r="CS115" s="489">
        <f>IF(Year5_Medway Year5_ReferralSource_LA_SC="","",Year5_Medway Year5_ReferralSource_LA_SC)</f>
        <v>707</v>
      </c>
      <c r="CT115" s="487" t="str">
        <f>IF(Year1_Medway Year1_ReferralSource_LA_Other="","",Year1_Medway Year1_ReferralSource_LA_Other)</f>
        <v/>
      </c>
      <c r="CU115" s="488" t="str">
        <f>IF(Year2_Medway Year2_ReferralSource_LA_Other="","",Year2_Medway Year2_ReferralSource_LA_Other)</f>
        <v/>
      </c>
      <c r="CV115" s="488" t="str">
        <f>IF(Year3_Medway Year3_ReferralSource_LA_Other="","",Year3_Medway Year3_ReferralSource_LA_Other)</f>
        <v/>
      </c>
      <c r="CW115" s="488" t="str">
        <f>IF(Year4_Medway Year4_ReferralSource_LA_Other="","",Year4_Medway Year4_ReferralSource_LA_Other)</f>
        <v/>
      </c>
      <c r="CX115" s="489" t="str">
        <f>IF(Year5_Medway Year5_ReferralSource_LA_Other="","",Year5_Medway Year5_ReferralSource_LA_Other)</f>
        <v/>
      </c>
      <c r="CY115" s="487" t="str">
        <f>IF(Year1_Medway Year1_ReferralSource_LA_External="","",Year1_Medway Year1_ReferralSource_LA_External)</f>
        <v/>
      </c>
      <c r="CZ115" s="488" t="str">
        <f>IF(Year2_Medway Year2_ReferralSource_LA_External="","",Year2_Medway Year2_ReferralSource_LA_External)</f>
        <v/>
      </c>
      <c r="DA115" s="488" t="str">
        <f>IF(Year3_Medway Year3_ReferralSource_LA_External="","",Year3_Medway Year3_ReferralSource_LA_External)</f>
        <v/>
      </c>
      <c r="DB115" s="488" t="str">
        <f>IF(Year4_Medway Year4_ReferralSource_LA_External="","",Year4_Medway Year4_ReferralSource_LA_External)</f>
        <v/>
      </c>
      <c r="DC115" s="489" t="str">
        <f>IF(Year5_Medway Year5_ReferralSource_LA_External="","",Year5_Medway Year5_ReferralSource_LA_External)</f>
        <v/>
      </c>
      <c r="DD115" s="487">
        <f>IF(Year1_Medway Year1_ReferralSource_Police="","",Year1_Medway Year1_ReferralSource_Police)</f>
        <v>1700</v>
      </c>
      <c r="DE115" s="488">
        <f>IF(Year2_Medway Year2_ReferralSource_Police="","",Year2_Medway Year2_ReferralSource_Police)</f>
        <v>1206</v>
      </c>
      <c r="DF115" s="488">
        <f>IF(Year3_Medway Year3_ReferralSource_Police="","",Year3_Medway Year3_ReferralSource_Police)</f>
        <v>1286</v>
      </c>
      <c r="DG115" s="488">
        <f>IF(Year4_Medway Year4_ReferralSource_Police="","",Year4_Medway Year4_ReferralSource_Police)</f>
        <v>1228</v>
      </c>
      <c r="DH115" s="489">
        <f>IF(Year5_Medway Year5_ReferralSource_Police="","",Year5_Medway Year5_ReferralSource_Police)</f>
        <v>1254</v>
      </c>
      <c r="DI115" s="487">
        <f>IF(Year1_Medway Year1_ReferralSource_Other_Legal="","",Year1_Medway Year1_ReferralSource_Other_Legal)</f>
        <v>130</v>
      </c>
      <c r="DJ115" s="488">
        <f>IF(Year2_Medway Year2_ReferralSource_Other_Legal="","",Year2_Medway Year2_ReferralSource_Other_Legal)</f>
        <v>123</v>
      </c>
      <c r="DK115" s="488">
        <f>IF(Year3_Medway Year3_ReferralSource_Other_Legal="","",Year3_Medway Year3_ReferralSource_Other_Legal)</f>
        <v>112</v>
      </c>
      <c r="DL115" s="488">
        <f>IF(Year4_Medway Year4_ReferralSource_Other_Legal="","",Year4_Medway Year4_ReferralSource_Other_Legal)</f>
        <v>184</v>
      </c>
      <c r="DM115" s="489">
        <f>IF(Year5_Medway Year5_ReferralSource_Other_Legal="","",Year5_Medway Year5_ReferralSource_Other_Legal)</f>
        <v>225</v>
      </c>
      <c r="DN115" s="487">
        <f>IF(Year1_Medway Year1_ReferralSource_Other="","",Year1_Medway Year1_ReferralSource_Other)</f>
        <v>199</v>
      </c>
      <c r="DO115" s="488">
        <f>IF(Year2_Medway Year2_ReferralSource_Other="","",Year2_Medway Year2_ReferralSource_Other)</f>
        <v>140</v>
      </c>
      <c r="DP115" s="488">
        <f>IF(Year3_Medway Year3_ReferralSource_Other="","",Year3_Medway Year3_ReferralSource_Other)</f>
        <v>139</v>
      </c>
      <c r="DQ115" s="488">
        <f>IF(Year4_Medway Year4_ReferralSource_Other="","",Year4_Medway Year4_ReferralSource_Other)</f>
        <v>201</v>
      </c>
      <c r="DR115" s="489">
        <f>IF(Year5_Medway Year5_ReferralSource_Other="","",Year5_Medway Year5_ReferralSource_Other)</f>
        <v>131</v>
      </c>
      <c r="DS115" s="487">
        <f>IF(Year1_Medway Year1_ReferralSource_Anonymous="","",Year1_Medway Year1_ReferralSource_Anonymous)</f>
        <v>87</v>
      </c>
      <c r="DT115" s="488">
        <f>IF(Year2_Medway Year2_ReferralSource_Anonymous="","",Year2_Medway Year2_ReferralSource_Anonymous)</f>
        <v>68</v>
      </c>
      <c r="DU115" s="488">
        <f>IF(Year3_Medway Year3_ReferralSource_Anonymous="","",Year3_Medway Year3_ReferralSource_Anonymous)</f>
        <v>174</v>
      </c>
      <c r="DV115" s="488">
        <f>IF(Year4_Medway Year4_ReferralSource_Anonymous="","",Year4_Medway Year4_ReferralSource_Anonymous)</f>
        <v>181</v>
      </c>
      <c r="DW115" s="489">
        <f>IF(Year5_Medway Year5_ReferralSource_Anonymous="","",Year5_Medway Year5_ReferralSource_Anonymous)</f>
        <v>224</v>
      </c>
      <c r="DX115" s="487">
        <f>IF(Year1_Medway Year1_ReferralSource_Unknown="","",Year1_Medway Year1_ReferralSource_Unknown)</f>
        <v>11</v>
      </c>
      <c r="DY115" s="488">
        <f>IF(Year2_Medway Year2_ReferralSource_Unknown="","",Year2_Medway Year2_ReferralSource_Unknown)</f>
        <v>10</v>
      </c>
      <c r="DZ115" s="488">
        <f>IF(Year3_Medway Year3_ReferralSource_Unknown="","",Year3_Medway Year3_ReferralSource_Unknown)</f>
        <v>10</v>
      </c>
      <c r="EA115" s="488">
        <f>IF(Year4_Medway Year4_ReferralSource_Unknown="","",Year4_Medway Year4_ReferralSource_Unknown)</f>
        <v>19</v>
      </c>
      <c r="EB115" s="489">
        <f>IF(Year5_Medway Year5_ReferralSource_Unknown="","",Year5_Medway Year5_ReferralSource_Unknown)</f>
        <v>8</v>
      </c>
    </row>
    <row r="116" spans="1:133" ht="17.25" customHeight="1">
      <c r="A116" s="1115">
        <f>VLOOKUP(B116,ReportData!$AQ$4:$AR$25,2,FALSE)</f>
        <v>0</v>
      </c>
      <c r="B116" s="1114" t="str">
        <f>ReportData!$K$22</f>
        <v>Wokingham</v>
      </c>
      <c r="C116" s="5"/>
      <c r="D116" s="1796"/>
      <c r="E116" s="1797"/>
      <c r="F116" s="1796"/>
      <c r="G116" s="1797"/>
      <c r="H116" s="1796"/>
      <c r="I116" s="1797"/>
      <c r="J116" s="1796"/>
      <c r="K116" s="1797"/>
      <c r="L116" s="1796"/>
      <c r="M116" s="1797"/>
      <c r="N116" s="1796"/>
      <c r="O116" s="1797"/>
      <c r="P116" s="1796"/>
      <c r="Q116" s="1797"/>
      <c r="R116" s="1796"/>
      <c r="S116" s="1797"/>
      <c r="T116" s="1796"/>
      <c r="U116" s="1797"/>
      <c r="V116" s="1796"/>
      <c r="W116" s="1797"/>
      <c r="X116" s="5"/>
      <c r="Y116" s="86"/>
      <c r="Z116" s="102"/>
      <c r="AA116" s="52"/>
      <c r="AB116" s="487">
        <f>IF(Year1_Milton_Keynes Year1_ReferralSource_Individual_Family="","",Year1_Milton_Keynes Year1_ReferralSource_Individual_Family)</f>
        <v>278</v>
      </c>
      <c r="AC116" s="488">
        <f>IF(Year2_Milton_Keynes Year2_ReferralSource_Individual_Family="","",Year2_Milton_Keynes Year2_ReferralSource_Individual_Family)</f>
        <v>269</v>
      </c>
      <c r="AD116" s="488">
        <f>IF(Year3_Milton_Keynes Year3_ReferralSource_Individual_Family="","",Year3_Milton_Keynes Year3_ReferralSource_Individual_Family)</f>
        <v>286</v>
      </c>
      <c r="AE116" s="488">
        <f>IF(Year4_Milton_Keynes Year4_ReferralSource_Individual_Family="","",Year4_Milton_Keynes Year4_ReferralSource_Individual_Family)</f>
        <v>215</v>
      </c>
      <c r="AF116" s="500">
        <f>IF(Year5_Milton_Keynes Year5_ReferralSource_Individual_Family="","",Year5_Milton_Keynes Year5_ReferralSource_Individual_Family)</f>
        <v>238</v>
      </c>
      <c r="AG116" s="487" t="str">
        <f>IF(Year1_Milton_Keynes Year1_ReferralSource_Individual_Acquaintance="","",Year1_Milton_Keynes Year1_ReferralSource_Individual_Acquaintance)</f>
        <v/>
      </c>
      <c r="AH116" s="488" t="str">
        <f>IF(Year2_Milton_Keynes Year2_ReferralSource_Individual_Acquaintance="","",Year2_Milton_Keynes Year2_ReferralSource_Individual_Acquaintance)</f>
        <v/>
      </c>
      <c r="AI116" s="488" t="str">
        <f>IF(Year3_Milton_Keynes Year3_ReferralSource_Individual_Acquaintance="","",Year3_Milton_Keynes Year3_ReferralSource_Individual_Acquaintance)</f>
        <v/>
      </c>
      <c r="AJ116" s="488" t="str">
        <f>IF(Year4_Milton_Keynes Year4_ReferralSource_Individual_Acquaintance="","",Year4_Milton_Keynes Year4_ReferralSource_Individual_Acquaintance)</f>
        <v/>
      </c>
      <c r="AK116" s="489" t="str">
        <f>IF(Year5_Milton_Keynes Year5_ReferralSource_Individual_Acquaintance="","",Year5_Milton_Keynes Year5_ReferralSource_Individual_Acquaintance)</f>
        <v/>
      </c>
      <c r="AL116" s="487" t="str">
        <f>IF(Year1_Milton_Keynes Year1_ReferralSource_Individual_Self="","",Year1_Milton_Keynes Year1_ReferralSource_Individual_Self)</f>
        <v/>
      </c>
      <c r="AM116" s="488" t="str">
        <f>IF(Year2_Milton_Keynes Year2_ReferralSource_Individual_Self="","",Year2_Milton_Keynes Year2_ReferralSource_Individual_Self)</f>
        <v/>
      </c>
      <c r="AN116" s="488" t="str">
        <f>IF(Year3_Milton_Keynes Year3_ReferralSource_Individual_Self="","",Year3_Milton_Keynes Year3_ReferralSource_Individual_Self)</f>
        <v/>
      </c>
      <c r="AO116" s="488" t="str">
        <f>IF(Year4_Milton_Keynes Year4_ReferralSource_Individual_Self="","",Year4_Milton_Keynes Year4_ReferralSource_Individual_Self)</f>
        <v/>
      </c>
      <c r="AP116" s="489" t="str">
        <f>IF(Year5_Milton_Keynes Year5_ReferralSource_Individual_Self="","",Year5_Milton_Keynes Year5_ReferralSource_Individual_Self)</f>
        <v/>
      </c>
      <c r="AQ116" s="487" t="str">
        <f>IF(Year1_Milton_Keynes Year1_ReferralSource_Individual_Other="","",Year1_Milton_Keynes Year1_ReferralSource_Individual_Other)</f>
        <v/>
      </c>
      <c r="AR116" s="488" t="str">
        <f>IF(Year2_Milton_Keynes Year2_ReferralSource_Individual_Other="","",Year2_Milton_Keynes Year2_ReferralSource_Individual_Other)</f>
        <v/>
      </c>
      <c r="AS116" s="488" t="str">
        <f>IF(Year3_Milton_Keynes Year3_ReferralSource_Individual_Other="","",Year3_Milton_Keynes Year3_ReferralSource_Individual_Other)</f>
        <v/>
      </c>
      <c r="AT116" s="488" t="str">
        <f>IF(Year4_Milton_Keynes Year4_ReferralSource_Individual_Other="","",Year4_Milton_Keynes Year4_ReferralSource_Individual_Other)</f>
        <v/>
      </c>
      <c r="AU116" s="489" t="str">
        <f>IF(Year5_Milton_Keynes Year5_ReferralSource_Individual_Other="","",Year5_Milton_Keynes Year5_ReferralSource_Individual_Other)</f>
        <v/>
      </c>
      <c r="AV116" s="487">
        <f>IF(Year1_Milton_Keynes Year1_ReferralSource_School="","",Year1_Milton_Keynes Year1_ReferralSource_School)</f>
        <v>575</v>
      </c>
      <c r="AW116" s="488">
        <f>IF(Year2_Milton_Keynes Year2_ReferralSource_School="","",Year2_Milton_Keynes Year2_ReferralSource_School)</f>
        <v>398</v>
      </c>
      <c r="AX116" s="488">
        <f>IF(Year3_Milton_Keynes Year3_ReferralSource_School="","",Year3_Milton_Keynes Year3_ReferralSource_School)</f>
        <v>607</v>
      </c>
      <c r="AY116" s="488">
        <f>IF(Year4_Milton_Keynes Year4_ReferralSource_School="","",Year4_Milton_Keynes Year4_ReferralSource_School)</f>
        <v>619</v>
      </c>
      <c r="AZ116" s="489">
        <f>IF(Year5_Milton_Keynes Year5_ReferralSource_School="","",Year5_Milton_Keynes Year5_ReferralSource_School)</f>
        <v>437</v>
      </c>
      <c r="BA116" s="487">
        <f>IF(Year1_Milton_Keynes Year1_ReferralSource_EducationServices="","",Year1_Milton_Keynes Year1_ReferralSource_EducationServices)</f>
        <v>96</v>
      </c>
      <c r="BB116" s="488">
        <f>IF(Year2_Milton_Keynes Year2_ReferralSource_EducationServices="","",Year2_Milton_Keynes Year2_ReferralSource_EducationServices)</f>
        <v>39</v>
      </c>
      <c r="BC116" s="488">
        <f>IF(Year3_Milton_Keynes Year3_ReferralSource_EducationServices="","",Year3_Milton_Keynes Year3_ReferralSource_EducationServices)</f>
        <v>101</v>
      </c>
      <c r="BD116" s="488">
        <f>IF(Year4_Milton_Keynes Year4_ReferralSource_EducationServices="","",Year4_Milton_Keynes Year4_ReferralSource_EducationServices)</f>
        <v>54</v>
      </c>
      <c r="BE116" s="489">
        <f>IF(Year5_Milton_Keynes Year5_ReferralSource_EducationServices="","",Year5_Milton_Keynes Year5_ReferralSource_EducationServices)</f>
        <v>305</v>
      </c>
      <c r="BF116" s="501">
        <f>IF(Year1_Milton_Keynes Year1_ReferralSource_Health_services_GP="","",Year1_Milton_Keynes Year1_ReferralSource_Health_services_GP)</f>
        <v>472</v>
      </c>
      <c r="BG116" s="502">
        <f>IF(Year2_Milton_Keynes Year2_ReferralSource_Health_services_GP="","",Year2_Milton_Keynes Year2_ReferralSource_Health_services_GP)</f>
        <v>461</v>
      </c>
      <c r="BH116" s="502">
        <f>IF(Year3_Milton_Keynes Year3_ReferralSource_Health_services_GP="","",Year3_Milton_Keynes Year3_ReferralSource_Health_services_GP)</f>
        <v>379</v>
      </c>
      <c r="BI116" s="502">
        <f>IF(Year4_Milton_Keynes Year4_ReferralSource_Health_services_GP="","",Year4_Milton_Keynes Year4_ReferralSource_Health_services_GP)</f>
        <v>443</v>
      </c>
      <c r="BJ116" s="503">
        <f>IF(Year5_Milton_Keynes Year5_ReferralSource_Health_services_GP="","",Year5_Milton_Keynes Year5_ReferralSource_Health_services_GP)</f>
        <v>384</v>
      </c>
      <c r="BK116" s="501" t="str">
        <f>IF(Year1_Milton_Keynes Year1_ReferralSource_Health_services_HealthVisitor="","",Year1_Milton_Keynes Year1_ReferralSource_Health_services_HealthVisitor)</f>
        <v/>
      </c>
      <c r="BL116" s="502" t="str">
        <f>IF(Year2_Milton_Keynes Year2_ReferralSource_Health_services_HealthVisitor="","",Year2_Milton_Keynes Year2_ReferralSource_Health_services_HealthVisitor)</f>
        <v/>
      </c>
      <c r="BM116" s="502" t="str">
        <f>IF(Year3_Milton_Keynes Year3_ReferralSource_Health_services_HealthVisitor="","",Year3_Milton_Keynes Year3_ReferralSource_Health_services_HealthVisitor)</f>
        <v/>
      </c>
      <c r="BN116" s="502" t="str">
        <f>IF(Year4_Milton_Keynes Year4_ReferralSource_Health_services_HealthVisitor="","",Year4_Milton_Keynes Year4_ReferralSource_Health_services_HealthVisitor)</f>
        <v/>
      </c>
      <c r="BO116" s="503" t="str">
        <f>IF(Year5_Milton_Keynes Year5_ReferralSource_Health_services_HealthVisitor="","",Year5_Milton_Keynes Year5_ReferralSource_Health_services_HealthVisitor)</f>
        <v/>
      </c>
      <c r="BP116" s="501" t="str">
        <f>IF(Year1_Milton_Keynes Year1_ReferralSource_Health_services_SchoolNurse="","",Year1_Milton_Keynes Year1_ReferralSource_Health_services_SchoolNurse)</f>
        <v/>
      </c>
      <c r="BQ116" s="502" t="str">
        <f>IF(Year2_Milton_Keynes Year2_ReferralSource_Health_services_SchoolNurse="","",Year2_Milton_Keynes Year2_ReferralSource_Health_services_SchoolNurse)</f>
        <v/>
      </c>
      <c r="BR116" s="502" t="str">
        <f>IF(Year3_Milton_Keynes Year3_ReferralSource_Health_services_SchoolNurse="","",Year3_Milton_Keynes Year3_ReferralSource_Health_services_SchoolNurse)</f>
        <v/>
      </c>
      <c r="BS116" s="502" t="str">
        <f>IF(Year4_Milton_Keynes Year4_ReferralSource_Health_services_SchoolNurse="","",Year4_Milton_Keynes Year4_ReferralSource_Health_services_SchoolNurse)</f>
        <v/>
      </c>
      <c r="BT116" s="503" t="str">
        <f>IF(Year5_Milton_Keynes Year5_ReferralSource_Health_services_SchoolNurse="","",Year5_Milton_Keynes Year5_ReferralSource_Health_services_SchoolNurse)</f>
        <v/>
      </c>
      <c r="BU116" s="501" t="str">
        <f>IF(Year1_Milton_Keynes Year1_ReferralSource_Health_services_OthPrimary="","",Year1_Milton_Keynes Year1_ReferralSource_Health_services_OthPrimary)</f>
        <v/>
      </c>
      <c r="BV116" s="502" t="str">
        <f>IF(Year2_Milton_Keynes Year2_ReferralSource_Health_services_OthPrimary="","",Year2_Milton_Keynes Year2_ReferralSource_Health_services_OthPrimary)</f>
        <v/>
      </c>
      <c r="BW116" s="502" t="str">
        <f>IF(Year3_Milton_Keynes Year3_ReferralSource_Health_services_OthPrimary="","",Year3_Milton_Keynes Year3_ReferralSource_Health_services_OthPrimary)</f>
        <v/>
      </c>
      <c r="BX116" s="502" t="str">
        <f>IF(Year4_Milton_Keynes Year4_ReferralSource_Health_services_OthPrimary="","",Year4_Milton_Keynes Year4_ReferralSource_Health_services_OthPrimary)</f>
        <v/>
      </c>
      <c r="BY116" s="503" t="str">
        <f>IF(Year5_Milton_Keynes Year5_ReferralSource_Health_services_OthPrimary="","",Year5_Milton_Keynes Year5_ReferralSource_Health_services_OthPrimary)</f>
        <v/>
      </c>
      <c r="BZ116" s="501" t="str">
        <f>IF(Year1_Milton_Keynes Year1_ReferralSource_Health_services_AE="","",Year1_Milton_Keynes Year1_ReferralSource_Health_services_AE)</f>
        <v/>
      </c>
      <c r="CA116" s="502" t="str">
        <f>IF(Year2_Milton_Keynes Year2_ReferralSource_Health_services_AE="","",Year2_Milton_Keynes Year2_ReferralSource_Health_services_AE)</f>
        <v/>
      </c>
      <c r="CB116" s="502" t="str">
        <f>IF(Year3_Milton_Keynes Year3_ReferralSource_Health_services_AE="","",Year3_Milton_Keynes Year3_ReferralSource_Health_services_AE)</f>
        <v/>
      </c>
      <c r="CC116" s="502" t="str">
        <f>IF(Year4_Milton_Keynes Year4_ReferralSource_Health_services_AE="","",Year4_Milton_Keynes Year4_ReferralSource_Health_services_AE)</f>
        <v/>
      </c>
      <c r="CD116" s="503" t="str">
        <f>IF(Year5_Milton_Keynes Year5_ReferralSource_Health_services_AE="","",Year5_Milton_Keynes Year5_ReferralSource_Health_services_AE)</f>
        <v/>
      </c>
      <c r="CE116" s="501" t="str">
        <f>IF(Year1_Milton_Keynes Year1_ReferralSource_Health_services_Other="","",Year1_Milton_Keynes Year1_ReferralSource_Health_services_Other)</f>
        <v/>
      </c>
      <c r="CF116" s="502" t="str">
        <f>IF(Year2_Milton_Keynes Year2_ReferralSource_Health_services_Other="","",Year2_Milton_Keynes Year2_ReferralSource_Health_services_Other)</f>
        <v/>
      </c>
      <c r="CG116" s="502" t="str">
        <f>IF(Year3_Milton_Keynes Year3_ReferralSource_Health_services_Other="","",Year3_Milton_Keynes Year3_ReferralSource_Health_services_Other)</f>
        <v/>
      </c>
      <c r="CH116" s="502" t="str">
        <f>IF(Year4_Milton_Keynes Year4_ReferralSource_Health_services_Other="","",Year4_Milton_Keynes Year4_ReferralSource_Health_services_Other)</f>
        <v/>
      </c>
      <c r="CI116" s="503" t="str">
        <f>IF(Year5_Milton_Keynes Year5_ReferralSource_Health_services_Other="","",Year5_Milton_Keynes Year5_ReferralSource_Health_services_Other)</f>
        <v/>
      </c>
      <c r="CJ116" s="487">
        <f>IF(Year1_Milton_Keynes Year1_ReferralSource_Housing="","",Year1_Milton_Keynes Year1_ReferralSource_Housing)</f>
        <v>35</v>
      </c>
      <c r="CK116" s="488">
        <f>IF(Year2_Milton_Keynes Year2_ReferralSource_Housing="","",Year2_Milton_Keynes Year2_ReferralSource_Housing)</f>
        <v>0</v>
      </c>
      <c r="CL116" s="488">
        <f>IF(Year3_Milton_Keynes Year3_ReferralSource_Housing="","",Year3_Milton_Keynes Year3_ReferralSource_Housing)</f>
        <v>15</v>
      </c>
      <c r="CM116" s="488">
        <f>IF(Year4_Milton_Keynes Year4_ReferralSource_Housing="","",Year4_Milton_Keynes Year4_ReferralSource_Housing)</f>
        <v>0</v>
      </c>
      <c r="CN116" s="489">
        <f>IF(Year5_Milton_Keynes Year5_ReferralSource_Housing="","",Year5_Milton_Keynes Year5_ReferralSource_Housing)</f>
        <v>0</v>
      </c>
      <c r="CO116" s="487">
        <f>IF(Year1_Milton_Keynes Year1_ReferralSource_LA_SC="","",Year1_Milton_Keynes Year1_ReferralSource_LA_SC)</f>
        <v>392</v>
      </c>
      <c r="CP116" s="488">
        <f>IF(Year2_Milton_Keynes Year2_ReferralSource_LA_SC="","",Year2_Milton_Keynes Year2_ReferralSource_LA_SC)</f>
        <v>372</v>
      </c>
      <c r="CQ116" s="488">
        <f>IF(Year3_Milton_Keynes Year3_ReferralSource_LA_SC="","",Year3_Milton_Keynes Year3_ReferralSource_LA_SC)</f>
        <v>459</v>
      </c>
      <c r="CR116" s="488">
        <f>IF(Year4_Milton_Keynes Year4_ReferralSource_LA_SC="","",Year4_Milton_Keynes Year4_ReferralSource_LA_SC)</f>
        <v>509</v>
      </c>
      <c r="CS116" s="489">
        <f>IF(Year5_Milton_Keynes Year5_ReferralSource_LA_SC="","",Year5_Milton_Keynes Year5_ReferralSource_LA_SC)</f>
        <v>434</v>
      </c>
      <c r="CT116" s="487" t="str">
        <f>IF(Year1_Milton_Keynes Year1_ReferralSource_LA_Other="","",Year1_Milton_Keynes Year1_ReferralSource_LA_Other)</f>
        <v/>
      </c>
      <c r="CU116" s="488" t="str">
        <f>IF(Year2_Milton_Keynes Year2_ReferralSource_LA_Other="","",Year2_Milton_Keynes Year2_ReferralSource_LA_Other)</f>
        <v/>
      </c>
      <c r="CV116" s="488" t="str">
        <f>IF(Year3_Milton_Keynes Year3_ReferralSource_LA_Other="","",Year3_Milton_Keynes Year3_ReferralSource_LA_Other)</f>
        <v/>
      </c>
      <c r="CW116" s="488" t="str">
        <f>IF(Year4_Milton_Keynes Year4_ReferralSource_LA_Other="","",Year4_Milton_Keynes Year4_ReferralSource_LA_Other)</f>
        <v/>
      </c>
      <c r="CX116" s="489" t="str">
        <f>IF(Year5_Milton_Keynes Year5_ReferralSource_LA_Other="","",Year5_Milton_Keynes Year5_ReferralSource_LA_Other)</f>
        <v/>
      </c>
      <c r="CY116" s="487" t="str">
        <f>IF(Year1_Milton_Keynes Year1_ReferralSource_LA_External="","",Year1_Milton_Keynes Year1_ReferralSource_LA_External)</f>
        <v/>
      </c>
      <c r="CZ116" s="488" t="str">
        <f>IF(Year2_Milton_Keynes Year2_ReferralSource_LA_External="","",Year2_Milton_Keynes Year2_ReferralSource_LA_External)</f>
        <v/>
      </c>
      <c r="DA116" s="488" t="str">
        <f>IF(Year3_Milton_Keynes Year3_ReferralSource_LA_External="","",Year3_Milton_Keynes Year3_ReferralSource_LA_External)</f>
        <v/>
      </c>
      <c r="DB116" s="488" t="str">
        <f>IF(Year4_Milton_Keynes Year4_ReferralSource_LA_External="","",Year4_Milton_Keynes Year4_ReferralSource_LA_External)</f>
        <v/>
      </c>
      <c r="DC116" s="489" t="str">
        <f>IF(Year5_Milton_Keynes Year5_ReferralSource_LA_External="","",Year5_Milton_Keynes Year5_ReferralSource_LA_External)</f>
        <v/>
      </c>
      <c r="DD116" s="487">
        <f>IF(Year1_Milton_Keynes Year1_ReferralSource_Police="","",Year1_Milton_Keynes Year1_ReferralSource_Police)</f>
        <v>951</v>
      </c>
      <c r="DE116" s="488">
        <f>IF(Year2_Milton_Keynes Year2_ReferralSource_Police="","",Year2_Milton_Keynes Year2_ReferralSource_Police)</f>
        <v>1064</v>
      </c>
      <c r="DF116" s="488">
        <f>IF(Year3_Milton_Keynes Year3_ReferralSource_Police="","",Year3_Milton_Keynes Year3_ReferralSource_Police)</f>
        <v>1114</v>
      </c>
      <c r="DG116" s="488">
        <f>IF(Year4_Milton_Keynes Year4_ReferralSource_Police="","",Year4_Milton_Keynes Year4_ReferralSource_Police)</f>
        <v>1195</v>
      </c>
      <c r="DH116" s="489">
        <f>IF(Year5_Milton_Keynes Year5_ReferralSource_Police="","",Year5_Milton_Keynes Year5_ReferralSource_Police)</f>
        <v>986</v>
      </c>
      <c r="DI116" s="487">
        <f>IF(Year1_Milton_Keynes Year1_ReferralSource_Other_Legal="","",Year1_Milton_Keynes Year1_ReferralSource_Other_Legal)</f>
        <v>111</v>
      </c>
      <c r="DJ116" s="488">
        <f>IF(Year2_Milton_Keynes Year2_ReferralSource_Other_Legal="","",Year2_Milton_Keynes Year2_ReferralSource_Other_Legal)</f>
        <v>78</v>
      </c>
      <c r="DK116" s="488">
        <f>IF(Year3_Milton_Keynes Year3_ReferralSource_Other_Legal="","",Year3_Milton_Keynes Year3_ReferralSource_Other_Legal)</f>
        <v>114</v>
      </c>
      <c r="DL116" s="488">
        <f>IF(Year4_Milton_Keynes Year4_ReferralSource_Other_Legal="","",Year4_Milton_Keynes Year4_ReferralSource_Other_Legal)</f>
        <v>162</v>
      </c>
      <c r="DM116" s="489">
        <f>IF(Year5_Milton_Keynes Year5_ReferralSource_Other_Legal="","",Year5_Milton_Keynes Year5_ReferralSource_Other_Legal)</f>
        <v>113</v>
      </c>
      <c r="DN116" s="487">
        <f>IF(Year1_Milton_Keynes Year1_ReferralSource_Other="","",Year1_Milton_Keynes Year1_ReferralSource_Other)</f>
        <v>113</v>
      </c>
      <c r="DO116" s="488">
        <f>IF(Year2_Milton_Keynes Year2_ReferralSource_Other="","",Year2_Milton_Keynes Year2_ReferralSource_Other)</f>
        <v>80</v>
      </c>
      <c r="DP116" s="488">
        <f>IF(Year3_Milton_Keynes Year3_ReferralSource_Other="","",Year3_Milton_Keynes Year3_ReferralSource_Other)</f>
        <v>147</v>
      </c>
      <c r="DQ116" s="488">
        <f>IF(Year4_Milton_Keynes Year4_ReferralSource_Other="","",Year4_Milton_Keynes Year4_ReferralSource_Other)</f>
        <v>159</v>
      </c>
      <c r="DR116" s="489">
        <f>IF(Year5_Milton_Keynes Year5_ReferralSource_Other="","",Year5_Milton_Keynes Year5_ReferralSource_Other)</f>
        <v>112</v>
      </c>
      <c r="DS116" s="487">
        <f>IF(Year1_Milton_Keynes Year1_ReferralSource_Anonymous="","",Year1_Milton_Keynes Year1_ReferralSource_Anonymous)</f>
        <v>59</v>
      </c>
      <c r="DT116" s="488">
        <f>IF(Year2_Milton_Keynes Year2_ReferralSource_Anonymous="","",Year2_Milton_Keynes Year2_ReferralSource_Anonymous)</f>
        <v>76</v>
      </c>
      <c r="DU116" s="488">
        <f>IF(Year3_Milton_Keynes Year3_ReferralSource_Anonymous="","",Year3_Milton_Keynes Year3_ReferralSource_Anonymous)</f>
        <v>69</v>
      </c>
      <c r="DV116" s="488">
        <f>IF(Year4_Milton_Keynes Year4_ReferralSource_Anonymous="","",Year4_Milton_Keynes Year4_ReferralSource_Anonymous)</f>
        <v>66</v>
      </c>
      <c r="DW116" s="489">
        <f>IF(Year5_Milton_Keynes Year5_ReferralSource_Anonymous="","",Year5_Milton_Keynes Year5_ReferralSource_Anonymous)</f>
        <v>64</v>
      </c>
      <c r="DX116" s="487">
        <f>IF(Year1_Milton_Keynes Year1_ReferralSource_Unknown="","",Year1_Milton_Keynes Year1_ReferralSource_Unknown)</f>
        <v>8</v>
      </c>
      <c r="DY116" s="488">
        <f>IF(Year2_Milton_Keynes Year2_ReferralSource_Unknown="","",Year2_Milton_Keynes Year2_ReferralSource_Unknown)</f>
        <v>0</v>
      </c>
      <c r="DZ116" s="488">
        <f>IF(Year3_Milton_Keynes Year3_ReferralSource_Unknown="","",Year3_Milton_Keynes Year3_ReferralSource_Unknown)</f>
        <v>11</v>
      </c>
      <c r="EA116" s="488">
        <f>IF(Year4_Milton_Keynes Year4_ReferralSource_Unknown="","",Year4_Milton_Keynes Year4_ReferralSource_Unknown)</f>
        <v>0</v>
      </c>
      <c r="EB116" s="489">
        <f>IF(Year5_Milton_Keynes Year5_ReferralSource_Unknown="","",Year5_Milton_Keynes Year5_ReferralSource_Unknown)</f>
        <v>0</v>
      </c>
    </row>
    <row r="117" spans="1:133" ht="17.25" customHeight="1">
      <c r="A117" s="1116"/>
      <c r="B117" s="1114" t="str">
        <f>ReportData!$K$23</f>
        <v>South East</v>
      </c>
      <c r="C117" s="5"/>
      <c r="D117" s="1796"/>
      <c r="E117" s="1797"/>
      <c r="F117" s="1796"/>
      <c r="G117" s="1797"/>
      <c r="H117" s="1796"/>
      <c r="I117" s="1797"/>
      <c r="J117" s="1796"/>
      <c r="K117" s="1797"/>
      <c r="L117" s="1796"/>
      <c r="M117" s="1797"/>
      <c r="N117" s="1796"/>
      <c r="O117" s="1797"/>
      <c r="P117" s="1796"/>
      <c r="Q117" s="1797"/>
      <c r="R117" s="1796"/>
      <c r="S117" s="1797"/>
      <c r="T117" s="1796"/>
      <c r="U117" s="1797"/>
      <c r="V117" s="1796"/>
      <c r="W117" s="1797"/>
      <c r="X117" s="5"/>
      <c r="Y117" s="86"/>
      <c r="Z117" s="102"/>
      <c r="AA117" s="52"/>
      <c r="AB117" s="487">
        <f>IF(Year1_Oxfordshire Year1_ReferralSource_Individual_Family="","",Year1_Oxfordshire Year1_ReferralSource_Individual_Family)</f>
        <v>545</v>
      </c>
      <c r="AC117" s="488">
        <f>IF(Year2_Oxfordshire Year2_ReferralSource_Individual_Family="","",Year2_Oxfordshire Year2_ReferralSource_Individual_Family)</f>
        <v>424</v>
      </c>
      <c r="AD117" s="488">
        <f>IF(Year3_Oxfordshire Year3_ReferralSource_Individual_Family="","",Year3_Oxfordshire Year3_ReferralSource_Individual_Family)</f>
        <v>423</v>
      </c>
      <c r="AE117" s="488">
        <f>IF(Year4_Oxfordshire Year4_ReferralSource_Individual_Family="","",Year4_Oxfordshire Year4_ReferralSource_Individual_Family)</f>
        <v>378</v>
      </c>
      <c r="AF117" s="489">
        <f>IF(Year5_Oxfordshire Year5_ReferralSource_Individual_Family="","",Year5_Oxfordshire Year5_ReferralSource_Individual_Family)</f>
        <v>404</v>
      </c>
      <c r="AG117" s="487" t="str">
        <f>IF(Year1_Oxfordshire Year1_ReferralSource_Individual_Acquaintance="","",Year1_Oxfordshire Year1_ReferralSource_Individual_Acquaintance)</f>
        <v/>
      </c>
      <c r="AH117" s="488" t="str">
        <f>IF(Year2_Oxfordshire Year2_ReferralSource_Individual_Acquaintance="","",Year2_Oxfordshire Year2_ReferralSource_Individual_Acquaintance)</f>
        <v/>
      </c>
      <c r="AI117" s="488" t="str">
        <f>IF(Year3_Oxfordshire Year3_ReferralSource_Individual_Acquaintance="","",Year3_Oxfordshire Year3_ReferralSource_Individual_Acquaintance)</f>
        <v/>
      </c>
      <c r="AJ117" s="488" t="str">
        <f>IF(Year4_Oxfordshire Year4_ReferralSource_Individual_Acquaintance="","",Year4_Oxfordshire Year4_ReferralSource_Individual_Acquaintance)</f>
        <v/>
      </c>
      <c r="AK117" s="489" t="str">
        <f>IF(Year5_Oxfordshire Year5_ReferralSource_Individual_Acquaintance="","",Year5_Oxfordshire Year5_ReferralSource_Individual_Acquaintance)</f>
        <v/>
      </c>
      <c r="AL117" s="487" t="str">
        <f>IF(Year1_Oxfordshire Year1_ReferralSource_Individual_Self="","",Year1_Oxfordshire Year1_ReferralSource_Individual_Self)</f>
        <v/>
      </c>
      <c r="AM117" s="488" t="str">
        <f>IF(Year2_Oxfordshire Year2_ReferralSource_Individual_Self="","",Year2_Oxfordshire Year2_ReferralSource_Individual_Self)</f>
        <v/>
      </c>
      <c r="AN117" s="488" t="str">
        <f>IF(Year3_Oxfordshire Year3_ReferralSource_Individual_Self="","",Year3_Oxfordshire Year3_ReferralSource_Individual_Self)</f>
        <v/>
      </c>
      <c r="AO117" s="488" t="str">
        <f>IF(Year4_Oxfordshire Year4_ReferralSource_Individual_Self="","",Year4_Oxfordshire Year4_ReferralSource_Individual_Self)</f>
        <v/>
      </c>
      <c r="AP117" s="489" t="str">
        <f>IF(Year5_Oxfordshire Year5_ReferralSource_Individual_Self="","",Year5_Oxfordshire Year5_ReferralSource_Individual_Self)</f>
        <v/>
      </c>
      <c r="AQ117" s="487" t="str">
        <f>IF(Year1_Oxfordshire Year1_ReferralSource_Individual_Other="","",Year1_Oxfordshire Year1_ReferralSource_Individual_Other)</f>
        <v/>
      </c>
      <c r="AR117" s="488" t="str">
        <f>IF(Year2_Oxfordshire Year2_ReferralSource_Individual_Other="","",Year2_Oxfordshire Year2_ReferralSource_Individual_Other)</f>
        <v/>
      </c>
      <c r="AS117" s="488" t="str">
        <f>IF(Year3_Oxfordshire Year3_ReferralSource_Individual_Other="","",Year3_Oxfordshire Year3_ReferralSource_Individual_Other)</f>
        <v/>
      </c>
      <c r="AT117" s="488" t="str">
        <f>IF(Year4_Oxfordshire Year4_ReferralSource_Individual_Other="","",Year4_Oxfordshire Year4_ReferralSource_Individual_Other)</f>
        <v/>
      </c>
      <c r="AU117" s="489" t="str">
        <f>IF(Year5_Oxfordshire Year5_ReferralSource_Individual_Other="","",Year5_Oxfordshire Year5_ReferralSource_Individual_Other)</f>
        <v/>
      </c>
      <c r="AV117" s="487">
        <f>IF(Year1_Oxfordshire Year1_ReferralSource_School="","",Year1_Oxfordshire Year1_ReferralSource_School)</f>
        <v>724</v>
      </c>
      <c r="AW117" s="488">
        <f>IF(Year2_Oxfordshire Year2_ReferralSource_School="","",Year2_Oxfordshire Year2_ReferralSource_School)</f>
        <v>323</v>
      </c>
      <c r="AX117" s="488">
        <f>IF(Year3_Oxfordshire Year3_ReferralSource_School="","",Year3_Oxfordshire Year3_ReferralSource_School)</f>
        <v>216</v>
      </c>
      <c r="AY117" s="488">
        <f>IF(Year4_Oxfordshire Year4_ReferralSource_School="","",Year4_Oxfordshire Year4_ReferralSource_School)</f>
        <v>22</v>
      </c>
      <c r="AZ117" s="489">
        <f>IF(Year5_Oxfordshire Year5_ReferralSource_School="","",Year5_Oxfordshire Year5_ReferralSource_School)</f>
        <v>968</v>
      </c>
      <c r="BA117" s="487">
        <f>IF(Year1_Oxfordshire Year1_ReferralSource_EducationServices="","",Year1_Oxfordshire Year1_ReferralSource_EducationServices)</f>
        <v>929</v>
      </c>
      <c r="BB117" s="488">
        <f>IF(Year2_Oxfordshire Year2_ReferralSource_EducationServices="","",Year2_Oxfordshire Year2_ReferralSource_EducationServices)</f>
        <v>714</v>
      </c>
      <c r="BC117" s="488">
        <f>IF(Year3_Oxfordshire Year3_ReferralSource_EducationServices="","",Year3_Oxfordshire Year3_ReferralSource_EducationServices)</f>
        <v>1489</v>
      </c>
      <c r="BD117" s="488">
        <f>IF(Year4_Oxfordshire Year4_ReferralSource_EducationServices="","",Year4_Oxfordshire Year4_ReferralSource_EducationServices)</f>
        <v>1250</v>
      </c>
      <c r="BE117" s="489">
        <f>IF(Year5_Oxfordshire Year5_ReferralSource_EducationServices="","",Year5_Oxfordshire Year5_ReferralSource_EducationServices)</f>
        <v>88</v>
      </c>
      <c r="BF117" s="501">
        <f>IF(Year1_Oxfordshire Year1_ReferralSource_Health_services_GP="","",Year1_Oxfordshire Year1_ReferralSource_Health_services_GP)</f>
        <v>985</v>
      </c>
      <c r="BG117" s="502">
        <f>IF(Year2_Oxfordshire Year2_ReferralSource_Health_services_GP="","",Year2_Oxfordshire Year2_ReferralSource_Health_services_GP)</f>
        <v>786</v>
      </c>
      <c r="BH117" s="502">
        <f>IF(Year3_Oxfordshire Year3_ReferralSource_Health_services_GP="","",Year3_Oxfordshire Year3_ReferralSource_Health_services_GP)</f>
        <v>839</v>
      </c>
      <c r="BI117" s="502">
        <f>IF(Year4_Oxfordshire Year4_ReferralSource_Health_services_GP="","",Year4_Oxfordshire Year4_ReferralSource_Health_services_GP)</f>
        <v>685</v>
      </c>
      <c r="BJ117" s="503">
        <f>IF(Year5_Oxfordshire Year5_ReferralSource_Health_services_GP="","",Year5_Oxfordshire Year5_ReferralSource_Health_services_GP)</f>
        <v>665</v>
      </c>
      <c r="BK117" s="501" t="str">
        <f>IF(Year1_Oxfordshire Year1_ReferralSource_Health_services_HealthVisitor="","",Year1_Oxfordshire Year1_ReferralSource_Health_services_HealthVisitor)</f>
        <v/>
      </c>
      <c r="BL117" s="502" t="str">
        <f>IF(Year2_Oxfordshire Year2_ReferralSource_Health_services_HealthVisitor="","",Year2_Oxfordshire Year2_ReferralSource_Health_services_HealthVisitor)</f>
        <v/>
      </c>
      <c r="BM117" s="502" t="str">
        <f>IF(Year3_Oxfordshire Year3_ReferralSource_Health_services_HealthVisitor="","",Year3_Oxfordshire Year3_ReferralSource_Health_services_HealthVisitor)</f>
        <v/>
      </c>
      <c r="BN117" s="502" t="str">
        <f>IF(Year4_Oxfordshire Year4_ReferralSource_Health_services_HealthVisitor="","",Year4_Oxfordshire Year4_ReferralSource_Health_services_HealthVisitor)</f>
        <v/>
      </c>
      <c r="BO117" s="503" t="str">
        <f>IF(Year5_Oxfordshire Year5_ReferralSource_Health_services_HealthVisitor="","",Year5_Oxfordshire Year5_ReferralSource_Health_services_HealthVisitor)</f>
        <v/>
      </c>
      <c r="BP117" s="501" t="str">
        <f>IF(Year1_Oxfordshire Year1_ReferralSource_Health_services_SchoolNurse="","",Year1_Oxfordshire Year1_ReferralSource_Health_services_SchoolNurse)</f>
        <v/>
      </c>
      <c r="BQ117" s="502" t="str">
        <f>IF(Year2_Oxfordshire Year2_ReferralSource_Health_services_SchoolNurse="","",Year2_Oxfordshire Year2_ReferralSource_Health_services_SchoolNurse)</f>
        <v/>
      </c>
      <c r="BR117" s="502" t="str">
        <f>IF(Year3_Oxfordshire Year3_ReferralSource_Health_services_SchoolNurse="","",Year3_Oxfordshire Year3_ReferralSource_Health_services_SchoolNurse)</f>
        <v/>
      </c>
      <c r="BS117" s="502" t="str">
        <f>IF(Year4_Oxfordshire Year4_ReferralSource_Health_services_SchoolNurse="","",Year4_Oxfordshire Year4_ReferralSource_Health_services_SchoolNurse)</f>
        <v/>
      </c>
      <c r="BT117" s="503" t="str">
        <f>IF(Year5_Oxfordshire Year5_ReferralSource_Health_services_SchoolNurse="","",Year5_Oxfordshire Year5_ReferralSource_Health_services_SchoolNurse)</f>
        <v/>
      </c>
      <c r="BU117" s="501" t="str">
        <f>IF(Year1_Oxfordshire Year1_ReferralSource_Health_services_OthPrimary="","",Year1_Oxfordshire Year1_ReferralSource_Health_services_OthPrimary)</f>
        <v/>
      </c>
      <c r="BV117" s="502" t="str">
        <f>IF(Year2_Oxfordshire Year2_ReferralSource_Health_services_OthPrimary="","",Year2_Oxfordshire Year2_ReferralSource_Health_services_OthPrimary)</f>
        <v/>
      </c>
      <c r="BW117" s="502" t="str">
        <f>IF(Year3_Oxfordshire Year3_ReferralSource_Health_services_OthPrimary="","",Year3_Oxfordshire Year3_ReferralSource_Health_services_OthPrimary)</f>
        <v/>
      </c>
      <c r="BX117" s="502" t="str">
        <f>IF(Year4_Oxfordshire Year4_ReferralSource_Health_services_OthPrimary="","",Year4_Oxfordshire Year4_ReferralSource_Health_services_OthPrimary)</f>
        <v/>
      </c>
      <c r="BY117" s="503" t="str">
        <f>IF(Year5_Oxfordshire Year5_ReferralSource_Health_services_OthPrimary="","",Year5_Oxfordshire Year5_ReferralSource_Health_services_OthPrimary)</f>
        <v/>
      </c>
      <c r="BZ117" s="501" t="str">
        <f>IF(Year1_Oxfordshire Year1_ReferralSource_Health_services_AE="","",Year1_Oxfordshire Year1_ReferralSource_Health_services_AE)</f>
        <v/>
      </c>
      <c r="CA117" s="502" t="str">
        <f>IF(Year2_Oxfordshire Year2_ReferralSource_Health_services_AE="","",Year2_Oxfordshire Year2_ReferralSource_Health_services_AE)</f>
        <v/>
      </c>
      <c r="CB117" s="502" t="str">
        <f>IF(Year3_Oxfordshire Year3_ReferralSource_Health_services_AE="","",Year3_Oxfordshire Year3_ReferralSource_Health_services_AE)</f>
        <v/>
      </c>
      <c r="CC117" s="502" t="str">
        <f>IF(Year4_Oxfordshire Year4_ReferralSource_Health_services_AE="","",Year4_Oxfordshire Year4_ReferralSource_Health_services_AE)</f>
        <v/>
      </c>
      <c r="CD117" s="503" t="str">
        <f>IF(Year5_Oxfordshire Year5_ReferralSource_Health_services_AE="","",Year5_Oxfordshire Year5_ReferralSource_Health_services_AE)</f>
        <v/>
      </c>
      <c r="CE117" s="501" t="str">
        <f>IF(Year1_Oxfordshire Year1_ReferralSource_Health_services_Other="","",Year1_Oxfordshire Year1_ReferralSource_Health_services_Other)</f>
        <v/>
      </c>
      <c r="CF117" s="502" t="str">
        <f>IF(Year2_Oxfordshire Year2_ReferralSource_Health_services_Other="","",Year2_Oxfordshire Year2_ReferralSource_Health_services_Other)</f>
        <v/>
      </c>
      <c r="CG117" s="502" t="str">
        <f>IF(Year3_Oxfordshire Year3_ReferralSource_Health_services_Other="","",Year3_Oxfordshire Year3_ReferralSource_Health_services_Other)</f>
        <v/>
      </c>
      <c r="CH117" s="502" t="str">
        <f>IF(Year4_Oxfordshire Year4_ReferralSource_Health_services_Other="","",Year4_Oxfordshire Year4_ReferralSource_Health_services_Other)</f>
        <v/>
      </c>
      <c r="CI117" s="503" t="str">
        <f>IF(Year5_Oxfordshire Year5_ReferralSource_Health_services_Other="","",Year5_Oxfordshire Year5_ReferralSource_Health_services_Other)</f>
        <v/>
      </c>
      <c r="CJ117" s="487">
        <f>IF(Year1_Oxfordshire Year1_ReferralSource_Housing="","",Year1_Oxfordshire Year1_ReferralSource_Housing)</f>
        <v>35</v>
      </c>
      <c r="CK117" s="488">
        <f>IF(Year2_Oxfordshire Year2_ReferralSource_Housing="","",Year2_Oxfordshire Year2_ReferralSource_Housing)</f>
        <v>44</v>
      </c>
      <c r="CL117" s="488">
        <f>IF(Year3_Oxfordshire Year3_ReferralSource_Housing="","",Year3_Oxfordshire Year3_ReferralSource_Housing)</f>
        <v>51</v>
      </c>
      <c r="CM117" s="488">
        <f>IF(Year4_Oxfordshire Year4_ReferralSource_Housing="","",Year4_Oxfordshire Year4_ReferralSource_Housing)</f>
        <v>46</v>
      </c>
      <c r="CN117" s="489">
        <f>IF(Year5_Oxfordshire Year5_ReferralSource_Housing="","",Year5_Oxfordshire Year5_ReferralSource_Housing)</f>
        <v>44</v>
      </c>
      <c r="CO117" s="487">
        <f>IF(Year1_Oxfordshire Year1_ReferralSource_LA_SC="","",Year1_Oxfordshire Year1_ReferralSource_LA_SC)</f>
        <v>1389</v>
      </c>
      <c r="CP117" s="488">
        <f>IF(Year2_Oxfordshire Year2_ReferralSource_LA_SC="","",Year2_Oxfordshire Year2_ReferralSource_LA_SC)</f>
        <v>1444</v>
      </c>
      <c r="CQ117" s="488">
        <f>IF(Year3_Oxfordshire Year3_ReferralSource_LA_SC="","",Year3_Oxfordshire Year3_ReferralSource_LA_SC)</f>
        <v>1169</v>
      </c>
      <c r="CR117" s="488">
        <f>IF(Year4_Oxfordshire Year4_ReferralSource_LA_SC="","",Year4_Oxfordshire Year4_ReferralSource_LA_SC)</f>
        <v>901</v>
      </c>
      <c r="CS117" s="489">
        <f>IF(Year5_Oxfordshire Year5_ReferralSource_LA_SC="","",Year5_Oxfordshire Year5_ReferralSource_LA_SC)</f>
        <v>988</v>
      </c>
      <c r="CT117" s="487" t="str">
        <f>IF(Year1_Oxfordshire Year1_ReferralSource_LA_Other="","",Year1_Oxfordshire Year1_ReferralSource_LA_Other)</f>
        <v/>
      </c>
      <c r="CU117" s="488" t="str">
        <f>IF(Year2_Oxfordshire Year2_ReferralSource_LA_Other="","",Year2_Oxfordshire Year2_ReferralSource_LA_Other)</f>
        <v/>
      </c>
      <c r="CV117" s="488" t="str">
        <f>IF(Year3_Oxfordshire Year3_ReferralSource_LA_Other="","",Year3_Oxfordshire Year3_ReferralSource_LA_Other)</f>
        <v/>
      </c>
      <c r="CW117" s="488" t="str">
        <f>IF(Year4_Oxfordshire Year4_ReferralSource_LA_Other="","",Year4_Oxfordshire Year4_ReferralSource_LA_Other)</f>
        <v/>
      </c>
      <c r="CX117" s="489" t="str">
        <f>IF(Year5_Oxfordshire Year5_ReferralSource_LA_Other="","",Year5_Oxfordshire Year5_ReferralSource_LA_Other)</f>
        <v/>
      </c>
      <c r="CY117" s="487" t="str">
        <f>IF(Year1_Oxfordshire Year1_ReferralSource_LA_External="","",Year1_Oxfordshire Year1_ReferralSource_LA_External)</f>
        <v/>
      </c>
      <c r="CZ117" s="488" t="str">
        <f>IF(Year2_Oxfordshire Year2_ReferralSource_LA_External="","",Year2_Oxfordshire Year2_ReferralSource_LA_External)</f>
        <v/>
      </c>
      <c r="DA117" s="488" t="str">
        <f>IF(Year3_Oxfordshire Year3_ReferralSource_LA_External="","",Year3_Oxfordshire Year3_ReferralSource_LA_External)</f>
        <v/>
      </c>
      <c r="DB117" s="488" t="str">
        <f>IF(Year4_Oxfordshire Year4_ReferralSource_LA_External="","",Year4_Oxfordshire Year4_ReferralSource_LA_External)</f>
        <v/>
      </c>
      <c r="DC117" s="489" t="str">
        <f>IF(Year5_Oxfordshire Year5_ReferralSource_LA_External="","",Year5_Oxfordshire Year5_ReferralSource_LA_External)</f>
        <v/>
      </c>
      <c r="DD117" s="487">
        <f>IF(Year1_Oxfordshire Year1_ReferralSource_Police="","",Year1_Oxfordshire Year1_ReferralSource_Police)</f>
        <v>2239</v>
      </c>
      <c r="DE117" s="488">
        <f>IF(Year2_Oxfordshire Year2_ReferralSource_Police="","",Year2_Oxfordshire Year2_ReferralSource_Police)</f>
        <v>2194</v>
      </c>
      <c r="DF117" s="488">
        <f>IF(Year3_Oxfordshire Year3_ReferralSource_Police="","",Year3_Oxfordshire Year3_ReferralSource_Police)</f>
        <v>1977</v>
      </c>
      <c r="DG117" s="488">
        <f>IF(Year4_Oxfordshire Year4_ReferralSource_Police="","",Year4_Oxfordshire Year4_ReferralSource_Police)</f>
        <v>1484</v>
      </c>
      <c r="DH117" s="489">
        <f>IF(Year5_Oxfordshire Year5_ReferralSource_Police="","",Year5_Oxfordshire Year5_ReferralSource_Police)</f>
        <v>1452</v>
      </c>
      <c r="DI117" s="487">
        <f>IF(Year1_Oxfordshire Year1_ReferralSource_Other_Legal="","",Year1_Oxfordshire Year1_ReferralSource_Other_Legal)</f>
        <v>209</v>
      </c>
      <c r="DJ117" s="488">
        <f>IF(Year2_Oxfordshire Year2_ReferralSource_Other_Legal="","",Year2_Oxfordshire Year2_ReferralSource_Other_Legal)</f>
        <v>230</v>
      </c>
      <c r="DK117" s="488">
        <f>IF(Year3_Oxfordshire Year3_ReferralSource_Other_Legal="","",Year3_Oxfordshire Year3_ReferralSource_Other_Legal)</f>
        <v>201</v>
      </c>
      <c r="DL117" s="488">
        <f>IF(Year4_Oxfordshire Year4_ReferralSource_Other_Legal="","",Year4_Oxfordshire Year4_ReferralSource_Other_Legal)</f>
        <v>201</v>
      </c>
      <c r="DM117" s="489">
        <f>IF(Year5_Oxfordshire Year5_ReferralSource_Other_Legal="","",Year5_Oxfordshire Year5_ReferralSource_Other_Legal)</f>
        <v>203</v>
      </c>
      <c r="DN117" s="487">
        <f>IF(Year1_Oxfordshire Year1_ReferralSource_Other="","",Year1_Oxfordshire Year1_ReferralSource_Other)</f>
        <v>323</v>
      </c>
      <c r="DO117" s="488">
        <f>IF(Year2_Oxfordshire Year2_ReferralSource_Other="","",Year2_Oxfordshire Year2_ReferralSource_Other)</f>
        <v>211</v>
      </c>
      <c r="DP117" s="488">
        <f>IF(Year3_Oxfordshire Year3_ReferralSource_Other="","",Year3_Oxfordshire Year3_ReferralSource_Other)</f>
        <v>169</v>
      </c>
      <c r="DQ117" s="488">
        <f>IF(Year4_Oxfordshire Year4_ReferralSource_Other="","",Year4_Oxfordshire Year4_ReferralSource_Other)</f>
        <v>131</v>
      </c>
      <c r="DR117" s="489">
        <f>IF(Year5_Oxfordshire Year5_ReferralSource_Other="","",Year5_Oxfordshire Year5_ReferralSource_Other)</f>
        <v>118</v>
      </c>
      <c r="DS117" s="487">
        <f>IF(Year1_Oxfordshire Year1_ReferralSource_Anonymous="","",Year1_Oxfordshire Year1_ReferralSource_Anonymous)</f>
        <v>90</v>
      </c>
      <c r="DT117" s="488">
        <f>IF(Year2_Oxfordshire Year2_ReferralSource_Anonymous="","",Year2_Oxfordshire Year2_ReferralSource_Anonymous)</f>
        <v>119</v>
      </c>
      <c r="DU117" s="488">
        <f>IF(Year3_Oxfordshire Year3_ReferralSource_Anonymous="","",Year3_Oxfordshire Year3_ReferralSource_Anonymous)</f>
        <v>153</v>
      </c>
      <c r="DV117" s="488">
        <f>IF(Year4_Oxfordshire Year4_ReferralSource_Anonymous="","",Year4_Oxfordshire Year4_ReferralSource_Anonymous)</f>
        <v>81</v>
      </c>
      <c r="DW117" s="489">
        <f>IF(Year5_Oxfordshire Year5_ReferralSource_Anonymous="","",Year5_Oxfordshire Year5_ReferralSource_Anonymous)</f>
        <v>95</v>
      </c>
      <c r="DX117" s="487">
        <f>IF(Year1_Oxfordshire Year1_ReferralSource_Unknown="","",Year1_Oxfordshire Year1_ReferralSource_Unknown)</f>
        <v>34</v>
      </c>
      <c r="DY117" s="488">
        <f>IF(Year2_Oxfordshire Year2_ReferralSource_Unknown="","",Year2_Oxfordshire Year2_ReferralSource_Unknown)</f>
        <v>14</v>
      </c>
      <c r="DZ117" s="488">
        <f>IF(Year3_Oxfordshire Year3_ReferralSource_Unknown="","",Year3_Oxfordshire Year3_ReferralSource_Unknown)</f>
        <v>17</v>
      </c>
      <c r="EA117" s="488">
        <f>IF(Year4_Oxfordshire Year4_ReferralSource_Unknown="","",Year4_Oxfordshire Year4_ReferralSource_Unknown)</f>
        <v>24</v>
      </c>
      <c r="EB117" s="489">
        <f>IF(Year5_Oxfordshire Year5_ReferralSource_Unknown="","",Year5_Oxfordshire Year5_ReferralSource_Unknown)</f>
        <v>22</v>
      </c>
    </row>
    <row r="118" spans="1:133" ht="17.25" customHeight="1">
      <c r="A118" s="1131"/>
      <c r="B118" s="1117" t="str">
        <f>ReportData!$K$24</f>
        <v>England</v>
      </c>
      <c r="C118" s="5"/>
      <c r="D118" s="1796"/>
      <c r="E118" s="1797"/>
      <c r="F118" s="1796"/>
      <c r="G118" s="1797"/>
      <c r="H118" s="1796"/>
      <c r="I118" s="1797"/>
      <c r="J118" s="1796"/>
      <c r="K118" s="1797"/>
      <c r="L118" s="1796"/>
      <c r="M118" s="1797"/>
      <c r="N118" s="1796"/>
      <c r="O118" s="1797"/>
      <c r="P118" s="1796"/>
      <c r="Q118" s="1797"/>
      <c r="R118" s="1796"/>
      <c r="S118" s="1797"/>
      <c r="T118" s="1796"/>
      <c r="U118" s="1797"/>
      <c r="V118" s="1796"/>
      <c r="W118" s="1797"/>
      <c r="X118" s="59"/>
      <c r="Y118" s="86"/>
      <c r="Z118" s="102"/>
      <c r="AA118" s="52"/>
      <c r="AB118" s="487">
        <f>IF(Year1_Portsmouth Year1_ReferralSource_Individual_Family="","",Year1_Portsmouth Year1_ReferralSource_Individual_Family)</f>
        <v>155</v>
      </c>
      <c r="AC118" s="488">
        <f>IF(Year2_Portsmouth Year2_ReferralSource_Individual_Family="","",Year2_Portsmouth Year2_ReferralSource_Individual_Family)</f>
        <v>211</v>
      </c>
      <c r="AD118" s="488">
        <f>IF(Year3_Portsmouth Year3_ReferralSource_Individual_Family="","",Year3_Portsmouth Year3_ReferralSource_Individual_Family)</f>
        <v>360</v>
      </c>
      <c r="AE118" s="488">
        <f>IF(Year4_Portsmouth Year4_ReferralSource_Individual_Family="","",Year4_Portsmouth Year4_ReferralSource_Individual_Family)</f>
        <v>193</v>
      </c>
      <c r="AF118" s="489">
        <f>IF(Year5_Portsmouth Year5_ReferralSource_Individual_Family="","",Year5_Portsmouth Year5_ReferralSource_Individual_Family)</f>
        <v>210</v>
      </c>
      <c r="AG118" s="487" t="str">
        <f>IF(Year1_Portsmouth Year1_ReferralSource_Individual_Acquaintance="","",Year1_Portsmouth Year1_ReferralSource_Individual_Acquaintance)</f>
        <v/>
      </c>
      <c r="AH118" s="488" t="str">
        <f>IF(Year2_Portsmouth Year2_ReferralSource_Individual_Acquaintance="","",Year2_Portsmouth Year2_ReferralSource_Individual_Acquaintance)</f>
        <v/>
      </c>
      <c r="AI118" s="488" t="str">
        <f>IF(Year3_Portsmouth Year3_ReferralSource_Individual_Acquaintance="","",Year3_Portsmouth Year3_ReferralSource_Individual_Acquaintance)</f>
        <v/>
      </c>
      <c r="AJ118" s="488" t="str">
        <f>IF(Year4_Portsmouth Year4_ReferralSource_Individual_Acquaintance="","",Year4_Portsmouth Year4_ReferralSource_Individual_Acquaintance)</f>
        <v/>
      </c>
      <c r="AK118" s="489" t="str">
        <f>IF(Year5_Portsmouth Year5_ReferralSource_Individual_Acquaintance="","",Year5_Portsmouth Year5_ReferralSource_Individual_Acquaintance)</f>
        <v/>
      </c>
      <c r="AL118" s="487" t="str">
        <f>IF(Year1_Portsmouth Year1_ReferralSource_Individual_Self="","",Year1_Portsmouth Year1_ReferralSource_Individual_Self)</f>
        <v/>
      </c>
      <c r="AM118" s="488" t="str">
        <f>IF(Year2_Portsmouth Year2_ReferralSource_Individual_Self="","",Year2_Portsmouth Year2_ReferralSource_Individual_Self)</f>
        <v/>
      </c>
      <c r="AN118" s="488" t="str">
        <f>IF(Year3_Portsmouth Year3_ReferralSource_Individual_Self="","",Year3_Portsmouth Year3_ReferralSource_Individual_Self)</f>
        <v/>
      </c>
      <c r="AO118" s="488" t="str">
        <f>IF(Year4_Portsmouth Year4_ReferralSource_Individual_Self="","",Year4_Portsmouth Year4_ReferralSource_Individual_Self)</f>
        <v/>
      </c>
      <c r="AP118" s="489" t="str">
        <f>IF(Year5_Portsmouth Year5_ReferralSource_Individual_Self="","",Year5_Portsmouth Year5_ReferralSource_Individual_Self)</f>
        <v/>
      </c>
      <c r="AQ118" s="487" t="str">
        <f>IF(Year1_Portsmouth Year1_ReferralSource_Individual_Other="","",Year1_Portsmouth Year1_ReferralSource_Individual_Other)</f>
        <v/>
      </c>
      <c r="AR118" s="488" t="str">
        <f>IF(Year2_Portsmouth Year2_ReferralSource_Individual_Other="","",Year2_Portsmouth Year2_ReferralSource_Individual_Other)</f>
        <v/>
      </c>
      <c r="AS118" s="488" t="str">
        <f>IF(Year3_Portsmouth Year3_ReferralSource_Individual_Other="","",Year3_Portsmouth Year3_ReferralSource_Individual_Other)</f>
        <v/>
      </c>
      <c r="AT118" s="488" t="str">
        <f>IF(Year4_Portsmouth Year4_ReferralSource_Individual_Other="","",Year4_Portsmouth Year4_ReferralSource_Individual_Other)</f>
        <v/>
      </c>
      <c r="AU118" s="489" t="str">
        <f>IF(Year5_Portsmouth Year5_ReferralSource_Individual_Other="","",Year5_Portsmouth Year5_ReferralSource_Individual_Other)</f>
        <v/>
      </c>
      <c r="AV118" s="487">
        <f>IF(Year1_Portsmouth Year1_ReferralSource_School="","",Year1_Portsmouth Year1_ReferralSource_School)</f>
        <v>580</v>
      </c>
      <c r="AW118" s="488">
        <f>IF(Year2_Portsmouth Year2_ReferralSource_School="","",Year2_Portsmouth Year2_ReferralSource_School)</f>
        <v>522</v>
      </c>
      <c r="AX118" s="488">
        <f>IF(Year3_Portsmouth Year3_ReferralSource_School="","",Year3_Portsmouth Year3_ReferralSource_School)</f>
        <v>869</v>
      </c>
      <c r="AY118" s="488">
        <f>IF(Year4_Portsmouth Year4_ReferralSource_School="","",Year4_Portsmouth Year4_ReferralSource_School)</f>
        <v>605</v>
      </c>
      <c r="AZ118" s="489">
        <f>IF(Year5_Portsmouth Year5_ReferralSource_School="","",Year5_Portsmouth Year5_ReferralSource_School)</f>
        <v>555</v>
      </c>
      <c r="BA118" s="487">
        <f>IF(Year1_Portsmouth Year1_ReferralSource_EducationServices="","",Year1_Portsmouth Year1_ReferralSource_EducationServices)</f>
        <v>12</v>
      </c>
      <c r="BB118" s="488">
        <f>IF(Year2_Portsmouth Year2_ReferralSource_EducationServices="","",Year2_Portsmouth Year2_ReferralSource_EducationServices)</f>
        <v>0</v>
      </c>
      <c r="BC118" s="488" t="str">
        <f>IF(Year3_Portsmouth Year3_ReferralSource_EducationServices="","",Year3_Portsmouth Year3_ReferralSource_EducationServices)</f>
        <v>c</v>
      </c>
      <c r="BD118" s="488">
        <f>IF(Year4_Portsmouth Year4_ReferralSource_EducationServices="","",Year4_Portsmouth Year4_ReferralSource_EducationServices)</f>
        <v>49</v>
      </c>
      <c r="BE118" s="489">
        <f>IF(Year5_Portsmouth Year5_ReferralSource_EducationServices="","",Year5_Portsmouth Year5_ReferralSource_EducationServices)</f>
        <v>0</v>
      </c>
      <c r="BF118" s="501">
        <f>IF(Year1_Portsmouth Year1_ReferralSource_Health_services_GP="","",Year1_Portsmouth Year1_ReferralSource_Health_services_GP)</f>
        <v>376</v>
      </c>
      <c r="BG118" s="502">
        <f>IF(Year2_Portsmouth Year2_ReferralSource_Health_services_GP="","",Year2_Portsmouth Year2_ReferralSource_Health_services_GP)</f>
        <v>473</v>
      </c>
      <c r="BH118" s="502">
        <f>IF(Year3_Portsmouth Year3_ReferralSource_Health_services_GP="","",Year3_Portsmouth Year3_ReferralSource_Health_services_GP)</f>
        <v>550</v>
      </c>
      <c r="BI118" s="502">
        <f>IF(Year4_Portsmouth Year4_ReferralSource_Health_services_GP="","",Year4_Portsmouth Year4_ReferralSource_Health_services_GP)</f>
        <v>424</v>
      </c>
      <c r="BJ118" s="503">
        <f>IF(Year5_Portsmouth Year5_ReferralSource_Health_services_GP="","",Year5_Portsmouth Year5_ReferralSource_Health_services_GP)</f>
        <v>448</v>
      </c>
      <c r="BK118" s="501" t="str">
        <f>IF(Year1_Portsmouth Year1_ReferralSource_Health_services_HealthVisitor="","",Year1_Portsmouth Year1_ReferralSource_Health_services_HealthVisitor)</f>
        <v/>
      </c>
      <c r="BL118" s="502" t="str">
        <f>IF(Year2_Portsmouth Year2_ReferralSource_Health_services_HealthVisitor="","",Year2_Portsmouth Year2_ReferralSource_Health_services_HealthVisitor)</f>
        <v/>
      </c>
      <c r="BM118" s="502" t="str">
        <f>IF(Year3_Portsmouth Year3_ReferralSource_Health_services_HealthVisitor="","",Year3_Portsmouth Year3_ReferralSource_Health_services_HealthVisitor)</f>
        <v/>
      </c>
      <c r="BN118" s="502" t="str">
        <f>IF(Year4_Portsmouth Year4_ReferralSource_Health_services_HealthVisitor="","",Year4_Portsmouth Year4_ReferralSource_Health_services_HealthVisitor)</f>
        <v/>
      </c>
      <c r="BO118" s="503" t="str">
        <f>IF(Year5_Portsmouth Year5_ReferralSource_Health_services_HealthVisitor="","",Year5_Portsmouth Year5_ReferralSource_Health_services_HealthVisitor)</f>
        <v/>
      </c>
      <c r="BP118" s="501" t="str">
        <f>IF(Year1_Portsmouth Year1_ReferralSource_Health_services_SchoolNurse="","",Year1_Portsmouth Year1_ReferralSource_Health_services_SchoolNurse)</f>
        <v/>
      </c>
      <c r="BQ118" s="502" t="str">
        <f>IF(Year2_Portsmouth Year2_ReferralSource_Health_services_SchoolNurse="","",Year2_Portsmouth Year2_ReferralSource_Health_services_SchoolNurse)</f>
        <v/>
      </c>
      <c r="BR118" s="502" t="str">
        <f>IF(Year3_Portsmouth Year3_ReferralSource_Health_services_SchoolNurse="","",Year3_Portsmouth Year3_ReferralSource_Health_services_SchoolNurse)</f>
        <v/>
      </c>
      <c r="BS118" s="502" t="str">
        <f>IF(Year4_Portsmouth Year4_ReferralSource_Health_services_SchoolNurse="","",Year4_Portsmouth Year4_ReferralSource_Health_services_SchoolNurse)</f>
        <v/>
      </c>
      <c r="BT118" s="503" t="str">
        <f>IF(Year5_Portsmouth Year5_ReferralSource_Health_services_SchoolNurse="","",Year5_Portsmouth Year5_ReferralSource_Health_services_SchoolNurse)</f>
        <v/>
      </c>
      <c r="BU118" s="501" t="str">
        <f>IF(Year1_Portsmouth Year1_ReferralSource_Health_services_OthPrimary="","",Year1_Portsmouth Year1_ReferralSource_Health_services_OthPrimary)</f>
        <v/>
      </c>
      <c r="BV118" s="502" t="str">
        <f>IF(Year2_Portsmouth Year2_ReferralSource_Health_services_OthPrimary="","",Year2_Portsmouth Year2_ReferralSource_Health_services_OthPrimary)</f>
        <v/>
      </c>
      <c r="BW118" s="502" t="str">
        <f>IF(Year3_Portsmouth Year3_ReferralSource_Health_services_OthPrimary="","",Year3_Portsmouth Year3_ReferralSource_Health_services_OthPrimary)</f>
        <v/>
      </c>
      <c r="BX118" s="502" t="str">
        <f>IF(Year4_Portsmouth Year4_ReferralSource_Health_services_OthPrimary="","",Year4_Portsmouth Year4_ReferralSource_Health_services_OthPrimary)</f>
        <v/>
      </c>
      <c r="BY118" s="503" t="str">
        <f>IF(Year5_Portsmouth Year5_ReferralSource_Health_services_OthPrimary="","",Year5_Portsmouth Year5_ReferralSource_Health_services_OthPrimary)</f>
        <v/>
      </c>
      <c r="BZ118" s="501" t="str">
        <f>IF(Year1_Portsmouth Year1_ReferralSource_Health_services_AE="","",Year1_Portsmouth Year1_ReferralSource_Health_services_AE)</f>
        <v/>
      </c>
      <c r="CA118" s="502" t="str">
        <f>IF(Year2_Portsmouth Year2_ReferralSource_Health_services_AE="","",Year2_Portsmouth Year2_ReferralSource_Health_services_AE)</f>
        <v/>
      </c>
      <c r="CB118" s="502" t="str">
        <f>IF(Year3_Portsmouth Year3_ReferralSource_Health_services_AE="","",Year3_Portsmouth Year3_ReferralSource_Health_services_AE)</f>
        <v/>
      </c>
      <c r="CC118" s="502" t="str">
        <f>IF(Year4_Portsmouth Year4_ReferralSource_Health_services_AE="","",Year4_Portsmouth Year4_ReferralSource_Health_services_AE)</f>
        <v/>
      </c>
      <c r="CD118" s="503" t="str">
        <f>IF(Year5_Portsmouth Year5_ReferralSource_Health_services_AE="","",Year5_Portsmouth Year5_ReferralSource_Health_services_AE)</f>
        <v/>
      </c>
      <c r="CE118" s="501" t="str">
        <f>IF(Year1_Portsmouth Year1_ReferralSource_Health_services_Other="","",Year1_Portsmouth Year1_ReferralSource_Health_services_Other)</f>
        <v/>
      </c>
      <c r="CF118" s="502" t="str">
        <f>IF(Year2_Portsmouth Year2_ReferralSource_Health_services_Other="","",Year2_Portsmouth Year2_ReferralSource_Health_services_Other)</f>
        <v/>
      </c>
      <c r="CG118" s="502" t="str">
        <f>IF(Year3_Portsmouth Year3_ReferralSource_Health_services_Other="","",Year3_Portsmouth Year3_ReferralSource_Health_services_Other)</f>
        <v/>
      </c>
      <c r="CH118" s="502" t="str">
        <f>IF(Year4_Portsmouth Year4_ReferralSource_Health_services_Other="","",Year4_Portsmouth Year4_ReferralSource_Health_services_Other)</f>
        <v/>
      </c>
      <c r="CI118" s="503" t="str">
        <f>IF(Year5_Portsmouth Year5_ReferralSource_Health_services_Other="","",Year5_Portsmouth Year5_ReferralSource_Health_services_Other)</f>
        <v/>
      </c>
      <c r="CJ118" s="487">
        <f>IF(Year1_Portsmouth Year1_ReferralSource_Housing="","",Year1_Portsmouth Year1_ReferralSource_Housing)</f>
        <v>63</v>
      </c>
      <c r="CK118" s="488">
        <f>IF(Year2_Portsmouth Year2_ReferralSource_Housing="","",Year2_Portsmouth Year2_ReferralSource_Housing)</f>
        <v>50</v>
      </c>
      <c r="CL118" s="488">
        <f>IF(Year3_Portsmouth Year3_ReferralSource_Housing="","",Year3_Portsmouth Year3_ReferralSource_Housing)</f>
        <v>76</v>
      </c>
      <c r="CM118" s="488">
        <f>IF(Year4_Portsmouth Year4_ReferralSource_Housing="","",Year4_Portsmouth Year4_ReferralSource_Housing)</f>
        <v>60</v>
      </c>
      <c r="CN118" s="489">
        <f>IF(Year5_Portsmouth Year5_ReferralSource_Housing="","",Year5_Portsmouth Year5_ReferralSource_Housing)</f>
        <v>62</v>
      </c>
      <c r="CO118" s="487">
        <f>IF(Year1_Portsmouth Year1_ReferralSource_LA_SC="","",Year1_Portsmouth Year1_ReferralSource_LA_SC)</f>
        <v>451</v>
      </c>
      <c r="CP118" s="488">
        <f>IF(Year2_Portsmouth Year2_ReferralSource_LA_SC="","",Year2_Portsmouth Year2_ReferralSource_LA_SC)</f>
        <v>455</v>
      </c>
      <c r="CQ118" s="488">
        <f>IF(Year3_Portsmouth Year3_ReferralSource_LA_SC="","",Year3_Portsmouth Year3_ReferralSource_LA_SC)</f>
        <v>581</v>
      </c>
      <c r="CR118" s="488">
        <f>IF(Year4_Portsmouth Year4_ReferralSource_LA_SC="","",Year4_Portsmouth Year4_ReferralSource_LA_SC)</f>
        <v>483</v>
      </c>
      <c r="CS118" s="489">
        <f>IF(Year5_Portsmouth Year5_ReferralSource_LA_SC="","",Year5_Portsmouth Year5_ReferralSource_LA_SC)</f>
        <v>538</v>
      </c>
      <c r="CT118" s="487" t="str">
        <f>IF(Year1_Portsmouth Year1_ReferralSource_LA_Other="","",Year1_Portsmouth Year1_ReferralSource_LA_Other)</f>
        <v/>
      </c>
      <c r="CU118" s="488" t="str">
        <f>IF(Year2_Portsmouth Year2_ReferralSource_LA_Other="","",Year2_Portsmouth Year2_ReferralSource_LA_Other)</f>
        <v/>
      </c>
      <c r="CV118" s="488" t="str">
        <f>IF(Year3_Portsmouth Year3_ReferralSource_LA_Other="","",Year3_Portsmouth Year3_ReferralSource_LA_Other)</f>
        <v/>
      </c>
      <c r="CW118" s="488" t="str">
        <f>IF(Year4_Portsmouth Year4_ReferralSource_LA_Other="","",Year4_Portsmouth Year4_ReferralSource_LA_Other)</f>
        <v/>
      </c>
      <c r="CX118" s="489" t="str">
        <f>IF(Year5_Portsmouth Year5_ReferralSource_LA_Other="","",Year5_Portsmouth Year5_ReferralSource_LA_Other)</f>
        <v/>
      </c>
      <c r="CY118" s="487" t="str">
        <f>IF(Year1_Portsmouth Year1_ReferralSource_LA_External="","",Year1_Portsmouth Year1_ReferralSource_LA_External)</f>
        <v/>
      </c>
      <c r="CZ118" s="488" t="str">
        <f>IF(Year2_Portsmouth Year2_ReferralSource_LA_External="","",Year2_Portsmouth Year2_ReferralSource_LA_External)</f>
        <v/>
      </c>
      <c r="DA118" s="488" t="str">
        <f>IF(Year3_Portsmouth Year3_ReferralSource_LA_External="","",Year3_Portsmouth Year3_ReferralSource_LA_External)</f>
        <v/>
      </c>
      <c r="DB118" s="488" t="str">
        <f>IF(Year4_Portsmouth Year4_ReferralSource_LA_External="","",Year4_Portsmouth Year4_ReferralSource_LA_External)</f>
        <v/>
      </c>
      <c r="DC118" s="489" t="str">
        <f>IF(Year5_Portsmouth Year5_ReferralSource_LA_External="","",Year5_Portsmouth Year5_ReferralSource_LA_External)</f>
        <v/>
      </c>
      <c r="DD118" s="487">
        <f>IF(Year1_Portsmouth Year1_ReferralSource_Police="","",Year1_Portsmouth Year1_ReferralSource_Police)</f>
        <v>725</v>
      </c>
      <c r="DE118" s="488">
        <f>IF(Year2_Portsmouth Year2_ReferralSource_Police="","",Year2_Portsmouth Year2_ReferralSource_Police)</f>
        <v>792</v>
      </c>
      <c r="DF118" s="488">
        <f>IF(Year3_Portsmouth Year3_ReferralSource_Police="","",Year3_Portsmouth Year3_ReferralSource_Police)</f>
        <v>898</v>
      </c>
      <c r="DG118" s="488">
        <f>IF(Year4_Portsmouth Year4_ReferralSource_Police="","",Year4_Portsmouth Year4_ReferralSource_Police)</f>
        <v>779</v>
      </c>
      <c r="DH118" s="489">
        <f>IF(Year5_Portsmouth Year5_ReferralSource_Police="","",Year5_Portsmouth Year5_ReferralSource_Police)</f>
        <v>880</v>
      </c>
      <c r="DI118" s="487">
        <f>IF(Year1_Portsmouth Year1_ReferralSource_Other_Legal="","",Year1_Portsmouth Year1_ReferralSource_Other_Legal)</f>
        <v>124</v>
      </c>
      <c r="DJ118" s="488">
        <f>IF(Year2_Portsmouth Year2_ReferralSource_Other_Legal="","",Year2_Portsmouth Year2_ReferralSource_Other_Legal)</f>
        <v>151</v>
      </c>
      <c r="DK118" s="488">
        <f>IF(Year3_Portsmouth Year3_ReferralSource_Other_Legal="","",Year3_Portsmouth Year3_ReferralSource_Other_Legal)</f>
        <v>131</v>
      </c>
      <c r="DL118" s="488">
        <f>IF(Year4_Portsmouth Year4_ReferralSource_Other_Legal="","",Year4_Portsmouth Year4_ReferralSource_Other_Legal)</f>
        <v>110</v>
      </c>
      <c r="DM118" s="489">
        <f>IF(Year5_Portsmouth Year5_ReferralSource_Other_Legal="","",Year5_Portsmouth Year5_ReferralSource_Other_Legal)</f>
        <v>124</v>
      </c>
      <c r="DN118" s="487">
        <f>IF(Year1_Portsmouth Year1_ReferralSource_Other="","",Year1_Portsmouth Year1_ReferralSource_Other)</f>
        <v>137</v>
      </c>
      <c r="DO118" s="488">
        <f>IF(Year2_Portsmouth Year2_ReferralSource_Other="","",Year2_Portsmouth Year2_ReferralSource_Other)</f>
        <v>132</v>
      </c>
      <c r="DP118" s="488">
        <f>IF(Year3_Portsmouth Year3_ReferralSource_Other="","",Year3_Portsmouth Year3_ReferralSource_Other)</f>
        <v>142</v>
      </c>
      <c r="DQ118" s="488">
        <f>IF(Year4_Portsmouth Year4_ReferralSource_Other="","",Year4_Portsmouth Year4_ReferralSource_Other)</f>
        <v>130</v>
      </c>
      <c r="DR118" s="489">
        <f>IF(Year5_Portsmouth Year5_ReferralSource_Other="","",Year5_Portsmouth Year5_ReferralSource_Other)</f>
        <v>111</v>
      </c>
      <c r="DS118" s="487">
        <f>IF(Year1_Portsmouth Year1_ReferralSource_Anonymous="","",Year1_Portsmouth Year1_ReferralSource_Anonymous)</f>
        <v>35</v>
      </c>
      <c r="DT118" s="488">
        <f>IF(Year2_Portsmouth Year2_ReferralSource_Anonymous="","",Year2_Portsmouth Year2_ReferralSource_Anonymous)</f>
        <v>25</v>
      </c>
      <c r="DU118" s="488">
        <f>IF(Year3_Portsmouth Year3_ReferralSource_Anonymous="","",Year3_Portsmouth Year3_ReferralSource_Anonymous)</f>
        <v>66</v>
      </c>
      <c r="DV118" s="488">
        <f>IF(Year4_Portsmouth Year4_ReferralSource_Anonymous="","",Year4_Portsmouth Year4_ReferralSource_Anonymous)</f>
        <v>64</v>
      </c>
      <c r="DW118" s="489">
        <f>IF(Year5_Portsmouth Year5_ReferralSource_Anonymous="","",Year5_Portsmouth Year5_ReferralSource_Anonymous)</f>
        <v>96</v>
      </c>
      <c r="DX118" s="487">
        <f>IF(Year1_Portsmouth Year1_ReferralSource_Unknown="","",Year1_Portsmouth Year1_ReferralSource_Unknown)</f>
        <v>6</v>
      </c>
      <c r="DY118" s="488">
        <f>IF(Year2_Portsmouth Year2_ReferralSource_Unknown="","",Year2_Portsmouth Year2_ReferralSource_Unknown)</f>
        <v>0</v>
      </c>
      <c r="DZ118" s="488" t="str">
        <f>IF(Year3_Portsmouth Year3_ReferralSource_Unknown="","",Year3_Portsmouth Year3_ReferralSource_Unknown)</f>
        <v>c</v>
      </c>
      <c r="EA118" s="488">
        <f>IF(Year4_Portsmouth Year4_ReferralSource_Unknown="","",Year4_Portsmouth Year4_ReferralSource_Unknown)</f>
        <v>0</v>
      </c>
      <c r="EB118" s="489">
        <f>IF(Year5_Portsmouth Year5_ReferralSource_Unknown="","",Year5_Portsmouth Year5_ReferralSource_Unknown)</f>
        <v>0</v>
      </c>
    </row>
    <row r="119" spans="1:133" ht="34.5" customHeight="1">
      <c r="A119" s="217"/>
      <c r="B119" s="59"/>
      <c r="C119" s="5"/>
      <c r="D119" s="1133"/>
      <c r="E119" s="1133"/>
      <c r="F119" s="1133"/>
      <c r="G119" s="1133"/>
      <c r="H119" s="1133"/>
      <c r="I119" s="1133"/>
      <c r="J119" s="1133"/>
      <c r="K119" s="1133"/>
      <c r="L119" s="1133"/>
      <c r="M119" s="1133"/>
      <c r="N119" s="1133"/>
      <c r="O119" s="1133"/>
      <c r="P119" s="1133"/>
      <c r="Q119" s="1133"/>
      <c r="R119" s="1133"/>
      <c r="S119" s="1133"/>
      <c r="T119" s="1133"/>
      <c r="U119" s="1133"/>
      <c r="V119" s="1133"/>
      <c r="W119" s="1133"/>
      <c r="X119" s="59"/>
      <c r="Y119" s="86"/>
      <c r="Z119" s="121"/>
      <c r="AA119" s="56"/>
      <c r="AB119" s="487">
        <f>IF(Year1_Reading Year1_ReferralSource_Individual_Family="","",Year1_Reading Year1_ReferralSource_Individual_Family)</f>
        <v>192</v>
      </c>
      <c r="AC119" s="488">
        <f>IF(Year2_Reading Year2_ReferralSource_Individual_Family="","",Year2_Reading Year2_ReferralSource_Individual_Family)</f>
        <v>118</v>
      </c>
      <c r="AD119" s="488">
        <f>IF(Year3_Reading Year3_ReferralSource_Individual_Family="","",Year3_Reading Year3_ReferralSource_Individual_Family)</f>
        <v>159</v>
      </c>
      <c r="AE119" s="488">
        <f>IF(Year4_Reading Year4_ReferralSource_Individual_Family="","",Year4_Reading Year4_ReferralSource_Individual_Family)</f>
        <v>155</v>
      </c>
      <c r="AF119" s="489">
        <f>IF(Year5_Reading Year5_ReferralSource_Individual_Family="","",Year5_Reading Year5_ReferralSource_Individual_Family)</f>
        <v>144</v>
      </c>
      <c r="AG119" s="487" t="str">
        <f>IF(Year1_Reading Year1_ReferralSource_Individual_Acquaintance="","",Year1_Reading Year1_ReferralSource_Individual_Acquaintance)</f>
        <v/>
      </c>
      <c r="AH119" s="488" t="str">
        <f>IF(Year2_Reading Year2_ReferralSource_Individual_Acquaintance="","",Year2_Reading Year2_ReferralSource_Individual_Acquaintance)</f>
        <v/>
      </c>
      <c r="AI119" s="488" t="str">
        <f>IF(Year3_Reading Year3_ReferralSource_Individual_Acquaintance="","",Year3_Reading Year3_ReferralSource_Individual_Acquaintance)</f>
        <v/>
      </c>
      <c r="AJ119" s="488" t="str">
        <f>IF(Year4_Reading Year4_ReferralSource_Individual_Acquaintance="","",Year4_Reading Year4_ReferralSource_Individual_Acquaintance)</f>
        <v/>
      </c>
      <c r="AK119" s="489" t="str">
        <f>IF(Year5_Reading Year5_ReferralSource_Individual_Acquaintance="","",Year5_Reading Year5_ReferralSource_Individual_Acquaintance)</f>
        <v/>
      </c>
      <c r="AL119" s="487" t="str">
        <f>IF(Year1_Reading Year1_ReferralSource_Individual_Self="","",Year1_Reading Year1_ReferralSource_Individual_Self)</f>
        <v/>
      </c>
      <c r="AM119" s="488" t="str">
        <f>IF(Year2_Reading Year2_ReferralSource_Individual_Self="","",Year2_Reading Year2_ReferralSource_Individual_Self)</f>
        <v/>
      </c>
      <c r="AN119" s="488" t="str">
        <f>IF(Year3_Reading Year3_ReferralSource_Individual_Self="","",Year3_Reading Year3_ReferralSource_Individual_Self)</f>
        <v/>
      </c>
      <c r="AO119" s="488" t="str">
        <f>IF(Year4_Reading Year4_ReferralSource_Individual_Self="","",Year4_Reading Year4_ReferralSource_Individual_Self)</f>
        <v/>
      </c>
      <c r="AP119" s="489" t="str">
        <f>IF(Year5_Reading Year5_ReferralSource_Individual_Self="","",Year5_Reading Year5_ReferralSource_Individual_Self)</f>
        <v/>
      </c>
      <c r="AQ119" s="487" t="str">
        <f>IF(Year1_Reading Year1_ReferralSource_Individual_Other="","",Year1_Reading Year1_ReferralSource_Individual_Other)</f>
        <v/>
      </c>
      <c r="AR119" s="488" t="str">
        <f>IF(Year2_Reading Year2_ReferralSource_Individual_Other="","",Year2_Reading Year2_ReferralSource_Individual_Other)</f>
        <v/>
      </c>
      <c r="AS119" s="488" t="str">
        <f>IF(Year3_Reading Year3_ReferralSource_Individual_Other="","",Year3_Reading Year3_ReferralSource_Individual_Other)</f>
        <v/>
      </c>
      <c r="AT119" s="488" t="str">
        <f>IF(Year4_Reading Year4_ReferralSource_Individual_Other="","",Year4_Reading Year4_ReferralSource_Individual_Other)</f>
        <v/>
      </c>
      <c r="AU119" s="489" t="str">
        <f>IF(Year5_Reading Year5_ReferralSource_Individual_Other="","",Year5_Reading Year5_ReferralSource_Individual_Other)</f>
        <v/>
      </c>
      <c r="AV119" s="487">
        <f>IF(Year1_Reading Year1_ReferralSource_School="","",Year1_Reading Year1_ReferralSource_School)</f>
        <v>460</v>
      </c>
      <c r="AW119" s="488">
        <f>IF(Year2_Reading Year2_ReferralSource_School="","",Year2_Reading Year2_ReferralSource_School)</f>
        <v>313</v>
      </c>
      <c r="AX119" s="488">
        <f>IF(Year3_Reading Year3_ReferralSource_School="","",Year3_Reading Year3_ReferralSource_School)</f>
        <v>459</v>
      </c>
      <c r="AY119" s="488">
        <f>IF(Year4_Reading Year4_ReferralSource_School="","",Year4_Reading Year4_ReferralSource_School)</f>
        <v>490</v>
      </c>
      <c r="AZ119" s="489">
        <f>IF(Year5_Reading Year5_ReferralSource_School="","",Year5_Reading Year5_ReferralSource_School)</f>
        <v>529</v>
      </c>
      <c r="BA119" s="487">
        <f>IF(Year1_Reading Year1_ReferralSource_EducationServices="","",Year1_Reading Year1_ReferralSource_EducationServices)</f>
        <v>73</v>
      </c>
      <c r="BB119" s="488">
        <f>IF(Year2_Reading Year2_ReferralSource_EducationServices="","",Year2_Reading Year2_ReferralSource_EducationServices)</f>
        <v>57</v>
      </c>
      <c r="BC119" s="488">
        <f>IF(Year3_Reading Year3_ReferralSource_EducationServices="","",Year3_Reading Year3_ReferralSource_EducationServices)</f>
        <v>42</v>
      </c>
      <c r="BD119" s="488">
        <f>IF(Year4_Reading Year4_ReferralSource_EducationServices="","",Year4_Reading Year4_ReferralSource_EducationServices)</f>
        <v>23</v>
      </c>
      <c r="BE119" s="489">
        <f>IF(Year5_Reading Year5_ReferralSource_EducationServices="","",Year5_Reading Year5_ReferralSource_EducationServices)</f>
        <v>27</v>
      </c>
      <c r="BF119" s="501">
        <f>IF(Year1_Reading Year1_ReferralSource_Health_services_GP="","",Year1_Reading Year1_ReferralSource_Health_services_GP)</f>
        <v>372</v>
      </c>
      <c r="BG119" s="502">
        <f>IF(Year2_Reading Year2_ReferralSource_Health_services_GP="","",Year2_Reading Year2_ReferralSource_Health_services_GP)</f>
        <v>412</v>
      </c>
      <c r="BH119" s="502">
        <f>IF(Year3_Reading Year3_ReferralSource_Health_services_GP="","",Year3_Reading Year3_ReferralSource_Health_services_GP)</f>
        <v>416</v>
      </c>
      <c r="BI119" s="502">
        <f>IF(Year4_Reading Year4_ReferralSource_Health_services_GP="","",Year4_Reading Year4_ReferralSource_Health_services_GP)</f>
        <v>501</v>
      </c>
      <c r="BJ119" s="503">
        <f>IF(Year5_Reading Year5_ReferralSource_Health_services_GP="","",Year5_Reading Year5_ReferralSource_Health_services_GP)</f>
        <v>458</v>
      </c>
      <c r="BK119" s="501" t="str">
        <f>IF(Year1_Reading Year1_ReferralSource_Health_services_HealthVisitor="","",Year1_Reading Year1_ReferralSource_Health_services_HealthVisitor)</f>
        <v/>
      </c>
      <c r="BL119" s="502" t="str">
        <f>IF(Year2_Reading Year2_ReferralSource_Health_services_HealthVisitor="","",Year2_Reading Year2_ReferralSource_Health_services_HealthVisitor)</f>
        <v/>
      </c>
      <c r="BM119" s="502" t="str">
        <f>IF(Year3_Reading Year3_ReferralSource_Health_services_HealthVisitor="","",Year3_Reading Year3_ReferralSource_Health_services_HealthVisitor)</f>
        <v/>
      </c>
      <c r="BN119" s="502" t="str">
        <f>IF(Year4_Reading Year4_ReferralSource_Health_services_HealthVisitor="","",Year4_Reading Year4_ReferralSource_Health_services_HealthVisitor)</f>
        <v/>
      </c>
      <c r="BO119" s="503" t="str">
        <f>IF(Year5_Reading Year5_ReferralSource_Health_services_HealthVisitor="","",Year5_Reading Year5_ReferralSource_Health_services_HealthVisitor)</f>
        <v/>
      </c>
      <c r="BP119" s="501" t="str">
        <f>IF(Year1_Reading Year1_ReferralSource_Health_services_SchoolNurse="","",Year1_Reading Year1_ReferralSource_Health_services_SchoolNurse)</f>
        <v/>
      </c>
      <c r="BQ119" s="502" t="str">
        <f>IF(Year2_Reading Year2_ReferralSource_Health_services_SchoolNurse="","",Year2_Reading Year2_ReferralSource_Health_services_SchoolNurse)</f>
        <v/>
      </c>
      <c r="BR119" s="502" t="str">
        <f>IF(Year3_Reading Year3_ReferralSource_Health_services_SchoolNurse="","",Year3_Reading Year3_ReferralSource_Health_services_SchoolNurse)</f>
        <v/>
      </c>
      <c r="BS119" s="502" t="str">
        <f>IF(Year4_Reading Year4_ReferralSource_Health_services_SchoolNurse="","",Year4_Reading Year4_ReferralSource_Health_services_SchoolNurse)</f>
        <v/>
      </c>
      <c r="BT119" s="503" t="str">
        <f>IF(Year5_Reading Year5_ReferralSource_Health_services_SchoolNurse="","",Year5_Reading Year5_ReferralSource_Health_services_SchoolNurse)</f>
        <v/>
      </c>
      <c r="BU119" s="501" t="str">
        <f>IF(Year1_Reading Year1_ReferralSource_Health_services_OthPrimary="","",Year1_Reading Year1_ReferralSource_Health_services_OthPrimary)</f>
        <v/>
      </c>
      <c r="BV119" s="502" t="str">
        <f>IF(Year2_Reading Year2_ReferralSource_Health_services_OthPrimary="","",Year2_Reading Year2_ReferralSource_Health_services_OthPrimary)</f>
        <v/>
      </c>
      <c r="BW119" s="502" t="str">
        <f>IF(Year3_Reading Year3_ReferralSource_Health_services_OthPrimary="","",Year3_Reading Year3_ReferralSource_Health_services_OthPrimary)</f>
        <v/>
      </c>
      <c r="BX119" s="502" t="str">
        <f>IF(Year4_Reading Year4_ReferralSource_Health_services_OthPrimary="","",Year4_Reading Year4_ReferralSource_Health_services_OthPrimary)</f>
        <v/>
      </c>
      <c r="BY119" s="503" t="str">
        <f>IF(Year5_Reading Year5_ReferralSource_Health_services_OthPrimary="","",Year5_Reading Year5_ReferralSource_Health_services_OthPrimary)</f>
        <v/>
      </c>
      <c r="BZ119" s="501" t="str">
        <f>IF(Year1_Reading Year1_ReferralSource_Health_services_AE="","",Year1_Reading Year1_ReferralSource_Health_services_AE)</f>
        <v/>
      </c>
      <c r="CA119" s="502" t="str">
        <f>IF(Year2_Reading Year2_ReferralSource_Health_services_AE="","",Year2_Reading Year2_ReferralSource_Health_services_AE)</f>
        <v/>
      </c>
      <c r="CB119" s="502" t="str">
        <f>IF(Year3_Reading Year3_ReferralSource_Health_services_AE="","",Year3_Reading Year3_ReferralSource_Health_services_AE)</f>
        <v/>
      </c>
      <c r="CC119" s="502" t="str">
        <f>IF(Year4_Reading Year4_ReferralSource_Health_services_AE="","",Year4_Reading Year4_ReferralSource_Health_services_AE)</f>
        <v/>
      </c>
      <c r="CD119" s="503" t="str">
        <f>IF(Year5_Reading Year5_ReferralSource_Health_services_AE="","",Year5_Reading Year5_ReferralSource_Health_services_AE)</f>
        <v/>
      </c>
      <c r="CE119" s="501" t="str">
        <f>IF(Year1_Reading Year1_ReferralSource_Health_services_Other="","",Year1_Reading Year1_ReferralSource_Health_services_Other)</f>
        <v/>
      </c>
      <c r="CF119" s="502" t="str">
        <f>IF(Year2_Reading Year2_ReferralSource_Health_services_Other="","",Year2_Reading Year2_ReferralSource_Health_services_Other)</f>
        <v/>
      </c>
      <c r="CG119" s="502" t="str">
        <f>IF(Year3_Reading Year3_ReferralSource_Health_services_Other="","",Year3_Reading Year3_ReferralSource_Health_services_Other)</f>
        <v/>
      </c>
      <c r="CH119" s="502" t="str">
        <f>IF(Year4_Reading Year4_ReferralSource_Health_services_Other="","",Year4_Reading Year4_ReferralSource_Health_services_Other)</f>
        <v/>
      </c>
      <c r="CI119" s="503" t="str">
        <f>IF(Year5_Reading Year5_ReferralSource_Health_services_Other="","",Year5_Reading Year5_ReferralSource_Health_services_Other)</f>
        <v/>
      </c>
      <c r="CJ119" s="487">
        <f>IF(Year1_Reading Year1_ReferralSource_Housing="","",Year1_Reading Year1_ReferralSource_Housing)</f>
        <v>64</v>
      </c>
      <c r="CK119" s="488">
        <f>IF(Year2_Reading Year2_ReferralSource_Housing="","",Year2_Reading Year2_ReferralSource_Housing)</f>
        <v>42</v>
      </c>
      <c r="CL119" s="488">
        <f>IF(Year3_Reading Year3_ReferralSource_Housing="","",Year3_Reading Year3_ReferralSource_Housing)</f>
        <v>58</v>
      </c>
      <c r="CM119" s="488">
        <f>IF(Year4_Reading Year4_ReferralSource_Housing="","",Year4_Reading Year4_ReferralSource_Housing)</f>
        <v>97</v>
      </c>
      <c r="CN119" s="489">
        <f>IF(Year5_Reading Year5_ReferralSource_Housing="","",Year5_Reading Year5_ReferralSource_Housing)</f>
        <v>67</v>
      </c>
      <c r="CO119" s="487">
        <f>IF(Year1_Reading Year1_ReferralSource_LA_SC="","",Year1_Reading Year1_ReferralSource_LA_SC)</f>
        <v>263</v>
      </c>
      <c r="CP119" s="488">
        <f>IF(Year2_Reading Year2_ReferralSource_LA_SC="","",Year2_Reading Year2_ReferralSource_LA_SC)</f>
        <v>301</v>
      </c>
      <c r="CQ119" s="488">
        <f>IF(Year3_Reading Year3_ReferralSource_LA_SC="","",Year3_Reading Year3_ReferralSource_LA_SC)</f>
        <v>276</v>
      </c>
      <c r="CR119" s="488">
        <f>IF(Year4_Reading Year4_ReferralSource_LA_SC="","",Year4_Reading Year4_ReferralSource_LA_SC)</f>
        <v>407</v>
      </c>
      <c r="CS119" s="489">
        <f>IF(Year5_Reading Year5_ReferralSource_LA_SC="","",Year5_Reading Year5_ReferralSource_LA_SC)</f>
        <v>464</v>
      </c>
      <c r="CT119" s="487" t="str">
        <f>IF(Year1_Reading Year1_ReferralSource_LA_Other="","",Year1_Reading Year1_ReferralSource_LA_Other)</f>
        <v/>
      </c>
      <c r="CU119" s="488" t="str">
        <f>IF(Year2_Reading Year2_ReferralSource_LA_Other="","",Year2_Reading Year2_ReferralSource_LA_Other)</f>
        <v/>
      </c>
      <c r="CV119" s="488" t="str">
        <f>IF(Year3_Reading Year3_ReferralSource_LA_Other="","",Year3_Reading Year3_ReferralSource_LA_Other)</f>
        <v/>
      </c>
      <c r="CW119" s="488" t="str">
        <f>IF(Year4_Reading Year4_ReferralSource_LA_Other="","",Year4_Reading Year4_ReferralSource_LA_Other)</f>
        <v/>
      </c>
      <c r="CX119" s="489" t="str">
        <f>IF(Year5_Reading Year5_ReferralSource_LA_Other="","",Year5_Reading Year5_ReferralSource_LA_Other)</f>
        <v/>
      </c>
      <c r="CY119" s="487" t="str">
        <f>IF(Year1_Reading Year1_ReferralSource_LA_External="","",Year1_Reading Year1_ReferralSource_LA_External)</f>
        <v/>
      </c>
      <c r="CZ119" s="488" t="str">
        <f>IF(Year2_Reading Year2_ReferralSource_LA_External="","",Year2_Reading Year2_ReferralSource_LA_External)</f>
        <v/>
      </c>
      <c r="DA119" s="488" t="str">
        <f>IF(Year3_Reading Year3_ReferralSource_LA_External="","",Year3_Reading Year3_ReferralSource_LA_External)</f>
        <v/>
      </c>
      <c r="DB119" s="488" t="str">
        <f>IF(Year4_Reading Year4_ReferralSource_LA_External="","",Year4_Reading Year4_ReferralSource_LA_External)</f>
        <v/>
      </c>
      <c r="DC119" s="489" t="str">
        <f>IF(Year5_Reading Year5_ReferralSource_LA_External="","",Year5_Reading Year5_ReferralSource_LA_External)</f>
        <v/>
      </c>
      <c r="DD119" s="487">
        <f>IF(Year1_Reading Year1_ReferralSource_Police="","",Year1_Reading Year1_ReferralSource_Police)</f>
        <v>930</v>
      </c>
      <c r="DE119" s="488">
        <f>IF(Year2_Reading Year2_ReferralSource_Police="","",Year2_Reading Year2_ReferralSource_Police)</f>
        <v>836</v>
      </c>
      <c r="DF119" s="488">
        <f>IF(Year3_Reading Year3_ReferralSource_Police="","",Year3_Reading Year3_ReferralSource_Police)</f>
        <v>845</v>
      </c>
      <c r="DG119" s="488">
        <f>IF(Year4_Reading Year4_ReferralSource_Police="","",Year4_Reading Year4_ReferralSource_Police)</f>
        <v>923</v>
      </c>
      <c r="DH119" s="489">
        <f>IF(Year5_Reading Year5_ReferralSource_Police="","",Year5_Reading Year5_ReferralSource_Police)</f>
        <v>1037</v>
      </c>
      <c r="DI119" s="487">
        <f>IF(Year1_Reading Year1_ReferralSource_Other_Legal="","",Year1_Reading Year1_ReferralSource_Other_Legal)</f>
        <v>55</v>
      </c>
      <c r="DJ119" s="488">
        <f>IF(Year2_Reading Year2_ReferralSource_Other_Legal="","",Year2_Reading Year2_ReferralSource_Other_Legal)</f>
        <v>75</v>
      </c>
      <c r="DK119" s="488">
        <f>IF(Year3_Reading Year3_ReferralSource_Other_Legal="","",Year3_Reading Year3_ReferralSource_Other_Legal)</f>
        <v>113</v>
      </c>
      <c r="DL119" s="488">
        <f>IF(Year4_Reading Year4_ReferralSource_Other_Legal="","",Year4_Reading Year4_ReferralSource_Other_Legal)</f>
        <v>109</v>
      </c>
      <c r="DM119" s="489">
        <f>IF(Year5_Reading Year5_ReferralSource_Other_Legal="","",Year5_Reading Year5_ReferralSource_Other_Legal)</f>
        <v>120</v>
      </c>
      <c r="DN119" s="487">
        <f>IF(Year1_Reading Year1_ReferralSource_Other="","",Year1_Reading Year1_ReferralSource_Other)</f>
        <v>128</v>
      </c>
      <c r="DO119" s="488">
        <f>IF(Year2_Reading Year2_ReferralSource_Other="","",Year2_Reading Year2_ReferralSource_Other)</f>
        <v>79</v>
      </c>
      <c r="DP119" s="488">
        <f>IF(Year3_Reading Year3_ReferralSource_Other="","",Year3_Reading Year3_ReferralSource_Other)</f>
        <v>51</v>
      </c>
      <c r="DQ119" s="488">
        <f>IF(Year4_Reading Year4_ReferralSource_Other="","",Year4_Reading Year4_ReferralSource_Other)</f>
        <v>96</v>
      </c>
      <c r="DR119" s="489">
        <f>IF(Year5_Reading Year5_ReferralSource_Other="","",Year5_Reading Year5_ReferralSource_Other)</f>
        <v>101</v>
      </c>
      <c r="DS119" s="487">
        <f>IF(Year1_Reading Year1_ReferralSource_Anonymous="","",Year1_Reading Year1_ReferralSource_Anonymous)</f>
        <v>19</v>
      </c>
      <c r="DT119" s="488">
        <f>IF(Year2_Reading Year2_ReferralSource_Anonymous="","",Year2_Reading Year2_ReferralSource_Anonymous)</f>
        <v>33</v>
      </c>
      <c r="DU119" s="488" t="str">
        <f>IF(Year3_Reading Year3_ReferralSource_Anonymous="","",Year3_Reading Year3_ReferralSource_Anonymous)</f>
        <v>c</v>
      </c>
      <c r="DV119" s="488">
        <f>IF(Year4_Reading Year4_ReferralSource_Anonymous="","",Year4_Reading Year4_ReferralSource_Anonymous)</f>
        <v>42</v>
      </c>
      <c r="DW119" s="489">
        <f>IF(Year5_Reading Year5_ReferralSource_Anonymous="","",Year5_Reading Year5_ReferralSource_Anonymous)</f>
        <v>56</v>
      </c>
      <c r="DX119" s="487">
        <f>IF(Year1_Reading Year1_ReferralSource_Unknown="","",Year1_Reading Year1_ReferralSource_Unknown)</f>
        <v>8</v>
      </c>
      <c r="DY119" s="488">
        <f>IF(Year2_Reading Year2_ReferralSource_Unknown="","",Year2_Reading Year2_ReferralSource_Unknown)</f>
        <v>0</v>
      </c>
      <c r="DZ119" s="488" t="str">
        <f>IF(Year3_Reading Year3_ReferralSource_Unknown="","",Year3_Reading Year3_ReferralSource_Unknown)</f>
        <v>c</v>
      </c>
      <c r="EA119" s="488">
        <f>IF(Year4_Reading Year4_ReferralSource_Unknown="","",Year4_Reading Year4_ReferralSource_Unknown)</f>
        <v>0</v>
      </c>
      <c r="EB119" s="489">
        <f>IF(Year5_Reading Year5_ReferralSource_Unknown="","",Year5_Reading Year5_ReferralSource_Unknown)</f>
        <v>0</v>
      </c>
    </row>
    <row r="120" spans="1:133" s="56" customFormat="1" ht="7.5" customHeight="1">
      <c r="A120" s="1261"/>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608"/>
      <c r="Z120" s="185"/>
      <c r="AB120" s="493">
        <f>IF(Year1_Slough Year1_ReferralSource_Individual_Family="","",Year1_Slough Year1_ReferralSource_Individual_Family)</f>
        <v>104</v>
      </c>
      <c r="AC120" s="494">
        <f>IF(Year2_Slough Year2_ReferralSource_Individual_Family="","",Year2_Slough Year2_ReferralSource_Individual_Family)</f>
        <v>88</v>
      </c>
      <c r="AD120" s="494">
        <f>IF(Year3_Slough Year3_ReferralSource_Individual_Family="","",Year3_Slough Year3_ReferralSource_Individual_Family)</f>
        <v>68</v>
      </c>
      <c r="AE120" s="494">
        <f>IF(Year4_Slough Year4_ReferralSource_Individual_Family="","",Year4_Slough Year4_ReferralSource_Individual_Family)</f>
        <v>89</v>
      </c>
      <c r="AF120" s="495">
        <f>IF(Year5_Slough Year5_ReferralSource_Individual_Family="","",Year5_Slough Year5_ReferralSource_Individual_Family)</f>
        <v>110</v>
      </c>
      <c r="AG120" s="493" t="str">
        <f>IF(Year1_Slough Year1_ReferralSource_Individual_Acquaintance="","",Year1_Slough Year1_ReferralSource_Individual_Acquaintance)</f>
        <v/>
      </c>
      <c r="AH120" s="494" t="str">
        <f>IF(Year2_Slough Year2_ReferralSource_Individual_Acquaintance="","",Year2_Slough Year2_ReferralSource_Individual_Acquaintance)</f>
        <v/>
      </c>
      <c r="AI120" s="494" t="str">
        <f>IF(Year3_Slough Year3_ReferralSource_Individual_Acquaintance="","",Year3_Slough Year3_ReferralSource_Individual_Acquaintance)</f>
        <v/>
      </c>
      <c r="AJ120" s="494" t="str">
        <f>IF(Year4_Slough Year4_ReferralSource_Individual_Acquaintance="","",Year4_Slough Year4_ReferralSource_Individual_Acquaintance)</f>
        <v/>
      </c>
      <c r="AK120" s="495" t="str">
        <f>IF(Year5_Slough Year5_ReferralSource_Individual_Acquaintance="","",Year5_Slough Year5_ReferralSource_Individual_Acquaintance)</f>
        <v/>
      </c>
      <c r="AL120" s="493" t="str">
        <f>IF(Year1_Slough Year1_ReferralSource_Individual_Self="","",Year1_Slough Year1_ReferralSource_Individual_Self)</f>
        <v/>
      </c>
      <c r="AM120" s="494" t="str">
        <f>IF(Year2_Slough Year2_ReferralSource_Individual_Self="","",Year2_Slough Year2_ReferralSource_Individual_Self)</f>
        <v/>
      </c>
      <c r="AN120" s="494" t="str">
        <f>IF(Year3_Slough Year3_ReferralSource_Individual_Self="","",Year3_Slough Year3_ReferralSource_Individual_Self)</f>
        <v/>
      </c>
      <c r="AO120" s="494" t="str">
        <f>IF(Year4_Slough Year4_ReferralSource_Individual_Self="","",Year4_Slough Year4_ReferralSource_Individual_Self)</f>
        <v/>
      </c>
      <c r="AP120" s="495" t="str">
        <f>IF(Year5_Slough Year5_ReferralSource_Individual_Self="","",Year5_Slough Year5_ReferralSource_Individual_Self)</f>
        <v/>
      </c>
      <c r="AQ120" s="493" t="str">
        <f>IF(Year1_Slough Year1_ReferralSource_Individual_Other="","",Year1_Slough Year1_ReferralSource_Individual_Other)</f>
        <v/>
      </c>
      <c r="AR120" s="494" t="str">
        <f>IF(Year2_Slough Year2_ReferralSource_Individual_Other="","",Year2_Slough Year2_ReferralSource_Individual_Other)</f>
        <v/>
      </c>
      <c r="AS120" s="494" t="str">
        <f>IF(Year3_Slough Year3_ReferralSource_Individual_Other="","",Year3_Slough Year3_ReferralSource_Individual_Other)</f>
        <v/>
      </c>
      <c r="AT120" s="494" t="str">
        <f>IF(Year4_Slough Year4_ReferralSource_Individual_Other="","",Year4_Slough Year4_ReferralSource_Individual_Other)</f>
        <v/>
      </c>
      <c r="AU120" s="495" t="str">
        <f>IF(Year5_Slough Year5_ReferralSource_Individual_Other="","",Year5_Slough Year5_ReferralSource_Individual_Other)</f>
        <v/>
      </c>
      <c r="AV120" s="493">
        <f>IF(Year1_Slough Year1_ReferralSource_School="","",Year1_Slough Year1_ReferralSource_School)</f>
        <v>613</v>
      </c>
      <c r="AW120" s="494">
        <f>IF(Year2_Slough Year2_ReferralSource_School="","",Year2_Slough Year2_ReferralSource_School)</f>
        <v>536</v>
      </c>
      <c r="AX120" s="494">
        <f>IF(Year3_Slough Year3_ReferralSource_School="","",Year3_Slough Year3_ReferralSource_School)</f>
        <v>805</v>
      </c>
      <c r="AY120" s="494">
        <f>IF(Year4_Slough Year4_ReferralSource_School="","",Year4_Slough Year4_ReferralSource_School)</f>
        <v>766</v>
      </c>
      <c r="AZ120" s="495">
        <f>IF(Year5_Slough Year5_ReferralSource_School="","",Year5_Slough Year5_ReferralSource_School)</f>
        <v>856</v>
      </c>
      <c r="BA120" s="493">
        <f>IF(Year1_Slough Year1_ReferralSource_EducationServices="","",Year1_Slough Year1_ReferralSource_EducationServices)</f>
        <v>21</v>
      </c>
      <c r="BB120" s="494">
        <f>IF(Year2_Slough Year2_ReferralSource_EducationServices="","",Year2_Slough Year2_ReferralSource_EducationServices)</f>
        <v>32</v>
      </c>
      <c r="BC120" s="494" t="str">
        <f>IF(Year3_Slough Year3_ReferralSource_EducationServices="","",Year3_Slough Year3_ReferralSource_EducationServices)</f>
        <v>c</v>
      </c>
      <c r="BD120" s="494">
        <f>IF(Year4_Slough Year4_ReferralSource_EducationServices="","",Year4_Slough Year4_ReferralSource_EducationServices)</f>
        <v>8</v>
      </c>
      <c r="BE120" s="495">
        <f>IF(Year5_Slough Year5_ReferralSource_EducationServices="","",Year5_Slough Year5_ReferralSource_EducationServices)</f>
        <v>0</v>
      </c>
      <c r="BF120" s="504">
        <f>IF(Year1_Slough Year1_ReferralSource_Health_services_GP="","",Year1_Slough Year1_ReferralSource_Health_services_GP)</f>
        <v>344</v>
      </c>
      <c r="BG120" s="505">
        <f>IF(Year2_Slough Year2_ReferralSource_Health_services_GP="","",Year2_Slough Year2_ReferralSource_Health_services_GP)</f>
        <v>653</v>
      </c>
      <c r="BH120" s="505">
        <f>IF(Year3_Slough Year3_ReferralSource_Health_services_GP="","",Year3_Slough Year3_ReferralSource_Health_services_GP)</f>
        <v>468</v>
      </c>
      <c r="BI120" s="505">
        <f>IF(Year4_Slough Year4_ReferralSource_Health_services_GP="","",Year4_Slough Year4_ReferralSource_Health_services_GP)</f>
        <v>490</v>
      </c>
      <c r="BJ120" s="506">
        <f>IF(Year5_Slough Year5_ReferralSource_Health_services_GP="","",Year5_Slough Year5_ReferralSource_Health_services_GP)</f>
        <v>480</v>
      </c>
      <c r="BK120" s="504" t="str">
        <f>IF(Year1_Slough Year1_ReferralSource_Health_services_HealthVisitor="","",Year1_Slough Year1_ReferralSource_Health_services_HealthVisitor)</f>
        <v/>
      </c>
      <c r="BL120" s="505" t="str">
        <f>IF(Year2_Slough Year2_ReferralSource_Health_services_HealthVisitor="","",Year2_Slough Year2_ReferralSource_Health_services_HealthVisitor)</f>
        <v/>
      </c>
      <c r="BM120" s="505" t="str">
        <f>IF(Year3_Slough Year3_ReferralSource_Health_services_HealthVisitor="","",Year3_Slough Year3_ReferralSource_Health_services_HealthVisitor)</f>
        <v/>
      </c>
      <c r="BN120" s="505" t="str">
        <f>IF(Year4_Slough Year4_ReferralSource_Health_services_HealthVisitor="","",Year4_Slough Year4_ReferralSource_Health_services_HealthVisitor)</f>
        <v/>
      </c>
      <c r="BO120" s="506" t="str">
        <f>IF(Year5_Slough Year5_ReferralSource_Health_services_HealthVisitor="","",Year5_Slough Year5_ReferralSource_Health_services_HealthVisitor)</f>
        <v/>
      </c>
      <c r="BP120" s="504" t="str">
        <f>IF(Year1_Slough Year1_ReferralSource_Health_services_SchoolNurse="","",Year1_Slough Year1_ReferralSource_Health_services_SchoolNurse)</f>
        <v/>
      </c>
      <c r="BQ120" s="505" t="str">
        <f>IF(Year2_Slough Year2_ReferralSource_Health_services_SchoolNurse="","",Year2_Slough Year2_ReferralSource_Health_services_SchoolNurse)</f>
        <v/>
      </c>
      <c r="BR120" s="505" t="str">
        <f>IF(Year3_Slough Year3_ReferralSource_Health_services_SchoolNurse="","",Year3_Slough Year3_ReferralSource_Health_services_SchoolNurse)</f>
        <v/>
      </c>
      <c r="BS120" s="505" t="str">
        <f>IF(Year4_Slough Year4_ReferralSource_Health_services_SchoolNurse="","",Year4_Slough Year4_ReferralSource_Health_services_SchoolNurse)</f>
        <v/>
      </c>
      <c r="BT120" s="506" t="str">
        <f>IF(Year5_Slough Year5_ReferralSource_Health_services_SchoolNurse="","",Year5_Slough Year5_ReferralSource_Health_services_SchoolNurse)</f>
        <v/>
      </c>
      <c r="BU120" s="504" t="str">
        <f>IF(Year1_Slough Year1_ReferralSource_Health_services_OthPrimary="","",Year1_Slough Year1_ReferralSource_Health_services_OthPrimary)</f>
        <v/>
      </c>
      <c r="BV120" s="505" t="str">
        <f>IF(Year2_Slough Year2_ReferralSource_Health_services_OthPrimary="","",Year2_Slough Year2_ReferralSource_Health_services_OthPrimary)</f>
        <v/>
      </c>
      <c r="BW120" s="505" t="str">
        <f>IF(Year3_Slough Year3_ReferralSource_Health_services_OthPrimary="","",Year3_Slough Year3_ReferralSource_Health_services_OthPrimary)</f>
        <v/>
      </c>
      <c r="BX120" s="505" t="str">
        <f>IF(Year4_Slough Year4_ReferralSource_Health_services_OthPrimary="","",Year4_Slough Year4_ReferralSource_Health_services_OthPrimary)</f>
        <v/>
      </c>
      <c r="BY120" s="506" t="str">
        <f>IF(Year5_Slough Year5_ReferralSource_Health_services_OthPrimary="","",Year5_Slough Year5_ReferralSource_Health_services_OthPrimary)</f>
        <v/>
      </c>
      <c r="BZ120" s="504" t="str">
        <f>IF(Year1_Slough Year1_ReferralSource_Health_services_AE="","",Year1_Slough Year1_ReferralSource_Health_services_AE)</f>
        <v/>
      </c>
      <c r="CA120" s="505" t="str">
        <f>IF(Year2_Slough Year2_ReferralSource_Health_services_AE="","",Year2_Slough Year2_ReferralSource_Health_services_AE)</f>
        <v/>
      </c>
      <c r="CB120" s="505" t="str">
        <f>IF(Year3_Slough Year3_ReferralSource_Health_services_AE="","",Year3_Slough Year3_ReferralSource_Health_services_AE)</f>
        <v/>
      </c>
      <c r="CC120" s="505" t="str">
        <f>IF(Year4_Slough Year4_ReferralSource_Health_services_AE="","",Year4_Slough Year4_ReferralSource_Health_services_AE)</f>
        <v/>
      </c>
      <c r="CD120" s="506" t="str">
        <f>IF(Year5_Slough Year5_ReferralSource_Health_services_AE="","",Year5_Slough Year5_ReferralSource_Health_services_AE)</f>
        <v/>
      </c>
      <c r="CE120" s="504" t="str">
        <f>IF(Year1_Slough Year1_ReferralSource_Health_services_Other="","",Year1_Slough Year1_ReferralSource_Health_services_Other)</f>
        <v/>
      </c>
      <c r="CF120" s="505" t="str">
        <f>IF(Year2_Slough Year2_ReferralSource_Health_services_Other="","",Year2_Slough Year2_ReferralSource_Health_services_Other)</f>
        <v/>
      </c>
      <c r="CG120" s="505" t="str">
        <f>IF(Year3_Slough Year3_ReferralSource_Health_services_Other="","",Year3_Slough Year3_ReferralSource_Health_services_Other)</f>
        <v/>
      </c>
      <c r="CH120" s="505" t="str">
        <f>IF(Year4_Slough Year4_ReferralSource_Health_services_Other="","",Year4_Slough Year4_ReferralSource_Health_services_Other)</f>
        <v/>
      </c>
      <c r="CI120" s="506" t="str">
        <f>IF(Year5_Slough Year5_ReferralSource_Health_services_Other="","",Year5_Slough Year5_ReferralSource_Health_services_Other)</f>
        <v/>
      </c>
      <c r="CJ120" s="493">
        <f>IF(Year1_Slough Year1_ReferralSource_Housing="","",Year1_Slough Year1_ReferralSource_Housing)</f>
        <v>0</v>
      </c>
      <c r="CK120" s="494">
        <f>IF(Year2_Slough Year2_ReferralSource_Housing="","",Year2_Slough Year2_ReferralSource_Housing)</f>
        <v>13</v>
      </c>
      <c r="CL120" s="494" t="str">
        <f>IF(Year3_Slough Year3_ReferralSource_Housing="","",Year3_Slough Year3_ReferralSource_Housing)</f>
        <v>c</v>
      </c>
      <c r="CM120" s="494">
        <f>IF(Year4_Slough Year4_ReferralSource_Housing="","",Year4_Slough Year4_ReferralSource_Housing)</f>
        <v>9</v>
      </c>
      <c r="CN120" s="495">
        <f>IF(Year5_Slough Year5_ReferralSource_Housing="","",Year5_Slough Year5_ReferralSource_Housing)</f>
        <v>0</v>
      </c>
      <c r="CO120" s="493">
        <f>IF(Year1_Slough Year1_ReferralSource_LA_SC="","",Year1_Slough Year1_ReferralSource_LA_SC)</f>
        <v>391</v>
      </c>
      <c r="CP120" s="494">
        <f>IF(Year2_Slough Year2_ReferralSource_LA_SC="","",Year2_Slough Year2_ReferralSource_LA_SC)</f>
        <v>456</v>
      </c>
      <c r="CQ120" s="494">
        <f>IF(Year3_Slough Year3_ReferralSource_LA_SC="","",Year3_Slough Year3_ReferralSource_LA_SC)</f>
        <v>547</v>
      </c>
      <c r="CR120" s="494">
        <f>IF(Year4_Slough Year4_ReferralSource_LA_SC="","",Year4_Slough Year4_ReferralSource_LA_SC)</f>
        <v>475</v>
      </c>
      <c r="CS120" s="495">
        <f>IF(Year5_Slough Year5_ReferralSource_LA_SC="","",Year5_Slough Year5_ReferralSource_LA_SC)</f>
        <v>333</v>
      </c>
      <c r="CT120" s="493" t="str">
        <f>IF(Year1_Slough Year1_ReferralSource_LA_Other="","",Year1_Slough Year1_ReferralSource_LA_Other)</f>
        <v/>
      </c>
      <c r="CU120" s="494" t="str">
        <f>IF(Year2_Slough Year2_ReferralSource_LA_Other="","",Year2_Slough Year2_ReferralSource_LA_Other)</f>
        <v/>
      </c>
      <c r="CV120" s="494" t="str">
        <f>IF(Year3_Slough Year3_ReferralSource_LA_Other="","",Year3_Slough Year3_ReferralSource_LA_Other)</f>
        <v/>
      </c>
      <c r="CW120" s="494" t="str">
        <f>IF(Year4_Slough Year4_ReferralSource_LA_Other="","",Year4_Slough Year4_ReferralSource_LA_Other)</f>
        <v/>
      </c>
      <c r="CX120" s="495" t="str">
        <f>IF(Year5_Slough Year5_ReferralSource_LA_Other="","",Year5_Slough Year5_ReferralSource_LA_Other)</f>
        <v/>
      </c>
      <c r="CY120" s="493" t="str">
        <f>IF(Year1_Slough Year1_ReferralSource_LA_External="","",Year1_Slough Year1_ReferralSource_LA_External)</f>
        <v/>
      </c>
      <c r="CZ120" s="494" t="str">
        <f>IF(Year2_Slough Year2_ReferralSource_LA_External="","",Year2_Slough Year2_ReferralSource_LA_External)</f>
        <v/>
      </c>
      <c r="DA120" s="494" t="str">
        <f>IF(Year3_Slough Year3_ReferralSource_LA_External="","",Year3_Slough Year3_ReferralSource_LA_External)</f>
        <v/>
      </c>
      <c r="DB120" s="494" t="str">
        <f>IF(Year4_Slough Year4_ReferralSource_LA_External="","",Year4_Slough Year4_ReferralSource_LA_External)</f>
        <v/>
      </c>
      <c r="DC120" s="495" t="str">
        <f>IF(Year5_Slough Year5_ReferralSource_LA_External="","",Year5_Slough Year5_ReferralSource_LA_External)</f>
        <v/>
      </c>
      <c r="DD120" s="493">
        <f>IF(Year1_Slough Year1_ReferralSource_Police="","",Year1_Slough Year1_ReferralSource_Police)</f>
        <v>825</v>
      </c>
      <c r="DE120" s="494">
        <f>IF(Year2_Slough Year2_ReferralSource_Police="","",Year2_Slough Year2_ReferralSource_Police)</f>
        <v>1244</v>
      </c>
      <c r="DF120" s="494">
        <f>IF(Year3_Slough Year3_ReferralSource_Police="","",Year3_Slough Year3_ReferralSource_Police)</f>
        <v>1108</v>
      </c>
      <c r="DG120" s="494">
        <f>IF(Year4_Slough Year4_ReferralSource_Police="","",Year4_Slough Year4_ReferralSource_Police)</f>
        <v>1256</v>
      </c>
      <c r="DH120" s="495">
        <f>IF(Year5_Slough Year5_ReferralSource_Police="","",Year5_Slough Year5_ReferralSource_Police)</f>
        <v>1305</v>
      </c>
      <c r="DI120" s="493">
        <f>IF(Year1_Slough Year1_ReferralSource_Other_Legal="","",Year1_Slough Year1_ReferralSource_Other_Legal)</f>
        <v>91</v>
      </c>
      <c r="DJ120" s="494">
        <f>IF(Year2_Slough Year2_ReferralSource_Other_Legal="","",Year2_Slough Year2_ReferralSource_Other_Legal)</f>
        <v>77</v>
      </c>
      <c r="DK120" s="494">
        <f>IF(Year3_Slough Year3_ReferralSource_Other_Legal="","",Year3_Slough Year3_ReferralSource_Other_Legal)</f>
        <v>113</v>
      </c>
      <c r="DL120" s="494">
        <f>IF(Year4_Slough Year4_ReferralSource_Other_Legal="","",Year4_Slough Year4_ReferralSource_Other_Legal)</f>
        <v>66</v>
      </c>
      <c r="DM120" s="495">
        <f>IF(Year5_Slough Year5_ReferralSource_Other_Legal="","",Year5_Slough Year5_ReferralSource_Other_Legal)</f>
        <v>87</v>
      </c>
      <c r="DN120" s="493">
        <f>IF(Year1_Slough Year1_ReferralSource_Other="","",Year1_Slough Year1_ReferralSource_Other)</f>
        <v>107</v>
      </c>
      <c r="DO120" s="494">
        <f>IF(Year2_Slough Year2_ReferralSource_Other="","",Year2_Slough Year2_ReferralSource_Other)</f>
        <v>240</v>
      </c>
      <c r="DP120" s="494">
        <f>IF(Year3_Slough Year3_ReferralSource_Other="","",Year3_Slough Year3_ReferralSource_Other)</f>
        <v>50</v>
      </c>
      <c r="DQ120" s="494">
        <f>IF(Year4_Slough Year4_ReferralSource_Other="","",Year4_Slough Year4_ReferralSource_Other)</f>
        <v>242</v>
      </c>
      <c r="DR120" s="495">
        <f>IF(Year5_Slough Year5_ReferralSource_Other="","",Year5_Slough Year5_ReferralSource_Other)</f>
        <v>173</v>
      </c>
      <c r="DS120" s="493">
        <f>IF(Year1_Slough Year1_ReferralSource_Anonymous="","",Year1_Slough Year1_ReferralSource_Anonymous)</f>
        <v>44</v>
      </c>
      <c r="DT120" s="494">
        <f>IF(Year2_Slough Year2_ReferralSource_Anonymous="","",Year2_Slough Year2_ReferralSource_Anonymous)</f>
        <v>36</v>
      </c>
      <c r="DU120" s="494">
        <f>IF(Year3_Slough Year3_ReferralSource_Anonymous="","",Year3_Slough Year3_ReferralSource_Anonymous)</f>
        <v>25</v>
      </c>
      <c r="DV120" s="494">
        <f>IF(Year4_Slough Year4_ReferralSource_Anonymous="","",Year4_Slough Year4_ReferralSource_Anonymous)</f>
        <v>16</v>
      </c>
      <c r="DW120" s="495">
        <f>IF(Year5_Slough Year5_ReferralSource_Anonymous="","",Year5_Slough Year5_ReferralSource_Anonymous)</f>
        <v>7</v>
      </c>
      <c r="DX120" s="493">
        <f>IF(Year1_Slough Year1_ReferralSource_Unknown="","",Year1_Slough Year1_ReferralSource_Unknown)</f>
        <v>0</v>
      </c>
      <c r="DY120" s="494">
        <f>IF(Year2_Slough Year2_ReferralSource_Unknown="","",Year2_Slough Year2_ReferralSource_Unknown)</f>
        <v>0</v>
      </c>
      <c r="DZ120" s="494">
        <f>IF(Year3_Slough Year3_ReferralSource_Unknown="","",Year3_Slough Year3_ReferralSource_Unknown)</f>
        <v>0</v>
      </c>
      <c r="EA120" s="494">
        <f>IF(Year4_Slough Year4_ReferralSource_Unknown="","",Year4_Slough Year4_ReferralSource_Unknown)</f>
        <v>0</v>
      </c>
      <c r="EB120" s="495">
        <f>IF(Year5_Slough Year5_ReferralSource_Unknown="","",Year5_Slough Year5_ReferralSource_Unknown)</f>
        <v>0</v>
      </c>
    </row>
    <row r="121" spans="1:133" s="56" customFormat="1" ht="15" customHeight="1">
      <c r="A121" s="1261"/>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170"/>
      <c r="Z121" s="185"/>
      <c r="AB121" s="490">
        <f>IF(Year1_Southampton Year1_ReferralSource_Individual_Family="","",Year1_Southampton Year1_ReferralSource_Individual_Family)</f>
        <v>221</v>
      </c>
      <c r="AC121" s="491">
        <f>IF(Year2_Southampton Year2_ReferralSource_Individual_Family="","",Year2_Southampton Year2_ReferralSource_Individual_Family)</f>
        <v>133</v>
      </c>
      <c r="AD121" s="491">
        <f>IF(Year3_Southampton Year3_ReferralSource_Individual_Family="","",Year3_Southampton Year3_ReferralSource_Individual_Family)</f>
        <v>105</v>
      </c>
      <c r="AE121" s="491">
        <f>IF(Year4_Southampton Year4_ReferralSource_Individual_Family="","",Year4_Southampton Year4_ReferralSource_Individual_Family)</f>
        <v>201</v>
      </c>
      <c r="AF121" s="492">
        <f>IF(Year5_Southampton Year5_ReferralSource_Individual_Family="","",Year5_Southampton Year5_ReferralSource_Individual_Family)</f>
        <v>200</v>
      </c>
      <c r="AG121" s="490" t="str">
        <f>IF(Year1_Southampton Year1_ReferralSource_Individual_Acquaintance="","",Year1_Southampton Year1_ReferralSource_Individual_Acquaintance)</f>
        <v/>
      </c>
      <c r="AH121" s="491" t="str">
        <f>IF(Year2_Southampton Year2_ReferralSource_Individual_Acquaintance="","",Year2_Southampton Year2_ReferralSource_Individual_Acquaintance)</f>
        <v/>
      </c>
      <c r="AI121" s="491" t="str">
        <f>IF(Year3_Southampton Year3_ReferralSource_Individual_Acquaintance="","",Year3_Southampton Year3_ReferralSource_Individual_Acquaintance)</f>
        <v/>
      </c>
      <c r="AJ121" s="491" t="str">
        <f>IF(Year4_Southampton Year4_ReferralSource_Individual_Acquaintance="","",Year4_Southampton Year4_ReferralSource_Individual_Acquaintance)</f>
        <v/>
      </c>
      <c r="AK121" s="492" t="str">
        <f>IF(Year5_Southampton Year5_ReferralSource_Individual_Acquaintance="","",Year5_Southampton Year5_ReferralSource_Individual_Acquaintance)</f>
        <v/>
      </c>
      <c r="AL121" s="490" t="str">
        <f>IF(Year1_Southampton Year1_ReferralSource_Individual_Self="","",Year1_Southampton Year1_ReferralSource_Individual_Self)</f>
        <v/>
      </c>
      <c r="AM121" s="491" t="str">
        <f>IF(Year2_Southampton Year2_ReferralSource_Individual_Self="","",Year2_Southampton Year2_ReferralSource_Individual_Self)</f>
        <v/>
      </c>
      <c r="AN121" s="491" t="str">
        <f>IF(Year3_Southampton Year3_ReferralSource_Individual_Self="","",Year3_Southampton Year3_ReferralSource_Individual_Self)</f>
        <v/>
      </c>
      <c r="AO121" s="491" t="str">
        <f>IF(Year4_Southampton Year4_ReferralSource_Individual_Self="","",Year4_Southampton Year4_ReferralSource_Individual_Self)</f>
        <v/>
      </c>
      <c r="AP121" s="492" t="str">
        <f>IF(Year5_Southampton Year5_ReferralSource_Individual_Self="","",Year5_Southampton Year5_ReferralSource_Individual_Self)</f>
        <v/>
      </c>
      <c r="AQ121" s="490" t="str">
        <f>IF(Year1_Southampton Year1_ReferralSource_Individual_Other="","",Year1_Southampton Year1_ReferralSource_Individual_Other)</f>
        <v/>
      </c>
      <c r="AR121" s="491" t="str">
        <f>IF(Year2_Southampton Year2_ReferralSource_Individual_Other="","",Year2_Southampton Year2_ReferralSource_Individual_Other)</f>
        <v/>
      </c>
      <c r="AS121" s="491" t="str">
        <f>IF(Year3_Southampton Year3_ReferralSource_Individual_Other="","",Year3_Southampton Year3_ReferralSource_Individual_Other)</f>
        <v/>
      </c>
      <c r="AT121" s="491" t="str">
        <f>IF(Year4_Southampton Year4_ReferralSource_Individual_Other="","",Year4_Southampton Year4_ReferralSource_Individual_Other)</f>
        <v/>
      </c>
      <c r="AU121" s="492" t="str">
        <f>IF(Year5_Southampton Year5_ReferralSource_Individual_Other="","",Year5_Southampton Year5_ReferralSource_Individual_Other)</f>
        <v/>
      </c>
      <c r="AV121" s="490">
        <f>IF(Year1_Southampton Year1_ReferralSource_School="","",Year1_Southampton Year1_ReferralSource_School)</f>
        <v>946</v>
      </c>
      <c r="AW121" s="491">
        <f>IF(Year2_Southampton Year2_ReferralSource_School="","",Year2_Southampton Year2_ReferralSource_School)</f>
        <v>666</v>
      </c>
      <c r="AX121" s="491">
        <f>IF(Year3_Southampton Year3_ReferralSource_School="","",Year3_Southampton Year3_ReferralSource_School)</f>
        <v>775</v>
      </c>
      <c r="AY121" s="491">
        <f>IF(Year4_Southampton Year4_ReferralSource_School="","",Year4_Southampton Year4_ReferralSource_School)</f>
        <v>1211</v>
      </c>
      <c r="AZ121" s="492">
        <f>IF(Year5_Southampton Year5_ReferralSource_School="","",Year5_Southampton Year5_ReferralSource_School)</f>
        <v>870</v>
      </c>
      <c r="BA121" s="490">
        <f>IF(Year1_Southampton Year1_ReferralSource_EducationServices="","",Year1_Southampton Year1_ReferralSource_EducationServices)</f>
        <v>6</v>
      </c>
      <c r="BB121" s="491">
        <f>IF(Year2_Southampton Year2_ReferralSource_EducationServices="","",Year2_Southampton Year2_ReferralSource_EducationServices)</f>
        <v>0</v>
      </c>
      <c r="BC121" s="491" t="str">
        <f>IF(Year3_Southampton Year3_ReferralSource_EducationServices="","",Year3_Southampton Year3_ReferralSource_EducationServices)</f>
        <v>c</v>
      </c>
      <c r="BD121" s="491">
        <f>IF(Year4_Southampton Year4_ReferralSource_EducationServices="","",Year4_Southampton Year4_ReferralSource_EducationServices)</f>
        <v>0</v>
      </c>
      <c r="BE121" s="492">
        <f>IF(Year5_Southampton Year5_ReferralSource_EducationServices="","",Year5_Southampton Year5_ReferralSource_EducationServices)</f>
        <v>23</v>
      </c>
      <c r="BF121" s="507">
        <f>IF(Year1_Southampton Year1_ReferralSource_Health_services_GP="","",Year1_Southampton Year1_ReferralSource_Health_services_GP)</f>
        <v>761</v>
      </c>
      <c r="BG121" s="508">
        <f>IF(Year2_Southampton Year2_ReferralSource_Health_services_GP="","",Year2_Southampton Year2_ReferralSource_Health_services_GP)</f>
        <v>564</v>
      </c>
      <c r="BH121" s="508">
        <f>IF(Year3_Southampton Year3_ReferralSource_Health_services_GP="","",Year3_Southampton Year3_ReferralSource_Health_services_GP)</f>
        <v>445</v>
      </c>
      <c r="BI121" s="508">
        <f>IF(Year4_Southampton Year4_ReferralSource_Health_services_GP="","",Year4_Southampton Year4_ReferralSource_Health_services_GP)</f>
        <v>445</v>
      </c>
      <c r="BJ121" s="509">
        <f>IF(Year5_Southampton Year5_ReferralSource_Health_services_GP="","",Year5_Southampton Year5_ReferralSource_Health_services_GP)</f>
        <v>459</v>
      </c>
      <c r="BK121" s="507" t="str">
        <f>IF(Year1_Southampton Year1_ReferralSource_Health_services_HealthVisitor="","",Year1_Southampton Year1_ReferralSource_Health_services_HealthVisitor)</f>
        <v/>
      </c>
      <c r="BL121" s="508" t="str">
        <f>IF(Year2_Southampton Year2_ReferralSource_Health_services_HealthVisitor="","",Year2_Southampton Year2_ReferralSource_Health_services_HealthVisitor)</f>
        <v/>
      </c>
      <c r="BM121" s="508" t="str">
        <f>IF(Year3_Southampton Year3_ReferralSource_Health_services_HealthVisitor="","",Year3_Southampton Year3_ReferralSource_Health_services_HealthVisitor)</f>
        <v/>
      </c>
      <c r="BN121" s="508" t="str">
        <f>IF(Year4_Southampton Year4_ReferralSource_Health_services_HealthVisitor="","",Year4_Southampton Year4_ReferralSource_Health_services_HealthVisitor)</f>
        <v/>
      </c>
      <c r="BO121" s="509" t="str">
        <f>IF(Year5_Southampton Year5_ReferralSource_Health_services_HealthVisitor="","",Year5_Southampton Year5_ReferralSource_Health_services_HealthVisitor)</f>
        <v/>
      </c>
      <c r="BP121" s="507" t="str">
        <f>IF(Year1_Southampton Year1_ReferralSource_Health_services_SchoolNurse="","",Year1_Southampton Year1_ReferralSource_Health_services_SchoolNurse)</f>
        <v/>
      </c>
      <c r="BQ121" s="508" t="str">
        <f>IF(Year2_Southampton Year2_ReferralSource_Health_services_SchoolNurse="","",Year2_Southampton Year2_ReferralSource_Health_services_SchoolNurse)</f>
        <v/>
      </c>
      <c r="BR121" s="508" t="str">
        <f>IF(Year3_Southampton Year3_ReferralSource_Health_services_SchoolNurse="","",Year3_Southampton Year3_ReferralSource_Health_services_SchoolNurse)</f>
        <v/>
      </c>
      <c r="BS121" s="508" t="str">
        <f>IF(Year4_Southampton Year4_ReferralSource_Health_services_SchoolNurse="","",Year4_Southampton Year4_ReferralSource_Health_services_SchoolNurse)</f>
        <v/>
      </c>
      <c r="BT121" s="509" t="str">
        <f>IF(Year5_Southampton Year5_ReferralSource_Health_services_SchoolNurse="","",Year5_Southampton Year5_ReferralSource_Health_services_SchoolNurse)</f>
        <v/>
      </c>
      <c r="BU121" s="507" t="str">
        <f>IF(Year1_Southampton Year1_ReferralSource_Health_services_OthPrimary="","",Year1_Southampton Year1_ReferralSource_Health_services_OthPrimary)</f>
        <v/>
      </c>
      <c r="BV121" s="508" t="str">
        <f>IF(Year2_Southampton Year2_ReferralSource_Health_services_OthPrimary="","",Year2_Southampton Year2_ReferralSource_Health_services_OthPrimary)</f>
        <v/>
      </c>
      <c r="BW121" s="508" t="str">
        <f>IF(Year3_Southampton Year3_ReferralSource_Health_services_OthPrimary="","",Year3_Southampton Year3_ReferralSource_Health_services_OthPrimary)</f>
        <v/>
      </c>
      <c r="BX121" s="508" t="str">
        <f>IF(Year4_Southampton Year4_ReferralSource_Health_services_OthPrimary="","",Year4_Southampton Year4_ReferralSource_Health_services_OthPrimary)</f>
        <v/>
      </c>
      <c r="BY121" s="509" t="str">
        <f>IF(Year5_Southampton Year5_ReferralSource_Health_services_OthPrimary="","",Year5_Southampton Year5_ReferralSource_Health_services_OthPrimary)</f>
        <v/>
      </c>
      <c r="BZ121" s="507" t="str">
        <f>IF(Year1_Southampton Year1_ReferralSource_Health_services_AE="","",Year1_Southampton Year1_ReferralSource_Health_services_AE)</f>
        <v/>
      </c>
      <c r="CA121" s="508" t="str">
        <f>IF(Year2_Southampton Year2_ReferralSource_Health_services_AE="","",Year2_Southampton Year2_ReferralSource_Health_services_AE)</f>
        <v/>
      </c>
      <c r="CB121" s="508" t="str">
        <f>IF(Year3_Southampton Year3_ReferralSource_Health_services_AE="","",Year3_Southampton Year3_ReferralSource_Health_services_AE)</f>
        <v/>
      </c>
      <c r="CC121" s="508" t="str">
        <f>IF(Year4_Southampton Year4_ReferralSource_Health_services_AE="","",Year4_Southampton Year4_ReferralSource_Health_services_AE)</f>
        <v/>
      </c>
      <c r="CD121" s="509" t="str">
        <f>IF(Year5_Southampton Year5_ReferralSource_Health_services_AE="","",Year5_Southampton Year5_ReferralSource_Health_services_AE)</f>
        <v/>
      </c>
      <c r="CE121" s="507" t="str">
        <f>IF(Year1_Southampton Year1_ReferralSource_Health_services_Other="","",Year1_Southampton Year1_ReferralSource_Health_services_Other)</f>
        <v/>
      </c>
      <c r="CF121" s="508" t="str">
        <f>IF(Year2_Southampton Year2_ReferralSource_Health_services_Other="","",Year2_Southampton Year2_ReferralSource_Health_services_Other)</f>
        <v/>
      </c>
      <c r="CG121" s="508" t="str">
        <f>IF(Year3_Southampton Year3_ReferralSource_Health_services_Other="","",Year3_Southampton Year3_ReferralSource_Health_services_Other)</f>
        <v/>
      </c>
      <c r="CH121" s="508" t="str">
        <f>IF(Year4_Southampton Year4_ReferralSource_Health_services_Other="","",Year4_Southampton Year4_ReferralSource_Health_services_Other)</f>
        <v/>
      </c>
      <c r="CI121" s="509" t="str">
        <f>IF(Year5_Southampton Year5_ReferralSource_Health_services_Other="","",Year5_Southampton Year5_ReferralSource_Health_services_Other)</f>
        <v/>
      </c>
      <c r="CJ121" s="490">
        <f>IF(Year1_Southampton Year1_ReferralSource_Housing="","",Year1_Southampton Year1_ReferralSource_Housing)</f>
        <v>28</v>
      </c>
      <c r="CK121" s="491">
        <f>IF(Year2_Southampton Year2_ReferralSource_Housing="","",Year2_Southampton Year2_ReferralSource_Housing)</f>
        <v>0</v>
      </c>
      <c r="CL121" s="491" t="str">
        <f>IF(Year3_Southampton Year3_ReferralSource_Housing="","",Year3_Southampton Year3_ReferralSource_Housing)</f>
        <v>c</v>
      </c>
      <c r="CM121" s="491">
        <f>IF(Year4_Southampton Year4_ReferralSource_Housing="","",Year4_Southampton Year4_ReferralSource_Housing)</f>
        <v>35</v>
      </c>
      <c r="CN121" s="492">
        <f>IF(Year5_Southampton Year5_ReferralSource_Housing="","",Year5_Southampton Year5_ReferralSource_Housing)</f>
        <v>28</v>
      </c>
      <c r="CO121" s="490">
        <f>IF(Year1_Southampton Year1_ReferralSource_LA_SC="","",Year1_Southampton Year1_ReferralSource_LA_SC)</f>
        <v>980</v>
      </c>
      <c r="CP121" s="491">
        <f>IF(Year2_Southampton Year2_ReferralSource_LA_SC="","",Year2_Southampton Year2_ReferralSource_LA_SC)</f>
        <v>925</v>
      </c>
      <c r="CQ121" s="491">
        <f>IF(Year3_Southampton Year3_ReferralSource_LA_SC="","",Year3_Southampton Year3_ReferralSource_LA_SC)</f>
        <v>522</v>
      </c>
      <c r="CR121" s="491">
        <f>IF(Year4_Southampton Year4_ReferralSource_LA_SC="","",Year4_Southampton Year4_ReferralSource_LA_SC)</f>
        <v>618</v>
      </c>
      <c r="CS121" s="492">
        <f>IF(Year5_Southampton Year5_ReferralSource_LA_SC="","",Year5_Southampton Year5_ReferralSource_LA_SC)</f>
        <v>419</v>
      </c>
      <c r="CT121" s="490" t="str">
        <f>IF(Year1_Southampton Year1_ReferralSource_LA_Other="","",Year1_Southampton Year1_ReferralSource_LA_Other)</f>
        <v/>
      </c>
      <c r="CU121" s="491" t="str">
        <f>IF(Year2_Southampton Year2_ReferralSource_LA_Other="","",Year2_Southampton Year2_ReferralSource_LA_Other)</f>
        <v/>
      </c>
      <c r="CV121" s="491" t="str">
        <f>IF(Year3_Southampton Year3_ReferralSource_LA_Other="","",Year3_Southampton Year3_ReferralSource_LA_Other)</f>
        <v/>
      </c>
      <c r="CW121" s="491" t="str">
        <f>IF(Year4_Southampton Year4_ReferralSource_LA_Other="","",Year4_Southampton Year4_ReferralSource_LA_Other)</f>
        <v/>
      </c>
      <c r="CX121" s="492" t="str">
        <f>IF(Year5_Southampton Year5_ReferralSource_LA_Other="","",Year5_Southampton Year5_ReferralSource_LA_Other)</f>
        <v/>
      </c>
      <c r="CY121" s="490" t="str">
        <f>IF(Year1_Southampton Year1_ReferralSource_LA_External="","",Year1_Southampton Year1_ReferralSource_LA_External)</f>
        <v/>
      </c>
      <c r="CZ121" s="491" t="str">
        <f>IF(Year2_Southampton Year2_ReferralSource_LA_External="","",Year2_Southampton Year2_ReferralSource_LA_External)</f>
        <v/>
      </c>
      <c r="DA121" s="491" t="str">
        <f>IF(Year3_Southampton Year3_ReferralSource_LA_External="","",Year3_Southampton Year3_ReferralSource_LA_External)</f>
        <v/>
      </c>
      <c r="DB121" s="491" t="str">
        <f>IF(Year4_Southampton Year4_ReferralSource_LA_External="","",Year4_Southampton Year4_ReferralSource_LA_External)</f>
        <v/>
      </c>
      <c r="DC121" s="492" t="str">
        <f>IF(Year5_Southampton Year5_ReferralSource_LA_External="","",Year5_Southampton Year5_ReferralSource_LA_External)</f>
        <v/>
      </c>
      <c r="DD121" s="490">
        <f>IF(Year1_Southampton Year1_ReferralSource_Police="","",Year1_Southampton Year1_ReferralSource_Police)</f>
        <v>1369</v>
      </c>
      <c r="DE121" s="491">
        <f>IF(Year2_Southampton Year2_ReferralSource_Police="","",Year2_Southampton Year2_ReferralSource_Police)</f>
        <v>1394</v>
      </c>
      <c r="DF121" s="491">
        <f>IF(Year3_Southampton Year3_ReferralSource_Police="","",Year3_Southampton Year3_ReferralSource_Police)</f>
        <v>972</v>
      </c>
      <c r="DG121" s="491">
        <f>IF(Year4_Southampton Year4_ReferralSource_Police="","",Year4_Southampton Year4_ReferralSource_Police)</f>
        <v>959</v>
      </c>
      <c r="DH121" s="492">
        <f>IF(Year5_Southampton Year5_ReferralSource_Police="","",Year5_Southampton Year5_ReferralSource_Police)</f>
        <v>852</v>
      </c>
      <c r="DI121" s="490">
        <f>IF(Year1_Southampton Year1_ReferralSource_Other_Legal="","",Year1_Southampton Year1_ReferralSource_Other_Legal)</f>
        <v>54</v>
      </c>
      <c r="DJ121" s="491">
        <f>IF(Year2_Southampton Year2_ReferralSource_Other_Legal="","",Year2_Southampton Year2_ReferralSource_Other_Legal)</f>
        <v>44</v>
      </c>
      <c r="DK121" s="491">
        <f>IF(Year3_Southampton Year3_ReferralSource_Other_Legal="","",Year3_Southampton Year3_ReferralSource_Other_Legal)</f>
        <v>30</v>
      </c>
      <c r="DL121" s="491">
        <f>IF(Year4_Southampton Year4_ReferralSource_Other_Legal="","",Year4_Southampton Year4_ReferralSource_Other_Legal)</f>
        <v>98</v>
      </c>
      <c r="DM121" s="492">
        <f>IF(Year5_Southampton Year5_ReferralSource_Other_Legal="","",Year5_Southampton Year5_ReferralSource_Other_Legal)</f>
        <v>104</v>
      </c>
      <c r="DN121" s="490">
        <f>IF(Year1_Southampton Year1_ReferralSource_Other="","",Year1_Southampton Year1_ReferralSource_Other)</f>
        <v>300</v>
      </c>
      <c r="DO121" s="491">
        <f>IF(Year2_Southampton Year2_ReferralSource_Other="","",Year2_Southampton Year2_ReferralSource_Other)</f>
        <v>219</v>
      </c>
      <c r="DP121" s="491">
        <f>IF(Year3_Southampton Year3_ReferralSource_Other="","",Year3_Southampton Year3_ReferralSource_Other)</f>
        <v>189</v>
      </c>
      <c r="DQ121" s="491">
        <f>IF(Year4_Southampton Year4_ReferralSource_Other="","",Year4_Southampton Year4_ReferralSource_Other)</f>
        <v>108</v>
      </c>
      <c r="DR121" s="492">
        <f>IF(Year5_Southampton Year5_ReferralSource_Other="","",Year5_Southampton Year5_ReferralSource_Other)</f>
        <v>118</v>
      </c>
      <c r="DS121" s="490">
        <f>IF(Year1_Southampton Year1_ReferralSource_Anonymous="","",Year1_Southampton Year1_ReferralSource_Anonymous)</f>
        <v>163</v>
      </c>
      <c r="DT121" s="491">
        <f>IF(Year2_Southampton Year2_ReferralSource_Anonymous="","",Year2_Southampton Year2_ReferralSource_Anonymous)</f>
        <v>117</v>
      </c>
      <c r="DU121" s="491">
        <f>IF(Year3_Southampton Year3_ReferralSource_Anonymous="","",Year3_Southampton Year3_ReferralSource_Anonymous)</f>
        <v>109</v>
      </c>
      <c r="DV121" s="491">
        <f>IF(Year4_Southampton Year4_ReferralSource_Anonymous="","",Year4_Southampton Year4_ReferralSource_Anonymous)</f>
        <v>37</v>
      </c>
      <c r="DW121" s="492">
        <f>IF(Year5_Southampton Year5_ReferralSource_Anonymous="","",Year5_Southampton Year5_ReferralSource_Anonymous)</f>
        <v>21</v>
      </c>
      <c r="DX121" s="490">
        <f>IF(Year1_Southampton Year1_ReferralSource_Unknown="","",Year1_Southampton Year1_ReferralSource_Unknown)</f>
        <v>12</v>
      </c>
      <c r="DY121" s="491">
        <f>IF(Year2_Southampton Year2_ReferralSource_Unknown="","",Year2_Southampton Year2_ReferralSource_Unknown)</f>
        <v>18</v>
      </c>
      <c r="DZ121" s="491">
        <f>IF(Year3_Southampton Year3_ReferralSource_Unknown="","",Year3_Southampton Year3_ReferralSource_Unknown)</f>
        <v>470</v>
      </c>
      <c r="EA121" s="491">
        <f>IF(Year4_Southampton Year4_ReferralSource_Unknown="","",Year4_Southampton Year4_ReferralSource_Unknown)</f>
        <v>0</v>
      </c>
      <c r="EB121" s="492">
        <f>IF(Year5_Southampton Year5_ReferralSource_Unknown="","",Year5_Southampton Year5_ReferralSource_Unknown)</f>
        <v>0</v>
      </c>
    </row>
    <row r="122" spans="1:133" s="56" customFormat="1" ht="11.25" customHeight="1">
      <c r="A122" s="1337"/>
      <c r="B122" s="1338"/>
      <c r="C122" s="1338"/>
      <c r="D122" s="1338"/>
      <c r="E122" s="1338"/>
      <c r="F122" s="1338"/>
      <c r="G122" s="1338"/>
      <c r="H122" s="1338"/>
      <c r="I122" s="1338"/>
      <c r="J122" s="1338"/>
      <c r="K122" s="1338"/>
      <c r="L122" s="1338"/>
      <c r="M122" s="1338"/>
      <c r="N122" s="1338"/>
      <c r="O122" s="1338"/>
      <c r="P122" s="1338"/>
      <c r="Q122" s="1338"/>
      <c r="R122" s="1338"/>
      <c r="S122" s="1338"/>
      <c r="T122" s="1338"/>
      <c r="U122" s="1338"/>
      <c r="V122" s="1338"/>
      <c r="W122" s="1338"/>
      <c r="X122" s="1338"/>
      <c r="Y122" s="1339"/>
      <c r="Z122" s="185"/>
      <c r="AB122" s="493">
        <f>IF(Year1_Surrey Year1_ReferralSource_Individual_Family="","",Year1_Surrey Year1_ReferralSource_Individual_Family)</f>
        <v>613</v>
      </c>
      <c r="AC122" s="494">
        <f>IF(Year2_Surrey Year2_ReferralSource_Individual_Family="","",Year2_Surrey Year2_ReferralSource_Individual_Family)</f>
        <v>844</v>
      </c>
      <c r="AD122" s="494">
        <f>IF(Year3_Surrey Year3_ReferralSource_Individual_Family="","",Year3_Surrey Year3_ReferralSource_Individual_Family)</f>
        <v>652</v>
      </c>
      <c r="AE122" s="494">
        <f>IF(Year4_Surrey Year4_ReferralSource_Individual_Family="","",Year4_Surrey Year4_ReferralSource_Individual_Family)</f>
        <v>491</v>
      </c>
      <c r="AF122" s="495">
        <f>IF(Year5_Surrey Year5_ReferralSource_Individual_Family="","",Year5_Surrey Year5_ReferralSource_Individual_Family)</f>
        <v>517</v>
      </c>
      <c r="AG122" s="493" t="str">
        <f>IF(Year1_Surrey Year1_ReferralSource_Individual_Acquaintance="","",Year1_Surrey Year1_ReferralSource_Individual_Acquaintance)</f>
        <v/>
      </c>
      <c r="AH122" s="494" t="str">
        <f>IF(Year2_Surrey Year2_ReferralSource_Individual_Acquaintance="","",Year2_Surrey Year2_ReferralSource_Individual_Acquaintance)</f>
        <v/>
      </c>
      <c r="AI122" s="494" t="str">
        <f>IF(Year3_Surrey Year3_ReferralSource_Individual_Acquaintance="","",Year3_Surrey Year3_ReferralSource_Individual_Acquaintance)</f>
        <v/>
      </c>
      <c r="AJ122" s="494" t="str">
        <f>IF(Year4_Surrey Year4_ReferralSource_Individual_Acquaintance="","",Year4_Surrey Year4_ReferralSource_Individual_Acquaintance)</f>
        <v/>
      </c>
      <c r="AK122" s="495" t="str">
        <f>IF(Year5_Surrey Year5_ReferralSource_Individual_Acquaintance="","",Year5_Surrey Year5_ReferralSource_Individual_Acquaintance)</f>
        <v/>
      </c>
      <c r="AL122" s="493" t="str">
        <f>IF(Year1_Surrey Year1_ReferralSource_Individual_Self="","",Year1_Surrey Year1_ReferralSource_Individual_Self)</f>
        <v/>
      </c>
      <c r="AM122" s="494" t="str">
        <f>IF(Year2_Surrey Year2_ReferralSource_Individual_Self="","",Year2_Surrey Year2_ReferralSource_Individual_Self)</f>
        <v/>
      </c>
      <c r="AN122" s="494" t="str">
        <f>IF(Year3_Surrey Year3_ReferralSource_Individual_Self="","",Year3_Surrey Year3_ReferralSource_Individual_Self)</f>
        <v/>
      </c>
      <c r="AO122" s="494" t="str">
        <f>IF(Year4_Surrey Year4_ReferralSource_Individual_Self="","",Year4_Surrey Year4_ReferralSource_Individual_Self)</f>
        <v/>
      </c>
      <c r="AP122" s="495" t="str">
        <f>IF(Year5_Surrey Year5_ReferralSource_Individual_Self="","",Year5_Surrey Year5_ReferralSource_Individual_Self)</f>
        <v/>
      </c>
      <c r="AQ122" s="493" t="str">
        <f>IF(Year1_Surrey Year1_ReferralSource_Individual_Other="","",Year1_Surrey Year1_ReferralSource_Individual_Other)</f>
        <v/>
      </c>
      <c r="AR122" s="494" t="str">
        <f>IF(Year2_Surrey Year2_ReferralSource_Individual_Other="","",Year2_Surrey Year2_ReferralSource_Individual_Other)</f>
        <v/>
      </c>
      <c r="AS122" s="494" t="str">
        <f>IF(Year3_Surrey Year3_ReferralSource_Individual_Other="","",Year3_Surrey Year3_ReferralSource_Individual_Other)</f>
        <v/>
      </c>
      <c r="AT122" s="494" t="str">
        <f>IF(Year4_Surrey Year4_ReferralSource_Individual_Other="","",Year4_Surrey Year4_ReferralSource_Individual_Other)</f>
        <v/>
      </c>
      <c r="AU122" s="495" t="str">
        <f>IF(Year5_Surrey Year5_ReferralSource_Individual_Other="","",Year5_Surrey Year5_ReferralSource_Individual_Other)</f>
        <v/>
      </c>
      <c r="AV122" s="493">
        <f>IF(Year1_Surrey Year1_ReferralSource_School="","",Year1_Surrey Year1_ReferralSource_School)</f>
        <v>1534</v>
      </c>
      <c r="AW122" s="494">
        <f>IF(Year2_Surrey Year2_ReferralSource_School="","",Year2_Surrey Year2_ReferralSource_School)</f>
        <v>1374</v>
      </c>
      <c r="AX122" s="494">
        <f>IF(Year3_Surrey Year3_ReferralSource_School="","",Year3_Surrey Year3_ReferralSource_School)</f>
        <v>1796</v>
      </c>
      <c r="AY122" s="494">
        <f>IF(Year4_Surrey Year4_ReferralSource_School="","",Year4_Surrey Year4_ReferralSource_School)</f>
        <v>1285</v>
      </c>
      <c r="AZ122" s="495">
        <f>IF(Year5_Surrey Year5_ReferralSource_School="","",Year5_Surrey Year5_ReferralSource_School)</f>
        <v>1503</v>
      </c>
      <c r="BA122" s="493">
        <f>IF(Year1_Surrey Year1_ReferralSource_EducationServices="","",Year1_Surrey Year1_ReferralSource_EducationServices)</f>
        <v>101</v>
      </c>
      <c r="BB122" s="494">
        <f>IF(Year2_Surrey Year2_ReferralSource_EducationServices="","",Year2_Surrey Year2_ReferralSource_EducationServices)</f>
        <v>70</v>
      </c>
      <c r="BC122" s="494">
        <f>IF(Year3_Surrey Year3_ReferralSource_EducationServices="","",Year3_Surrey Year3_ReferralSource_EducationServices)</f>
        <v>90</v>
      </c>
      <c r="BD122" s="494">
        <f>IF(Year4_Surrey Year4_ReferralSource_EducationServices="","",Year4_Surrey Year4_ReferralSource_EducationServices)</f>
        <v>113</v>
      </c>
      <c r="BE122" s="495">
        <f>IF(Year5_Surrey Year5_ReferralSource_EducationServices="","",Year5_Surrey Year5_ReferralSource_EducationServices)</f>
        <v>116</v>
      </c>
      <c r="BF122" s="504">
        <f>IF(Year1_Surrey Year1_ReferralSource_Health_services_GP="","",Year1_Surrey Year1_ReferralSource_Health_services_GP)</f>
        <v>1344</v>
      </c>
      <c r="BG122" s="505">
        <f>IF(Year2_Surrey Year2_ReferralSource_Health_services_GP="","",Year2_Surrey Year2_ReferralSource_Health_services_GP)</f>
        <v>1882</v>
      </c>
      <c r="BH122" s="505">
        <f>IF(Year3_Surrey Year3_ReferralSource_Health_services_GP="","",Year3_Surrey Year3_ReferralSource_Health_services_GP)</f>
        <v>1608</v>
      </c>
      <c r="BI122" s="505">
        <f>IF(Year4_Surrey Year4_ReferralSource_Health_services_GP="","",Year4_Surrey Year4_ReferralSource_Health_services_GP)</f>
        <v>1120</v>
      </c>
      <c r="BJ122" s="506">
        <f>IF(Year5_Surrey Year5_ReferralSource_Health_services_GP="","",Year5_Surrey Year5_ReferralSource_Health_services_GP)</f>
        <v>1283</v>
      </c>
      <c r="BK122" s="504" t="str">
        <f>IF(Year1_Surrey Year1_ReferralSource_Health_services_HealthVisitor="","",Year1_Surrey Year1_ReferralSource_Health_services_HealthVisitor)</f>
        <v/>
      </c>
      <c r="BL122" s="505" t="str">
        <f>IF(Year2_Surrey Year2_ReferralSource_Health_services_HealthVisitor="","",Year2_Surrey Year2_ReferralSource_Health_services_HealthVisitor)</f>
        <v/>
      </c>
      <c r="BM122" s="505" t="str">
        <f>IF(Year3_Surrey Year3_ReferralSource_Health_services_HealthVisitor="","",Year3_Surrey Year3_ReferralSource_Health_services_HealthVisitor)</f>
        <v/>
      </c>
      <c r="BN122" s="505" t="str">
        <f>IF(Year4_Surrey Year4_ReferralSource_Health_services_HealthVisitor="","",Year4_Surrey Year4_ReferralSource_Health_services_HealthVisitor)</f>
        <v/>
      </c>
      <c r="BO122" s="506" t="str">
        <f>IF(Year5_Surrey Year5_ReferralSource_Health_services_HealthVisitor="","",Year5_Surrey Year5_ReferralSource_Health_services_HealthVisitor)</f>
        <v/>
      </c>
      <c r="BP122" s="504" t="str">
        <f>IF(Year1_Surrey Year1_ReferralSource_Health_services_SchoolNurse="","",Year1_Surrey Year1_ReferralSource_Health_services_SchoolNurse)</f>
        <v/>
      </c>
      <c r="BQ122" s="505" t="str">
        <f>IF(Year2_Surrey Year2_ReferralSource_Health_services_SchoolNurse="","",Year2_Surrey Year2_ReferralSource_Health_services_SchoolNurse)</f>
        <v/>
      </c>
      <c r="BR122" s="505" t="str">
        <f>IF(Year3_Surrey Year3_ReferralSource_Health_services_SchoolNurse="","",Year3_Surrey Year3_ReferralSource_Health_services_SchoolNurse)</f>
        <v/>
      </c>
      <c r="BS122" s="505" t="str">
        <f>IF(Year4_Surrey Year4_ReferralSource_Health_services_SchoolNurse="","",Year4_Surrey Year4_ReferralSource_Health_services_SchoolNurse)</f>
        <v/>
      </c>
      <c r="BT122" s="506" t="str">
        <f>IF(Year5_Surrey Year5_ReferralSource_Health_services_SchoolNurse="","",Year5_Surrey Year5_ReferralSource_Health_services_SchoolNurse)</f>
        <v/>
      </c>
      <c r="BU122" s="504" t="str">
        <f>IF(Year1_Surrey Year1_ReferralSource_Health_services_OthPrimary="","",Year1_Surrey Year1_ReferralSource_Health_services_OthPrimary)</f>
        <v/>
      </c>
      <c r="BV122" s="505" t="str">
        <f>IF(Year2_Surrey Year2_ReferralSource_Health_services_OthPrimary="","",Year2_Surrey Year2_ReferralSource_Health_services_OthPrimary)</f>
        <v/>
      </c>
      <c r="BW122" s="505" t="str">
        <f>IF(Year3_Surrey Year3_ReferralSource_Health_services_OthPrimary="","",Year3_Surrey Year3_ReferralSource_Health_services_OthPrimary)</f>
        <v/>
      </c>
      <c r="BX122" s="505" t="str">
        <f>IF(Year4_Surrey Year4_ReferralSource_Health_services_OthPrimary="","",Year4_Surrey Year4_ReferralSource_Health_services_OthPrimary)</f>
        <v/>
      </c>
      <c r="BY122" s="506" t="str">
        <f>IF(Year5_Surrey Year5_ReferralSource_Health_services_OthPrimary="","",Year5_Surrey Year5_ReferralSource_Health_services_OthPrimary)</f>
        <v/>
      </c>
      <c r="BZ122" s="504" t="str">
        <f>IF(Year1_Surrey Year1_ReferralSource_Health_services_AE="","",Year1_Surrey Year1_ReferralSource_Health_services_AE)</f>
        <v/>
      </c>
      <c r="CA122" s="505" t="str">
        <f>IF(Year2_Surrey Year2_ReferralSource_Health_services_AE="","",Year2_Surrey Year2_ReferralSource_Health_services_AE)</f>
        <v/>
      </c>
      <c r="CB122" s="505" t="str">
        <f>IF(Year3_Surrey Year3_ReferralSource_Health_services_AE="","",Year3_Surrey Year3_ReferralSource_Health_services_AE)</f>
        <v/>
      </c>
      <c r="CC122" s="505" t="str">
        <f>IF(Year4_Surrey Year4_ReferralSource_Health_services_AE="","",Year4_Surrey Year4_ReferralSource_Health_services_AE)</f>
        <v/>
      </c>
      <c r="CD122" s="506" t="str">
        <f>IF(Year5_Surrey Year5_ReferralSource_Health_services_AE="","",Year5_Surrey Year5_ReferralSource_Health_services_AE)</f>
        <v/>
      </c>
      <c r="CE122" s="504" t="str">
        <f>IF(Year1_Surrey Year1_ReferralSource_Health_services_Other="","",Year1_Surrey Year1_ReferralSource_Health_services_Other)</f>
        <v/>
      </c>
      <c r="CF122" s="505" t="str">
        <f>IF(Year2_Surrey Year2_ReferralSource_Health_services_Other="","",Year2_Surrey Year2_ReferralSource_Health_services_Other)</f>
        <v/>
      </c>
      <c r="CG122" s="505" t="str">
        <f>IF(Year3_Surrey Year3_ReferralSource_Health_services_Other="","",Year3_Surrey Year3_ReferralSource_Health_services_Other)</f>
        <v/>
      </c>
      <c r="CH122" s="505" t="str">
        <f>IF(Year4_Surrey Year4_ReferralSource_Health_services_Other="","",Year4_Surrey Year4_ReferralSource_Health_services_Other)</f>
        <v/>
      </c>
      <c r="CI122" s="506" t="str">
        <f>IF(Year5_Surrey Year5_ReferralSource_Health_services_Other="","",Year5_Surrey Year5_ReferralSource_Health_services_Other)</f>
        <v/>
      </c>
      <c r="CJ122" s="493">
        <f>IF(Year1_Surrey Year1_ReferralSource_Housing="","",Year1_Surrey Year1_ReferralSource_Housing)</f>
        <v>101</v>
      </c>
      <c r="CK122" s="494">
        <f>IF(Year2_Surrey Year2_ReferralSource_Housing="","",Year2_Surrey Year2_ReferralSource_Housing)</f>
        <v>62</v>
      </c>
      <c r="CL122" s="494" t="str">
        <f>IF(Year3_Surrey Year3_ReferralSource_Housing="","",Year3_Surrey Year3_ReferralSource_Housing)</f>
        <v>c</v>
      </c>
      <c r="CM122" s="494">
        <f>IF(Year4_Surrey Year4_ReferralSource_Housing="","",Year4_Surrey Year4_ReferralSource_Housing)</f>
        <v>91</v>
      </c>
      <c r="CN122" s="495">
        <f>IF(Year5_Surrey Year5_ReferralSource_Housing="","",Year5_Surrey Year5_ReferralSource_Housing)</f>
        <v>81</v>
      </c>
      <c r="CO122" s="493">
        <f>IF(Year1_Surrey Year1_ReferralSource_LA_SC="","",Year1_Surrey Year1_ReferralSource_LA_SC)</f>
        <v>1066</v>
      </c>
      <c r="CP122" s="494">
        <f>IF(Year2_Surrey Year2_ReferralSource_LA_SC="","",Year2_Surrey Year2_ReferralSource_LA_SC)</f>
        <v>1057</v>
      </c>
      <c r="CQ122" s="494">
        <f>IF(Year3_Surrey Year3_ReferralSource_LA_SC="","",Year3_Surrey Year3_ReferralSource_LA_SC)</f>
        <v>1041</v>
      </c>
      <c r="CR122" s="494">
        <f>IF(Year4_Surrey Year4_ReferralSource_LA_SC="","",Year4_Surrey Year4_ReferralSource_LA_SC)</f>
        <v>915</v>
      </c>
      <c r="CS122" s="495">
        <f>IF(Year5_Surrey Year5_ReferralSource_LA_SC="","",Year5_Surrey Year5_ReferralSource_LA_SC)</f>
        <v>929</v>
      </c>
      <c r="CT122" s="493" t="str">
        <f>IF(Year1_Surrey Year1_ReferralSource_LA_Other="","",Year1_Surrey Year1_ReferralSource_LA_Other)</f>
        <v/>
      </c>
      <c r="CU122" s="494" t="str">
        <f>IF(Year2_Surrey Year2_ReferralSource_LA_Other="","",Year2_Surrey Year2_ReferralSource_LA_Other)</f>
        <v/>
      </c>
      <c r="CV122" s="494" t="str">
        <f>IF(Year3_Surrey Year3_ReferralSource_LA_Other="","",Year3_Surrey Year3_ReferralSource_LA_Other)</f>
        <v/>
      </c>
      <c r="CW122" s="494" t="str">
        <f>IF(Year4_Surrey Year4_ReferralSource_LA_Other="","",Year4_Surrey Year4_ReferralSource_LA_Other)</f>
        <v/>
      </c>
      <c r="CX122" s="495" t="str">
        <f>IF(Year5_Surrey Year5_ReferralSource_LA_Other="","",Year5_Surrey Year5_ReferralSource_LA_Other)</f>
        <v/>
      </c>
      <c r="CY122" s="493" t="str">
        <f>IF(Year1_Surrey Year1_ReferralSource_LA_External="","",Year1_Surrey Year1_ReferralSource_LA_External)</f>
        <v/>
      </c>
      <c r="CZ122" s="494" t="str">
        <f>IF(Year2_Surrey Year2_ReferralSource_LA_External="","",Year2_Surrey Year2_ReferralSource_LA_External)</f>
        <v/>
      </c>
      <c r="DA122" s="494" t="str">
        <f>IF(Year3_Surrey Year3_ReferralSource_LA_External="","",Year3_Surrey Year3_ReferralSource_LA_External)</f>
        <v/>
      </c>
      <c r="DB122" s="494" t="str">
        <f>IF(Year4_Surrey Year4_ReferralSource_LA_External="","",Year4_Surrey Year4_ReferralSource_LA_External)</f>
        <v/>
      </c>
      <c r="DC122" s="495" t="str">
        <f>IF(Year5_Surrey Year5_ReferralSource_LA_External="","",Year5_Surrey Year5_ReferralSource_LA_External)</f>
        <v/>
      </c>
      <c r="DD122" s="493">
        <f>IF(Year1_Surrey Year1_ReferralSource_Police="","",Year1_Surrey Year1_ReferralSource_Police)</f>
        <v>2844</v>
      </c>
      <c r="DE122" s="494">
        <f>IF(Year2_Surrey Year2_ReferralSource_Police="","",Year2_Surrey Year2_ReferralSource_Police)</f>
        <v>3924</v>
      </c>
      <c r="DF122" s="494">
        <f>IF(Year3_Surrey Year3_ReferralSource_Police="","",Year3_Surrey Year3_ReferralSource_Police)</f>
        <v>2810</v>
      </c>
      <c r="DG122" s="494">
        <f>IF(Year4_Surrey Year4_ReferralSource_Police="","",Year4_Surrey Year4_ReferralSource_Police)</f>
        <v>2172</v>
      </c>
      <c r="DH122" s="495">
        <f>IF(Year5_Surrey Year5_ReferralSource_Police="","",Year5_Surrey Year5_ReferralSource_Police)</f>
        <v>2275</v>
      </c>
      <c r="DI122" s="493">
        <f>IF(Year1_Surrey Year1_ReferralSource_Other_Legal="","",Year1_Surrey Year1_ReferralSource_Other_Legal)</f>
        <v>300</v>
      </c>
      <c r="DJ122" s="494">
        <f>IF(Year2_Surrey Year2_ReferralSource_Other_Legal="","",Year2_Surrey Year2_ReferralSource_Other_Legal)</f>
        <v>348</v>
      </c>
      <c r="DK122" s="494">
        <f>IF(Year3_Surrey Year3_ReferralSource_Other_Legal="","",Year3_Surrey Year3_ReferralSource_Other_Legal)</f>
        <v>343</v>
      </c>
      <c r="DL122" s="494">
        <f>IF(Year4_Surrey Year4_ReferralSource_Other_Legal="","",Year4_Surrey Year4_ReferralSource_Other_Legal)</f>
        <v>240</v>
      </c>
      <c r="DM122" s="495">
        <f>IF(Year5_Surrey Year5_ReferralSource_Other_Legal="","",Year5_Surrey Year5_ReferralSource_Other_Legal)</f>
        <v>261</v>
      </c>
      <c r="DN122" s="493">
        <f>IF(Year1_Surrey Year1_ReferralSource_Other="","",Year1_Surrey Year1_ReferralSource_Other)</f>
        <v>382</v>
      </c>
      <c r="DO122" s="494">
        <f>IF(Year2_Surrey Year2_ReferralSource_Other="","",Year2_Surrey Year2_ReferralSource_Other)</f>
        <v>622</v>
      </c>
      <c r="DP122" s="494">
        <f>IF(Year3_Surrey Year3_ReferralSource_Other="","",Year3_Surrey Year3_ReferralSource_Other)</f>
        <v>603</v>
      </c>
      <c r="DQ122" s="494">
        <f>IF(Year4_Surrey Year4_ReferralSource_Other="","",Year4_Surrey Year4_ReferralSource_Other)</f>
        <v>563</v>
      </c>
      <c r="DR122" s="495">
        <f>IF(Year5_Surrey Year5_ReferralSource_Other="","",Year5_Surrey Year5_ReferralSource_Other)</f>
        <v>626</v>
      </c>
      <c r="DS122" s="493">
        <f>IF(Year1_Surrey Year1_ReferralSource_Anonymous="","",Year1_Surrey Year1_ReferralSource_Anonymous)</f>
        <v>234</v>
      </c>
      <c r="DT122" s="494">
        <f>IF(Year2_Surrey Year2_ReferralSource_Anonymous="","",Year2_Surrey Year2_ReferralSource_Anonymous)</f>
        <v>245</v>
      </c>
      <c r="DU122" s="494">
        <f>IF(Year3_Surrey Year3_ReferralSource_Anonymous="","",Year3_Surrey Year3_ReferralSource_Anonymous)</f>
        <v>231</v>
      </c>
      <c r="DV122" s="494">
        <f>IF(Year4_Surrey Year4_ReferralSource_Anonymous="","",Year4_Surrey Year4_ReferralSource_Anonymous)</f>
        <v>123</v>
      </c>
      <c r="DW122" s="495">
        <f>IF(Year5_Surrey Year5_ReferralSource_Anonymous="","",Year5_Surrey Year5_ReferralSource_Anonymous)</f>
        <v>91</v>
      </c>
      <c r="DX122" s="493">
        <f>IF(Year1_Surrey Year1_ReferralSource_Unknown="","",Year1_Surrey Year1_ReferralSource_Unknown)</f>
        <v>0</v>
      </c>
      <c r="DY122" s="494">
        <f>IF(Year2_Surrey Year2_ReferralSource_Unknown="","",Year2_Surrey Year2_ReferralSource_Unknown)</f>
        <v>0</v>
      </c>
      <c r="DZ122" s="494" t="str">
        <f>IF(Year3_Surrey Year3_ReferralSource_Unknown="","",Year3_Surrey Year3_ReferralSource_Unknown)</f>
        <v>c</v>
      </c>
      <c r="EA122" s="494">
        <f>IF(Year4_Surrey Year4_ReferralSource_Unknown="","",Year4_Surrey Year4_ReferralSource_Unknown)</f>
        <v>0</v>
      </c>
      <c r="EB122" s="495">
        <f>IF(Year5_Surrey Year5_ReferralSource_Unknown="","",Year5_Surrey Year5_ReferralSource_Unknown)</f>
        <v>0</v>
      </c>
    </row>
    <row r="123" spans="1:133" s="56" customFormat="1" ht="11.25" customHeight="1">
      <c r="A123" s="106"/>
      <c r="B123" s="5"/>
      <c r="C123" s="5"/>
      <c r="D123" s="5"/>
      <c r="E123" s="5"/>
      <c r="F123" s="40"/>
      <c r="G123" s="40"/>
      <c r="H123" s="40"/>
      <c r="I123" s="40"/>
      <c r="J123" s="46"/>
      <c r="K123" s="46"/>
      <c r="L123" s="46"/>
      <c r="M123" s="46"/>
      <c r="N123" s="46"/>
      <c r="O123" s="46"/>
      <c r="P123" s="46"/>
      <c r="Q123" s="46"/>
      <c r="R123" s="46"/>
      <c r="S123" s="46"/>
      <c r="T123" s="46"/>
      <c r="U123" s="46"/>
      <c r="V123" s="46"/>
      <c r="W123" s="46"/>
      <c r="X123" s="46"/>
      <c r="Y123" s="46"/>
      <c r="Z123" s="102"/>
      <c r="AB123" s="487">
        <f>IF(Year1_West_Berkshire Year1_ReferralSource_Individual_Family="","",Year1_West_Berkshire Year1_ReferralSource_Individual_Family)</f>
        <v>226</v>
      </c>
      <c r="AC123" s="488">
        <f>IF(Year2_West_Berkshire Year2_ReferralSource_Individual_Family="","",Year2_West_Berkshire Year2_ReferralSource_Individual_Family)</f>
        <v>130</v>
      </c>
      <c r="AD123" s="488">
        <f>IF(Year3_West_Berkshire Year3_ReferralSource_Individual_Family="","",Year3_West_Berkshire Year3_ReferralSource_Individual_Family)</f>
        <v>193</v>
      </c>
      <c r="AE123" s="488">
        <f>IF(Year4_West_Berkshire Year4_ReferralSource_Individual_Family="","",Year4_West_Berkshire Year4_ReferralSource_Individual_Family)</f>
        <v>186</v>
      </c>
      <c r="AF123" s="489">
        <f>IF(Year5_West_Berkshire Year5_ReferralSource_Individual_Family="","",Year5_West_Berkshire Year5_ReferralSource_Individual_Family)</f>
        <v>132</v>
      </c>
      <c r="AG123" s="487" t="str">
        <f>IF(Year1_West_Berkshire Year1_ReferralSource_Individual_Acquaintance="","",Year1_West_Berkshire Year1_ReferralSource_Individual_Acquaintance)</f>
        <v/>
      </c>
      <c r="AH123" s="488" t="str">
        <f>IF(Year2_West_Berkshire Year2_ReferralSource_Individual_Acquaintance="","",Year2_West_Berkshire Year2_ReferralSource_Individual_Acquaintance)</f>
        <v/>
      </c>
      <c r="AI123" s="488" t="str">
        <f>IF(Year3_West_Berkshire Year3_ReferralSource_Individual_Acquaintance="","",Year3_West_Berkshire Year3_ReferralSource_Individual_Acquaintance)</f>
        <v/>
      </c>
      <c r="AJ123" s="488" t="str">
        <f>IF(Year4_West_Berkshire Year4_ReferralSource_Individual_Acquaintance="","",Year4_West_Berkshire Year4_ReferralSource_Individual_Acquaintance)</f>
        <v/>
      </c>
      <c r="AK123" s="489" t="str">
        <f>IF(Year5_West_Berkshire Year5_ReferralSource_Individual_Acquaintance="","",Year5_West_Berkshire Year5_ReferralSource_Individual_Acquaintance)</f>
        <v/>
      </c>
      <c r="AL123" s="487" t="str">
        <f>IF(Year1_West_Berkshire Year1_ReferralSource_Individual_Self="","",Year1_West_Berkshire Year1_ReferralSource_Individual_Self)</f>
        <v/>
      </c>
      <c r="AM123" s="488" t="str">
        <f>IF(Year2_West_Berkshire Year2_ReferralSource_Individual_Self="","",Year2_West_Berkshire Year2_ReferralSource_Individual_Self)</f>
        <v/>
      </c>
      <c r="AN123" s="488" t="str">
        <f>IF(Year3_West_Berkshire Year3_ReferralSource_Individual_Self="","",Year3_West_Berkshire Year3_ReferralSource_Individual_Self)</f>
        <v/>
      </c>
      <c r="AO123" s="488" t="str">
        <f>IF(Year4_West_Berkshire Year4_ReferralSource_Individual_Self="","",Year4_West_Berkshire Year4_ReferralSource_Individual_Self)</f>
        <v/>
      </c>
      <c r="AP123" s="489" t="str">
        <f>IF(Year5_West_Berkshire Year5_ReferralSource_Individual_Self="","",Year5_West_Berkshire Year5_ReferralSource_Individual_Self)</f>
        <v/>
      </c>
      <c r="AQ123" s="487" t="str">
        <f>IF(Year1_West_Berkshire Year1_ReferralSource_Individual_Other="","",Year1_West_Berkshire Year1_ReferralSource_Individual_Other)</f>
        <v/>
      </c>
      <c r="AR123" s="488" t="str">
        <f>IF(Year2_West_Berkshire Year2_ReferralSource_Individual_Other="","",Year2_West_Berkshire Year2_ReferralSource_Individual_Other)</f>
        <v/>
      </c>
      <c r="AS123" s="488" t="str">
        <f>IF(Year3_West_Berkshire Year3_ReferralSource_Individual_Other="","",Year3_West_Berkshire Year3_ReferralSource_Individual_Other)</f>
        <v/>
      </c>
      <c r="AT123" s="488" t="str">
        <f>IF(Year4_West_Berkshire Year4_ReferralSource_Individual_Other="","",Year4_West_Berkshire Year4_ReferralSource_Individual_Other)</f>
        <v/>
      </c>
      <c r="AU123" s="489" t="str">
        <f>IF(Year5_West_Berkshire Year5_ReferralSource_Individual_Other="","",Year5_West_Berkshire Year5_ReferralSource_Individual_Other)</f>
        <v/>
      </c>
      <c r="AV123" s="487">
        <f>IF(Year1_West_Berkshire Year1_ReferralSource_School="","",Year1_West_Berkshire Year1_ReferralSource_School)</f>
        <v>351</v>
      </c>
      <c r="AW123" s="488">
        <f>IF(Year2_West_Berkshire Year2_ReferralSource_School="","",Year2_West_Berkshire Year2_ReferralSource_School)</f>
        <v>195</v>
      </c>
      <c r="AX123" s="488">
        <f>IF(Year3_West_Berkshire Year3_ReferralSource_School="","",Year3_West_Berkshire Year3_ReferralSource_School)</f>
        <v>320</v>
      </c>
      <c r="AY123" s="488">
        <f>IF(Year4_West_Berkshire Year4_ReferralSource_School="","",Year4_West_Berkshire Year4_ReferralSource_School)</f>
        <v>448</v>
      </c>
      <c r="AZ123" s="489">
        <f>IF(Year5_West_Berkshire Year5_ReferralSource_School="","",Year5_West_Berkshire Year5_ReferralSource_School)</f>
        <v>304</v>
      </c>
      <c r="BA123" s="487">
        <f>IF(Year1_West_Berkshire Year1_ReferralSource_EducationServices="","",Year1_West_Berkshire Year1_ReferralSource_EducationServices)</f>
        <v>50</v>
      </c>
      <c r="BB123" s="488">
        <f>IF(Year2_West_Berkshire Year2_ReferralSource_EducationServices="","",Year2_West_Berkshire Year2_ReferralSource_EducationServices)</f>
        <v>28</v>
      </c>
      <c r="BC123" s="488">
        <f>IF(Year3_West_Berkshire Year3_ReferralSource_EducationServices="","",Year3_West_Berkshire Year3_ReferralSource_EducationServices)</f>
        <v>93</v>
      </c>
      <c r="BD123" s="488">
        <f>IF(Year4_West_Berkshire Year4_ReferralSource_EducationServices="","",Year4_West_Berkshire Year4_ReferralSource_EducationServices)</f>
        <v>78</v>
      </c>
      <c r="BE123" s="489">
        <f>IF(Year5_West_Berkshire Year5_ReferralSource_EducationServices="","",Year5_West_Berkshire Year5_ReferralSource_EducationServices)</f>
        <v>47</v>
      </c>
      <c r="BF123" s="501">
        <f>IF(Year1_West_Berkshire Year1_ReferralSource_Health_services_GP="","",Year1_West_Berkshire Year1_ReferralSource_Health_services_GP)</f>
        <v>197</v>
      </c>
      <c r="BG123" s="502">
        <f>IF(Year2_West_Berkshire Year2_ReferralSource_Health_services_GP="","",Year2_West_Berkshire Year2_ReferralSource_Health_services_GP)</f>
        <v>213</v>
      </c>
      <c r="BH123" s="502">
        <f>IF(Year3_West_Berkshire Year3_ReferralSource_Health_services_GP="","",Year3_West_Berkshire Year3_ReferralSource_Health_services_GP)</f>
        <v>250</v>
      </c>
      <c r="BI123" s="502">
        <f>IF(Year4_West_Berkshire Year4_ReferralSource_Health_services_GP="","",Year4_West_Berkshire Year4_ReferralSource_Health_services_GP)</f>
        <v>265</v>
      </c>
      <c r="BJ123" s="503">
        <f>IF(Year5_West_Berkshire Year5_ReferralSource_Health_services_GP="","",Year5_West_Berkshire Year5_ReferralSource_Health_services_GP)</f>
        <v>180</v>
      </c>
      <c r="BK123" s="501" t="str">
        <f>IF(Year1_West_Berkshire Year1_ReferralSource_Health_services_HealthVisitor="","",Year1_West_Berkshire Year1_ReferralSource_Health_services_HealthVisitor)</f>
        <v/>
      </c>
      <c r="BL123" s="502" t="str">
        <f>IF(Year2_West_Berkshire Year2_ReferralSource_Health_services_HealthVisitor="","",Year2_West_Berkshire Year2_ReferralSource_Health_services_HealthVisitor)</f>
        <v/>
      </c>
      <c r="BM123" s="502" t="str">
        <f>IF(Year3_West_Berkshire Year3_ReferralSource_Health_services_HealthVisitor="","",Year3_West_Berkshire Year3_ReferralSource_Health_services_HealthVisitor)</f>
        <v/>
      </c>
      <c r="BN123" s="502" t="str">
        <f>IF(Year4_West_Berkshire Year4_ReferralSource_Health_services_HealthVisitor="","",Year4_West_Berkshire Year4_ReferralSource_Health_services_HealthVisitor)</f>
        <v/>
      </c>
      <c r="BO123" s="503" t="str">
        <f>IF(Year5_West_Berkshire Year5_ReferralSource_Health_services_HealthVisitor="","",Year5_West_Berkshire Year5_ReferralSource_Health_services_HealthVisitor)</f>
        <v/>
      </c>
      <c r="BP123" s="501" t="str">
        <f>IF(Year1_West_Berkshire Year1_ReferralSource_Health_services_SchoolNurse="","",Year1_West_Berkshire Year1_ReferralSource_Health_services_SchoolNurse)</f>
        <v/>
      </c>
      <c r="BQ123" s="502" t="str">
        <f>IF(Year2_West_Berkshire Year2_ReferralSource_Health_services_SchoolNurse="","",Year2_West_Berkshire Year2_ReferralSource_Health_services_SchoolNurse)</f>
        <v/>
      </c>
      <c r="BR123" s="502" t="str">
        <f>IF(Year3_West_Berkshire Year3_ReferralSource_Health_services_SchoolNurse="","",Year3_West_Berkshire Year3_ReferralSource_Health_services_SchoolNurse)</f>
        <v/>
      </c>
      <c r="BS123" s="502" t="str">
        <f>IF(Year4_West_Berkshire Year4_ReferralSource_Health_services_SchoolNurse="","",Year4_West_Berkshire Year4_ReferralSource_Health_services_SchoolNurse)</f>
        <v/>
      </c>
      <c r="BT123" s="503" t="str">
        <f>IF(Year5_West_Berkshire Year5_ReferralSource_Health_services_SchoolNurse="","",Year5_West_Berkshire Year5_ReferralSource_Health_services_SchoolNurse)</f>
        <v/>
      </c>
      <c r="BU123" s="501" t="str">
        <f>IF(Year1_West_Berkshire Year1_ReferralSource_Health_services_OthPrimary="","",Year1_West_Berkshire Year1_ReferralSource_Health_services_OthPrimary)</f>
        <v/>
      </c>
      <c r="BV123" s="502" t="str">
        <f>IF(Year2_West_Berkshire Year2_ReferralSource_Health_services_OthPrimary="","",Year2_West_Berkshire Year2_ReferralSource_Health_services_OthPrimary)</f>
        <v/>
      </c>
      <c r="BW123" s="502" t="str">
        <f>IF(Year3_West_Berkshire Year3_ReferralSource_Health_services_OthPrimary="","",Year3_West_Berkshire Year3_ReferralSource_Health_services_OthPrimary)</f>
        <v/>
      </c>
      <c r="BX123" s="502" t="str">
        <f>IF(Year4_West_Berkshire Year4_ReferralSource_Health_services_OthPrimary="","",Year4_West_Berkshire Year4_ReferralSource_Health_services_OthPrimary)</f>
        <v/>
      </c>
      <c r="BY123" s="503" t="str">
        <f>IF(Year5_West_Berkshire Year5_ReferralSource_Health_services_OthPrimary="","",Year5_West_Berkshire Year5_ReferralSource_Health_services_OthPrimary)</f>
        <v/>
      </c>
      <c r="BZ123" s="501" t="str">
        <f>IF(Year1_West_Berkshire Year1_ReferralSource_Health_services_AE="","",Year1_West_Berkshire Year1_ReferralSource_Health_services_AE)</f>
        <v/>
      </c>
      <c r="CA123" s="502" t="str">
        <f>IF(Year2_West_Berkshire Year2_ReferralSource_Health_services_AE="","",Year2_West_Berkshire Year2_ReferralSource_Health_services_AE)</f>
        <v/>
      </c>
      <c r="CB123" s="502" t="str">
        <f>IF(Year3_West_Berkshire Year3_ReferralSource_Health_services_AE="","",Year3_West_Berkshire Year3_ReferralSource_Health_services_AE)</f>
        <v/>
      </c>
      <c r="CC123" s="502" t="str">
        <f>IF(Year4_West_Berkshire Year4_ReferralSource_Health_services_AE="","",Year4_West_Berkshire Year4_ReferralSource_Health_services_AE)</f>
        <v/>
      </c>
      <c r="CD123" s="503" t="str">
        <f>IF(Year5_West_Berkshire Year5_ReferralSource_Health_services_AE="","",Year5_West_Berkshire Year5_ReferralSource_Health_services_AE)</f>
        <v/>
      </c>
      <c r="CE123" s="501" t="str">
        <f>IF(Year1_West_Berkshire Year1_ReferralSource_Health_services_Other="","",Year1_West_Berkshire Year1_ReferralSource_Health_services_Other)</f>
        <v/>
      </c>
      <c r="CF123" s="502" t="str">
        <f>IF(Year2_West_Berkshire Year2_ReferralSource_Health_services_Other="","",Year2_West_Berkshire Year2_ReferralSource_Health_services_Other)</f>
        <v/>
      </c>
      <c r="CG123" s="502" t="str">
        <f>IF(Year3_West_Berkshire Year3_ReferralSource_Health_services_Other="","",Year3_West_Berkshire Year3_ReferralSource_Health_services_Other)</f>
        <v/>
      </c>
      <c r="CH123" s="502" t="str">
        <f>IF(Year4_West_Berkshire Year4_ReferralSource_Health_services_Other="","",Year4_West_Berkshire Year4_ReferralSource_Health_services_Other)</f>
        <v/>
      </c>
      <c r="CI123" s="503" t="str">
        <f>IF(Year5_West_Berkshire Year5_ReferralSource_Health_services_Other="","",Year5_West_Berkshire Year5_ReferralSource_Health_services_Other)</f>
        <v/>
      </c>
      <c r="CJ123" s="487">
        <f>IF(Year1_West_Berkshire Year1_ReferralSource_Housing="","",Year1_West_Berkshire Year1_ReferralSource_Housing)</f>
        <v>22</v>
      </c>
      <c r="CK123" s="488">
        <f>IF(Year2_West_Berkshire Year2_ReferralSource_Housing="","",Year2_West_Berkshire Year2_ReferralSource_Housing)</f>
        <v>13</v>
      </c>
      <c r="CL123" s="488">
        <f>IF(Year3_West_Berkshire Year3_ReferralSource_Housing="","",Year3_West_Berkshire Year3_ReferralSource_Housing)</f>
        <v>15</v>
      </c>
      <c r="CM123" s="488">
        <f>IF(Year4_West_Berkshire Year4_ReferralSource_Housing="","",Year4_West_Berkshire Year4_ReferralSource_Housing)</f>
        <v>14</v>
      </c>
      <c r="CN123" s="489">
        <f>IF(Year5_West_Berkshire Year5_ReferralSource_Housing="","",Year5_West_Berkshire Year5_ReferralSource_Housing)</f>
        <v>6</v>
      </c>
      <c r="CO123" s="487">
        <f>IF(Year1_West_Berkshire Year1_ReferralSource_LA_SC="","",Year1_West_Berkshire Year1_ReferralSource_LA_SC)</f>
        <v>278</v>
      </c>
      <c r="CP123" s="488">
        <f>IF(Year2_West_Berkshire Year2_ReferralSource_LA_SC="","",Year2_West_Berkshire Year2_ReferralSource_LA_SC)</f>
        <v>298</v>
      </c>
      <c r="CQ123" s="488">
        <f>IF(Year3_West_Berkshire Year3_ReferralSource_LA_SC="","",Year3_West_Berkshire Year3_ReferralSource_LA_SC)</f>
        <v>304</v>
      </c>
      <c r="CR123" s="488">
        <f>IF(Year4_West_Berkshire Year4_ReferralSource_LA_SC="","",Year4_West_Berkshire Year4_ReferralSource_LA_SC)</f>
        <v>408</v>
      </c>
      <c r="CS123" s="489">
        <f>IF(Year5_West_Berkshire Year5_ReferralSource_LA_SC="","",Year5_West_Berkshire Year5_ReferralSource_LA_SC)</f>
        <v>253</v>
      </c>
      <c r="CT123" s="487" t="str">
        <f>IF(Year1_West_Berkshire Year1_ReferralSource_LA_Other="","",Year1_West_Berkshire Year1_ReferralSource_LA_Other)</f>
        <v/>
      </c>
      <c r="CU123" s="488" t="str">
        <f>IF(Year2_West_Berkshire Year2_ReferralSource_LA_Other="","",Year2_West_Berkshire Year2_ReferralSource_LA_Other)</f>
        <v/>
      </c>
      <c r="CV123" s="488" t="str">
        <f>IF(Year3_West_Berkshire Year3_ReferralSource_LA_Other="","",Year3_West_Berkshire Year3_ReferralSource_LA_Other)</f>
        <v/>
      </c>
      <c r="CW123" s="488" t="str">
        <f>IF(Year4_West_Berkshire Year4_ReferralSource_LA_Other="","",Year4_West_Berkshire Year4_ReferralSource_LA_Other)</f>
        <v/>
      </c>
      <c r="CX123" s="489" t="str">
        <f>IF(Year5_West_Berkshire Year5_ReferralSource_LA_Other="","",Year5_West_Berkshire Year5_ReferralSource_LA_Other)</f>
        <v/>
      </c>
      <c r="CY123" s="487" t="str">
        <f>IF(Year1_West_Berkshire Year1_ReferralSource_LA_External="","",Year1_West_Berkshire Year1_ReferralSource_LA_External)</f>
        <v/>
      </c>
      <c r="CZ123" s="488" t="str">
        <f>IF(Year2_West_Berkshire Year2_ReferralSource_LA_External="","",Year2_West_Berkshire Year2_ReferralSource_LA_External)</f>
        <v/>
      </c>
      <c r="DA123" s="488" t="str">
        <f>IF(Year3_West_Berkshire Year3_ReferralSource_LA_External="","",Year3_West_Berkshire Year3_ReferralSource_LA_External)</f>
        <v/>
      </c>
      <c r="DB123" s="488" t="str">
        <f>IF(Year4_West_Berkshire Year4_ReferralSource_LA_External="","",Year4_West_Berkshire Year4_ReferralSource_LA_External)</f>
        <v/>
      </c>
      <c r="DC123" s="489" t="str">
        <f>IF(Year5_West_Berkshire Year5_ReferralSource_LA_External="","",Year5_West_Berkshire Year5_ReferralSource_LA_External)</f>
        <v/>
      </c>
      <c r="DD123" s="487">
        <f>IF(Year1_West_Berkshire Year1_ReferralSource_Police="","",Year1_West_Berkshire Year1_ReferralSource_Police)</f>
        <v>403</v>
      </c>
      <c r="DE123" s="488">
        <f>IF(Year2_West_Berkshire Year2_ReferralSource_Police="","",Year2_West_Berkshire Year2_ReferralSource_Police)</f>
        <v>478</v>
      </c>
      <c r="DF123" s="488">
        <f>IF(Year3_West_Berkshire Year3_ReferralSource_Police="","",Year3_West_Berkshire Year3_ReferralSource_Police)</f>
        <v>670</v>
      </c>
      <c r="DG123" s="488">
        <f>IF(Year4_West_Berkshire Year4_ReferralSource_Police="","",Year4_West_Berkshire Year4_ReferralSource_Police)</f>
        <v>619</v>
      </c>
      <c r="DH123" s="489">
        <f>IF(Year5_West_Berkshire Year5_ReferralSource_Police="","",Year5_West_Berkshire Year5_ReferralSource_Police)</f>
        <v>517</v>
      </c>
      <c r="DI123" s="487">
        <f>IF(Year1_West_Berkshire Year1_ReferralSource_Other_Legal="","",Year1_West_Berkshire Year1_ReferralSource_Other_Legal)</f>
        <v>33</v>
      </c>
      <c r="DJ123" s="488">
        <f>IF(Year2_West_Berkshire Year2_ReferralSource_Other_Legal="","",Year2_West_Berkshire Year2_ReferralSource_Other_Legal)</f>
        <v>31</v>
      </c>
      <c r="DK123" s="488">
        <f>IF(Year3_West_Berkshire Year3_ReferralSource_Other_Legal="","",Year3_West_Berkshire Year3_ReferralSource_Other_Legal)</f>
        <v>64</v>
      </c>
      <c r="DL123" s="488">
        <f>IF(Year4_West_Berkshire Year4_ReferralSource_Other_Legal="","",Year4_West_Berkshire Year4_ReferralSource_Other_Legal)</f>
        <v>63</v>
      </c>
      <c r="DM123" s="489">
        <f>IF(Year5_West_Berkshire Year5_ReferralSource_Other_Legal="","",Year5_West_Berkshire Year5_ReferralSource_Other_Legal)</f>
        <v>78</v>
      </c>
      <c r="DN123" s="487">
        <f>IF(Year1_West_Berkshire Year1_ReferralSource_Other="","",Year1_West_Berkshire Year1_ReferralSource_Other)</f>
        <v>53</v>
      </c>
      <c r="DO123" s="488">
        <f>IF(Year2_West_Berkshire Year2_ReferralSource_Other="","",Year2_West_Berkshire Year2_ReferralSource_Other)</f>
        <v>15</v>
      </c>
      <c r="DP123" s="488">
        <f>IF(Year3_West_Berkshire Year3_ReferralSource_Other="","",Year3_West_Berkshire Year3_ReferralSource_Other)</f>
        <v>21</v>
      </c>
      <c r="DQ123" s="488">
        <f>IF(Year4_West_Berkshire Year4_ReferralSource_Other="","",Year4_West_Berkshire Year4_ReferralSource_Other)</f>
        <v>17</v>
      </c>
      <c r="DR123" s="489">
        <f>IF(Year5_West_Berkshire Year5_ReferralSource_Other="","",Year5_West_Berkshire Year5_ReferralSource_Other)</f>
        <v>21</v>
      </c>
      <c r="DS123" s="487">
        <f>IF(Year1_West_Berkshire Year1_ReferralSource_Anonymous="","",Year1_West_Berkshire Year1_ReferralSource_Anonymous)</f>
        <v>33</v>
      </c>
      <c r="DT123" s="488">
        <f>IF(Year2_West_Berkshire Year2_ReferralSource_Anonymous="","",Year2_West_Berkshire Year2_ReferralSource_Anonymous)</f>
        <v>15</v>
      </c>
      <c r="DU123" s="488">
        <f>IF(Year3_West_Berkshire Year3_ReferralSource_Anonymous="","",Year3_West_Berkshire Year3_ReferralSource_Anonymous)</f>
        <v>24</v>
      </c>
      <c r="DV123" s="488">
        <f>IF(Year4_West_Berkshire Year4_ReferralSource_Anonymous="","",Year4_West_Berkshire Year4_ReferralSource_Anonymous)</f>
        <v>18</v>
      </c>
      <c r="DW123" s="489">
        <f>IF(Year5_West_Berkshire Year5_ReferralSource_Anonymous="","",Year5_West_Berkshire Year5_ReferralSource_Anonymous)</f>
        <v>38</v>
      </c>
      <c r="DX123" s="487">
        <f>IF(Year1_West_Berkshire Year1_ReferralSource_Unknown="","",Year1_West_Berkshire Year1_ReferralSource_Unknown)</f>
        <v>8</v>
      </c>
      <c r="DY123" s="488">
        <f>IF(Year2_West_Berkshire Year2_ReferralSource_Unknown="","",Year2_West_Berkshire Year2_ReferralSource_Unknown)</f>
        <v>35</v>
      </c>
      <c r="DZ123" s="488">
        <f>IF(Year3_West_Berkshire Year3_ReferralSource_Unknown="","",Year3_West_Berkshire Year3_ReferralSource_Unknown)</f>
        <v>36</v>
      </c>
      <c r="EA123" s="488">
        <f>IF(Year4_West_Berkshire Year4_ReferralSource_Unknown="","",Year4_West_Berkshire Year4_ReferralSource_Unknown)</f>
        <v>27</v>
      </c>
      <c r="EB123" s="489">
        <f>IF(Year5_West_Berkshire Year5_ReferralSource_Unknown="","",Year5_West_Berkshire Year5_ReferralSource_Unknown)</f>
        <v>27</v>
      </c>
    </row>
    <row r="124" spans="1:133" s="56" customFormat="1" ht="11.25" customHeight="1">
      <c r="A124" s="106"/>
      <c r="B124" s="1317"/>
      <c r="C124" s="5"/>
      <c r="D124" s="5"/>
      <c r="E124" s="9"/>
      <c r="F124" s="5"/>
      <c r="G124" s="40"/>
      <c r="H124" s="554"/>
      <c r="I124" s="40"/>
      <c r="J124" s="40"/>
      <c r="K124" s="40"/>
      <c r="L124" s="40"/>
      <c r="M124" s="5"/>
      <c r="N124" s="5"/>
      <c r="O124" s="1"/>
      <c r="P124" s="5"/>
      <c r="Q124" s="5"/>
      <c r="R124" s="5"/>
      <c r="S124" s="5"/>
      <c r="T124" s="5"/>
      <c r="U124" s="5"/>
      <c r="V124" s="5"/>
      <c r="W124" s="120"/>
      <c r="X124" s="127"/>
      <c r="Y124" s="46"/>
      <c r="Z124" s="102"/>
      <c r="AB124" s="487">
        <f>IF(Year1_West_Sussex Year1_ReferralSource_Individual_Family="","",Year1_West_Sussex Year1_ReferralSource_Individual_Family)</f>
        <v>880</v>
      </c>
      <c r="AC124" s="488">
        <f>IF(Year2_West_Sussex Year2_ReferralSource_Individual_Family="","",Year2_West_Sussex Year2_ReferralSource_Individual_Family)</f>
        <v>901</v>
      </c>
      <c r="AD124" s="488">
        <f>IF(Year3_West_Sussex Year3_ReferralSource_Individual_Family="","",Year3_West_Sussex Year3_ReferralSource_Individual_Family)</f>
        <v>826</v>
      </c>
      <c r="AE124" s="488">
        <f>IF(Year4_West_Sussex Year4_ReferralSource_Individual_Family="","",Year4_West_Sussex Year4_ReferralSource_Individual_Family)</f>
        <v>861</v>
      </c>
      <c r="AF124" s="489">
        <f>IF(Year5_West_Sussex Year5_ReferralSource_Individual_Family="","",Year5_West_Sussex Year5_ReferralSource_Individual_Family)</f>
        <v>668</v>
      </c>
      <c r="AG124" s="487" t="str">
        <f>IF(Year1_West_Sussex Year1_ReferralSource_Individual_Acquaintance="","",Year1_West_Sussex Year1_ReferralSource_Individual_Acquaintance)</f>
        <v/>
      </c>
      <c r="AH124" s="488" t="str">
        <f>IF(Year2_West_Sussex Year2_ReferralSource_Individual_Acquaintance="","",Year2_West_Sussex Year2_ReferralSource_Individual_Acquaintance)</f>
        <v/>
      </c>
      <c r="AI124" s="488" t="str">
        <f>IF(Year3_West_Sussex Year3_ReferralSource_Individual_Acquaintance="","",Year3_West_Sussex Year3_ReferralSource_Individual_Acquaintance)</f>
        <v/>
      </c>
      <c r="AJ124" s="488" t="str">
        <f>IF(Year4_West_Sussex Year4_ReferralSource_Individual_Acquaintance="","",Year4_West_Sussex Year4_ReferralSource_Individual_Acquaintance)</f>
        <v/>
      </c>
      <c r="AK124" s="489" t="str">
        <f>IF(Year5_West_Sussex Year5_ReferralSource_Individual_Acquaintance="","",Year5_West_Sussex Year5_ReferralSource_Individual_Acquaintance)</f>
        <v/>
      </c>
      <c r="AL124" s="487" t="str">
        <f>IF(Year1_West_Sussex Year1_ReferralSource_Individual_Self="","",Year1_West_Sussex Year1_ReferralSource_Individual_Self)</f>
        <v/>
      </c>
      <c r="AM124" s="488" t="str">
        <f>IF(Year2_West_Sussex Year2_ReferralSource_Individual_Self="","",Year2_West_Sussex Year2_ReferralSource_Individual_Self)</f>
        <v/>
      </c>
      <c r="AN124" s="488" t="str">
        <f>IF(Year3_West_Sussex Year3_ReferralSource_Individual_Self="","",Year3_West_Sussex Year3_ReferralSource_Individual_Self)</f>
        <v/>
      </c>
      <c r="AO124" s="488" t="str">
        <f>IF(Year4_West_Sussex Year4_ReferralSource_Individual_Self="","",Year4_West_Sussex Year4_ReferralSource_Individual_Self)</f>
        <v/>
      </c>
      <c r="AP124" s="489" t="str">
        <f>IF(Year5_West_Sussex Year5_ReferralSource_Individual_Self="","",Year5_West_Sussex Year5_ReferralSource_Individual_Self)</f>
        <v/>
      </c>
      <c r="AQ124" s="487" t="str">
        <f>IF(Year1_West_Sussex Year1_ReferralSource_Individual_Other="","",Year1_West_Sussex Year1_ReferralSource_Individual_Other)</f>
        <v/>
      </c>
      <c r="AR124" s="488" t="str">
        <f>IF(Year2_West_Sussex Year2_ReferralSource_Individual_Other="","",Year2_West_Sussex Year2_ReferralSource_Individual_Other)</f>
        <v/>
      </c>
      <c r="AS124" s="488" t="str">
        <f>IF(Year3_West_Sussex Year3_ReferralSource_Individual_Other="","",Year3_West_Sussex Year3_ReferralSource_Individual_Other)</f>
        <v/>
      </c>
      <c r="AT124" s="488" t="str">
        <f>IF(Year4_West_Sussex Year4_ReferralSource_Individual_Other="","",Year4_West_Sussex Year4_ReferralSource_Individual_Other)</f>
        <v/>
      </c>
      <c r="AU124" s="489" t="str">
        <f>IF(Year5_West_Sussex Year5_ReferralSource_Individual_Other="","",Year5_West_Sussex Year5_ReferralSource_Individual_Other)</f>
        <v/>
      </c>
      <c r="AV124" s="487">
        <f>IF(Year1_West_Sussex Year1_ReferralSource_School="","",Year1_West_Sussex Year1_ReferralSource_School)</f>
        <v>2028</v>
      </c>
      <c r="AW124" s="488">
        <f>IF(Year2_West_Sussex Year2_ReferralSource_School="","",Year2_West_Sussex Year2_ReferralSource_School)</f>
        <v>1268</v>
      </c>
      <c r="AX124" s="488">
        <f>IF(Year3_West_Sussex Year3_ReferralSource_School="","",Year3_West_Sussex Year3_ReferralSource_School)</f>
        <v>2027</v>
      </c>
      <c r="AY124" s="488">
        <f>IF(Year4_West_Sussex Year4_ReferralSource_School="","",Year4_West_Sussex Year4_ReferralSource_School)</f>
        <v>2418</v>
      </c>
      <c r="AZ124" s="489">
        <f>IF(Year5_West_Sussex Year5_ReferralSource_School="","",Year5_West_Sussex Year5_ReferralSource_School)</f>
        <v>1468</v>
      </c>
      <c r="BA124" s="487">
        <f>IF(Year1_West_Sussex Year1_ReferralSource_EducationServices="","",Year1_West_Sussex Year1_ReferralSource_EducationServices)</f>
        <v>0</v>
      </c>
      <c r="BB124" s="488">
        <f>IF(Year2_West_Sussex Year2_ReferralSource_EducationServices="","",Year2_West_Sussex Year2_ReferralSource_EducationServices)</f>
        <v>0</v>
      </c>
      <c r="BC124" s="488">
        <f>IF(Year3_West_Sussex Year3_ReferralSource_EducationServices="","",Year3_West_Sussex Year3_ReferralSource_EducationServices)</f>
        <v>0</v>
      </c>
      <c r="BD124" s="488">
        <f>IF(Year4_West_Sussex Year4_ReferralSource_EducationServices="","",Year4_West_Sussex Year4_ReferralSource_EducationServices)</f>
        <v>0</v>
      </c>
      <c r="BE124" s="489">
        <f>IF(Year5_West_Sussex Year5_ReferralSource_EducationServices="","",Year5_West_Sussex Year5_ReferralSource_EducationServices)</f>
        <v>0</v>
      </c>
      <c r="BF124" s="501">
        <f>IF(Year1_West_Sussex Year1_ReferralSource_Health_services_GP="","",Year1_West_Sussex Year1_ReferralSource_Health_services_GP)</f>
        <v>1316</v>
      </c>
      <c r="BG124" s="502">
        <f>IF(Year2_West_Sussex Year2_ReferralSource_Health_services_GP="","",Year2_West_Sussex Year2_ReferralSource_Health_services_GP)</f>
        <v>1188</v>
      </c>
      <c r="BH124" s="502">
        <f>IF(Year3_West_Sussex Year3_ReferralSource_Health_services_GP="","",Year3_West_Sussex Year3_ReferralSource_Health_services_GP)</f>
        <v>1253</v>
      </c>
      <c r="BI124" s="502">
        <f>IF(Year4_West_Sussex Year4_ReferralSource_Health_services_GP="","",Year4_West_Sussex Year4_ReferralSource_Health_services_GP)</f>
        <v>1206</v>
      </c>
      <c r="BJ124" s="503">
        <f>IF(Year5_West_Sussex Year5_ReferralSource_Health_services_GP="","",Year5_West_Sussex Year5_ReferralSource_Health_services_GP)</f>
        <v>957</v>
      </c>
      <c r="BK124" s="501" t="str">
        <f>IF(Year1_West_Sussex Year1_ReferralSource_Health_services_HealthVisitor="","",Year1_West_Sussex Year1_ReferralSource_Health_services_HealthVisitor)</f>
        <v/>
      </c>
      <c r="BL124" s="502" t="str">
        <f>IF(Year2_West_Sussex Year2_ReferralSource_Health_services_HealthVisitor="","",Year2_West_Sussex Year2_ReferralSource_Health_services_HealthVisitor)</f>
        <v/>
      </c>
      <c r="BM124" s="502" t="str">
        <f>IF(Year3_West_Sussex Year3_ReferralSource_Health_services_HealthVisitor="","",Year3_West_Sussex Year3_ReferralSource_Health_services_HealthVisitor)</f>
        <v/>
      </c>
      <c r="BN124" s="502" t="str">
        <f>IF(Year4_West_Sussex Year4_ReferralSource_Health_services_HealthVisitor="","",Year4_West_Sussex Year4_ReferralSource_Health_services_HealthVisitor)</f>
        <v/>
      </c>
      <c r="BO124" s="503" t="str">
        <f>IF(Year5_West_Sussex Year5_ReferralSource_Health_services_HealthVisitor="","",Year5_West_Sussex Year5_ReferralSource_Health_services_HealthVisitor)</f>
        <v/>
      </c>
      <c r="BP124" s="501" t="str">
        <f>IF(Year1_West_Sussex Year1_ReferralSource_Health_services_SchoolNurse="","",Year1_West_Sussex Year1_ReferralSource_Health_services_SchoolNurse)</f>
        <v/>
      </c>
      <c r="BQ124" s="502" t="str">
        <f>IF(Year2_West_Sussex Year2_ReferralSource_Health_services_SchoolNurse="","",Year2_West_Sussex Year2_ReferralSource_Health_services_SchoolNurse)</f>
        <v/>
      </c>
      <c r="BR124" s="502" t="str">
        <f>IF(Year3_West_Sussex Year3_ReferralSource_Health_services_SchoolNurse="","",Year3_West_Sussex Year3_ReferralSource_Health_services_SchoolNurse)</f>
        <v/>
      </c>
      <c r="BS124" s="502" t="str">
        <f>IF(Year4_West_Sussex Year4_ReferralSource_Health_services_SchoolNurse="","",Year4_West_Sussex Year4_ReferralSource_Health_services_SchoolNurse)</f>
        <v/>
      </c>
      <c r="BT124" s="503" t="str">
        <f>IF(Year5_West_Sussex Year5_ReferralSource_Health_services_SchoolNurse="","",Year5_West_Sussex Year5_ReferralSource_Health_services_SchoolNurse)</f>
        <v/>
      </c>
      <c r="BU124" s="501" t="str">
        <f>IF(Year1_West_Sussex Year1_ReferralSource_Health_services_OthPrimary="","",Year1_West_Sussex Year1_ReferralSource_Health_services_OthPrimary)</f>
        <v/>
      </c>
      <c r="BV124" s="502" t="str">
        <f>IF(Year2_West_Sussex Year2_ReferralSource_Health_services_OthPrimary="","",Year2_West_Sussex Year2_ReferralSource_Health_services_OthPrimary)</f>
        <v/>
      </c>
      <c r="BW124" s="502" t="str">
        <f>IF(Year3_West_Sussex Year3_ReferralSource_Health_services_OthPrimary="","",Year3_West_Sussex Year3_ReferralSource_Health_services_OthPrimary)</f>
        <v/>
      </c>
      <c r="BX124" s="502" t="str">
        <f>IF(Year4_West_Sussex Year4_ReferralSource_Health_services_OthPrimary="","",Year4_West_Sussex Year4_ReferralSource_Health_services_OthPrimary)</f>
        <v/>
      </c>
      <c r="BY124" s="503" t="str">
        <f>IF(Year5_West_Sussex Year5_ReferralSource_Health_services_OthPrimary="","",Year5_West_Sussex Year5_ReferralSource_Health_services_OthPrimary)</f>
        <v/>
      </c>
      <c r="BZ124" s="501" t="str">
        <f>IF(Year1_West_Sussex Year1_ReferralSource_Health_services_AE="","",Year1_West_Sussex Year1_ReferralSource_Health_services_AE)</f>
        <v/>
      </c>
      <c r="CA124" s="502" t="str">
        <f>IF(Year2_West_Sussex Year2_ReferralSource_Health_services_AE="","",Year2_West_Sussex Year2_ReferralSource_Health_services_AE)</f>
        <v/>
      </c>
      <c r="CB124" s="502" t="str">
        <f>IF(Year3_West_Sussex Year3_ReferralSource_Health_services_AE="","",Year3_West_Sussex Year3_ReferralSource_Health_services_AE)</f>
        <v/>
      </c>
      <c r="CC124" s="502" t="str">
        <f>IF(Year4_West_Sussex Year4_ReferralSource_Health_services_AE="","",Year4_West_Sussex Year4_ReferralSource_Health_services_AE)</f>
        <v/>
      </c>
      <c r="CD124" s="503" t="str">
        <f>IF(Year5_West_Sussex Year5_ReferralSource_Health_services_AE="","",Year5_West_Sussex Year5_ReferralSource_Health_services_AE)</f>
        <v/>
      </c>
      <c r="CE124" s="501" t="str">
        <f>IF(Year1_West_Sussex Year1_ReferralSource_Health_services_Other="","",Year1_West_Sussex Year1_ReferralSource_Health_services_Other)</f>
        <v/>
      </c>
      <c r="CF124" s="502" t="str">
        <f>IF(Year2_West_Sussex Year2_ReferralSource_Health_services_Other="","",Year2_West_Sussex Year2_ReferralSource_Health_services_Other)</f>
        <v/>
      </c>
      <c r="CG124" s="502" t="str">
        <f>IF(Year3_West_Sussex Year3_ReferralSource_Health_services_Other="","",Year3_West_Sussex Year3_ReferralSource_Health_services_Other)</f>
        <v/>
      </c>
      <c r="CH124" s="502" t="str">
        <f>IF(Year4_West_Sussex Year4_ReferralSource_Health_services_Other="","",Year4_West_Sussex Year4_ReferralSource_Health_services_Other)</f>
        <v/>
      </c>
      <c r="CI124" s="503" t="str">
        <f>IF(Year5_West_Sussex Year5_ReferralSource_Health_services_Other="","",Year5_West_Sussex Year5_ReferralSource_Health_services_Other)</f>
        <v/>
      </c>
      <c r="CJ124" s="487">
        <f>IF(Year1_West_Sussex Year1_ReferralSource_Housing="","",Year1_West_Sussex Year1_ReferralSource_Housing)</f>
        <v>206</v>
      </c>
      <c r="CK124" s="488">
        <f>IF(Year2_West_Sussex Year2_ReferralSource_Housing="","",Year2_West_Sussex Year2_ReferralSource_Housing)</f>
        <v>104</v>
      </c>
      <c r="CL124" s="488">
        <f>IF(Year3_West_Sussex Year3_ReferralSource_Housing="","",Year3_West_Sussex Year3_ReferralSource_Housing)</f>
        <v>92</v>
      </c>
      <c r="CM124" s="488">
        <f>IF(Year4_West_Sussex Year4_ReferralSource_Housing="","",Year4_West_Sussex Year4_ReferralSource_Housing)</f>
        <v>72</v>
      </c>
      <c r="CN124" s="489">
        <f>IF(Year5_West_Sussex Year5_ReferralSource_Housing="","",Year5_West_Sussex Year5_ReferralSource_Housing)</f>
        <v>67</v>
      </c>
      <c r="CO124" s="487">
        <f>IF(Year1_West_Sussex Year1_ReferralSource_LA_SC="","",Year1_West_Sussex Year1_ReferralSource_LA_SC)</f>
        <v>1755</v>
      </c>
      <c r="CP124" s="488">
        <f>IF(Year2_West_Sussex Year2_ReferralSource_LA_SC="","",Year2_West_Sussex Year2_ReferralSource_LA_SC)</f>
        <v>2163</v>
      </c>
      <c r="CQ124" s="488">
        <f>IF(Year3_West_Sussex Year3_ReferralSource_LA_SC="","",Year3_West_Sussex Year3_ReferralSource_LA_SC)</f>
        <v>1842</v>
      </c>
      <c r="CR124" s="488">
        <f>IF(Year4_West_Sussex Year4_ReferralSource_LA_SC="","",Year4_West_Sussex Year4_ReferralSource_LA_SC)</f>
        <v>1541</v>
      </c>
      <c r="CS124" s="489">
        <f>IF(Year5_West_Sussex Year5_ReferralSource_LA_SC="","",Year5_West_Sussex Year5_ReferralSource_LA_SC)</f>
        <v>950</v>
      </c>
      <c r="CT124" s="487" t="str">
        <f>IF(Year1_West_Sussex Year1_ReferralSource_LA_Other="","",Year1_West_Sussex Year1_ReferralSource_LA_Other)</f>
        <v/>
      </c>
      <c r="CU124" s="488" t="str">
        <f>IF(Year2_West_Sussex Year2_ReferralSource_LA_Other="","",Year2_West_Sussex Year2_ReferralSource_LA_Other)</f>
        <v/>
      </c>
      <c r="CV124" s="488" t="str">
        <f>IF(Year3_West_Sussex Year3_ReferralSource_LA_Other="","",Year3_West_Sussex Year3_ReferralSource_LA_Other)</f>
        <v/>
      </c>
      <c r="CW124" s="488" t="str">
        <f>IF(Year4_West_Sussex Year4_ReferralSource_LA_Other="","",Year4_West_Sussex Year4_ReferralSource_LA_Other)</f>
        <v/>
      </c>
      <c r="CX124" s="489" t="str">
        <f>IF(Year5_West_Sussex Year5_ReferralSource_LA_Other="","",Year5_West_Sussex Year5_ReferralSource_LA_Other)</f>
        <v/>
      </c>
      <c r="CY124" s="487" t="str">
        <f>IF(Year1_West_Sussex Year1_ReferralSource_LA_External="","",Year1_West_Sussex Year1_ReferralSource_LA_External)</f>
        <v/>
      </c>
      <c r="CZ124" s="488" t="str">
        <f>IF(Year2_West_Sussex Year2_ReferralSource_LA_External="","",Year2_West_Sussex Year2_ReferralSource_LA_External)</f>
        <v/>
      </c>
      <c r="DA124" s="488" t="str">
        <f>IF(Year3_West_Sussex Year3_ReferralSource_LA_External="","",Year3_West_Sussex Year3_ReferralSource_LA_External)</f>
        <v/>
      </c>
      <c r="DB124" s="488" t="str">
        <f>IF(Year4_West_Sussex Year4_ReferralSource_LA_External="","",Year4_West_Sussex Year4_ReferralSource_LA_External)</f>
        <v/>
      </c>
      <c r="DC124" s="489" t="str">
        <f>IF(Year5_West_Sussex Year5_ReferralSource_LA_External="","",Year5_West_Sussex Year5_ReferralSource_LA_External)</f>
        <v/>
      </c>
      <c r="DD124" s="487">
        <f>IF(Year1_West_Sussex Year1_ReferralSource_Police="","",Year1_West_Sussex Year1_ReferralSource_Police)</f>
        <v>2796</v>
      </c>
      <c r="DE124" s="488">
        <f>IF(Year2_West_Sussex Year2_ReferralSource_Police="","",Year2_West_Sussex Year2_ReferralSource_Police)</f>
        <v>2559</v>
      </c>
      <c r="DF124" s="488">
        <f>IF(Year3_West_Sussex Year3_ReferralSource_Police="","",Year3_West_Sussex Year3_ReferralSource_Police)</f>
        <v>2411</v>
      </c>
      <c r="DG124" s="488">
        <f>IF(Year4_West_Sussex Year4_ReferralSource_Police="","",Year4_West_Sussex Year4_ReferralSource_Police)</f>
        <v>2341</v>
      </c>
      <c r="DH124" s="489">
        <f>IF(Year5_West_Sussex Year5_ReferralSource_Police="","",Year5_West_Sussex Year5_ReferralSource_Police)</f>
        <v>2250</v>
      </c>
      <c r="DI124" s="487">
        <f>IF(Year1_West_Sussex Year1_ReferralSource_Other_Legal="","",Year1_West_Sussex Year1_ReferralSource_Other_Legal)</f>
        <v>342</v>
      </c>
      <c r="DJ124" s="488">
        <f>IF(Year2_West_Sussex Year2_ReferralSource_Other_Legal="","",Year2_West_Sussex Year2_ReferralSource_Other_Legal)</f>
        <v>46</v>
      </c>
      <c r="DK124" s="488">
        <f>IF(Year3_West_Sussex Year3_ReferralSource_Other_Legal="","",Year3_West_Sussex Year3_ReferralSource_Other_Legal)</f>
        <v>41</v>
      </c>
      <c r="DL124" s="488">
        <f>IF(Year4_West_Sussex Year4_ReferralSource_Other_Legal="","",Year4_West_Sussex Year4_ReferralSource_Other_Legal)</f>
        <v>61</v>
      </c>
      <c r="DM124" s="489">
        <f>IF(Year5_West_Sussex Year5_ReferralSource_Other_Legal="","",Year5_West_Sussex Year5_ReferralSource_Other_Legal)</f>
        <v>44</v>
      </c>
      <c r="DN124" s="487">
        <f>IF(Year1_West_Sussex Year1_ReferralSource_Other="","",Year1_West_Sussex Year1_ReferralSource_Other)</f>
        <v>623</v>
      </c>
      <c r="DO124" s="488">
        <f>IF(Year2_West_Sussex Year2_ReferralSource_Other="","",Year2_West_Sussex Year2_ReferralSource_Other)</f>
        <v>738</v>
      </c>
      <c r="DP124" s="488">
        <f>IF(Year3_West_Sussex Year3_ReferralSource_Other="","",Year3_West_Sussex Year3_ReferralSource_Other)</f>
        <v>823</v>
      </c>
      <c r="DQ124" s="488">
        <f>IF(Year4_West_Sussex Year4_ReferralSource_Other="","",Year4_West_Sussex Year4_ReferralSource_Other)</f>
        <v>1088</v>
      </c>
      <c r="DR124" s="489">
        <f>IF(Year5_West_Sussex Year5_ReferralSource_Other="","",Year5_West_Sussex Year5_ReferralSource_Other)</f>
        <v>994</v>
      </c>
      <c r="DS124" s="487">
        <f>IF(Year1_West_Sussex Year1_ReferralSource_Anonymous="","",Year1_West_Sussex Year1_ReferralSource_Anonymous)</f>
        <v>0</v>
      </c>
      <c r="DT124" s="488">
        <f>IF(Year2_West_Sussex Year2_ReferralSource_Anonymous="","",Year2_West_Sussex Year2_ReferralSource_Anonymous)</f>
        <v>0</v>
      </c>
      <c r="DU124" s="488">
        <f>IF(Year3_West_Sussex Year3_ReferralSource_Anonymous="","",Year3_West_Sussex Year3_ReferralSource_Anonymous)</f>
        <v>0</v>
      </c>
      <c r="DV124" s="488">
        <f>IF(Year4_West_Sussex Year4_ReferralSource_Anonymous="","",Year4_West_Sussex Year4_ReferralSource_Anonymous)</f>
        <v>0</v>
      </c>
      <c r="DW124" s="489">
        <f>IF(Year5_West_Sussex Year5_ReferralSource_Anonymous="","",Year5_West_Sussex Year5_ReferralSource_Anonymous)</f>
        <v>0</v>
      </c>
      <c r="DX124" s="487">
        <f>IF(Year1_West_Sussex Year1_ReferralSource_Unknown="","",Year1_West_Sussex Year1_ReferralSource_Unknown)</f>
        <v>47</v>
      </c>
      <c r="DY124" s="488">
        <f>IF(Year2_West_Sussex Year2_ReferralSource_Unknown="","",Year2_West_Sussex Year2_ReferralSource_Unknown)</f>
        <v>185</v>
      </c>
      <c r="DZ124" s="488">
        <f>IF(Year3_West_Sussex Year3_ReferralSource_Unknown="","",Year3_West_Sussex Year3_ReferralSource_Unknown)</f>
        <v>55</v>
      </c>
      <c r="EA124" s="488">
        <f>IF(Year4_West_Sussex Year4_ReferralSource_Unknown="","",Year4_West_Sussex Year4_ReferralSource_Unknown)</f>
        <v>10</v>
      </c>
      <c r="EB124" s="489">
        <f>IF(Year5_West_Sussex Year5_ReferralSource_Unknown="","",Year5_West_Sussex Year5_ReferralSource_Unknown)</f>
        <v>533</v>
      </c>
    </row>
    <row r="125" spans="1:133" s="56" customFormat="1" ht="11.25" customHeight="1">
      <c r="A125" s="106"/>
      <c r="B125" s="1318"/>
      <c r="C125" s="5"/>
      <c r="D125" s="5"/>
      <c r="E125" s="9"/>
      <c r="F125" s="2"/>
      <c r="G125" s="554"/>
      <c r="H125" s="554"/>
      <c r="I125" s="40"/>
      <c r="J125" s="40"/>
      <c r="K125" s="40"/>
      <c r="L125" s="40"/>
      <c r="M125" s="5"/>
      <c r="N125" s="5"/>
      <c r="O125" s="1"/>
      <c r="P125" s="5"/>
      <c r="Q125" s="5"/>
      <c r="R125" s="5"/>
      <c r="S125" s="5"/>
      <c r="T125" s="5"/>
      <c r="U125" s="5"/>
      <c r="V125" s="5"/>
      <c r="W125" s="120"/>
      <c r="X125" s="127"/>
      <c r="Y125" s="59"/>
      <c r="Z125" s="102"/>
      <c r="AB125" s="493">
        <f>IF(Year1_Windsor_and_Maidenhead Year1_ReferralSource_Individual_Family="","",Year1_Windsor_and_Maidenhead Year1_ReferralSource_Individual_Family)</f>
        <v>97</v>
      </c>
      <c r="AC125" s="494">
        <f>IF(Year2_Windsor_and_Maidenhead Year2_ReferralSource_Individual_Family="","",Year2_Windsor_and_Maidenhead Year2_ReferralSource_Individual_Family)</f>
        <v>53</v>
      </c>
      <c r="AD125" s="494">
        <f>IF(Year3_Windsor_and_Maidenhead Year3_ReferralSource_Individual_Family="","",Year3_Windsor_and_Maidenhead Year3_ReferralSource_Individual_Family)</f>
        <v>62</v>
      </c>
      <c r="AE125" s="494">
        <f>IF(Year4_Windsor_and_Maidenhead Year4_ReferralSource_Individual_Family="","",Year4_Windsor_and_Maidenhead Year4_ReferralSource_Individual_Family)</f>
        <v>79</v>
      </c>
      <c r="AF125" s="495">
        <f>IF(Year5_Windsor_and_Maidenhead Year5_ReferralSource_Individual_Family="","",Year5_Windsor_and_Maidenhead Year5_ReferralSource_Individual_Family)</f>
        <v>66</v>
      </c>
      <c r="AG125" s="493" t="str">
        <f>IF(Year1_Windsor_and_Maidenhead Year1_ReferralSource_Individual_Acquaintance="","",Year1_Windsor_and_Maidenhead Year1_ReferralSource_Individual_Acquaintance)</f>
        <v/>
      </c>
      <c r="AH125" s="494" t="str">
        <f>IF(Year2_Windsor_and_Maidenhead Year2_ReferralSource_Individual_Acquaintance="","",Year2_Windsor_and_Maidenhead Year2_ReferralSource_Individual_Acquaintance)</f>
        <v/>
      </c>
      <c r="AI125" s="494" t="str">
        <f>IF(Year3_Windsor_and_Maidenhead Year3_ReferralSource_Individual_Acquaintance="","",Year3_Windsor_and_Maidenhead Year3_ReferralSource_Individual_Acquaintance)</f>
        <v/>
      </c>
      <c r="AJ125" s="494" t="str">
        <f>IF(Year4_Windsor_and_Maidenhead Year4_ReferralSource_Individual_Acquaintance="","",Year4_Windsor_and_Maidenhead Year4_ReferralSource_Individual_Acquaintance)</f>
        <v/>
      </c>
      <c r="AK125" s="495" t="str">
        <f>IF(Year5_Windsor_and_Maidenhead Year5_ReferralSource_Individual_Acquaintance="","",Year5_Windsor_and_Maidenhead Year5_ReferralSource_Individual_Acquaintance)</f>
        <v/>
      </c>
      <c r="AL125" s="493" t="str">
        <f>IF(Year1_Windsor_and_Maidenhead Year1_ReferralSource_Individual_Self="","",Year1_Windsor_and_Maidenhead Year1_ReferralSource_Individual_Self)</f>
        <v/>
      </c>
      <c r="AM125" s="494" t="str">
        <f>IF(Year2_Windsor_and_Maidenhead Year2_ReferralSource_Individual_Self="","",Year2_Windsor_and_Maidenhead Year2_ReferralSource_Individual_Self)</f>
        <v/>
      </c>
      <c r="AN125" s="494" t="str">
        <f>IF(Year3_Windsor_and_Maidenhead Year3_ReferralSource_Individual_Self="","",Year3_Windsor_and_Maidenhead Year3_ReferralSource_Individual_Self)</f>
        <v/>
      </c>
      <c r="AO125" s="494" t="str">
        <f>IF(Year4_Windsor_and_Maidenhead Year4_ReferralSource_Individual_Self="","",Year4_Windsor_and_Maidenhead Year4_ReferralSource_Individual_Self)</f>
        <v/>
      </c>
      <c r="AP125" s="495" t="str">
        <f>IF(Year5_Windsor_and_Maidenhead Year5_ReferralSource_Individual_Self="","",Year5_Windsor_and_Maidenhead Year5_ReferralSource_Individual_Self)</f>
        <v/>
      </c>
      <c r="AQ125" s="493" t="str">
        <f>IF(Year1_Windsor_and_Maidenhead Year1_ReferralSource_Individual_Other="","",Year1_Windsor_and_Maidenhead Year1_ReferralSource_Individual_Other)</f>
        <v/>
      </c>
      <c r="AR125" s="494" t="str">
        <f>IF(Year2_Windsor_and_Maidenhead Year2_ReferralSource_Individual_Other="","",Year2_Windsor_and_Maidenhead Year2_ReferralSource_Individual_Other)</f>
        <v/>
      </c>
      <c r="AS125" s="494" t="str">
        <f>IF(Year3_Windsor_and_Maidenhead Year3_ReferralSource_Individual_Other="","",Year3_Windsor_and_Maidenhead Year3_ReferralSource_Individual_Other)</f>
        <v/>
      </c>
      <c r="AT125" s="494" t="str">
        <f>IF(Year4_Windsor_and_Maidenhead Year4_ReferralSource_Individual_Other="","",Year4_Windsor_and_Maidenhead Year4_ReferralSource_Individual_Other)</f>
        <v/>
      </c>
      <c r="AU125" s="495" t="str">
        <f>IF(Year5_Windsor_and_Maidenhead Year5_ReferralSource_Individual_Other="","",Year5_Windsor_and_Maidenhead Year5_ReferralSource_Individual_Other)</f>
        <v/>
      </c>
      <c r="AV125" s="493">
        <f>IF(Year1_Windsor_and_Maidenhead Year1_ReferralSource_School="","",Year1_Windsor_and_Maidenhead Year1_ReferralSource_School)</f>
        <v>284</v>
      </c>
      <c r="AW125" s="494">
        <f>IF(Year2_Windsor_and_Maidenhead Year2_ReferralSource_School="","",Year2_Windsor_and_Maidenhead Year2_ReferralSource_School)</f>
        <v>193</v>
      </c>
      <c r="AX125" s="494">
        <f>IF(Year3_Windsor_and_Maidenhead Year3_ReferralSource_School="","",Year3_Windsor_and_Maidenhead Year3_ReferralSource_School)</f>
        <v>413</v>
      </c>
      <c r="AY125" s="494">
        <f>IF(Year4_Windsor_and_Maidenhead Year4_ReferralSource_School="","",Year4_Windsor_and_Maidenhead Year4_ReferralSource_School)</f>
        <v>441</v>
      </c>
      <c r="AZ125" s="495">
        <f>IF(Year5_Windsor_and_Maidenhead Year5_ReferralSource_School="","",Year5_Windsor_and_Maidenhead Year5_ReferralSource_School)</f>
        <v>444</v>
      </c>
      <c r="BA125" s="493">
        <f>IF(Year1_Windsor_and_Maidenhead Year1_ReferralSource_EducationServices="","",Year1_Windsor_and_Maidenhead Year1_ReferralSource_EducationServices)</f>
        <v>0</v>
      </c>
      <c r="BB125" s="494">
        <f>IF(Year2_Windsor_and_Maidenhead Year2_ReferralSource_EducationServices="","",Year2_Windsor_and_Maidenhead Year2_ReferralSource_EducationServices)</f>
        <v>0</v>
      </c>
      <c r="BC125" s="494" t="str">
        <f>IF(Year3_Windsor_and_Maidenhead Year3_ReferralSource_EducationServices="","",Year3_Windsor_and_Maidenhead Year3_ReferralSource_EducationServices)</f>
        <v>c</v>
      </c>
      <c r="BD125" s="494">
        <f>IF(Year4_Windsor_and_Maidenhead Year4_ReferralSource_EducationServices="","",Year4_Windsor_and_Maidenhead Year4_ReferralSource_EducationServices)</f>
        <v>0</v>
      </c>
      <c r="BE125" s="495">
        <f>IF(Year5_Windsor_and_Maidenhead Year5_ReferralSource_EducationServices="","",Year5_Windsor_and_Maidenhead Year5_ReferralSource_EducationServices)</f>
        <v>10</v>
      </c>
      <c r="BF125" s="504">
        <f>IF(Year1_Windsor_and_Maidenhead Year1_ReferralSource_Health_services_GP="","",Year1_Windsor_and_Maidenhead Year1_ReferralSource_Health_services_GP)</f>
        <v>164</v>
      </c>
      <c r="BG125" s="505">
        <f>IF(Year2_Windsor_and_Maidenhead Year2_ReferralSource_Health_services_GP="","",Year2_Windsor_and_Maidenhead Year2_ReferralSource_Health_services_GP)</f>
        <v>134</v>
      </c>
      <c r="BH125" s="505">
        <f>IF(Year3_Windsor_and_Maidenhead Year3_ReferralSource_Health_services_GP="","",Year3_Windsor_and_Maidenhead Year3_ReferralSource_Health_services_GP)</f>
        <v>207</v>
      </c>
      <c r="BI125" s="505">
        <f>IF(Year4_Windsor_and_Maidenhead Year4_ReferralSource_Health_services_GP="","",Year4_Windsor_and_Maidenhead Year4_ReferralSource_Health_services_GP)</f>
        <v>261</v>
      </c>
      <c r="BJ125" s="506">
        <f>IF(Year5_Windsor_and_Maidenhead Year5_ReferralSource_Health_services_GP="","",Year5_Windsor_and_Maidenhead Year5_ReferralSource_Health_services_GP)</f>
        <v>258</v>
      </c>
      <c r="BK125" s="504" t="str">
        <f>IF(Year1_Windsor_and_Maidenhead Year1_ReferralSource_Health_services_HealthVisitor="","",Year1_Windsor_and_Maidenhead Year1_ReferralSource_Health_services_HealthVisitor)</f>
        <v/>
      </c>
      <c r="BL125" s="505" t="str">
        <f>IF(Year2_Windsor_and_Maidenhead Year2_ReferralSource_Health_services_HealthVisitor="","",Year2_Windsor_and_Maidenhead Year2_ReferralSource_Health_services_HealthVisitor)</f>
        <v/>
      </c>
      <c r="BM125" s="505" t="str">
        <f>IF(Year3_Windsor_and_Maidenhead Year3_ReferralSource_Health_services_HealthVisitor="","",Year3_Windsor_and_Maidenhead Year3_ReferralSource_Health_services_HealthVisitor)</f>
        <v/>
      </c>
      <c r="BN125" s="505" t="str">
        <f>IF(Year4_Windsor_and_Maidenhead Year4_ReferralSource_Health_services_HealthVisitor="","",Year4_Windsor_and_Maidenhead Year4_ReferralSource_Health_services_HealthVisitor)</f>
        <v/>
      </c>
      <c r="BO125" s="506" t="str">
        <f>IF(Year5_Windsor_and_Maidenhead Year5_ReferralSource_Health_services_HealthVisitor="","",Year5_Windsor_and_Maidenhead Year5_ReferralSource_Health_services_HealthVisitor)</f>
        <v/>
      </c>
      <c r="BP125" s="504" t="str">
        <f>IF(Year1_Windsor_and_Maidenhead Year1_ReferralSource_Health_services_SchoolNurse="","",Year1_Windsor_and_Maidenhead Year1_ReferralSource_Health_services_SchoolNurse)</f>
        <v/>
      </c>
      <c r="BQ125" s="505" t="str">
        <f>IF(Year2_Windsor_and_Maidenhead Year2_ReferralSource_Health_services_SchoolNurse="","",Year2_Windsor_and_Maidenhead Year2_ReferralSource_Health_services_SchoolNurse)</f>
        <v/>
      </c>
      <c r="BR125" s="505" t="str">
        <f>IF(Year3_Windsor_and_Maidenhead Year3_ReferralSource_Health_services_SchoolNurse="","",Year3_Windsor_and_Maidenhead Year3_ReferralSource_Health_services_SchoolNurse)</f>
        <v/>
      </c>
      <c r="BS125" s="505" t="str">
        <f>IF(Year4_Windsor_and_Maidenhead Year4_ReferralSource_Health_services_SchoolNurse="","",Year4_Windsor_and_Maidenhead Year4_ReferralSource_Health_services_SchoolNurse)</f>
        <v/>
      </c>
      <c r="BT125" s="506" t="str">
        <f>IF(Year5_Windsor_and_Maidenhead Year5_ReferralSource_Health_services_SchoolNurse="","",Year5_Windsor_and_Maidenhead Year5_ReferralSource_Health_services_SchoolNurse)</f>
        <v/>
      </c>
      <c r="BU125" s="504" t="str">
        <f>IF(Year1_Windsor_and_Maidenhead Year1_ReferralSource_Health_services_OthPrimary="","",Year1_Windsor_and_Maidenhead Year1_ReferralSource_Health_services_OthPrimary)</f>
        <v/>
      </c>
      <c r="BV125" s="505" t="str">
        <f>IF(Year2_Windsor_and_Maidenhead Year2_ReferralSource_Health_services_OthPrimary="","",Year2_Windsor_and_Maidenhead Year2_ReferralSource_Health_services_OthPrimary)</f>
        <v/>
      </c>
      <c r="BW125" s="505" t="str">
        <f>IF(Year3_Windsor_and_Maidenhead Year3_ReferralSource_Health_services_OthPrimary="","",Year3_Windsor_and_Maidenhead Year3_ReferralSource_Health_services_OthPrimary)</f>
        <v/>
      </c>
      <c r="BX125" s="505" t="str">
        <f>IF(Year4_Windsor_and_Maidenhead Year4_ReferralSource_Health_services_OthPrimary="","",Year4_Windsor_and_Maidenhead Year4_ReferralSource_Health_services_OthPrimary)</f>
        <v/>
      </c>
      <c r="BY125" s="506" t="str">
        <f>IF(Year5_Windsor_and_Maidenhead Year5_ReferralSource_Health_services_OthPrimary="","",Year5_Windsor_and_Maidenhead Year5_ReferralSource_Health_services_OthPrimary)</f>
        <v/>
      </c>
      <c r="BZ125" s="504" t="str">
        <f>IF(Year1_Windsor_and_Maidenhead Year1_ReferralSource_Health_services_AE="","",Year1_Windsor_and_Maidenhead Year1_ReferralSource_Health_services_AE)</f>
        <v/>
      </c>
      <c r="CA125" s="505" t="str">
        <f>IF(Year2_Windsor_and_Maidenhead Year2_ReferralSource_Health_services_AE="","",Year2_Windsor_and_Maidenhead Year2_ReferralSource_Health_services_AE)</f>
        <v/>
      </c>
      <c r="CB125" s="505" t="str">
        <f>IF(Year3_Windsor_and_Maidenhead Year3_ReferralSource_Health_services_AE="","",Year3_Windsor_and_Maidenhead Year3_ReferralSource_Health_services_AE)</f>
        <v/>
      </c>
      <c r="CC125" s="505" t="str">
        <f>IF(Year4_Windsor_and_Maidenhead Year4_ReferralSource_Health_services_AE="","",Year4_Windsor_and_Maidenhead Year4_ReferralSource_Health_services_AE)</f>
        <v/>
      </c>
      <c r="CD125" s="506" t="str">
        <f>IF(Year5_Windsor_and_Maidenhead Year5_ReferralSource_Health_services_AE="","",Year5_Windsor_and_Maidenhead Year5_ReferralSource_Health_services_AE)</f>
        <v/>
      </c>
      <c r="CE125" s="504" t="str">
        <f>IF(Year1_Windsor_and_Maidenhead Year1_ReferralSource_Health_services_Other="","",Year1_Windsor_and_Maidenhead Year1_ReferralSource_Health_services_Other)</f>
        <v/>
      </c>
      <c r="CF125" s="505" t="str">
        <f>IF(Year2_Windsor_and_Maidenhead Year2_ReferralSource_Health_services_Other="","",Year2_Windsor_and_Maidenhead Year2_ReferralSource_Health_services_Other)</f>
        <v/>
      </c>
      <c r="CG125" s="505" t="str">
        <f>IF(Year3_Windsor_and_Maidenhead Year3_ReferralSource_Health_services_Other="","",Year3_Windsor_and_Maidenhead Year3_ReferralSource_Health_services_Other)</f>
        <v/>
      </c>
      <c r="CH125" s="505" t="str">
        <f>IF(Year4_Windsor_and_Maidenhead Year4_ReferralSource_Health_services_Other="","",Year4_Windsor_and_Maidenhead Year4_ReferralSource_Health_services_Other)</f>
        <v/>
      </c>
      <c r="CI125" s="506" t="str">
        <f>IF(Year5_Windsor_and_Maidenhead Year5_ReferralSource_Health_services_Other="","",Year5_Windsor_and_Maidenhead Year5_ReferralSource_Health_services_Other)</f>
        <v/>
      </c>
      <c r="CJ125" s="493">
        <f>IF(Year1_Windsor_and_Maidenhead Year1_ReferralSource_Housing="","",Year1_Windsor_and_Maidenhead Year1_ReferralSource_Housing)</f>
        <v>15</v>
      </c>
      <c r="CK125" s="494">
        <f>IF(Year2_Windsor_and_Maidenhead Year2_ReferralSource_Housing="","",Year2_Windsor_and_Maidenhead Year2_ReferralSource_Housing)</f>
        <v>0</v>
      </c>
      <c r="CL125" s="494" t="str">
        <f>IF(Year3_Windsor_and_Maidenhead Year3_ReferralSource_Housing="","",Year3_Windsor_and_Maidenhead Year3_ReferralSource_Housing)</f>
        <v>c</v>
      </c>
      <c r="CM125" s="494">
        <f>IF(Year4_Windsor_and_Maidenhead Year4_ReferralSource_Housing="","",Year4_Windsor_and_Maidenhead Year4_ReferralSource_Housing)</f>
        <v>17</v>
      </c>
      <c r="CN125" s="495">
        <f>IF(Year5_Windsor_and_Maidenhead Year5_ReferralSource_Housing="","",Year5_Windsor_and_Maidenhead Year5_ReferralSource_Housing)</f>
        <v>11</v>
      </c>
      <c r="CO125" s="493">
        <f>IF(Year1_Windsor_and_Maidenhead Year1_ReferralSource_LA_SC="","",Year1_Windsor_and_Maidenhead Year1_ReferralSource_LA_SC)</f>
        <v>159</v>
      </c>
      <c r="CP125" s="494">
        <f>IF(Year2_Windsor_and_Maidenhead Year2_ReferralSource_LA_SC="","",Year2_Windsor_and_Maidenhead Year2_ReferralSource_LA_SC)</f>
        <v>590</v>
      </c>
      <c r="CQ125" s="494">
        <f>IF(Year3_Windsor_and_Maidenhead Year3_ReferralSource_LA_SC="","",Year3_Windsor_and_Maidenhead Year3_ReferralSource_LA_SC)</f>
        <v>245</v>
      </c>
      <c r="CR125" s="494">
        <f>IF(Year4_Windsor_and_Maidenhead Year4_ReferralSource_LA_SC="","",Year4_Windsor_and_Maidenhead Year4_ReferralSource_LA_SC)</f>
        <v>243</v>
      </c>
      <c r="CS125" s="495">
        <f>IF(Year5_Windsor_and_Maidenhead Year5_ReferralSource_LA_SC="","",Year5_Windsor_and_Maidenhead Year5_ReferralSource_LA_SC)</f>
        <v>217</v>
      </c>
      <c r="CT125" s="493" t="str">
        <f>IF(Year1_Windsor_and_Maidenhead Year1_ReferralSource_LA_Other="","",Year1_Windsor_and_Maidenhead Year1_ReferralSource_LA_Other)</f>
        <v/>
      </c>
      <c r="CU125" s="494" t="str">
        <f>IF(Year2_Windsor_and_Maidenhead Year2_ReferralSource_LA_Other="","",Year2_Windsor_and_Maidenhead Year2_ReferralSource_LA_Other)</f>
        <v/>
      </c>
      <c r="CV125" s="494" t="str">
        <f>IF(Year3_Windsor_and_Maidenhead Year3_ReferralSource_LA_Other="","",Year3_Windsor_and_Maidenhead Year3_ReferralSource_LA_Other)</f>
        <v/>
      </c>
      <c r="CW125" s="494" t="str">
        <f>IF(Year4_Windsor_and_Maidenhead Year4_ReferralSource_LA_Other="","",Year4_Windsor_and_Maidenhead Year4_ReferralSource_LA_Other)</f>
        <v/>
      </c>
      <c r="CX125" s="495" t="str">
        <f>IF(Year5_Windsor_and_Maidenhead Year5_ReferralSource_LA_Other="","",Year5_Windsor_and_Maidenhead Year5_ReferralSource_LA_Other)</f>
        <v/>
      </c>
      <c r="CY125" s="493" t="str">
        <f>IF(Year1_Windsor_and_Maidenhead Year1_ReferralSource_LA_External="","",Year1_Windsor_and_Maidenhead Year1_ReferralSource_LA_External)</f>
        <v/>
      </c>
      <c r="CZ125" s="494" t="str">
        <f>IF(Year2_Windsor_and_Maidenhead Year2_ReferralSource_LA_External="","",Year2_Windsor_and_Maidenhead Year2_ReferralSource_LA_External)</f>
        <v/>
      </c>
      <c r="DA125" s="494" t="str">
        <f>IF(Year3_Windsor_and_Maidenhead Year3_ReferralSource_LA_External="","",Year3_Windsor_and_Maidenhead Year3_ReferralSource_LA_External)</f>
        <v/>
      </c>
      <c r="DB125" s="494" t="str">
        <f>IF(Year4_Windsor_and_Maidenhead Year4_ReferralSource_LA_External="","",Year4_Windsor_and_Maidenhead Year4_ReferralSource_LA_External)</f>
        <v/>
      </c>
      <c r="DC125" s="495" t="str">
        <f>IF(Year5_Windsor_and_Maidenhead Year5_ReferralSource_LA_External="","",Year5_Windsor_and_Maidenhead Year5_ReferralSource_LA_External)</f>
        <v/>
      </c>
      <c r="DD125" s="493">
        <f>IF(Year1_Windsor_and_Maidenhead Year1_ReferralSource_Police="","",Year1_Windsor_and_Maidenhead Year1_ReferralSource_Police)</f>
        <v>506</v>
      </c>
      <c r="DE125" s="494">
        <f>IF(Year2_Windsor_and_Maidenhead Year2_ReferralSource_Police="","",Year2_Windsor_and_Maidenhead Year2_ReferralSource_Police)</f>
        <v>425</v>
      </c>
      <c r="DF125" s="494">
        <f>IF(Year3_Windsor_and_Maidenhead Year3_ReferralSource_Police="","",Year3_Windsor_and_Maidenhead Year3_ReferralSource_Police)</f>
        <v>658</v>
      </c>
      <c r="DG125" s="494">
        <f>IF(Year4_Windsor_and_Maidenhead Year4_ReferralSource_Police="","",Year4_Windsor_and_Maidenhead Year4_ReferralSource_Police)</f>
        <v>591</v>
      </c>
      <c r="DH125" s="495">
        <f>IF(Year5_Windsor_and_Maidenhead Year5_ReferralSource_Police="","",Year5_Windsor_and_Maidenhead Year5_ReferralSource_Police)</f>
        <v>599</v>
      </c>
      <c r="DI125" s="493">
        <f>IF(Year1_Windsor_and_Maidenhead Year1_ReferralSource_Other_Legal="","",Year1_Windsor_and_Maidenhead Year1_ReferralSource_Other_Legal)</f>
        <v>18</v>
      </c>
      <c r="DJ125" s="494">
        <f>IF(Year2_Windsor_and_Maidenhead Year2_ReferralSource_Other_Legal="","",Year2_Windsor_and_Maidenhead Year2_ReferralSource_Other_Legal)</f>
        <v>20</v>
      </c>
      <c r="DK125" s="494">
        <f>IF(Year3_Windsor_and_Maidenhead Year3_ReferralSource_Other_Legal="","",Year3_Windsor_and_Maidenhead Year3_ReferralSource_Other_Legal)</f>
        <v>24</v>
      </c>
      <c r="DL125" s="494">
        <f>IF(Year4_Windsor_and_Maidenhead Year4_ReferralSource_Other_Legal="","",Year4_Windsor_and_Maidenhead Year4_ReferralSource_Other_Legal)</f>
        <v>23</v>
      </c>
      <c r="DM125" s="495">
        <f>IF(Year5_Windsor_and_Maidenhead Year5_ReferralSource_Other_Legal="","",Year5_Windsor_and_Maidenhead Year5_ReferralSource_Other_Legal)</f>
        <v>22</v>
      </c>
      <c r="DN125" s="493">
        <f>IF(Year1_Windsor_and_Maidenhead Year1_ReferralSource_Other="","",Year1_Windsor_and_Maidenhead Year1_ReferralSource_Other)</f>
        <v>71</v>
      </c>
      <c r="DO125" s="494">
        <f>IF(Year2_Windsor_and_Maidenhead Year2_ReferralSource_Other="","",Year2_Windsor_and_Maidenhead Year2_ReferralSource_Other)</f>
        <v>50</v>
      </c>
      <c r="DP125" s="494">
        <f>IF(Year3_Windsor_and_Maidenhead Year3_ReferralSource_Other="","",Year3_Windsor_and_Maidenhead Year3_ReferralSource_Other)</f>
        <v>95</v>
      </c>
      <c r="DQ125" s="494">
        <f>IF(Year4_Windsor_and_Maidenhead Year4_ReferralSource_Other="","",Year4_Windsor_and_Maidenhead Year4_ReferralSource_Other)</f>
        <v>183</v>
      </c>
      <c r="DR125" s="495">
        <f>IF(Year5_Windsor_and_Maidenhead Year5_ReferralSource_Other="","",Year5_Windsor_and_Maidenhead Year5_ReferralSource_Other)</f>
        <v>87</v>
      </c>
      <c r="DS125" s="493">
        <f>IF(Year1_Windsor_and_Maidenhead Year1_ReferralSource_Anonymous="","",Year1_Windsor_and_Maidenhead Year1_ReferralSource_Anonymous)</f>
        <v>42</v>
      </c>
      <c r="DT125" s="494">
        <f>IF(Year2_Windsor_and_Maidenhead Year2_ReferralSource_Anonymous="","",Year2_Windsor_and_Maidenhead Year2_ReferralSource_Anonymous)</f>
        <v>9</v>
      </c>
      <c r="DU125" s="494">
        <f>IF(Year3_Windsor_and_Maidenhead Year3_ReferralSource_Anonymous="","",Year3_Windsor_and_Maidenhead Year3_ReferralSource_Anonymous)</f>
        <v>17</v>
      </c>
      <c r="DV125" s="494">
        <f>IF(Year4_Windsor_and_Maidenhead Year4_ReferralSource_Anonymous="","",Year4_Windsor_and_Maidenhead Year4_ReferralSource_Anonymous)</f>
        <v>0</v>
      </c>
      <c r="DW125" s="495">
        <f>IF(Year5_Windsor_and_Maidenhead Year5_ReferralSource_Anonymous="","",Year5_Windsor_and_Maidenhead Year5_ReferralSource_Anonymous)</f>
        <v>14</v>
      </c>
      <c r="DX125" s="493">
        <f>IF(Year1_Windsor_and_Maidenhead Year1_ReferralSource_Unknown="","",Year1_Windsor_and_Maidenhead Year1_ReferralSource_Unknown)</f>
        <v>0</v>
      </c>
      <c r="DY125" s="494">
        <f>IF(Year2_Windsor_and_Maidenhead Year2_ReferralSource_Unknown="","",Year2_Windsor_and_Maidenhead Year2_ReferralSource_Unknown)</f>
        <v>0</v>
      </c>
      <c r="DZ125" s="494">
        <f>IF(Year3_Windsor_and_Maidenhead Year3_ReferralSource_Unknown="","",Year3_Windsor_and_Maidenhead Year3_ReferralSource_Unknown)</f>
        <v>19</v>
      </c>
      <c r="EA125" s="494">
        <f>IF(Year4_Windsor_and_Maidenhead Year4_ReferralSource_Unknown="","",Year4_Windsor_and_Maidenhead Year4_ReferralSource_Unknown)</f>
        <v>110</v>
      </c>
      <c r="EB125" s="495">
        <f>IF(Year5_Windsor_and_Maidenhead Year5_ReferralSource_Unknown="","",Year5_Windsor_and_Maidenhead Year5_ReferralSource_Unknown)</f>
        <v>85</v>
      </c>
    </row>
    <row r="126" spans="1:133" s="56" customFormat="1" ht="11.25" customHeight="1">
      <c r="A126" s="106"/>
      <c r="B126" s="1316"/>
      <c r="C126" s="1316"/>
      <c r="D126" s="1316"/>
      <c r="E126" s="1316"/>
      <c r="F126" s="1316"/>
      <c r="G126" s="1316"/>
      <c r="H126" s="1316"/>
      <c r="I126" s="40"/>
      <c r="J126" s="40"/>
      <c r="K126" s="40"/>
      <c r="L126" s="40"/>
      <c r="M126" s="5"/>
      <c r="N126" s="5"/>
      <c r="O126" s="1"/>
      <c r="P126" s="5"/>
      <c r="Q126" s="5"/>
      <c r="R126" s="5"/>
      <c r="S126" s="5"/>
      <c r="T126" s="5"/>
      <c r="U126" s="5"/>
      <c r="V126" s="5"/>
      <c r="W126" s="120"/>
      <c r="X126" s="127"/>
      <c r="Y126" s="59"/>
      <c r="Z126" s="102"/>
      <c r="AA126" s="138"/>
      <c r="AB126" s="493">
        <f>IF(Year1_Wokingham Year1_ReferralSource_Individual_Family="","",Year1_Wokingham Year1_ReferralSource_Individual_Family)</f>
        <v>148</v>
      </c>
      <c r="AC126" s="494">
        <f>IF(Year2_Wokingham Year2_ReferralSource_Individual_Family="","",Year2_Wokingham Year2_ReferralSource_Individual_Family)</f>
        <v>84</v>
      </c>
      <c r="AD126" s="494">
        <f>IF(Year3_Wokingham Year3_ReferralSource_Individual_Family="","",Year3_Wokingham Year3_ReferralSource_Individual_Family)</f>
        <v>107</v>
      </c>
      <c r="AE126" s="494">
        <f>IF(Year4_Wokingham Year4_ReferralSource_Individual_Family="","",Year4_Wokingham Year4_ReferralSource_Individual_Family)</f>
        <v>107</v>
      </c>
      <c r="AF126" s="495">
        <f>IF(Year5_Wokingham Year5_ReferralSource_Individual_Family="","",Year5_Wokingham Year5_ReferralSource_Individual_Family)</f>
        <v>140</v>
      </c>
      <c r="AG126" s="493" t="str">
        <f>IF(Year1_Wokingham Year1_ReferralSource_Individual_Acquaintance="","",Year1_Wokingham Year1_ReferralSource_Individual_Acquaintance)</f>
        <v/>
      </c>
      <c r="AH126" s="494" t="str">
        <f>IF(Year2_Wokingham Year2_ReferralSource_Individual_Acquaintance="","",Year2_Wokingham Year2_ReferralSource_Individual_Acquaintance)</f>
        <v/>
      </c>
      <c r="AI126" s="494" t="str">
        <f>IF(Year3_Wokingham Year3_ReferralSource_Individual_Acquaintance="","",Year3_Wokingham Year3_ReferralSource_Individual_Acquaintance)</f>
        <v/>
      </c>
      <c r="AJ126" s="494" t="str">
        <f>IF(Year4_Wokingham Year4_ReferralSource_Individual_Acquaintance="","",Year4_Wokingham Year4_ReferralSource_Individual_Acquaintance)</f>
        <v/>
      </c>
      <c r="AK126" s="495" t="str">
        <f>IF(Year5_Wokingham Year5_ReferralSource_Individual_Acquaintance="","",Year5_Wokingham Year5_ReferralSource_Individual_Acquaintance)</f>
        <v/>
      </c>
      <c r="AL126" s="493" t="str">
        <f>IF(Year1_Wokingham Year1_ReferralSource_Individual_Self="","",Year1_Wokingham Year1_ReferralSource_Individual_Self)</f>
        <v/>
      </c>
      <c r="AM126" s="494" t="str">
        <f>IF(Year2_Wokingham Year2_ReferralSource_Individual_Self="","",Year2_Wokingham Year2_ReferralSource_Individual_Self)</f>
        <v/>
      </c>
      <c r="AN126" s="494" t="str">
        <f>IF(Year3_Wokingham Year3_ReferralSource_Individual_Self="","",Year3_Wokingham Year3_ReferralSource_Individual_Self)</f>
        <v/>
      </c>
      <c r="AO126" s="494" t="str">
        <f>IF(Year4_Wokingham Year4_ReferralSource_Individual_Self="","",Year4_Wokingham Year4_ReferralSource_Individual_Self)</f>
        <v/>
      </c>
      <c r="AP126" s="495" t="str">
        <f>IF(Year5_Wokingham Year5_ReferralSource_Individual_Self="","",Year5_Wokingham Year5_ReferralSource_Individual_Self)</f>
        <v/>
      </c>
      <c r="AQ126" s="493" t="str">
        <f>IF(Year1_Wokingham Year1_ReferralSource_Individual_Other="","",Year1_Wokingham Year1_ReferralSource_Individual_Other)</f>
        <v/>
      </c>
      <c r="AR126" s="494" t="str">
        <f>IF(Year2_Wokingham Year2_ReferralSource_Individual_Other="","",Year2_Wokingham Year2_ReferralSource_Individual_Other)</f>
        <v/>
      </c>
      <c r="AS126" s="494" t="str">
        <f>IF(Year3_Wokingham Year3_ReferralSource_Individual_Other="","",Year3_Wokingham Year3_ReferralSource_Individual_Other)</f>
        <v/>
      </c>
      <c r="AT126" s="494" t="str">
        <f>IF(Year4_Wokingham Year4_ReferralSource_Individual_Other="","",Year4_Wokingham Year4_ReferralSource_Individual_Other)</f>
        <v/>
      </c>
      <c r="AU126" s="495" t="str">
        <f>IF(Year5_Wokingham Year5_ReferralSource_Individual_Other="","",Year5_Wokingham Year5_ReferralSource_Individual_Other)</f>
        <v/>
      </c>
      <c r="AV126" s="493">
        <f>IF(Year1_Wokingham Year1_ReferralSource_School="","",Year1_Wokingham Year1_ReferralSource_School)</f>
        <v>359</v>
      </c>
      <c r="AW126" s="494">
        <f>IF(Year2_Wokingham Year2_ReferralSource_School="","",Year2_Wokingham Year2_ReferralSource_School)</f>
        <v>222</v>
      </c>
      <c r="AX126" s="494">
        <f>IF(Year3_Wokingham Year3_ReferralSource_School="","",Year3_Wokingham Year3_ReferralSource_School)</f>
        <v>339</v>
      </c>
      <c r="AY126" s="494">
        <f>IF(Year4_Wokingham Year4_ReferralSource_School="","",Year4_Wokingham Year4_ReferralSource_School)</f>
        <v>378</v>
      </c>
      <c r="AZ126" s="495">
        <f>IF(Year5_Wokingham Year5_ReferralSource_School="","",Year5_Wokingham Year5_ReferralSource_School)</f>
        <v>366</v>
      </c>
      <c r="BA126" s="493" t="str">
        <f>IF(Year1_Wokingham Year1_ReferralSource_EducationServices="","",Year1_Wokingham Year1_ReferralSource_EducationServices)</f>
        <v>x</v>
      </c>
      <c r="BB126" s="494">
        <f>IF(Year2_Wokingham Year2_ReferralSource_EducationServices="","",Year2_Wokingham Year2_ReferralSource_EducationServices)</f>
        <v>6</v>
      </c>
      <c r="BC126" s="494">
        <f>IF(Year3_Wokingham Year3_ReferralSource_EducationServices="","",Year3_Wokingham Year3_ReferralSource_EducationServices)</f>
        <v>11</v>
      </c>
      <c r="BD126" s="494">
        <f>IF(Year4_Wokingham Year4_ReferralSource_EducationServices="","",Year4_Wokingham Year4_ReferralSource_EducationServices)</f>
        <v>17</v>
      </c>
      <c r="BE126" s="495">
        <f>IF(Year5_Wokingham Year5_ReferralSource_EducationServices="","",Year5_Wokingham Year5_ReferralSource_EducationServices)</f>
        <v>18</v>
      </c>
      <c r="BF126" s="504">
        <f>IF(Year1_Wokingham Year1_ReferralSource_Health_services_GP="","",Year1_Wokingham Year1_ReferralSource_Health_services_GP)</f>
        <v>221</v>
      </c>
      <c r="BG126" s="505">
        <f>IF(Year2_Wokingham Year2_ReferralSource_Health_services_GP="","",Year2_Wokingham Year2_ReferralSource_Health_services_GP)</f>
        <v>223</v>
      </c>
      <c r="BH126" s="505">
        <f>IF(Year3_Wokingham Year3_ReferralSource_Health_services_GP="","",Year3_Wokingham Year3_ReferralSource_Health_services_GP)</f>
        <v>205</v>
      </c>
      <c r="BI126" s="505">
        <f>IF(Year4_Wokingham Year4_ReferralSource_Health_services_GP="","",Year4_Wokingham Year4_ReferralSource_Health_services_GP)</f>
        <v>239</v>
      </c>
      <c r="BJ126" s="506">
        <f>IF(Year5_Wokingham Year5_ReferralSource_Health_services_GP="","",Year5_Wokingham Year5_ReferralSource_Health_services_GP)</f>
        <v>233</v>
      </c>
      <c r="BK126" s="504" t="str">
        <f>IF(Year1_Wokingham Year1_ReferralSource_Health_services_HealthVisitor="","",Year1_Wokingham Year1_ReferralSource_Health_services_HealthVisitor)</f>
        <v/>
      </c>
      <c r="BL126" s="505" t="str">
        <f>IF(Year2_Wokingham Year2_ReferralSource_Health_services_HealthVisitor="","",Year2_Wokingham Year2_ReferralSource_Health_services_HealthVisitor)</f>
        <v/>
      </c>
      <c r="BM126" s="505" t="str">
        <f>IF(Year3_Wokingham Year3_ReferralSource_Health_services_HealthVisitor="","",Year3_Wokingham Year3_ReferralSource_Health_services_HealthVisitor)</f>
        <v/>
      </c>
      <c r="BN126" s="505" t="str">
        <f>IF(Year4_Wokingham Year4_ReferralSource_Health_services_HealthVisitor="","",Year4_Wokingham Year4_ReferralSource_Health_services_HealthVisitor)</f>
        <v/>
      </c>
      <c r="BO126" s="506" t="str">
        <f>IF(Year5_Wokingham Year5_ReferralSource_Health_services_HealthVisitor="","",Year5_Wokingham Year5_ReferralSource_Health_services_HealthVisitor)</f>
        <v/>
      </c>
      <c r="BP126" s="504" t="str">
        <f>IF(Year1_Wokingham Year1_ReferralSource_Health_services_SchoolNurse="","",Year1_Wokingham Year1_ReferralSource_Health_services_SchoolNurse)</f>
        <v/>
      </c>
      <c r="BQ126" s="505" t="str">
        <f>IF(Year2_Wokingham Year2_ReferralSource_Health_services_SchoolNurse="","",Year2_Wokingham Year2_ReferralSource_Health_services_SchoolNurse)</f>
        <v/>
      </c>
      <c r="BR126" s="505" t="str">
        <f>IF(Year3_Wokingham Year3_ReferralSource_Health_services_SchoolNurse="","",Year3_Wokingham Year3_ReferralSource_Health_services_SchoolNurse)</f>
        <v/>
      </c>
      <c r="BS126" s="505" t="str">
        <f>IF(Year4_Wokingham Year4_ReferralSource_Health_services_SchoolNurse="","",Year4_Wokingham Year4_ReferralSource_Health_services_SchoolNurse)</f>
        <v/>
      </c>
      <c r="BT126" s="506" t="str">
        <f>IF(Year5_Wokingham Year5_ReferralSource_Health_services_SchoolNurse="","",Year5_Wokingham Year5_ReferralSource_Health_services_SchoolNurse)</f>
        <v/>
      </c>
      <c r="BU126" s="504" t="str">
        <f>IF(Year1_Wokingham Year1_ReferralSource_Health_services_OthPrimary="","",Year1_Wokingham Year1_ReferralSource_Health_services_OthPrimary)</f>
        <v/>
      </c>
      <c r="BV126" s="505" t="str">
        <f>IF(Year2_Wokingham Year2_ReferralSource_Health_services_OthPrimary="","",Year2_Wokingham Year2_ReferralSource_Health_services_OthPrimary)</f>
        <v/>
      </c>
      <c r="BW126" s="505" t="str">
        <f>IF(Year3_Wokingham Year3_ReferralSource_Health_services_OthPrimary="","",Year3_Wokingham Year3_ReferralSource_Health_services_OthPrimary)</f>
        <v/>
      </c>
      <c r="BX126" s="505" t="str">
        <f>IF(Year4_Wokingham Year4_ReferralSource_Health_services_OthPrimary="","",Year4_Wokingham Year4_ReferralSource_Health_services_OthPrimary)</f>
        <v/>
      </c>
      <c r="BY126" s="506" t="str">
        <f>IF(Year5_Wokingham Year5_ReferralSource_Health_services_OthPrimary="","",Year5_Wokingham Year5_ReferralSource_Health_services_OthPrimary)</f>
        <v/>
      </c>
      <c r="BZ126" s="504" t="str">
        <f>IF(Year1_Wokingham Year1_ReferralSource_Health_services_AE="","",Year1_Wokingham Year1_ReferralSource_Health_services_AE)</f>
        <v/>
      </c>
      <c r="CA126" s="505" t="str">
        <f>IF(Year2_Wokingham Year2_ReferralSource_Health_services_AE="","",Year2_Wokingham Year2_ReferralSource_Health_services_AE)</f>
        <v/>
      </c>
      <c r="CB126" s="505" t="str">
        <f>IF(Year3_Wokingham Year3_ReferralSource_Health_services_AE="","",Year3_Wokingham Year3_ReferralSource_Health_services_AE)</f>
        <v/>
      </c>
      <c r="CC126" s="505" t="str">
        <f>IF(Year4_Wokingham Year4_ReferralSource_Health_services_AE="","",Year4_Wokingham Year4_ReferralSource_Health_services_AE)</f>
        <v/>
      </c>
      <c r="CD126" s="506" t="str">
        <f>IF(Year5_Wokingham Year5_ReferralSource_Health_services_AE="","",Year5_Wokingham Year5_ReferralSource_Health_services_AE)</f>
        <v/>
      </c>
      <c r="CE126" s="504" t="str">
        <f>IF(Year1_Wokingham Year1_ReferralSource_Health_services_Other="","",Year1_Wokingham Year1_ReferralSource_Health_services_Other)</f>
        <v/>
      </c>
      <c r="CF126" s="505" t="str">
        <f>IF(Year2_Wokingham Year2_ReferralSource_Health_services_Other="","",Year2_Wokingham Year2_ReferralSource_Health_services_Other)</f>
        <v/>
      </c>
      <c r="CG126" s="505" t="str">
        <f>IF(Year3_Wokingham Year3_ReferralSource_Health_services_Other="","",Year3_Wokingham Year3_ReferralSource_Health_services_Other)</f>
        <v/>
      </c>
      <c r="CH126" s="505" t="str">
        <f>IF(Year4_Wokingham Year4_ReferralSource_Health_services_Other="","",Year4_Wokingham Year4_ReferralSource_Health_services_Other)</f>
        <v/>
      </c>
      <c r="CI126" s="506" t="str">
        <f>IF(Year5_Wokingham Year5_ReferralSource_Health_services_Other="","",Year5_Wokingham Year5_ReferralSource_Health_services_Other)</f>
        <v/>
      </c>
      <c r="CJ126" s="493">
        <f>IF(Year1_Wokingham Year1_ReferralSource_Housing="","",Year1_Wokingham Year1_ReferralSource_Housing)</f>
        <v>11</v>
      </c>
      <c r="CK126" s="494">
        <f>IF(Year2_Wokingham Year2_ReferralSource_Housing="","",Year2_Wokingham Year2_ReferralSource_Housing)</f>
        <v>13</v>
      </c>
      <c r="CL126" s="494">
        <f>IF(Year3_Wokingham Year3_ReferralSource_Housing="","",Year3_Wokingham Year3_ReferralSource_Housing)</f>
        <v>8</v>
      </c>
      <c r="CM126" s="494">
        <f>IF(Year4_Wokingham Year4_ReferralSource_Housing="","",Year4_Wokingham Year4_ReferralSource_Housing)</f>
        <v>11</v>
      </c>
      <c r="CN126" s="495">
        <f>IF(Year5_Wokingham Year5_ReferralSource_Housing="","",Year5_Wokingham Year5_ReferralSource_Housing)</f>
        <v>9</v>
      </c>
      <c r="CO126" s="493">
        <f>IF(Year1_Wokingham Year1_ReferralSource_LA_SC="","",Year1_Wokingham Year1_ReferralSource_LA_SC)</f>
        <v>241</v>
      </c>
      <c r="CP126" s="494">
        <f>IF(Year2_Wokingham Year2_ReferralSource_LA_SC="","",Year2_Wokingham Year2_ReferralSource_LA_SC)</f>
        <v>166</v>
      </c>
      <c r="CQ126" s="494">
        <f>IF(Year3_Wokingham Year3_ReferralSource_LA_SC="","",Year3_Wokingham Year3_ReferralSource_LA_SC)</f>
        <v>129</v>
      </c>
      <c r="CR126" s="494">
        <f>IF(Year4_Wokingham Year4_ReferralSource_LA_SC="","",Year4_Wokingham Year4_ReferralSource_LA_SC)</f>
        <v>163</v>
      </c>
      <c r="CS126" s="495">
        <f>IF(Year5_Wokingham Year5_ReferralSource_LA_SC="","",Year5_Wokingham Year5_ReferralSource_LA_SC)</f>
        <v>190</v>
      </c>
      <c r="CT126" s="493" t="str">
        <f>IF(Year1_Wokingham Year1_ReferralSource_LA_Other="","",Year1_Wokingham Year1_ReferralSource_LA_Other)</f>
        <v/>
      </c>
      <c r="CU126" s="494" t="str">
        <f>IF(Year2_Wokingham Year2_ReferralSource_LA_Other="","",Year2_Wokingham Year2_ReferralSource_LA_Other)</f>
        <v/>
      </c>
      <c r="CV126" s="494" t="str">
        <f>IF(Year3_Wokingham Year3_ReferralSource_LA_Other="","",Year3_Wokingham Year3_ReferralSource_LA_Other)</f>
        <v/>
      </c>
      <c r="CW126" s="494" t="str">
        <f>IF(Year4_Wokingham Year4_ReferralSource_LA_Other="","",Year4_Wokingham Year4_ReferralSource_LA_Other)</f>
        <v/>
      </c>
      <c r="CX126" s="495" t="str">
        <f>IF(Year5_Wokingham Year5_ReferralSource_LA_Other="","",Year5_Wokingham Year5_ReferralSource_LA_Other)</f>
        <v/>
      </c>
      <c r="CY126" s="493" t="str">
        <f>IF(Year1_Wokingham Year1_ReferralSource_LA_External="","",Year1_Wokingham Year1_ReferralSource_LA_External)</f>
        <v/>
      </c>
      <c r="CZ126" s="494" t="str">
        <f>IF(Year2_Wokingham Year2_ReferralSource_LA_External="","",Year2_Wokingham Year2_ReferralSource_LA_External)</f>
        <v/>
      </c>
      <c r="DA126" s="494" t="str">
        <f>IF(Year3_Wokingham Year3_ReferralSource_LA_External="","",Year3_Wokingham Year3_ReferralSource_LA_External)</f>
        <v/>
      </c>
      <c r="DB126" s="494" t="str">
        <f>IF(Year4_Wokingham Year4_ReferralSource_LA_External="","",Year4_Wokingham Year4_ReferralSource_LA_External)</f>
        <v/>
      </c>
      <c r="DC126" s="495" t="str">
        <f>IF(Year5_Wokingham Year5_ReferralSource_LA_External="","",Year5_Wokingham Year5_ReferralSource_LA_External)</f>
        <v/>
      </c>
      <c r="DD126" s="493">
        <f>IF(Year1_Wokingham Year1_ReferralSource_Police="","",Year1_Wokingham Year1_ReferralSource_Police)</f>
        <v>641</v>
      </c>
      <c r="DE126" s="494">
        <f>IF(Year2_Wokingham Year2_ReferralSource_Police="","",Year2_Wokingham Year2_ReferralSource_Police)</f>
        <v>492</v>
      </c>
      <c r="DF126" s="494">
        <f>IF(Year3_Wokingham Year3_ReferralSource_Police="","",Year3_Wokingham Year3_ReferralSource_Police)</f>
        <v>555</v>
      </c>
      <c r="DG126" s="494">
        <f>IF(Year4_Wokingham Year4_ReferralSource_Police="","",Year4_Wokingham Year4_ReferralSource_Police)</f>
        <v>536</v>
      </c>
      <c r="DH126" s="495">
        <f>IF(Year5_Wokingham Year5_ReferralSource_Police="","",Year5_Wokingham Year5_ReferralSource_Police)</f>
        <v>482</v>
      </c>
      <c r="DI126" s="493">
        <f>IF(Year1_Wokingham Year1_ReferralSource_Other_Legal="","",Year1_Wokingham Year1_ReferralSource_Other_Legal)</f>
        <v>44</v>
      </c>
      <c r="DJ126" s="494">
        <f>IF(Year2_Wokingham Year2_ReferralSource_Other_Legal="","",Year2_Wokingham Year2_ReferralSource_Other_Legal)</f>
        <v>53</v>
      </c>
      <c r="DK126" s="494">
        <f>IF(Year3_Wokingham Year3_ReferralSource_Other_Legal="","",Year3_Wokingham Year3_ReferralSource_Other_Legal)</f>
        <v>42</v>
      </c>
      <c r="DL126" s="494">
        <f>IF(Year4_Wokingham Year4_ReferralSource_Other_Legal="","",Year4_Wokingham Year4_ReferralSource_Other_Legal)</f>
        <v>55</v>
      </c>
      <c r="DM126" s="495">
        <f>IF(Year5_Wokingham Year5_ReferralSource_Other_Legal="","",Year5_Wokingham Year5_ReferralSource_Other_Legal)</f>
        <v>68</v>
      </c>
      <c r="DN126" s="493">
        <f>IF(Year1_Wokingham Year1_ReferralSource_Other="","",Year1_Wokingham Year1_ReferralSource_Other)</f>
        <v>70</v>
      </c>
      <c r="DO126" s="494">
        <f>IF(Year2_Wokingham Year2_ReferralSource_Other="","",Year2_Wokingham Year2_ReferralSource_Other)</f>
        <v>38</v>
      </c>
      <c r="DP126" s="494">
        <f>IF(Year3_Wokingham Year3_ReferralSource_Other="","",Year3_Wokingham Year3_ReferralSource_Other)</f>
        <v>54</v>
      </c>
      <c r="DQ126" s="494">
        <f>IF(Year4_Wokingham Year4_ReferralSource_Other="","",Year4_Wokingham Year4_ReferralSource_Other)</f>
        <v>29</v>
      </c>
      <c r="DR126" s="495">
        <f>IF(Year5_Wokingham Year5_ReferralSource_Other="","",Year5_Wokingham Year5_ReferralSource_Other)</f>
        <v>23</v>
      </c>
      <c r="DS126" s="493">
        <f>IF(Year1_Wokingham Year1_ReferralSource_Anonymous="","",Year1_Wokingham Year1_ReferralSource_Anonymous)</f>
        <v>25</v>
      </c>
      <c r="DT126" s="494">
        <f>IF(Year2_Wokingham Year2_ReferralSource_Anonymous="","",Year2_Wokingham Year2_ReferralSource_Anonymous)</f>
        <v>40</v>
      </c>
      <c r="DU126" s="494">
        <f>IF(Year3_Wokingham Year3_ReferralSource_Anonymous="","",Year3_Wokingham Year3_ReferralSource_Anonymous)</f>
        <v>33</v>
      </c>
      <c r="DV126" s="494">
        <f>IF(Year4_Wokingham Year4_ReferralSource_Anonymous="","",Year4_Wokingham Year4_ReferralSource_Anonymous)</f>
        <v>44</v>
      </c>
      <c r="DW126" s="495">
        <f>IF(Year5_Wokingham Year5_ReferralSource_Anonymous="","",Year5_Wokingham Year5_ReferralSource_Anonymous)</f>
        <v>11</v>
      </c>
      <c r="DX126" s="493" t="str">
        <f>IF(Year1_Wokingham Year1_ReferralSource_Unknown="","",Year1_Wokingham Year1_ReferralSource_Unknown)</f>
        <v>x</v>
      </c>
      <c r="DY126" s="494">
        <f>IF(Year2_Wokingham Year2_ReferralSource_Unknown="","",Year2_Wokingham Year2_ReferralSource_Unknown)</f>
        <v>11</v>
      </c>
      <c r="DZ126" s="494">
        <f>IF(Year3_Wokingham Year3_ReferralSource_Unknown="","",Year3_Wokingham Year3_ReferralSource_Unknown)</f>
        <v>46</v>
      </c>
      <c r="EA126" s="494">
        <f>IF(Year4_Wokingham Year4_ReferralSource_Unknown="","",Year4_Wokingham Year4_ReferralSource_Unknown)</f>
        <v>28</v>
      </c>
      <c r="EB126" s="495">
        <f>IF(Year5_Wokingham Year5_ReferralSource_Unknown="","",Year5_Wokingham Year5_ReferralSource_Unknown)</f>
        <v>8</v>
      </c>
    </row>
    <row r="127" spans="1:133" s="56" customFormat="1" ht="11.25" customHeight="1">
      <c r="A127" s="106"/>
      <c r="B127" s="1316"/>
      <c r="C127" s="1316"/>
      <c r="D127" s="1316"/>
      <c r="E127" s="1316"/>
      <c r="F127" s="1316"/>
      <c r="G127" s="1316"/>
      <c r="H127" s="1316"/>
      <c r="I127" s="40"/>
      <c r="J127" s="40"/>
      <c r="K127" s="40"/>
      <c r="L127" s="40"/>
      <c r="M127" s="5"/>
      <c r="N127" s="5"/>
      <c r="O127" s="5"/>
      <c r="P127" s="5"/>
      <c r="Q127" s="5"/>
      <c r="R127" s="5"/>
      <c r="S127" s="5"/>
      <c r="T127" s="5"/>
      <c r="U127" s="5"/>
      <c r="V127" s="5"/>
      <c r="W127" s="120"/>
      <c r="X127" s="127"/>
      <c r="Y127" s="59"/>
      <c r="Z127" s="103"/>
      <c r="AA127" s="138"/>
      <c r="AB127" s="493">
        <f>SUM(AB108:AB120,AB121:AB122,AB121:AB126)</f>
        <v>10269</v>
      </c>
      <c r="AC127" s="494">
        <f>SUM(AC108:AC120,AC121:AC122,AC122:AC126)</f>
        <v>10473</v>
      </c>
      <c r="AD127" s="494">
        <f>SUM(AD108:AD120,AD121:AD122,AD123:AD126)</f>
        <v>9990</v>
      </c>
      <c r="AE127" s="494">
        <f>SUM(AE108:AE120,AE121:AE122,AE123:AE126)</f>
        <v>9900</v>
      </c>
      <c r="AF127" s="495">
        <f>SUM(AF108:AF120,AF121:AF122,AF123:AF126)</f>
        <v>6446</v>
      </c>
      <c r="AG127" s="493">
        <f>SUM(AG108:AG120,AG121:AG122,AG121:AG126)</f>
        <v>0</v>
      </c>
      <c r="AH127" s="494">
        <f>SUM(AH108:AH120,AH121:AH122,AH122:AH126)</f>
        <v>0</v>
      </c>
      <c r="AI127" s="494">
        <f>SUM(AI108:AI120,AI121:AI122,AI123:AI126)</f>
        <v>0</v>
      </c>
      <c r="AJ127" s="494">
        <f>SUM(AJ108:AJ120,AJ121:AJ122,AJ123:AJ126)</f>
        <v>0</v>
      </c>
      <c r="AK127" s="495">
        <f>SUM(AK108:AK120,AK121:AK122,AK123:AK126)</f>
        <v>0</v>
      </c>
      <c r="AL127" s="493">
        <f>SUM(AL108:AL120,AL121:AL122,AL121:AL126)</f>
        <v>0</v>
      </c>
      <c r="AM127" s="494">
        <f>SUM(AM108:AM120,AM121:AM122,AM122:AM126)</f>
        <v>0</v>
      </c>
      <c r="AN127" s="494">
        <f>SUM(AN108:AN120,AN121:AN122,AN123:AN126)</f>
        <v>0</v>
      </c>
      <c r="AO127" s="494">
        <f>SUM(AO108:AO120,AO121:AO122,AO123:AO126)</f>
        <v>0</v>
      </c>
      <c r="AP127" s="495">
        <f>SUM(AP108:AP120,AP121:AP122,AP123:AP126)</f>
        <v>0</v>
      </c>
      <c r="AQ127" s="493">
        <f>SUM(AQ108:AQ120,AQ121:AQ122,AQ121:AQ126)</f>
        <v>0</v>
      </c>
      <c r="AR127" s="494">
        <f>SUM(AR108:AR120,AR121:AR122,AR122:AR126)</f>
        <v>0</v>
      </c>
      <c r="AS127" s="494">
        <f>SUM(AS108:AS120,AS121:AS122,AS123:AS126)</f>
        <v>0</v>
      </c>
      <c r="AT127" s="494">
        <f>SUM(AT108:AT120,AT121:AT122,AT123:AT126)</f>
        <v>0</v>
      </c>
      <c r="AU127" s="495">
        <f>SUM(AU108:AU120,AU121:AU122,AU123:AU126)</f>
        <v>0</v>
      </c>
      <c r="AV127" s="493">
        <f>SUM(AV108:AV120,AV121:AV122,AV121:AV126)</f>
        <v>25346</v>
      </c>
      <c r="AW127" s="494">
        <f>SUM(AW108:AW120,AW121:AW122,AW122:AW126)</f>
        <v>18117</v>
      </c>
      <c r="AX127" s="494">
        <f>SUM(AX108:AX120,AX121:AX122,AX123:AX126)</f>
        <v>26969</v>
      </c>
      <c r="AY127" s="494">
        <f>SUM(AY108:AY120,AY121:AY122,AY123:AY126)</f>
        <v>29720</v>
      </c>
      <c r="AZ127" s="495">
        <f>SUM(AZ108:AZ120,AZ121:AZ122,AZ123:AZ126)</f>
        <v>19951</v>
      </c>
      <c r="BA127" s="493">
        <f>SUM(BA108:BA120,BA121:BA122,BA121:BA126)</f>
        <v>1753</v>
      </c>
      <c r="BB127" s="494">
        <f>SUM(BB108:BB120,BB121:BB122,BB122:BB126)</f>
        <v>1360</v>
      </c>
      <c r="BC127" s="494">
        <f>SUM(BC108:BC120,BC121:BC122,BC123:BC126)</f>
        <v>2606</v>
      </c>
      <c r="BD127" s="494">
        <f>SUM(BD108:BD120,BD121:BD122,BD123:BD126)</f>
        <v>2567</v>
      </c>
      <c r="BE127" s="495">
        <f>SUM(BE108:BE120,BE121:BE122,BE123:BE126)</f>
        <v>1589</v>
      </c>
      <c r="BF127" s="504">
        <f>SUM(BF108:BF120,BF121:BF122,BF121:BF126)</f>
        <v>18468</v>
      </c>
      <c r="BG127" s="505">
        <f>SUM(BG108:BG120,BG121:BG122,BG122:BG126)</f>
        <v>19615</v>
      </c>
      <c r="BH127" s="505">
        <f>SUM(BH108:BH120,BH121:BH122,BH123:BH126)</f>
        <v>18918</v>
      </c>
      <c r="BI127" s="505">
        <f>SUM(BI108:BI120,BI121:BI122,BI123:BI126)</f>
        <v>19342</v>
      </c>
      <c r="BJ127" s="506">
        <f>SUM(BJ108:BJ120,BJ121:BJ122,BJ123:BJ126)</f>
        <v>12719</v>
      </c>
      <c r="BK127" s="504">
        <f>SUM(BK108:BK120,BK121:BK122,BK121:BK126)</f>
        <v>0</v>
      </c>
      <c r="BL127" s="505">
        <f>SUM(BL108:BL120,BL121:BL122,BL122:BL126)</f>
        <v>0</v>
      </c>
      <c r="BM127" s="505">
        <f>SUM(BM108:BM120,BM121:BM122,BM123:BM126)</f>
        <v>0</v>
      </c>
      <c r="BN127" s="505">
        <f>SUM(BN108:BN120,BN121:BN122,BN123:BN126)</f>
        <v>0</v>
      </c>
      <c r="BO127" s="506">
        <f>SUM(BO108:BO120,BO121:BO122,BO123:BO126)</f>
        <v>0</v>
      </c>
      <c r="BP127" s="504">
        <f>SUM(BP108:BP120,BP121:BP122,BP121:BP126)</f>
        <v>0</v>
      </c>
      <c r="BQ127" s="505">
        <f>SUM(BQ108:BQ120,BQ121:BQ122,BQ122:BQ126)</f>
        <v>0</v>
      </c>
      <c r="BR127" s="505">
        <f>SUM(BR108:BR120,BR121:BR122,BR123:BR126)</f>
        <v>0</v>
      </c>
      <c r="BS127" s="505">
        <f>SUM(BS108:BS120,BS121:BS122,BS123:BS126)</f>
        <v>0</v>
      </c>
      <c r="BT127" s="506">
        <f>SUM(BT108:BT120,BT121:BT122,BT123:BT126)</f>
        <v>0</v>
      </c>
      <c r="BU127" s="504">
        <f>SUM(BU108:BU120,BU121:BU122,BU121:BU126)</f>
        <v>0</v>
      </c>
      <c r="BV127" s="505">
        <f>SUM(BV108:BV120,BV121:BV122,BV122:BV126)</f>
        <v>0</v>
      </c>
      <c r="BW127" s="505">
        <f>SUM(BW108:BW120,BW121:BW122,BW123:BW126)</f>
        <v>0</v>
      </c>
      <c r="BX127" s="505">
        <f>SUM(BX108:BX120,BX121:BX122,BX123:BX126)</f>
        <v>0</v>
      </c>
      <c r="BY127" s="506">
        <f>SUM(BY108:BY120,BY121:BY122,BY123:BY126)</f>
        <v>0</v>
      </c>
      <c r="BZ127" s="504">
        <f>SUM(BZ108:BZ120,BZ121:BZ122,BZ121:BZ126)</f>
        <v>0</v>
      </c>
      <c r="CA127" s="505">
        <f>SUM(CA108:CA120,CA121:CA122,CA122:CA126)</f>
        <v>0</v>
      </c>
      <c r="CB127" s="505">
        <f>SUM(CB108:CB120,CB121:CB122,CB123:CB126)</f>
        <v>0</v>
      </c>
      <c r="CC127" s="505">
        <f>SUM(CC108:CC120,CC121:CC122,CC123:CC126)</f>
        <v>0</v>
      </c>
      <c r="CD127" s="506">
        <f>SUM(CD108:CD120,CD121:CD122,CD123:CD126)</f>
        <v>0</v>
      </c>
      <c r="CE127" s="504">
        <f>SUM(CE108:CE120,CE121:CE122,CE121:CE126)</f>
        <v>0</v>
      </c>
      <c r="CF127" s="505">
        <f>SUM(CF108:CF120,CF121:CF122,CF122:CF126)</f>
        <v>0</v>
      </c>
      <c r="CG127" s="505">
        <f>SUM(CG108:CG120,CG121:CG122,CG123:CG126)</f>
        <v>0</v>
      </c>
      <c r="CH127" s="505">
        <f>SUM(CH108:CH120,CH121:CH122,CH123:CH126)</f>
        <v>0</v>
      </c>
      <c r="CI127" s="506">
        <f>SUM(CI108:CI120,CI121:CI122,CI123:CI126)</f>
        <v>0</v>
      </c>
      <c r="CJ127" s="493">
        <f>SUM(CJ108:CJ120,CJ121:CJ122,CJ121:CJ126)</f>
        <v>1785</v>
      </c>
      <c r="CK127" s="494">
        <f>SUM(CK108:CK120,CK121:CK122,CK122:CK126)</f>
        <v>1203</v>
      </c>
      <c r="CL127" s="494">
        <f>SUM(CL108:CL120,CL121:CL122,CL123:CL126)</f>
        <v>1105</v>
      </c>
      <c r="CM127" s="494">
        <f>SUM(CM108:CM120,CM121:CM122,CM123:CM126)</f>
        <v>1177</v>
      </c>
      <c r="CN127" s="495">
        <f>SUM(CN108:CN120,CN121:CN122,CN123:CN126)</f>
        <v>1107</v>
      </c>
      <c r="CO127" s="493">
        <f>SUM(CO108:CO120,CO121:CO122,CO121:CO126)</f>
        <v>17245</v>
      </c>
      <c r="CP127" s="494">
        <f>SUM(CP108:CP120,CP121:CP122,CP122:CP126)</f>
        <v>17039</v>
      </c>
      <c r="CQ127" s="494">
        <f>SUM(CQ108:CQ120,CQ121:CQ122,CQ123:CQ126)</f>
        <v>15428</v>
      </c>
      <c r="CR127" s="494">
        <f>SUM(CR108:CR120,CR121:CR122,CR123:CR126)</f>
        <v>16135</v>
      </c>
      <c r="CS127" s="495">
        <f>SUM(CS108:CS120,CS121:CS122,CS123:CS126)</f>
        <v>11947</v>
      </c>
      <c r="CT127" s="493">
        <f>SUM(CT108:CT120,CT121:CT122,CT121:CT126)</f>
        <v>0</v>
      </c>
      <c r="CU127" s="494">
        <f>SUM(CU108:CU120,CU121:CU122,CU122:CU126)</f>
        <v>0</v>
      </c>
      <c r="CV127" s="494">
        <f>SUM(CV108:CV120,CV121:CV122,CV123:CV126)</f>
        <v>0</v>
      </c>
      <c r="CW127" s="494">
        <f>SUM(CW108:CW120,CW121:CW122,CW123:CW126)</f>
        <v>0</v>
      </c>
      <c r="CX127" s="495">
        <f>SUM(CX108:CX120,CX121:CX122,CX123:CX126)</f>
        <v>0</v>
      </c>
      <c r="CY127" s="493">
        <f>SUM(CY108:CY120,CY121:CY122,CY121:CY126)</f>
        <v>0</v>
      </c>
      <c r="CZ127" s="494">
        <f>SUM(CZ108:CZ120,CZ121:CZ122,CZ122:CZ126)</f>
        <v>0</v>
      </c>
      <c r="DA127" s="494">
        <f>SUM(DA108:DA120,DA121:DA122,DA123:DA126)</f>
        <v>0</v>
      </c>
      <c r="DB127" s="494">
        <f>SUM(DB108:DB120,DB121:DB122,DB123:DB126)</f>
        <v>0</v>
      </c>
      <c r="DC127" s="495">
        <f>SUM(DC108:DC120,DC121:DC122,DC123:DC126)</f>
        <v>0</v>
      </c>
      <c r="DD127" s="493">
        <f>SUM(DD108:DD120,DD121:DD122,DD121:DD126)</f>
        <v>38105</v>
      </c>
      <c r="DE127" s="494">
        <f>SUM(DE108:DE120,DE121:DE122,DE122:DE126)</f>
        <v>39297</v>
      </c>
      <c r="DF127" s="494">
        <f>SUM(DF108:DF120,DF121:DF122,DF123:DF126)</f>
        <v>34800</v>
      </c>
      <c r="DG127" s="494">
        <f>SUM(DG108:DG120,DG121:DG122,DG123:DG126)</f>
        <v>33112</v>
      </c>
      <c r="DH127" s="495">
        <f>SUM(DH108:DH120,DH121:DH122,DH123:DH126)</f>
        <v>25043</v>
      </c>
      <c r="DI127" s="493">
        <f>SUM(DI108:DI120,DI121:DI122,DI121:DI126)</f>
        <v>4411</v>
      </c>
      <c r="DJ127" s="494">
        <f>SUM(DJ108:DJ120,DJ121:DJ122,DJ122:DJ126)</f>
        <v>4346</v>
      </c>
      <c r="DK127" s="494">
        <f>SUM(DK108:DK120,DK121:DK122,DK123:DK126)</f>
        <v>4682</v>
      </c>
      <c r="DL127" s="494">
        <f>SUM(DL108:DL120,DL121:DL122,DL123:DL126)</f>
        <v>5414</v>
      </c>
      <c r="DM127" s="495">
        <f>SUM(DM108:DM120,DM121:DM122,DM123:DM126)</f>
        <v>5321</v>
      </c>
      <c r="DN127" s="493">
        <f>SUM(DN108:DN120,DN121:DN122,DN121:DN126)</f>
        <v>6367</v>
      </c>
      <c r="DO127" s="494">
        <f>SUM(DO108:DO120,DO121:DO122,DO122:DO126)</f>
        <v>6162</v>
      </c>
      <c r="DP127" s="494">
        <f>SUM(DP108:DP120,DP121:DP122,DP123:DP126)</f>
        <v>5479</v>
      </c>
      <c r="DQ127" s="494">
        <f>SUM(DQ108:DQ120,DQ121:DQ122,DQ123:DQ126)</f>
        <v>5958</v>
      </c>
      <c r="DR127" s="495">
        <f>SUM(DR108:DR120,DR121:DR122,DR123:DR126)</f>
        <v>4029</v>
      </c>
      <c r="DS127" s="493">
        <f>SUM(DS108:DS120,DS121:DS122,DS121:DS126)</f>
        <v>2393</v>
      </c>
      <c r="DT127" s="494">
        <f>SUM(DT108:DT120,DT121:DT122,DT122:DT126)</f>
        <v>2360</v>
      </c>
      <c r="DU127" s="494">
        <f>SUM(DU108:DU120,DU121:DU122,DU123:DU126)</f>
        <v>2145</v>
      </c>
      <c r="DV127" s="494">
        <f>SUM(DV108:DV120,DV121:DV122,DV123:DV126)</f>
        <v>1952</v>
      </c>
      <c r="DW127" s="495">
        <f>SUM(DW108:DW120,DW121:DW122,DW123:DW126)</f>
        <v>1169</v>
      </c>
      <c r="DX127" s="493">
        <f>SUM(DX108:DX120,DX121:DX122,DX121:DX126)</f>
        <v>1593</v>
      </c>
      <c r="DY127" s="494">
        <f>SUM(DY108:DY120,DY121:DY122,DY122:DY126)</f>
        <v>1538</v>
      </c>
      <c r="DZ127" s="494">
        <f>SUM(DZ108:DZ120,DZ121:DZ122,DZ123:DZ126)</f>
        <v>1692</v>
      </c>
      <c r="EA127" s="494">
        <f>SUM(EA108:EA120,EA121:EA122,EA123:EA126)</f>
        <v>1159</v>
      </c>
      <c r="EB127" s="495">
        <f>SUM(EB108:EB120,EB121:EB122,EB123:EB126)</f>
        <v>1319</v>
      </c>
      <c r="EC127" s="52"/>
    </row>
    <row r="128" spans="1:133" s="56" customFormat="1" ht="11.25" customHeight="1">
      <c r="A128" s="106"/>
      <c r="B128" s="1316"/>
      <c r="C128" s="1316"/>
      <c r="D128" s="1316"/>
      <c r="E128" s="1316"/>
      <c r="F128" s="1316"/>
      <c r="G128" s="1316"/>
      <c r="H128" s="1316"/>
      <c r="I128" s="40"/>
      <c r="J128" s="40"/>
      <c r="K128" s="40"/>
      <c r="L128" s="40"/>
      <c r="M128" s="5"/>
      <c r="N128" s="5"/>
      <c r="O128" s="1"/>
      <c r="P128" s="5"/>
      <c r="Q128" s="5"/>
      <c r="R128" s="5"/>
      <c r="S128" s="5"/>
      <c r="T128" s="5"/>
      <c r="U128" s="5"/>
      <c r="V128" s="5"/>
      <c r="W128" s="120"/>
      <c r="X128" s="127"/>
      <c r="Y128" s="59"/>
      <c r="Z128" s="185"/>
      <c r="AA128" s="138"/>
      <c r="AB128" s="487">
        <f>IF(Year1_England Year1_ReferralSource_Individual_Family="","",Year1_England Year1_ReferralSource_Individual_Family)</f>
        <v>52290</v>
      </c>
      <c r="AC128" s="488">
        <f>IF(Year2_England Year2_ReferralSource_Individual_Family="","",Year2_England Year2_ReferralSource_Individual_Family)</f>
        <v>50940</v>
      </c>
      <c r="AD128" s="488">
        <f>IF(Year3_England Year3_ReferralSource_Individual_Family="","",Year3_England Year3_ReferralSource_Individual_Family)</f>
        <v>53160</v>
      </c>
      <c r="AE128" s="488">
        <f>IF(Year4_England Year4_ReferralSource_Individual_Family="","",Year4_England Year4_ReferralSource_Individual_Family)</f>
        <v>53020</v>
      </c>
      <c r="AF128" s="489">
        <f>IF(Year5_England Year5_ReferralSource_Individual_Family="","",Year5_England Year5_ReferralSource_Individual_Family)</f>
        <v>49870</v>
      </c>
      <c r="AG128" s="487" t="str">
        <f>IF(Year1_England Year1_ReferralSource_Individual_Acquaintance="","",Year1_England Year1_ReferralSource_Individual_Acquaintance)</f>
        <v/>
      </c>
      <c r="AH128" s="488" t="str">
        <f>IF(Year2_England Year2_ReferralSource_Individual_Acquaintance="","",Year2_England Year2_ReferralSource_Individual_Acquaintance)</f>
        <v/>
      </c>
      <c r="AI128" s="488" t="str">
        <f>IF(Year3_England Year3_ReferralSource_Individual_Acquaintance="","",Year3_England Year3_ReferralSource_Individual_Acquaintance)</f>
        <v/>
      </c>
      <c r="AJ128" s="488" t="str">
        <f>IF(Year4_England Year4_ReferralSource_Individual_Acquaintance="","",Year4_England Year4_ReferralSource_Individual_Acquaintance)</f>
        <v/>
      </c>
      <c r="AK128" s="489" t="str">
        <f>IF(Year5_England Year5_ReferralSource_Individual_Acquaintance="","",Year5_England Year5_ReferralSource_Individual_Acquaintance)</f>
        <v/>
      </c>
      <c r="AL128" s="487" t="str">
        <f>IF(Year1_England Year1_ReferralSource_Individual_Self="","",Year1_England Year1_ReferralSource_Individual_Self)</f>
        <v/>
      </c>
      <c r="AM128" s="488" t="str">
        <f>IF(Year2_England Year2_ReferralSource_Individual_Self="","",Year2_England Year2_ReferralSource_Individual_Self)</f>
        <v/>
      </c>
      <c r="AN128" s="488" t="str">
        <f>IF(Year3_England Year3_ReferralSource_Individual_Self="","",Year3_England Year3_ReferralSource_Individual_Self)</f>
        <v/>
      </c>
      <c r="AO128" s="488" t="str">
        <f>IF(Year4_England Year4_ReferralSource_Individual_Self="","",Year4_England Year4_ReferralSource_Individual_Self)</f>
        <v/>
      </c>
      <c r="AP128" s="489" t="str">
        <f>IF(Year5_England Year5_ReferralSource_Individual_Self="","",Year5_England Year5_ReferralSource_Individual_Self)</f>
        <v/>
      </c>
      <c r="AQ128" s="487" t="str">
        <f>IF(Year1_England Year1_ReferralSource_Individual_Other="","",Year1_England Year1_ReferralSource_Individual_Other)</f>
        <v/>
      </c>
      <c r="AR128" s="488" t="str">
        <f>IF(Year2_England Year2_ReferralSource_Individual_Other="","",Year2_England Year2_ReferralSource_Individual_Other)</f>
        <v/>
      </c>
      <c r="AS128" s="488" t="str">
        <f>IF(Year3_England Year3_ReferralSource_Individual_Other="","",Year3_England Year3_ReferralSource_Individual_Other)</f>
        <v/>
      </c>
      <c r="AT128" s="488" t="str">
        <f>IF(Year4_England Year4_ReferralSource_Individual_Other="","",Year4_England Year4_ReferralSource_Individual_Other)</f>
        <v/>
      </c>
      <c r="AU128" s="489" t="str">
        <f>IF(Year5_England Year5_ReferralSource_Individual_Other="","",Year5_England Year5_ReferralSource_Individual_Other)</f>
        <v/>
      </c>
      <c r="AV128" s="487">
        <f>IF(Year1_England Year1_ReferralSource_School="","",Year1_England Year1_ReferralSource_School)</f>
        <v>117010</v>
      </c>
      <c r="AW128" s="488">
        <f>IF(Year2_England Year2_ReferralSource_School="","",Year2_England Year2_ReferralSource_School)</f>
        <v>81180</v>
      </c>
      <c r="AX128" s="488">
        <f>IF(Year3_England Year3_ReferralSource_School="","",Year3_England Year3_ReferralSource_School)</f>
        <v>129090</v>
      </c>
      <c r="AY128" s="488">
        <f>IF(Year4_England Year4_ReferralSource_School="","",Year4_England Year4_ReferralSource_School)</f>
        <v>128650</v>
      </c>
      <c r="AZ128" s="489">
        <f>IF(Year5_England Year5_ReferralSource_School="","",Year5_England Year5_ReferralSource_School)</f>
        <v>126460</v>
      </c>
      <c r="BA128" s="487">
        <f>IF(Year1_England Year1_ReferralSource_EducationServices="","",Year1_England Year1_ReferralSource_EducationServices)</f>
        <v>13630</v>
      </c>
      <c r="BB128" s="488">
        <f>IF(Year2_England Year2_ReferralSource_EducationServices="","",Year2_England Year2_ReferralSource_EducationServices)</f>
        <v>8490</v>
      </c>
      <c r="BC128" s="488">
        <f>IF(Year3_England Year3_ReferralSource_EducationServices="","",Year3_England Year3_ReferralSource_EducationServices)</f>
        <v>13350</v>
      </c>
      <c r="BD128" s="488">
        <f>IF(Year4_England Year4_ReferralSource_EducationServices="","",Year4_England Year4_ReferralSource_EducationServices)</f>
        <v>12600</v>
      </c>
      <c r="BE128" s="489">
        <f>IF(Year5_England Year5_ReferralSource_EducationServices="","",Year5_England Year5_ReferralSource_EducationServices)</f>
        <v>10330</v>
      </c>
      <c r="BF128" s="501">
        <f>IF(Year1_England Year1_ReferralSource_Health_services_GP="","",Year1_England Year1_ReferralSource_Health_services_GP)</f>
        <v>96300</v>
      </c>
      <c r="BG128" s="502">
        <f>IF(Year2_England Year2_ReferralSource_Health_services_GP="","",Year2_England Year2_ReferralSource_Health_services_GP)</f>
        <v>95670</v>
      </c>
      <c r="BH128" s="502">
        <f>IF(Year3_England Year3_ReferralSource_Health_services_GP="","",Year3_England Year3_ReferralSource_Health_services_GP)</f>
        <v>96170</v>
      </c>
      <c r="BI128" s="502">
        <f>IF(Year4_England Year4_ReferralSource_Health_services_GP="","",Year4_England Year4_ReferralSource_Health_services_GP)</f>
        <v>92350</v>
      </c>
      <c r="BJ128" s="503">
        <f>IF(Year5_England Year5_ReferralSource_Health_services_GP="","",Year5_England Year5_ReferralSource_Health_services_GP)</f>
        <v>91370</v>
      </c>
      <c r="BK128" s="501" t="str">
        <f>IF(Year1_England Year1_ReferralSource_Health_services_HealthVisitor="","",Year1_England Year1_ReferralSource_Health_services_HealthVisitor)</f>
        <v/>
      </c>
      <c r="BL128" s="502" t="str">
        <f>IF(Year2_England Year2_ReferralSource_Health_services_HealthVisitor="","",Year2_England Year2_ReferralSource_Health_services_HealthVisitor)</f>
        <v/>
      </c>
      <c r="BM128" s="502" t="str">
        <f>IF(Year3_England Year3_ReferralSource_Health_services_HealthVisitor="","",Year3_England Year3_ReferralSource_Health_services_HealthVisitor)</f>
        <v/>
      </c>
      <c r="BN128" s="502" t="str">
        <f>IF(Year4_England Year4_ReferralSource_Health_services_HealthVisitor="","",Year4_England Year4_ReferralSource_Health_services_HealthVisitor)</f>
        <v/>
      </c>
      <c r="BO128" s="503" t="str">
        <f>IF(Year5_England Year5_ReferralSource_Health_services_HealthVisitor="","",Year5_England Year5_ReferralSource_Health_services_HealthVisitor)</f>
        <v/>
      </c>
      <c r="BP128" s="501" t="str">
        <f>IF(Year1_England Year1_ReferralSource_Health_services_SchoolNurse="","",Year1_England Year1_ReferralSource_Health_services_SchoolNurse)</f>
        <v/>
      </c>
      <c r="BQ128" s="502" t="str">
        <f>IF(Year2_England Year2_ReferralSource_Health_services_SchoolNurse="","",Year2_England Year2_ReferralSource_Health_services_SchoolNurse)</f>
        <v/>
      </c>
      <c r="BR128" s="502" t="str">
        <f>IF(Year3_England Year3_ReferralSource_Health_services_SchoolNurse="","",Year3_England Year3_ReferralSource_Health_services_SchoolNurse)</f>
        <v/>
      </c>
      <c r="BS128" s="502" t="str">
        <f>IF(Year4_England Year4_ReferralSource_Health_services_SchoolNurse="","",Year4_England Year4_ReferralSource_Health_services_SchoolNurse)</f>
        <v/>
      </c>
      <c r="BT128" s="503" t="str">
        <f>IF(Year5_England Year5_ReferralSource_Health_services_SchoolNurse="","",Year5_England Year5_ReferralSource_Health_services_SchoolNurse)</f>
        <v/>
      </c>
      <c r="BU128" s="501" t="str">
        <f>IF(Year1_England Year1_ReferralSource_Health_services_OthPrimary="","",Year1_England Year1_ReferralSource_Health_services_OthPrimary)</f>
        <v/>
      </c>
      <c r="BV128" s="502" t="str">
        <f>IF(Year2_England Year2_ReferralSource_Health_services_OthPrimary="","",Year2_England Year2_ReferralSource_Health_services_OthPrimary)</f>
        <v/>
      </c>
      <c r="BW128" s="502" t="str">
        <f>IF(Year3_England Year3_ReferralSource_Health_services_OthPrimary="","",Year3_England Year3_ReferralSource_Health_services_OthPrimary)</f>
        <v/>
      </c>
      <c r="BX128" s="502" t="str">
        <f>IF(Year4_England Year4_ReferralSource_Health_services_OthPrimary="","",Year4_England Year4_ReferralSource_Health_services_OthPrimary)</f>
        <v/>
      </c>
      <c r="BY128" s="503" t="str">
        <f>IF(Year5_England Year5_ReferralSource_Health_services_OthPrimary="","",Year5_England Year5_ReferralSource_Health_services_OthPrimary)</f>
        <v/>
      </c>
      <c r="BZ128" s="501" t="str">
        <f>IF(Year1_England Year1_ReferralSource_Health_services_AE="","",Year1_England Year1_ReferralSource_Health_services_AE)</f>
        <v/>
      </c>
      <c r="CA128" s="502" t="str">
        <f>IF(Year2_England Year2_ReferralSource_Health_services_AE="","",Year2_England Year2_ReferralSource_Health_services_AE)</f>
        <v/>
      </c>
      <c r="CB128" s="502" t="str">
        <f>IF(Year3_England Year3_ReferralSource_Health_services_AE="","",Year3_England Year3_ReferralSource_Health_services_AE)</f>
        <v/>
      </c>
      <c r="CC128" s="502" t="str">
        <f>IF(Year4_England Year4_ReferralSource_Health_services_AE="","",Year4_England Year4_ReferralSource_Health_services_AE)</f>
        <v/>
      </c>
      <c r="CD128" s="503" t="str">
        <f>IF(Year5_England Year5_ReferralSource_Health_services_AE="","",Year5_England Year5_ReferralSource_Health_services_AE)</f>
        <v/>
      </c>
      <c r="CE128" s="501" t="str">
        <f>IF(Year1_England Year1_ReferralSource_Health_services_Other="","",Year1_England Year1_ReferralSource_Health_services_Other)</f>
        <v/>
      </c>
      <c r="CF128" s="502" t="str">
        <f>IF(Year2_England Year2_ReferralSource_Health_services_Other="","",Year2_England Year2_ReferralSource_Health_services_Other)</f>
        <v/>
      </c>
      <c r="CG128" s="502" t="str">
        <f>IF(Year3_England Year3_ReferralSource_Health_services_Other="","",Year3_England Year3_ReferralSource_Health_services_Other)</f>
        <v/>
      </c>
      <c r="CH128" s="502" t="str">
        <f>IF(Year4_England Year4_ReferralSource_Health_services_Other="","",Year4_England Year4_ReferralSource_Health_services_Other)</f>
        <v/>
      </c>
      <c r="CI128" s="503" t="str">
        <f>IF(Year5_England Year5_ReferralSource_Health_services_Other="","",Year5_England Year5_ReferralSource_Health_services_Other)</f>
        <v/>
      </c>
      <c r="CJ128" s="487">
        <f>IF(Year1_England Year1_ReferralSource_Housing="","",Year1_England Year1_ReferralSource_Housing)</f>
        <v>8300</v>
      </c>
      <c r="CK128" s="488">
        <f>IF(Year2_England Year2_ReferralSource_Housing="","",Year2_England Year2_ReferralSource_Housing)</f>
        <v>6550</v>
      </c>
      <c r="CL128" s="488">
        <f>IF(Year3_England Year3_ReferralSource_Housing="","",Year3_England Year3_ReferralSource_Housing)</f>
        <v>6640</v>
      </c>
      <c r="CM128" s="488">
        <f>IF(Year4_England Year4_ReferralSource_Housing="","",Year4_England Year4_ReferralSource_Housing)</f>
        <v>7240</v>
      </c>
      <c r="CN128" s="489">
        <f>IF(Year5_England Year5_ReferralSource_Housing="","",Year5_England Year5_ReferralSource_Housing)</f>
        <v>7710</v>
      </c>
      <c r="CO128" s="487">
        <f>IF(Year1_England Year1_ReferralSource_LA_SC="","",Year1_England Year1_ReferralSource_LA_SC)</f>
        <v>90810</v>
      </c>
      <c r="CP128" s="488">
        <f>IF(Year2_England Year2_ReferralSource_LA_SC="","",Year2_England Year2_ReferralSource_LA_SC)</f>
        <v>87260</v>
      </c>
      <c r="CQ128" s="488">
        <f>IF(Year3_England Year3_ReferralSource_LA_SC="","",Year3_England Year3_ReferralSource_LA_SC)</f>
        <v>87300</v>
      </c>
      <c r="CR128" s="488">
        <f>IF(Year4_England Year4_ReferralSource_LA_SC="","",Year4_England Year4_ReferralSource_LA_SC)</f>
        <v>90070</v>
      </c>
      <c r="CS128" s="489">
        <f>IF(Year5_England Year5_ReferralSource_LA_SC="","",Year5_England Year5_ReferralSource_LA_SC)</f>
        <v>87980</v>
      </c>
      <c r="CT128" s="487" t="str">
        <f>IF(Year1_England Year1_ReferralSource_LA_Other="","",Year1_England Year1_ReferralSource_LA_Other)</f>
        <v/>
      </c>
      <c r="CU128" s="488" t="str">
        <f>IF(Year2_England Year2_ReferralSource_LA_Other="","",Year2_England Year2_ReferralSource_LA_Other)</f>
        <v/>
      </c>
      <c r="CV128" s="488" t="str">
        <f>IF(Year3_England Year3_ReferralSource_LA_Other="","",Year3_England Year3_ReferralSource_LA_Other)</f>
        <v/>
      </c>
      <c r="CW128" s="488" t="str">
        <f>IF(Year4_England Year4_ReferralSource_LA_Other="","",Year4_England Year4_ReferralSource_LA_Other)</f>
        <v/>
      </c>
      <c r="CX128" s="489" t="str">
        <f>IF(Year5_England Year5_ReferralSource_LA_Other="","",Year5_England Year5_ReferralSource_LA_Other)</f>
        <v/>
      </c>
      <c r="CY128" s="487" t="str">
        <f>IF(Year1_England Year1_ReferralSource_LA_External="","",Year1_England Year1_ReferralSource_LA_External)</f>
        <v/>
      </c>
      <c r="CZ128" s="488" t="str">
        <f>IF(Year2_England Year2_ReferralSource_LA_External="","",Year2_England Year2_ReferralSource_LA_External)</f>
        <v/>
      </c>
      <c r="DA128" s="488" t="str">
        <f>IF(Year3_England Year3_ReferralSource_LA_External="","",Year3_England Year3_ReferralSource_LA_External)</f>
        <v/>
      </c>
      <c r="DB128" s="488" t="str">
        <f>IF(Year4_England Year4_ReferralSource_LA_External="","",Year4_England Year4_ReferralSource_LA_External)</f>
        <v/>
      </c>
      <c r="DC128" s="489" t="str">
        <f>IF(Year5_England Year5_ReferralSource_LA_External="","",Year5_England Year5_ReferralSource_LA_External)</f>
        <v/>
      </c>
      <c r="DD128" s="487">
        <f>IF(Year1_England Year1_ReferralSource_Police="","",Year1_England Year1_ReferralSource_Police)</f>
        <v>184760</v>
      </c>
      <c r="DE128" s="488">
        <f>IF(Year2_England Year2_ReferralSource_Police="","",Year2_England Year2_ReferralSource_Police)</f>
        <v>195270</v>
      </c>
      <c r="DF128" s="488">
        <f>IF(Year3_England Year3_ReferralSource_Police="","",Year3_England Year3_ReferralSource_Police)</f>
        <v>191840</v>
      </c>
      <c r="DG128" s="488">
        <f>IF(Year4_England Year4_ReferralSource_Police="","",Year4_England Year4_ReferralSource_Police)</f>
        <v>184530</v>
      </c>
      <c r="DH128" s="489">
        <f>IF(Year5_England Year5_ReferralSource_Police="","",Year5_England Year5_ReferralSource_Police)</f>
        <v>177210</v>
      </c>
      <c r="DI128" s="487">
        <f>IF(Year1_England Year1_ReferralSource_Other_Legal="","",Year1_England Year1_ReferralSource_Other_Legal)</f>
        <v>25180</v>
      </c>
      <c r="DJ128" s="488">
        <f>IF(Year2_England Year2_ReferralSource_Other_Legal="","",Year2_England Year2_ReferralSource_Other_Legal)</f>
        <v>23910</v>
      </c>
      <c r="DK128" s="488">
        <f>IF(Year3_England Year3_ReferralSource_Other_Legal="","",Year3_England Year3_ReferralSource_Other_Legal)</f>
        <v>26020</v>
      </c>
      <c r="DL128" s="488">
        <f>IF(Year4_England Year4_ReferralSource_Other_Legal="","",Year4_England Year4_ReferralSource_Other_Legal)</f>
        <v>26520</v>
      </c>
      <c r="DM128" s="489">
        <f>IF(Year5_England Year5_ReferralSource_Other_Legal="","",Year5_England Year5_ReferralSource_Other_Legal)</f>
        <v>27590</v>
      </c>
      <c r="DN128" s="487">
        <f>IF(Year1_England Year1_ReferralSource_Other="","",Year1_England Year1_ReferralSource_Other)</f>
        <v>31630</v>
      </c>
      <c r="DO128" s="488">
        <f>IF(Year2_England Year2_ReferralSource_Other="","",Year2_England Year2_ReferralSource_Other)</f>
        <v>29180</v>
      </c>
      <c r="DP128" s="488">
        <f>IF(Year3_England Year3_ReferralSource_Other="","",Year3_England Year3_ReferralSource_Other)</f>
        <v>27840</v>
      </c>
      <c r="DQ128" s="488">
        <f>IF(Year4_England Year4_ReferralSource_Other="","",Year4_England Year4_ReferralSource_Other)</f>
        <v>27560</v>
      </c>
      <c r="DR128" s="489">
        <f>IF(Year5_England Year5_ReferralSource_Other="","",Year5_England Year5_ReferralSource_Other)</f>
        <v>26120</v>
      </c>
      <c r="DS128" s="487">
        <f>IF(Year1_England Year1_ReferralSource_Anonymous="","",Year1_England Year1_ReferralSource_Anonymous)</f>
        <v>13770</v>
      </c>
      <c r="DT128" s="488">
        <f>IF(Year2_England Year2_ReferralSource_Anonymous="","",Year2_England Year2_ReferralSource_Anonymous)</f>
        <v>13430</v>
      </c>
      <c r="DU128" s="488">
        <f>IF(Year3_England Year3_ReferralSource_Anonymous="","",Year3_England Year3_ReferralSource_Anonymous)</f>
        <v>11600</v>
      </c>
      <c r="DV128" s="488">
        <f>IF(Year4_England Year4_ReferralSource_Anonymous="","",Year4_England Year4_ReferralSource_Anonymous)</f>
        <v>11150</v>
      </c>
      <c r="DW128" s="489">
        <f>IF(Year5_England Year5_ReferralSource_Anonymous="","",Year5_England Year5_ReferralSource_Anonymous)</f>
        <v>10030</v>
      </c>
      <c r="DX128" s="487">
        <f>IF(Year1_England Year1_ReferralSource_Unknown="","",Year1_England Year1_ReferralSource_Unknown)</f>
        <v>9300</v>
      </c>
      <c r="DY128" s="488">
        <f>IF(Year2_England Year2_ReferralSource_Unknown="","",Year2_England Year2_ReferralSource_Unknown)</f>
        <v>5890</v>
      </c>
      <c r="DZ128" s="488">
        <f>IF(Year3_England Year3_ReferralSource_Unknown="","",Year3_England Year3_ReferralSource_Unknown)</f>
        <v>7250</v>
      </c>
      <c r="EA128" s="488">
        <f>IF(Year4_England Year4_ReferralSource_Unknown="","",Year4_England Year4_ReferralSource_Unknown)</f>
        <v>6730</v>
      </c>
      <c r="EB128" s="489">
        <f>IF(Year5_England Year5_ReferralSource_Unknown="","",Year5_England Year5_ReferralSource_Unknown)</f>
        <v>7190</v>
      </c>
      <c r="EC128" s="52"/>
    </row>
    <row r="129" spans="1:134" s="56" customFormat="1" ht="11.25" customHeight="1">
      <c r="A129" s="106"/>
      <c r="B129" s="1316"/>
      <c r="C129" s="1316"/>
      <c r="D129" s="1316"/>
      <c r="E129" s="1316"/>
      <c r="F129" s="1316"/>
      <c r="G129" s="1316"/>
      <c r="H129" s="1316"/>
      <c r="I129" s="40"/>
      <c r="J129" s="40"/>
      <c r="K129" s="40"/>
      <c r="L129" s="40"/>
      <c r="M129" s="5"/>
      <c r="N129" s="5"/>
      <c r="O129" s="1"/>
      <c r="P129" s="5"/>
      <c r="Q129" s="5"/>
      <c r="R129" s="5"/>
      <c r="S129" s="5"/>
      <c r="T129" s="5"/>
      <c r="U129" s="5"/>
      <c r="V129" s="5"/>
      <c r="W129" s="120"/>
      <c r="X129" s="127"/>
      <c r="Y129" s="59"/>
      <c r="Z129" s="185"/>
      <c r="AA129" s="138"/>
      <c r="AB129" s="1803" t="str">
        <f>AB153</f>
        <v>Individual</v>
      </c>
      <c r="AC129" s="1804"/>
      <c r="AD129" s="1804"/>
      <c r="AE129" s="1804"/>
      <c r="AF129" s="1805"/>
      <c r="AG129" s="1803" t="str">
        <f>AG153</f>
        <v>Schools/ Education Services</v>
      </c>
      <c r="AH129" s="1804"/>
      <c r="AI129" s="1804"/>
      <c r="AJ129" s="1804"/>
      <c r="AK129" s="1805"/>
      <c r="AL129" s="1803" t="str">
        <f>AL153</f>
        <v>Health services</v>
      </c>
      <c r="AM129" s="1804"/>
      <c r="AN129" s="1804"/>
      <c r="AO129" s="1804"/>
      <c r="AP129" s="1805"/>
      <c r="AQ129" s="1803" t="str">
        <f>AQ153</f>
        <v>Housing</v>
      </c>
      <c r="AR129" s="1804"/>
      <c r="AS129" s="1804"/>
      <c r="AT129" s="1804"/>
      <c r="AU129" s="1805"/>
      <c r="AV129" s="1803" t="str">
        <f>AV153</f>
        <v>LA services</v>
      </c>
      <c r="AW129" s="1804"/>
      <c r="AX129" s="1804"/>
      <c r="AY129" s="1804"/>
      <c r="AZ129" s="1805"/>
      <c r="BA129" s="805" t="str">
        <f>BA153</f>
        <v>Police</v>
      </c>
      <c r="BB129" s="806"/>
      <c r="BC129" s="806"/>
      <c r="BD129" s="806"/>
      <c r="BE129" s="807"/>
      <c r="BF129" s="1801" t="str">
        <f>BF153</f>
        <v>Other legal agency</v>
      </c>
      <c r="BG129" s="1799"/>
      <c r="BH129" s="1799"/>
      <c r="BI129" s="1799"/>
      <c r="BJ129" s="1802"/>
      <c r="BK129" s="1801" t="str">
        <f>BK153</f>
        <v>Other</v>
      </c>
      <c r="BL129" s="1799"/>
      <c r="BM129" s="1799"/>
      <c r="BN129" s="1799"/>
      <c r="BO129" s="1802"/>
      <c r="BP129" s="1801" t="str">
        <f>BP153</f>
        <v>Anonymous</v>
      </c>
      <c r="BQ129" s="1799"/>
      <c r="BR129" s="1799"/>
      <c r="BS129" s="1799"/>
      <c r="BT129" s="1802"/>
      <c r="BU129" s="1801" t="str">
        <f>BU153</f>
        <v>Unknown</v>
      </c>
      <c r="BV129" s="1799"/>
      <c r="BW129" s="1799"/>
      <c r="BX129" s="1799"/>
      <c r="BY129" s="1802"/>
      <c r="BZ129" s="511"/>
      <c r="CA129" s="511"/>
      <c r="CB129" s="511"/>
      <c r="CC129" s="511"/>
      <c r="CD129" s="511"/>
      <c r="CE129" s="511"/>
      <c r="CF129" s="511"/>
      <c r="CG129" s="511"/>
      <c r="CH129" s="511"/>
      <c r="CI129" s="511"/>
      <c r="CJ129" s="510"/>
      <c r="CK129" s="510"/>
      <c r="CL129" s="510"/>
      <c r="CM129" s="510"/>
      <c r="CN129" s="510"/>
      <c r="CO129" s="510"/>
      <c r="CP129" s="510"/>
      <c r="CQ129" s="510"/>
      <c r="CR129" s="510"/>
      <c r="CS129" s="510"/>
      <c r="CT129" s="510"/>
      <c r="CU129" s="510"/>
      <c r="CV129" s="510"/>
      <c r="CW129" s="510"/>
      <c r="CX129" s="510"/>
      <c r="CY129" s="510"/>
      <c r="CZ129" s="510"/>
      <c r="DA129" s="510"/>
      <c r="DB129" s="510"/>
      <c r="DC129" s="510"/>
      <c r="DD129" s="510"/>
      <c r="DE129" s="510"/>
      <c r="DF129" s="510"/>
      <c r="DG129" s="510"/>
      <c r="DH129" s="510"/>
      <c r="DI129" s="510"/>
      <c r="DJ129" s="510"/>
      <c r="DK129" s="510"/>
      <c r="DL129" s="510"/>
      <c r="DM129" s="510"/>
      <c r="DN129" s="510"/>
      <c r="DO129" s="510"/>
      <c r="DP129" s="510"/>
      <c r="DQ129" s="510"/>
      <c r="DR129" s="510"/>
      <c r="DS129" s="510"/>
      <c r="DT129" s="510"/>
      <c r="DU129" s="510"/>
      <c r="DV129" s="510"/>
      <c r="DW129" s="510"/>
      <c r="DX129" s="510"/>
      <c r="DY129" s="510"/>
      <c r="DZ129" s="510"/>
      <c r="EA129" s="510"/>
      <c r="EB129" s="510"/>
      <c r="EC129" s="52"/>
      <c r="ED129" s="52"/>
    </row>
    <row r="130" spans="1:134" ht="11.25" customHeight="1">
      <c r="A130" s="106"/>
      <c r="B130" s="1316"/>
      <c r="C130" s="1316"/>
      <c r="D130" s="1316"/>
      <c r="E130" s="1316"/>
      <c r="F130" s="1316"/>
      <c r="G130" s="1316"/>
      <c r="H130" s="1316"/>
      <c r="I130" s="40"/>
      <c r="J130" s="40"/>
      <c r="K130" s="40"/>
      <c r="L130" s="40"/>
      <c r="M130" s="5"/>
      <c r="N130" s="5"/>
      <c r="O130" s="1"/>
      <c r="P130" s="5"/>
      <c r="Q130" s="5"/>
      <c r="R130" s="5"/>
      <c r="S130" s="5"/>
      <c r="T130" s="5"/>
      <c r="U130" s="5"/>
      <c r="V130" s="40"/>
      <c r="W130" s="120"/>
      <c r="X130" s="127"/>
      <c r="Y130" s="59"/>
      <c r="Z130" s="185"/>
      <c r="AA130" s="138"/>
      <c r="AB130" s="496" t="str">
        <f>$AC$2</f>
        <v/>
      </c>
      <c r="AC130" s="354" t="str">
        <f>$AD$2</f>
        <v/>
      </c>
      <c r="AD130" s="354" t="str">
        <f>$AE$2</f>
        <v/>
      </c>
      <c r="AE130" s="354" t="str">
        <f>$AF$2</f>
        <v/>
      </c>
      <c r="AF130" s="267" t="str">
        <f>$AG$2</f>
        <v/>
      </c>
      <c r="AG130" s="496" t="str">
        <f>$AC$2</f>
        <v/>
      </c>
      <c r="AH130" s="354" t="str">
        <f>$AD$2</f>
        <v/>
      </c>
      <c r="AI130" s="354" t="str">
        <f>$AE$2</f>
        <v/>
      </c>
      <c r="AJ130" s="354" t="str">
        <f>$AF$2</f>
        <v/>
      </c>
      <c r="AK130" s="267" t="str">
        <f>$AG$2</f>
        <v/>
      </c>
      <c r="AL130" s="496" t="str">
        <f>$AC$2</f>
        <v/>
      </c>
      <c r="AM130" s="354" t="str">
        <f>$AD$2</f>
        <v/>
      </c>
      <c r="AN130" s="354" t="str">
        <f>$AE$2</f>
        <v/>
      </c>
      <c r="AO130" s="354" t="str">
        <f>$AF$2</f>
        <v/>
      </c>
      <c r="AP130" s="267" t="str">
        <f>$AG$2</f>
        <v/>
      </c>
      <c r="AQ130" s="496" t="str">
        <f>$AC$2</f>
        <v/>
      </c>
      <c r="AR130" s="354" t="str">
        <f>$AD$2</f>
        <v/>
      </c>
      <c r="AS130" s="354" t="str">
        <f>$AE$2</f>
        <v/>
      </c>
      <c r="AT130" s="354" t="str">
        <f>$AF$2</f>
        <v/>
      </c>
      <c r="AU130" s="267" t="str">
        <f>$AG$2</f>
        <v/>
      </c>
      <c r="AV130" s="496" t="str">
        <f>$AC$2</f>
        <v/>
      </c>
      <c r="AW130" s="354" t="str">
        <f>$AD$2</f>
        <v/>
      </c>
      <c r="AX130" s="354" t="str">
        <f>$AE$2</f>
        <v/>
      </c>
      <c r="AY130" s="354" t="str">
        <f>$AF$2</f>
        <v/>
      </c>
      <c r="AZ130" s="267" t="str">
        <f>$AG$2</f>
        <v/>
      </c>
      <c r="BA130" s="496" t="str">
        <f>$AC$2</f>
        <v/>
      </c>
      <c r="BB130" s="354" t="str">
        <f>$AD$2</f>
        <v/>
      </c>
      <c r="BC130" s="354" t="str">
        <f>$AE$2</f>
        <v/>
      </c>
      <c r="BD130" s="354" t="str">
        <f>$AF$2</f>
        <v/>
      </c>
      <c r="BE130" s="267" t="str">
        <f>$AG$2</f>
        <v/>
      </c>
      <c r="BF130" s="496" t="str">
        <f>$AC$2</f>
        <v/>
      </c>
      <c r="BG130" s="354" t="str">
        <f>$AD$2</f>
        <v/>
      </c>
      <c r="BH130" s="354" t="str">
        <f>$AE$2</f>
        <v/>
      </c>
      <c r="BI130" s="354" t="str">
        <f>$AF$2</f>
        <v/>
      </c>
      <c r="BJ130" s="267" t="str">
        <f>$AG$2</f>
        <v/>
      </c>
      <c r="BK130" s="496" t="str">
        <f>$AC$2</f>
        <v/>
      </c>
      <c r="BL130" s="354" t="str">
        <f>$AD$2</f>
        <v/>
      </c>
      <c r="BM130" s="354" t="str">
        <f>$AE$2</f>
        <v/>
      </c>
      <c r="BN130" s="354" t="str">
        <f>$AF$2</f>
        <v/>
      </c>
      <c r="BO130" s="267" t="str">
        <f>$AG$2</f>
        <v/>
      </c>
      <c r="BP130" s="496" t="str">
        <f>$AC$2</f>
        <v/>
      </c>
      <c r="BQ130" s="354" t="str">
        <f>$AD$2</f>
        <v/>
      </c>
      <c r="BR130" s="354" t="str">
        <f>$AE$2</f>
        <v/>
      </c>
      <c r="BS130" s="354" t="str">
        <f>$AF$2</f>
        <v/>
      </c>
      <c r="BT130" s="267" t="str">
        <f>$AG$2</f>
        <v/>
      </c>
      <c r="BU130" s="496" t="str">
        <f>$AC$2</f>
        <v/>
      </c>
      <c r="BV130" s="354" t="str">
        <f>$AD$2</f>
        <v/>
      </c>
      <c r="BW130" s="354" t="str">
        <f>$AE$2</f>
        <v/>
      </c>
      <c r="BX130" s="354" t="str">
        <f>$AF$2</f>
        <v/>
      </c>
      <c r="BY130" s="267" t="str">
        <f>$AG$2</f>
        <v/>
      </c>
      <c r="BZ130" s="61"/>
      <c r="CA130" s="61"/>
      <c r="CB130" s="61"/>
      <c r="CC130" s="61"/>
      <c r="CD130" s="61"/>
      <c r="CE130" s="61"/>
      <c r="CF130" s="61"/>
      <c r="CG130" s="61"/>
      <c r="CH130" s="61"/>
      <c r="CI130" s="61"/>
      <c r="CJ130" s="61"/>
      <c r="CK130" s="61"/>
      <c r="CL130" s="61"/>
      <c r="CM130" s="61"/>
      <c r="CN130" s="61"/>
      <c r="CO130" s="61"/>
      <c r="CP130" s="61"/>
      <c r="CQ130" s="61"/>
      <c r="CR130" s="61"/>
      <c r="CS130" s="61"/>
      <c r="CT130" s="61"/>
      <c r="CU130" s="61"/>
      <c r="CV130" s="61"/>
      <c r="CW130" s="61"/>
      <c r="CX130" s="61"/>
      <c r="CY130" s="61"/>
      <c r="CZ130" s="61"/>
      <c r="DA130" s="61"/>
      <c r="DB130" s="61"/>
      <c r="DC130" s="61"/>
      <c r="DD130" s="61"/>
      <c r="DE130" s="61"/>
      <c r="DF130" s="61"/>
      <c r="DG130" s="61"/>
      <c r="DH130" s="61"/>
      <c r="DI130" s="61"/>
      <c r="DJ130" s="61"/>
      <c r="DK130" s="61"/>
      <c r="DL130" s="61"/>
      <c r="DM130" s="61"/>
      <c r="DN130" s="61"/>
      <c r="DO130" s="61"/>
      <c r="DP130" s="61"/>
      <c r="DQ130" s="61"/>
      <c r="DR130" s="61"/>
      <c r="DS130" s="61"/>
      <c r="DT130" s="61"/>
      <c r="DU130" s="61"/>
      <c r="DV130" s="61"/>
      <c r="DW130" s="61"/>
      <c r="DX130" s="61"/>
      <c r="DY130" s="61"/>
      <c r="DZ130" s="61"/>
      <c r="EA130" s="61"/>
      <c r="EB130" s="61"/>
      <c r="EC130" s="61"/>
    </row>
    <row r="131" spans="1:134" ht="11.25" customHeight="1">
      <c r="A131" s="106"/>
      <c r="B131" s="1316"/>
      <c r="C131" s="1316"/>
      <c r="D131" s="1316"/>
      <c r="E131" s="1316"/>
      <c r="F131" s="1316"/>
      <c r="G131" s="1316"/>
      <c r="H131" s="1316"/>
      <c r="I131" s="40"/>
      <c r="J131" s="40"/>
      <c r="K131" s="40"/>
      <c r="L131" s="40"/>
      <c r="M131" s="5"/>
      <c r="N131" s="5"/>
      <c r="O131" s="5"/>
      <c r="P131" s="5"/>
      <c r="Q131" s="5"/>
      <c r="R131" s="5"/>
      <c r="S131" s="5"/>
      <c r="T131" s="5"/>
      <c r="U131" s="8"/>
      <c r="V131" s="40"/>
      <c r="W131" s="40"/>
      <c r="X131" s="46"/>
      <c r="Y131" s="59"/>
      <c r="Z131" s="185"/>
      <c r="AA131" s="138"/>
      <c r="AB131" s="497" t="str">
        <f>$AC$3</f>
        <v>2019/20</v>
      </c>
      <c r="AC131" s="486" t="str">
        <f>$AD$3</f>
        <v>2020/21</v>
      </c>
      <c r="AD131" s="486" t="str">
        <f>$AE$3</f>
        <v>2021/22</v>
      </c>
      <c r="AE131" s="486" t="str">
        <f>$AF$3</f>
        <v>2022/23</v>
      </c>
      <c r="AF131" s="512" t="str">
        <f>$AG$3</f>
        <v>2023/24</v>
      </c>
      <c r="AG131" s="497" t="str">
        <f>$AC$3</f>
        <v>2019/20</v>
      </c>
      <c r="AH131" s="486" t="str">
        <f>$AD$3</f>
        <v>2020/21</v>
      </c>
      <c r="AI131" s="486" t="str">
        <f>$AE$3</f>
        <v>2021/22</v>
      </c>
      <c r="AJ131" s="486" t="str">
        <f>$AF$3</f>
        <v>2022/23</v>
      </c>
      <c r="AK131" s="512" t="str">
        <f>$AG$3</f>
        <v>2023/24</v>
      </c>
      <c r="AL131" s="497" t="str">
        <f>$AC$3</f>
        <v>2019/20</v>
      </c>
      <c r="AM131" s="486" t="str">
        <f>$AD$3</f>
        <v>2020/21</v>
      </c>
      <c r="AN131" s="486" t="str">
        <f>$AE$3</f>
        <v>2021/22</v>
      </c>
      <c r="AO131" s="486" t="str">
        <f>$AF$3</f>
        <v>2022/23</v>
      </c>
      <c r="AP131" s="512" t="str">
        <f>$AG$3</f>
        <v>2023/24</v>
      </c>
      <c r="AQ131" s="497" t="str">
        <f>$AC$3</f>
        <v>2019/20</v>
      </c>
      <c r="AR131" s="486" t="str">
        <f>$AD$3</f>
        <v>2020/21</v>
      </c>
      <c r="AS131" s="486" t="str">
        <f>$AE$3</f>
        <v>2021/22</v>
      </c>
      <c r="AT131" s="486" t="str">
        <f>$AF$3</f>
        <v>2022/23</v>
      </c>
      <c r="AU131" s="512" t="str">
        <f>$AG$3</f>
        <v>2023/24</v>
      </c>
      <c r="AV131" s="497" t="str">
        <f>$AC$3</f>
        <v>2019/20</v>
      </c>
      <c r="AW131" s="486" t="str">
        <f>$AD$3</f>
        <v>2020/21</v>
      </c>
      <c r="AX131" s="486" t="str">
        <f>$AE$3</f>
        <v>2021/22</v>
      </c>
      <c r="AY131" s="486" t="str">
        <f>$AF$3</f>
        <v>2022/23</v>
      </c>
      <c r="AZ131" s="512" t="str">
        <f>$AG$3</f>
        <v>2023/24</v>
      </c>
      <c r="BA131" s="497" t="str">
        <f>$AC$3</f>
        <v>2019/20</v>
      </c>
      <c r="BB131" s="486" t="str">
        <f>$AD$3</f>
        <v>2020/21</v>
      </c>
      <c r="BC131" s="486" t="str">
        <f>$AE$3</f>
        <v>2021/22</v>
      </c>
      <c r="BD131" s="486" t="str">
        <f>$AF$3</f>
        <v>2022/23</v>
      </c>
      <c r="BE131" s="512" t="str">
        <f>$AG$3</f>
        <v>2023/24</v>
      </c>
      <c r="BF131" s="497" t="str">
        <f>$AC$3</f>
        <v>2019/20</v>
      </c>
      <c r="BG131" s="486" t="str">
        <f>$AD$3</f>
        <v>2020/21</v>
      </c>
      <c r="BH131" s="486" t="str">
        <f>$AE$3</f>
        <v>2021/22</v>
      </c>
      <c r="BI131" s="486" t="str">
        <f>$AF$3</f>
        <v>2022/23</v>
      </c>
      <c r="BJ131" s="512" t="str">
        <f>$AG$3</f>
        <v>2023/24</v>
      </c>
      <c r="BK131" s="497" t="str">
        <f>$AC$3</f>
        <v>2019/20</v>
      </c>
      <c r="BL131" s="486" t="str">
        <f>$AD$3</f>
        <v>2020/21</v>
      </c>
      <c r="BM131" s="486" t="str">
        <f>$AE$3</f>
        <v>2021/22</v>
      </c>
      <c r="BN131" s="486" t="str">
        <f>$AF$3</f>
        <v>2022/23</v>
      </c>
      <c r="BO131" s="512" t="str">
        <f>$AG$3</f>
        <v>2023/24</v>
      </c>
      <c r="BP131" s="497" t="str">
        <f>$AC$3</f>
        <v>2019/20</v>
      </c>
      <c r="BQ131" s="486" t="str">
        <f>$AD$3</f>
        <v>2020/21</v>
      </c>
      <c r="BR131" s="486" t="str">
        <f>$AE$3</f>
        <v>2021/22</v>
      </c>
      <c r="BS131" s="486" t="str">
        <f>$AF$3</f>
        <v>2022/23</v>
      </c>
      <c r="BT131" s="512" t="str">
        <f>$AG$3</f>
        <v>2023/24</v>
      </c>
      <c r="BU131" s="497" t="str">
        <f>$AC$3</f>
        <v>2019/20</v>
      </c>
      <c r="BV131" s="486" t="str">
        <f>$AD$3</f>
        <v>2020/21</v>
      </c>
      <c r="BW131" s="486" t="str">
        <f>$AE$3</f>
        <v>2021/22</v>
      </c>
      <c r="BX131" s="486" t="str">
        <f>$AF$3</f>
        <v>2022/23</v>
      </c>
      <c r="BY131" s="512" t="str">
        <f>$AG$3</f>
        <v>2023/24</v>
      </c>
      <c r="BZ131" s="61"/>
      <c r="CA131" s="61"/>
      <c r="CB131" s="61"/>
      <c r="CC131" s="61"/>
      <c r="CD131" s="61"/>
      <c r="CE131" s="61"/>
      <c r="CF131" s="61"/>
      <c r="CG131" s="61"/>
      <c r="CH131" s="61"/>
      <c r="CI131" s="61"/>
      <c r="CJ131" s="61"/>
      <c r="CK131" s="61"/>
      <c r="CL131" s="61"/>
      <c r="CM131" s="61"/>
      <c r="CN131" s="61"/>
      <c r="CO131" s="61"/>
      <c r="CP131" s="61"/>
      <c r="CQ131" s="61"/>
      <c r="CR131" s="61"/>
      <c r="CS131" s="61"/>
      <c r="CT131" s="61"/>
      <c r="CU131" s="61"/>
      <c r="CV131" s="61"/>
      <c r="CW131" s="61"/>
      <c r="CX131" s="61"/>
      <c r="CY131" s="61"/>
      <c r="CZ131" s="61"/>
      <c r="DA131" s="61"/>
      <c r="DB131" s="61"/>
      <c r="DC131" s="61"/>
      <c r="DD131" s="61"/>
      <c r="DE131" s="61"/>
      <c r="DF131" s="61"/>
      <c r="DG131" s="61"/>
      <c r="DH131" s="61"/>
      <c r="DI131" s="61"/>
      <c r="DJ131" s="61"/>
      <c r="DK131" s="61"/>
      <c r="DL131" s="61"/>
      <c r="DM131" s="61"/>
      <c r="DN131" s="61"/>
      <c r="DO131" s="61"/>
      <c r="DP131" s="61"/>
      <c r="DQ131" s="61"/>
      <c r="DR131" s="61"/>
      <c r="DS131" s="61"/>
      <c r="DT131" s="61"/>
      <c r="DU131" s="61"/>
      <c r="DV131" s="61"/>
      <c r="DW131" s="61"/>
      <c r="DX131" s="61"/>
      <c r="DY131" s="61"/>
      <c r="DZ131" s="61"/>
      <c r="EA131" s="61"/>
      <c r="EB131" s="61"/>
      <c r="EC131" s="61"/>
    </row>
    <row r="132" spans="1:134" ht="11.25" customHeight="1">
      <c r="A132" s="106"/>
      <c r="B132" s="1316"/>
      <c r="C132" s="1316"/>
      <c r="D132" s="1316"/>
      <c r="E132" s="1316"/>
      <c r="F132" s="1316"/>
      <c r="G132" s="1316"/>
      <c r="H132" s="1316"/>
      <c r="I132" s="40"/>
      <c r="J132" s="40"/>
      <c r="K132" s="40"/>
      <c r="L132" s="40"/>
      <c r="M132" s="5"/>
      <c r="N132" s="5"/>
      <c r="O132" s="5"/>
      <c r="P132" s="5"/>
      <c r="Q132" s="5"/>
      <c r="R132" s="5"/>
      <c r="S132" s="5"/>
      <c r="T132" s="5"/>
      <c r="U132" s="8"/>
      <c r="V132" s="40"/>
      <c r="W132" s="40"/>
      <c r="X132" s="46"/>
      <c r="Y132" s="59"/>
      <c r="Z132" s="185"/>
      <c r="AA132" s="138"/>
      <c r="AB132" s="516">
        <f t="shared" ref="AB132:AB152" si="104">IF(ISERROR(AB156/$BZ156),NA(),AB156/$BZ156)</f>
        <v>6.650971159505592E-2</v>
      </c>
      <c r="AC132" s="517">
        <f t="shared" ref="AC132:AC152" si="105">IF(ISERROR(AC156/$CA156),NA(),AC156/$CA156)</f>
        <v>8.5080886758538046E-2</v>
      </c>
      <c r="AD132" s="517">
        <f t="shared" ref="AD132:AD152" si="106">IF(ISERROR(AD156/$CB156),NA(),AD156/$CB156)</f>
        <v>6.6622251832111928E-2</v>
      </c>
      <c r="AE132" s="517">
        <f t="shared" ref="AE132:AE152" si="107">IF(ISERROR(AE156/$CC156),NA(),AE156/$CC156)</f>
        <v>8.2532504239683432E-2</v>
      </c>
      <c r="AF132" s="518">
        <f t="shared" ref="AF132:AF152" si="108">IF(ISERROR(AF156/$CD156),NA(),AF156/$CD156)</f>
        <v>7.4123097286565187E-2</v>
      </c>
      <c r="AG132" s="516">
        <f t="shared" ref="AG132:AG152" si="109">IF(ISERROR(AG156/$BZ156),NA(),AG156/$BZ156)</f>
        <v>0.290759270158917</v>
      </c>
      <c r="AH132" s="517">
        <f t="shared" ref="AH132:AH152" si="110">IF(ISERROR(AH156/$CA156),NA(),AH156/$CA156)</f>
        <v>0.16357100059916119</v>
      </c>
      <c r="AI132" s="517">
        <f t="shared" ref="AI132:AI152" si="111">IF(ISERROR(AI156/$CB156),NA(),AI156/$CB156)</f>
        <v>0.28714190539640239</v>
      </c>
      <c r="AJ132" s="517">
        <f t="shared" ref="AJ132:AJ152" si="112">IF(ISERROR(AJ156/$CC156),NA(),AJ156/$CC156)</f>
        <v>0.30243075183719614</v>
      </c>
      <c r="AK132" s="518">
        <f t="shared" ref="AK132:AK152" si="113">IF(ISERROR(AK156/$CD156),NA(),AK156/$CD156)</f>
        <v>0.28457974851091994</v>
      </c>
      <c r="AL132" s="516">
        <f t="shared" ref="AL132:AL152" si="114">IF(ISERROR(AL156/$BZ156),NA(),AL156/$BZ156)</f>
        <v>0.10417892878163626</v>
      </c>
      <c r="AM132" s="517">
        <f t="shared" ref="AM132:AM152" si="115">IF(ISERROR(AM156/$CA156),NA(),AM156/$CA156)</f>
        <v>0.16596764529658478</v>
      </c>
      <c r="AN132" s="517">
        <f t="shared" ref="AN132:AN152" si="116">IF(ISERROR(AN156/$CB156),NA(),AN156/$CB156)</f>
        <v>0.11858760826115923</v>
      </c>
      <c r="AO132" s="517">
        <f t="shared" ref="AO132:AO152" si="117">IF(ISERROR(AO156/$CC156),NA(),AO156/$CC156)</f>
        <v>9.6664782362916896E-2</v>
      </c>
      <c r="AP132" s="518">
        <f t="shared" ref="AP132:AP152" si="118">IF(ISERROR(AP156/$CD156),NA(),AP156/$CD156)</f>
        <v>0.12508272667107875</v>
      </c>
      <c r="AQ132" s="516">
        <f t="shared" ref="AQ132:AQ152" si="119">IF(ISERROR(AQ156/$BZ156),NA(),AQ156/$BZ156)</f>
        <v>1.059446733372572E-2</v>
      </c>
      <c r="AR132" s="517">
        <f t="shared" ref="AR132:AR152" si="120">IF(ISERROR(AR156/$CA156),NA(),AR156/$CA156)</f>
        <v>1.4979029358897543E-2</v>
      </c>
      <c r="AS132" s="517" t="e">
        <f t="shared" ref="AS132:AS152" si="121">IF(ISERROR(AS156/$CB156),NA(),AS156/$CB156)</f>
        <v>#N/A</v>
      </c>
      <c r="AT132" s="517">
        <f t="shared" ref="AT132:AT152" si="122">IF(ISERROR(AT156/$CC156),NA(),AT156/$CC156)</f>
        <v>0</v>
      </c>
      <c r="AU132" s="518">
        <f t="shared" ref="AU132:AU152" si="123">IF(ISERROR(AU156/$CD156),NA(),AU156/$CD156)</f>
        <v>1.7207147584381206E-2</v>
      </c>
      <c r="AV132" s="516">
        <f t="shared" ref="AV132:AV152" si="124">IF(ISERROR(AV156/$BZ156),NA(),AV156/$BZ156)</f>
        <v>0.22189523248969983</v>
      </c>
      <c r="AW132" s="517">
        <f t="shared" ref="AW132:AW152" si="125">IF(ISERROR(AW156/$CA156),NA(),AW156/$CA156)</f>
        <v>0.18214499700419412</v>
      </c>
      <c r="AX132" s="517">
        <f t="shared" ref="AX132:AX152" si="126">IF(ISERROR(AX156/$CB156),NA(),AX156/$CB156)</f>
        <v>0.24050632911392406</v>
      </c>
      <c r="AY132" s="517">
        <f t="shared" ref="AY132:AY152" si="127">IF(ISERROR(AY156/$CC156),NA(),AY156/$CC156)</f>
        <v>0.21198417184850199</v>
      </c>
      <c r="AZ132" s="518">
        <f t="shared" ref="AZ132:AZ152" si="128">IF(ISERROR(AZ156/$CD156),NA(),AZ156/$CD156)</f>
        <v>0.20780939774983453</v>
      </c>
      <c r="BA132" s="516">
        <f t="shared" ref="BA132:BA152" si="129">IF(ISERROR(BA156/$BZ156),NA(),BA156/$BZ156)</f>
        <v>0.22778104767510302</v>
      </c>
      <c r="BB132" s="517">
        <f t="shared" ref="BB132:BB152" si="130">IF(ISERROR(BB156/$CA156),NA(),BB156/$CA156)</f>
        <v>0.30437387657279807</v>
      </c>
      <c r="BC132" s="517">
        <f t="shared" ref="BC132:BC152" si="131">IF(ISERROR(BC156/$CB156),NA(),BC156/$CB156)</f>
        <v>0.22984676882078614</v>
      </c>
      <c r="BD132" s="517">
        <f t="shared" ref="BD132:BD152" si="132">IF(ISERROR(BD156/$CC156),NA(),BD156/$CC156)</f>
        <v>0.23063877897117016</v>
      </c>
      <c r="BE132" s="518">
        <f t="shared" ref="BE132:BE152" si="133">IF(ISERROR(BE156/$CD156),NA(),BE156/$CD156)</f>
        <v>0.22898742554599602</v>
      </c>
      <c r="BF132" s="516">
        <f t="shared" ref="BF132:BF152" si="134">IF(ISERROR(BF156/$BZ156),NA(),BF156/$BZ156)</f>
        <v>2.4720423778693348E-2</v>
      </c>
      <c r="BG132" s="517">
        <f t="shared" ref="BG132:BG152" si="135">IF(ISERROR(BG156/$CA156),NA(),BG156/$CA156)</f>
        <v>3.5350509286998205E-2</v>
      </c>
      <c r="BH132" s="517">
        <f t="shared" ref="BH132:BH152" si="136">IF(ISERROR(BH156/$CB156),NA(),BH156/$CB156)</f>
        <v>2.8647568287808126E-2</v>
      </c>
      <c r="BI132" s="517">
        <f t="shared" ref="BI132:BI152" si="137">IF(ISERROR(BI156/$CC156),NA(),BI156/$CC156)</f>
        <v>3.1656302996042961E-2</v>
      </c>
      <c r="BJ132" s="518">
        <f t="shared" ref="BJ132:BJ152" si="138">IF(ISERROR(BJ156/$CD156),NA(),BJ156/$CD156)</f>
        <v>2.5810721376571807E-2</v>
      </c>
      <c r="BK132" s="516">
        <f t="shared" ref="BK132:BK152" si="139">IF(ISERROR(BK156/$BZ156),NA(),BK156/$BZ156)</f>
        <v>4.0023543260741611E-2</v>
      </c>
      <c r="BL132" s="517">
        <f t="shared" ref="BL132:BL152" si="140">IF(ISERROR(BL156/$CA156),NA(),BL156/$CA156)</f>
        <v>3.5949670461354104E-2</v>
      </c>
      <c r="BM132" s="517">
        <f t="shared" ref="BM132:BM152" si="141">IF(ISERROR(BM156/$CB156),NA(),BM156/$CB156)</f>
        <v>2.8647568287808126E-2</v>
      </c>
      <c r="BN132" s="517">
        <f t="shared" ref="BN132:BN152" si="142">IF(ISERROR(BN156/$CC156),NA(),BN156/$CC156)</f>
        <v>3.2786885245901641E-2</v>
      </c>
      <c r="BO132" s="518">
        <f t="shared" ref="BO132:BO152" si="143">IF(ISERROR(BO156/$CD156),NA(),BO156/$CD156)</f>
        <v>2.6472534745201854E-2</v>
      </c>
      <c r="BP132" s="516">
        <f t="shared" ref="BP132:BP152" si="144">IF(ISERROR(BP156/$BZ156),NA(),BP156/$BZ156)</f>
        <v>1.3537374926427309E-2</v>
      </c>
      <c r="BQ132" s="517">
        <f t="shared" ref="BQ132:BQ152" si="145">IF(ISERROR(BQ156/$CA156),NA(),BQ156/$CA156)</f>
        <v>1.2582384661473937E-2</v>
      </c>
      <c r="BR132" s="517" t="e">
        <f t="shared" ref="BR132:BR152" si="146">IF(ISERROR(BR156/$CB156),NA(),BR156/$CB156)</f>
        <v>#N/A</v>
      </c>
      <c r="BS132" s="517">
        <f t="shared" ref="BS132:BS152" si="147">IF(ISERROR(BS156/$CC156),NA(),BS156/$CC156)</f>
        <v>1.1305822498586773E-2</v>
      </c>
      <c r="BT132" s="518">
        <f t="shared" ref="BT132:BT152" si="148">IF(ISERROR(BT156/$CD156),NA(),BT156/$CD156)</f>
        <v>9.9272005294506957E-3</v>
      </c>
      <c r="BU132" s="516">
        <f t="shared" ref="BU132:BU152" si="149">IF(ISERROR(BU156/$BZ156),NA(),BU156/$BZ156)</f>
        <v>0</v>
      </c>
      <c r="BV132" s="517">
        <f t="shared" ref="BV132:BV152" si="150">IF(ISERROR(BV156/$CA156),NA(),BV156/$CA156)</f>
        <v>0</v>
      </c>
      <c r="BW132" s="517">
        <f t="shared" ref="BW132:BW152" si="151">IF(ISERROR(BW156/$CB156),NA(),BW156/$CB156)</f>
        <v>0</v>
      </c>
      <c r="BX132" s="517">
        <f t="shared" ref="BX132:BX152" si="152">IF(ISERROR(BX156/$CC156),NA(),BX156/$CC156)</f>
        <v>0</v>
      </c>
      <c r="BY132" s="518">
        <f t="shared" ref="BY132:BY150" si="153">IF(ISERROR(BY156/$CD156),NA(),BY156/$CD156)</f>
        <v>0</v>
      </c>
      <c r="EC132" s="61"/>
      <c r="ED132" s="61"/>
    </row>
    <row r="133" spans="1:134" s="61" customFormat="1" ht="11.25" customHeight="1">
      <c r="A133" s="106"/>
      <c r="B133" s="1316"/>
      <c r="C133" s="1316"/>
      <c r="D133" s="1316"/>
      <c r="E133" s="1316"/>
      <c r="F133" s="1316"/>
      <c r="G133" s="1316"/>
      <c r="H133" s="1316"/>
      <c r="I133" s="40"/>
      <c r="J133" s="40"/>
      <c r="K133" s="40"/>
      <c r="L133" s="40"/>
      <c r="M133" s="5"/>
      <c r="N133" s="5"/>
      <c r="O133" s="5"/>
      <c r="P133" s="5"/>
      <c r="Q133" s="5"/>
      <c r="R133" s="5"/>
      <c r="S133" s="5"/>
      <c r="T133" s="5"/>
      <c r="U133" s="8"/>
      <c r="V133" s="40"/>
      <c r="W133" s="40"/>
      <c r="X133" s="46"/>
      <c r="Y133" s="46"/>
      <c r="Z133" s="185"/>
      <c r="AA133" s="138"/>
      <c r="AB133" s="516">
        <f t="shared" si="104"/>
        <v>2.9403528423410808E-2</v>
      </c>
      <c r="AC133" s="517">
        <f t="shared" si="105"/>
        <v>4.7635250085062947E-2</v>
      </c>
      <c r="AD133" s="517">
        <f t="shared" si="106"/>
        <v>6.8309419837804114E-2</v>
      </c>
      <c r="AE133" s="517">
        <f t="shared" si="107"/>
        <v>8.078939253777366E-2</v>
      </c>
      <c r="AF133" s="518">
        <f t="shared" si="108"/>
        <v>6.5090574147988953E-2</v>
      </c>
      <c r="AG133" s="516">
        <f t="shared" si="109"/>
        <v>0.18818258190982917</v>
      </c>
      <c r="AH133" s="517">
        <f t="shared" si="110"/>
        <v>0.11636611092208234</v>
      </c>
      <c r="AI133" s="517">
        <f t="shared" si="111"/>
        <v>0.17903930131004367</v>
      </c>
      <c r="AJ133" s="517">
        <f t="shared" si="112"/>
        <v>0.18994757940178847</v>
      </c>
      <c r="AK133" s="518">
        <f t="shared" si="113"/>
        <v>0.23088731961928155</v>
      </c>
      <c r="AL133" s="516">
        <f t="shared" si="114"/>
        <v>0.12629515541865025</v>
      </c>
      <c r="AM133" s="517">
        <f t="shared" si="115"/>
        <v>0.12691391629806056</v>
      </c>
      <c r="AN133" s="517">
        <f t="shared" si="116"/>
        <v>0.13256394260761073</v>
      </c>
      <c r="AO133" s="517">
        <f t="shared" si="117"/>
        <v>0.13598519888991675</v>
      </c>
      <c r="AP133" s="518">
        <f t="shared" si="118"/>
        <v>0.1486030089038993</v>
      </c>
      <c r="AQ133" s="516">
        <f t="shared" si="119"/>
        <v>1.7922150658078971E-2</v>
      </c>
      <c r="AR133" s="517">
        <f t="shared" si="120"/>
        <v>1.1568560734943858E-2</v>
      </c>
      <c r="AS133" s="517">
        <f t="shared" si="121"/>
        <v>4.9906425452276981E-3</v>
      </c>
      <c r="AT133" s="517">
        <f t="shared" si="122"/>
        <v>1.3567684242984891E-2</v>
      </c>
      <c r="AU133" s="518">
        <f t="shared" si="123"/>
        <v>1.197420939514891E-2</v>
      </c>
      <c r="AV133" s="516">
        <f t="shared" si="124"/>
        <v>0.13917670120414449</v>
      </c>
      <c r="AW133" s="517">
        <f t="shared" si="125"/>
        <v>0.15651582170806397</v>
      </c>
      <c r="AX133" s="517">
        <f t="shared" si="126"/>
        <v>0.14285714285714285</v>
      </c>
      <c r="AY133" s="517">
        <f t="shared" si="127"/>
        <v>0.1902559358618563</v>
      </c>
      <c r="AZ133" s="518">
        <f t="shared" si="128"/>
        <v>0.18974516426159041</v>
      </c>
      <c r="BA133" s="516">
        <f t="shared" si="129"/>
        <v>0.28591430971716608</v>
      </c>
      <c r="BB133" s="517">
        <f t="shared" si="130"/>
        <v>0.37189520244981283</v>
      </c>
      <c r="BC133" s="517">
        <f t="shared" si="131"/>
        <v>0.31815346225826574</v>
      </c>
      <c r="BD133" s="517">
        <f t="shared" si="132"/>
        <v>0.32284921369102682</v>
      </c>
      <c r="BE133" s="518">
        <f t="shared" si="133"/>
        <v>0.31593490942585201</v>
      </c>
      <c r="BF133" s="516">
        <f t="shared" si="134"/>
        <v>2.6323158779053488E-2</v>
      </c>
      <c r="BG133" s="517">
        <f t="shared" si="135"/>
        <v>2.2456617897243961E-2</v>
      </c>
      <c r="BH133" s="517">
        <f t="shared" si="136"/>
        <v>9.3574547723019336E-3</v>
      </c>
      <c r="BI133" s="517">
        <f t="shared" si="137"/>
        <v>1.4184397163120567E-2</v>
      </c>
      <c r="BJ133" s="518">
        <f t="shared" si="138"/>
        <v>1.1053116364752841E-2</v>
      </c>
      <c r="BK133" s="516">
        <f t="shared" si="139"/>
        <v>3.2763931671800618E-2</v>
      </c>
      <c r="BL133" s="517">
        <f t="shared" si="140"/>
        <v>4.8315753657706705E-2</v>
      </c>
      <c r="BM133" s="517">
        <f t="shared" si="141"/>
        <v>2.8696194635059263E-2</v>
      </c>
      <c r="BN133" s="517">
        <f t="shared" si="142"/>
        <v>0</v>
      </c>
      <c r="BO133" s="518">
        <f t="shared" si="143"/>
        <v>0</v>
      </c>
      <c r="BP133" s="516">
        <f t="shared" si="144"/>
        <v>1.3161579389526744E-2</v>
      </c>
      <c r="BQ133" s="517">
        <f t="shared" si="145"/>
        <v>1.6332085743450152E-2</v>
      </c>
      <c r="BR133" s="517">
        <f t="shared" si="146"/>
        <v>1.7155333749220212E-2</v>
      </c>
      <c r="BS133" s="517">
        <f t="shared" si="147"/>
        <v>1.9118100524205983E-2</v>
      </c>
      <c r="BT133" s="518">
        <f t="shared" si="148"/>
        <v>1.6579674547129261E-2</v>
      </c>
      <c r="BU133" s="516">
        <f t="shared" si="149"/>
        <v>0.1408569028283394</v>
      </c>
      <c r="BV133" s="517">
        <f t="shared" si="150"/>
        <v>8.2000680503572648E-2</v>
      </c>
      <c r="BW133" s="517">
        <f t="shared" si="151"/>
        <v>9.8877105427323767E-2</v>
      </c>
      <c r="BX133" s="517">
        <f t="shared" si="152"/>
        <v>3.330249768732655E-2</v>
      </c>
      <c r="BY133" s="518">
        <f t="shared" si="153"/>
        <v>1.013202333435677E-2</v>
      </c>
      <c r="BZ133" s="52"/>
      <c r="CA133" s="52"/>
      <c r="CB133" s="52"/>
      <c r="CC133" s="52"/>
      <c r="CD133" s="52"/>
      <c r="CE133" s="52"/>
      <c r="CF133" s="52"/>
      <c r="CG133" s="52"/>
      <c r="CH133" s="52"/>
      <c r="CI133" s="52"/>
      <c r="CJ133" s="52"/>
      <c r="CK133" s="52"/>
      <c r="CL133" s="52"/>
      <c r="CM133" s="52"/>
      <c r="CN133" s="52"/>
      <c r="CO133" s="52"/>
      <c r="CP133" s="52"/>
      <c r="CQ133" s="52"/>
      <c r="CR133" s="52"/>
      <c r="CS133" s="52"/>
      <c r="CT133" s="52"/>
      <c r="CU133" s="52"/>
      <c r="CV133" s="52"/>
      <c r="CW133" s="52"/>
      <c r="CX133" s="52"/>
      <c r="CY133" s="52"/>
      <c r="CZ133" s="52"/>
      <c r="DA133" s="52"/>
      <c r="DB133" s="52"/>
      <c r="DC133" s="52"/>
      <c r="DD133" s="52"/>
      <c r="DE133" s="52"/>
      <c r="DF133" s="52"/>
      <c r="DG133" s="52"/>
      <c r="DH133" s="52"/>
      <c r="DI133" s="52"/>
      <c r="DJ133" s="52"/>
      <c r="DK133" s="52"/>
      <c r="DL133" s="52"/>
      <c r="DM133" s="52"/>
      <c r="DN133" s="52"/>
      <c r="DO133" s="52"/>
      <c r="DP133" s="52"/>
      <c r="DQ133" s="52"/>
      <c r="DR133" s="52"/>
      <c r="DS133" s="52"/>
      <c r="DT133" s="52"/>
      <c r="DU133" s="52"/>
      <c r="DV133" s="52"/>
      <c r="DW133" s="52"/>
      <c r="DX133" s="52"/>
      <c r="DY133" s="52"/>
      <c r="DZ133" s="52"/>
      <c r="EA133" s="52"/>
      <c r="EB133" s="52"/>
    </row>
    <row r="134" spans="1:134" s="61" customFormat="1" ht="11.25" customHeight="1">
      <c r="A134" s="106"/>
      <c r="B134" s="1316"/>
      <c r="C134" s="1316"/>
      <c r="D134" s="1316"/>
      <c r="E134" s="1316"/>
      <c r="F134" s="1316"/>
      <c r="G134" s="1316"/>
      <c r="H134" s="1316"/>
      <c r="I134" s="40"/>
      <c r="J134" s="40"/>
      <c r="K134" s="40"/>
      <c r="L134" s="40"/>
      <c r="M134" s="5"/>
      <c r="N134" s="5"/>
      <c r="O134" s="5"/>
      <c r="P134" s="5"/>
      <c r="Q134" s="5"/>
      <c r="R134" s="5"/>
      <c r="S134" s="5"/>
      <c r="T134" s="5"/>
      <c r="U134" s="8"/>
      <c r="V134" s="40"/>
      <c r="W134" s="40"/>
      <c r="X134" s="46"/>
      <c r="Y134" s="46"/>
      <c r="Z134" s="103"/>
      <c r="AA134" s="144"/>
      <c r="AB134" s="516">
        <f t="shared" si="104"/>
        <v>7.5896078903055081E-2</v>
      </c>
      <c r="AC134" s="517">
        <f t="shared" si="105"/>
        <v>8.6411731947280496E-2</v>
      </c>
      <c r="AD134" s="517">
        <f t="shared" si="106"/>
        <v>7.8933292580423323E-2</v>
      </c>
      <c r="AE134" s="517">
        <f t="shared" si="107"/>
        <v>7.4853993583943401E-2</v>
      </c>
      <c r="AF134" s="518">
        <f t="shared" si="108"/>
        <v>5.6948640483383689E-2</v>
      </c>
      <c r="AG134" s="516">
        <f t="shared" si="109"/>
        <v>0.19461149867693048</v>
      </c>
      <c r="AH134" s="517">
        <f t="shared" si="110"/>
        <v>0.16242806757007611</v>
      </c>
      <c r="AI134" s="517">
        <f t="shared" si="111"/>
        <v>0.23435470314052112</v>
      </c>
      <c r="AJ134" s="517">
        <f t="shared" si="112"/>
        <v>0.22192975240602122</v>
      </c>
      <c r="AK134" s="518">
        <f t="shared" si="113"/>
        <v>0.21465256797583082</v>
      </c>
      <c r="AL134" s="516">
        <f t="shared" si="114"/>
        <v>0.15479913399085879</v>
      </c>
      <c r="AM134" s="517">
        <f t="shared" si="115"/>
        <v>0.18628178949322444</v>
      </c>
      <c r="AN134" s="517">
        <f t="shared" si="116"/>
        <v>0.18499274088790402</v>
      </c>
      <c r="AO134" s="517">
        <f t="shared" si="117"/>
        <v>0.18417372707082338</v>
      </c>
      <c r="AP134" s="518">
        <f t="shared" si="118"/>
        <v>0.15377643504531721</v>
      </c>
      <c r="AQ134" s="516">
        <f t="shared" si="119"/>
        <v>1.4914601876353139E-2</v>
      </c>
      <c r="AR134" s="517">
        <f t="shared" si="120"/>
        <v>9.4672359383701499E-3</v>
      </c>
      <c r="AS134" s="517">
        <f t="shared" si="121"/>
        <v>4.8903492014976697E-3</v>
      </c>
      <c r="AT134" s="517">
        <f t="shared" si="122"/>
        <v>4.0305996545200295E-3</v>
      </c>
      <c r="AU134" s="518">
        <f t="shared" si="123"/>
        <v>5.287009063444109E-3</v>
      </c>
      <c r="AV134" s="516">
        <f t="shared" si="124"/>
        <v>0.11655039692085639</v>
      </c>
      <c r="AW134" s="517">
        <f t="shared" si="125"/>
        <v>0.10413959532207165</v>
      </c>
      <c r="AX134" s="517">
        <f t="shared" si="126"/>
        <v>9.276381141590892E-2</v>
      </c>
      <c r="AY134" s="517">
        <f t="shared" si="127"/>
        <v>0.10002467714074197</v>
      </c>
      <c r="AZ134" s="518">
        <f t="shared" si="128"/>
        <v>0.13051359516616315</v>
      </c>
      <c r="BA134" s="516">
        <f t="shared" si="129"/>
        <v>0.35001202790473901</v>
      </c>
      <c r="BB134" s="517">
        <f t="shared" si="130"/>
        <v>0.35455726749582328</v>
      </c>
      <c r="BC134" s="517">
        <f t="shared" si="131"/>
        <v>0.33254374570184153</v>
      </c>
      <c r="BD134" s="517">
        <f t="shared" si="132"/>
        <v>0.34868799868388584</v>
      </c>
      <c r="BE134" s="518">
        <f t="shared" si="133"/>
        <v>0.35861027190332329</v>
      </c>
      <c r="BF134" s="516">
        <f t="shared" si="134"/>
        <v>2.6701948520567717E-2</v>
      </c>
      <c r="BG134" s="517">
        <f t="shared" si="135"/>
        <v>2.4224986077594209E-2</v>
      </c>
      <c r="BH134" s="517">
        <f t="shared" si="136"/>
        <v>2.0783984106365096E-2</v>
      </c>
      <c r="BI134" s="517">
        <f t="shared" si="137"/>
        <v>2.1386855309698118E-2</v>
      </c>
      <c r="BJ134" s="518">
        <f t="shared" si="138"/>
        <v>3.1722054380664652E-2</v>
      </c>
      <c r="BK134" s="516">
        <f t="shared" si="139"/>
        <v>4.7991339908587921E-2</v>
      </c>
      <c r="BL134" s="517">
        <f t="shared" si="140"/>
        <v>4.083905698904771E-2</v>
      </c>
      <c r="BM134" s="517">
        <f t="shared" si="141"/>
        <v>3.6142737067318714E-2</v>
      </c>
      <c r="BN134" s="517">
        <f t="shared" si="142"/>
        <v>2.8214197581640208E-2</v>
      </c>
      <c r="BO134" s="518">
        <f t="shared" si="143"/>
        <v>3.8217522658610274E-2</v>
      </c>
      <c r="BP134" s="516">
        <f t="shared" si="144"/>
        <v>1.8522973298051481E-2</v>
      </c>
      <c r="BQ134" s="517">
        <f t="shared" si="145"/>
        <v>3.0258028587339891E-2</v>
      </c>
      <c r="BR134" s="517">
        <f t="shared" si="146"/>
        <v>1.4059753954305799E-2</v>
      </c>
      <c r="BS134" s="517">
        <f t="shared" si="147"/>
        <v>1.5957884346467055E-2</v>
      </c>
      <c r="BT134" s="518">
        <f t="shared" si="148"/>
        <v>6.3444108761329309E-3</v>
      </c>
      <c r="BU134" s="516" t="e">
        <f t="shared" si="149"/>
        <v>#N/A</v>
      </c>
      <c r="BV134" s="517">
        <f t="shared" si="150"/>
        <v>1.3922405791720808E-3</v>
      </c>
      <c r="BW134" s="517">
        <f t="shared" si="151"/>
        <v>5.3488194391380765E-4</v>
      </c>
      <c r="BX134" s="517">
        <f t="shared" si="152"/>
        <v>7.4031422225878099E-4</v>
      </c>
      <c r="BY134" s="518">
        <f t="shared" si="153"/>
        <v>3.9274924471299098E-3</v>
      </c>
      <c r="BZ134" s="52"/>
      <c r="CA134" s="52"/>
      <c r="CB134" s="52"/>
      <c r="CC134" s="52"/>
      <c r="CD134" s="52"/>
      <c r="CE134" s="52"/>
      <c r="CF134" s="52"/>
      <c r="CG134" s="52"/>
      <c r="CH134" s="52"/>
      <c r="CI134" s="52"/>
      <c r="CJ134" s="52"/>
      <c r="CK134" s="52"/>
      <c r="CL134" s="52"/>
      <c r="CM134" s="52"/>
      <c r="CN134" s="52"/>
      <c r="CO134" s="52"/>
      <c r="CP134" s="52"/>
      <c r="CQ134" s="52"/>
      <c r="CR134" s="52"/>
      <c r="CS134" s="52"/>
      <c r="CT134" s="52"/>
      <c r="CU134" s="52"/>
      <c r="CV134" s="52"/>
      <c r="CW134" s="52"/>
      <c r="CX134" s="52"/>
      <c r="CY134" s="52"/>
      <c r="CZ134" s="52"/>
      <c r="DA134" s="52"/>
      <c r="DB134" s="52"/>
      <c r="DC134" s="52"/>
      <c r="DD134" s="52"/>
      <c r="DE134" s="52"/>
      <c r="DF134" s="52"/>
      <c r="DG134" s="52"/>
      <c r="DH134" s="52"/>
      <c r="DI134" s="52"/>
      <c r="DJ134" s="52"/>
      <c r="DK134" s="52"/>
      <c r="DL134" s="52"/>
      <c r="DM134" s="52"/>
      <c r="DN134" s="52"/>
      <c r="DO134" s="52"/>
      <c r="DP134" s="52"/>
      <c r="DQ134" s="52"/>
      <c r="DR134" s="52"/>
      <c r="DS134" s="52"/>
      <c r="DT134" s="52"/>
      <c r="DU134" s="52"/>
      <c r="DV134" s="52"/>
      <c r="DW134" s="52"/>
      <c r="DX134" s="52"/>
      <c r="DY134" s="52"/>
      <c r="DZ134" s="52"/>
      <c r="EA134" s="52"/>
      <c r="EB134" s="52"/>
      <c r="EC134" s="52"/>
    </row>
    <row r="135" spans="1:134" s="61" customFormat="1" ht="11.25" customHeight="1">
      <c r="A135" s="106"/>
      <c r="B135" s="1316"/>
      <c r="C135" s="1316"/>
      <c r="D135" s="1316"/>
      <c r="E135" s="1316"/>
      <c r="F135" s="1316"/>
      <c r="G135" s="1316"/>
      <c r="H135" s="1316"/>
      <c r="I135" s="40"/>
      <c r="J135" s="40"/>
      <c r="K135" s="40"/>
      <c r="L135" s="40"/>
      <c r="M135" s="5"/>
      <c r="N135" s="5"/>
      <c r="O135" s="5"/>
      <c r="P135" s="5"/>
      <c r="Q135" s="5"/>
      <c r="R135" s="5"/>
      <c r="S135" s="5"/>
      <c r="T135" s="5"/>
      <c r="U135" s="8"/>
      <c r="V135" s="40"/>
      <c r="W135" s="40"/>
      <c r="X135" s="46"/>
      <c r="Y135" s="46"/>
      <c r="Z135" s="103"/>
      <c r="AA135" s="144"/>
      <c r="AB135" s="516">
        <f t="shared" si="104"/>
        <v>9.3112550995920321E-2</v>
      </c>
      <c r="AC135" s="517">
        <f t="shared" si="105"/>
        <v>9.884937238493724E-2</v>
      </c>
      <c r="AD135" s="517">
        <f t="shared" si="106"/>
        <v>8.8303821062441751E-2</v>
      </c>
      <c r="AE135" s="517">
        <f t="shared" si="107"/>
        <v>9.9386816555952995E-2</v>
      </c>
      <c r="AF135" s="518">
        <f t="shared" si="108"/>
        <v>0.10090466249130133</v>
      </c>
      <c r="AG135" s="516">
        <f t="shared" si="109"/>
        <v>0.16798656107511398</v>
      </c>
      <c r="AH135" s="517">
        <f t="shared" si="110"/>
        <v>0.12630753138075315</v>
      </c>
      <c r="AI135" s="517">
        <f t="shared" si="111"/>
        <v>0.17264678471575023</v>
      </c>
      <c r="AJ135" s="517">
        <f t="shared" si="112"/>
        <v>0.17833418497700562</v>
      </c>
      <c r="AK135" s="518">
        <f t="shared" si="113"/>
        <v>0.15170494084899094</v>
      </c>
      <c r="AL135" s="516">
        <f t="shared" si="114"/>
        <v>0.11159107271418287</v>
      </c>
      <c r="AM135" s="517">
        <f t="shared" si="115"/>
        <v>0.11297071129707113</v>
      </c>
      <c r="AN135" s="517">
        <f t="shared" si="116"/>
        <v>0.10950605778191985</v>
      </c>
      <c r="AO135" s="517">
        <f t="shared" si="117"/>
        <v>0.11037301992846194</v>
      </c>
      <c r="AP135" s="518">
        <f t="shared" si="118"/>
        <v>0.11969380654140571</v>
      </c>
      <c r="AQ135" s="516">
        <f t="shared" si="119"/>
        <v>1.3678905687544997E-2</v>
      </c>
      <c r="AR135" s="517">
        <f t="shared" si="120"/>
        <v>1.6474895397489541E-2</v>
      </c>
      <c r="AS135" s="517">
        <f t="shared" si="121"/>
        <v>1.6309412861136997E-2</v>
      </c>
      <c r="AT135" s="517">
        <f t="shared" si="122"/>
        <v>1.5074092999489013E-2</v>
      </c>
      <c r="AU135" s="518">
        <f t="shared" si="123"/>
        <v>1.6005567153792623E-2</v>
      </c>
      <c r="AV135" s="516">
        <f t="shared" si="124"/>
        <v>0.19462443004559635</v>
      </c>
      <c r="AW135" s="517">
        <f t="shared" si="125"/>
        <v>0.19822175732217573</v>
      </c>
      <c r="AX135" s="517">
        <f t="shared" si="126"/>
        <v>0.20736253494874185</v>
      </c>
      <c r="AY135" s="517">
        <f t="shared" si="127"/>
        <v>0.20158405723045478</v>
      </c>
      <c r="AZ135" s="518">
        <f t="shared" si="128"/>
        <v>0.21340756205056832</v>
      </c>
      <c r="BA135" s="516">
        <f t="shared" si="129"/>
        <v>0.26661867050635951</v>
      </c>
      <c r="BB135" s="517">
        <f t="shared" si="130"/>
        <v>0.32060669456066948</v>
      </c>
      <c r="BC135" s="517">
        <f t="shared" si="131"/>
        <v>0.27050326188257223</v>
      </c>
      <c r="BD135" s="517">
        <f t="shared" si="132"/>
        <v>0.27312212570260602</v>
      </c>
      <c r="BE135" s="518">
        <f t="shared" si="133"/>
        <v>0.29900255161215494</v>
      </c>
      <c r="BF135" s="516">
        <f t="shared" si="134"/>
        <v>4.655627549796016E-2</v>
      </c>
      <c r="BG135" s="517">
        <f t="shared" si="135"/>
        <v>4.131799163179916E-2</v>
      </c>
      <c r="BH135" s="517">
        <f t="shared" si="136"/>
        <v>5.498602050326188E-2</v>
      </c>
      <c r="BI135" s="517">
        <f t="shared" si="137"/>
        <v>5.8507920286152273E-2</v>
      </c>
      <c r="BJ135" s="518">
        <f t="shared" si="138"/>
        <v>4.4537230340988172E-2</v>
      </c>
      <c r="BK135" s="516">
        <f t="shared" si="139"/>
        <v>6.5754739620830338E-2</v>
      </c>
      <c r="BL135" s="517">
        <f t="shared" si="140"/>
        <v>4.5502092050209206E-2</v>
      </c>
      <c r="BM135" s="517">
        <f t="shared" si="141"/>
        <v>4.3802423112767941E-2</v>
      </c>
      <c r="BN135" s="517">
        <f t="shared" si="142"/>
        <v>4.0878896269800714E-2</v>
      </c>
      <c r="BO135" s="518">
        <f t="shared" si="143"/>
        <v>2.7835768963117607E-2</v>
      </c>
      <c r="BP135" s="516">
        <f t="shared" si="144"/>
        <v>2.2798176145908327E-2</v>
      </c>
      <c r="BQ135" s="517">
        <f t="shared" si="145"/>
        <v>2.0135983263598327E-2</v>
      </c>
      <c r="BR135" s="517">
        <f t="shared" si="146"/>
        <v>2.3998136067101584E-2</v>
      </c>
      <c r="BS135" s="517">
        <f t="shared" si="147"/>
        <v>1.7884517118037811E-2</v>
      </c>
      <c r="BT135" s="518">
        <f t="shared" si="148"/>
        <v>2.1572720946416143E-2</v>
      </c>
      <c r="BU135" s="516">
        <f t="shared" si="149"/>
        <v>1.7278617710583154E-2</v>
      </c>
      <c r="BV135" s="517">
        <f t="shared" si="150"/>
        <v>1.961297071129707E-2</v>
      </c>
      <c r="BW135" s="517">
        <f t="shared" si="151"/>
        <v>1.2581547064305684E-2</v>
      </c>
      <c r="BX135" s="517">
        <f t="shared" si="152"/>
        <v>4.8543689320388345E-3</v>
      </c>
      <c r="BY135" s="518">
        <f t="shared" si="153"/>
        <v>5.3351890512642079E-3</v>
      </c>
      <c r="BZ135" s="52"/>
      <c r="CA135" s="52"/>
      <c r="CB135" s="52"/>
      <c r="CC135" s="52"/>
      <c r="CD135" s="52"/>
      <c r="CE135" s="52"/>
      <c r="CF135" s="52"/>
      <c r="CG135" s="52"/>
      <c r="CH135" s="52"/>
      <c r="CI135" s="52"/>
      <c r="CJ135" s="52"/>
      <c r="CK135" s="52"/>
      <c r="CL135" s="52"/>
      <c r="CM135" s="52"/>
      <c r="CN135" s="52"/>
      <c r="CO135" s="52"/>
      <c r="CP135" s="52"/>
      <c r="CQ135" s="52"/>
      <c r="CR135" s="52"/>
      <c r="CS135" s="52"/>
      <c r="CT135" s="52"/>
      <c r="CU135" s="52"/>
      <c r="CV135" s="52"/>
      <c r="CW135" s="52"/>
      <c r="CX135" s="52"/>
      <c r="CY135" s="52"/>
      <c r="CZ135" s="52"/>
      <c r="DA135" s="52"/>
      <c r="DB135" s="52"/>
      <c r="DC135" s="52"/>
      <c r="DD135" s="52"/>
      <c r="DE135" s="52"/>
      <c r="DF135" s="52"/>
      <c r="DG135" s="52"/>
      <c r="DH135" s="52"/>
      <c r="DI135" s="52"/>
      <c r="DJ135" s="52"/>
      <c r="DK135" s="52"/>
      <c r="DL135" s="52"/>
      <c r="DM135" s="52"/>
      <c r="DN135" s="52"/>
      <c r="DO135" s="52"/>
      <c r="DP135" s="52"/>
      <c r="DQ135" s="52"/>
      <c r="DR135" s="52"/>
      <c r="DS135" s="52"/>
      <c r="DT135" s="52"/>
      <c r="DU135" s="52"/>
      <c r="DV135" s="52"/>
      <c r="DW135" s="52"/>
      <c r="DX135" s="52"/>
      <c r="DY135" s="52"/>
      <c r="DZ135" s="52"/>
      <c r="EA135" s="52"/>
      <c r="EB135" s="52"/>
      <c r="EC135" s="52"/>
    </row>
    <row r="136" spans="1:134" s="61" customFormat="1" ht="11.25" customHeight="1">
      <c r="A136" s="106"/>
      <c r="B136" s="1316"/>
      <c r="C136" s="1316"/>
      <c r="D136" s="1316"/>
      <c r="E136" s="1316"/>
      <c r="F136" s="1316"/>
      <c r="G136" s="1316"/>
      <c r="H136" s="1316"/>
      <c r="I136" s="40"/>
      <c r="J136" s="40"/>
      <c r="K136" s="40"/>
      <c r="L136" s="40"/>
      <c r="M136" s="5"/>
      <c r="N136" s="5"/>
      <c r="O136" s="5"/>
      <c r="P136" s="5"/>
      <c r="Q136" s="5"/>
      <c r="R136" s="5"/>
      <c r="S136" s="5"/>
      <c r="T136" s="5"/>
      <c r="U136" s="8"/>
      <c r="V136" s="40"/>
      <c r="W136" s="40"/>
      <c r="X136" s="46"/>
      <c r="Y136" s="46"/>
      <c r="Z136" s="103"/>
      <c r="AA136" s="144"/>
      <c r="AB136" s="516">
        <f t="shared" si="104"/>
        <v>0.1138971315529179</v>
      </c>
      <c r="AC136" s="517">
        <f t="shared" si="105"/>
        <v>0.11457503164408607</v>
      </c>
      <c r="AD136" s="517">
        <f t="shared" si="106"/>
        <v>9.6405348140571348E-2</v>
      </c>
      <c r="AE136" s="517">
        <f t="shared" si="107"/>
        <v>9.4593255606566035E-2</v>
      </c>
      <c r="AF136" s="518" t="e">
        <f t="shared" si="108"/>
        <v>#N/A</v>
      </c>
      <c r="AG136" s="516">
        <f t="shared" si="109"/>
        <v>0.24762611275964391</v>
      </c>
      <c r="AH136" s="517">
        <f t="shared" si="110"/>
        <v>0.19384932727017018</v>
      </c>
      <c r="AI136" s="517">
        <f t="shared" si="111"/>
        <v>0.26842989698253816</v>
      </c>
      <c r="AJ136" s="517">
        <f t="shared" si="112"/>
        <v>0.29857647719390956</v>
      </c>
      <c r="AK136" s="518" t="e">
        <f t="shared" si="113"/>
        <v>#N/A</v>
      </c>
      <c r="AL136" s="516">
        <f t="shared" si="114"/>
        <v>0.18081107814045499</v>
      </c>
      <c r="AM136" s="517">
        <f t="shared" si="115"/>
        <v>0.19750597721625804</v>
      </c>
      <c r="AN136" s="517">
        <f t="shared" si="116"/>
        <v>0.18389712866223423</v>
      </c>
      <c r="AO136" s="517">
        <f t="shared" si="117"/>
        <v>0.18370380156554481</v>
      </c>
      <c r="AP136" s="518" t="e">
        <f t="shared" si="118"/>
        <v>#N/A</v>
      </c>
      <c r="AQ136" s="516">
        <f t="shared" si="119"/>
        <v>1.2265084075173096E-2</v>
      </c>
      <c r="AR136" s="517">
        <f t="shared" si="120"/>
        <v>8.2509024424546433E-3</v>
      </c>
      <c r="AS136" s="517">
        <f t="shared" si="121"/>
        <v>9.0962226930664126E-3</v>
      </c>
      <c r="AT136" s="517">
        <f t="shared" si="122"/>
        <v>0</v>
      </c>
      <c r="AU136" s="518" t="e">
        <f t="shared" si="123"/>
        <v>#N/A</v>
      </c>
      <c r="AV136" s="516">
        <f t="shared" si="124"/>
        <v>7.9129574678536096E-2</v>
      </c>
      <c r="AW136" s="517">
        <f t="shared" si="125"/>
        <v>8.3446626974825369E-2</v>
      </c>
      <c r="AX136" s="517">
        <f t="shared" si="126"/>
        <v>6.8495652809235044E-2</v>
      </c>
      <c r="AY136" s="517">
        <f t="shared" si="127"/>
        <v>9.3899659807774885E-2</v>
      </c>
      <c r="AZ136" s="518" t="e">
        <f t="shared" si="128"/>
        <v>#N/A</v>
      </c>
      <c r="BA136" s="516">
        <f t="shared" si="129"/>
        <v>0.22675568743818003</v>
      </c>
      <c r="BB136" s="517">
        <f t="shared" si="130"/>
        <v>0.2671229665744691</v>
      </c>
      <c r="BC136" s="517">
        <f t="shared" si="131"/>
        <v>0.2514429750858479</v>
      </c>
      <c r="BD136" s="517">
        <f t="shared" si="132"/>
        <v>0.21280179674340258</v>
      </c>
      <c r="BE136" s="518" t="e">
        <f t="shared" si="133"/>
        <v>#N/A</v>
      </c>
      <c r="BF136" s="516">
        <f t="shared" si="134"/>
        <v>3.4421364985163204E-2</v>
      </c>
      <c r="BG136" s="517">
        <f t="shared" si="135"/>
        <v>3.9801228259340862E-2</v>
      </c>
      <c r="BH136" s="517">
        <f t="shared" si="136"/>
        <v>3.8978592825308689E-2</v>
      </c>
      <c r="BI136" s="517">
        <f t="shared" si="137"/>
        <v>4.16157479274697E-2</v>
      </c>
      <c r="BJ136" s="518" t="e">
        <f t="shared" si="138"/>
        <v>#N/A</v>
      </c>
      <c r="BK136" s="516">
        <f t="shared" si="139"/>
        <v>6.2413452027695354E-2</v>
      </c>
      <c r="BL136" s="517">
        <f t="shared" si="140"/>
        <v>5.4146547278608598E-2</v>
      </c>
      <c r="BM136" s="517">
        <f t="shared" si="141"/>
        <v>5.1143420764228828E-2</v>
      </c>
      <c r="BN136" s="517">
        <f t="shared" si="142"/>
        <v>4.7329656174654025E-2</v>
      </c>
      <c r="BO136" s="518" t="e">
        <f t="shared" si="143"/>
        <v>#N/A</v>
      </c>
      <c r="BP136" s="516">
        <f t="shared" si="144"/>
        <v>2.6261127596439168E-2</v>
      </c>
      <c r="BQ136" s="517">
        <f t="shared" si="145"/>
        <v>2.9768880971356243E-2</v>
      </c>
      <c r="BR136" s="517">
        <f t="shared" si="146"/>
        <v>2.2941477314239789E-2</v>
      </c>
      <c r="BS136" s="517">
        <f t="shared" si="147"/>
        <v>1.9651880965749578E-2</v>
      </c>
      <c r="BT136" s="518" t="e">
        <f t="shared" si="148"/>
        <v>#N/A</v>
      </c>
      <c r="BU136" s="516">
        <f t="shared" si="149"/>
        <v>1.6419386745796242E-2</v>
      </c>
      <c r="BV136" s="517">
        <f t="shared" si="150"/>
        <v>1.1532511368430922E-2</v>
      </c>
      <c r="BW136" s="517">
        <f t="shared" si="151"/>
        <v>9.1692847227295982E-3</v>
      </c>
      <c r="BX136" s="517">
        <f t="shared" si="152"/>
        <v>7.8277240149288232E-3</v>
      </c>
      <c r="BY136" s="518" t="e">
        <f t="shared" si="153"/>
        <v>#N/A</v>
      </c>
      <c r="BZ136" s="52"/>
      <c r="CA136" s="52"/>
      <c r="CB136" s="52"/>
      <c r="CC136" s="52"/>
      <c r="CD136" s="52"/>
      <c r="CE136" s="52"/>
      <c r="CF136" s="52"/>
      <c r="CG136" s="52"/>
      <c r="CH136" s="52"/>
      <c r="CI136" s="52"/>
      <c r="CJ136" s="52"/>
      <c r="CK136" s="52"/>
      <c r="CL136" s="52"/>
      <c r="CM136" s="52"/>
      <c r="CN136" s="52"/>
      <c r="CO136" s="52"/>
      <c r="CP136" s="52"/>
      <c r="CQ136" s="52"/>
      <c r="CR136" s="52"/>
      <c r="CS136" s="52"/>
      <c r="CT136" s="52"/>
      <c r="CU136" s="52"/>
      <c r="CV136" s="52"/>
      <c r="CW136" s="52"/>
      <c r="CX136" s="52"/>
      <c r="CY136" s="52"/>
      <c r="CZ136" s="52"/>
      <c r="DA136" s="52"/>
      <c r="DB136" s="52"/>
      <c r="DC136" s="52"/>
      <c r="DD136" s="52"/>
      <c r="DE136" s="52"/>
      <c r="DF136" s="52"/>
      <c r="DG136" s="52"/>
      <c r="DH136" s="52"/>
      <c r="DI136" s="52"/>
      <c r="DJ136" s="52"/>
      <c r="DK136" s="52"/>
      <c r="DL136" s="52"/>
      <c r="DM136" s="52"/>
      <c r="DN136" s="52"/>
      <c r="DO136" s="52"/>
      <c r="DP136" s="52"/>
      <c r="DQ136" s="52"/>
      <c r="DR136" s="52"/>
      <c r="DS136" s="52"/>
      <c r="DT136" s="52"/>
      <c r="DU136" s="52"/>
      <c r="DV136" s="52"/>
      <c r="DW136" s="52"/>
      <c r="DX136" s="52"/>
      <c r="DY136" s="52"/>
      <c r="DZ136" s="52"/>
      <c r="EA136" s="52"/>
      <c r="EB136" s="52"/>
      <c r="EC136" s="52"/>
      <c r="ED136" s="52"/>
    </row>
    <row r="137" spans="1:134" ht="11.25" customHeight="1">
      <c r="A137" s="106"/>
      <c r="B137" s="1316"/>
      <c r="C137" s="1316"/>
      <c r="D137" s="1316"/>
      <c r="E137" s="1316"/>
      <c r="F137" s="1316"/>
      <c r="G137" s="1316"/>
      <c r="H137" s="1316"/>
      <c r="I137" s="40"/>
      <c r="J137" s="40"/>
      <c r="K137" s="40"/>
      <c r="L137" s="40"/>
      <c r="M137" s="5"/>
      <c r="N137" s="5"/>
      <c r="O137" s="1"/>
      <c r="P137" s="5"/>
      <c r="Q137" s="5"/>
      <c r="R137" s="5"/>
      <c r="S137" s="5"/>
      <c r="T137" s="5"/>
      <c r="U137" s="5"/>
      <c r="V137" s="40"/>
      <c r="W137" s="120"/>
      <c r="X137" s="127"/>
      <c r="Y137" s="46"/>
      <c r="Z137" s="103"/>
      <c r="AA137" s="138"/>
      <c r="AB137" s="516">
        <f t="shared" si="104"/>
        <v>0.11535580524344569</v>
      </c>
      <c r="AC137" s="517">
        <f t="shared" si="105"/>
        <v>9.9656357388316158E-2</v>
      </c>
      <c r="AD137" s="517">
        <f t="shared" si="106"/>
        <v>8.6775631500742939E-2</v>
      </c>
      <c r="AE137" s="517">
        <f t="shared" si="107"/>
        <v>6.1757105943152452E-2</v>
      </c>
      <c r="AF137" s="518">
        <f t="shared" si="108"/>
        <v>6.7153951576062132E-2</v>
      </c>
      <c r="AG137" s="516">
        <f t="shared" si="109"/>
        <v>0.2689138576779026</v>
      </c>
      <c r="AH137" s="517">
        <f t="shared" si="110"/>
        <v>0.26956853760977473</v>
      </c>
      <c r="AI137" s="517">
        <f t="shared" si="111"/>
        <v>0.32927191679049034</v>
      </c>
      <c r="AJ137" s="517">
        <f t="shared" si="112"/>
        <v>0.35090439276485791</v>
      </c>
      <c r="AK137" s="518">
        <f t="shared" si="113"/>
        <v>0.34536317953403378</v>
      </c>
      <c r="AL137" s="516">
        <f t="shared" si="114"/>
        <v>0.13745318352059926</v>
      </c>
      <c r="AM137" s="517">
        <f t="shared" si="115"/>
        <v>0.13249331806032838</v>
      </c>
      <c r="AN137" s="517">
        <f t="shared" si="116"/>
        <v>0.14918276374442793</v>
      </c>
      <c r="AO137" s="517">
        <f t="shared" si="117"/>
        <v>0.15348837209302327</v>
      </c>
      <c r="AP137" s="518">
        <f t="shared" si="118"/>
        <v>0.14595705801735953</v>
      </c>
      <c r="AQ137" s="516">
        <f t="shared" si="119"/>
        <v>1.5355805243445693E-2</v>
      </c>
      <c r="AR137" s="517">
        <f t="shared" si="120"/>
        <v>1.2218403970981291E-2</v>
      </c>
      <c r="AS137" s="517">
        <f t="shared" si="121"/>
        <v>1.3075780089153046E-2</v>
      </c>
      <c r="AT137" s="517">
        <f t="shared" si="122"/>
        <v>1.937984496124031E-2</v>
      </c>
      <c r="AU137" s="518">
        <f t="shared" si="123"/>
        <v>1.3933302878026497E-2</v>
      </c>
      <c r="AV137" s="516">
        <f t="shared" si="124"/>
        <v>9.4756554307116103E-2</v>
      </c>
      <c r="AW137" s="517">
        <f t="shared" si="125"/>
        <v>9.4692630775105008E-2</v>
      </c>
      <c r="AX137" s="517">
        <f t="shared" si="126"/>
        <v>6.2704309063893016E-2</v>
      </c>
      <c r="AY137" s="517">
        <f t="shared" si="127"/>
        <v>6.6925064599483206E-2</v>
      </c>
      <c r="AZ137" s="518">
        <f t="shared" si="128"/>
        <v>6.5326633165829151E-2</v>
      </c>
      <c r="BA137" s="516">
        <f t="shared" si="129"/>
        <v>0.19438202247191011</v>
      </c>
      <c r="BB137" s="517">
        <f t="shared" si="130"/>
        <v>0.22871324933180603</v>
      </c>
      <c r="BC137" s="517">
        <f t="shared" si="131"/>
        <v>0.21307578008915304</v>
      </c>
      <c r="BD137" s="517">
        <f t="shared" si="132"/>
        <v>0.2007751937984496</v>
      </c>
      <c r="BE137" s="518">
        <f t="shared" si="133"/>
        <v>0.22316126084970306</v>
      </c>
      <c r="BF137" s="516">
        <f t="shared" si="134"/>
        <v>2.6217228464419477E-2</v>
      </c>
      <c r="BG137" s="517">
        <f t="shared" si="135"/>
        <v>2.1000381825124093E-2</v>
      </c>
      <c r="BH137" s="517">
        <f t="shared" si="136"/>
        <v>2.9420505200594353E-2</v>
      </c>
      <c r="BI137" s="517">
        <f t="shared" si="137"/>
        <v>2.739018087855297E-2</v>
      </c>
      <c r="BJ137" s="518">
        <f t="shared" si="138"/>
        <v>3.4033805390589311E-2</v>
      </c>
      <c r="BK137" s="516">
        <f t="shared" si="139"/>
        <v>0.1295880149812734</v>
      </c>
      <c r="BL137" s="517">
        <f t="shared" si="140"/>
        <v>0.10729285987017946</v>
      </c>
      <c r="BM137" s="517">
        <f t="shared" si="141"/>
        <v>7.8751857355126298E-2</v>
      </c>
      <c r="BN137" s="517">
        <f t="shared" si="142"/>
        <v>8.5012919896640823E-2</v>
      </c>
      <c r="BO137" s="518">
        <f t="shared" si="143"/>
        <v>8.063042485153038E-2</v>
      </c>
      <c r="BP137" s="516">
        <f t="shared" si="144"/>
        <v>0</v>
      </c>
      <c r="BQ137" s="517">
        <f t="shared" si="145"/>
        <v>0</v>
      </c>
      <c r="BR137" s="517">
        <f t="shared" si="146"/>
        <v>2.763744427934621E-2</v>
      </c>
      <c r="BS137" s="517">
        <f t="shared" si="147"/>
        <v>2.8940568475452195E-2</v>
      </c>
      <c r="BT137" s="518">
        <f t="shared" si="148"/>
        <v>1.8501598903608953E-2</v>
      </c>
      <c r="BU137" s="516">
        <f t="shared" si="149"/>
        <v>1.7977528089887642E-2</v>
      </c>
      <c r="BV137" s="517">
        <f t="shared" si="150"/>
        <v>3.4364261168384883E-2</v>
      </c>
      <c r="BW137" s="517">
        <f t="shared" si="151"/>
        <v>1.0104011887072809E-2</v>
      </c>
      <c r="BX137" s="517">
        <f t="shared" si="152"/>
        <v>5.4263565891472867E-3</v>
      </c>
      <c r="BY137" s="518">
        <f t="shared" si="153"/>
        <v>5.9387848332571949E-3</v>
      </c>
    </row>
    <row r="138" spans="1:134" ht="11.25" customHeight="1">
      <c r="A138" s="106"/>
      <c r="B138" s="1316"/>
      <c r="C138" s="1316"/>
      <c r="D138" s="1316"/>
      <c r="E138" s="1316"/>
      <c r="F138" s="1316"/>
      <c r="G138" s="1316"/>
      <c r="H138" s="1316"/>
      <c r="I138" s="40"/>
      <c r="J138" s="40"/>
      <c r="K138" s="40"/>
      <c r="L138" s="40"/>
      <c r="M138" s="5"/>
      <c r="N138" s="5"/>
      <c r="O138" s="1"/>
      <c r="P138" s="5"/>
      <c r="Q138" s="5"/>
      <c r="R138" s="5"/>
      <c r="S138" s="5"/>
      <c r="T138" s="5"/>
      <c r="U138" s="5"/>
      <c r="V138" s="40"/>
      <c r="W138" s="120"/>
      <c r="X138" s="127"/>
      <c r="Y138" s="46"/>
      <c r="Z138" s="103"/>
      <c r="AA138" s="138"/>
      <c r="AB138" s="516">
        <f t="shared" si="104"/>
        <v>7.5350127522484225E-2</v>
      </c>
      <c r="AC138" s="517">
        <f t="shared" si="105"/>
        <v>9.5818815331010457E-2</v>
      </c>
      <c r="AD138" s="517">
        <f t="shared" si="106"/>
        <v>8.4320664717648874E-2</v>
      </c>
      <c r="AE138" s="517">
        <f t="shared" si="107"/>
        <v>7.8533799636991461E-2</v>
      </c>
      <c r="AF138" s="518">
        <f t="shared" si="108"/>
        <v>7.328605200945626E-2</v>
      </c>
      <c r="AG138" s="516">
        <f t="shared" si="109"/>
        <v>0.19589243366593584</v>
      </c>
      <c r="AH138" s="517">
        <f t="shared" si="110"/>
        <v>0.14977299123640586</v>
      </c>
      <c r="AI138" s="517">
        <f t="shared" si="111"/>
        <v>0.23013796994409397</v>
      </c>
      <c r="AJ138" s="517">
        <f t="shared" si="112"/>
        <v>0.2568949488689185</v>
      </c>
      <c r="AK138" s="518">
        <f t="shared" si="113"/>
        <v>0.25739289121148023</v>
      </c>
      <c r="AL138" s="516">
        <f t="shared" si="114"/>
        <v>0.1321759362835026</v>
      </c>
      <c r="AM138" s="517">
        <f t="shared" si="115"/>
        <v>0.1432266920071798</v>
      </c>
      <c r="AN138" s="517">
        <f t="shared" si="116"/>
        <v>0.13950864235523414</v>
      </c>
      <c r="AO138" s="517">
        <f t="shared" si="117"/>
        <v>0.14812519367833901</v>
      </c>
      <c r="AP138" s="518">
        <f t="shared" si="118"/>
        <v>0.14416656297955291</v>
      </c>
      <c r="AQ138" s="516">
        <f t="shared" si="119"/>
        <v>2.0090384357241933E-2</v>
      </c>
      <c r="AR138" s="517">
        <f t="shared" si="120"/>
        <v>1.8530250237567311E-2</v>
      </c>
      <c r="AS138" s="517">
        <f t="shared" si="121"/>
        <v>1.4925373134328358E-2</v>
      </c>
      <c r="AT138" s="517">
        <f t="shared" si="122"/>
        <v>1.7619195183496392E-2</v>
      </c>
      <c r="AU138" s="518">
        <f t="shared" si="123"/>
        <v>1.7046161503048402E-2</v>
      </c>
      <c r="AV138" s="516">
        <f t="shared" si="124"/>
        <v>0.12107924291914628</v>
      </c>
      <c r="AW138" s="517">
        <f t="shared" si="125"/>
        <v>0.13641642909935592</v>
      </c>
      <c r="AX138" s="517">
        <f t="shared" si="126"/>
        <v>0.13586705647022618</v>
      </c>
      <c r="AY138" s="517">
        <f t="shared" si="127"/>
        <v>0.11842047014033379</v>
      </c>
      <c r="AZ138" s="518">
        <f t="shared" si="128"/>
        <v>0.10464103521214384</v>
      </c>
      <c r="BA138" s="516">
        <f t="shared" si="129"/>
        <v>0.33245335361761152</v>
      </c>
      <c r="BB138" s="517">
        <f t="shared" si="130"/>
        <v>0.30730651462358777</v>
      </c>
      <c r="BC138" s="517">
        <f t="shared" si="131"/>
        <v>0.25737292916859006</v>
      </c>
      <c r="BD138" s="517">
        <f t="shared" si="132"/>
        <v>0.22338306255256984</v>
      </c>
      <c r="BE138" s="518">
        <f t="shared" si="133"/>
        <v>0.21313923105636431</v>
      </c>
      <c r="BF138" s="516">
        <f t="shared" si="134"/>
        <v>5.4946530046087072E-2</v>
      </c>
      <c r="BG138" s="517">
        <f t="shared" si="135"/>
        <v>6.7257945306725797E-2</v>
      </c>
      <c r="BH138" s="517">
        <f t="shared" si="136"/>
        <v>8.2422936862081339E-2</v>
      </c>
      <c r="BI138" s="517">
        <f t="shared" si="137"/>
        <v>9.2301562707512511E-2</v>
      </c>
      <c r="BJ138" s="518">
        <f t="shared" si="138"/>
        <v>0.1346273485131268</v>
      </c>
      <c r="BK138" s="516">
        <f t="shared" si="139"/>
        <v>3.1902993422524499E-2</v>
      </c>
      <c r="BL138" s="517">
        <f t="shared" si="140"/>
        <v>3.8221940660965049E-2</v>
      </c>
      <c r="BM138" s="517">
        <f t="shared" si="141"/>
        <v>2.7440118992665539E-2</v>
      </c>
      <c r="BN138" s="517">
        <f t="shared" si="142"/>
        <v>3.0457302226747533E-2</v>
      </c>
      <c r="BO138" s="518">
        <f t="shared" si="143"/>
        <v>2.6875699888017916E-2</v>
      </c>
      <c r="BP138" s="516">
        <f t="shared" si="144"/>
        <v>1.4094590361984877E-2</v>
      </c>
      <c r="BQ138" s="517">
        <f t="shared" si="145"/>
        <v>1.1878365536902122E-2</v>
      </c>
      <c r="BR138" s="517">
        <f t="shared" si="146"/>
        <v>9.2834795096681539E-3</v>
      </c>
      <c r="BS138" s="517">
        <f t="shared" si="147"/>
        <v>1.004913896144141E-2</v>
      </c>
      <c r="BT138" s="518">
        <f t="shared" si="148"/>
        <v>6.9262991995354814E-3</v>
      </c>
      <c r="BU138" s="516">
        <f t="shared" si="149"/>
        <v>2.2014407803481139E-2</v>
      </c>
      <c r="BV138" s="517">
        <f t="shared" si="150"/>
        <v>3.157005596029986E-2</v>
      </c>
      <c r="BW138" s="517">
        <f t="shared" si="151"/>
        <v>1.8720828845463406E-2</v>
      </c>
      <c r="BX138" s="517">
        <f t="shared" si="152"/>
        <v>2.4215326043649565E-2</v>
      </c>
      <c r="BY138" s="518">
        <f t="shared" si="153"/>
        <v>2.189871842727386E-2</v>
      </c>
      <c r="BZ138" s="61"/>
      <c r="CA138" s="61"/>
      <c r="CB138" s="61"/>
      <c r="CC138" s="61"/>
      <c r="CD138" s="61"/>
      <c r="CE138" s="61"/>
      <c r="CF138" s="61"/>
      <c r="CG138" s="61"/>
      <c r="CH138" s="61"/>
      <c r="CI138" s="61"/>
      <c r="CJ138" s="61"/>
      <c r="CK138" s="61"/>
      <c r="CL138" s="61"/>
      <c r="CM138" s="61"/>
      <c r="CN138" s="61"/>
      <c r="CO138" s="61"/>
      <c r="CP138" s="61"/>
      <c r="CQ138" s="61"/>
      <c r="CR138" s="61"/>
      <c r="CS138" s="61"/>
      <c r="CT138" s="61"/>
      <c r="CU138" s="61"/>
      <c r="CV138" s="61"/>
      <c r="CW138" s="61"/>
      <c r="CY138" s="61"/>
      <c r="CZ138" s="61"/>
      <c r="DA138" s="61"/>
      <c r="DB138" s="61"/>
      <c r="DC138" s="61"/>
      <c r="DD138" s="61"/>
      <c r="DE138" s="61"/>
      <c r="DF138" s="61"/>
      <c r="DG138" s="61"/>
      <c r="DH138" s="61"/>
      <c r="DI138" s="61"/>
      <c r="DJ138" s="61"/>
      <c r="DK138" s="61"/>
      <c r="DL138" s="61"/>
      <c r="DM138" s="61"/>
      <c r="DN138" s="61"/>
      <c r="DO138" s="61"/>
      <c r="DP138" s="61"/>
      <c r="DQ138" s="61"/>
      <c r="DR138" s="61"/>
      <c r="DS138" s="61"/>
      <c r="DT138" s="61"/>
      <c r="DU138" s="61"/>
      <c r="DV138" s="61"/>
      <c r="DW138" s="61"/>
      <c r="DX138" s="61"/>
      <c r="DY138" s="61"/>
      <c r="DZ138" s="61"/>
      <c r="EA138" s="61"/>
      <c r="EB138" s="61"/>
    </row>
    <row r="139" spans="1:134" ht="11.25" customHeight="1">
      <c r="A139" s="106"/>
      <c r="B139" s="1316"/>
      <c r="C139" s="1316"/>
      <c r="D139" s="1316"/>
      <c r="E139" s="1316"/>
      <c r="F139" s="1316"/>
      <c r="G139" s="1316"/>
      <c r="H139" s="1316"/>
      <c r="I139" s="40"/>
      <c r="J139" s="40"/>
      <c r="K139" s="40"/>
      <c r="L139" s="40"/>
      <c r="M139" s="5"/>
      <c r="N139" s="5"/>
      <c r="O139" s="1"/>
      <c r="P139" s="5"/>
      <c r="Q139" s="5"/>
      <c r="R139" s="5"/>
      <c r="S139" s="5"/>
      <c r="T139" s="5"/>
      <c r="U139" s="5"/>
      <c r="V139" s="5"/>
      <c r="W139" s="120"/>
      <c r="X139" s="127"/>
      <c r="Y139" s="59"/>
      <c r="Z139" s="103"/>
      <c r="AA139" s="138"/>
      <c r="AB139" s="516">
        <f t="shared" si="104"/>
        <v>9.0538336052202281E-2</v>
      </c>
      <c r="AC139" s="517">
        <f t="shared" si="105"/>
        <v>8.0699601104633326E-2</v>
      </c>
      <c r="AD139" s="517">
        <f t="shared" si="106"/>
        <v>9.2484342379958243E-2</v>
      </c>
      <c r="AE139" s="517">
        <f t="shared" si="107"/>
        <v>7.6580398812049214E-2</v>
      </c>
      <c r="AF139" s="518">
        <f t="shared" si="108"/>
        <v>7.9500283929585469E-2</v>
      </c>
      <c r="AG139" s="516">
        <f t="shared" si="109"/>
        <v>0.24123164763458402</v>
      </c>
      <c r="AH139" s="517">
        <f t="shared" si="110"/>
        <v>0.16907026695305308</v>
      </c>
      <c r="AI139" s="517">
        <f t="shared" si="111"/>
        <v>0.28538622129436325</v>
      </c>
      <c r="AJ139" s="517">
        <f t="shared" si="112"/>
        <v>0.26813746287653795</v>
      </c>
      <c r="AK139" s="518">
        <f t="shared" si="113"/>
        <v>0.30872610259322353</v>
      </c>
      <c r="AL139" s="516">
        <f t="shared" si="114"/>
        <v>9.2577487765089728E-2</v>
      </c>
      <c r="AM139" s="517">
        <f t="shared" si="115"/>
        <v>0.11721386928505677</v>
      </c>
      <c r="AN139" s="517">
        <f t="shared" si="116"/>
        <v>0.11440501043841336</v>
      </c>
      <c r="AO139" s="517">
        <f t="shared" si="117"/>
        <v>0.10140008485362749</v>
      </c>
      <c r="AP139" s="518">
        <f t="shared" si="118"/>
        <v>0.11205754306265379</v>
      </c>
      <c r="AQ139" s="516">
        <f t="shared" si="119"/>
        <v>1.5293637846655791E-2</v>
      </c>
      <c r="AR139" s="517">
        <f t="shared" si="120"/>
        <v>5.2163240257747778E-3</v>
      </c>
      <c r="AS139" s="517">
        <f t="shared" si="121"/>
        <v>1.1691022964509395E-2</v>
      </c>
      <c r="AT139" s="517">
        <f t="shared" si="122"/>
        <v>2.1213406873143825E-2</v>
      </c>
      <c r="AU139" s="518">
        <f t="shared" si="123"/>
        <v>1.7225061518076849E-2</v>
      </c>
      <c r="AV139" s="516">
        <f t="shared" si="124"/>
        <v>0.12663132137030994</v>
      </c>
      <c r="AW139" s="517">
        <f t="shared" si="125"/>
        <v>0.15311445228597728</v>
      </c>
      <c r="AX139" s="517">
        <f t="shared" si="126"/>
        <v>0.13674321503131523</v>
      </c>
      <c r="AY139" s="517">
        <f t="shared" si="127"/>
        <v>0.14806957997454392</v>
      </c>
      <c r="AZ139" s="518">
        <f t="shared" si="128"/>
        <v>0.13382547794813554</v>
      </c>
      <c r="BA139" s="516">
        <f t="shared" si="129"/>
        <v>0.34665579119086459</v>
      </c>
      <c r="BB139" s="517">
        <f t="shared" si="130"/>
        <v>0.37005216324025775</v>
      </c>
      <c r="BC139" s="517">
        <f t="shared" si="131"/>
        <v>0.26847599164926933</v>
      </c>
      <c r="BD139" s="517">
        <f t="shared" si="132"/>
        <v>0.26050063640220622</v>
      </c>
      <c r="BE139" s="518">
        <f t="shared" si="133"/>
        <v>0.23736513344690516</v>
      </c>
      <c r="BF139" s="516">
        <f t="shared" si="134"/>
        <v>2.6508972267536703E-2</v>
      </c>
      <c r="BG139" s="517">
        <f t="shared" si="135"/>
        <v>3.7741638539429273E-2</v>
      </c>
      <c r="BH139" s="517">
        <f t="shared" si="136"/>
        <v>2.338204592901879E-2</v>
      </c>
      <c r="BI139" s="517">
        <f t="shared" si="137"/>
        <v>3.903266864658464E-2</v>
      </c>
      <c r="BJ139" s="518">
        <f t="shared" si="138"/>
        <v>4.2589437819420782E-2</v>
      </c>
      <c r="BK139" s="516">
        <f t="shared" si="139"/>
        <v>4.057911908646003E-2</v>
      </c>
      <c r="BL139" s="517">
        <f t="shared" si="140"/>
        <v>4.2957962565204053E-2</v>
      </c>
      <c r="BM139" s="517">
        <f t="shared" si="141"/>
        <v>2.9018789144050105E-2</v>
      </c>
      <c r="BN139" s="517">
        <f t="shared" si="142"/>
        <v>4.263894781501909E-2</v>
      </c>
      <c r="BO139" s="518">
        <f t="shared" si="143"/>
        <v>2.4796517130418323E-2</v>
      </c>
      <c r="BP139" s="516">
        <f t="shared" si="144"/>
        <v>1.7740619902120718E-2</v>
      </c>
      <c r="BQ139" s="517">
        <f t="shared" si="145"/>
        <v>2.0865296103099111E-2</v>
      </c>
      <c r="BR139" s="517">
        <f t="shared" si="146"/>
        <v>3.6325678496868477E-2</v>
      </c>
      <c r="BS139" s="517">
        <f t="shared" si="147"/>
        <v>3.8396266440390327E-2</v>
      </c>
      <c r="BT139" s="518">
        <f t="shared" si="148"/>
        <v>4.240015142911225E-2</v>
      </c>
      <c r="BU139" s="516">
        <f t="shared" si="149"/>
        <v>2.2430668841761825E-3</v>
      </c>
      <c r="BV139" s="517">
        <f t="shared" si="150"/>
        <v>3.0684258975145749E-3</v>
      </c>
      <c r="BW139" s="517">
        <f t="shared" si="151"/>
        <v>2.0876826722338203E-3</v>
      </c>
      <c r="BX139" s="517">
        <f t="shared" si="152"/>
        <v>4.0305473058973272E-3</v>
      </c>
      <c r="BY139" s="518">
        <f t="shared" si="153"/>
        <v>1.5142911224682945E-3</v>
      </c>
    </row>
    <row r="140" spans="1:134" ht="11.25" customHeight="1">
      <c r="A140" s="106"/>
      <c r="B140" s="1316"/>
      <c r="C140" s="1316"/>
      <c r="D140" s="1316"/>
      <c r="E140" s="1316"/>
      <c r="F140" s="1316"/>
      <c r="G140" s="1316"/>
      <c r="H140" s="1316"/>
      <c r="I140" s="40"/>
      <c r="J140" s="40"/>
      <c r="K140" s="40"/>
      <c r="L140" s="40"/>
      <c r="M140" s="5"/>
      <c r="N140" s="5"/>
      <c r="O140" s="1"/>
      <c r="P140" s="5"/>
      <c r="Q140" s="5"/>
      <c r="R140" s="5"/>
      <c r="S140" s="5"/>
      <c r="T140" s="5"/>
      <c r="U140" s="5"/>
      <c r="V140" s="5"/>
      <c r="W140" s="120"/>
      <c r="X140" s="127"/>
      <c r="Y140" s="59"/>
      <c r="Z140" s="103"/>
      <c r="AA140" s="138"/>
      <c r="AB140" s="516">
        <f t="shared" si="104"/>
        <v>8.9967637540453074E-2</v>
      </c>
      <c r="AC140" s="517">
        <f t="shared" si="105"/>
        <v>9.4818470215015868E-2</v>
      </c>
      <c r="AD140" s="517">
        <f t="shared" si="106"/>
        <v>8.6614173228346455E-2</v>
      </c>
      <c r="AE140" s="517">
        <f t="shared" si="107"/>
        <v>6.2828755113968446E-2</v>
      </c>
      <c r="AF140" s="518">
        <f t="shared" si="108"/>
        <v>7.7448747152619596E-2</v>
      </c>
      <c r="AG140" s="516">
        <f t="shared" si="109"/>
        <v>0.21715210355987055</v>
      </c>
      <c r="AH140" s="517">
        <f t="shared" si="110"/>
        <v>0.15403595347197743</v>
      </c>
      <c r="AI140" s="517">
        <f t="shared" si="111"/>
        <v>0.21441550575408844</v>
      </c>
      <c r="AJ140" s="517">
        <f t="shared" si="112"/>
        <v>0.19666861484511983</v>
      </c>
      <c r="AK140" s="518">
        <f t="shared" si="113"/>
        <v>0.24145785876993167</v>
      </c>
      <c r="AL140" s="516">
        <f t="shared" si="114"/>
        <v>0.15275080906148866</v>
      </c>
      <c r="AM140" s="517">
        <f t="shared" si="115"/>
        <v>0.16249559393725765</v>
      </c>
      <c r="AN140" s="517">
        <f t="shared" si="116"/>
        <v>0.11477892186553604</v>
      </c>
      <c r="AO140" s="517">
        <f t="shared" si="117"/>
        <v>0.12945645821157217</v>
      </c>
      <c r="AP140" s="518">
        <f t="shared" si="118"/>
        <v>0.12495932313699967</v>
      </c>
      <c r="AQ140" s="516">
        <f t="shared" si="119"/>
        <v>1.1326860841423949E-2</v>
      </c>
      <c r="AR140" s="517">
        <f t="shared" si="120"/>
        <v>0</v>
      </c>
      <c r="AS140" s="517">
        <f t="shared" si="121"/>
        <v>4.5427013930950935E-3</v>
      </c>
      <c r="AT140" s="517">
        <f t="shared" si="122"/>
        <v>0</v>
      </c>
      <c r="AU140" s="518">
        <f t="shared" si="123"/>
        <v>0</v>
      </c>
      <c r="AV140" s="516">
        <f t="shared" si="124"/>
        <v>0.12686084142394821</v>
      </c>
      <c r="AW140" s="517">
        <f t="shared" si="125"/>
        <v>0.1311244272118435</v>
      </c>
      <c r="AX140" s="517">
        <f t="shared" si="126"/>
        <v>0.13900666262870987</v>
      </c>
      <c r="AY140" s="517">
        <f t="shared" si="127"/>
        <v>0.14874342489772063</v>
      </c>
      <c r="AZ140" s="518">
        <f t="shared" si="128"/>
        <v>0.14123006833712984</v>
      </c>
      <c r="BA140" s="516">
        <f t="shared" si="129"/>
        <v>0.30776699029126214</v>
      </c>
      <c r="BB140" s="517">
        <f t="shared" si="130"/>
        <v>0.37504406062742335</v>
      </c>
      <c r="BC140" s="517">
        <f t="shared" si="131"/>
        <v>0.33737129012719563</v>
      </c>
      <c r="BD140" s="517">
        <f t="shared" si="132"/>
        <v>0.34921098772647574</v>
      </c>
      <c r="BE140" s="518">
        <f t="shared" si="133"/>
        <v>0.32085909534656687</v>
      </c>
      <c r="BF140" s="516">
        <f t="shared" si="134"/>
        <v>3.5922330097087375E-2</v>
      </c>
      <c r="BG140" s="517">
        <f t="shared" si="135"/>
        <v>2.7493831512160734E-2</v>
      </c>
      <c r="BH140" s="517">
        <f t="shared" si="136"/>
        <v>3.4524530587522716E-2</v>
      </c>
      <c r="BI140" s="517">
        <f t="shared" si="137"/>
        <v>4.7340736411455288E-2</v>
      </c>
      <c r="BJ140" s="518">
        <f t="shared" si="138"/>
        <v>3.6771884152294175E-2</v>
      </c>
      <c r="BK140" s="516">
        <f t="shared" si="139"/>
        <v>3.6569579288025893E-2</v>
      </c>
      <c r="BL140" s="517">
        <f t="shared" si="140"/>
        <v>2.8198801550934086E-2</v>
      </c>
      <c r="BM140" s="517">
        <f t="shared" si="141"/>
        <v>4.451847365233192E-2</v>
      </c>
      <c r="BN140" s="517">
        <f t="shared" si="142"/>
        <v>4.6464056107539453E-2</v>
      </c>
      <c r="BO140" s="518">
        <f t="shared" si="143"/>
        <v>3.644646924829157E-2</v>
      </c>
      <c r="BP140" s="516">
        <f t="shared" si="144"/>
        <v>1.9093851132686083E-2</v>
      </c>
      <c r="BQ140" s="517">
        <f t="shared" si="145"/>
        <v>2.6788861473387382E-2</v>
      </c>
      <c r="BR140" s="517">
        <f t="shared" si="146"/>
        <v>2.0896426408237433E-2</v>
      </c>
      <c r="BS140" s="517">
        <f t="shared" si="147"/>
        <v>1.928696668614845E-2</v>
      </c>
      <c r="BT140" s="518">
        <f t="shared" si="148"/>
        <v>2.0826553856166611E-2</v>
      </c>
      <c r="BU140" s="516">
        <f t="shared" si="149"/>
        <v>2.5889967637540453E-3</v>
      </c>
      <c r="BV140" s="517">
        <f t="shared" si="150"/>
        <v>0</v>
      </c>
      <c r="BW140" s="517">
        <f t="shared" si="151"/>
        <v>3.331314354936402E-3</v>
      </c>
      <c r="BX140" s="517">
        <f t="shared" si="152"/>
        <v>0</v>
      </c>
      <c r="BY140" s="518">
        <f t="shared" si="153"/>
        <v>0</v>
      </c>
      <c r="EC140" s="61"/>
    </row>
    <row r="141" spans="1:134" ht="11.25" customHeight="1">
      <c r="A141" s="106"/>
      <c r="B141" s="1316"/>
      <c r="C141" s="1316"/>
      <c r="D141" s="1316"/>
      <c r="E141" s="1316"/>
      <c r="F141" s="1316"/>
      <c r="G141" s="1316"/>
      <c r="H141" s="1316"/>
      <c r="I141" s="40"/>
      <c r="J141" s="40"/>
      <c r="K141" s="40"/>
      <c r="L141" s="40"/>
      <c r="M141" s="5"/>
      <c r="N141" s="5"/>
      <c r="O141" s="1"/>
      <c r="P141" s="5"/>
      <c r="Q141" s="5"/>
      <c r="R141" s="5"/>
      <c r="S141" s="5"/>
      <c r="T141" s="5"/>
      <c r="U141" s="5"/>
      <c r="V141" s="5"/>
      <c r="W141" s="120"/>
      <c r="X141" s="127"/>
      <c r="Y141" s="59"/>
      <c r="Z141" s="103"/>
      <c r="AA141" s="144"/>
      <c r="AB141" s="516">
        <f t="shared" si="104"/>
        <v>7.2647294054918682E-2</v>
      </c>
      <c r="AC141" s="517">
        <f t="shared" si="105"/>
        <v>6.5200676610795011E-2</v>
      </c>
      <c r="AD141" s="517">
        <f t="shared" si="106"/>
        <v>6.3096658711217182E-2</v>
      </c>
      <c r="AE141" s="517">
        <f t="shared" si="107"/>
        <v>7.2650394003459545E-2</v>
      </c>
      <c r="AF141" s="518">
        <f t="shared" si="108"/>
        <v>8.0047553001783234E-2</v>
      </c>
      <c r="AG141" s="516">
        <f t="shared" si="109"/>
        <v>0.22034124233537725</v>
      </c>
      <c r="AH141" s="517">
        <f t="shared" si="110"/>
        <v>0.1594648623712133</v>
      </c>
      <c r="AI141" s="517">
        <f t="shared" si="111"/>
        <v>0.25432577565632458</v>
      </c>
      <c r="AJ141" s="517">
        <f t="shared" si="112"/>
        <v>0.24447434172592736</v>
      </c>
      <c r="AK141" s="518">
        <f t="shared" si="113"/>
        <v>0.2092332078462453</v>
      </c>
      <c r="AL141" s="516">
        <f t="shared" si="114"/>
        <v>0.13129832044788056</v>
      </c>
      <c r="AM141" s="517">
        <f t="shared" si="115"/>
        <v>0.12086729201906812</v>
      </c>
      <c r="AN141" s="517">
        <f t="shared" si="116"/>
        <v>0.12514916467780429</v>
      </c>
      <c r="AO141" s="517">
        <f t="shared" si="117"/>
        <v>0.1316548145300788</v>
      </c>
      <c r="AP141" s="518">
        <f t="shared" si="118"/>
        <v>0.13176144244105409</v>
      </c>
      <c r="AQ141" s="516">
        <f t="shared" si="119"/>
        <v>4.6654225539856037E-3</v>
      </c>
      <c r="AR141" s="517">
        <f t="shared" si="120"/>
        <v>6.7661079501768412E-3</v>
      </c>
      <c r="AS141" s="517">
        <f t="shared" si="121"/>
        <v>7.6073985680190932E-3</v>
      </c>
      <c r="AT141" s="517">
        <f t="shared" si="122"/>
        <v>8.8410532385162412E-3</v>
      </c>
      <c r="AU141" s="518">
        <f t="shared" si="123"/>
        <v>8.7180503269268881E-3</v>
      </c>
      <c r="AV141" s="516">
        <f t="shared" si="124"/>
        <v>0.1851506264996001</v>
      </c>
      <c r="AW141" s="517">
        <f t="shared" si="125"/>
        <v>0.22205136091034908</v>
      </c>
      <c r="AX141" s="517">
        <f t="shared" si="126"/>
        <v>0.17437350835322196</v>
      </c>
      <c r="AY141" s="517">
        <f t="shared" si="127"/>
        <v>0.17316932538919855</v>
      </c>
      <c r="AZ141" s="518">
        <f t="shared" si="128"/>
        <v>0.19575985734099466</v>
      </c>
      <c r="BA141" s="516">
        <f t="shared" si="129"/>
        <v>0.2984537456678219</v>
      </c>
      <c r="BB141" s="517">
        <f t="shared" si="130"/>
        <v>0.33738274642472704</v>
      </c>
      <c r="BC141" s="517">
        <f t="shared" si="131"/>
        <v>0.29489856801909309</v>
      </c>
      <c r="BD141" s="517">
        <f t="shared" si="132"/>
        <v>0.28522006534691524</v>
      </c>
      <c r="BE141" s="518">
        <f t="shared" si="133"/>
        <v>0.28769566078858727</v>
      </c>
      <c r="BF141" s="516">
        <f t="shared" si="134"/>
        <v>2.7859237536656891E-2</v>
      </c>
      <c r="BG141" s="517">
        <f t="shared" si="135"/>
        <v>3.5368291557742577E-2</v>
      </c>
      <c r="BH141" s="517">
        <f t="shared" si="136"/>
        <v>2.9982100238663486E-2</v>
      </c>
      <c r="BI141" s="517">
        <f t="shared" si="137"/>
        <v>3.8631558716125315E-2</v>
      </c>
      <c r="BJ141" s="518">
        <f t="shared" si="138"/>
        <v>4.0221914008321778E-2</v>
      </c>
      <c r="BK141" s="516">
        <f t="shared" si="139"/>
        <v>4.305518528392429E-2</v>
      </c>
      <c r="BL141" s="517">
        <f t="shared" si="140"/>
        <v>3.2446563124711669E-2</v>
      </c>
      <c r="BM141" s="517">
        <f t="shared" si="141"/>
        <v>2.5208830548926014E-2</v>
      </c>
      <c r="BN141" s="517">
        <f t="shared" si="142"/>
        <v>2.5177782048817991E-2</v>
      </c>
      <c r="BO141" s="518">
        <f t="shared" si="143"/>
        <v>2.3380225876758469E-2</v>
      </c>
      <c r="BP141" s="516">
        <f t="shared" si="144"/>
        <v>1.1996800853105838E-2</v>
      </c>
      <c r="BQ141" s="517">
        <f t="shared" si="145"/>
        <v>1.829924650161464E-2</v>
      </c>
      <c r="BR141" s="517">
        <f t="shared" si="146"/>
        <v>2.2822195704057278E-2</v>
      </c>
      <c r="BS141" s="517">
        <f t="shared" si="147"/>
        <v>1.5567941572169902E-2</v>
      </c>
      <c r="BT141" s="518">
        <f t="shared" si="148"/>
        <v>1.8823063205864871E-2</v>
      </c>
      <c r="BU141" s="516">
        <f t="shared" si="149"/>
        <v>4.5321247667288725E-3</v>
      </c>
      <c r="BV141" s="517">
        <f t="shared" si="150"/>
        <v>2.1528525296017221E-3</v>
      </c>
      <c r="BW141" s="517">
        <f t="shared" si="151"/>
        <v>2.5357995226730312E-3</v>
      </c>
      <c r="BX141" s="517">
        <f t="shared" si="152"/>
        <v>4.6127234287910825E-3</v>
      </c>
      <c r="BY141" s="518">
        <f t="shared" si="153"/>
        <v>4.359025163463444E-3</v>
      </c>
    </row>
    <row r="142" spans="1:134" ht="11.25" customHeight="1">
      <c r="A142" s="106"/>
      <c r="B142" s="1316"/>
      <c r="C142" s="1316"/>
      <c r="D142" s="1316"/>
      <c r="E142" s="1316"/>
      <c r="F142" s="1316"/>
      <c r="G142" s="1316"/>
      <c r="H142" s="1316"/>
      <c r="I142" s="40"/>
      <c r="J142" s="40"/>
      <c r="K142" s="40"/>
      <c r="L142" s="40"/>
      <c r="M142" s="5"/>
      <c r="N142" s="5"/>
      <c r="O142" s="1"/>
      <c r="P142" s="5"/>
      <c r="Q142" s="5"/>
      <c r="R142" s="5"/>
      <c r="S142" s="5"/>
      <c r="T142" s="5"/>
      <c r="U142" s="5"/>
      <c r="V142" s="5"/>
      <c r="W142" s="120"/>
      <c r="X142" s="127"/>
      <c r="Y142" s="59"/>
      <c r="Z142" s="103"/>
      <c r="AA142" s="144"/>
      <c r="AB142" s="516">
        <f t="shared" si="104"/>
        <v>5.8183183183183183E-2</v>
      </c>
      <c r="AC142" s="517">
        <f t="shared" si="105"/>
        <v>7.5062255425115618E-2</v>
      </c>
      <c r="AD142" s="517">
        <f t="shared" si="106"/>
        <v>9.8012523822488429E-2</v>
      </c>
      <c r="AE142" s="517">
        <f t="shared" si="107"/>
        <v>6.6620642043493272E-2</v>
      </c>
      <c r="AF142" s="518">
        <f t="shared" si="108"/>
        <v>6.9444444444444448E-2</v>
      </c>
      <c r="AG142" s="516">
        <f t="shared" si="109"/>
        <v>0.22222222222222221</v>
      </c>
      <c r="AH142" s="517">
        <f t="shared" si="110"/>
        <v>0.18569903948772679</v>
      </c>
      <c r="AI142" s="517">
        <f t="shared" si="111"/>
        <v>0.23659134222706235</v>
      </c>
      <c r="AJ142" s="517">
        <f t="shared" si="112"/>
        <v>0.22575077666551605</v>
      </c>
      <c r="AK142" s="518">
        <f t="shared" si="113"/>
        <v>0.18353174603174602</v>
      </c>
      <c r="AL142" s="516">
        <f t="shared" si="114"/>
        <v>0.14114114114114115</v>
      </c>
      <c r="AM142" s="517">
        <f t="shared" si="115"/>
        <v>0.16826752045535395</v>
      </c>
      <c r="AN142" s="517">
        <f t="shared" si="116"/>
        <v>0.14974135583991288</v>
      </c>
      <c r="AO142" s="517">
        <f t="shared" si="117"/>
        <v>0.1463583016914049</v>
      </c>
      <c r="AP142" s="518">
        <f t="shared" si="118"/>
        <v>0.14814814814814814</v>
      </c>
      <c r="AQ142" s="516">
        <f t="shared" si="119"/>
        <v>2.364864864864865E-2</v>
      </c>
      <c r="AR142" s="517">
        <f t="shared" si="120"/>
        <v>1.7787264318747775E-2</v>
      </c>
      <c r="AS142" s="517">
        <f t="shared" si="121"/>
        <v>2.0691532806969778E-2</v>
      </c>
      <c r="AT142" s="517">
        <f t="shared" si="122"/>
        <v>2.0711080428028994E-2</v>
      </c>
      <c r="AU142" s="518">
        <f t="shared" si="123"/>
        <v>2.0502645502645502E-2</v>
      </c>
      <c r="AV142" s="516">
        <f t="shared" si="124"/>
        <v>0.1692942942942943</v>
      </c>
      <c r="AW142" s="517">
        <f t="shared" si="125"/>
        <v>0.16186410530060477</v>
      </c>
      <c r="AX142" s="517">
        <f t="shared" si="126"/>
        <v>0.1581813231690716</v>
      </c>
      <c r="AY142" s="517">
        <f t="shared" si="127"/>
        <v>0.16672419744563341</v>
      </c>
      <c r="AZ142" s="518">
        <f t="shared" si="128"/>
        <v>0.17791005291005291</v>
      </c>
      <c r="BA142" s="516">
        <f t="shared" si="129"/>
        <v>0.27214714714714716</v>
      </c>
      <c r="BB142" s="517">
        <f t="shared" si="130"/>
        <v>0.28175026680896476</v>
      </c>
      <c r="BC142" s="517">
        <f t="shared" si="131"/>
        <v>0.24448679553498504</v>
      </c>
      <c r="BD142" s="517">
        <f t="shared" si="132"/>
        <v>0.26889886089057646</v>
      </c>
      <c r="BE142" s="518">
        <f t="shared" si="133"/>
        <v>0.29100529100529099</v>
      </c>
      <c r="BF142" s="516">
        <f t="shared" si="134"/>
        <v>4.6546546546546545E-2</v>
      </c>
      <c r="BG142" s="517">
        <f t="shared" si="135"/>
        <v>5.3717538242618289E-2</v>
      </c>
      <c r="BH142" s="517">
        <f t="shared" si="136"/>
        <v>3.5665668390961067E-2</v>
      </c>
      <c r="BI142" s="517">
        <f t="shared" si="137"/>
        <v>3.7970314118053156E-2</v>
      </c>
      <c r="BJ142" s="518">
        <f t="shared" si="138"/>
        <v>4.1005291005291003E-2</v>
      </c>
      <c r="BK142" s="516">
        <f t="shared" si="139"/>
        <v>5.1426426426426426E-2</v>
      </c>
      <c r="BL142" s="517">
        <f t="shared" si="140"/>
        <v>4.6958377801494131E-2</v>
      </c>
      <c r="BM142" s="517">
        <f t="shared" si="141"/>
        <v>3.8660495507759324E-2</v>
      </c>
      <c r="BN142" s="517">
        <f t="shared" si="142"/>
        <v>4.487400759406282E-2</v>
      </c>
      <c r="BO142" s="518">
        <f t="shared" si="143"/>
        <v>3.6706349206349208E-2</v>
      </c>
      <c r="BP142" s="516">
        <f t="shared" si="144"/>
        <v>1.3138138138138139E-2</v>
      </c>
      <c r="BQ142" s="517">
        <f t="shared" si="145"/>
        <v>8.8936321593738876E-3</v>
      </c>
      <c r="BR142" s="517">
        <f t="shared" si="146"/>
        <v>1.7968962700789546E-2</v>
      </c>
      <c r="BS142" s="517">
        <f t="shared" si="147"/>
        <v>2.2091819123230928E-2</v>
      </c>
      <c r="BT142" s="518">
        <f t="shared" si="148"/>
        <v>3.1746031746031744E-2</v>
      </c>
      <c r="BU142" s="516">
        <f t="shared" si="149"/>
        <v>2.2522522522522522E-3</v>
      </c>
      <c r="BV142" s="517">
        <f t="shared" si="150"/>
        <v>0</v>
      </c>
      <c r="BW142" s="517" t="e">
        <f t="shared" si="151"/>
        <v>#N/A</v>
      </c>
      <c r="BX142" s="517">
        <f t="shared" si="152"/>
        <v>0</v>
      </c>
      <c r="BY142" s="518">
        <f t="shared" si="153"/>
        <v>0</v>
      </c>
      <c r="ED142" s="61"/>
    </row>
    <row r="143" spans="1:134" s="61" customFormat="1" ht="11.25" customHeight="1">
      <c r="A143" s="106"/>
      <c r="B143" s="1316"/>
      <c r="C143" s="1316"/>
      <c r="D143" s="1316"/>
      <c r="E143" s="1316"/>
      <c r="F143" s="1316"/>
      <c r="G143" s="1316"/>
      <c r="H143" s="1316"/>
      <c r="I143" s="40"/>
      <c r="J143" s="40"/>
      <c r="K143" s="40"/>
      <c r="L143" s="40"/>
      <c r="M143" s="5"/>
      <c r="N143" s="5"/>
      <c r="O143" s="1"/>
      <c r="P143" s="5"/>
      <c r="Q143" s="5"/>
      <c r="R143" s="5"/>
      <c r="S143" s="5"/>
      <c r="T143" s="5"/>
      <c r="U143" s="5"/>
      <c r="V143" s="5"/>
      <c r="W143" s="120"/>
      <c r="X143" s="127"/>
      <c r="Y143" s="59"/>
      <c r="Z143" s="103"/>
      <c r="AA143" s="144"/>
      <c r="AB143" s="516">
        <f t="shared" si="104"/>
        <v>7.4882995319812795E-2</v>
      </c>
      <c r="AC143" s="517">
        <f t="shared" si="105"/>
        <v>5.2074139452780228E-2</v>
      </c>
      <c r="AD143" s="517">
        <f t="shared" si="106"/>
        <v>6.5729640347250928E-2</v>
      </c>
      <c r="AE143" s="517">
        <f t="shared" si="107"/>
        <v>5.4519873373197324E-2</v>
      </c>
      <c r="AF143" s="518">
        <f t="shared" si="108"/>
        <v>4.7952047952047952E-2</v>
      </c>
      <c r="AG143" s="516">
        <f t="shared" si="109"/>
        <v>0.2078783151326053</v>
      </c>
      <c r="AH143" s="517">
        <f t="shared" si="110"/>
        <v>0.16328331862312445</v>
      </c>
      <c r="AI143" s="517">
        <f t="shared" si="111"/>
        <v>0.20711037618850764</v>
      </c>
      <c r="AJ143" s="517">
        <f t="shared" si="112"/>
        <v>0.18044319380935631</v>
      </c>
      <c r="AK143" s="518">
        <f t="shared" si="113"/>
        <v>0.18514818514818515</v>
      </c>
      <c r="AL143" s="516">
        <f t="shared" si="114"/>
        <v>0.14508580343213728</v>
      </c>
      <c r="AM143" s="517">
        <f t="shared" si="115"/>
        <v>0.18181818181818182</v>
      </c>
      <c r="AN143" s="517">
        <f t="shared" si="116"/>
        <v>0.17197188921041753</v>
      </c>
      <c r="AO143" s="517">
        <f t="shared" si="117"/>
        <v>0.17622230038691522</v>
      </c>
      <c r="AP143" s="518">
        <f t="shared" si="118"/>
        <v>0.15251415251415251</v>
      </c>
      <c r="AQ143" s="516">
        <f t="shared" si="119"/>
        <v>2.4960998439937598E-2</v>
      </c>
      <c r="AR143" s="517">
        <f t="shared" si="120"/>
        <v>1.8534863195057368E-2</v>
      </c>
      <c r="AS143" s="517">
        <f t="shared" si="121"/>
        <v>2.3976849937990905E-2</v>
      </c>
      <c r="AT143" s="517">
        <f t="shared" si="122"/>
        <v>3.4118888498065422E-2</v>
      </c>
      <c r="AU143" s="518">
        <f t="shared" si="123"/>
        <v>2.2311022311022312E-2</v>
      </c>
      <c r="AV143" s="516">
        <f t="shared" si="124"/>
        <v>0.10257410296411856</v>
      </c>
      <c r="AW143" s="517">
        <f t="shared" si="125"/>
        <v>0.13283318623124449</v>
      </c>
      <c r="AX143" s="517">
        <f t="shared" si="126"/>
        <v>0.11409673418768086</v>
      </c>
      <c r="AY143" s="517">
        <f t="shared" si="127"/>
        <v>0.14315863524446007</v>
      </c>
      <c r="AZ143" s="518">
        <f t="shared" si="128"/>
        <v>0.15451215451215453</v>
      </c>
      <c r="BA143" s="516">
        <f t="shared" si="129"/>
        <v>0.36271450858034321</v>
      </c>
      <c r="BB143" s="517">
        <f t="shared" si="130"/>
        <v>0.36893203883495146</v>
      </c>
      <c r="BC143" s="517">
        <f t="shared" si="131"/>
        <v>0.34931789995866058</v>
      </c>
      <c r="BD143" s="517">
        <f t="shared" si="132"/>
        <v>0.32465705240942666</v>
      </c>
      <c r="BE143" s="518">
        <f t="shared" si="133"/>
        <v>0.34532134532134534</v>
      </c>
      <c r="BF143" s="516">
        <f t="shared" si="134"/>
        <v>2.1450858034321372E-2</v>
      </c>
      <c r="BG143" s="517">
        <f t="shared" si="135"/>
        <v>3.3097969991173877E-2</v>
      </c>
      <c r="BH143" s="517">
        <f t="shared" si="136"/>
        <v>4.6713517982637454E-2</v>
      </c>
      <c r="BI143" s="517">
        <f t="shared" si="137"/>
        <v>3.8339781920506508E-2</v>
      </c>
      <c r="BJ143" s="518">
        <f t="shared" si="138"/>
        <v>3.996003996003996E-2</v>
      </c>
      <c r="BK143" s="516">
        <f t="shared" si="139"/>
        <v>4.9921996879875197E-2</v>
      </c>
      <c r="BL143" s="517">
        <f t="shared" si="140"/>
        <v>3.4863195057369817E-2</v>
      </c>
      <c r="BM143" s="517">
        <f t="shared" si="141"/>
        <v>2.1083092186854072E-2</v>
      </c>
      <c r="BN143" s="517">
        <f t="shared" si="142"/>
        <v>3.376714737952867E-2</v>
      </c>
      <c r="BO143" s="518">
        <f t="shared" si="143"/>
        <v>3.3633033633033632E-2</v>
      </c>
      <c r="BP143" s="516">
        <f t="shared" si="144"/>
        <v>7.4102964118564745E-3</v>
      </c>
      <c r="BQ143" s="517">
        <f t="shared" si="145"/>
        <v>1.4563106796116505E-2</v>
      </c>
      <c r="BR143" s="517" t="e">
        <f t="shared" si="146"/>
        <v>#N/A</v>
      </c>
      <c r="BS143" s="517">
        <f t="shared" si="147"/>
        <v>1.4773126978543792E-2</v>
      </c>
      <c r="BT143" s="518">
        <f t="shared" si="148"/>
        <v>1.8648018648018648E-2</v>
      </c>
      <c r="BU143" s="516">
        <f t="shared" si="149"/>
        <v>3.1201248049921998E-3</v>
      </c>
      <c r="BV143" s="517">
        <f t="shared" si="150"/>
        <v>0</v>
      </c>
      <c r="BW143" s="517" t="e">
        <f t="shared" si="151"/>
        <v>#N/A</v>
      </c>
      <c r="BX143" s="517">
        <f t="shared" si="152"/>
        <v>0</v>
      </c>
      <c r="BY143" s="518">
        <f t="shared" si="153"/>
        <v>0</v>
      </c>
      <c r="BZ143" s="52"/>
      <c r="CA143" s="52"/>
      <c r="CB143" s="52"/>
      <c r="CC143" s="52"/>
      <c r="CD143" s="52"/>
      <c r="CE143" s="52"/>
      <c r="CF143" s="52"/>
      <c r="CG143" s="52"/>
      <c r="CH143" s="52"/>
      <c r="CI143" s="52"/>
      <c r="CJ143" s="52"/>
      <c r="CK143" s="52"/>
      <c r="CL143" s="52"/>
      <c r="CM143" s="52"/>
      <c r="CN143" s="52"/>
      <c r="CO143" s="52"/>
      <c r="CP143" s="52"/>
      <c r="CQ143" s="52"/>
      <c r="CR143" s="52"/>
      <c r="CS143" s="52"/>
      <c r="CT143" s="52"/>
      <c r="CU143" s="52"/>
      <c r="CV143" s="52"/>
      <c r="CW143" s="52"/>
      <c r="CX143" s="52"/>
      <c r="CY143" s="52"/>
      <c r="CZ143" s="52"/>
      <c r="DA143" s="52"/>
      <c r="DB143" s="52"/>
      <c r="DC143" s="52"/>
      <c r="DD143" s="52"/>
      <c r="DE143" s="52"/>
      <c r="DF143" s="52"/>
      <c r="DG143" s="52"/>
      <c r="DH143" s="52"/>
      <c r="DI143" s="52"/>
      <c r="DJ143" s="52"/>
      <c r="DK143" s="52"/>
      <c r="DL143" s="52"/>
      <c r="DM143" s="52"/>
      <c r="DN143" s="52"/>
      <c r="DO143" s="52"/>
      <c r="DP143" s="52"/>
      <c r="DQ143" s="52"/>
      <c r="DR143" s="52"/>
      <c r="DS143" s="52"/>
      <c r="DT143" s="52"/>
      <c r="DU143" s="52"/>
      <c r="DV143" s="52"/>
      <c r="DW143" s="52"/>
      <c r="DX143" s="52"/>
      <c r="DY143" s="52"/>
      <c r="DZ143" s="52"/>
      <c r="EA143" s="52"/>
      <c r="EB143" s="52"/>
      <c r="EC143" s="52"/>
      <c r="ED143" s="52"/>
    </row>
    <row r="144" spans="1:134" ht="11.25" customHeight="1">
      <c r="A144" s="106"/>
      <c r="B144" s="1316"/>
      <c r="C144" s="1316"/>
      <c r="D144" s="1316"/>
      <c r="E144" s="1316"/>
      <c r="F144" s="1316"/>
      <c r="G144" s="1316"/>
      <c r="H144" s="1316"/>
      <c r="I144" s="40"/>
      <c r="J144" s="40"/>
      <c r="K144" s="40"/>
      <c r="L144" s="40"/>
      <c r="M144" s="5"/>
      <c r="N144" s="5"/>
      <c r="O144" s="1"/>
      <c r="P144" s="5"/>
      <c r="Q144" s="5"/>
      <c r="R144" s="5"/>
      <c r="S144" s="5"/>
      <c r="T144" s="5"/>
      <c r="U144" s="5"/>
      <c r="V144" s="5"/>
      <c r="W144" s="120"/>
      <c r="X144" s="127"/>
      <c r="Y144" s="59"/>
      <c r="Z144" s="103"/>
      <c r="AA144" s="144"/>
      <c r="AB144" s="516">
        <f t="shared" si="104"/>
        <v>4.0944881889763779E-2</v>
      </c>
      <c r="AC144" s="517">
        <f t="shared" si="105"/>
        <v>2.6074074074074072E-2</v>
      </c>
      <c r="AD144" s="517">
        <f t="shared" si="106"/>
        <v>2.1356783919597989E-2</v>
      </c>
      <c r="AE144" s="517">
        <f t="shared" si="107"/>
        <v>2.60462393912789E-2</v>
      </c>
      <c r="AF144" s="518">
        <f t="shared" si="108"/>
        <v>3.2826022082960309E-2</v>
      </c>
      <c r="AG144" s="516">
        <f t="shared" si="109"/>
        <v>0.24960629921259841</v>
      </c>
      <c r="AH144" s="517">
        <f t="shared" si="110"/>
        <v>0.1682962962962963</v>
      </c>
      <c r="AI144" s="517">
        <f t="shared" si="111"/>
        <v>0.25282663316582915</v>
      </c>
      <c r="AJ144" s="517">
        <f t="shared" si="112"/>
        <v>0.22651448639157157</v>
      </c>
      <c r="AK144" s="518">
        <f t="shared" si="113"/>
        <v>0.25544613548194567</v>
      </c>
      <c r="AL144" s="516">
        <f t="shared" si="114"/>
        <v>0.13543307086614173</v>
      </c>
      <c r="AM144" s="517">
        <f t="shared" si="115"/>
        <v>0.19348148148148148</v>
      </c>
      <c r="AN144" s="517">
        <f t="shared" si="116"/>
        <v>0.14698492462311558</v>
      </c>
      <c r="AO144" s="517">
        <f t="shared" si="117"/>
        <v>0.14340064383962539</v>
      </c>
      <c r="AP144" s="518">
        <f t="shared" si="118"/>
        <v>0.14324082363473589</v>
      </c>
      <c r="AQ144" s="516">
        <f t="shared" si="119"/>
        <v>0</v>
      </c>
      <c r="AR144" s="517">
        <f t="shared" si="120"/>
        <v>3.851851851851852E-3</v>
      </c>
      <c r="AS144" s="517" t="e">
        <f t="shared" si="121"/>
        <v>#N/A</v>
      </c>
      <c r="AT144" s="517">
        <f t="shared" si="122"/>
        <v>2.6338893766461808E-3</v>
      </c>
      <c r="AU144" s="518">
        <f t="shared" si="123"/>
        <v>0</v>
      </c>
      <c r="AV144" s="516">
        <f t="shared" si="124"/>
        <v>0.15393700787401574</v>
      </c>
      <c r="AW144" s="517">
        <f t="shared" si="125"/>
        <v>0.1351111111111111</v>
      </c>
      <c r="AX144" s="517">
        <f t="shared" si="126"/>
        <v>0.1717964824120603</v>
      </c>
      <c r="AY144" s="517">
        <f t="shared" si="127"/>
        <v>0.13901082821188177</v>
      </c>
      <c r="AZ144" s="518">
        <f t="shared" si="128"/>
        <v>9.9373321396598033E-2</v>
      </c>
      <c r="BA144" s="516">
        <f t="shared" si="129"/>
        <v>0.32480314960629919</v>
      </c>
      <c r="BB144" s="517">
        <f t="shared" si="130"/>
        <v>0.36859259259259258</v>
      </c>
      <c r="BC144" s="517">
        <f t="shared" si="131"/>
        <v>0.3479899497487437</v>
      </c>
      <c r="BD144" s="517">
        <f t="shared" si="132"/>
        <v>0.36757389522973366</v>
      </c>
      <c r="BE144" s="518">
        <f t="shared" si="133"/>
        <v>0.38943598925693823</v>
      </c>
      <c r="BF144" s="516">
        <f t="shared" si="134"/>
        <v>3.582677165354331E-2</v>
      </c>
      <c r="BG144" s="517">
        <f t="shared" si="135"/>
        <v>2.2814814814814816E-2</v>
      </c>
      <c r="BH144" s="517">
        <f t="shared" si="136"/>
        <v>3.548994974874372E-2</v>
      </c>
      <c r="BI144" s="517">
        <f t="shared" si="137"/>
        <v>1.9315188762071993E-2</v>
      </c>
      <c r="BJ144" s="518">
        <f t="shared" si="138"/>
        <v>2.5962399283795883E-2</v>
      </c>
      <c r="BK144" s="516">
        <f t="shared" si="139"/>
        <v>4.2125984251968507E-2</v>
      </c>
      <c r="BL144" s="517">
        <f t="shared" si="140"/>
        <v>7.1111111111111111E-2</v>
      </c>
      <c r="BM144" s="517">
        <f t="shared" si="141"/>
        <v>1.5703517587939697E-2</v>
      </c>
      <c r="BN144" s="517">
        <f t="shared" si="142"/>
        <v>7.0822358794263976E-2</v>
      </c>
      <c r="BO144" s="518">
        <f t="shared" si="143"/>
        <v>5.1626380185019395E-2</v>
      </c>
      <c r="BP144" s="516">
        <f t="shared" si="144"/>
        <v>1.7322834645669291E-2</v>
      </c>
      <c r="BQ144" s="517">
        <f t="shared" si="145"/>
        <v>1.0666666666666666E-2</v>
      </c>
      <c r="BR144" s="517">
        <f t="shared" si="146"/>
        <v>7.8517587939698485E-3</v>
      </c>
      <c r="BS144" s="517">
        <f t="shared" si="147"/>
        <v>4.6824700029265438E-3</v>
      </c>
      <c r="BT144" s="518">
        <f t="shared" si="148"/>
        <v>2.0889286780065653E-3</v>
      </c>
      <c r="BU144" s="516">
        <f t="shared" si="149"/>
        <v>0</v>
      </c>
      <c r="BV144" s="517">
        <f t="shared" si="150"/>
        <v>0</v>
      </c>
      <c r="BW144" s="517">
        <f t="shared" si="151"/>
        <v>0</v>
      </c>
      <c r="BX144" s="517">
        <f t="shared" si="152"/>
        <v>0</v>
      </c>
      <c r="BY144" s="518">
        <f t="shared" si="153"/>
        <v>0</v>
      </c>
    </row>
    <row r="145" spans="1:134" ht="11.25" customHeight="1">
      <c r="A145" s="106"/>
      <c r="B145" s="1316"/>
      <c r="C145" s="1316"/>
      <c r="D145" s="1316"/>
      <c r="E145" s="1316"/>
      <c r="F145" s="1316"/>
      <c r="G145" s="1316"/>
      <c r="H145" s="1316"/>
      <c r="I145" s="40"/>
      <c r="J145" s="40"/>
      <c r="K145" s="40"/>
      <c r="L145" s="40"/>
      <c r="M145" s="5"/>
      <c r="N145" s="5"/>
      <c r="O145" s="1"/>
      <c r="P145" s="5"/>
      <c r="Q145" s="5"/>
      <c r="R145" s="5"/>
      <c r="S145" s="5"/>
      <c r="T145" s="5"/>
      <c r="U145" s="5"/>
      <c r="V145" s="5"/>
      <c r="W145" s="120"/>
      <c r="X145" s="127"/>
      <c r="Y145" s="59"/>
      <c r="Z145" s="103"/>
      <c r="AA145" s="144"/>
      <c r="AB145" s="516">
        <f t="shared" si="104"/>
        <v>4.566115702479339E-2</v>
      </c>
      <c r="AC145" s="517">
        <f t="shared" si="105"/>
        <v>3.2598039215686277E-2</v>
      </c>
      <c r="AD145" s="517">
        <f t="shared" si="106"/>
        <v>2.902958252695604E-2</v>
      </c>
      <c r="AE145" s="517">
        <f t="shared" si="107"/>
        <v>5.4148706896551727E-2</v>
      </c>
      <c r="AF145" s="518">
        <f t="shared" si="108"/>
        <v>6.4641241111829353E-2</v>
      </c>
      <c r="AG145" s="516">
        <f t="shared" si="109"/>
        <v>0.19669421487603306</v>
      </c>
      <c r="AH145" s="517">
        <f t="shared" si="110"/>
        <v>0.16323529411764706</v>
      </c>
      <c r="AI145" s="517">
        <f t="shared" si="111"/>
        <v>0.21426596627038982</v>
      </c>
      <c r="AJ145" s="517">
        <f t="shared" si="112"/>
        <v>0.32623922413793105</v>
      </c>
      <c r="AK145" s="518">
        <f t="shared" si="113"/>
        <v>0.28862314156431801</v>
      </c>
      <c r="AL145" s="516">
        <f t="shared" si="114"/>
        <v>0.15723140495867768</v>
      </c>
      <c r="AM145" s="517">
        <f t="shared" si="115"/>
        <v>0.13823529411764707</v>
      </c>
      <c r="AN145" s="517">
        <f t="shared" si="116"/>
        <v>0.12303013547138512</v>
      </c>
      <c r="AO145" s="517">
        <f t="shared" si="117"/>
        <v>0.11988146551724138</v>
      </c>
      <c r="AP145" s="518">
        <f t="shared" si="118"/>
        <v>0.14835164835164835</v>
      </c>
      <c r="AQ145" s="516">
        <f t="shared" si="119"/>
        <v>5.7851239669421484E-3</v>
      </c>
      <c r="AR145" s="517">
        <f t="shared" si="120"/>
        <v>0</v>
      </c>
      <c r="AS145" s="517" t="e">
        <f t="shared" si="121"/>
        <v>#N/A</v>
      </c>
      <c r="AT145" s="517">
        <f t="shared" si="122"/>
        <v>9.4288793103448273E-3</v>
      </c>
      <c r="AU145" s="518">
        <f t="shared" si="123"/>
        <v>9.0497737556561094E-3</v>
      </c>
      <c r="AV145" s="516">
        <f t="shared" si="124"/>
        <v>0.2024793388429752</v>
      </c>
      <c r="AW145" s="517">
        <f t="shared" si="125"/>
        <v>0.2267156862745098</v>
      </c>
      <c r="AX145" s="517">
        <f t="shared" si="126"/>
        <v>0.1443184959911529</v>
      </c>
      <c r="AY145" s="517">
        <f t="shared" si="127"/>
        <v>0.16648706896551724</v>
      </c>
      <c r="AZ145" s="518">
        <f t="shared" si="128"/>
        <v>0.13542340012928247</v>
      </c>
      <c r="BA145" s="516">
        <f t="shared" si="129"/>
        <v>0.28285123966942149</v>
      </c>
      <c r="BB145" s="517">
        <f t="shared" si="130"/>
        <v>0.34166666666666667</v>
      </c>
      <c r="BC145" s="517">
        <f t="shared" si="131"/>
        <v>0.26873099253525023</v>
      </c>
      <c r="BD145" s="517">
        <f t="shared" si="132"/>
        <v>0.25835129310344829</v>
      </c>
      <c r="BE145" s="518">
        <f t="shared" si="133"/>
        <v>0.27537168713639304</v>
      </c>
      <c r="BF145" s="516">
        <f t="shared" si="134"/>
        <v>1.1157024793388429E-2</v>
      </c>
      <c r="BG145" s="517">
        <f t="shared" si="135"/>
        <v>1.0784313725490196E-2</v>
      </c>
      <c r="BH145" s="517">
        <f t="shared" si="136"/>
        <v>8.2941664362731551E-3</v>
      </c>
      <c r="BI145" s="517">
        <f t="shared" si="137"/>
        <v>2.6400862068965518E-2</v>
      </c>
      <c r="BJ145" s="518">
        <f t="shared" si="138"/>
        <v>3.3613445378151259E-2</v>
      </c>
      <c r="BK145" s="516">
        <f t="shared" si="139"/>
        <v>6.1983471074380167E-2</v>
      </c>
      <c r="BL145" s="517">
        <f t="shared" si="140"/>
        <v>5.3676470588235291E-2</v>
      </c>
      <c r="BM145" s="517">
        <f t="shared" si="141"/>
        <v>5.2253248548520877E-2</v>
      </c>
      <c r="BN145" s="517">
        <f t="shared" si="142"/>
        <v>2.9094827586206896E-2</v>
      </c>
      <c r="BO145" s="518">
        <f t="shared" si="143"/>
        <v>3.8138332255979318E-2</v>
      </c>
      <c r="BP145" s="516">
        <f t="shared" si="144"/>
        <v>3.3677685950413226E-2</v>
      </c>
      <c r="BQ145" s="517">
        <f t="shared" si="145"/>
        <v>2.8676470588235293E-2</v>
      </c>
      <c r="BR145" s="517">
        <f t="shared" si="146"/>
        <v>3.0135471385125796E-2</v>
      </c>
      <c r="BS145" s="517">
        <f t="shared" si="147"/>
        <v>9.9676724137931043E-3</v>
      </c>
      <c r="BT145" s="518">
        <f t="shared" si="148"/>
        <v>6.7873303167420816E-3</v>
      </c>
      <c r="BU145" s="516">
        <f t="shared" si="149"/>
        <v>2.4793388429752068E-3</v>
      </c>
      <c r="BV145" s="517">
        <f t="shared" si="150"/>
        <v>4.4117647058823529E-3</v>
      </c>
      <c r="BW145" s="517">
        <f t="shared" si="151"/>
        <v>0.12994194083494609</v>
      </c>
      <c r="BX145" s="517">
        <f t="shared" si="152"/>
        <v>0</v>
      </c>
      <c r="BY145" s="518">
        <f t="shared" si="153"/>
        <v>0</v>
      </c>
      <c r="BZ145" s="61"/>
      <c r="CA145" s="61"/>
      <c r="CB145" s="61"/>
      <c r="CC145" s="61"/>
      <c r="CD145" s="61"/>
      <c r="CE145" s="61"/>
      <c r="CF145" s="61"/>
      <c r="CG145" s="61"/>
      <c r="CH145" s="61"/>
      <c r="CI145" s="61"/>
      <c r="CJ145" s="61"/>
      <c r="CK145" s="61"/>
      <c r="CL145" s="61"/>
      <c r="CM145" s="61"/>
      <c r="CN145" s="61"/>
      <c r="CO145" s="61"/>
      <c r="CP145" s="61"/>
      <c r="CQ145" s="61"/>
      <c r="CR145" s="61"/>
      <c r="CS145" s="61"/>
      <c r="CT145" s="61"/>
      <c r="CU145" s="61"/>
      <c r="CV145" s="61"/>
      <c r="CW145" s="61"/>
      <c r="CX145" s="61"/>
      <c r="CY145" s="61"/>
      <c r="CZ145" s="61"/>
      <c r="DA145" s="61"/>
      <c r="DB145" s="61"/>
      <c r="DC145" s="61"/>
      <c r="DD145" s="61"/>
      <c r="DE145" s="61"/>
      <c r="DF145" s="61"/>
      <c r="DG145" s="61"/>
      <c r="DH145" s="61"/>
      <c r="DI145" s="61"/>
      <c r="DJ145" s="61"/>
      <c r="DK145" s="61"/>
      <c r="DL145" s="61"/>
      <c r="DM145" s="61"/>
      <c r="DN145" s="61"/>
      <c r="DO145" s="61"/>
      <c r="DP145" s="61"/>
      <c r="DQ145" s="61"/>
      <c r="DR145" s="61"/>
      <c r="DS145" s="61"/>
      <c r="DT145" s="61"/>
      <c r="DU145" s="61"/>
      <c r="DV145" s="61"/>
      <c r="DW145" s="61"/>
      <c r="DX145" s="61"/>
      <c r="DY145" s="61"/>
      <c r="DZ145" s="61"/>
      <c r="EA145" s="61"/>
      <c r="EB145" s="61"/>
    </row>
    <row r="146" spans="1:134" ht="11.25" customHeight="1">
      <c r="A146" s="106"/>
      <c r="B146" s="1316"/>
      <c r="C146" s="1316"/>
      <c r="D146" s="1316"/>
      <c r="E146" s="1316"/>
      <c r="F146" s="1316"/>
      <c r="G146" s="1316"/>
      <c r="H146" s="1316"/>
      <c r="I146" s="40"/>
      <c r="J146" s="40"/>
      <c r="K146" s="40"/>
      <c r="L146" s="40"/>
      <c r="M146" s="5"/>
      <c r="N146" s="5"/>
      <c r="O146" s="1"/>
      <c r="P146" s="5"/>
      <c r="Q146" s="5"/>
      <c r="R146" s="5"/>
      <c r="S146" s="5"/>
      <c r="T146" s="5"/>
      <c r="U146" s="5"/>
      <c r="V146" s="5"/>
      <c r="W146" s="120"/>
      <c r="X146" s="127"/>
      <c r="Y146" s="59"/>
      <c r="Z146" s="103"/>
      <c r="AA146" s="144"/>
      <c r="AB146" s="516">
        <f t="shared" si="104"/>
        <v>7.1956802441601131E-2</v>
      </c>
      <c r="AC146" s="517">
        <f t="shared" si="105"/>
        <v>8.0935941695435359E-2</v>
      </c>
      <c r="AD146" s="517">
        <f t="shared" si="106"/>
        <v>7.1070416394157399E-2</v>
      </c>
      <c r="AE146" s="517">
        <f t="shared" si="107"/>
        <v>6.9028539294249971E-2</v>
      </c>
      <c r="AF146" s="518">
        <f t="shared" si="108"/>
        <v>6.7300182244207238E-2</v>
      </c>
      <c r="AG146" s="516">
        <f t="shared" si="109"/>
        <v>0.19192393473412372</v>
      </c>
      <c r="AH146" s="517">
        <f t="shared" si="110"/>
        <v>0.13847334100498657</v>
      </c>
      <c r="AI146" s="517">
        <f t="shared" si="111"/>
        <v>0.20558098975365163</v>
      </c>
      <c r="AJ146" s="517">
        <f t="shared" si="112"/>
        <v>0.19654154365246732</v>
      </c>
      <c r="AK146" s="518">
        <f t="shared" si="113"/>
        <v>0.21075240822702421</v>
      </c>
      <c r="AL146" s="516">
        <f t="shared" si="114"/>
        <v>0.15776499589153656</v>
      </c>
      <c r="AM146" s="517">
        <f t="shared" si="115"/>
        <v>0.18047564250095896</v>
      </c>
      <c r="AN146" s="517">
        <f t="shared" si="116"/>
        <v>0.17527795945062133</v>
      </c>
      <c r="AO146" s="517">
        <f t="shared" si="117"/>
        <v>0.15745817517221988</v>
      </c>
      <c r="AP146" s="518">
        <f t="shared" si="118"/>
        <v>0.16701379848997658</v>
      </c>
      <c r="AQ146" s="516">
        <f t="shared" si="119"/>
        <v>1.1855851625777673E-2</v>
      </c>
      <c r="AR146" s="517">
        <f t="shared" si="120"/>
        <v>5.9455312619869586E-3</v>
      </c>
      <c r="AS146" s="517" t="e">
        <f t="shared" si="121"/>
        <v>#N/A</v>
      </c>
      <c r="AT146" s="517">
        <f t="shared" si="122"/>
        <v>1.2793476732742864E-2</v>
      </c>
      <c r="AU146" s="518">
        <f t="shared" si="123"/>
        <v>1.0544129133038271E-2</v>
      </c>
      <c r="AV146" s="516">
        <f t="shared" si="124"/>
        <v>0.12513205775325742</v>
      </c>
      <c r="AW146" s="517">
        <f t="shared" si="125"/>
        <v>0.10136171845032604</v>
      </c>
      <c r="AX146" s="517">
        <f t="shared" si="126"/>
        <v>0.11347285807717462</v>
      </c>
      <c r="AY146" s="517">
        <f t="shared" si="127"/>
        <v>0.12863770560944748</v>
      </c>
      <c r="AZ146" s="518">
        <f t="shared" si="128"/>
        <v>0.12093204894558708</v>
      </c>
      <c r="BA146" s="516">
        <f t="shared" si="129"/>
        <v>0.33384200023476934</v>
      </c>
      <c r="BB146" s="517">
        <f t="shared" si="130"/>
        <v>0.37629459148446492</v>
      </c>
      <c r="BC146" s="517">
        <f t="shared" si="131"/>
        <v>0.30630041421408327</v>
      </c>
      <c r="BD146" s="517">
        <f t="shared" si="132"/>
        <v>0.30535638970898354</v>
      </c>
      <c r="BE146" s="518">
        <f t="shared" si="133"/>
        <v>0.29614683676126008</v>
      </c>
      <c r="BF146" s="516">
        <f t="shared" si="134"/>
        <v>3.5215400868646551E-2</v>
      </c>
      <c r="BG146" s="517">
        <f t="shared" si="135"/>
        <v>3.3371691599539698E-2</v>
      </c>
      <c r="BH146" s="517">
        <f t="shared" si="136"/>
        <v>3.7388271201220839E-2</v>
      </c>
      <c r="BI146" s="517">
        <f t="shared" si="137"/>
        <v>3.3741037536904259E-2</v>
      </c>
      <c r="BJ146" s="518">
        <f t="shared" si="138"/>
        <v>3.3975527206456649E-2</v>
      </c>
      <c r="BK146" s="516">
        <f t="shared" si="139"/>
        <v>4.484094377274328E-2</v>
      </c>
      <c r="BL146" s="517">
        <f t="shared" si="140"/>
        <v>5.964710395090142E-2</v>
      </c>
      <c r="BM146" s="517">
        <f t="shared" si="141"/>
        <v>6.5729234793983002E-2</v>
      </c>
      <c r="BN146" s="517">
        <f t="shared" si="142"/>
        <v>7.9150850555321242E-2</v>
      </c>
      <c r="BO146" s="518">
        <f t="shared" si="143"/>
        <v>8.1489195521999486E-2</v>
      </c>
      <c r="BP146" s="516">
        <f t="shared" si="144"/>
        <v>2.7468012677544312E-2</v>
      </c>
      <c r="BQ146" s="517">
        <f t="shared" si="145"/>
        <v>2.3494438051400078E-2</v>
      </c>
      <c r="BR146" s="517">
        <f t="shared" si="146"/>
        <v>2.5179856115107913E-2</v>
      </c>
      <c r="BS146" s="517">
        <f t="shared" si="147"/>
        <v>1.7292281737663433E-2</v>
      </c>
      <c r="BT146" s="518">
        <f t="shared" si="148"/>
        <v>1.1845873470450404E-2</v>
      </c>
      <c r="BU146" s="516">
        <f t="shared" si="149"/>
        <v>0</v>
      </c>
      <c r="BV146" s="517">
        <f t="shared" si="150"/>
        <v>0</v>
      </c>
      <c r="BW146" s="517" t="e">
        <f t="shared" si="151"/>
        <v>#N/A</v>
      </c>
      <c r="BX146" s="517">
        <f t="shared" si="152"/>
        <v>0</v>
      </c>
      <c r="BY146" s="518">
        <f t="shared" si="153"/>
        <v>0</v>
      </c>
      <c r="BZ146" s="61"/>
      <c r="CA146" s="61"/>
      <c r="CB146" s="61"/>
      <c r="CC146" s="61"/>
      <c r="CD146" s="61"/>
      <c r="CE146" s="61"/>
      <c r="CF146" s="61"/>
      <c r="CG146" s="61"/>
      <c r="CH146" s="61"/>
      <c r="CI146" s="61"/>
      <c r="CJ146" s="61"/>
      <c r="CK146" s="61"/>
      <c r="CL146" s="61"/>
      <c r="CM146" s="61"/>
      <c r="CN146" s="61"/>
      <c r="CO146" s="61"/>
      <c r="CP146" s="61"/>
      <c r="CQ146" s="61"/>
      <c r="CR146" s="61"/>
      <c r="CS146" s="61"/>
      <c r="CT146" s="61"/>
      <c r="CU146" s="61"/>
      <c r="CV146" s="61"/>
      <c r="CW146" s="61"/>
      <c r="CX146" s="61"/>
      <c r="CY146" s="61"/>
      <c r="CZ146" s="61"/>
      <c r="DA146" s="61"/>
      <c r="DB146" s="61"/>
      <c r="DC146" s="61"/>
      <c r="DD146" s="61"/>
      <c r="DE146" s="61"/>
      <c r="DF146" s="61"/>
      <c r="DG146" s="61"/>
      <c r="DH146" s="61"/>
      <c r="DI146" s="61"/>
      <c r="DJ146" s="61"/>
      <c r="DK146" s="61"/>
      <c r="DL146" s="61"/>
      <c r="DM146" s="61"/>
      <c r="DN146" s="61"/>
      <c r="DO146" s="61"/>
      <c r="DP146" s="61"/>
      <c r="DQ146" s="61"/>
      <c r="DR146" s="61"/>
      <c r="DS146" s="61"/>
      <c r="DT146" s="61"/>
      <c r="DU146" s="61"/>
      <c r="DV146" s="61"/>
      <c r="DW146" s="61"/>
      <c r="DX146" s="61"/>
      <c r="DY146" s="61"/>
      <c r="DZ146" s="61"/>
      <c r="EA146" s="61"/>
      <c r="EB146" s="61"/>
    </row>
    <row r="147" spans="1:134" ht="11.25" customHeight="1">
      <c r="A147" s="106"/>
      <c r="B147" s="1316"/>
      <c r="C147" s="1316"/>
      <c r="D147" s="1316"/>
      <c r="E147" s="1316"/>
      <c r="F147" s="1316"/>
      <c r="G147" s="1316"/>
      <c r="H147" s="1316"/>
      <c r="I147" s="40"/>
      <c r="J147" s="40"/>
      <c r="K147" s="40"/>
      <c r="L147" s="40"/>
      <c r="M147" s="5"/>
      <c r="N147" s="5"/>
      <c r="O147" s="1"/>
      <c r="P147" s="5"/>
      <c r="Q147" s="5"/>
      <c r="R147" s="5"/>
      <c r="S147" s="5"/>
      <c r="T147" s="5"/>
      <c r="U147" s="5"/>
      <c r="V147" s="5"/>
      <c r="W147" s="120"/>
      <c r="X147" s="131"/>
      <c r="Y147" s="59"/>
      <c r="Z147" s="103"/>
      <c r="AA147" s="144"/>
      <c r="AB147" s="516">
        <f t="shared" si="104"/>
        <v>0.13663845223700122</v>
      </c>
      <c r="AC147" s="517">
        <f t="shared" si="105"/>
        <v>8.9593383873190907E-2</v>
      </c>
      <c r="AD147" s="517">
        <f t="shared" si="106"/>
        <v>9.6984924623115573E-2</v>
      </c>
      <c r="AE147" s="517">
        <f t="shared" si="107"/>
        <v>8.6794213719085397E-2</v>
      </c>
      <c r="AF147" s="518">
        <f t="shared" si="108"/>
        <v>8.2345601996257012E-2</v>
      </c>
      <c r="AG147" s="516">
        <f t="shared" si="109"/>
        <v>0.24244256348246676</v>
      </c>
      <c r="AH147" s="517">
        <f t="shared" si="110"/>
        <v>0.15368711233631979</v>
      </c>
      <c r="AI147" s="517">
        <f t="shared" si="111"/>
        <v>0.20753768844221104</v>
      </c>
      <c r="AJ147" s="517">
        <f t="shared" si="112"/>
        <v>0.24545030331311246</v>
      </c>
      <c r="AK147" s="518">
        <f t="shared" si="113"/>
        <v>0.21896444167186524</v>
      </c>
      <c r="AL147" s="516">
        <f t="shared" si="114"/>
        <v>0.11910519951632406</v>
      </c>
      <c r="AM147" s="517">
        <f t="shared" si="115"/>
        <v>0.14679531357684356</v>
      </c>
      <c r="AN147" s="517">
        <f t="shared" si="116"/>
        <v>0.12562814070351758</v>
      </c>
      <c r="AO147" s="517">
        <f t="shared" si="117"/>
        <v>0.12365842277181521</v>
      </c>
      <c r="AP147" s="518">
        <f t="shared" si="118"/>
        <v>0.11228945726762321</v>
      </c>
      <c r="AQ147" s="516">
        <f t="shared" si="119"/>
        <v>1.3301088270858524E-2</v>
      </c>
      <c r="AR147" s="517">
        <f t="shared" si="120"/>
        <v>8.9593383873190907E-3</v>
      </c>
      <c r="AS147" s="517">
        <f t="shared" si="121"/>
        <v>7.537688442211055E-3</v>
      </c>
      <c r="AT147" s="517">
        <f t="shared" si="122"/>
        <v>6.5328978068128788E-3</v>
      </c>
      <c r="AU147" s="518">
        <f t="shared" si="123"/>
        <v>3.7429819089207735E-3</v>
      </c>
      <c r="AV147" s="516">
        <f t="shared" si="124"/>
        <v>0.16807738814993953</v>
      </c>
      <c r="AW147" s="517">
        <f t="shared" si="125"/>
        <v>0.20537560303239144</v>
      </c>
      <c r="AX147" s="517">
        <f t="shared" si="126"/>
        <v>0.1527638190954774</v>
      </c>
      <c r="AY147" s="517">
        <f t="shared" si="127"/>
        <v>0.19038730751283248</v>
      </c>
      <c r="AZ147" s="518">
        <f t="shared" si="128"/>
        <v>0.15782907049282596</v>
      </c>
      <c r="BA147" s="516">
        <f t="shared" si="129"/>
        <v>0.24365175332527206</v>
      </c>
      <c r="BB147" s="517">
        <f t="shared" si="130"/>
        <v>0.32942798070296347</v>
      </c>
      <c r="BC147" s="517">
        <f t="shared" si="131"/>
        <v>0.33668341708542715</v>
      </c>
      <c r="BD147" s="517">
        <f t="shared" si="132"/>
        <v>0.28884741017265514</v>
      </c>
      <c r="BE147" s="518">
        <f t="shared" si="133"/>
        <v>0.32252027448533999</v>
      </c>
      <c r="BF147" s="516">
        <f t="shared" si="134"/>
        <v>1.9951632406287789E-2</v>
      </c>
      <c r="BG147" s="517">
        <f t="shared" si="135"/>
        <v>2.1364576154376293E-2</v>
      </c>
      <c r="BH147" s="517">
        <f t="shared" si="136"/>
        <v>3.2160804020100506E-2</v>
      </c>
      <c r="BI147" s="517">
        <f t="shared" si="137"/>
        <v>2.9398040130657957E-2</v>
      </c>
      <c r="BJ147" s="518">
        <f t="shared" si="138"/>
        <v>4.8658764815970056E-2</v>
      </c>
      <c r="BK147" s="516">
        <f t="shared" si="139"/>
        <v>3.2043530834340993E-2</v>
      </c>
      <c r="BL147" s="517">
        <f t="shared" si="140"/>
        <v>1.0337698139214336E-2</v>
      </c>
      <c r="BM147" s="517">
        <f t="shared" si="141"/>
        <v>1.0552763819095477E-2</v>
      </c>
      <c r="BN147" s="517">
        <f t="shared" si="142"/>
        <v>7.9328044797013532E-3</v>
      </c>
      <c r="BO147" s="518">
        <f t="shared" si="143"/>
        <v>1.3100436681222707E-2</v>
      </c>
      <c r="BP147" s="516">
        <f t="shared" si="144"/>
        <v>1.9951632406287789E-2</v>
      </c>
      <c r="BQ147" s="517">
        <f t="shared" si="145"/>
        <v>1.0337698139214336E-2</v>
      </c>
      <c r="BR147" s="517">
        <f t="shared" si="146"/>
        <v>1.2060301507537688E-2</v>
      </c>
      <c r="BS147" s="517">
        <f t="shared" si="147"/>
        <v>8.3994400373308443E-3</v>
      </c>
      <c r="BT147" s="518">
        <f t="shared" si="148"/>
        <v>2.3705552089831567E-2</v>
      </c>
      <c r="BU147" s="516">
        <f t="shared" si="149"/>
        <v>4.8367593712212815E-3</v>
      </c>
      <c r="BV147" s="517">
        <f t="shared" si="150"/>
        <v>2.4121295658166782E-2</v>
      </c>
      <c r="BW147" s="517">
        <f t="shared" si="151"/>
        <v>1.8090452261306532E-2</v>
      </c>
      <c r="BX147" s="517">
        <f t="shared" si="152"/>
        <v>1.2599160055996267E-2</v>
      </c>
      <c r="BY147" s="518">
        <f t="shared" si="153"/>
        <v>1.6843418590143482E-2</v>
      </c>
      <c r="BZ147" s="61"/>
      <c r="CA147" s="61"/>
      <c r="CB147" s="61"/>
      <c r="CC147" s="61"/>
      <c r="CD147" s="61"/>
      <c r="CE147" s="61"/>
      <c r="CF147" s="61"/>
      <c r="CG147" s="61"/>
      <c r="CH147" s="61"/>
      <c r="CI147" s="61"/>
      <c r="CJ147" s="61"/>
      <c r="CK147" s="61"/>
      <c r="CL147" s="61"/>
      <c r="CM147" s="61"/>
      <c r="CN147" s="61"/>
      <c r="CO147" s="61"/>
      <c r="CP147" s="61"/>
      <c r="CQ147" s="61"/>
      <c r="CR147" s="61"/>
      <c r="CS147" s="61"/>
      <c r="CT147" s="61"/>
      <c r="CU147" s="61"/>
      <c r="CV147" s="61"/>
      <c r="CW147" s="61"/>
      <c r="CX147" s="61"/>
      <c r="CY147" s="61"/>
      <c r="CZ147" s="61"/>
      <c r="DA147" s="61"/>
      <c r="DB147" s="61"/>
      <c r="DC147" s="61"/>
      <c r="DD147" s="61"/>
      <c r="DE147" s="61"/>
      <c r="DF147" s="61"/>
      <c r="DG147" s="61"/>
      <c r="DH147" s="61"/>
      <c r="DI147" s="61"/>
      <c r="DJ147" s="61"/>
      <c r="DK147" s="61"/>
      <c r="DL147" s="61"/>
      <c r="DM147" s="61"/>
      <c r="DN147" s="61"/>
      <c r="DO147" s="61"/>
      <c r="DP147" s="61"/>
      <c r="DQ147" s="61"/>
      <c r="DR147" s="61"/>
      <c r="DS147" s="61"/>
      <c r="DT147" s="61"/>
      <c r="DU147" s="61"/>
      <c r="DV147" s="61"/>
      <c r="DW147" s="61"/>
      <c r="DX147" s="61"/>
      <c r="DY147" s="61"/>
      <c r="DZ147" s="61"/>
      <c r="EA147" s="61"/>
      <c r="EB147" s="61"/>
      <c r="EC147" s="61"/>
    </row>
    <row r="148" spans="1:134" ht="11.25" customHeight="1">
      <c r="A148" s="106"/>
      <c r="B148" s="1316"/>
      <c r="C148" s="1316"/>
      <c r="D148" s="1316"/>
      <c r="E148" s="1316"/>
      <c r="F148" s="1316"/>
      <c r="G148" s="1316"/>
      <c r="H148" s="1316"/>
      <c r="I148" s="40"/>
      <c r="J148" s="40"/>
      <c r="K148" s="40"/>
      <c r="L148" s="40"/>
      <c r="M148" s="5"/>
      <c r="N148" s="5"/>
      <c r="O148" s="1"/>
      <c r="P148" s="5"/>
      <c r="Q148" s="5"/>
      <c r="R148" s="5"/>
      <c r="S148" s="5"/>
      <c r="T148" s="5"/>
      <c r="U148" s="5"/>
      <c r="V148" s="5"/>
      <c r="W148" s="120"/>
      <c r="X148" s="131"/>
      <c r="Y148" s="59"/>
      <c r="Z148" s="103"/>
      <c r="AA148" s="144"/>
      <c r="AB148" s="516">
        <f t="shared" si="104"/>
        <v>8.8061643150205149E-2</v>
      </c>
      <c r="AC148" s="517">
        <f t="shared" si="105"/>
        <v>9.8448426573426576E-2</v>
      </c>
      <c r="AD148" s="517">
        <f t="shared" si="106"/>
        <v>8.8153681963713981E-2</v>
      </c>
      <c r="AE148" s="517">
        <f t="shared" si="107"/>
        <v>8.9706188789331107E-2</v>
      </c>
      <c r="AF148" s="518">
        <f t="shared" si="108"/>
        <v>8.422645315849199E-2</v>
      </c>
      <c r="AG148" s="516">
        <f t="shared" si="109"/>
        <v>0.20294205944160912</v>
      </c>
      <c r="AH148" s="517">
        <f t="shared" si="110"/>
        <v>0.13854895104895104</v>
      </c>
      <c r="AI148" s="517">
        <f t="shared" si="111"/>
        <v>0.21632870864461046</v>
      </c>
      <c r="AJ148" s="517">
        <f t="shared" si="112"/>
        <v>0.25192748489268596</v>
      </c>
      <c r="AK148" s="518">
        <f t="shared" si="113"/>
        <v>0.18509645694111715</v>
      </c>
      <c r="AL148" s="516">
        <f t="shared" si="114"/>
        <v>0.13169218452917042</v>
      </c>
      <c r="AM148" s="517">
        <f t="shared" si="115"/>
        <v>0.12980769230769232</v>
      </c>
      <c r="AN148" s="517">
        <f t="shared" si="116"/>
        <v>0.13372465314834578</v>
      </c>
      <c r="AO148" s="517">
        <f t="shared" si="117"/>
        <v>0.12565117732861011</v>
      </c>
      <c r="AP148" s="518">
        <f t="shared" si="118"/>
        <v>0.12066574202496533</v>
      </c>
      <c r="AQ148" s="516">
        <f t="shared" si="119"/>
        <v>2.0614430101070749E-2</v>
      </c>
      <c r="AR148" s="517">
        <f t="shared" si="120"/>
        <v>1.1363636363636364E-2</v>
      </c>
      <c r="AS148" s="517">
        <f t="shared" si="121"/>
        <v>9.8185699039487727E-3</v>
      </c>
      <c r="AT148" s="517">
        <f t="shared" si="122"/>
        <v>7.5015628255886641E-3</v>
      </c>
      <c r="AU148" s="518">
        <f t="shared" si="123"/>
        <v>8.4478628167948561E-3</v>
      </c>
      <c r="AV148" s="516">
        <f t="shared" si="124"/>
        <v>0.17562293605523865</v>
      </c>
      <c r="AW148" s="517">
        <f t="shared" si="125"/>
        <v>0.23634178321678323</v>
      </c>
      <c r="AX148" s="517">
        <f t="shared" si="126"/>
        <v>0.19658484525080042</v>
      </c>
      <c r="AY148" s="517">
        <f t="shared" si="127"/>
        <v>0.16055428214211295</v>
      </c>
      <c r="AZ148" s="518">
        <f t="shared" si="128"/>
        <v>0.11978312949186735</v>
      </c>
      <c r="BA148" s="516">
        <f t="shared" si="129"/>
        <v>0.27979585709996996</v>
      </c>
      <c r="BB148" s="517">
        <f t="shared" si="130"/>
        <v>0.27961101398601401</v>
      </c>
      <c r="BC148" s="517">
        <f t="shared" si="131"/>
        <v>0.25731056563500532</v>
      </c>
      <c r="BD148" s="517">
        <f t="shared" si="132"/>
        <v>0.2439049802042092</v>
      </c>
      <c r="BE148" s="518">
        <f t="shared" si="133"/>
        <v>0.28369688563863321</v>
      </c>
      <c r="BF148" s="516">
        <f t="shared" si="134"/>
        <v>3.4223956769738814E-2</v>
      </c>
      <c r="BG148" s="517">
        <f t="shared" si="135"/>
        <v>5.026223776223776E-3</v>
      </c>
      <c r="BH148" s="517">
        <f t="shared" si="136"/>
        <v>4.3756670224119531E-3</v>
      </c>
      <c r="BI148" s="517">
        <f t="shared" si="137"/>
        <v>6.355490727234841E-3</v>
      </c>
      <c r="BJ148" s="518">
        <f t="shared" si="138"/>
        <v>5.5478502080443829E-3</v>
      </c>
      <c r="BK148" s="516">
        <f t="shared" si="139"/>
        <v>6.2343640548383872E-2</v>
      </c>
      <c r="BL148" s="517">
        <f t="shared" si="140"/>
        <v>8.0638111888111888E-2</v>
      </c>
      <c r="BM148" s="517">
        <f t="shared" si="141"/>
        <v>8.7833511205976517E-2</v>
      </c>
      <c r="BN148" s="517">
        <f t="shared" si="142"/>
        <v>0.11335694936445093</v>
      </c>
      <c r="BO148" s="518">
        <f t="shared" si="143"/>
        <v>0.12533097969991175</v>
      </c>
      <c r="BP148" s="516">
        <f t="shared" si="144"/>
        <v>0</v>
      </c>
      <c r="BQ148" s="517">
        <f t="shared" si="145"/>
        <v>0</v>
      </c>
      <c r="BR148" s="517">
        <f t="shared" si="146"/>
        <v>0</v>
      </c>
      <c r="BS148" s="517">
        <f t="shared" si="147"/>
        <v>0</v>
      </c>
      <c r="BT148" s="518">
        <f t="shared" si="148"/>
        <v>0</v>
      </c>
      <c r="BU148" s="516">
        <f t="shared" si="149"/>
        <v>4.7032923046132291E-3</v>
      </c>
      <c r="BV148" s="517">
        <f t="shared" si="150"/>
        <v>2.021416083916084E-2</v>
      </c>
      <c r="BW148" s="517">
        <f t="shared" si="151"/>
        <v>5.8697972251867663E-3</v>
      </c>
      <c r="BX148" s="517">
        <f t="shared" si="152"/>
        <v>1.0418837257762034E-3</v>
      </c>
      <c r="BY148" s="518">
        <f t="shared" si="153"/>
        <v>6.7204640020173997E-2</v>
      </c>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c r="DE148" s="61"/>
      <c r="DF148" s="61"/>
      <c r="DG148" s="61"/>
      <c r="DH148" s="61"/>
      <c r="DI148" s="61"/>
      <c r="DJ148" s="61"/>
      <c r="DK148" s="61"/>
      <c r="DL148" s="61"/>
      <c r="DM148" s="61"/>
      <c r="DN148" s="61"/>
      <c r="DO148" s="61"/>
      <c r="DP148" s="61"/>
      <c r="DQ148" s="61"/>
      <c r="DR148" s="61"/>
      <c r="DS148" s="61"/>
      <c r="DT148" s="61"/>
      <c r="DU148" s="61"/>
      <c r="DV148" s="61"/>
      <c r="DW148" s="61"/>
      <c r="DX148" s="61"/>
      <c r="DY148" s="61"/>
      <c r="DZ148" s="61"/>
      <c r="EA148" s="61"/>
      <c r="EB148" s="61"/>
      <c r="EC148" s="61"/>
    </row>
    <row r="149" spans="1:134" ht="11.25" customHeight="1">
      <c r="A149" s="106"/>
      <c r="B149" s="1316"/>
      <c r="C149" s="1316"/>
      <c r="D149" s="1316"/>
      <c r="E149" s="1316"/>
      <c r="F149" s="1316"/>
      <c r="G149" s="1316"/>
      <c r="H149" s="1316"/>
      <c r="I149" s="40"/>
      <c r="J149" s="40"/>
      <c r="K149" s="40"/>
      <c r="L149" s="40"/>
      <c r="M149" s="5"/>
      <c r="N149" s="5"/>
      <c r="O149" s="1"/>
      <c r="P149" s="5"/>
      <c r="Q149" s="5"/>
      <c r="R149" s="5"/>
      <c r="S149" s="5"/>
      <c r="T149" s="5"/>
      <c r="U149" s="5"/>
      <c r="V149" s="5"/>
      <c r="W149" s="120"/>
      <c r="X149" s="131"/>
      <c r="Y149" s="59"/>
      <c r="Z149" s="103"/>
      <c r="AA149" s="144"/>
      <c r="AB149" s="516">
        <f t="shared" si="104"/>
        <v>7.1533923303834804E-2</v>
      </c>
      <c r="AC149" s="517">
        <f t="shared" si="105"/>
        <v>3.5956580732700139E-2</v>
      </c>
      <c r="AD149" s="517">
        <f t="shared" si="106"/>
        <v>3.5632183908045977E-2</v>
      </c>
      <c r="AE149" s="517">
        <f t="shared" si="107"/>
        <v>4.0554414784394248E-2</v>
      </c>
      <c r="AF149" s="518">
        <f t="shared" si="108"/>
        <v>3.6403750689464977E-2</v>
      </c>
      <c r="AG149" s="516">
        <f t="shared" si="109"/>
        <v>0.20943952802359883</v>
      </c>
      <c r="AH149" s="517">
        <f t="shared" si="110"/>
        <v>0.13093622795115331</v>
      </c>
      <c r="AI149" s="517">
        <f t="shared" si="111"/>
        <v>0.23735632183908045</v>
      </c>
      <c r="AJ149" s="517">
        <f t="shared" si="112"/>
        <v>0.22638603696098564</v>
      </c>
      <c r="AK149" s="518">
        <f t="shared" si="113"/>
        <v>0.25041367898510758</v>
      </c>
      <c r="AL149" s="516">
        <f t="shared" si="114"/>
        <v>0.12094395280235988</v>
      </c>
      <c r="AM149" s="517">
        <f t="shared" si="115"/>
        <v>9.0909090909090912E-2</v>
      </c>
      <c r="AN149" s="517">
        <f t="shared" si="116"/>
        <v>0.11896551724137931</v>
      </c>
      <c r="AO149" s="517">
        <f t="shared" si="117"/>
        <v>0.13398357289527721</v>
      </c>
      <c r="AP149" s="518">
        <f t="shared" si="118"/>
        <v>0.14230557087699944</v>
      </c>
      <c r="AQ149" s="516">
        <f t="shared" si="119"/>
        <v>1.1061946902654867E-2</v>
      </c>
      <c r="AR149" s="517">
        <f t="shared" si="120"/>
        <v>0</v>
      </c>
      <c r="AS149" s="517" t="e">
        <f t="shared" si="121"/>
        <v>#N/A</v>
      </c>
      <c r="AT149" s="517">
        <f t="shared" si="122"/>
        <v>8.7268993839835721E-3</v>
      </c>
      <c r="AU149" s="518">
        <f t="shared" si="123"/>
        <v>6.0672917815774961E-3</v>
      </c>
      <c r="AV149" s="516">
        <f t="shared" si="124"/>
        <v>0.11725663716814159</v>
      </c>
      <c r="AW149" s="517">
        <f t="shared" si="125"/>
        <v>0.40027137042062416</v>
      </c>
      <c r="AX149" s="517">
        <f t="shared" si="126"/>
        <v>0.14080459770114942</v>
      </c>
      <c r="AY149" s="517">
        <f t="shared" si="127"/>
        <v>0.12474332648870637</v>
      </c>
      <c r="AZ149" s="518">
        <f t="shared" si="128"/>
        <v>0.11969111969111969</v>
      </c>
      <c r="BA149" s="516">
        <f t="shared" si="129"/>
        <v>0.37315634218289084</v>
      </c>
      <c r="BB149" s="517">
        <f t="shared" si="130"/>
        <v>0.28833107191316149</v>
      </c>
      <c r="BC149" s="517">
        <f t="shared" si="131"/>
        <v>0.3781609195402299</v>
      </c>
      <c r="BD149" s="517">
        <f t="shared" si="132"/>
        <v>0.30338809034907599</v>
      </c>
      <c r="BE149" s="518">
        <f t="shared" si="133"/>
        <v>0.33039161610590184</v>
      </c>
      <c r="BF149" s="516">
        <f t="shared" si="134"/>
        <v>1.3274336283185841E-2</v>
      </c>
      <c r="BG149" s="517">
        <f t="shared" si="135"/>
        <v>1.3568521031207599E-2</v>
      </c>
      <c r="BH149" s="517">
        <f t="shared" si="136"/>
        <v>1.3793103448275862E-2</v>
      </c>
      <c r="BI149" s="517">
        <f t="shared" si="137"/>
        <v>1.1806981519507187E-2</v>
      </c>
      <c r="BJ149" s="518">
        <f t="shared" si="138"/>
        <v>1.2134583563154992E-2</v>
      </c>
      <c r="BK149" s="516">
        <f t="shared" si="139"/>
        <v>5.2359882005899708E-2</v>
      </c>
      <c r="BL149" s="517">
        <f t="shared" si="140"/>
        <v>3.3921302578018994E-2</v>
      </c>
      <c r="BM149" s="517">
        <f t="shared" si="141"/>
        <v>5.459770114942529E-2</v>
      </c>
      <c r="BN149" s="517">
        <f t="shared" si="142"/>
        <v>9.394250513347023E-2</v>
      </c>
      <c r="BO149" s="518">
        <f t="shared" si="143"/>
        <v>4.7986762272476557E-2</v>
      </c>
      <c r="BP149" s="516">
        <f t="shared" si="144"/>
        <v>3.0973451327433628E-2</v>
      </c>
      <c r="BQ149" s="517">
        <f t="shared" si="145"/>
        <v>6.1058344640434192E-3</v>
      </c>
      <c r="BR149" s="517">
        <f t="shared" si="146"/>
        <v>9.7701149425287355E-3</v>
      </c>
      <c r="BS149" s="517">
        <f t="shared" si="147"/>
        <v>0</v>
      </c>
      <c r="BT149" s="518">
        <f t="shared" si="148"/>
        <v>7.7220077220077222E-3</v>
      </c>
      <c r="BU149" s="516">
        <f t="shared" si="149"/>
        <v>0</v>
      </c>
      <c r="BV149" s="517">
        <f t="shared" si="150"/>
        <v>0</v>
      </c>
      <c r="BW149" s="517">
        <f t="shared" si="151"/>
        <v>1.0919540229885057E-2</v>
      </c>
      <c r="BX149" s="517">
        <f t="shared" si="152"/>
        <v>5.6468172484599587E-2</v>
      </c>
      <c r="BY149" s="518">
        <f t="shared" si="153"/>
        <v>4.6883618312189741E-2</v>
      </c>
      <c r="BZ149" s="61"/>
      <c r="CA149" s="61"/>
      <c r="CB149" s="61"/>
      <c r="CC149" s="61"/>
      <c r="CD149" s="61"/>
      <c r="CE149" s="61"/>
      <c r="CF149" s="61"/>
      <c r="CG149" s="61"/>
      <c r="CH149" s="61"/>
      <c r="CI149" s="61"/>
      <c r="CJ149" s="61"/>
      <c r="CK149" s="61"/>
      <c r="CL149" s="61"/>
      <c r="CM149" s="61"/>
      <c r="CN149" s="61"/>
      <c r="CO149" s="61"/>
      <c r="CP149" s="61"/>
      <c r="CQ149" s="61"/>
      <c r="CR149" s="61"/>
      <c r="CS149" s="61"/>
      <c r="CT149" s="61"/>
      <c r="CU149" s="61"/>
      <c r="CV149" s="61"/>
      <c r="CW149" s="61"/>
      <c r="CX149" s="61"/>
      <c r="CY149" s="61"/>
      <c r="CZ149" s="61"/>
      <c r="DA149" s="61"/>
      <c r="DB149" s="61"/>
      <c r="DC149" s="61"/>
      <c r="DD149" s="61"/>
      <c r="DE149" s="61"/>
      <c r="DF149" s="61"/>
      <c r="DG149" s="61"/>
      <c r="DH149" s="61"/>
      <c r="DI149" s="61"/>
      <c r="DJ149" s="61"/>
      <c r="DK149" s="61"/>
      <c r="DL149" s="61"/>
      <c r="DM149" s="61"/>
      <c r="DN149" s="61"/>
      <c r="DO149" s="61"/>
      <c r="DP149" s="61"/>
      <c r="DQ149" s="61"/>
      <c r="DR149" s="61"/>
      <c r="DS149" s="61"/>
      <c r="DT149" s="61"/>
      <c r="DU149" s="61"/>
      <c r="DV149" s="61"/>
      <c r="DW149" s="61"/>
      <c r="DX149" s="61"/>
      <c r="DY149" s="61"/>
      <c r="DZ149" s="61"/>
      <c r="EA149" s="61"/>
      <c r="EB149" s="61"/>
      <c r="EC149" s="61"/>
      <c r="ED149" s="61"/>
    </row>
    <row r="150" spans="1:134" s="61" customFormat="1" ht="11.25" customHeight="1">
      <c r="A150" s="106"/>
      <c r="B150" s="1316"/>
      <c r="C150" s="1316"/>
      <c r="D150" s="1316"/>
      <c r="E150" s="1316"/>
      <c r="F150" s="1316"/>
      <c r="G150" s="1316"/>
      <c r="H150" s="1316"/>
      <c r="I150" s="40"/>
      <c r="J150" s="40"/>
      <c r="K150" s="40"/>
      <c r="L150" s="40"/>
      <c r="M150" s="5"/>
      <c r="N150" s="5"/>
      <c r="O150" s="1"/>
      <c r="P150" s="5"/>
      <c r="Q150" s="5"/>
      <c r="R150" s="5"/>
      <c r="S150" s="5"/>
      <c r="T150" s="5"/>
      <c r="U150" s="5"/>
      <c r="V150" s="5"/>
      <c r="W150" s="120"/>
      <c r="X150" s="131"/>
      <c r="Y150" s="59"/>
      <c r="Z150" s="103"/>
      <c r="AA150" s="144"/>
      <c r="AB150" s="516">
        <f t="shared" si="104"/>
        <v>8.4090909090909091E-2</v>
      </c>
      <c r="AC150" s="517">
        <f t="shared" si="105"/>
        <v>6.2314540059347182E-2</v>
      </c>
      <c r="AD150" s="517">
        <f t="shared" si="106"/>
        <v>6.9980379332897316E-2</v>
      </c>
      <c r="AE150" s="517">
        <f t="shared" si="107"/>
        <v>6.6583696328562536E-2</v>
      </c>
      <c r="AF150" s="518">
        <f t="shared" si="108"/>
        <v>9.0439276485788117E-2</v>
      </c>
      <c r="AG150" s="516">
        <f t="shared" si="109"/>
        <v>0.20397727272727273</v>
      </c>
      <c r="AH150" s="517">
        <f t="shared" si="110"/>
        <v>0.16913946587537093</v>
      </c>
      <c r="AI150" s="517">
        <f t="shared" si="111"/>
        <v>0.22890778286461741</v>
      </c>
      <c r="AJ150" s="517">
        <f t="shared" si="112"/>
        <v>0.24579962663347854</v>
      </c>
      <c r="AK150" s="518">
        <f t="shared" si="113"/>
        <v>0.24806201550387597</v>
      </c>
      <c r="AL150" s="516">
        <f t="shared" si="114"/>
        <v>0.12556818181818183</v>
      </c>
      <c r="AM150" s="517">
        <f t="shared" si="115"/>
        <v>0.16543026706231453</v>
      </c>
      <c r="AN150" s="517">
        <f t="shared" si="116"/>
        <v>0.1340745585349902</v>
      </c>
      <c r="AO150" s="517">
        <f t="shared" si="117"/>
        <v>0.14872433105164903</v>
      </c>
      <c r="AP150" s="518">
        <f t="shared" si="118"/>
        <v>0.15051679586563307</v>
      </c>
      <c r="AQ150" s="516">
        <f t="shared" si="119"/>
        <v>6.2500000000000003E-3</v>
      </c>
      <c r="AR150" s="517">
        <f t="shared" si="120"/>
        <v>9.6439169139465875E-3</v>
      </c>
      <c r="AS150" s="517">
        <f t="shared" si="121"/>
        <v>5.232177894048398E-3</v>
      </c>
      <c r="AT150" s="517">
        <f t="shared" si="122"/>
        <v>6.8450528935905417E-3</v>
      </c>
      <c r="AU150" s="518">
        <f t="shared" si="123"/>
        <v>5.8139534883720929E-3</v>
      </c>
      <c r="AV150" s="516">
        <f t="shared" si="124"/>
        <v>0.13693181818181818</v>
      </c>
      <c r="AW150" s="517">
        <f t="shared" si="125"/>
        <v>0.12314540059347182</v>
      </c>
      <c r="AX150" s="517">
        <f t="shared" si="126"/>
        <v>8.4368868541530417E-2</v>
      </c>
      <c r="AY150" s="517">
        <f t="shared" si="127"/>
        <v>0.1014312383322962</v>
      </c>
      <c r="AZ150" s="518">
        <f t="shared" si="128"/>
        <v>0.1227390180878553</v>
      </c>
      <c r="BA150" s="516">
        <f t="shared" si="129"/>
        <v>0.36420454545454545</v>
      </c>
      <c r="BB150" s="517">
        <f t="shared" si="130"/>
        <v>0.36498516320474778</v>
      </c>
      <c r="BC150" s="517">
        <f t="shared" si="131"/>
        <v>0.36298234139960761</v>
      </c>
      <c r="BD150" s="517">
        <f t="shared" si="132"/>
        <v>0.33354075917859366</v>
      </c>
      <c r="BE150" s="518">
        <f t="shared" si="133"/>
        <v>0.31136950904392763</v>
      </c>
      <c r="BF150" s="516">
        <f t="shared" si="134"/>
        <v>2.5000000000000001E-2</v>
      </c>
      <c r="BG150" s="517">
        <f t="shared" si="135"/>
        <v>3.9317507418397624E-2</v>
      </c>
      <c r="BH150" s="517">
        <f t="shared" si="136"/>
        <v>2.7468933943754086E-2</v>
      </c>
      <c r="BI150" s="517">
        <f t="shared" si="137"/>
        <v>3.422526446795271E-2</v>
      </c>
      <c r="BJ150" s="518">
        <f t="shared" si="138"/>
        <v>4.3927648578811367E-2</v>
      </c>
      <c r="BK150" s="516">
        <f t="shared" si="139"/>
        <v>3.9772727272727272E-2</v>
      </c>
      <c r="BL150" s="517">
        <f t="shared" si="140"/>
        <v>2.8189910979228485E-2</v>
      </c>
      <c r="BM150" s="517">
        <f t="shared" si="141"/>
        <v>3.5317200784826683E-2</v>
      </c>
      <c r="BN150" s="517">
        <f t="shared" si="142"/>
        <v>1.8046048537647789E-2</v>
      </c>
      <c r="BO150" s="518">
        <f t="shared" si="143"/>
        <v>1.4857881136950904E-2</v>
      </c>
      <c r="BP150" s="516">
        <f t="shared" si="144"/>
        <v>1.4204545454545454E-2</v>
      </c>
      <c r="BQ150" s="517">
        <f t="shared" si="145"/>
        <v>2.967359050445104E-2</v>
      </c>
      <c r="BR150" s="517">
        <f t="shared" si="146"/>
        <v>2.1582733812949641E-2</v>
      </c>
      <c r="BS150" s="517">
        <f t="shared" si="147"/>
        <v>2.7380211574362167E-2</v>
      </c>
      <c r="BT150" s="518">
        <f t="shared" si="148"/>
        <v>7.1059431524547806E-3</v>
      </c>
      <c r="BU150" s="516" t="e">
        <f t="shared" si="149"/>
        <v>#N/A</v>
      </c>
      <c r="BV150" s="517">
        <f t="shared" si="150"/>
        <v>8.1602373887240363E-3</v>
      </c>
      <c r="BW150" s="517">
        <f t="shared" si="151"/>
        <v>3.0085022890778287E-2</v>
      </c>
      <c r="BX150" s="517">
        <f t="shared" si="152"/>
        <v>1.7423771001866834E-2</v>
      </c>
      <c r="BY150" s="518">
        <f t="shared" si="153"/>
        <v>5.1679586563307496E-3</v>
      </c>
    </row>
    <row r="151" spans="1:134" s="61" customFormat="1" ht="11.25" customHeight="1">
      <c r="A151" s="106"/>
      <c r="B151" s="1316"/>
      <c r="C151" s="1316"/>
      <c r="D151" s="1316"/>
      <c r="E151" s="1316"/>
      <c r="F151" s="1316"/>
      <c r="G151" s="1316"/>
      <c r="H151" s="1316"/>
      <c r="I151" s="40"/>
      <c r="J151" s="40"/>
      <c r="K151" s="40"/>
      <c r="L151" s="40"/>
      <c r="M151" s="5"/>
      <c r="N151" s="5"/>
      <c r="O151" s="1"/>
      <c r="P151" s="5"/>
      <c r="Q151" s="5"/>
      <c r="R151" s="5"/>
      <c r="S151" s="5"/>
      <c r="T151" s="5"/>
      <c r="U151" s="5"/>
      <c r="V151" s="5"/>
      <c r="W151" s="120"/>
      <c r="X151" s="131"/>
      <c r="Y151" s="59"/>
      <c r="Z151" s="103"/>
      <c r="AA151" s="144"/>
      <c r="AB151" s="516">
        <f t="shared" si="104"/>
        <v>8.0393001135162637E-2</v>
      </c>
      <c r="AC151" s="517">
        <f t="shared" si="105"/>
        <v>8.6190437001069875E-2</v>
      </c>
      <c r="AD151" s="517">
        <f t="shared" si="106"/>
        <v>8.0685544445700808E-2</v>
      </c>
      <c r="AE151" s="517">
        <f t="shared" si="107"/>
        <v>7.8300484039355883E-2</v>
      </c>
      <c r="AF151" s="518">
        <f t="shared" si="108"/>
        <v>7.1116504854368934E-2</v>
      </c>
      <c r="AG151" s="516">
        <f t="shared" si="109"/>
        <v>0.21215015461698047</v>
      </c>
      <c r="AH151" s="517">
        <f t="shared" si="110"/>
        <v>0.16029133404658052</v>
      </c>
      <c r="AI151" s="517">
        <f t="shared" si="111"/>
        <v>0.23886636406222236</v>
      </c>
      <c r="AJ151" s="517">
        <f t="shared" si="112"/>
        <v>0.25536239678572559</v>
      </c>
      <c r="AK151" s="518">
        <f t="shared" si="113"/>
        <v>0.23764342453662843</v>
      </c>
      <c r="AL151" s="516">
        <f t="shared" si="114"/>
        <v>0.14458057697577015</v>
      </c>
      <c r="AM151" s="517">
        <f t="shared" si="115"/>
        <v>0.16142704304172495</v>
      </c>
      <c r="AN151" s="517">
        <f t="shared" si="116"/>
        <v>0.15279370668906586</v>
      </c>
      <c r="AO151" s="517">
        <f t="shared" si="117"/>
        <v>0.15297858204941631</v>
      </c>
      <c r="AP151" s="518">
        <f t="shared" si="118"/>
        <v>0.14032436010591351</v>
      </c>
      <c r="AQ151" s="516">
        <f t="shared" si="119"/>
        <v>1.3974243551101891E-2</v>
      </c>
      <c r="AR151" s="517">
        <f t="shared" si="120"/>
        <v>9.9004197185416833E-3</v>
      </c>
      <c r="AS151" s="517">
        <f t="shared" si="121"/>
        <v>8.9246773385885277E-3</v>
      </c>
      <c r="AT151" s="517">
        <f t="shared" si="122"/>
        <v>9.3090575469011987E-3</v>
      </c>
      <c r="AU151" s="518">
        <f t="shared" si="123"/>
        <v>1.221315092674316E-2</v>
      </c>
      <c r="AV151" s="516">
        <f t="shared" si="124"/>
        <v>0.13500606724860062</v>
      </c>
      <c r="AW151" s="517">
        <f t="shared" si="125"/>
        <v>0.1402271417990289</v>
      </c>
      <c r="AX151" s="517">
        <f t="shared" si="126"/>
        <v>0.12460626423506227</v>
      </c>
      <c r="AY151" s="517">
        <f t="shared" si="127"/>
        <v>0.12761397070454616</v>
      </c>
      <c r="AZ151" s="518">
        <f t="shared" si="128"/>
        <v>0.13180714916151809</v>
      </c>
      <c r="BA151" s="516">
        <f t="shared" si="129"/>
        <v>0.29831291345363448</v>
      </c>
      <c r="BB151" s="517">
        <f t="shared" si="130"/>
        <v>0.32340548103036787</v>
      </c>
      <c r="BC151" s="517">
        <f t="shared" si="131"/>
        <v>0.28106676143247128</v>
      </c>
      <c r="BD151" s="517">
        <f t="shared" si="132"/>
        <v>0.26188743712233858</v>
      </c>
      <c r="BE151" s="518">
        <f t="shared" si="133"/>
        <v>0.27629082082965578</v>
      </c>
      <c r="BF151" s="516">
        <f t="shared" si="134"/>
        <v>3.453243042235879E-2</v>
      </c>
      <c r="BG151" s="517">
        <f t="shared" si="135"/>
        <v>3.576660357172249E-2</v>
      </c>
      <c r="BH151" s="517">
        <f t="shared" si="136"/>
        <v>3.7814786696173296E-2</v>
      </c>
      <c r="BI151" s="517">
        <f t="shared" si="137"/>
        <v>4.2820082887785126E-2</v>
      </c>
      <c r="BJ151" s="518">
        <f t="shared" si="138"/>
        <v>5.8704766107678732E-2</v>
      </c>
      <c r="BK151" s="516">
        <f t="shared" si="139"/>
        <v>4.9845383019532626E-2</v>
      </c>
      <c r="BL151" s="517">
        <f t="shared" si="140"/>
        <v>5.0711875565797052E-2</v>
      </c>
      <c r="BM151" s="517">
        <f t="shared" si="141"/>
        <v>4.4251861663462934E-2</v>
      </c>
      <c r="BN151" s="517">
        <f t="shared" si="142"/>
        <v>4.7122654940048719E-2</v>
      </c>
      <c r="BO151" s="518">
        <f t="shared" si="143"/>
        <v>4.4450573698146513E-2</v>
      </c>
      <c r="BP151" s="516">
        <f t="shared" si="144"/>
        <v>1.8734097937135475E-2</v>
      </c>
      <c r="BQ151" s="517">
        <f t="shared" si="145"/>
        <v>1.9422269772035223E-2</v>
      </c>
      <c r="BR151" s="517">
        <f t="shared" si="146"/>
        <v>1.7324373657260084E-2</v>
      </c>
      <c r="BS151" s="517">
        <f t="shared" si="147"/>
        <v>1.5438640893416433E-2</v>
      </c>
      <c r="BT151" s="518">
        <f t="shared" si="148"/>
        <v>1.2897175639894086E-2</v>
      </c>
      <c r="BU151" s="516">
        <f t="shared" si="149"/>
        <v>1.2471131639722863E-2</v>
      </c>
      <c r="BV151" s="517">
        <f t="shared" si="150"/>
        <v>1.2657394453131429E-2</v>
      </c>
      <c r="BW151" s="517">
        <f t="shared" si="151"/>
        <v>1.3665659779992569E-2</v>
      </c>
      <c r="BX151" s="517">
        <f t="shared" si="152"/>
        <v>9.1666930304660065E-3</v>
      </c>
      <c r="BY151" s="518">
        <f>IF(ISERROR(BY175/$CD175),NA(),BY175/$CD175)</f>
        <v>1.4552074139452781E-2</v>
      </c>
    </row>
    <row r="152" spans="1:134" s="61" customFormat="1" ht="11.25" customHeight="1">
      <c r="A152" s="106"/>
      <c r="B152" s="1316"/>
      <c r="C152" s="1316"/>
      <c r="D152" s="1316"/>
      <c r="E152" s="1316"/>
      <c r="F152" s="1316"/>
      <c r="G152" s="1316"/>
      <c r="H152" s="1316"/>
      <c r="I152" s="40"/>
      <c r="J152" s="40"/>
      <c r="K152" s="40"/>
      <c r="L152" s="40"/>
      <c r="M152" s="5"/>
      <c r="N152" s="5"/>
      <c r="O152" s="1"/>
      <c r="P152" s="5"/>
      <c r="Q152" s="5"/>
      <c r="R152" s="5"/>
      <c r="S152" s="5"/>
      <c r="T152" s="5"/>
      <c r="U152" s="5"/>
      <c r="V152" s="5"/>
      <c r="W152" s="120"/>
      <c r="X152" s="131"/>
      <c r="Y152" s="59"/>
      <c r="Z152" s="103"/>
      <c r="AA152" s="144"/>
      <c r="AB152" s="516">
        <f t="shared" si="104"/>
        <v>8.1324457992472551E-2</v>
      </c>
      <c r="AC152" s="517">
        <f t="shared" si="105"/>
        <v>8.5216722150659951E-2</v>
      </c>
      <c r="AD152" s="517">
        <f t="shared" si="106"/>
        <v>8.1751914618767879E-2</v>
      </c>
      <c r="AE152" s="517">
        <f t="shared" si="107"/>
        <v>8.2789419443490206E-2</v>
      </c>
      <c r="AF152" s="518">
        <f t="shared" si="108"/>
        <v>8.0194899173447395E-2</v>
      </c>
      <c r="AG152" s="516">
        <f t="shared" si="109"/>
        <v>0.20317894802326666</v>
      </c>
      <c r="AH152" s="517">
        <f t="shared" si="110"/>
        <v>0.15000752797898859</v>
      </c>
      <c r="AI152" s="517">
        <f t="shared" si="111"/>
        <v>0.21905084120198073</v>
      </c>
      <c r="AJ152" s="517">
        <f t="shared" si="112"/>
        <v>0.22055838356078825</v>
      </c>
      <c r="AK152" s="518">
        <f t="shared" si="113"/>
        <v>0.21996912488341427</v>
      </c>
      <c r="AL152" s="516">
        <f t="shared" si="114"/>
        <v>0.14977137702572396</v>
      </c>
      <c r="AM152" s="517">
        <f t="shared" si="115"/>
        <v>0.16004483329708752</v>
      </c>
      <c r="AN152" s="517">
        <f t="shared" si="116"/>
        <v>0.14789468827853475</v>
      </c>
      <c r="AO152" s="517">
        <f t="shared" si="117"/>
        <v>0.14420224227850473</v>
      </c>
      <c r="AP152" s="518">
        <f t="shared" si="118"/>
        <v>0.14693017721030457</v>
      </c>
      <c r="AQ152" s="516">
        <f t="shared" si="119"/>
        <v>1.2908644125789294E-2</v>
      </c>
      <c r="AR152" s="517">
        <f t="shared" si="120"/>
        <v>1.095739163892467E-2</v>
      </c>
      <c r="AS152" s="517">
        <f t="shared" si="121"/>
        <v>1.0211300095346477E-2</v>
      </c>
      <c r="AT152" s="517">
        <f t="shared" si="122"/>
        <v>1.1305081040567128E-2</v>
      </c>
      <c r="AU152" s="518">
        <f t="shared" si="123"/>
        <v>1.2398289003955874E-2</v>
      </c>
      <c r="AV152" s="516">
        <f t="shared" si="124"/>
        <v>0.14123300880276213</v>
      </c>
      <c r="AW152" s="517">
        <f t="shared" si="125"/>
        <v>0.14597587700955217</v>
      </c>
      <c r="AX152" s="517">
        <f t="shared" si="126"/>
        <v>0.13425399071140776</v>
      </c>
      <c r="AY152" s="517">
        <f t="shared" si="127"/>
        <v>0.1406420786358952</v>
      </c>
      <c r="AZ152" s="518">
        <f t="shared" si="128"/>
        <v>0.14147878943813721</v>
      </c>
      <c r="BA152" s="516">
        <f t="shared" si="129"/>
        <v>0.28734952875672648</v>
      </c>
      <c r="BB152" s="517">
        <f t="shared" si="130"/>
        <v>0.32666410157752984</v>
      </c>
      <c r="BC152" s="517">
        <f t="shared" si="131"/>
        <v>0.29502045335711868</v>
      </c>
      <c r="BD152" s="517">
        <f t="shared" si="132"/>
        <v>0.28813903375909561</v>
      </c>
      <c r="BE152" s="518">
        <f t="shared" si="133"/>
        <v>0.28496767761232433</v>
      </c>
      <c r="BF152" s="516">
        <f t="shared" si="134"/>
        <v>3.9161404709322216E-2</v>
      </c>
      <c r="BG152" s="517">
        <f t="shared" si="135"/>
        <v>3.9998661692624254E-2</v>
      </c>
      <c r="BH152" s="517">
        <f t="shared" si="136"/>
        <v>4.0014763325439053E-2</v>
      </c>
      <c r="BI152" s="517">
        <f t="shared" si="137"/>
        <v>4.1410324474563567E-2</v>
      </c>
      <c r="BJ152" s="518">
        <f t="shared" si="138"/>
        <v>4.4366899302093719E-2</v>
      </c>
      <c r="BK152" s="516">
        <f t="shared" si="139"/>
        <v>4.9192820927556065E-2</v>
      </c>
      <c r="BL152" s="517">
        <f t="shared" si="140"/>
        <v>4.8814761530354481E-2</v>
      </c>
      <c r="BM152" s="517">
        <f t="shared" si="141"/>
        <v>4.2813643773259927E-2</v>
      </c>
      <c r="BN152" s="517">
        <f t="shared" si="142"/>
        <v>4.3034258767683707E-2</v>
      </c>
      <c r="BO152" s="518">
        <f t="shared" si="143"/>
        <v>4.2003023188499022E-2</v>
      </c>
      <c r="BP152" s="516">
        <f t="shared" si="144"/>
        <v>2.1415907182182961E-2</v>
      </c>
      <c r="BQ152" s="517">
        <f t="shared" si="145"/>
        <v>2.2466835070344783E-2</v>
      </c>
      <c r="BR152" s="517">
        <f t="shared" si="146"/>
        <v>1.7839018238858303E-2</v>
      </c>
      <c r="BS152" s="517">
        <f t="shared" si="147"/>
        <v>1.7410449392586114E-2</v>
      </c>
      <c r="BT152" s="518">
        <f t="shared" si="148"/>
        <v>1.6129032258064516E-2</v>
      </c>
      <c r="BU152" s="516">
        <f t="shared" si="149"/>
        <v>1.4463902454197642E-2</v>
      </c>
      <c r="BV152" s="517">
        <f t="shared" si="150"/>
        <v>9.853288053933788E-3</v>
      </c>
      <c r="BW152" s="517">
        <f t="shared" si="151"/>
        <v>1.114938639928644E-2</v>
      </c>
      <c r="BX152" s="517">
        <f t="shared" si="152"/>
        <v>1.050872864682552E-2</v>
      </c>
      <c r="BY152" s="518">
        <f>IF(ISERROR(BY176/$CD176),NA(),BY176/$CD176)</f>
        <v>1.156208792975911E-2</v>
      </c>
    </row>
    <row r="153" spans="1:134" s="61" customFormat="1" ht="11.25" customHeight="1">
      <c r="A153" s="106"/>
      <c r="B153" s="1316"/>
      <c r="C153" s="1316"/>
      <c r="D153" s="1316"/>
      <c r="E153" s="1316"/>
      <c r="F153" s="1316"/>
      <c r="G153" s="1316"/>
      <c r="H153" s="1316"/>
      <c r="I153" s="40"/>
      <c r="J153" s="40"/>
      <c r="K153" s="40"/>
      <c r="L153" s="40"/>
      <c r="M153" s="5"/>
      <c r="N153" s="5"/>
      <c r="O153" s="1"/>
      <c r="P153" s="5"/>
      <c r="Q153" s="5"/>
      <c r="R153" s="5"/>
      <c r="S153" s="5"/>
      <c r="T153" s="5"/>
      <c r="U153" s="5"/>
      <c r="V153" s="5"/>
      <c r="W153" s="120"/>
      <c r="X153" s="131"/>
      <c r="Y153" s="59"/>
      <c r="Z153" s="103"/>
      <c r="AA153" s="144"/>
      <c r="AB153" s="1803" t="str">
        <f>D97</f>
        <v>Individual</v>
      </c>
      <c r="AC153" s="1804"/>
      <c r="AD153" s="1804"/>
      <c r="AE153" s="1804"/>
      <c r="AF153" s="1805"/>
      <c r="AG153" s="1803" t="str">
        <f>F97</f>
        <v>Schools/ Education Services</v>
      </c>
      <c r="AH153" s="1804"/>
      <c r="AI153" s="1804"/>
      <c r="AJ153" s="1804"/>
      <c r="AK153" s="1805"/>
      <c r="AL153" s="1803" t="str">
        <f>H97</f>
        <v>Health services</v>
      </c>
      <c r="AM153" s="1804"/>
      <c r="AN153" s="1804"/>
      <c r="AO153" s="1804"/>
      <c r="AP153" s="1805"/>
      <c r="AQ153" s="1803" t="str">
        <f>J97</f>
        <v>Housing</v>
      </c>
      <c r="AR153" s="1804"/>
      <c r="AS153" s="1804"/>
      <c r="AT153" s="1804"/>
      <c r="AU153" s="1805"/>
      <c r="AV153" s="1803" t="str">
        <f>L97</f>
        <v>LA services</v>
      </c>
      <c r="AW153" s="1804"/>
      <c r="AX153" s="1804"/>
      <c r="AY153" s="1804"/>
      <c r="AZ153" s="1805"/>
      <c r="BA153" s="805" t="str">
        <f>N97</f>
        <v>Police</v>
      </c>
      <c r="BB153" s="806"/>
      <c r="BC153" s="806"/>
      <c r="BD153" s="806"/>
      <c r="BE153" s="807"/>
      <c r="BF153" s="805" t="str">
        <f>P97</f>
        <v>Other legal agency</v>
      </c>
      <c r="BG153" s="806"/>
      <c r="BH153" s="806"/>
      <c r="BI153" s="806"/>
      <c r="BJ153" s="807"/>
      <c r="BK153" s="805" t="str">
        <f>R97</f>
        <v>Other</v>
      </c>
      <c r="BL153" s="806"/>
      <c r="BM153" s="806"/>
      <c r="BN153" s="806"/>
      <c r="BO153" s="807"/>
      <c r="BP153" s="805" t="str">
        <f>T97</f>
        <v>Anonymous</v>
      </c>
      <c r="BQ153" s="806"/>
      <c r="BR153" s="806"/>
      <c r="BS153" s="806"/>
      <c r="BT153" s="807"/>
      <c r="BU153" s="805" t="str">
        <f>V97</f>
        <v>Unknown</v>
      </c>
      <c r="BV153" s="806"/>
      <c r="BW153" s="806"/>
      <c r="BX153" s="806"/>
      <c r="BY153" s="807"/>
      <c r="BZ153" s="805" t="s">
        <v>168</v>
      </c>
      <c r="CA153" s="806"/>
      <c r="CB153" s="806"/>
      <c r="CC153" s="806"/>
      <c r="CD153" s="807"/>
    </row>
    <row r="154" spans="1:134" s="61" customFormat="1" ht="11.25" customHeight="1">
      <c r="A154" s="106"/>
      <c r="B154" s="1316"/>
      <c r="C154" s="1316"/>
      <c r="D154" s="1316"/>
      <c r="E154" s="1316"/>
      <c r="F154" s="1316"/>
      <c r="G154" s="1316"/>
      <c r="H154" s="1316"/>
      <c r="I154" s="40"/>
      <c r="J154" s="40"/>
      <c r="K154" s="40"/>
      <c r="L154" s="40"/>
      <c r="M154" s="5"/>
      <c r="N154" s="5"/>
      <c r="O154" s="1"/>
      <c r="P154" s="5"/>
      <c r="Q154" s="5"/>
      <c r="R154" s="5"/>
      <c r="S154" s="5"/>
      <c r="T154" s="5"/>
      <c r="U154" s="5"/>
      <c r="V154" s="5"/>
      <c r="W154" s="120"/>
      <c r="X154" s="131"/>
      <c r="Y154" s="59"/>
      <c r="Z154" s="103"/>
      <c r="AA154" s="144"/>
      <c r="AB154" s="496" t="str">
        <f>$AC$2</f>
        <v/>
      </c>
      <c r="AC154" s="354" t="str">
        <f>$AD$2</f>
        <v/>
      </c>
      <c r="AD154" s="354" t="str">
        <f>$AE$2</f>
        <v/>
      </c>
      <c r="AE154" s="354" t="str">
        <f>$AF$2</f>
        <v/>
      </c>
      <c r="AF154" s="267" t="str">
        <f>$AG$2</f>
        <v/>
      </c>
      <c r="AG154" s="496" t="str">
        <f>$AC$2</f>
        <v/>
      </c>
      <c r="AH154" s="354" t="str">
        <f>$AD$2</f>
        <v/>
      </c>
      <c r="AI154" s="354" t="str">
        <f>$AE$2</f>
        <v/>
      </c>
      <c r="AJ154" s="354" t="str">
        <f>$AF$2</f>
        <v/>
      </c>
      <c r="AK154" s="267" t="str">
        <f>$AG$2</f>
        <v/>
      </c>
      <c r="AL154" s="496" t="str">
        <f>$AC$2</f>
        <v/>
      </c>
      <c r="AM154" s="354" t="str">
        <f>$AD$2</f>
        <v/>
      </c>
      <c r="AN154" s="354" t="str">
        <f>$AE$2</f>
        <v/>
      </c>
      <c r="AO154" s="354" t="str">
        <f>$AF$2</f>
        <v/>
      </c>
      <c r="AP154" s="267" t="str">
        <f>$AG$2</f>
        <v/>
      </c>
      <c r="AQ154" s="496" t="str">
        <f>$AC$2</f>
        <v/>
      </c>
      <c r="AR154" s="354" t="str">
        <f>$AD$2</f>
        <v/>
      </c>
      <c r="AS154" s="354" t="str">
        <f>$AE$2</f>
        <v/>
      </c>
      <c r="AT154" s="354" t="str">
        <f>$AF$2</f>
        <v/>
      </c>
      <c r="AU154" s="267" t="str">
        <f>$AG$2</f>
        <v/>
      </c>
      <c r="AV154" s="496" t="str">
        <f>$AC$2</f>
        <v/>
      </c>
      <c r="AW154" s="354" t="str">
        <f>$AD$2</f>
        <v/>
      </c>
      <c r="AX154" s="354" t="str">
        <f>$AE$2</f>
        <v/>
      </c>
      <c r="AY154" s="354" t="str">
        <f>$AF$2</f>
        <v/>
      </c>
      <c r="AZ154" s="267" t="str">
        <f>$AG$2</f>
        <v/>
      </c>
      <c r="BA154" s="496" t="str">
        <f>$AC$2</f>
        <v/>
      </c>
      <c r="BB154" s="354" t="str">
        <f>$AD$2</f>
        <v/>
      </c>
      <c r="BC154" s="354" t="str">
        <f>$AE$2</f>
        <v/>
      </c>
      <c r="BD154" s="354" t="str">
        <f>$AF$2</f>
        <v/>
      </c>
      <c r="BE154" s="267" t="str">
        <f>$AG$2</f>
        <v/>
      </c>
      <c r="BF154" s="496" t="str">
        <f>$AC$2</f>
        <v/>
      </c>
      <c r="BG154" s="354" t="str">
        <f>$AD$2</f>
        <v/>
      </c>
      <c r="BH154" s="354" t="str">
        <f>$AE$2</f>
        <v/>
      </c>
      <c r="BI154" s="354" t="str">
        <f>$AF$2</f>
        <v/>
      </c>
      <c r="BJ154" s="267" t="str">
        <f>$AG$2</f>
        <v/>
      </c>
      <c r="BK154" s="496" t="str">
        <f>$AC$2</f>
        <v/>
      </c>
      <c r="BL154" s="354" t="str">
        <f>$AD$2</f>
        <v/>
      </c>
      <c r="BM154" s="354" t="str">
        <f>$AE$2</f>
        <v/>
      </c>
      <c r="BN154" s="354" t="str">
        <f>$AF$2</f>
        <v/>
      </c>
      <c r="BO154" s="267" t="str">
        <f>$AG$2</f>
        <v/>
      </c>
      <c r="BP154" s="496" t="str">
        <f>$AC$2</f>
        <v/>
      </c>
      <c r="BQ154" s="354" t="str">
        <f>$AD$2</f>
        <v/>
      </c>
      <c r="BR154" s="354" t="str">
        <f>$AE$2</f>
        <v/>
      </c>
      <c r="BS154" s="354" t="str">
        <f>$AF$2</f>
        <v/>
      </c>
      <c r="BT154" s="267" t="str">
        <f>$AG$2</f>
        <v/>
      </c>
      <c r="BU154" s="496" t="str">
        <f>$AC$2</f>
        <v/>
      </c>
      <c r="BV154" s="354" t="str">
        <f>$AD$2</f>
        <v/>
      </c>
      <c r="BW154" s="354" t="str">
        <f>$AE$2</f>
        <v/>
      </c>
      <c r="BX154" s="354" t="str">
        <f>$AF$2</f>
        <v/>
      </c>
      <c r="BY154" s="267" t="str">
        <f>$AG$2</f>
        <v/>
      </c>
      <c r="BZ154" s="496" t="str">
        <f>$AC$2</f>
        <v/>
      </c>
      <c r="CA154" s="354" t="str">
        <f>$AD$2</f>
        <v/>
      </c>
      <c r="CB154" s="354" t="str">
        <f>$AE$2</f>
        <v/>
      </c>
      <c r="CC154" s="354" t="str">
        <f>$AF$2</f>
        <v/>
      </c>
      <c r="CD154" s="267" t="str">
        <f>$AG$2</f>
        <v/>
      </c>
    </row>
    <row r="155" spans="1:134" s="61" customFormat="1" ht="11.25" customHeight="1">
      <c r="A155" s="106"/>
      <c r="B155" s="1316"/>
      <c r="C155" s="1316"/>
      <c r="D155" s="1316"/>
      <c r="E155" s="1316"/>
      <c r="F155" s="1316"/>
      <c r="G155" s="1316"/>
      <c r="H155" s="1316"/>
      <c r="I155" s="40"/>
      <c r="J155" s="40"/>
      <c r="K155" s="40"/>
      <c r="L155" s="40"/>
      <c r="M155" s="5"/>
      <c r="N155" s="5"/>
      <c r="O155" s="1"/>
      <c r="P155" s="5"/>
      <c r="Q155" s="5"/>
      <c r="R155" s="5"/>
      <c r="S155" s="5"/>
      <c r="T155" s="5"/>
      <c r="U155" s="5"/>
      <c r="V155" s="5"/>
      <c r="W155" s="120"/>
      <c r="X155" s="131"/>
      <c r="Y155" s="59"/>
      <c r="Z155" s="103"/>
      <c r="AA155" s="144"/>
      <c r="AB155" s="497" t="str">
        <f>$AC$3</f>
        <v>2019/20</v>
      </c>
      <c r="AC155" s="486" t="str">
        <f>$AD$3</f>
        <v>2020/21</v>
      </c>
      <c r="AD155" s="486" t="str">
        <f>$AE$3</f>
        <v>2021/22</v>
      </c>
      <c r="AE155" s="486" t="str">
        <f>$AF$3</f>
        <v>2022/23</v>
      </c>
      <c r="AF155" s="512" t="str">
        <f>$AG$3</f>
        <v>2023/24</v>
      </c>
      <c r="AG155" s="497" t="str">
        <f>$AC$3</f>
        <v>2019/20</v>
      </c>
      <c r="AH155" s="486" t="str">
        <f>$AD$3</f>
        <v>2020/21</v>
      </c>
      <c r="AI155" s="486" t="str">
        <f>$AE$3</f>
        <v>2021/22</v>
      </c>
      <c r="AJ155" s="486" t="str">
        <f>$AF$3</f>
        <v>2022/23</v>
      </c>
      <c r="AK155" s="512" t="str">
        <f>$AG$3</f>
        <v>2023/24</v>
      </c>
      <c r="AL155" s="497" t="str">
        <f>$AC$3</f>
        <v>2019/20</v>
      </c>
      <c r="AM155" s="486" t="str">
        <f>$AD$3</f>
        <v>2020/21</v>
      </c>
      <c r="AN155" s="486" t="str">
        <f>$AE$3</f>
        <v>2021/22</v>
      </c>
      <c r="AO155" s="486" t="str">
        <f>$AF$3</f>
        <v>2022/23</v>
      </c>
      <c r="AP155" s="512" t="str">
        <f>$AG$3</f>
        <v>2023/24</v>
      </c>
      <c r="AQ155" s="497" t="str">
        <f>$AC$3</f>
        <v>2019/20</v>
      </c>
      <c r="AR155" s="486" t="str">
        <f>$AD$3</f>
        <v>2020/21</v>
      </c>
      <c r="AS155" s="486" t="str">
        <f>$AE$3</f>
        <v>2021/22</v>
      </c>
      <c r="AT155" s="486" t="str">
        <f>$AF$3</f>
        <v>2022/23</v>
      </c>
      <c r="AU155" s="512" t="str">
        <f>$AG$3</f>
        <v>2023/24</v>
      </c>
      <c r="AV155" s="497" t="str">
        <f>$AC$3</f>
        <v>2019/20</v>
      </c>
      <c r="AW155" s="486" t="str">
        <f>$AD$3</f>
        <v>2020/21</v>
      </c>
      <c r="AX155" s="486" t="str">
        <f>$AE$3</f>
        <v>2021/22</v>
      </c>
      <c r="AY155" s="486" t="str">
        <f>$AF$3</f>
        <v>2022/23</v>
      </c>
      <c r="AZ155" s="512" t="str">
        <f>$AG$3</f>
        <v>2023/24</v>
      </c>
      <c r="BA155" s="497" t="str">
        <f>$AC$3</f>
        <v>2019/20</v>
      </c>
      <c r="BB155" s="486" t="str">
        <f>$AD$3</f>
        <v>2020/21</v>
      </c>
      <c r="BC155" s="486" t="str">
        <f>$AE$3</f>
        <v>2021/22</v>
      </c>
      <c r="BD155" s="486" t="str">
        <f>$AF$3</f>
        <v>2022/23</v>
      </c>
      <c r="BE155" s="512" t="str">
        <f>$AG$3</f>
        <v>2023/24</v>
      </c>
      <c r="BF155" s="497" t="str">
        <f>$AC$3</f>
        <v>2019/20</v>
      </c>
      <c r="BG155" s="486" t="str">
        <f>$AD$3</f>
        <v>2020/21</v>
      </c>
      <c r="BH155" s="486" t="str">
        <f>$AE$3</f>
        <v>2021/22</v>
      </c>
      <c r="BI155" s="486" t="str">
        <f>$AF$3</f>
        <v>2022/23</v>
      </c>
      <c r="BJ155" s="512" t="str">
        <f>$AG$3</f>
        <v>2023/24</v>
      </c>
      <c r="BK155" s="497" t="str">
        <f>$AC$3</f>
        <v>2019/20</v>
      </c>
      <c r="BL155" s="486" t="str">
        <f>$AD$3</f>
        <v>2020/21</v>
      </c>
      <c r="BM155" s="486" t="str">
        <f>$AE$3</f>
        <v>2021/22</v>
      </c>
      <c r="BN155" s="486" t="str">
        <f>$AF$3</f>
        <v>2022/23</v>
      </c>
      <c r="BO155" s="512" t="str">
        <f>$AG$3</f>
        <v>2023/24</v>
      </c>
      <c r="BP155" s="497" t="str">
        <f>$AC$3</f>
        <v>2019/20</v>
      </c>
      <c r="BQ155" s="486" t="str">
        <f>$AD$3</f>
        <v>2020/21</v>
      </c>
      <c r="BR155" s="486" t="str">
        <f>$AE$3</f>
        <v>2021/22</v>
      </c>
      <c r="BS155" s="486" t="str">
        <f>$AF$3</f>
        <v>2022/23</v>
      </c>
      <c r="BT155" s="512" t="str">
        <f>$AG$3</f>
        <v>2023/24</v>
      </c>
      <c r="BU155" s="497" t="str">
        <f>$AC$3</f>
        <v>2019/20</v>
      </c>
      <c r="BV155" s="486" t="str">
        <f>$AD$3</f>
        <v>2020/21</v>
      </c>
      <c r="BW155" s="486" t="str">
        <f>$AE$3</f>
        <v>2021/22</v>
      </c>
      <c r="BX155" s="486" t="str">
        <f>$AF$3</f>
        <v>2022/23</v>
      </c>
      <c r="BY155" s="512" t="str">
        <f>$AG$3</f>
        <v>2023/24</v>
      </c>
      <c r="BZ155" s="497" t="str">
        <f>$AC$3</f>
        <v>2019/20</v>
      </c>
      <c r="CA155" s="486" t="str">
        <f>$AD$3</f>
        <v>2020/21</v>
      </c>
      <c r="CB155" s="486" t="str">
        <f>$AE$3</f>
        <v>2021/22</v>
      </c>
      <c r="CC155" s="486" t="str">
        <f>$AF$3</f>
        <v>2022/23</v>
      </c>
      <c r="CD155" s="512" t="str">
        <f>$AG$3</f>
        <v>2023/24</v>
      </c>
    </row>
    <row r="156" spans="1:134" s="61" customFormat="1" ht="11.25" customHeight="1">
      <c r="A156" s="106"/>
      <c r="B156" s="1316"/>
      <c r="C156" s="1316"/>
      <c r="D156" s="1316"/>
      <c r="E156" s="1316"/>
      <c r="F156" s="1316"/>
      <c r="G156" s="1316"/>
      <c r="H156" s="1316"/>
      <c r="I156" s="40"/>
      <c r="J156" s="40"/>
      <c r="K156" s="40"/>
      <c r="L156" s="40"/>
      <c r="M156" s="5"/>
      <c r="N156" s="5"/>
      <c r="O156" s="1"/>
      <c r="P156" s="5"/>
      <c r="Q156" s="5"/>
      <c r="R156" s="5"/>
      <c r="S156" s="5"/>
      <c r="T156" s="5"/>
      <c r="U156" s="5"/>
      <c r="V156" s="5"/>
      <c r="W156" s="120"/>
      <c r="X156" s="131"/>
      <c r="Y156" s="59"/>
      <c r="Z156" s="103"/>
      <c r="AA156" s="144"/>
      <c r="AB156" s="487">
        <f t="shared" ref="AB156:AB170" si="154">IF(SUM(AB108,AG108,AL108,AQ108)&gt;0,SUM(AB108,AG108,AL108,AQ108),"X")</f>
        <v>113</v>
      </c>
      <c r="AC156" s="488">
        <f t="shared" ref="AC156:AC170" si="155">IF(SUM(AC108,AH108,AM108,AR108)&gt;0,SUM(AC108,AH108,AM108,AR108),"X")</f>
        <v>142</v>
      </c>
      <c r="AD156" s="488">
        <f t="shared" ref="AD156:AD170" si="156">IF(SUM(AD108,AI108,AN108,AS108)&gt;0,SUM(AD108,AI108,AN108,AS108),"X")</f>
        <v>100</v>
      </c>
      <c r="AE156" s="488">
        <f t="shared" ref="AE156:AE170" si="157">IF(SUM(AE108,AJ108,AO108,AT108)&gt;0,SUM(AE108,AJ108,AO108,AT108),"X")</f>
        <v>146</v>
      </c>
      <c r="AF156" s="489">
        <f t="shared" ref="AF156:AF170" si="158">IF(SUM(AF108,AK108,AP108,AU108)&gt;0,SUM(AF108,AK108,AP108,AU108),"X")</f>
        <v>112</v>
      </c>
      <c r="AG156" s="487">
        <f t="shared" ref="AG156:AG170" si="159">IF(SUM(BA108,AV108)&gt;0,SUM(BA108,AV108),"X")</f>
        <v>494</v>
      </c>
      <c r="AH156" s="488">
        <f t="shared" ref="AH156:AH170" si="160">IF(SUM(BB108,AW108)&gt;0,SUM(BB108,AW108),"X")</f>
        <v>273</v>
      </c>
      <c r="AI156" s="488">
        <f t="shared" ref="AI156:AI170" si="161">IF(SUM(BC108,AX108)&gt;0,SUM(BC108,AX108),"X")</f>
        <v>431</v>
      </c>
      <c r="AJ156" s="488">
        <f t="shared" ref="AJ156:AJ170" si="162">IF(SUM(BD108,AY108)&gt;0,SUM(BD108,AY108),"X")</f>
        <v>535</v>
      </c>
      <c r="AK156" s="489">
        <f t="shared" ref="AK156:AK170" si="163">IF(SUM(BE108,AZ108)&gt;0,SUM(BE108,AZ108),"X")</f>
        <v>430</v>
      </c>
      <c r="AL156" s="487">
        <f t="shared" ref="AL156:AL170" si="164">IF(SUM(BF108,BK108,BP108,BU108,BZ108,CE108)&gt;0,SUM(BF108,BK108,BP108,BU108,BZ108,CE108),"X")</f>
        <v>177</v>
      </c>
      <c r="AM156" s="488">
        <f t="shared" ref="AM156:AM170" si="165">IF(SUM(BG108,BL108,BQ108,BV108,CA108,CF108)&gt;0,SUM(BG108,BL108,BQ108,BV108,CA108,CF108),"X")</f>
        <v>277</v>
      </c>
      <c r="AN156" s="488">
        <f t="shared" ref="AN156:AN170" si="166">IF(SUM(BH108,BM108,BR108,BW108,CB108,CG108)&gt;0,SUM(BH108,BM108,BR108,BW108,CB108,CG108),"X")</f>
        <v>178</v>
      </c>
      <c r="AO156" s="488">
        <f t="shared" ref="AO156:AO170" si="167">IF(SUM(BI108,BN108,BS108,BX108,CC108,CH108)&gt;0,SUM(BI108,BN108,BS108,BX108,CC108,CH108),"X")</f>
        <v>171</v>
      </c>
      <c r="AP156" s="489">
        <f t="shared" ref="AP156:AP170" si="168">IF(SUM(BJ108,BO108,BT108,BY108,CD108,CI108)&gt;0,SUM(BJ108,BO108,BT108,BY108,CD108,CI108),"X")</f>
        <v>189</v>
      </c>
      <c r="AQ156" s="487">
        <f t="shared" ref="AQ156:AQ170" si="169">IF(ISBLANK(CJ108),"X",CJ108)</f>
        <v>18</v>
      </c>
      <c r="AR156" s="488">
        <f t="shared" ref="AR156:AR170" si="170">IF(ISBLANK(CK108),"X",CK108)</f>
        <v>25</v>
      </c>
      <c r="AS156" s="488" t="str">
        <f t="shared" ref="AS156:AS170" si="171">IF(ISBLANK(CL108),"X",CL108)</f>
        <v>c</v>
      </c>
      <c r="AT156" s="488">
        <f t="shared" ref="AT156:AT170" si="172">IF(ISBLANK(CM108),"X",CM108)</f>
        <v>0</v>
      </c>
      <c r="AU156" s="489">
        <f t="shared" ref="AU156:AU170" si="173">IF(ISBLANK(CN108),"X",CN108)</f>
        <v>26</v>
      </c>
      <c r="AV156" s="487">
        <f t="shared" ref="AV156:AV170" si="174">IF(SUM(CO108,CT108,CY108)&gt;0,SUM(CO108,CT108,CY108),"X")</f>
        <v>377</v>
      </c>
      <c r="AW156" s="488">
        <f t="shared" ref="AW156:AW170" si="175">IF(SUM(CP108,CU108,CZ108)&gt;0,SUM(CP108,CU108,CZ108),"X")</f>
        <v>304</v>
      </c>
      <c r="AX156" s="488">
        <f t="shared" ref="AX156:AX170" si="176">IF(SUM(CQ108,CV108,DA108)&gt;0,SUM(CQ108,CV108,DA108),"X")</f>
        <v>361</v>
      </c>
      <c r="AY156" s="488">
        <f t="shared" ref="AY156:AY170" si="177">IF(SUM(CR108,CW108,DB108)&gt;0,SUM(CR108,CW108,DB108),"X")</f>
        <v>375</v>
      </c>
      <c r="AZ156" s="489">
        <f t="shared" ref="AZ156:AZ170" si="178">IF(SUM(CS108,CX108,DC108)&gt;0,SUM(CS108,CX108,DC108),"X")</f>
        <v>314</v>
      </c>
      <c r="BA156" s="487">
        <f t="shared" ref="BA156:BA170" si="179">IF(ISBLANK(DD108),"X",DD108)</f>
        <v>387</v>
      </c>
      <c r="BB156" s="488">
        <f t="shared" ref="BB156:BB170" si="180">IF(ISBLANK(DE108),"X",DE108)</f>
        <v>508</v>
      </c>
      <c r="BC156" s="488">
        <f t="shared" ref="BC156:BC170" si="181">IF(ISBLANK(DF108),"X",DF108)</f>
        <v>345</v>
      </c>
      <c r="BD156" s="488">
        <f t="shared" ref="BD156:BD170" si="182">IF(ISBLANK(DG108),"X",DG108)</f>
        <v>408</v>
      </c>
      <c r="BE156" s="489">
        <f t="shared" ref="BE156:BE170" si="183">IF(ISBLANK(DH108),"X",DH108)</f>
        <v>346</v>
      </c>
      <c r="BF156" s="487">
        <f t="shared" ref="BF156:BF170" si="184">IF(ISBLANK(DI108),"X",DI108)</f>
        <v>42</v>
      </c>
      <c r="BG156" s="488">
        <f t="shared" ref="BG156:BG170" si="185">IF(ISBLANK(DJ108),"X",DJ108)</f>
        <v>59</v>
      </c>
      <c r="BH156" s="488">
        <f t="shared" ref="BH156:BH170" si="186">IF(ISBLANK(DK108),"X",DK108)</f>
        <v>43</v>
      </c>
      <c r="BI156" s="488">
        <f t="shared" ref="BI156:BI170" si="187">IF(ISBLANK(DL108),"X",DL108)</f>
        <v>56</v>
      </c>
      <c r="BJ156" s="489">
        <f t="shared" ref="BJ156:BJ170" si="188">IF(ISBLANK(DM108),"X",DM108)</f>
        <v>39</v>
      </c>
      <c r="BK156" s="487">
        <f t="shared" ref="BK156:BK170" si="189">IF(ISBLANK(DN108),"X",DN108)</f>
        <v>68</v>
      </c>
      <c r="BL156" s="488">
        <f t="shared" ref="BL156:BL170" si="190">IF(ISBLANK(DO108),"X",DO108)</f>
        <v>60</v>
      </c>
      <c r="BM156" s="488">
        <f t="shared" ref="BM156:BM170" si="191">IF(ISBLANK(DP108),"X",DP108)</f>
        <v>43</v>
      </c>
      <c r="BN156" s="488">
        <f t="shared" ref="BN156:BN170" si="192">IF(ISBLANK(DQ108),"X",DQ108)</f>
        <v>58</v>
      </c>
      <c r="BO156" s="489">
        <f t="shared" ref="BO156:BO170" si="193">IF(ISBLANK(DR108),"X",DR108)</f>
        <v>40</v>
      </c>
      <c r="BP156" s="487">
        <f t="shared" ref="BP156:BP170" si="194">IF(ISBLANK(DS108),"X",DS108)</f>
        <v>23</v>
      </c>
      <c r="BQ156" s="488">
        <f t="shared" ref="BQ156:BQ170" si="195">IF(ISBLANK(DT108),"X",DT108)</f>
        <v>21</v>
      </c>
      <c r="BR156" s="488" t="str">
        <f t="shared" ref="BR156:BR170" si="196">IF(ISBLANK(DU108),"X",DU108)</f>
        <v>c</v>
      </c>
      <c r="BS156" s="488">
        <f t="shared" ref="BS156:BS170" si="197">IF(ISBLANK(DV108),"X",DV108)</f>
        <v>20</v>
      </c>
      <c r="BT156" s="489">
        <f t="shared" ref="BT156:BT170" si="198">IF(ISBLANK(DW108),"X",DW108)</f>
        <v>15</v>
      </c>
      <c r="BU156" s="487">
        <f t="shared" ref="BU156:BU170" si="199">IF(ISBLANK(DX108),"X",DX108)</f>
        <v>0</v>
      </c>
      <c r="BV156" s="488">
        <f t="shared" ref="BV156:BV170" si="200">IF(ISBLANK(DY108),"X",DY108)</f>
        <v>0</v>
      </c>
      <c r="BW156" s="488">
        <f t="shared" ref="BW156:BW170" si="201">IF(ISBLANK(DZ108),"X",DZ108)</f>
        <v>0</v>
      </c>
      <c r="BX156" s="488">
        <f t="shared" ref="BX156:BX170" si="202">IF(ISBLANK(EA108),"X",EA108)</f>
        <v>0</v>
      </c>
      <c r="BY156" s="489">
        <f t="shared" ref="BY156:BY170" si="203">IF(ISBLANK(EB108),"X",EB108)</f>
        <v>0</v>
      </c>
      <c r="BZ156" s="513">
        <f t="shared" ref="BZ156:BZ175" si="204">SUM(AB108,AG108,AL108,AQ108,AV108,BA108,BF108,BK108,BP108,BU108,BZ108,CE108,CJ108,CO108,CT108,CY108,DD108,DI108,DN108,DS108,DX108)</f>
        <v>1699</v>
      </c>
      <c r="CA156" s="514">
        <f t="shared" ref="CA156:CA175" si="205">SUM(AC108,AH108,AM108,AR108,AW108,BB108,BG108,BL108,BQ108,BV108,CA108,CF108,CK108,CP108,CU108,CZ108,DE108,DJ108,DO108,DT108,DY108)</f>
        <v>1669</v>
      </c>
      <c r="CB156" s="514">
        <f t="shared" ref="CB156:CB175" si="206">SUM(AD108,AI108,AN108,AS108,AX108,BC108,BH108,BM108,BR108,BW108,CB108,CG108,CL108,CQ108,CV108,DA108,DF108,DK108,DP108,DU108,DZ108)</f>
        <v>1501</v>
      </c>
      <c r="CC156" s="514">
        <f t="shared" ref="CC156:CC175" si="207">SUM(AE108,AJ108,AO108,AT108,AY108,BD108,BI108,BN108,BS108,BX108,CC108,CH108,CM108,CR108,CW108,DB108,DG108,DL108,DQ108,DV108,EA108)</f>
        <v>1769</v>
      </c>
      <c r="CD156" s="515">
        <f t="shared" ref="CD156:CD175" si="208">SUM(AF108,AK108,AP108,AU108,AZ108,BE108,BJ108,BO108,BT108,BY108,CD108,CI108,CN108,CS108,CX108,DC108,DH108,DM108,DR108,DW108,EB108)</f>
        <v>1511</v>
      </c>
    </row>
    <row r="157" spans="1:134" s="61" customFormat="1" ht="11.25" customHeight="1">
      <c r="A157" s="106"/>
      <c r="B157" s="1316"/>
      <c r="C157" s="1316"/>
      <c r="D157" s="1316"/>
      <c r="E157" s="1316"/>
      <c r="F157" s="1316"/>
      <c r="G157" s="1316"/>
      <c r="H157" s="1316"/>
      <c r="I157" s="40"/>
      <c r="J157" s="40"/>
      <c r="K157" s="40"/>
      <c r="L157" s="40"/>
      <c r="M157" s="5"/>
      <c r="N157" s="5"/>
      <c r="O157" s="1"/>
      <c r="P157" s="5"/>
      <c r="Q157" s="5"/>
      <c r="R157" s="5"/>
      <c r="S157" s="5"/>
      <c r="T157" s="5"/>
      <c r="U157" s="5"/>
      <c r="V157" s="5"/>
      <c r="W157" s="120"/>
      <c r="X157" s="131"/>
      <c r="Y157" s="59"/>
      <c r="Z157" s="103"/>
      <c r="AA157" s="144"/>
      <c r="AB157" s="487">
        <f t="shared" si="154"/>
        <v>105</v>
      </c>
      <c r="AC157" s="488">
        <f t="shared" si="155"/>
        <v>140</v>
      </c>
      <c r="AD157" s="488">
        <f t="shared" si="156"/>
        <v>219</v>
      </c>
      <c r="AE157" s="488">
        <f t="shared" si="157"/>
        <v>262</v>
      </c>
      <c r="AF157" s="489">
        <f t="shared" si="158"/>
        <v>212</v>
      </c>
      <c r="AG157" s="487">
        <f t="shared" si="159"/>
        <v>672</v>
      </c>
      <c r="AH157" s="488">
        <f t="shared" si="160"/>
        <v>342</v>
      </c>
      <c r="AI157" s="488">
        <f t="shared" si="161"/>
        <v>574</v>
      </c>
      <c r="AJ157" s="488">
        <f t="shared" si="162"/>
        <v>616</v>
      </c>
      <c r="AK157" s="489">
        <f t="shared" si="163"/>
        <v>752</v>
      </c>
      <c r="AL157" s="487">
        <f t="shared" si="164"/>
        <v>451</v>
      </c>
      <c r="AM157" s="488">
        <f t="shared" si="165"/>
        <v>373</v>
      </c>
      <c r="AN157" s="488">
        <f t="shared" si="166"/>
        <v>425</v>
      </c>
      <c r="AO157" s="488">
        <f t="shared" si="167"/>
        <v>441</v>
      </c>
      <c r="AP157" s="489">
        <f t="shared" si="168"/>
        <v>484</v>
      </c>
      <c r="AQ157" s="487">
        <f t="shared" si="169"/>
        <v>64</v>
      </c>
      <c r="AR157" s="488">
        <f t="shared" si="170"/>
        <v>34</v>
      </c>
      <c r="AS157" s="488">
        <f t="shared" si="171"/>
        <v>16</v>
      </c>
      <c r="AT157" s="488">
        <f t="shared" si="172"/>
        <v>44</v>
      </c>
      <c r="AU157" s="489">
        <f t="shared" si="173"/>
        <v>39</v>
      </c>
      <c r="AV157" s="487">
        <f t="shared" si="174"/>
        <v>497</v>
      </c>
      <c r="AW157" s="488">
        <f t="shared" si="175"/>
        <v>460</v>
      </c>
      <c r="AX157" s="488">
        <f t="shared" si="176"/>
        <v>458</v>
      </c>
      <c r="AY157" s="488">
        <f t="shared" si="177"/>
        <v>617</v>
      </c>
      <c r="AZ157" s="489">
        <f t="shared" si="178"/>
        <v>618</v>
      </c>
      <c r="BA157" s="487">
        <f t="shared" si="179"/>
        <v>1021</v>
      </c>
      <c r="BB157" s="488">
        <f t="shared" si="180"/>
        <v>1093</v>
      </c>
      <c r="BC157" s="488">
        <f t="shared" si="181"/>
        <v>1020</v>
      </c>
      <c r="BD157" s="488">
        <f t="shared" si="182"/>
        <v>1047</v>
      </c>
      <c r="BE157" s="489">
        <f t="shared" si="183"/>
        <v>1029</v>
      </c>
      <c r="BF157" s="487">
        <f t="shared" si="184"/>
        <v>94</v>
      </c>
      <c r="BG157" s="488">
        <f t="shared" si="185"/>
        <v>66</v>
      </c>
      <c r="BH157" s="488">
        <f t="shared" si="186"/>
        <v>30</v>
      </c>
      <c r="BI157" s="488">
        <f t="shared" si="187"/>
        <v>46</v>
      </c>
      <c r="BJ157" s="489">
        <f t="shared" si="188"/>
        <v>36</v>
      </c>
      <c r="BK157" s="487">
        <f t="shared" si="189"/>
        <v>117</v>
      </c>
      <c r="BL157" s="488">
        <f t="shared" si="190"/>
        <v>142</v>
      </c>
      <c r="BM157" s="488">
        <f t="shared" si="191"/>
        <v>92</v>
      </c>
      <c r="BN157" s="488">
        <f t="shared" si="192"/>
        <v>0</v>
      </c>
      <c r="BO157" s="489">
        <f t="shared" si="193"/>
        <v>0</v>
      </c>
      <c r="BP157" s="487">
        <f t="shared" si="194"/>
        <v>47</v>
      </c>
      <c r="BQ157" s="488">
        <f t="shared" si="195"/>
        <v>48</v>
      </c>
      <c r="BR157" s="488">
        <f t="shared" si="196"/>
        <v>55</v>
      </c>
      <c r="BS157" s="488">
        <f t="shared" si="197"/>
        <v>62</v>
      </c>
      <c r="BT157" s="489">
        <f t="shared" si="198"/>
        <v>54</v>
      </c>
      <c r="BU157" s="487">
        <f t="shared" si="199"/>
        <v>503</v>
      </c>
      <c r="BV157" s="488">
        <f t="shared" si="200"/>
        <v>241</v>
      </c>
      <c r="BW157" s="488">
        <f t="shared" si="201"/>
        <v>317</v>
      </c>
      <c r="BX157" s="488">
        <f t="shared" si="202"/>
        <v>108</v>
      </c>
      <c r="BY157" s="489">
        <f t="shared" si="203"/>
        <v>33</v>
      </c>
      <c r="BZ157" s="513">
        <f t="shared" si="204"/>
        <v>3571</v>
      </c>
      <c r="CA157" s="514">
        <f t="shared" si="205"/>
        <v>2939</v>
      </c>
      <c r="CB157" s="514">
        <f t="shared" si="206"/>
        <v>3206</v>
      </c>
      <c r="CC157" s="514">
        <f t="shared" si="207"/>
        <v>3243</v>
      </c>
      <c r="CD157" s="515">
        <f t="shared" si="208"/>
        <v>3257</v>
      </c>
    </row>
    <row r="158" spans="1:134" s="61" customFormat="1" ht="11.25" customHeight="1">
      <c r="A158" s="106"/>
      <c r="B158" s="1316"/>
      <c r="C158" s="1316"/>
      <c r="D158" s="1316"/>
      <c r="E158" s="1316"/>
      <c r="F158" s="1316"/>
      <c r="G158" s="1316"/>
      <c r="H158" s="1316"/>
      <c r="I158" s="40"/>
      <c r="J158" s="40"/>
      <c r="K158" s="40"/>
      <c r="L158" s="40"/>
      <c r="M158" s="5"/>
      <c r="N158" s="5"/>
      <c r="O158" s="1"/>
      <c r="P158" s="5"/>
      <c r="Q158" s="5"/>
      <c r="R158" s="5"/>
      <c r="S158" s="5"/>
      <c r="T158" s="5"/>
      <c r="U158" s="5"/>
      <c r="V158" s="5"/>
      <c r="W158" s="120"/>
      <c r="X158" s="131"/>
      <c r="Y158" s="59"/>
      <c r="Z158" s="103"/>
      <c r="AA158" s="144"/>
      <c r="AB158" s="487">
        <f t="shared" si="154"/>
        <v>631</v>
      </c>
      <c r="AC158" s="488">
        <f t="shared" si="155"/>
        <v>931</v>
      </c>
      <c r="AD158" s="488">
        <f t="shared" si="156"/>
        <v>1033</v>
      </c>
      <c r="AE158" s="488">
        <f t="shared" si="157"/>
        <v>910</v>
      </c>
      <c r="AF158" s="489">
        <f t="shared" si="158"/>
        <v>377</v>
      </c>
      <c r="AG158" s="487">
        <f t="shared" si="159"/>
        <v>1618</v>
      </c>
      <c r="AH158" s="488">
        <f t="shared" si="160"/>
        <v>1750</v>
      </c>
      <c r="AI158" s="488">
        <f t="shared" si="161"/>
        <v>3067</v>
      </c>
      <c r="AJ158" s="488">
        <f t="shared" si="162"/>
        <v>2698</v>
      </c>
      <c r="AK158" s="489">
        <f t="shared" si="163"/>
        <v>1421</v>
      </c>
      <c r="AL158" s="487">
        <f t="shared" si="164"/>
        <v>1287</v>
      </c>
      <c r="AM158" s="488">
        <f t="shared" si="165"/>
        <v>2007</v>
      </c>
      <c r="AN158" s="488">
        <f t="shared" si="166"/>
        <v>2421</v>
      </c>
      <c r="AO158" s="488">
        <f t="shared" si="167"/>
        <v>2239</v>
      </c>
      <c r="AP158" s="489">
        <f t="shared" si="168"/>
        <v>1018</v>
      </c>
      <c r="AQ158" s="487">
        <f t="shared" si="169"/>
        <v>124</v>
      </c>
      <c r="AR158" s="488">
        <f t="shared" si="170"/>
        <v>102</v>
      </c>
      <c r="AS158" s="488">
        <f t="shared" si="171"/>
        <v>64</v>
      </c>
      <c r="AT158" s="488">
        <f t="shared" si="172"/>
        <v>49</v>
      </c>
      <c r="AU158" s="489">
        <f t="shared" si="173"/>
        <v>35</v>
      </c>
      <c r="AV158" s="487">
        <f t="shared" si="174"/>
        <v>969</v>
      </c>
      <c r="AW158" s="488">
        <f t="shared" si="175"/>
        <v>1122</v>
      </c>
      <c r="AX158" s="488">
        <f t="shared" si="176"/>
        <v>1214</v>
      </c>
      <c r="AY158" s="488">
        <f t="shared" si="177"/>
        <v>1216</v>
      </c>
      <c r="AZ158" s="489">
        <f t="shared" si="178"/>
        <v>864</v>
      </c>
      <c r="BA158" s="487">
        <f t="shared" si="179"/>
        <v>2910</v>
      </c>
      <c r="BB158" s="488">
        <f t="shared" si="180"/>
        <v>3820</v>
      </c>
      <c r="BC158" s="488">
        <f t="shared" si="181"/>
        <v>4352</v>
      </c>
      <c r="BD158" s="488">
        <f t="shared" si="182"/>
        <v>4239</v>
      </c>
      <c r="BE158" s="489">
        <f t="shared" si="183"/>
        <v>2374</v>
      </c>
      <c r="BF158" s="487">
        <f t="shared" si="184"/>
        <v>222</v>
      </c>
      <c r="BG158" s="488">
        <f t="shared" si="185"/>
        <v>261</v>
      </c>
      <c r="BH158" s="488">
        <f t="shared" si="186"/>
        <v>272</v>
      </c>
      <c r="BI158" s="488">
        <f t="shared" si="187"/>
        <v>260</v>
      </c>
      <c r="BJ158" s="489">
        <f t="shared" si="188"/>
        <v>210</v>
      </c>
      <c r="BK158" s="487">
        <f t="shared" si="189"/>
        <v>399</v>
      </c>
      <c r="BL158" s="488">
        <f t="shared" si="190"/>
        <v>440</v>
      </c>
      <c r="BM158" s="488">
        <f t="shared" si="191"/>
        <v>473</v>
      </c>
      <c r="BN158" s="488">
        <f t="shared" si="192"/>
        <v>343</v>
      </c>
      <c r="BO158" s="489">
        <f t="shared" si="193"/>
        <v>253</v>
      </c>
      <c r="BP158" s="487">
        <f t="shared" si="194"/>
        <v>154</v>
      </c>
      <c r="BQ158" s="488">
        <f t="shared" si="195"/>
        <v>326</v>
      </c>
      <c r="BR158" s="488">
        <f t="shared" si="196"/>
        <v>184</v>
      </c>
      <c r="BS158" s="488">
        <f t="shared" si="197"/>
        <v>194</v>
      </c>
      <c r="BT158" s="489">
        <f t="shared" si="198"/>
        <v>42</v>
      </c>
      <c r="BU158" s="487" t="str">
        <f t="shared" si="199"/>
        <v>x</v>
      </c>
      <c r="BV158" s="488">
        <f t="shared" si="200"/>
        <v>15</v>
      </c>
      <c r="BW158" s="488">
        <f t="shared" si="201"/>
        <v>7</v>
      </c>
      <c r="BX158" s="488">
        <f t="shared" si="202"/>
        <v>9</v>
      </c>
      <c r="BY158" s="489">
        <f t="shared" si="203"/>
        <v>26</v>
      </c>
      <c r="BZ158" s="513">
        <f t="shared" si="204"/>
        <v>8314</v>
      </c>
      <c r="CA158" s="514">
        <f t="shared" si="205"/>
        <v>10774</v>
      </c>
      <c r="CB158" s="514">
        <f t="shared" si="206"/>
        <v>13087</v>
      </c>
      <c r="CC158" s="514">
        <f t="shared" si="207"/>
        <v>12157</v>
      </c>
      <c r="CD158" s="515">
        <f t="shared" si="208"/>
        <v>6620</v>
      </c>
    </row>
    <row r="159" spans="1:134" s="61" customFormat="1" ht="11.25" customHeight="1">
      <c r="A159" s="106"/>
      <c r="B159" s="1316"/>
      <c r="C159" s="1316"/>
      <c r="D159" s="1316"/>
      <c r="E159" s="1316"/>
      <c r="F159" s="1316"/>
      <c r="G159" s="1316"/>
      <c r="H159" s="1316"/>
      <c r="I159" s="40"/>
      <c r="J159" s="40"/>
      <c r="K159" s="40"/>
      <c r="L159" s="40"/>
      <c r="M159" s="5"/>
      <c r="N159" s="5"/>
      <c r="O159" s="1"/>
      <c r="P159" s="5"/>
      <c r="Q159" s="5"/>
      <c r="R159" s="5"/>
      <c r="S159" s="5"/>
      <c r="T159" s="5"/>
      <c r="U159" s="5"/>
      <c r="V159" s="5"/>
      <c r="W159" s="120"/>
      <c r="X159" s="131"/>
      <c r="Y159" s="59"/>
      <c r="Z159" s="103"/>
      <c r="AA159" s="144"/>
      <c r="AB159" s="487">
        <f t="shared" si="154"/>
        <v>388</v>
      </c>
      <c r="AC159" s="488">
        <f t="shared" si="155"/>
        <v>378</v>
      </c>
      <c r="AD159" s="488">
        <f t="shared" si="156"/>
        <v>379</v>
      </c>
      <c r="AE159" s="488">
        <f t="shared" si="157"/>
        <v>389</v>
      </c>
      <c r="AF159" s="489">
        <f t="shared" si="158"/>
        <v>435</v>
      </c>
      <c r="AG159" s="487">
        <f t="shared" si="159"/>
        <v>700</v>
      </c>
      <c r="AH159" s="488">
        <f t="shared" si="160"/>
        <v>483</v>
      </c>
      <c r="AI159" s="488">
        <f t="shared" si="161"/>
        <v>741</v>
      </c>
      <c r="AJ159" s="488">
        <f t="shared" si="162"/>
        <v>698</v>
      </c>
      <c r="AK159" s="489">
        <f t="shared" si="163"/>
        <v>654</v>
      </c>
      <c r="AL159" s="487">
        <f t="shared" si="164"/>
        <v>465</v>
      </c>
      <c r="AM159" s="488">
        <f t="shared" si="165"/>
        <v>432</v>
      </c>
      <c r="AN159" s="488">
        <f t="shared" si="166"/>
        <v>470</v>
      </c>
      <c r="AO159" s="488">
        <f t="shared" si="167"/>
        <v>432</v>
      </c>
      <c r="AP159" s="489">
        <f t="shared" si="168"/>
        <v>516</v>
      </c>
      <c r="AQ159" s="487">
        <f t="shared" si="169"/>
        <v>57</v>
      </c>
      <c r="AR159" s="488">
        <f t="shared" si="170"/>
        <v>63</v>
      </c>
      <c r="AS159" s="488">
        <f t="shared" si="171"/>
        <v>70</v>
      </c>
      <c r="AT159" s="488">
        <f t="shared" si="172"/>
        <v>59</v>
      </c>
      <c r="AU159" s="489">
        <f t="shared" si="173"/>
        <v>69</v>
      </c>
      <c r="AV159" s="487">
        <f t="shared" si="174"/>
        <v>811</v>
      </c>
      <c r="AW159" s="488">
        <f t="shared" si="175"/>
        <v>758</v>
      </c>
      <c r="AX159" s="488">
        <f t="shared" si="176"/>
        <v>890</v>
      </c>
      <c r="AY159" s="488">
        <f t="shared" si="177"/>
        <v>789</v>
      </c>
      <c r="AZ159" s="489">
        <f t="shared" si="178"/>
        <v>920</v>
      </c>
      <c r="BA159" s="487">
        <f t="shared" si="179"/>
        <v>1111</v>
      </c>
      <c r="BB159" s="488">
        <f t="shared" si="180"/>
        <v>1226</v>
      </c>
      <c r="BC159" s="488">
        <f t="shared" si="181"/>
        <v>1161</v>
      </c>
      <c r="BD159" s="488">
        <f t="shared" si="182"/>
        <v>1069</v>
      </c>
      <c r="BE159" s="489">
        <f t="shared" si="183"/>
        <v>1289</v>
      </c>
      <c r="BF159" s="487">
        <f t="shared" si="184"/>
        <v>194</v>
      </c>
      <c r="BG159" s="488">
        <f t="shared" si="185"/>
        <v>158</v>
      </c>
      <c r="BH159" s="488">
        <f t="shared" si="186"/>
        <v>236</v>
      </c>
      <c r="BI159" s="488">
        <f t="shared" si="187"/>
        <v>229</v>
      </c>
      <c r="BJ159" s="489">
        <f t="shared" si="188"/>
        <v>192</v>
      </c>
      <c r="BK159" s="487">
        <f t="shared" si="189"/>
        <v>274</v>
      </c>
      <c r="BL159" s="488">
        <f t="shared" si="190"/>
        <v>174</v>
      </c>
      <c r="BM159" s="488">
        <f t="shared" si="191"/>
        <v>188</v>
      </c>
      <c r="BN159" s="488">
        <f t="shared" si="192"/>
        <v>160</v>
      </c>
      <c r="BO159" s="489">
        <f t="shared" si="193"/>
        <v>120</v>
      </c>
      <c r="BP159" s="487">
        <f t="shared" si="194"/>
        <v>95</v>
      </c>
      <c r="BQ159" s="488">
        <f t="shared" si="195"/>
        <v>77</v>
      </c>
      <c r="BR159" s="488">
        <f t="shared" si="196"/>
        <v>103</v>
      </c>
      <c r="BS159" s="488">
        <f t="shared" si="197"/>
        <v>70</v>
      </c>
      <c r="BT159" s="489">
        <f t="shared" si="198"/>
        <v>93</v>
      </c>
      <c r="BU159" s="487">
        <f t="shared" si="199"/>
        <v>72</v>
      </c>
      <c r="BV159" s="488">
        <f t="shared" si="200"/>
        <v>75</v>
      </c>
      <c r="BW159" s="488">
        <f t="shared" si="201"/>
        <v>54</v>
      </c>
      <c r="BX159" s="488">
        <f t="shared" si="202"/>
        <v>19</v>
      </c>
      <c r="BY159" s="489">
        <f t="shared" si="203"/>
        <v>23</v>
      </c>
      <c r="BZ159" s="513">
        <f t="shared" si="204"/>
        <v>4167</v>
      </c>
      <c r="CA159" s="514">
        <f t="shared" si="205"/>
        <v>3824</v>
      </c>
      <c r="CB159" s="514">
        <f t="shared" si="206"/>
        <v>4292</v>
      </c>
      <c r="CC159" s="514">
        <f t="shared" si="207"/>
        <v>3914</v>
      </c>
      <c r="CD159" s="515">
        <f t="shared" si="208"/>
        <v>4311</v>
      </c>
    </row>
    <row r="160" spans="1:134" s="61" customFormat="1" ht="11.25" customHeight="1">
      <c r="A160" s="106"/>
      <c r="B160" s="1316"/>
      <c r="C160" s="1316"/>
      <c r="D160" s="1316"/>
      <c r="E160" s="1316"/>
      <c r="F160" s="1316"/>
      <c r="G160" s="1316"/>
      <c r="H160" s="1316"/>
      <c r="I160" s="40"/>
      <c r="J160" s="40"/>
      <c r="K160" s="40"/>
      <c r="L160" s="40"/>
      <c r="M160" s="5"/>
      <c r="N160" s="5"/>
      <c r="O160" s="1"/>
      <c r="P160" s="5"/>
      <c r="Q160" s="5"/>
      <c r="R160" s="5"/>
      <c r="S160" s="5"/>
      <c r="T160" s="5"/>
      <c r="U160" s="5"/>
      <c r="V160" s="5"/>
      <c r="W160" s="120"/>
      <c r="X160" s="131"/>
      <c r="Y160" s="59"/>
      <c r="Z160" s="103"/>
      <c r="AA160" s="144"/>
      <c r="AB160" s="487">
        <f t="shared" si="154"/>
        <v>2303</v>
      </c>
      <c r="AC160" s="488">
        <f t="shared" si="155"/>
        <v>2444</v>
      </c>
      <c r="AD160" s="488">
        <f t="shared" si="156"/>
        <v>2639</v>
      </c>
      <c r="AE160" s="488">
        <f t="shared" si="157"/>
        <v>2864</v>
      </c>
      <c r="AF160" s="489" t="str">
        <f t="shared" si="158"/>
        <v>X</v>
      </c>
      <c r="AG160" s="487">
        <f t="shared" si="159"/>
        <v>5007</v>
      </c>
      <c r="AH160" s="488">
        <f t="shared" si="160"/>
        <v>4135</v>
      </c>
      <c r="AI160" s="488">
        <f t="shared" si="161"/>
        <v>7348</v>
      </c>
      <c r="AJ160" s="488">
        <f t="shared" si="162"/>
        <v>9040</v>
      </c>
      <c r="AK160" s="489" t="str">
        <f t="shared" si="163"/>
        <v>X</v>
      </c>
      <c r="AL160" s="487">
        <f t="shared" si="164"/>
        <v>3656</v>
      </c>
      <c r="AM160" s="488">
        <f t="shared" si="165"/>
        <v>4213</v>
      </c>
      <c r="AN160" s="488">
        <f t="shared" si="166"/>
        <v>5034</v>
      </c>
      <c r="AO160" s="488">
        <f t="shared" si="167"/>
        <v>5562</v>
      </c>
      <c r="AP160" s="489" t="str">
        <f t="shared" si="168"/>
        <v>X</v>
      </c>
      <c r="AQ160" s="487">
        <f t="shared" si="169"/>
        <v>248</v>
      </c>
      <c r="AR160" s="488">
        <f t="shared" si="170"/>
        <v>176</v>
      </c>
      <c r="AS160" s="488">
        <f t="shared" si="171"/>
        <v>249</v>
      </c>
      <c r="AT160" s="488">
        <f t="shared" si="172"/>
        <v>0</v>
      </c>
      <c r="AU160" s="489" t="str">
        <f t="shared" si="173"/>
        <v>u</v>
      </c>
      <c r="AV160" s="487">
        <f t="shared" si="174"/>
        <v>1600</v>
      </c>
      <c r="AW160" s="488">
        <f t="shared" si="175"/>
        <v>1780</v>
      </c>
      <c r="AX160" s="488">
        <f t="shared" si="176"/>
        <v>1875</v>
      </c>
      <c r="AY160" s="488">
        <f t="shared" si="177"/>
        <v>2843</v>
      </c>
      <c r="AZ160" s="489" t="str">
        <f t="shared" si="178"/>
        <v>X</v>
      </c>
      <c r="BA160" s="487">
        <f t="shared" si="179"/>
        <v>4585</v>
      </c>
      <c r="BB160" s="488">
        <f t="shared" si="180"/>
        <v>5698</v>
      </c>
      <c r="BC160" s="488">
        <f t="shared" si="181"/>
        <v>6883</v>
      </c>
      <c r="BD160" s="488">
        <f t="shared" si="182"/>
        <v>6443</v>
      </c>
      <c r="BE160" s="489" t="str">
        <f t="shared" si="183"/>
        <v>u</v>
      </c>
      <c r="BF160" s="487">
        <f t="shared" si="184"/>
        <v>696</v>
      </c>
      <c r="BG160" s="488">
        <f t="shared" si="185"/>
        <v>849</v>
      </c>
      <c r="BH160" s="488">
        <f t="shared" si="186"/>
        <v>1067</v>
      </c>
      <c r="BI160" s="488">
        <f t="shared" si="187"/>
        <v>1260</v>
      </c>
      <c r="BJ160" s="489" t="str">
        <f t="shared" si="188"/>
        <v>u</v>
      </c>
      <c r="BK160" s="487">
        <f t="shared" si="189"/>
        <v>1262</v>
      </c>
      <c r="BL160" s="488">
        <f t="shared" si="190"/>
        <v>1155</v>
      </c>
      <c r="BM160" s="488">
        <f t="shared" si="191"/>
        <v>1400</v>
      </c>
      <c r="BN160" s="488">
        <f t="shared" si="192"/>
        <v>1433</v>
      </c>
      <c r="BO160" s="489" t="str">
        <f t="shared" si="193"/>
        <v>u</v>
      </c>
      <c r="BP160" s="487">
        <f t="shared" si="194"/>
        <v>531</v>
      </c>
      <c r="BQ160" s="488">
        <f t="shared" si="195"/>
        <v>635</v>
      </c>
      <c r="BR160" s="488">
        <f t="shared" si="196"/>
        <v>628</v>
      </c>
      <c r="BS160" s="488">
        <f t="shared" si="197"/>
        <v>595</v>
      </c>
      <c r="BT160" s="489" t="str">
        <f t="shared" si="198"/>
        <v>u</v>
      </c>
      <c r="BU160" s="487">
        <f t="shared" si="199"/>
        <v>332</v>
      </c>
      <c r="BV160" s="488">
        <f t="shared" si="200"/>
        <v>246</v>
      </c>
      <c r="BW160" s="488">
        <f t="shared" si="201"/>
        <v>251</v>
      </c>
      <c r="BX160" s="488">
        <f t="shared" si="202"/>
        <v>237</v>
      </c>
      <c r="BY160" s="489" t="str">
        <f t="shared" si="203"/>
        <v>u</v>
      </c>
      <c r="BZ160" s="513">
        <f t="shared" si="204"/>
        <v>20220</v>
      </c>
      <c r="CA160" s="514">
        <f t="shared" si="205"/>
        <v>21331</v>
      </c>
      <c r="CB160" s="514">
        <f t="shared" si="206"/>
        <v>27374</v>
      </c>
      <c r="CC160" s="514">
        <f t="shared" si="207"/>
        <v>30277</v>
      </c>
      <c r="CD160" s="515">
        <f t="shared" si="208"/>
        <v>0</v>
      </c>
    </row>
    <row r="161" spans="1:134" s="61" customFormat="1" ht="11.25" customHeight="1">
      <c r="A161" s="1320"/>
      <c r="B161" s="1321"/>
      <c r="C161" s="1321"/>
      <c r="D161" s="1321"/>
      <c r="E161" s="1321"/>
      <c r="F161" s="1321"/>
      <c r="G161" s="1321"/>
      <c r="H161" s="1321"/>
      <c r="I161" s="1322"/>
      <c r="J161" s="1322"/>
      <c r="K161" s="1322"/>
      <c r="L161" s="1322"/>
      <c r="M161" s="1320"/>
      <c r="N161" s="1320"/>
      <c r="O161" s="1323"/>
      <c r="P161" s="1320"/>
      <c r="Q161" s="1320"/>
      <c r="R161" s="1320"/>
      <c r="S161" s="1320"/>
      <c r="T161" s="1320"/>
      <c r="U161" s="1320"/>
      <c r="V161" s="1320"/>
      <c r="W161" s="1324"/>
      <c r="X161" s="1325"/>
      <c r="Y161" s="1326"/>
      <c r="Z161" s="1327"/>
      <c r="AA161" s="1319"/>
      <c r="AB161" s="487">
        <f t="shared" si="154"/>
        <v>308</v>
      </c>
      <c r="AC161" s="488">
        <f t="shared" si="155"/>
        <v>261</v>
      </c>
      <c r="AD161" s="488">
        <f t="shared" si="156"/>
        <v>292</v>
      </c>
      <c r="AE161" s="488">
        <f t="shared" si="157"/>
        <v>239</v>
      </c>
      <c r="AF161" s="489">
        <f t="shared" si="158"/>
        <v>294</v>
      </c>
      <c r="AG161" s="487">
        <f t="shared" si="159"/>
        <v>718</v>
      </c>
      <c r="AH161" s="488">
        <f t="shared" si="160"/>
        <v>706</v>
      </c>
      <c r="AI161" s="488">
        <f t="shared" si="161"/>
        <v>1108</v>
      </c>
      <c r="AJ161" s="488">
        <f t="shared" si="162"/>
        <v>1358</v>
      </c>
      <c r="AK161" s="489">
        <f t="shared" si="163"/>
        <v>1512</v>
      </c>
      <c r="AL161" s="487">
        <f t="shared" si="164"/>
        <v>367</v>
      </c>
      <c r="AM161" s="488">
        <f t="shared" si="165"/>
        <v>347</v>
      </c>
      <c r="AN161" s="488">
        <f t="shared" si="166"/>
        <v>502</v>
      </c>
      <c r="AO161" s="488">
        <f t="shared" si="167"/>
        <v>594</v>
      </c>
      <c r="AP161" s="489">
        <f t="shared" si="168"/>
        <v>639</v>
      </c>
      <c r="AQ161" s="487">
        <f t="shared" si="169"/>
        <v>41</v>
      </c>
      <c r="AR161" s="488">
        <f t="shared" si="170"/>
        <v>32</v>
      </c>
      <c r="AS161" s="488">
        <f t="shared" si="171"/>
        <v>44</v>
      </c>
      <c r="AT161" s="488">
        <f t="shared" si="172"/>
        <v>75</v>
      </c>
      <c r="AU161" s="489">
        <f t="shared" si="173"/>
        <v>61</v>
      </c>
      <c r="AV161" s="487">
        <f t="shared" si="174"/>
        <v>253</v>
      </c>
      <c r="AW161" s="488">
        <f t="shared" si="175"/>
        <v>248</v>
      </c>
      <c r="AX161" s="488">
        <f t="shared" si="176"/>
        <v>211</v>
      </c>
      <c r="AY161" s="488">
        <f t="shared" si="177"/>
        <v>259</v>
      </c>
      <c r="AZ161" s="489">
        <f t="shared" si="178"/>
        <v>286</v>
      </c>
      <c r="BA161" s="487">
        <f t="shared" si="179"/>
        <v>519</v>
      </c>
      <c r="BB161" s="488">
        <f t="shared" si="180"/>
        <v>599</v>
      </c>
      <c r="BC161" s="488">
        <f t="shared" si="181"/>
        <v>717</v>
      </c>
      <c r="BD161" s="488">
        <f t="shared" si="182"/>
        <v>777</v>
      </c>
      <c r="BE161" s="489">
        <f t="shared" si="183"/>
        <v>977</v>
      </c>
      <c r="BF161" s="487">
        <f t="shared" si="184"/>
        <v>70</v>
      </c>
      <c r="BG161" s="488">
        <f t="shared" si="185"/>
        <v>55</v>
      </c>
      <c r="BH161" s="488">
        <f t="shared" si="186"/>
        <v>99</v>
      </c>
      <c r="BI161" s="488">
        <f t="shared" si="187"/>
        <v>106</v>
      </c>
      <c r="BJ161" s="489">
        <f t="shared" si="188"/>
        <v>149</v>
      </c>
      <c r="BK161" s="487">
        <f t="shared" si="189"/>
        <v>346</v>
      </c>
      <c r="BL161" s="488">
        <f t="shared" si="190"/>
        <v>281</v>
      </c>
      <c r="BM161" s="488">
        <f t="shared" si="191"/>
        <v>265</v>
      </c>
      <c r="BN161" s="488">
        <f t="shared" si="192"/>
        <v>329</v>
      </c>
      <c r="BO161" s="489">
        <f t="shared" si="193"/>
        <v>353</v>
      </c>
      <c r="BP161" s="487">
        <f t="shared" si="194"/>
        <v>0</v>
      </c>
      <c r="BQ161" s="488">
        <f t="shared" si="195"/>
        <v>0</v>
      </c>
      <c r="BR161" s="488">
        <f t="shared" si="196"/>
        <v>93</v>
      </c>
      <c r="BS161" s="488">
        <f t="shared" si="197"/>
        <v>112</v>
      </c>
      <c r="BT161" s="489">
        <f t="shared" si="198"/>
        <v>81</v>
      </c>
      <c r="BU161" s="487">
        <f t="shared" si="199"/>
        <v>48</v>
      </c>
      <c r="BV161" s="488">
        <f t="shared" si="200"/>
        <v>90</v>
      </c>
      <c r="BW161" s="488">
        <f t="shared" si="201"/>
        <v>34</v>
      </c>
      <c r="BX161" s="488">
        <f t="shared" si="202"/>
        <v>21</v>
      </c>
      <c r="BY161" s="489">
        <f t="shared" si="203"/>
        <v>26</v>
      </c>
      <c r="BZ161" s="513">
        <f t="shared" si="204"/>
        <v>2670</v>
      </c>
      <c r="CA161" s="514">
        <f t="shared" si="205"/>
        <v>2619</v>
      </c>
      <c r="CB161" s="514">
        <f t="shared" si="206"/>
        <v>3365</v>
      </c>
      <c r="CC161" s="514">
        <f t="shared" si="207"/>
        <v>3870</v>
      </c>
      <c r="CD161" s="515">
        <f t="shared" si="208"/>
        <v>4378</v>
      </c>
    </row>
    <row r="162" spans="1:134" s="61" customFormat="1" ht="11.25" customHeight="1">
      <c r="A162" s="5"/>
      <c r="B162" s="1316"/>
      <c r="C162" s="1316"/>
      <c r="D162" s="1316"/>
      <c r="E162" s="1316"/>
      <c r="F162" s="1316"/>
      <c r="G162" s="1316"/>
      <c r="H162" s="1316"/>
      <c r="I162" s="40"/>
      <c r="J162" s="40"/>
      <c r="K162" s="40"/>
      <c r="L162" s="40"/>
      <c r="M162" s="5"/>
      <c r="N162" s="5"/>
      <c r="O162" s="1"/>
      <c r="P162" s="5"/>
      <c r="Q162" s="5"/>
      <c r="R162" s="5"/>
      <c r="S162" s="5"/>
      <c r="T162" s="5"/>
      <c r="U162" s="5"/>
      <c r="V162" s="5"/>
      <c r="W162" s="120"/>
      <c r="X162" s="131"/>
      <c r="Y162" s="59"/>
      <c r="Z162" s="1328"/>
      <c r="AA162" s="1319"/>
      <c r="AB162" s="487">
        <f t="shared" si="154"/>
        <v>1684</v>
      </c>
      <c r="AC162" s="488">
        <f t="shared" si="155"/>
        <v>1815</v>
      </c>
      <c r="AD162" s="488">
        <f t="shared" si="156"/>
        <v>1644</v>
      </c>
      <c r="AE162" s="488">
        <f t="shared" si="157"/>
        <v>1774</v>
      </c>
      <c r="AF162" s="489">
        <f t="shared" si="158"/>
        <v>1767</v>
      </c>
      <c r="AG162" s="487">
        <f t="shared" si="159"/>
        <v>4378</v>
      </c>
      <c r="AH162" s="488">
        <f t="shared" si="160"/>
        <v>2837</v>
      </c>
      <c r="AI162" s="488">
        <f t="shared" si="161"/>
        <v>4487</v>
      </c>
      <c r="AJ162" s="488">
        <f t="shared" si="162"/>
        <v>5803</v>
      </c>
      <c r="AK162" s="489">
        <f t="shared" si="163"/>
        <v>6206</v>
      </c>
      <c r="AL162" s="487">
        <f t="shared" si="164"/>
        <v>2954</v>
      </c>
      <c r="AM162" s="488">
        <f t="shared" si="165"/>
        <v>2713</v>
      </c>
      <c r="AN162" s="488">
        <f t="shared" si="166"/>
        <v>2720</v>
      </c>
      <c r="AO162" s="488">
        <f t="shared" si="167"/>
        <v>3346</v>
      </c>
      <c r="AP162" s="489">
        <f t="shared" si="168"/>
        <v>3476</v>
      </c>
      <c r="AQ162" s="487">
        <f t="shared" si="169"/>
        <v>449</v>
      </c>
      <c r="AR162" s="488">
        <f t="shared" si="170"/>
        <v>351</v>
      </c>
      <c r="AS162" s="488">
        <f t="shared" si="171"/>
        <v>291</v>
      </c>
      <c r="AT162" s="488">
        <f t="shared" si="172"/>
        <v>398</v>
      </c>
      <c r="AU162" s="489">
        <f t="shared" si="173"/>
        <v>411</v>
      </c>
      <c r="AV162" s="487">
        <f t="shared" si="174"/>
        <v>2706</v>
      </c>
      <c r="AW162" s="488">
        <f t="shared" si="175"/>
        <v>2584</v>
      </c>
      <c r="AX162" s="488">
        <f t="shared" si="176"/>
        <v>2649</v>
      </c>
      <c r="AY162" s="488">
        <f t="shared" si="177"/>
        <v>2675</v>
      </c>
      <c r="AZ162" s="489">
        <f t="shared" si="178"/>
        <v>2523</v>
      </c>
      <c r="BA162" s="487">
        <f t="shared" si="179"/>
        <v>7430</v>
      </c>
      <c r="BB162" s="488">
        <f t="shared" si="180"/>
        <v>5821</v>
      </c>
      <c r="BC162" s="488">
        <f t="shared" si="181"/>
        <v>5018</v>
      </c>
      <c r="BD162" s="488">
        <f t="shared" si="182"/>
        <v>5046</v>
      </c>
      <c r="BE162" s="489">
        <f t="shared" si="183"/>
        <v>5139</v>
      </c>
      <c r="BF162" s="487">
        <f t="shared" si="184"/>
        <v>1228</v>
      </c>
      <c r="BG162" s="488">
        <f t="shared" si="185"/>
        <v>1274</v>
      </c>
      <c r="BH162" s="488">
        <f t="shared" si="186"/>
        <v>1607</v>
      </c>
      <c r="BI162" s="488">
        <f t="shared" si="187"/>
        <v>2085</v>
      </c>
      <c r="BJ162" s="489">
        <f t="shared" si="188"/>
        <v>3246</v>
      </c>
      <c r="BK162" s="487">
        <f t="shared" si="189"/>
        <v>713</v>
      </c>
      <c r="BL162" s="488">
        <f t="shared" si="190"/>
        <v>724</v>
      </c>
      <c r="BM162" s="488">
        <f t="shared" si="191"/>
        <v>535</v>
      </c>
      <c r="BN162" s="488">
        <f t="shared" si="192"/>
        <v>688</v>
      </c>
      <c r="BO162" s="489">
        <f t="shared" si="193"/>
        <v>648</v>
      </c>
      <c r="BP162" s="487">
        <f t="shared" si="194"/>
        <v>315</v>
      </c>
      <c r="BQ162" s="488">
        <f t="shared" si="195"/>
        <v>225</v>
      </c>
      <c r="BR162" s="488">
        <f t="shared" si="196"/>
        <v>181</v>
      </c>
      <c r="BS162" s="488">
        <f t="shared" si="197"/>
        <v>227</v>
      </c>
      <c r="BT162" s="489">
        <f t="shared" si="198"/>
        <v>167</v>
      </c>
      <c r="BU162" s="487">
        <f t="shared" si="199"/>
        <v>492</v>
      </c>
      <c r="BV162" s="488">
        <f t="shared" si="200"/>
        <v>598</v>
      </c>
      <c r="BW162" s="488">
        <f t="shared" si="201"/>
        <v>365</v>
      </c>
      <c r="BX162" s="488">
        <f t="shared" si="202"/>
        <v>547</v>
      </c>
      <c r="BY162" s="489">
        <f t="shared" si="203"/>
        <v>528</v>
      </c>
      <c r="BZ162" s="513">
        <f t="shared" si="204"/>
        <v>22349</v>
      </c>
      <c r="CA162" s="514">
        <f t="shared" si="205"/>
        <v>18942</v>
      </c>
      <c r="CB162" s="514">
        <f t="shared" si="206"/>
        <v>19497</v>
      </c>
      <c r="CC162" s="514">
        <f t="shared" si="207"/>
        <v>22589</v>
      </c>
      <c r="CD162" s="515">
        <f t="shared" si="208"/>
        <v>24111</v>
      </c>
    </row>
    <row r="163" spans="1:134" s="61" customFormat="1" ht="11.25" customHeight="1">
      <c r="A163" s="5"/>
      <c r="B163" s="1316"/>
      <c r="C163" s="1316"/>
      <c r="D163" s="1316"/>
      <c r="E163" s="1316"/>
      <c r="F163" s="1316"/>
      <c r="G163" s="1316"/>
      <c r="H163" s="1316"/>
      <c r="I163" s="40"/>
      <c r="J163" s="40"/>
      <c r="K163" s="40"/>
      <c r="L163" s="40"/>
      <c r="M163" s="5"/>
      <c r="N163" s="5"/>
      <c r="O163" s="1"/>
      <c r="P163" s="5"/>
      <c r="Q163" s="5"/>
      <c r="R163" s="5"/>
      <c r="S163" s="5"/>
      <c r="T163" s="5"/>
      <c r="U163" s="5"/>
      <c r="V163" s="5"/>
      <c r="W163" s="120"/>
      <c r="X163" s="131"/>
      <c r="Y163" s="59"/>
      <c r="Z163" s="1328"/>
      <c r="AA163" s="1319"/>
      <c r="AB163" s="487">
        <f t="shared" si="154"/>
        <v>444</v>
      </c>
      <c r="AC163" s="488">
        <f t="shared" si="155"/>
        <v>263</v>
      </c>
      <c r="AD163" s="488">
        <f t="shared" si="156"/>
        <v>443</v>
      </c>
      <c r="AE163" s="488">
        <f t="shared" si="157"/>
        <v>361</v>
      </c>
      <c r="AF163" s="489">
        <f t="shared" si="158"/>
        <v>420</v>
      </c>
      <c r="AG163" s="487">
        <f t="shared" si="159"/>
        <v>1183</v>
      </c>
      <c r="AH163" s="488">
        <f t="shared" si="160"/>
        <v>551</v>
      </c>
      <c r="AI163" s="488">
        <f t="shared" si="161"/>
        <v>1367</v>
      </c>
      <c r="AJ163" s="488">
        <f t="shared" si="162"/>
        <v>1264</v>
      </c>
      <c r="AK163" s="489">
        <f t="shared" si="163"/>
        <v>1631</v>
      </c>
      <c r="AL163" s="487">
        <f t="shared" si="164"/>
        <v>454</v>
      </c>
      <c r="AM163" s="488">
        <f t="shared" si="165"/>
        <v>382</v>
      </c>
      <c r="AN163" s="488">
        <f t="shared" si="166"/>
        <v>548</v>
      </c>
      <c r="AO163" s="488">
        <f t="shared" si="167"/>
        <v>478</v>
      </c>
      <c r="AP163" s="489">
        <f t="shared" si="168"/>
        <v>592</v>
      </c>
      <c r="AQ163" s="487">
        <f t="shared" si="169"/>
        <v>75</v>
      </c>
      <c r="AR163" s="488">
        <f t="shared" si="170"/>
        <v>17</v>
      </c>
      <c r="AS163" s="488">
        <f t="shared" si="171"/>
        <v>56</v>
      </c>
      <c r="AT163" s="488">
        <f t="shared" si="172"/>
        <v>100</v>
      </c>
      <c r="AU163" s="489">
        <f t="shared" si="173"/>
        <v>91</v>
      </c>
      <c r="AV163" s="487">
        <f t="shared" si="174"/>
        <v>621</v>
      </c>
      <c r="AW163" s="488">
        <f t="shared" si="175"/>
        <v>499</v>
      </c>
      <c r="AX163" s="488">
        <f t="shared" si="176"/>
        <v>655</v>
      </c>
      <c r="AY163" s="488">
        <f t="shared" si="177"/>
        <v>698</v>
      </c>
      <c r="AZ163" s="489">
        <f t="shared" si="178"/>
        <v>707</v>
      </c>
      <c r="BA163" s="487">
        <f t="shared" si="179"/>
        <v>1700</v>
      </c>
      <c r="BB163" s="488">
        <f t="shared" si="180"/>
        <v>1206</v>
      </c>
      <c r="BC163" s="488">
        <f t="shared" si="181"/>
        <v>1286</v>
      </c>
      <c r="BD163" s="488">
        <f t="shared" si="182"/>
        <v>1228</v>
      </c>
      <c r="BE163" s="489">
        <f t="shared" si="183"/>
        <v>1254</v>
      </c>
      <c r="BF163" s="487">
        <f t="shared" si="184"/>
        <v>130</v>
      </c>
      <c r="BG163" s="488">
        <f t="shared" si="185"/>
        <v>123</v>
      </c>
      <c r="BH163" s="488">
        <f t="shared" si="186"/>
        <v>112</v>
      </c>
      <c r="BI163" s="488">
        <f t="shared" si="187"/>
        <v>184</v>
      </c>
      <c r="BJ163" s="489">
        <f t="shared" si="188"/>
        <v>225</v>
      </c>
      <c r="BK163" s="487">
        <f t="shared" si="189"/>
        <v>199</v>
      </c>
      <c r="BL163" s="488">
        <f t="shared" si="190"/>
        <v>140</v>
      </c>
      <c r="BM163" s="488">
        <f t="shared" si="191"/>
        <v>139</v>
      </c>
      <c r="BN163" s="488">
        <f t="shared" si="192"/>
        <v>201</v>
      </c>
      <c r="BO163" s="489">
        <f t="shared" si="193"/>
        <v>131</v>
      </c>
      <c r="BP163" s="487">
        <f t="shared" si="194"/>
        <v>87</v>
      </c>
      <c r="BQ163" s="488">
        <f t="shared" si="195"/>
        <v>68</v>
      </c>
      <c r="BR163" s="488">
        <f t="shared" si="196"/>
        <v>174</v>
      </c>
      <c r="BS163" s="488">
        <f t="shared" si="197"/>
        <v>181</v>
      </c>
      <c r="BT163" s="489">
        <f t="shared" si="198"/>
        <v>224</v>
      </c>
      <c r="BU163" s="487">
        <f t="shared" si="199"/>
        <v>11</v>
      </c>
      <c r="BV163" s="488">
        <f t="shared" si="200"/>
        <v>10</v>
      </c>
      <c r="BW163" s="488">
        <f t="shared" si="201"/>
        <v>10</v>
      </c>
      <c r="BX163" s="488">
        <f t="shared" si="202"/>
        <v>19</v>
      </c>
      <c r="BY163" s="489">
        <f t="shared" si="203"/>
        <v>8</v>
      </c>
      <c r="BZ163" s="513">
        <f t="shared" si="204"/>
        <v>4904</v>
      </c>
      <c r="CA163" s="514">
        <f t="shared" si="205"/>
        <v>3259</v>
      </c>
      <c r="CB163" s="514">
        <f t="shared" si="206"/>
        <v>4790</v>
      </c>
      <c r="CC163" s="514">
        <f t="shared" si="207"/>
        <v>4714</v>
      </c>
      <c r="CD163" s="515">
        <f t="shared" si="208"/>
        <v>5283</v>
      </c>
    </row>
    <row r="164" spans="1:134" s="61" customFormat="1" ht="11.25" customHeight="1">
      <c r="A164" s="554"/>
      <c r="B164" s="1329"/>
      <c r="C164" s="554"/>
      <c r="D164" s="554"/>
      <c r="E164" s="554"/>
      <c r="F164" s="554"/>
      <c r="G164" s="554"/>
      <c r="H164" s="554"/>
      <c r="I164" s="554"/>
      <c r="J164" s="40"/>
      <c r="K164" s="40"/>
      <c r="L164" s="40"/>
      <c r="M164" s="40"/>
      <c r="N164" s="40"/>
      <c r="O164" s="47"/>
      <c r="P164" s="40"/>
      <c r="Q164" s="40"/>
      <c r="R164" s="40"/>
      <c r="S164" s="40"/>
      <c r="T164" s="40"/>
      <c r="U164" s="40"/>
      <c r="V164" s="40"/>
      <c r="W164" s="120"/>
      <c r="X164" s="131"/>
      <c r="Y164" s="120"/>
      <c r="Z164" s="434"/>
      <c r="AA164" s="55"/>
      <c r="AB164" s="487">
        <f t="shared" si="154"/>
        <v>278</v>
      </c>
      <c r="AC164" s="488">
        <f t="shared" si="155"/>
        <v>269</v>
      </c>
      <c r="AD164" s="488">
        <f t="shared" si="156"/>
        <v>286</v>
      </c>
      <c r="AE164" s="488">
        <f t="shared" si="157"/>
        <v>215</v>
      </c>
      <c r="AF164" s="489">
        <f t="shared" si="158"/>
        <v>238</v>
      </c>
      <c r="AG164" s="487">
        <f t="shared" si="159"/>
        <v>671</v>
      </c>
      <c r="AH164" s="488">
        <f t="shared" si="160"/>
        <v>437</v>
      </c>
      <c r="AI164" s="488">
        <f t="shared" si="161"/>
        <v>708</v>
      </c>
      <c r="AJ164" s="488">
        <f t="shared" si="162"/>
        <v>673</v>
      </c>
      <c r="AK164" s="489">
        <f t="shared" si="163"/>
        <v>742</v>
      </c>
      <c r="AL164" s="487">
        <f t="shared" si="164"/>
        <v>472</v>
      </c>
      <c r="AM164" s="488">
        <f t="shared" si="165"/>
        <v>461</v>
      </c>
      <c r="AN164" s="488">
        <f t="shared" si="166"/>
        <v>379</v>
      </c>
      <c r="AO164" s="488">
        <f t="shared" si="167"/>
        <v>443</v>
      </c>
      <c r="AP164" s="489">
        <f t="shared" si="168"/>
        <v>384</v>
      </c>
      <c r="AQ164" s="487">
        <f t="shared" si="169"/>
        <v>35</v>
      </c>
      <c r="AR164" s="488">
        <f t="shared" si="170"/>
        <v>0</v>
      </c>
      <c r="AS164" s="488">
        <f t="shared" si="171"/>
        <v>15</v>
      </c>
      <c r="AT164" s="488">
        <f t="shared" si="172"/>
        <v>0</v>
      </c>
      <c r="AU164" s="489">
        <f t="shared" si="173"/>
        <v>0</v>
      </c>
      <c r="AV164" s="487">
        <f t="shared" si="174"/>
        <v>392</v>
      </c>
      <c r="AW164" s="488">
        <f t="shared" si="175"/>
        <v>372</v>
      </c>
      <c r="AX164" s="488">
        <f t="shared" si="176"/>
        <v>459</v>
      </c>
      <c r="AY164" s="488">
        <f t="shared" si="177"/>
        <v>509</v>
      </c>
      <c r="AZ164" s="489">
        <f t="shared" si="178"/>
        <v>434</v>
      </c>
      <c r="BA164" s="487">
        <f t="shared" si="179"/>
        <v>951</v>
      </c>
      <c r="BB164" s="488">
        <f t="shared" si="180"/>
        <v>1064</v>
      </c>
      <c r="BC164" s="488">
        <f t="shared" si="181"/>
        <v>1114</v>
      </c>
      <c r="BD164" s="488">
        <f t="shared" si="182"/>
        <v>1195</v>
      </c>
      <c r="BE164" s="489">
        <f t="shared" si="183"/>
        <v>986</v>
      </c>
      <c r="BF164" s="487">
        <f t="shared" si="184"/>
        <v>111</v>
      </c>
      <c r="BG164" s="488">
        <f t="shared" si="185"/>
        <v>78</v>
      </c>
      <c r="BH164" s="488">
        <f t="shared" si="186"/>
        <v>114</v>
      </c>
      <c r="BI164" s="488">
        <f t="shared" si="187"/>
        <v>162</v>
      </c>
      <c r="BJ164" s="489">
        <f t="shared" si="188"/>
        <v>113</v>
      </c>
      <c r="BK164" s="487">
        <f t="shared" si="189"/>
        <v>113</v>
      </c>
      <c r="BL164" s="488">
        <f t="shared" si="190"/>
        <v>80</v>
      </c>
      <c r="BM164" s="488">
        <f t="shared" si="191"/>
        <v>147</v>
      </c>
      <c r="BN164" s="488">
        <f t="shared" si="192"/>
        <v>159</v>
      </c>
      <c r="BO164" s="489">
        <f t="shared" si="193"/>
        <v>112</v>
      </c>
      <c r="BP164" s="487">
        <f t="shared" si="194"/>
        <v>59</v>
      </c>
      <c r="BQ164" s="488">
        <f t="shared" si="195"/>
        <v>76</v>
      </c>
      <c r="BR164" s="488">
        <f t="shared" si="196"/>
        <v>69</v>
      </c>
      <c r="BS164" s="488">
        <f t="shared" si="197"/>
        <v>66</v>
      </c>
      <c r="BT164" s="489">
        <f t="shared" si="198"/>
        <v>64</v>
      </c>
      <c r="BU164" s="487">
        <f t="shared" si="199"/>
        <v>8</v>
      </c>
      <c r="BV164" s="488">
        <f t="shared" si="200"/>
        <v>0</v>
      </c>
      <c r="BW164" s="488">
        <f t="shared" si="201"/>
        <v>11</v>
      </c>
      <c r="BX164" s="488">
        <f t="shared" si="202"/>
        <v>0</v>
      </c>
      <c r="BY164" s="489">
        <f t="shared" si="203"/>
        <v>0</v>
      </c>
      <c r="BZ164" s="513">
        <f t="shared" si="204"/>
        <v>3090</v>
      </c>
      <c r="CA164" s="514">
        <f t="shared" si="205"/>
        <v>2837</v>
      </c>
      <c r="CB164" s="514">
        <f t="shared" si="206"/>
        <v>3302</v>
      </c>
      <c r="CC164" s="514">
        <f t="shared" si="207"/>
        <v>3422</v>
      </c>
      <c r="CD164" s="515">
        <f t="shared" si="208"/>
        <v>3073</v>
      </c>
    </row>
    <row r="165" spans="1:134" s="61" customFormat="1" ht="11.25" customHeight="1">
      <c r="A165" s="150"/>
      <c r="B165" s="52"/>
      <c r="C165" s="52"/>
      <c r="D165" s="52"/>
      <c r="E165" s="52"/>
      <c r="F165" s="52"/>
      <c r="G165" s="52"/>
      <c r="H165" s="52"/>
      <c r="I165" s="52"/>
      <c r="J165" s="52"/>
      <c r="K165" s="52"/>
      <c r="L165" s="52"/>
      <c r="M165" s="52"/>
      <c r="N165" s="52"/>
      <c r="O165"/>
      <c r="P165" s="52"/>
      <c r="Q165" s="52"/>
      <c r="R165" s="52"/>
      <c r="S165" s="52"/>
      <c r="T165" s="52"/>
      <c r="U165" s="52"/>
      <c r="V165" s="52"/>
      <c r="W165" s="52"/>
      <c r="X165" s="52"/>
      <c r="AA165" s="55"/>
      <c r="AB165" s="487">
        <f t="shared" si="154"/>
        <v>545</v>
      </c>
      <c r="AC165" s="488">
        <f t="shared" si="155"/>
        <v>424</v>
      </c>
      <c r="AD165" s="488">
        <f t="shared" si="156"/>
        <v>423</v>
      </c>
      <c r="AE165" s="488">
        <f t="shared" si="157"/>
        <v>378</v>
      </c>
      <c r="AF165" s="489">
        <f t="shared" si="158"/>
        <v>404</v>
      </c>
      <c r="AG165" s="487">
        <f t="shared" si="159"/>
        <v>1653</v>
      </c>
      <c r="AH165" s="488">
        <f t="shared" si="160"/>
        <v>1037</v>
      </c>
      <c r="AI165" s="488">
        <f t="shared" si="161"/>
        <v>1705</v>
      </c>
      <c r="AJ165" s="488">
        <f t="shared" si="162"/>
        <v>1272</v>
      </c>
      <c r="AK165" s="489">
        <f t="shared" si="163"/>
        <v>1056</v>
      </c>
      <c r="AL165" s="487">
        <f t="shared" si="164"/>
        <v>985</v>
      </c>
      <c r="AM165" s="488">
        <f t="shared" si="165"/>
        <v>786</v>
      </c>
      <c r="AN165" s="488">
        <f t="shared" si="166"/>
        <v>839</v>
      </c>
      <c r="AO165" s="488">
        <f t="shared" si="167"/>
        <v>685</v>
      </c>
      <c r="AP165" s="489">
        <f t="shared" si="168"/>
        <v>665</v>
      </c>
      <c r="AQ165" s="487">
        <f t="shared" si="169"/>
        <v>35</v>
      </c>
      <c r="AR165" s="488">
        <f t="shared" si="170"/>
        <v>44</v>
      </c>
      <c r="AS165" s="488">
        <f t="shared" si="171"/>
        <v>51</v>
      </c>
      <c r="AT165" s="488">
        <f t="shared" si="172"/>
        <v>46</v>
      </c>
      <c r="AU165" s="489">
        <f t="shared" si="173"/>
        <v>44</v>
      </c>
      <c r="AV165" s="487">
        <f t="shared" si="174"/>
        <v>1389</v>
      </c>
      <c r="AW165" s="488">
        <f t="shared" si="175"/>
        <v>1444</v>
      </c>
      <c r="AX165" s="488">
        <f t="shared" si="176"/>
        <v>1169</v>
      </c>
      <c r="AY165" s="488">
        <f t="shared" si="177"/>
        <v>901</v>
      </c>
      <c r="AZ165" s="489">
        <f t="shared" si="178"/>
        <v>988</v>
      </c>
      <c r="BA165" s="487">
        <f t="shared" si="179"/>
        <v>2239</v>
      </c>
      <c r="BB165" s="488">
        <f t="shared" si="180"/>
        <v>2194</v>
      </c>
      <c r="BC165" s="488">
        <f t="shared" si="181"/>
        <v>1977</v>
      </c>
      <c r="BD165" s="488">
        <f t="shared" si="182"/>
        <v>1484</v>
      </c>
      <c r="BE165" s="489">
        <f t="shared" si="183"/>
        <v>1452</v>
      </c>
      <c r="BF165" s="487">
        <f t="shared" si="184"/>
        <v>209</v>
      </c>
      <c r="BG165" s="488">
        <f t="shared" si="185"/>
        <v>230</v>
      </c>
      <c r="BH165" s="488">
        <f t="shared" si="186"/>
        <v>201</v>
      </c>
      <c r="BI165" s="488">
        <f t="shared" si="187"/>
        <v>201</v>
      </c>
      <c r="BJ165" s="489">
        <f t="shared" si="188"/>
        <v>203</v>
      </c>
      <c r="BK165" s="487">
        <f t="shared" si="189"/>
        <v>323</v>
      </c>
      <c r="BL165" s="488">
        <f t="shared" si="190"/>
        <v>211</v>
      </c>
      <c r="BM165" s="488">
        <f t="shared" si="191"/>
        <v>169</v>
      </c>
      <c r="BN165" s="488">
        <f t="shared" si="192"/>
        <v>131</v>
      </c>
      <c r="BO165" s="489">
        <f t="shared" si="193"/>
        <v>118</v>
      </c>
      <c r="BP165" s="487">
        <f t="shared" si="194"/>
        <v>90</v>
      </c>
      <c r="BQ165" s="488">
        <f t="shared" si="195"/>
        <v>119</v>
      </c>
      <c r="BR165" s="488">
        <f t="shared" si="196"/>
        <v>153</v>
      </c>
      <c r="BS165" s="488">
        <f t="shared" si="197"/>
        <v>81</v>
      </c>
      <c r="BT165" s="489">
        <f t="shared" si="198"/>
        <v>95</v>
      </c>
      <c r="BU165" s="487">
        <f t="shared" si="199"/>
        <v>34</v>
      </c>
      <c r="BV165" s="488">
        <f t="shared" si="200"/>
        <v>14</v>
      </c>
      <c r="BW165" s="488">
        <f t="shared" si="201"/>
        <v>17</v>
      </c>
      <c r="BX165" s="488">
        <f t="shared" si="202"/>
        <v>24</v>
      </c>
      <c r="BY165" s="489">
        <f t="shared" si="203"/>
        <v>22</v>
      </c>
      <c r="BZ165" s="513">
        <f t="shared" si="204"/>
        <v>7502</v>
      </c>
      <c r="CA165" s="514">
        <f t="shared" si="205"/>
        <v>6503</v>
      </c>
      <c r="CB165" s="514">
        <f t="shared" si="206"/>
        <v>6704</v>
      </c>
      <c r="CC165" s="514">
        <f t="shared" si="207"/>
        <v>5203</v>
      </c>
      <c r="CD165" s="515">
        <f t="shared" si="208"/>
        <v>5047</v>
      </c>
    </row>
    <row r="166" spans="1:134" s="61" customFormat="1" ht="11.25" customHeight="1">
      <c r="A166" s="150"/>
      <c r="B166" s="52"/>
      <c r="C166" s="52"/>
      <c r="D166" s="52"/>
      <c r="E166" s="52"/>
      <c r="F166" s="52"/>
      <c r="G166" s="52"/>
      <c r="H166" s="52"/>
      <c r="I166" s="52"/>
      <c r="J166" s="52"/>
      <c r="K166" s="52"/>
      <c r="L166" s="52"/>
      <c r="M166" s="52"/>
      <c r="N166" s="52"/>
      <c r="O166"/>
      <c r="P166" s="52"/>
      <c r="Q166" s="52"/>
      <c r="R166" s="52"/>
      <c r="S166" s="52"/>
      <c r="T166" s="52"/>
      <c r="U166" s="52"/>
      <c r="V166" s="52"/>
      <c r="W166" s="52"/>
      <c r="X166" s="52"/>
      <c r="AA166" s="55"/>
      <c r="AB166" s="487">
        <f t="shared" si="154"/>
        <v>155</v>
      </c>
      <c r="AC166" s="488">
        <f t="shared" si="155"/>
        <v>211</v>
      </c>
      <c r="AD166" s="488">
        <f t="shared" si="156"/>
        <v>360</v>
      </c>
      <c r="AE166" s="488">
        <f t="shared" si="157"/>
        <v>193</v>
      </c>
      <c r="AF166" s="489">
        <f t="shared" si="158"/>
        <v>210</v>
      </c>
      <c r="AG166" s="487">
        <f t="shared" si="159"/>
        <v>592</v>
      </c>
      <c r="AH166" s="488">
        <f t="shared" si="160"/>
        <v>522</v>
      </c>
      <c r="AI166" s="488">
        <f t="shared" si="161"/>
        <v>869</v>
      </c>
      <c r="AJ166" s="488">
        <f t="shared" si="162"/>
        <v>654</v>
      </c>
      <c r="AK166" s="489">
        <f t="shared" si="163"/>
        <v>555</v>
      </c>
      <c r="AL166" s="487">
        <f t="shared" si="164"/>
        <v>376</v>
      </c>
      <c r="AM166" s="488">
        <f t="shared" si="165"/>
        <v>473</v>
      </c>
      <c r="AN166" s="488">
        <f t="shared" si="166"/>
        <v>550</v>
      </c>
      <c r="AO166" s="488">
        <f t="shared" si="167"/>
        <v>424</v>
      </c>
      <c r="AP166" s="489">
        <f t="shared" si="168"/>
        <v>448</v>
      </c>
      <c r="AQ166" s="487">
        <f t="shared" si="169"/>
        <v>63</v>
      </c>
      <c r="AR166" s="488">
        <f t="shared" si="170"/>
        <v>50</v>
      </c>
      <c r="AS166" s="488">
        <f t="shared" si="171"/>
        <v>76</v>
      </c>
      <c r="AT166" s="488">
        <f t="shared" si="172"/>
        <v>60</v>
      </c>
      <c r="AU166" s="489">
        <f t="shared" si="173"/>
        <v>62</v>
      </c>
      <c r="AV166" s="487">
        <f t="shared" si="174"/>
        <v>451</v>
      </c>
      <c r="AW166" s="488">
        <f t="shared" si="175"/>
        <v>455</v>
      </c>
      <c r="AX166" s="488">
        <f t="shared" si="176"/>
        <v>581</v>
      </c>
      <c r="AY166" s="488">
        <f t="shared" si="177"/>
        <v>483</v>
      </c>
      <c r="AZ166" s="489">
        <f t="shared" si="178"/>
        <v>538</v>
      </c>
      <c r="BA166" s="487">
        <f t="shared" si="179"/>
        <v>725</v>
      </c>
      <c r="BB166" s="488">
        <f t="shared" si="180"/>
        <v>792</v>
      </c>
      <c r="BC166" s="488">
        <f t="shared" si="181"/>
        <v>898</v>
      </c>
      <c r="BD166" s="488">
        <f t="shared" si="182"/>
        <v>779</v>
      </c>
      <c r="BE166" s="489">
        <f t="shared" si="183"/>
        <v>880</v>
      </c>
      <c r="BF166" s="487">
        <f t="shared" si="184"/>
        <v>124</v>
      </c>
      <c r="BG166" s="488">
        <f t="shared" si="185"/>
        <v>151</v>
      </c>
      <c r="BH166" s="488">
        <f t="shared" si="186"/>
        <v>131</v>
      </c>
      <c r="BI166" s="488">
        <f t="shared" si="187"/>
        <v>110</v>
      </c>
      <c r="BJ166" s="489">
        <f t="shared" si="188"/>
        <v>124</v>
      </c>
      <c r="BK166" s="487">
        <f t="shared" si="189"/>
        <v>137</v>
      </c>
      <c r="BL166" s="488">
        <f t="shared" si="190"/>
        <v>132</v>
      </c>
      <c r="BM166" s="488">
        <f t="shared" si="191"/>
        <v>142</v>
      </c>
      <c r="BN166" s="488">
        <f t="shared" si="192"/>
        <v>130</v>
      </c>
      <c r="BO166" s="489">
        <f t="shared" si="193"/>
        <v>111</v>
      </c>
      <c r="BP166" s="487">
        <f t="shared" si="194"/>
        <v>35</v>
      </c>
      <c r="BQ166" s="488">
        <f t="shared" si="195"/>
        <v>25</v>
      </c>
      <c r="BR166" s="488">
        <f t="shared" si="196"/>
        <v>66</v>
      </c>
      <c r="BS166" s="488">
        <f t="shared" si="197"/>
        <v>64</v>
      </c>
      <c r="BT166" s="489">
        <f t="shared" si="198"/>
        <v>96</v>
      </c>
      <c r="BU166" s="487">
        <f t="shared" si="199"/>
        <v>6</v>
      </c>
      <c r="BV166" s="488">
        <f t="shared" si="200"/>
        <v>0</v>
      </c>
      <c r="BW166" s="488" t="str">
        <f t="shared" si="201"/>
        <v>c</v>
      </c>
      <c r="BX166" s="488">
        <f t="shared" si="202"/>
        <v>0</v>
      </c>
      <c r="BY166" s="489">
        <f t="shared" si="203"/>
        <v>0</v>
      </c>
      <c r="BZ166" s="513">
        <f t="shared" si="204"/>
        <v>2664</v>
      </c>
      <c r="CA166" s="514">
        <f t="shared" si="205"/>
        <v>2811</v>
      </c>
      <c r="CB166" s="514">
        <f t="shared" si="206"/>
        <v>3673</v>
      </c>
      <c r="CC166" s="514">
        <f t="shared" si="207"/>
        <v>2897</v>
      </c>
      <c r="CD166" s="515">
        <f t="shared" si="208"/>
        <v>3024</v>
      </c>
    </row>
    <row r="167" spans="1:134" s="61" customFormat="1" ht="11.25" customHeight="1">
      <c r="A167" s="150"/>
      <c r="B167" s="52"/>
      <c r="C167" s="52"/>
      <c r="D167" s="52"/>
      <c r="E167" s="52"/>
      <c r="F167" s="52"/>
      <c r="G167" s="52"/>
      <c r="H167" s="52"/>
      <c r="I167" s="52"/>
      <c r="J167" s="52"/>
      <c r="K167" s="52"/>
      <c r="L167" s="52"/>
      <c r="M167" s="52"/>
      <c r="N167" s="52"/>
      <c r="O167"/>
      <c r="P167" s="52"/>
      <c r="Q167" s="52"/>
      <c r="R167" s="52"/>
      <c r="S167" s="52"/>
      <c r="T167" s="52"/>
      <c r="U167" s="52"/>
      <c r="V167" s="52"/>
      <c r="W167" s="52"/>
      <c r="X167" s="52"/>
      <c r="Y167" s="52"/>
      <c r="Z167" s="55"/>
      <c r="AA167" s="55"/>
      <c r="AB167" s="487">
        <f t="shared" si="154"/>
        <v>192</v>
      </c>
      <c r="AC167" s="488">
        <f t="shared" si="155"/>
        <v>118</v>
      </c>
      <c r="AD167" s="488">
        <f t="shared" si="156"/>
        <v>159</v>
      </c>
      <c r="AE167" s="488">
        <f t="shared" si="157"/>
        <v>155</v>
      </c>
      <c r="AF167" s="489">
        <f t="shared" si="158"/>
        <v>144</v>
      </c>
      <c r="AG167" s="487">
        <f t="shared" si="159"/>
        <v>533</v>
      </c>
      <c r="AH167" s="488">
        <f t="shared" si="160"/>
        <v>370</v>
      </c>
      <c r="AI167" s="488">
        <f t="shared" si="161"/>
        <v>501</v>
      </c>
      <c r="AJ167" s="488">
        <f t="shared" si="162"/>
        <v>513</v>
      </c>
      <c r="AK167" s="489">
        <f t="shared" si="163"/>
        <v>556</v>
      </c>
      <c r="AL167" s="487">
        <f t="shared" si="164"/>
        <v>372</v>
      </c>
      <c r="AM167" s="488">
        <f t="shared" si="165"/>
        <v>412</v>
      </c>
      <c r="AN167" s="488">
        <f t="shared" si="166"/>
        <v>416</v>
      </c>
      <c r="AO167" s="488">
        <f t="shared" si="167"/>
        <v>501</v>
      </c>
      <c r="AP167" s="489">
        <f t="shared" si="168"/>
        <v>458</v>
      </c>
      <c r="AQ167" s="487">
        <f t="shared" si="169"/>
        <v>64</v>
      </c>
      <c r="AR167" s="488">
        <f t="shared" si="170"/>
        <v>42</v>
      </c>
      <c r="AS167" s="488">
        <f t="shared" si="171"/>
        <v>58</v>
      </c>
      <c r="AT167" s="488">
        <f t="shared" si="172"/>
        <v>97</v>
      </c>
      <c r="AU167" s="489">
        <f t="shared" si="173"/>
        <v>67</v>
      </c>
      <c r="AV167" s="487">
        <f t="shared" si="174"/>
        <v>263</v>
      </c>
      <c r="AW167" s="488">
        <f t="shared" si="175"/>
        <v>301</v>
      </c>
      <c r="AX167" s="488">
        <f t="shared" si="176"/>
        <v>276</v>
      </c>
      <c r="AY167" s="488">
        <f t="shared" si="177"/>
        <v>407</v>
      </c>
      <c r="AZ167" s="489">
        <f t="shared" si="178"/>
        <v>464</v>
      </c>
      <c r="BA167" s="487">
        <f t="shared" si="179"/>
        <v>930</v>
      </c>
      <c r="BB167" s="488">
        <f t="shared" si="180"/>
        <v>836</v>
      </c>
      <c r="BC167" s="488">
        <f t="shared" si="181"/>
        <v>845</v>
      </c>
      <c r="BD167" s="488">
        <f t="shared" si="182"/>
        <v>923</v>
      </c>
      <c r="BE167" s="489">
        <f t="shared" si="183"/>
        <v>1037</v>
      </c>
      <c r="BF167" s="487">
        <f t="shared" si="184"/>
        <v>55</v>
      </c>
      <c r="BG167" s="488">
        <f t="shared" si="185"/>
        <v>75</v>
      </c>
      <c r="BH167" s="488">
        <f t="shared" si="186"/>
        <v>113</v>
      </c>
      <c r="BI167" s="488">
        <f t="shared" si="187"/>
        <v>109</v>
      </c>
      <c r="BJ167" s="489">
        <f t="shared" si="188"/>
        <v>120</v>
      </c>
      <c r="BK167" s="487">
        <f t="shared" si="189"/>
        <v>128</v>
      </c>
      <c r="BL167" s="488">
        <f t="shared" si="190"/>
        <v>79</v>
      </c>
      <c r="BM167" s="488">
        <f t="shared" si="191"/>
        <v>51</v>
      </c>
      <c r="BN167" s="488">
        <f t="shared" si="192"/>
        <v>96</v>
      </c>
      <c r="BO167" s="489">
        <f t="shared" si="193"/>
        <v>101</v>
      </c>
      <c r="BP167" s="487">
        <f t="shared" si="194"/>
        <v>19</v>
      </c>
      <c r="BQ167" s="488">
        <f t="shared" si="195"/>
        <v>33</v>
      </c>
      <c r="BR167" s="488" t="str">
        <f t="shared" si="196"/>
        <v>c</v>
      </c>
      <c r="BS167" s="488">
        <f t="shared" si="197"/>
        <v>42</v>
      </c>
      <c r="BT167" s="489">
        <f t="shared" si="198"/>
        <v>56</v>
      </c>
      <c r="BU167" s="487">
        <f t="shared" si="199"/>
        <v>8</v>
      </c>
      <c r="BV167" s="488">
        <f t="shared" si="200"/>
        <v>0</v>
      </c>
      <c r="BW167" s="488" t="str">
        <f t="shared" si="201"/>
        <v>c</v>
      </c>
      <c r="BX167" s="488">
        <f t="shared" si="202"/>
        <v>0</v>
      </c>
      <c r="BY167" s="489">
        <f t="shared" si="203"/>
        <v>0</v>
      </c>
      <c r="BZ167" s="513">
        <f t="shared" si="204"/>
        <v>2564</v>
      </c>
      <c r="CA167" s="514">
        <f t="shared" si="205"/>
        <v>2266</v>
      </c>
      <c r="CB167" s="514">
        <f t="shared" si="206"/>
        <v>2419</v>
      </c>
      <c r="CC167" s="514">
        <f t="shared" si="207"/>
        <v>2843</v>
      </c>
      <c r="CD167" s="515">
        <f t="shared" si="208"/>
        <v>3003</v>
      </c>
    </row>
    <row r="168" spans="1:134" s="61" customFormat="1" ht="11.25" customHeight="1">
      <c r="A168" s="150"/>
      <c r="B168" s="52"/>
      <c r="C168" s="52"/>
      <c r="D168" s="52"/>
      <c r="E168" s="52"/>
      <c r="F168" s="52"/>
      <c r="G168" s="52"/>
      <c r="H168" s="52"/>
      <c r="I168" s="52"/>
      <c r="J168" s="52"/>
      <c r="K168" s="52"/>
      <c r="L168" s="52"/>
      <c r="M168" s="52"/>
      <c r="N168" s="52"/>
      <c r="O168"/>
      <c r="P168" s="52"/>
      <c r="Q168" s="52"/>
      <c r="R168" s="52"/>
      <c r="S168" s="52"/>
      <c r="T168" s="52"/>
      <c r="U168" s="52"/>
      <c r="V168" s="52"/>
      <c r="W168" s="52"/>
      <c r="X168" s="52"/>
      <c r="Y168" s="52"/>
      <c r="Z168" s="55"/>
      <c r="AA168" s="55"/>
      <c r="AB168" s="487">
        <f t="shared" si="154"/>
        <v>104</v>
      </c>
      <c r="AC168" s="488">
        <f t="shared" si="155"/>
        <v>88</v>
      </c>
      <c r="AD168" s="488">
        <f t="shared" si="156"/>
        <v>68</v>
      </c>
      <c r="AE168" s="488">
        <f t="shared" si="157"/>
        <v>89</v>
      </c>
      <c r="AF168" s="489">
        <f t="shared" si="158"/>
        <v>110</v>
      </c>
      <c r="AG168" s="487">
        <f t="shared" si="159"/>
        <v>634</v>
      </c>
      <c r="AH168" s="488">
        <f t="shared" si="160"/>
        <v>568</v>
      </c>
      <c r="AI168" s="488">
        <f t="shared" si="161"/>
        <v>805</v>
      </c>
      <c r="AJ168" s="488">
        <f t="shared" si="162"/>
        <v>774</v>
      </c>
      <c r="AK168" s="489">
        <f t="shared" si="163"/>
        <v>856</v>
      </c>
      <c r="AL168" s="487">
        <f t="shared" si="164"/>
        <v>344</v>
      </c>
      <c r="AM168" s="488">
        <f t="shared" si="165"/>
        <v>653</v>
      </c>
      <c r="AN168" s="488">
        <f t="shared" si="166"/>
        <v>468</v>
      </c>
      <c r="AO168" s="488">
        <f t="shared" si="167"/>
        <v>490</v>
      </c>
      <c r="AP168" s="489">
        <f t="shared" si="168"/>
        <v>480</v>
      </c>
      <c r="AQ168" s="487">
        <f t="shared" si="169"/>
        <v>0</v>
      </c>
      <c r="AR168" s="488">
        <f t="shared" si="170"/>
        <v>13</v>
      </c>
      <c r="AS168" s="488" t="str">
        <f t="shared" si="171"/>
        <v>c</v>
      </c>
      <c r="AT168" s="488">
        <f t="shared" si="172"/>
        <v>9</v>
      </c>
      <c r="AU168" s="489">
        <f t="shared" si="173"/>
        <v>0</v>
      </c>
      <c r="AV168" s="487">
        <f t="shared" si="174"/>
        <v>391</v>
      </c>
      <c r="AW168" s="488">
        <f t="shared" si="175"/>
        <v>456</v>
      </c>
      <c r="AX168" s="488">
        <f t="shared" si="176"/>
        <v>547</v>
      </c>
      <c r="AY168" s="488">
        <f t="shared" si="177"/>
        <v>475</v>
      </c>
      <c r="AZ168" s="489">
        <f t="shared" si="178"/>
        <v>333</v>
      </c>
      <c r="BA168" s="487">
        <f t="shared" si="179"/>
        <v>825</v>
      </c>
      <c r="BB168" s="488">
        <f t="shared" si="180"/>
        <v>1244</v>
      </c>
      <c r="BC168" s="488">
        <f t="shared" si="181"/>
        <v>1108</v>
      </c>
      <c r="BD168" s="488">
        <f t="shared" si="182"/>
        <v>1256</v>
      </c>
      <c r="BE168" s="489">
        <f t="shared" si="183"/>
        <v>1305</v>
      </c>
      <c r="BF168" s="487">
        <f t="shared" si="184"/>
        <v>91</v>
      </c>
      <c r="BG168" s="488">
        <f t="shared" si="185"/>
        <v>77</v>
      </c>
      <c r="BH168" s="488">
        <f t="shared" si="186"/>
        <v>113</v>
      </c>
      <c r="BI168" s="488">
        <f t="shared" si="187"/>
        <v>66</v>
      </c>
      <c r="BJ168" s="489">
        <f t="shared" si="188"/>
        <v>87</v>
      </c>
      <c r="BK168" s="487">
        <f t="shared" si="189"/>
        <v>107</v>
      </c>
      <c r="BL168" s="488">
        <f t="shared" si="190"/>
        <v>240</v>
      </c>
      <c r="BM168" s="488">
        <f t="shared" si="191"/>
        <v>50</v>
      </c>
      <c r="BN168" s="488">
        <f t="shared" si="192"/>
        <v>242</v>
      </c>
      <c r="BO168" s="489">
        <f t="shared" si="193"/>
        <v>173</v>
      </c>
      <c r="BP168" s="487">
        <f t="shared" si="194"/>
        <v>44</v>
      </c>
      <c r="BQ168" s="488">
        <f t="shared" si="195"/>
        <v>36</v>
      </c>
      <c r="BR168" s="488">
        <f t="shared" si="196"/>
        <v>25</v>
      </c>
      <c r="BS168" s="488">
        <f t="shared" si="197"/>
        <v>16</v>
      </c>
      <c r="BT168" s="489">
        <f t="shared" si="198"/>
        <v>7</v>
      </c>
      <c r="BU168" s="487">
        <f t="shared" si="199"/>
        <v>0</v>
      </c>
      <c r="BV168" s="488">
        <f t="shared" si="200"/>
        <v>0</v>
      </c>
      <c r="BW168" s="488">
        <f t="shared" si="201"/>
        <v>0</v>
      </c>
      <c r="BX168" s="488">
        <f t="shared" si="202"/>
        <v>0</v>
      </c>
      <c r="BY168" s="489">
        <f t="shared" si="203"/>
        <v>0</v>
      </c>
      <c r="BZ168" s="513">
        <f t="shared" si="204"/>
        <v>2540</v>
      </c>
      <c r="CA168" s="514">
        <f t="shared" si="205"/>
        <v>3375</v>
      </c>
      <c r="CB168" s="514">
        <f t="shared" si="206"/>
        <v>3184</v>
      </c>
      <c r="CC168" s="514">
        <f t="shared" si="207"/>
        <v>3417</v>
      </c>
      <c r="CD168" s="515">
        <f t="shared" si="208"/>
        <v>3351</v>
      </c>
    </row>
    <row r="169" spans="1:134" s="61" customFormat="1" ht="11.25" customHeight="1">
      <c r="A169" s="150"/>
      <c r="B169" s="52"/>
      <c r="C169" s="52"/>
      <c r="D169" s="52"/>
      <c r="E169" s="52"/>
      <c r="F169" s="52"/>
      <c r="G169" s="52"/>
      <c r="H169" s="52"/>
      <c r="I169" s="52"/>
      <c r="J169" s="52"/>
      <c r="K169" s="52"/>
      <c r="L169" s="52"/>
      <c r="M169" s="52"/>
      <c r="N169" s="52"/>
      <c r="O169"/>
      <c r="P169" s="52"/>
      <c r="Q169" s="52"/>
      <c r="R169" s="52"/>
      <c r="S169" s="52"/>
      <c r="T169" s="52"/>
      <c r="U169" s="52"/>
      <c r="V169" s="52"/>
      <c r="W169" s="52"/>
      <c r="X169" s="52"/>
      <c r="Y169" s="52"/>
      <c r="Z169" s="55"/>
      <c r="AA169" s="55"/>
      <c r="AB169" s="487">
        <f t="shared" si="154"/>
        <v>221</v>
      </c>
      <c r="AC169" s="488">
        <f t="shared" si="155"/>
        <v>133</v>
      </c>
      <c r="AD169" s="488">
        <f t="shared" si="156"/>
        <v>105</v>
      </c>
      <c r="AE169" s="488">
        <f t="shared" si="157"/>
        <v>201</v>
      </c>
      <c r="AF169" s="489">
        <f t="shared" si="158"/>
        <v>200</v>
      </c>
      <c r="AG169" s="487">
        <f t="shared" si="159"/>
        <v>952</v>
      </c>
      <c r="AH169" s="488">
        <f t="shared" si="160"/>
        <v>666</v>
      </c>
      <c r="AI169" s="488">
        <f t="shared" si="161"/>
        <v>775</v>
      </c>
      <c r="AJ169" s="488">
        <f t="shared" si="162"/>
        <v>1211</v>
      </c>
      <c r="AK169" s="489">
        <f t="shared" si="163"/>
        <v>893</v>
      </c>
      <c r="AL169" s="487">
        <f t="shared" si="164"/>
        <v>761</v>
      </c>
      <c r="AM169" s="488">
        <f t="shared" si="165"/>
        <v>564</v>
      </c>
      <c r="AN169" s="488">
        <f t="shared" si="166"/>
        <v>445</v>
      </c>
      <c r="AO169" s="488">
        <f t="shared" si="167"/>
        <v>445</v>
      </c>
      <c r="AP169" s="489">
        <f t="shared" si="168"/>
        <v>459</v>
      </c>
      <c r="AQ169" s="487">
        <f t="shared" si="169"/>
        <v>28</v>
      </c>
      <c r="AR169" s="488">
        <f t="shared" si="170"/>
        <v>0</v>
      </c>
      <c r="AS169" s="488" t="str">
        <f t="shared" si="171"/>
        <v>c</v>
      </c>
      <c r="AT169" s="488">
        <f t="shared" si="172"/>
        <v>35</v>
      </c>
      <c r="AU169" s="489">
        <f t="shared" si="173"/>
        <v>28</v>
      </c>
      <c r="AV169" s="487">
        <f t="shared" si="174"/>
        <v>980</v>
      </c>
      <c r="AW169" s="488">
        <f t="shared" si="175"/>
        <v>925</v>
      </c>
      <c r="AX169" s="488">
        <f t="shared" si="176"/>
        <v>522</v>
      </c>
      <c r="AY169" s="488">
        <f t="shared" si="177"/>
        <v>618</v>
      </c>
      <c r="AZ169" s="489">
        <f t="shared" si="178"/>
        <v>419</v>
      </c>
      <c r="BA169" s="487">
        <f t="shared" si="179"/>
        <v>1369</v>
      </c>
      <c r="BB169" s="488">
        <f t="shared" si="180"/>
        <v>1394</v>
      </c>
      <c r="BC169" s="488">
        <f t="shared" si="181"/>
        <v>972</v>
      </c>
      <c r="BD169" s="488">
        <f t="shared" si="182"/>
        <v>959</v>
      </c>
      <c r="BE169" s="489">
        <f t="shared" si="183"/>
        <v>852</v>
      </c>
      <c r="BF169" s="487">
        <f t="shared" si="184"/>
        <v>54</v>
      </c>
      <c r="BG169" s="488">
        <f t="shared" si="185"/>
        <v>44</v>
      </c>
      <c r="BH169" s="488">
        <f t="shared" si="186"/>
        <v>30</v>
      </c>
      <c r="BI169" s="488">
        <f t="shared" si="187"/>
        <v>98</v>
      </c>
      <c r="BJ169" s="489">
        <f t="shared" si="188"/>
        <v>104</v>
      </c>
      <c r="BK169" s="487">
        <f t="shared" si="189"/>
        <v>300</v>
      </c>
      <c r="BL169" s="488">
        <f t="shared" si="190"/>
        <v>219</v>
      </c>
      <c r="BM169" s="488">
        <f t="shared" si="191"/>
        <v>189</v>
      </c>
      <c r="BN169" s="488">
        <f t="shared" si="192"/>
        <v>108</v>
      </c>
      <c r="BO169" s="489">
        <f t="shared" si="193"/>
        <v>118</v>
      </c>
      <c r="BP169" s="487">
        <f t="shared" si="194"/>
        <v>163</v>
      </c>
      <c r="BQ169" s="488">
        <f t="shared" si="195"/>
        <v>117</v>
      </c>
      <c r="BR169" s="488">
        <f t="shared" si="196"/>
        <v>109</v>
      </c>
      <c r="BS169" s="488">
        <f t="shared" si="197"/>
        <v>37</v>
      </c>
      <c r="BT169" s="489">
        <f t="shared" si="198"/>
        <v>21</v>
      </c>
      <c r="BU169" s="487">
        <f t="shared" si="199"/>
        <v>12</v>
      </c>
      <c r="BV169" s="488">
        <f t="shared" si="200"/>
        <v>18</v>
      </c>
      <c r="BW169" s="488">
        <f t="shared" si="201"/>
        <v>470</v>
      </c>
      <c r="BX169" s="488">
        <f t="shared" si="202"/>
        <v>0</v>
      </c>
      <c r="BY169" s="489">
        <f t="shared" si="203"/>
        <v>0</v>
      </c>
      <c r="BZ169" s="513">
        <f t="shared" si="204"/>
        <v>4840</v>
      </c>
      <c r="CA169" s="514">
        <f t="shared" si="205"/>
        <v>4080</v>
      </c>
      <c r="CB169" s="514">
        <f t="shared" si="206"/>
        <v>3617</v>
      </c>
      <c r="CC169" s="514">
        <f t="shared" si="207"/>
        <v>3712</v>
      </c>
      <c r="CD169" s="515">
        <f t="shared" si="208"/>
        <v>3094</v>
      </c>
    </row>
    <row r="170" spans="1:134" s="61" customFormat="1" ht="11.25" customHeight="1">
      <c r="A170" s="150"/>
      <c r="B170" s="52"/>
      <c r="C170" s="52"/>
      <c r="D170" s="52"/>
      <c r="E170" s="52"/>
      <c r="F170" s="52"/>
      <c r="G170" s="52"/>
      <c r="H170" s="52"/>
      <c r="I170" s="52"/>
      <c r="J170" s="52"/>
      <c r="K170" s="52"/>
      <c r="L170" s="52"/>
      <c r="M170" s="52"/>
      <c r="N170" s="52"/>
      <c r="O170"/>
      <c r="P170" s="52"/>
      <c r="Q170" s="52"/>
      <c r="R170" s="52"/>
      <c r="S170" s="52"/>
      <c r="T170" s="52"/>
      <c r="U170" s="52"/>
      <c r="V170" s="52"/>
      <c r="W170" s="52"/>
      <c r="X170" s="52"/>
      <c r="Y170" s="52"/>
      <c r="Z170" s="55"/>
      <c r="AA170" s="55"/>
      <c r="AB170" s="487">
        <f t="shared" si="154"/>
        <v>613</v>
      </c>
      <c r="AC170" s="488">
        <f t="shared" si="155"/>
        <v>844</v>
      </c>
      <c r="AD170" s="488">
        <f t="shared" si="156"/>
        <v>652</v>
      </c>
      <c r="AE170" s="488">
        <f t="shared" si="157"/>
        <v>491</v>
      </c>
      <c r="AF170" s="489">
        <f t="shared" si="158"/>
        <v>517</v>
      </c>
      <c r="AG170" s="487">
        <f t="shared" si="159"/>
        <v>1635</v>
      </c>
      <c r="AH170" s="488">
        <f t="shared" si="160"/>
        <v>1444</v>
      </c>
      <c r="AI170" s="488">
        <f t="shared" si="161"/>
        <v>1886</v>
      </c>
      <c r="AJ170" s="488">
        <f t="shared" si="162"/>
        <v>1398</v>
      </c>
      <c r="AK170" s="489">
        <f t="shared" si="163"/>
        <v>1619</v>
      </c>
      <c r="AL170" s="487">
        <f t="shared" si="164"/>
        <v>1344</v>
      </c>
      <c r="AM170" s="488">
        <f t="shared" si="165"/>
        <v>1882</v>
      </c>
      <c r="AN170" s="488">
        <f t="shared" si="166"/>
        <v>1608</v>
      </c>
      <c r="AO170" s="488">
        <f t="shared" si="167"/>
        <v>1120</v>
      </c>
      <c r="AP170" s="489">
        <f t="shared" si="168"/>
        <v>1283</v>
      </c>
      <c r="AQ170" s="487">
        <f t="shared" si="169"/>
        <v>101</v>
      </c>
      <c r="AR170" s="488">
        <f t="shared" si="170"/>
        <v>62</v>
      </c>
      <c r="AS170" s="488" t="str">
        <f t="shared" si="171"/>
        <v>c</v>
      </c>
      <c r="AT170" s="488">
        <f t="shared" si="172"/>
        <v>91</v>
      </c>
      <c r="AU170" s="489">
        <f t="shared" si="173"/>
        <v>81</v>
      </c>
      <c r="AV170" s="487">
        <f t="shared" si="174"/>
        <v>1066</v>
      </c>
      <c r="AW170" s="488">
        <f t="shared" si="175"/>
        <v>1057</v>
      </c>
      <c r="AX170" s="488">
        <f t="shared" si="176"/>
        <v>1041</v>
      </c>
      <c r="AY170" s="488">
        <f t="shared" si="177"/>
        <v>915</v>
      </c>
      <c r="AZ170" s="489">
        <f t="shared" si="178"/>
        <v>929</v>
      </c>
      <c r="BA170" s="487">
        <f t="shared" si="179"/>
        <v>2844</v>
      </c>
      <c r="BB170" s="488">
        <f t="shared" si="180"/>
        <v>3924</v>
      </c>
      <c r="BC170" s="488">
        <f t="shared" si="181"/>
        <v>2810</v>
      </c>
      <c r="BD170" s="488">
        <f t="shared" si="182"/>
        <v>2172</v>
      </c>
      <c r="BE170" s="489">
        <f t="shared" si="183"/>
        <v>2275</v>
      </c>
      <c r="BF170" s="487">
        <f t="shared" si="184"/>
        <v>300</v>
      </c>
      <c r="BG170" s="488">
        <f t="shared" si="185"/>
        <v>348</v>
      </c>
      <c r="BH170" s="488">
        <f t="shared" si="186"/>
        <v>343</v>
      </c>
      <c r="BI170" s="488">
        <f t="shared" si="187"/>
        <v>240</v>
      </c>
      <c r="BJ170" s="489">
        <f t="shared" si="188"/>
        <v>261</v>
      </c>
      <c r="BK170" s="487">
        <f t="shared" si="189"/>
        <v>382</v>
      </c>
      <c r="BL170" s="488">
        <f t="shared" si="190"/>
        <v>622</v>
      </c>
      <c r="BM170" s="488">
        <f t="shared" si="191"/>
        <v>603</v>
      </c>
      <c r="BN170" s="488">
        <f t="shared" si="192"/>
        <v>563</v>
      </c>
      <c r="BO170" s="489">
        <f t="shared" si="193"/>
        <v>626</v>
      </c>
      <c r="BP170" s="487">
        <f t="shared" si="194"/>
        <v>234</v>
      </c>
      <c r="BQ170" s="488">
        <f t="shared" si="195"/>
        <v>245</v>
      </c>
      <c r="BR170" s="488">
        <f t="shared" si="196"/>
        <v>231</v>
      </c>
      <c r="BS170" s="488">
        <f t="shared" si="197"/>
        <v>123</v>
      </c>
      <c r="BT170" s="489">
        <f t="shared" si="198"/>
        <v>91</v>
      </c>
      <c r="BU170" s="487">
        <f t="shared" si="199"/>
        <v>0</v>
      </c>
      <c r="BV170" s="488">
        <f t="shared" si="200"/>
        <v>0</v>
      </c>
      <c r="BW170" s="488" t="str">
        <f t="shared" si="201"/>
        <v>c</v>
      </c>
      <c r="BX170" s="488">
        <f t="shared" si="202"/>
        <v>0</v>
      </c>
      <c r="BY170" s="489">
        <f t="shared" si="203"/>
        <v>0</v>
      </c>
      <c r="BZ170" s="513">
        <f t="shared" si="204"/>
        <v>8519</v>
      </c>
      <c r="CA170" s="514">
        <f t="shared" si="205"/>
        <v>10428</v>
      </c>
      <c r="CB170" s="514">
        <f t="shared" si="206"/>
        <v>9174</v>
      </c>
      <c r="CC170" s="514">
        <f t="shared" si="207"/>
        <v>7113</v>
      </c>
      <c r="CD170" s="515">
        <f t="shared" si="208"/>
        <v>7682</v>
      </c>
    </row>
    <row r="171" spans="1:134" s="56" customFormat="1" ht="11.25" customHeight="1">
      <c r="A171" s="150"/>
      <c r="B171" s="52"/>
      <c r="C171" s="52"/>
      <c r="D171" s="52"/>
      <c r="E171" s="52"/>
      <c r="F171" s="52"/>
      <c r="G171" s="52"/>
      <c r="H171" s="52"/>
      <c r="I171" s="52"/>
      <c r="J171" s="52"/>
      <c r="K171" s="52"/>
      <c r="L171" s="52"/>
      <c r="M171" s="52"/>
      <c r="N171" s="52"/>
      <c r="O171"/>
      <c r="P171" s="52"/>
      <c r="Q171" s="52"/>
      <c r="R171" s="52"/>
      <c r="S171" s="52"/>
      <c r="T171" s="52"/>
      <c r="U171" s="52"/>
      <c r="V171" s="52"/>
      <c r="W171" s="52"/>
      <c r="X171" s="52"/>
      <c r="Y171" s="52"/>
      <c r="Z171" s="55"/>
      <c r="AA171" s="55"/>
      <c r="AB171" s="487">
        <f t="shared" ref="AB171:AF175" si="209">IF(SUM(AB123,AG123,AL123,AQ123)&gt;0,SUM(AB123,AG123,AL123,AQ123),"X")</f>
        <v>226</v>
      </c>
      <c r="AC171" s="488">
        <f t="shared" si="209"/>
        <v>130</v>
      </c>
      <c r="AD171" s="488">
        <f t="shared" si="209"/>
        <v>193</v>
      </c>
      <c r="AE171" s="488">
        <f t="shared" si="209"/>
        <v>186</v>
      </c>
      <c r="AF171" s="489">
        <f t="shared" si="209"/>
        <v>132</v>
      </c>
      <c r="AG171" s="487">
        <f t="shared" ref="AG171:AG176" si="210">IF(SUM(BA123,AV123)&gt;0,SUM(BA123,AV123),"X")</f>
        <v>401</v>
      </c>
      <c r="AH171" s="488">
        <f t="shared" ref="AH171:AK175" si="211">IF(SUM(BB123,AW123)&gt;0,SUM(BB123,AW123),"X")</f>
        <v>223</v>
      </c>
      <c r="AI171" s="488">
        <f t="shared" si="211"/>
        <v>413</v>
      </c>
      <c r="AJ171" s="488">
        <f t="shared" si="211"/>
        <v>526</v>
      </c>
      <c r="AK171" s="489">
        <f t="shared" si="211"/>
        <v>351</v>
      </c>
      <c r="AL171" s="487">
        <f t="shared" ref="AL171:AP175" si="212">IF(SUM(BF123,BK123,BP123,BU123,BZ123,CE123)&gt;0,SUM(BF123,BK123,BP123,BU123,BZ123,CE123),"X")</f>
        <v>197</v>
      </c>
      <c r="AM171" s="488">
        <f t="shared" si="212"/>
        <v>213</v>
      </c>
      <c r="AN171" s="488">
        <f t="shared" si="212"/>
        <v>250</v>
      </c>
      <c r="AO171" s="488">
        <f t="shared" si="212"/>
        <v>265</v>
      </c>
      <c r="AP171" s="489">
        <f t="shared" si="212"/>
        <v>180</v>
      </c>
      <c r="AQ171" s="487">
        <f t="shared" ref="AQ171:AU175" si="213">IF(ISBLANK(CJ123),"X",CJ123)</f>
        <v>22</v>
      </c>
      <c r="AR171" s="488">
        <f t="shared" si="213"/>
        <v>13</v>
      </c>
      <c r="AS171" s="488">
        <f t="shared" si="213"/>
        <v>15</v>
      </c>
      <c r="AT171" s="488">
        <f t="shared" si="213"/>
        <v>14</v>
      </c>
      <c r="AU171" s="489">
        <f t="shared" si="213"/>
        <v>6</v>
      </c>
      <c r="AV171" s="487">
        <f t="shared" ref="AV171:AZ175" si="214">IF(SUM(CO123,CT123,CY123)&gt;0,SUM(CO123,CT123,CY123),"X")</f>
        <v>278</v>
      </c>
      <c r="AW171" s="488">
        <f t="shared" si="214"/>
        <v>298</v>
      </c>
      <c r="AX171" s="488">
        <f t="shared" si="214"/>
        <v>304</v>
      </c>
      <c r="AY171" s="488">
        <f t="shared" si="214"/>
        <v>408</v>
      </c>
      <c r="AZ171" s="489">
        <f t="shared" si="214"/>
        <v>253</v>
      </c>
      <c r="BA171" s="487">
        <f t="shared" ref="BA171:BA176" si="215">IF(ISBLANK(DD123),"X",DD123)</f>
        <v>403</v>
      </c>
      <c r="BB171" s="488">
        <f t="shared" ref="BB171:BY171" si="216">IF(ISBLANK(DE123),"X",DE123)</f>
        <v>478</v>
      </c>
      <c r="BC171" s="488">
        <f t="shared" si="216"/>
        <v>670</v>
      </c>
      <c r="BD171" s="488">
        <f t="shared" si="216"/>
        <v>619</v>
      </c>
      <c r="BE171" s="489">
        <f t="shared" si="216"/>
        <v>517</v>
      </c>
      <c r="BF171" s="487">
        <f t="shared" si="216"/>
        <v>33</v>
      </c>
      <c r="BG171" s="488">
        <f t="shared" si="216"/>
        <v>31</v>
      </c>
      <c r="BH171" s="488">
        <f t="shared" si="216"/>
        <v>64</v>
      </c>
      <c r="BI171" s="488">
        <f t="shared" si="216"/>
        <v>63</v>
      </c>
      <c r="BJ171" s="489">
        <f t="shared" si="216"/>
        <v>78</v>
      </c>
      <c r="BK171" s="487">
        <f t="shared" si="216"/>
        <v>53</v>
      </c>
      <c r="BL171" s="488">
        <f t="shared" si="216"/>
        <v>15</v>
      </c>
      <c r="BM171" s="488">
        <f t="shared" si="216"/>
        <v>21</v>
      </c>
      <c r="BN171" s="488">
        <f t="shared" si="216"/>
        <v>17</v>
      </c>
      <c r="BO171" s="489">
        <f t="shared" si="216"/>
        <v>21</v>
      </c>
      <c r="BP171" s="487">
        <f t="shared" si="216"/>
        <v>33</v>
      </c>
      <c r="BQ171" s="488">
        <f t="shared" si="216"/>
        <v>15</v>
      </c>
      <c r="BR171" s="488">
        <f t="shared" si="216"/>
        <v>24</v>
      </c>
      <c r="BS171" s="488">
        <f t="shared" si="216"/>
        <v>18</v>
      </c>
      <c r="BT171" s="489">
        <f t="shared" si="216"/>
        <v>38</v>
      </c>
      <c r="BU171" s="487">
        <f t="shared" si="216"/>
        <v>8</v>
      </c>
      <c r="BV171" s="488">
        <f t="shared" si="216"/>
        <v>35</v>
      </c>
      <c r="BW171" s="488">
        <f t="shared" si="216"/>
        <v>36</v>
      </c>
      <c r="BX171" s="488">
        <f t="shared" si="216"/>
        <v>27</v>
      </c>
      <c r="BY171" s="489">
        <f t="shared" si="216"/>
        <v>27</v>
      </c>
      <c r="BZ171" s="513">
        <f t="shared" si="204"/>
        <v>1654</v>
      </c>
      <c r="CA171" s="514">
        <f t="shared" si="205"/>
        <v>1451</v>
      </c>
      <c r="CB171" s="514">
        <f t="shared" si="206"/>
        <v>1990</v>
      </c>
      <c r="CC171" s="514">
        <f t="shared" si="207"/>
        <v>2143</v>
      </c>
      <c r="CD171" s="515">
        <f t="shared" si="208"/>
        <v>1603</v>
      </c>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c r="DE171" s="61"/>
      <c r="DF171" s="61"/>
      <c r="DG171" s="61"/>
      <c r="DH171" s="61"/>
      <c r="DI171" s="61"/>
      <c r="DJ171" s="61"/>
      <c r="DK171" s="61"/>
      <c r="DL171" s="61"/>
      <c r="DM171" s="61"/>
      <c r="DN171" s="61"/>
      <c r="DO171" s="61"/>
      <c r="DP171" s="61"/>
      <c r="DQ171" s="61"/>
      <c r="DR171" s="61"/>
      <c r="DS171" s="61"/>
      <c r="DT171" s="61"/>
      <c r="DU171" s="61"/>
      <c r="DV171" s="61"/>
      <c r="DW171" s="61"/>
      <c r="DX171" s="61"/>
      <c r="DY171" s="61"/>
      <c r="DZ171" s="61"/>
      <c r="EA171" s="61"/>
      <c r="EB171" s="61"/>
      <c r="EC171" s="61"/>
      <c r="ED171" s="61"/>
    </row>
    <row r="172" spans="1:134" s="56" customFormat="1" ht="11.25" customHeight="1">
      <c r="A172" s="150"/>
      <c r="B172" s="52"/>
      <c r="C172" s="52"/>
      <c r="D172" s="52"/>
      <c r="E172" s="52"/>
      <c r="F172" s="52"/>
      <c r="G172" s="52"/>
      <c r="H172" s="52"/>
      <c r="I172" s="52"/>
      <c r="J172" s="52"/>
      <c r="K172" s="52"/>
      <c r="L172" s="52"/>
      <c r="M172" s="52"/>
      <c r="N172" s="52"/>
      <c r="O172"/>
      <c r="P172" s="52"/>
      <c r="Q172" s="52"/>
      <c r="R172" s="52"/>
      <c r="S172" s="52"/>
      <c r="T172" s="52"/>
      <c r="U172" s="52"/>
      <c r="V172" s="52"/>
      <c r="W172" s="52"/>
      <c r="X172" s="52"/>
      <c r="Y172" s="52"/>
      <c r="Z172" s="55"/>
      <c r="AA172" s="55"/>
      <c r="AB172" s="487">
        <f t="shared" si="209"/>
        <v>880</v>
      </c>
      <c r="AC172" s="488">
        <f t="shared" si="209"/>
        <v>901</v>
      </c>
      <c r="AD172" s="488">
        <f t="shared" si="209"/>
        <v>826</v>
      </c>
      <c r="AE172" s="488">
        <f t="shared" si="209"/>
        <v>861</v>
      </c>
      <c r="AF172" s="489">
        <f t="shared" si="209"/>
        <v>668</v>
      </c>
      <c r="AG172" s="487">
        <f t="shared" si="210"/>
        <v>2028</v>
      </c>
      <c r="AH172" s="488">
        <f t="shared" si="211"/>
        <v>1268</v>
      </c>
      <c r="AI172" s="488">
        <f t="shared" si="211"/>
        <v>2027</v>
      </c>
      <c r="AJ172" s="488">
        <f t="shared" si="211"/>
        <v>2418</v>
      </c>
      <c r="AK172" s="489">
        <f t="shared" si="211"/>
        <v>1468</v>
      </c>
      <c r="AL172" s="487">
        <f t="shared" si="212"/>
        <v>1316</v>
      </c>
      <c r="AM172" s="488">
        <f t="shared" si="212"/>
        <v>1188</v>
      </c>
      <c r="AN172" s="488">
        <f t="shared" si="212"/>
        <v>1253</v>
      </c>
      <c r="AO172" s="488">
        <f t="shared" si="212"/>
        <v>1206</v>
      </c>
      <c r="AP172" s="489">
        <f t="shared" si="212"/>
        <v>957</v>
      </c>
      <c r="AQ172" s="487">
        <f t="shared" si="213"/>
        <v>206</v>
      </c>
      <c r="AR172" s="488">
        <f t="shared" si="213"/>
        <v>104</v>
      </c>
      <c r="AS172" s="488">
        <f t="shared" si="213"/>
        <v>92</v>
      </c>
      <c r="AT172" s="488">
        <f t="shared" si="213"/>
        <v>72</v>
      </c>
      <c r="AU172" s="489">
        <f t="shared" si="213"/>
        <v>67</v>
      </c>
      <c r="AV172" s="487">
        <f t="shared" si="214"/>
        <v>1755</v>
      </c>
      <c r="AW172" s="488">
        <f t="shared" si="214"/>
        <v>2163</v>
      </c>
      <c r="AX172" s="488">
        <f t="shared" si="214"/>
        <v>1842</v>
      </c>
      <c r="AY172" s="488">
        <f t="shared" si="214"/>
        <v>1541</v>
      </c>
      <c r="AZ172" s="489">
        <f t="shared" si="214"/>
        <v>950</v>
      </c>
      <c r="BA172" s="487">
        <f t="shared" si="215"/>
        <v>2796</v>
      </c>
      <c r="BB172" s="488">
        <f t="shared" ref="BB172:BY172" si="217">IF(ISBLANK(DE124),"X",DE124)</f>
        <v>2559</v>
      </c>
      <c r="BC172" s="488">
        <f t="shared" si="217"/>
        <v>2411</v>
      </c>
      <c r="BD172" s="488">
        <f t="shared" si="217"/>
        <v>2341</v>
      </c>
      <c r="BE172" s="489">
        <f t="shared" si="217"/>
        <v>2250</v>
      </c>
      <c r="BF172" s="487">
        <f t="shared" si="217"/>
        <v>342</v>
      </c>
      <c r="BG172" s="488">
        <f t="shared" si="217"/>
        <v>46</v>
      </c>
      <c r="BH172" s="488">
        <f t="shared" si="217"/>
        <v>41</v>
      </c>
      <c r="BI172" s="488">
        <f t="shared" si="217"/>
        <v>61</v>
      </c>
      <c r="BJ172" s="489">
        <f t="shared" si="217"/>
        <v>44</v>
      </c>
      <c r="BK172" s="487">
        <f t="shared" si="217"/>
        <v>623</v>
      </c>
      <c r="BL172" s="488">
        <f t="shared" si="217"/>
        <v>738</v>
      </c>
      <c r="BM172" s="488">
        <f t="shared" si="217"/>
        <v>823</v>
      </c>
      <c r="BN172" s="488">
        <f t="shared" si="217"/>
        <v>1088</v>
      </c>
      <c r="BO172" s="489">
        <f t="shared" si="217"/>
        <v>994</v>
      </c>
      <c r="BP172" s="487">
        <f t="shared" si="217"/>
        <v>0</v>
      </c>
      <c r="BQ172" s="488">
        <f t="shared" si="217"/>
        <v>0</v>
      </c>
      <c r="BR172" s="488">
        <f t="shared" si="217"/>
        <v>0</v>
      </c>
      <c r="BS172" s="488">
        <f t="shared" si="217"/>
        <v>0</v>
      </c>
      <c r="BT172" s="489">
        <f t="shared" si="217"/>
        <v>0</v>
      </c>
      <c r="BU172" s="487">
        <f t="shared" si="217"/>
        <v>47</v>
      </c>
      <c r="BV172" s="488">
        <f t="shared" si="217"/>
        <v>185</v>
      </c>
      <c r="BW172" s="488">
        <f t="shared" si="217"/>
        <v>55</v>
      </c>
      <c r="BX172" s="488">
        <f t="shared" si="217"/>
        <v>10</v>
      </c>
      <c r="BY172" s="489">
        <f t="shared" si="217"/>
        <v>533</v>
      </c>
      <c r="BZ172" s="513">
        <f t="shared" si="204"/>
        <v>9993</v>
      </c>
      <c r="CA172" s="514">
        <f t="shared" si="205"/>
        <v>9152</v>
      </c>
      <c r="CB172" s="514">
        <f t="shared" si="206"/>
        <v>9370</v>
      </c>
      <c r="CC172" s="514">
        <f t="shared" si="207"/>
        <v>9598</v>
      </c>
      <c r="CD172" s="515">
        <f t="shared" si="208"/>
        <v>7931</v>
      </c>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61"/>
      <c r="DH172" s="61"/>
      <c r="DI172" s="61"/>
      <c r="DJ172" s="61"/>
      <c r="DK172" s="61"/>
      <c r="DL172" s="61"/>
      <c r="DM172" s="61"/>
      <c r="DN172" s="61"/>
      <c r="DO172" s="61"/>
      <c r="DP172" s="61"/>
      <c r="DQ172" s="61"/>
      <c r="DR172" s="61"/>
      <c r="DS172" s="61"/>
      <c r="DT172" s="61"/>
      <c r="DU172" s="61"/>
      <c r="DV172" s="61"/>
      <c r="DW172" s="61"/>
      <c r="DX172" s="61"/>
      <c r="DY172" s="61"/>
      <c r="DZ172" s="61"/>
      <c r="EA172" s="61"/>
      <c r="EB172" s="61"/>
      <c r="EC172" s="61"/>
      <c r="ED172" s="61"/>
    </row>
    <row r="173" spans="1:134" s="56" customFormat="1" ht="11.25" customHeight="1">
      <c r="A173" s="150"/>
      <c r="B173" s="52"/>
      <c r="C173" s="52"/>
      <c r="D173" s="52"/>
      <c r="E173" s="52"/>
      <c r="F173" s="52"/>
      <c r="G173" s="52"/>
      <c r="H173" s="52"/>
      <c r="I173" s="52"/>
      <c r="J173" s="52"/>
      <c r="K173" s="52"/>
      <c r="L173" s="52"/>
      <c r="M173" s="52"/>
      <c r="N173" s="52"/>
      <c r="O173"/>
      <c r="P173" s="52"/>
      <c r="Q173" s="52"/>
      <c r="R173" s="52"/>
      <c r="S173" s="52"/>
      <c r="T173" s="52"/>
      <c r="U173" s="52"/>
      <c r="V173" s="52"/>
      <c r="W173" s="52"/>
      <c r="X173" s="52"/>
      <c r="Y173" s="52"/>
      <c r="Z173" s="55"/>
      <c r="AA173" s="55"/>
      <c r="AB173" s="487">
        <f t="shared" si="209"/>
        <v>97</v>
      </c>
      <c r="AC173" s="488">
        <f t="shared" si="209"/>
        <v>53</v>
      </c>
      <c r="AD173" s="488">
        <f t="shared" si="209"/>
        <v>62</v>
      </c>
      <c r="AE173" s="488">
        <f t="shared" si="209"/>
        <v>79</v>
      </c>
      <c r="AF173" s="489">
        <f t="shared" si="209"/>
        <v>66</v>
      </c>
      <c r="AG173" s="487">
        <f t="shared" si="210"/>
        <v>284</v>
      </c>
      <c r="AH173" s="488">
        <f t="shared" si="211"/>
        <v>193</v>
      </c>
      <c r="AI173" s="488">
        <f t="shared" si="211"/>
        <v>413</v>
      </c>
      <c r="AJ173" s="488">
        <f t="shared" si="211"/>
        <v>441</v>
      </c>
      <c r="AK173" s="489">
        <f t="shared" si="211"/>
        <v>454</v>
      </c>
      <c r="AL173" s="487">
        <f t="shared" si="212"/>
        <v>164</v>
      </c>
      <c r="AM173" s="488">
        <f t="shared" si="212"/>
        <v>134</v>
      </c>
      <c r="AN173" s="488">
        <f t="shared" si="212"/>
        <v>207</v>
      </c>
      <c r="AO173" s="488">
        <f t="shared" si="212"/>
        <v>261</v>
      </c>
      <c r="AP173" s="489">
        <f t="shared" si="212"/>
        <v>258</v>
      </c>
      <c r="AQ173" s="487">
        <f t="shared" si="213"/>
        <v>15</v>
      </c>
      <c r="AR173" s="488">
        <f t="shared" si="213"/>
        <v>0</v>
      </c>
      <c r="AS173" s="488" t="str">
        <f t="shared" si="213"/>
        <v>c</v>
      </c>
      <c r="AT173" s="488">
        <f t="shared" si="213"/>
        <v>17</v>
      </c>
      <c r="AU173" s="489">
        <f t="shared" si="213"/>
        <v>11</v>
      </c>
      <c r="AV173" s="487">
        <f t="shared" si="214"/>
        <v>159</v>
      </c>
      <c r="AW173" s="488">
        <f t="shared" si="214"/>
        <v>590</v>
      </c>
      <c r="AX173" s="488">
        <f t="shared" si="214"/>
        <v>245</v>
      </c>
      <c r="AY173" s="488">
        <f t="shared" si="214"/>
        <v>243</v>
      </c>
      <c r="AZ173" s="489">
        <f t="shared" si="214"/>
        <v>217</v>
      </c>
      <c r="BA173" s="487">
        <f t="shared" si="215"/>
        <v>506</v>
      </c>
      <c r="BB173" s="488">
        <f t="shared" ref="BB173:BY173" si="218">IF(ISBLANK(DE125),"X",DE125)</f>
        <v>425</v>
      </c>
      <c r="BC173" s="488">
        <f t="shared" si="218"/>
        <v>658</v>
      </c>
      <c r="BD173" s="488">
        <f t="shared" si="218"/>
        <v>591</v>
      </c>
      <c r="BE173" s="489">
        <f t="shared" si="218"/>
        <v>599</v>
      </c>
      <c r="BF173" s="487">
        <f t="shared" si="218"/>
        <v>18</v>
      </c>
      <c r="BG173" s="488">
        <f t="shared" si="218"/>
        <v>20</v>
      </c>
      <c r="BH173" s="488">
        <f t="shared" si="218"/>
        <v>24</v>
      </c>
      <c r="BI173" s="488">
        <f t="shared" si="218"/>
        <v>23</v>
      </c>
      <c r="BJ173" s="489">
        <f t="shared" si="218"/>
        <v>22</v>
      </c>
      <c r="BK173" s="487">
        <f t="shared" si="218"/>
        <v>71</v>
      </c>
      <c r="BL173" s="488">
        <f t="shared" si="218"/>
        <v>50</v>
      </c>
      <c r="BM173" s="488">
        <f t="shared" si="218"/>
        <v>95</v>
      </c>
      <c r="BN173" s="488">
        <f t="shared" si="218"/>
        <v>183</v>
      </c>
      <c r="BO173" s="489">
        <f t="shared" si="218"/>
        <v>87</v>
      </c>
      <c r="BP173" s="487">
        <f t="shared" si="218"/>
        <v>42</v>
      </c>
      <c r="BQ173" s="488">
        <f t="shared" si="218"/>
        <v>9</v>
      </c>
      <c r="BR173" s="488">
        <f t="shared" si="218"/>
        <v>17</v>
      </c>
      <c r="BS173" s="488">
        <f t="shared" si="218"/>
        <v>0</v>
      </c>
      <c r="BT173" s="489">
        <f t="shared" si="218"/>
        <v>14</v>
      </c>
      <c r="BU173" s="487">
        <f t="shared" si="218"/>
        <v>0</v>
      </c>
      <c r="BV173" s="488">
        <f t="shared" si="218"/>
        <v>0</v>
      </c>
      <c r="BW173" s="488">
        <f t="shared" si="218"/>
        <v>19</v>
      </c>
      <c r="BX173" s="488">
        <f t="shared" si="218"/>
        <v>110</v>
      </c>
      <c r="BY173" s="489">
        <f t="shared" si="218"/>
        <v>85</v>
      </c>
      <c r="BZ173" s="513">
        <f t="shared" si="204"/>
        <v>1356</v>
      </c>
      <c r="CA173" s="514">
        <f t="shared" si="205"/>
        <v>1474</v>
      </c>
      <c r="CB173" s="514">
        <f t="shared" si="206"/>
        <v>1740</v>
      </c>
      <c r="CC173" s="514">
        <f t="shared" si="207"/>
        <v>1948</v>
      </c>
      <c r="CD173" s="515">
        <f t="shared" si="208"/>
        <v>1813</v>
      </c>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c r="DE173" s="61"/>
      <c r="DF173" s="61"/>
      <c r="DG173" s="61"/>
      <c r="DH173" s="61"/>
      <c r="DI173" s="61"/>
      <c r="DJ173" s="61"/>
      <c r="DK173" s="61"/>
      <c r="DL173" s="61"/>
      <c r="DM173" s="61"/>
      <c r="DN173" s="61"/>
      <c r="DO173" s="61"/>
      <c r="DP173" s="61"/>
      <c r="DQ173" s="61"/>
      <c r="DR173" s="61"/>
      <c r="DS173" s="61"/>
      <c r="DT173" s="61"/>
      <c r="DU173" s="61"/>
      <c r="DV173" s="61"/>
      <c r="DW173" s="61"/>
      <c r="DX173" s="61"/>
      <c r="DY173" s="61"/>
      <c r="DZ173" s="61"/>
      <c r="EA173" s="61"/>
      <c r="EB173" s="61"/>
      <c r="EC173" s="61"/>
      <c r="ED173" s="61"/>
    </row>
    <row r="174" spans="1:134" s="56" customFormat="1" ht="11.25" customHeight="1">
      <c r="A174" s="150"/>
      <c r="B174" s="52"/>
      <c r="C174" s="52"/>
      <c r="D174" s="52"/>
      <c r="E174" s="52"/>
      <c r="F174" s="52"/>
      <c r="G174" s="52"/>
      <c r="H174" s="52"/>
      <c r="I174" s="52"/>
      <c r="J174" s="52"/>
      <c r="K174" s="52"/>
      <c r="L174" s="52"/>
      <c r="M174" s="52"/>
      <c r="N174" s="52"/>
      <c r="O174"/>
      <c r="P174" s="52"/>
      <c r="Q174" s="52"/>
      <c r="R174" s="52"/>
      <c r="S174" s="52"/>
      <c r="T174" s="52"/>
      <c r="U174" s="52"/>
      <c r="V174" s="52"/>
      <c r="W174" s="52"/>
      <c r="X174" s="52"/>
      <c r="Y174" s="52"/>
      <c r="Z174" s="55"/>
      <c r="AA174" s="55"/>
      <c r="AB174" s="487">
        <f t="shared" si="209"/>
        <v>148</v>
      </c>
      <c r="AC174" s="488">
        <f t="shared" si="209"/>
        <v>84</v>
      </c>
      <c r="AD174" s="488">
        <f t="shared" si="209"/>
        <v>107</v>
      </c>
      <c r="AE174" s="488">
        <f t="shared" si="209"/>
        <v>107</v>
      </c>
      <c r="AF174" s="489">
        <f t="shared" si="209"/>
        <v>140</v>
      </c>
      <c r="AG174" s="487">
        <f t="shared" si="210"/>
        <v>359</v>
      </c>
      <c r="AH174" s="488">
        <f t="shared" si="211"/>
        <v>228</v>
      </c>
      <c r="AI174" s="488">
        <f t="shared" si="211"/>
        <v>350</v>
      </c>
      <c r="AJ174" s="488">
        <f t="shared" si="211"/>
        <v>395</v>
      </c>
      <c r="AK174" s="489">
        <f t="shared" si="211"/>
        <v>384</v>
      </c>
      <c r="AL174" s="487">
        <f t="shared" si="212"/>
        <v>221</v>
      </c>
      <c r="AM174" s="488">
        <f t="shared" si="212"/>
        <v>223</v>
      </c>
      <c r="AN174" s="488">
        <f t="shared" si="212"/>
        <v>205</v>
      </c>
      <c r="AO174" s="488">
        <f t="shared" si="212"/>
        <v>239</v>
      </c>
      <c r="AP174" s="489">
        <f t="shared" si="212"/>
        <v>233</v>
      </c>
      <c r="AQ174" s="487">
        <f t="shared" si="213"/>
        <v>11</v>
      </c>
      <c r="AR174" s="488">
        <f t="shared" si="213"/>
        <v>13</v>
      </c>
      <c r="AS174" s="488">
        <f t="shared" si="213"/>
        <v>8</v>
      </c>
      <c r="AT174" s="488">
        <f t="shared" si="213"/>
        <v>11</v>
      </c>
      <c r="AU174" s="489">
        <f t="shared" si="213"/>
        <v>9</v>
      </c>
      <c r="AV174" s="487">
        <f t="shared" si="214"/>
        <v>241</v>
      </c>
      <c r="AW174" s="488">
        <f t="shared" si="214"/>
        <v>166</v>
      </c>
      <c r="AX174" s="488">
        <f t="shared" si="214"/>
        <v>129</v>
      </c>
      <c r="AY174" s="488">
        <f t="shared" si="214"/>
        <v>163</v>
      </c>
      <c r="AZ174" s="489">
        <f t="shared" si="214"/>
        <v>190</v>
      </c>
      <c r="BA174" s="487">
        <f t="shared" si="215"/>
        <v>641</v>
      </c>
      <c r="BB174" s="488">
        <f t="shared" ref="BB174:BY174" si="219">IF(ISBLANK(DE126),"X",DE126)</f>
        <v>492</v>
      </c>
      <c r="BC174" s="488">
        <f t="shared" si="219"/>
        <v>555</v>
      </c>
      <c r="BD174" s="488">
        <f t="shared" si="219"/>
        <v>536</v>
      </c>
      <c r="BE174" s="489">
        <f t="shared" si="219"/>
        <v>482</v>
      </c>
      <c r="BF174" s="487">
        <f t="shared" si="219"/>
        <v>44</v>
      </c>
      <c r="BG174" s="488">
        <f t="shared" si="219"/>
        <v>53</v>
      </c>
      <c r="BH174" s="488">
        <f t="shared" si="219"/>
        <v>42</v>
      </c>
      <c r="BI174" s="488">
        <f t="shared" si="219"/>
        <v>55</v>
      </c>
      <c r="BJ174" s="489">
        <f t="shared" si="219"/>
        <v>68</v>
      </c>
      <c r="BK174" s="487">
        <f t="shared" si="219"/>
        <v>70</v>
      </c>
      <c r="BL174" s="488">
        <f t="shared" si="219"/>
        <v>38</v>
      </c>
      <c r="BM174" s="488">
        <f t="shared" si="219"/>
        <v>54</v>
      </c>
      <c r="BN174" s="488">
        <f t="shared" si="219"/>
        <v>29</v>
      </c>
      <c r="BO174" s="489">
        <f t="shared" si="219"/>
        <v>23</v>
      </c>
      <c r="BP174" s="487">
        <f t="shared" si="219"/>
        <v>25</v>
      </c>
      <c r="BQ174" s="488">
        <f t="shared" si="219"/>
        <v>40</v>
      </c>
      <c r="BR174" s="488">
        <f t="shared" si="219"/>
        <v>33</v>
      </c>
      <c r="BS174" s="488">
        <f t="shared" si="219"/>
        <v>44</v>
      </c>
      <c r="BT174" s="489">
        <f t="shared" si="219"/>
        <v>11</v>
      </c>
      <c r="BU174" s="487" t="str">
        <f t="shared" si="219"/>
        <v>x</v>
      </c>
      <c r="BV174" s="488">
        <f t="shared" si="219"/>
        <v>11</v>
      </c>
      <c r="BW174" s="488">
        <f t="shared" si="219"/>
        <v>46</v>
      </c>
      <c r="BX174" s="488">
        <f t="shared" si="219"/>
        <v>28</v>
      </c>
      <c r="BY174" s="489">
        <f t="shared" si="219"/>
        <v>8</v>
      </c>
      <c r="BZ174" s="513">
        <f t="shared" si="204"/>
        <v>1760</v>
      </c>
      <c r="CA174" s="514">
        <f t="shared" si="205"/>
        <v>1348</v>
      </c>
      <c r="CB174" s="514">
        <f t="shared" si="206"/>
        <v>1529</v>
      </c>
      <c r="CC174" s="514">
        <f t="shared" si="207"/>
        <v>1607</v>
      </c>
      <c r="CD174" s="515">
        <f t="shared" si="208"/>
        <v>1548</v>
      </c>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61"/>
      <c r="DI174" s="61"/>
      <c r="DJ174" s="61"/>
      <c r="DK174" s="61"/>
      <c r="DL174" s="61"/>
      <c r="DM174" s="61"/>
      <c r="DN174" s="61"/>
      <c r="DO174" s="61"/>
      <c r="DP174" s="61"/>
      <c r="DQ174" s="61"/>
      <c r="DR174" s="61"/>
      <c r="DS174" s="61"/>
      <c r="DT174" s="61"/>
      <c r="DU174" s="61"/>
      <c r="DV174" s="61"/>
      <c r="DW174" s="61"/>
      <c r="DX174" s="61"/>
      <c r="DY174" s="61"/>
      <c r="DZ174" s="61"/>
      <c r="EA174" s="61"/>
      <c r="EB174" s="61"/>
      <c r="EC174" s="61"/>
      <c r="ED174" s="61"/>
    </row>
    <row r="175" spans="1:134" s="56" customFormat="1" ht="11.25" customHeight="1">
      <c r="A175" s="150"/>
      <c r="B175" s="52"/>
      <c r="C175" s="52"/>
      <c r="D175" s="52"/>
      <c r="E175" s="52"/>
      <c r="F175" s="52"/>
      <c r="G175" s="52"/>
      <c r="H175" s="52"/>
      <c r="I175" s="52"/>
      <c r="J175" s="52"/>
      <c r="K175" s="52"/>
      <c r="L175" s="52"/>
      <c r="M175" s="52"/>
      <c r="N175" s="52"/>
      <c r="O175"/>
      <c r="P175" s="52"/>
      <c r="Q175" s="52"/>
      <c r="R175" s="52"/>
      <c r="S175" s="52"/>
      <c r="T175" s="52"/>
      <c r="U175" s="52"/>
      <c r="V175" s="52"/>
      <c r="W175" s="52"/>
      <c r="X175" s="52"/>
      <c r="Y175" s="52"/>
      <c r="Z175" s="55"/>
      <c r="AA175" s="55"/>
      <c r="AB175" s="487">
        <f>IF(SUM(AB127,AG127,AL127,AQ127)&gt;0,SUM(AB127,AG127,AL127,AQ127),"X")</f>
        <v>10269</v>
      </c>
      <c r="AC175" s="488">
        <f t="shared" si="209"/>
        <v>10473</v>
      </c>
      <c r="AD175" s="488">
        <f t="shared" si="209"/>
        <v>9990</v>
      </c>
      <c r="AE175" s="488">
        <f t="shared" si="209"/>
        <v>9900</v>
      </c>
      <c r="AF175" s="489">
        <f t="shared" si="209"/>
        <v>6446</v>
      </c>
      <c r="AG175" s="487">
        <f t="shared" si="210"/>
        <v>27099</v>
      </c>
      <c r="AH175" s="488">
        <f t="shared" si="211"/>
        <v>19477</v>
      </c>
      <c r="AI175" s="488">
        <f t="shared" si="211"/>
        <v>29575</v>
      </c>
      <c r="AJ175" s="488">
        <f t="shared" si="211"/>
        <v>32287</v>
      </c>
      <c r="AK175" s="489">
        <f t="shared" si="211"/>
        <v>21540</v>
      </c>
      <c r="AL175" s="487">
        <f t="shared" si="212"/>
        <v>18468</v>
      </c>
      <c r="AM175" s="488">
        <f t="shared" si="212"/>
        <v>19615</v>
      </c>
      <c r="AN175" s="488">
        <f t="shared" si="212"/>
        <v>18918</v>
      </c>
      <c r="AO175" s="488">
        <f t="shared" si="212"/>
        <v>19342</v>
      </c>
      <c r="AP175" s="489">
        <f t="shared" si="212"/>
        <v>12719</v>
      </c>
      <c r="AQ175" s="487">
        <f t="shared" si="213"/>
        <v>1785</v>
      </c>
      <c r="AR175" s="488">
        <f t="shared" si="213"/>
        <v>1203</v>
      </c>
      <c r="AS175" s="488">
        <f t="shared" si="213"/>
        <v>1105</v>
      </c>
      <c r="AT175" s="488">
        <f t="shared" si="213"/>
        <v>1177</v>
      </c>
      <c r="AU175" s="489">
        <f t="shared" si="213"/>
        <v>1107</v>
      </c>
      <c r="AV175" s="487">
        <f t="shared" si="214"/>
        <v>17245</v>
      </c>
      <c r="AW175" s="488">
        <f t="shared" si="214"/>
        <v>17039</v>
      </c>
      <c r="AX175" s="488">
        <f t="shared" si="214"/>
        <v>15428</v>
      </c>
      <c r="AY175" s="488">
        <f t="shared" si="214"/>
        <v>16135</v>
      </c>
      <c r="AZ175" s="489">
        <f t="shared" si="214"/>
        <v>11947</v>
      </c>
      <c r="BA175" s="487">
        <f t="shared" si="215"/>
        <v>38105</v>
      </c>
      <c r="BB175" s="488">
        <f t="shared" ref="BB175:BY175" si="220">IF(ISBLANK(DE127),"X",DE127)</f>
        <v>39297</v>
      </c>
      <c r="BC175" s="488">
        <f t="shared" si="220"/>
        <v>34800</v>
      </c>
      <c r="BD175" s="488">
        <f t="shared" si="220"/>
        <v>33112</v>
      </c>
      <c r="BE175" s="489">
        <f t="shared" si="220"/>
        <v>25043</v>
      </c>
      <c r="BF175" s="487">
        <f t="shared" si="220"/>
        <v>4411</v>
      </c>
      <c r="BG175" s="488">
        <f t="shared" si="220"/>
        <v>4346</v>
      </c>
      <c r="BH175" s="488">
        <f t="shared" si="220"/>
        <v>4682</v>
      </c>
      <c r="BI175" s="488">
        <f t="shared" si="220"/>
        <v>5414</v>
      </c>
      <c r="BJ175" s="489">
        <f t="shared" si="220"/>
        <v>5321</v>
      </c>
      <c r="BK175" s="487">
        <f t="shared" si="220"/>
        <v>6367</v>
      </c>
      <c r="BL175" s="488">
        <f t="shared" si="220"/>
        <v>6162</v>
      </c>
      <c r="BM175" s="488">
        <f t="shared" si="220"/>
        <v>5479</v>
      </c>
      <c r="BN175" s="488">
        <f t="shared" si="220"/>
        <v>5958</v>
      </c>
      <c r="BO175" s="489">
        <f t="shared" si="220"/>
        <v>4029</v>
      </c>
      <c r="BP175" s="487">
        <f t="shared" si="220"/>
        <v>2393</v>
      </c>
      <c r="BQ175" s="488">
        <f t="shared" si="220"/>
        <v>2360</v>
      </c>
      <c r="BR175" s="488">
        <f t="shared" si="220"/>
        <v>2145</v>
      </c>
      <c r="BS175" s="488">
        <f t="shared" si="220"/>
        <v>1952</v>
      </c>
      <c r="BT175" s="489">
        <f t="shared" si="220"/>
        <v>1169</v>
      </c>
      <c r="BU175" s="487">
        <f t="shared" si="220"/>
        <v>1593</v>
      </c>
      <c r="BV175" s="488">
        <f t="shared" si="220"/>
        <v>1538</v>
      </c>
      <c r="BW175" s="488">
        <f t="shared" si="220"/>
        <v>1692</v>
      </c>
      <c r="BX175" s="488">
        <f t="shared" si="220"/>
        <v>1159</v>
      </c>
      <c r="BY175" s="489">
        <f t="shared" si="220"/>
        <v>1319</v>
      </c>
      <c r="BZ175" s="513">
        <f t="shared" si="204"/>
        <v>127735</v>
      </c>
      <c r="CA175" s="514">
        <f t="shared" si="205"/>
        <v>121510</v>
      </c>
      <c r="CB175" s="514">
        <f t="shared" si="206"/>
        <v>123814</v>
      </c>
      <c r="CC175" s="514">
        <f t="shared" si="207"/>
        <v>126436</v>
      </c>
      <c r="CD175" s="515">
        <f t="shared" si="208"/>
        <v>90640</v>
      </c>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61"/>
      <c r="DI175" s="61"/>
      <c r="DJ175" s="61"/>
      <c r="DK175" s="61"/>
      <c r="DL175" s="61"/>
      <c r="DM175" s="61"/>
      <c r="DN175" s="61"/>
      <c r="DO175" s="61"/>
      <c r="DP175" s="61"/>
      <c r="DQ175" s="61"/>
      <c r="DR175" s="61"/>
      <c r="DS175" s="61"/>
      <c r="DT175" s="61"/>
      <c r="DU175" s="61"/>
      <c r="DV175" s="61"/>
      <c r="DW175" s="61"/>
      <c r="DX175" s="61"/>
      <c r="DY175" s="61"/>
      <c r="DZ175" s="61"/>
      <c r="EA175" s="61"/>
      <c r="EB175" s="61"/>
      <c r="EC175" s="61"/>
      <c r="ED175" s="61"/>
    </row>
    <row r="176" spans="1:134" s="56" customFormat="1" ht="11.25" customHeight="1">
      <c r="A176" s="150"/>
      <c r="B176" s="52"/>
      <c r="C176" s="52"/>
      <c r="D176" s="52"/>
      <c r="E176" s="52"/>
      <c r="F176" s="52"/>
      <c r="G176" s="52"/>
      <c r="H176" s="52"/>
      <c r="I176" s="52"/>
      <c r="J176" s="52"/>
      <c r="K176" s="52"/>
      <c r="L176" s="52"/>
      <c r="M176" s="52"/>
      <c r="N176" s="52"/>
      <c r="O176"/>
      <c r="P176" s="52"/>
      <c r="Q176" s="52"/>
      <c r="R176" s="52"/>
      <c r="S176" s="52"/>
      <c r="T176" s="52"/>
      <c r="U176" s="52"/>
      <c r="V176" s="52"/>
      <c r="W176" s="52"/>
      <c r="X176" s="52"/>
      <c r="Y176" s="52"/>
      <c r="Z176" s="55"/>
      <c r="AA176" s="55"/>
      <c r="AB176" s="487">
        <f>IF(SUM(AB128,AG128,AL128,AQ128)&gt;0,SUM(AB128,AG128,AL128,AQ128),"X")</f>
        <v>52290</v>
      </c>
      <c r="AC176" s="488">
        <f t="shared" ref="AC176" si="221">IF(SUM(AC128,AH128,AM128,AR128)&gt;0,SUM(AC128,AH128,AM128,AR128),"X")</f>
        <v>50940</v>
      </c>
      <c r="AD176" s="488">
        <f t="shared" ref="AD176" si="222">IF(SUM(AD128,AI128,AN128,AS128)&gt;0,SUM(AD128,AI128,AN128,AS128),"X")</f>
        <v>53160</v>
      </c>
      <c r="AE176" s="488">
        <f t="shared" ref="AE176" si="223">IF(SUM(AE128,AJ128,AO128,AT128)&gt;0,SUM(AE128,AJ128,AO128,AT128),"X")</f>
        <v>53020</v>
      </c>
      <c r="AF176" s="489">
        <f t="shared" ref="AF176" si="224">IF(SUM(AF128,AK128,AP128,AU128)&gt;0,SUM(AF128,AK128,AP128,AU128),"X")</f>
        <v>49870</v>
      </c>
      <c r="AG176" s="487">
        <f t="shared" si="210"/>
        <v>130640</v>
      </c>
      <c r="AH176" s="488">
        <f t="shared" ref="AH176" si="225">IF(SUM(BB128,AW128)&gt;0,SUM(BB128,AW128),"X")</f>
        <v>89670</v>
      </c>
      <c r="AI176" s="488">
        <f t="shared" ref="AI176" si="226">IF(SUM(BC128,AX128)&gt;0,SUM(BC128,AX128),"X")</f>
        <v>142440</v>
      </c>
      <c r="AJ176" s="488">
        <f t="shared" ref="AJ176" si="227">IF(SUM(BD128,AY128)&gt;0,SUM(BD128,AY128),"X")</f>
        <v>141250</v>
      </c>
      <c r="AK176" s="489">
        <f t="shared" ref="AK176" si="228">IF(SUM(BE128,AZ128)&gt;0,SUM(BE128,AZ128),"X")</f>
        <v>136790</v>
      </c>
      <c r="AL176" s="487">
        <f t="shared" ref="AL176" si="229">IF(SUM(BF128,BK128,BP128,BU128,BZ128,CE128)&gt;0,SUM(BF128,BK128,BP128,BU128,BZ128,CE128),"X")</f>
        <v>96300</v>
      </c>
      <c r="AM176" s="488">
        <f t="shared" ref="AM176" si="230">IF(SUM(BG128,BL128,BQ128,BV128,CA128,CF128)&gt;0,SUM(BG128,BL128,BQ128,BV128,CA128,CF128),"X")</f>
        <v>95670</v>
      </c>
      <c r="AN176" s="488">
        <f t="shared" ref="AN176" si="231">IF(SUM(BH128,BM128,BR128,BW128,CB128,CG128)&gt;0,SUM(BH128,BM128,BR128,BW128,CB128,CG128),"X")</f>
        <v>96170</v>
      </c>
      <c r="AO176" s="488">
        <f t="shared" ref="AO176" si="232">IF(SUM(BI128,BN128,BS128,BX128,CC128,CH128)&gt;0,SUM(BI128,BN128,BS128,BX128,CC128,CH128),"X")</f>
        <v>92350</v>
      </c>
      <c r="AP176" s="489">
        <f t="shared" ref="AP176" si="233">IF(SUM(BJ128,BO128,BT128,BY128,CD128,CI128)&gt;0,SUM(BJ128,BO128,BT128,BY128,CD128,CI128),"X")</f>
        <v>91370</v>
      </c>
      <c r="AQ176" s="487">
        <f t="shared" ref="AQ176" si="234">IF(ISBLANK(CJ128),"X",CJ128)</f>
        <v>8300</v>
      </c>
      <c r="AR176" s="488">
        <f t="shared" ref="AR176" si="235">IF(ISBLANK(CK128),"X",CK128)</f>
        <v>6550</v>
      </c>
      <c r="AS176" s="488">
        <f t="shared" ref="AS176" si="236">IF(ISBLANK(CL128),"X",CL128)</f>
        <v>6640</v>
      </c>
      <c r="AT176" s="488">
        <f t="shared" ref="AT176" si="237">IF(ISBLANK(CM128),"X",CM128)</f>
        <v>7240</v>
      </c>
      <c r="AU176" s="489">
        <f t="shared" ref="AU176" si="238">IF(ISBLANK(CN128),"X",CN128)</f>
        <v>7710</v>
      </c>
      <c r="AV176" s="487">
        <f t="shared" ref="AV176" si="239">IF(SUM(CO128,CT128,CY128)&gt;0,SUM(CO128,CT128,CY128),"X")</f>
        <v>90810</v>
      </c>
      <c r="AW176" s="488">
        <f t="shared" ref="AW176" si="240">IF(SUM(CP128,CU128,CZ128)&gt;0,SUM(CP128,CU128,CZ128),"X")</f>
        <v>87260</v>
      </c>
      <c r="AX176" s="488">
        <f t="shared" ref="AX176" si="241">IF(SUM(CQ128,CV128,DA128)&gt;0,SUM(CQ128,CV128,DA128),"X")</f>
        <v>87300</v>
      </c>
      <c r="AY176" s="488">
        <f t="shared" ref="AY176" si="242">IF(SUM(CR128,CW128,DB128)&gt;0,SUM(CR128,CW128,DB128),"X")</f>
        <v>90070</v>
      </c>
      <c r="AZ176" s="489">
        <f t="shared" ref="AZ176" si="243">IF(SUM(CS128,CX128,DC128)&gt;0,SUM(CS128,CX128,DC128),"X")</f>
        <v>87980</v>
      </c>
      <c r="BA176" s="487">
        <f t="shared" si="215"/>
        <v>184760</v>
      </c>
      <c r="BB176" s="488">
        <f t="shared" ref="BB176" si="244">IF(ISBLANK(DE128),"X",DE128)</f>
        <v>195270</v>
      </c>
      <c r="BC176" s="488">
        <f t="shared" ref="BC176" si="245">IF(ISBLANK(DF128),"X",DF128)</f>
        <v>191840</v>
      </c>
      <c r="BD176" s="488">
        <f t="shared" ref="BD176" si="246">IF(ISBLANK(DG128),"X",DG128)</f>
        <v>184530</v>
      </c>
      <c r="BE176" s="489">
        <f t="shared" ref="BE176" si="247">IF(ISBLANK(DH128),"X",DH128)</f>
        <v>177210</v>
      </c>
      <c r="BF176" s="487">
        <f t="shared" ref="BF176" si="248">IF(ISBLANK(DI128),"X",DI128)</f>
        <v>25180</v>
      </c>
      <c r="BG176" s="488">
        <f t="shared" ref="BG176" si="249">IF(ISBLANK(DJ128),"X",DJ128)</f>
        <v>23910</v>
      </c>
      <c r="BH176" s="488">
        <f t="shared" ref="BH176" si="250">IF(ISBLANK(DK128),"X",DK128)</f>
        <v>26020</v>
      </c>
      <c r="BI176" s="488">
        <f t="shared" ref="BI176" si="251">IF(ISBLANK(DL128),"X",DL128)</f>
        <v>26520</v>
      </c>
      <c r="BJ176" s="489">
        <f t="shared" ref="BJ176" si="252">IF(ISBLANK(DM128),"X",DM128)</f>
        <v>27590</v>
      </c>
      <c r="BK176" s="487">
        <f t="shared" ref="BK176" si="253">IF(ISBLANK(DN128),"X",DN128)</f>
        <v>31630</v>
      </c>
      <c r="BL176" s="488">
        <f t="shared" ref="BL176" si="254">IF(ISBLANK(DO128),"X",DO128)</f>
        <v>29180</v>
      </c>
      <c r="BM176" s="488">
        <f t="shared" ref="BM176" si="255">IF(ISBLANK(DP128),"X",DP128)</f>
        <v>27840</v>
      </c>
      <c r="BN176" s="488">
        <f t="shared" ref="BN176" si="256">IF(ISBLANK(DQ128),"X",DQ128)</f>
        <v>27560</v>
      </c>
      <c r="BO176" s="489">
        <f t="shared" ref="BO176" si="257">IF(ISBLANK(DR128),"X",DR128)</f>
        <v>26120</v>
      </c>
      <c r="BP176" s="487">
        <f t="shared" ref="BP176" si="258">IF(ISBLANK(DS128),"X",DS128)</f>
        <v>13770</v>
      </c>
      <c r="BQ176" s="488">
        <f t="shared" ref="BQ176" si="259">IF(ISBLANK(DT128),"X",DT128)</f>
        <v>13430</v>
      </c>
      <c r="BR176" s="488">
        <f t="shared" ref="BR176" si="260">IF(ISBLANK(DU128),"X",DU128)</f>
        <v>11600</v>
      </c>
      <c r="BS176" s="488">
        <f t="shared" ref="BS176" si="261">IF(ISBLANK(DV128),"X",DV128)</f>
        <v>11150</v>
      </c>
      <c r="BT176" s="489">
        <f t="shared" ref="BT176" si="262">IF(ISBLANK(DW128),"X",DW128)</f>
        <v>10030</v>
      </c>
      <c r="BU176" s="487">
        <f t="shared" ref="BU176" si="263">IF(ISBLANK(DX128),"X",DX128)</f>
        <v>9300</v>
      </c>
      <c r="BV176" s="488">
        <f t="shared" ref="BV176" si="264">IF(ISBLANK(DY128),"X",DY128)</f>
        <v>5890</v>
      </c>
      <c r="BW176" s="488">
        <f t="shared" ref="BW176" si="265">IF(ISBLANK(DZ128),"X",DZ128)</f>
        <v>7250</v>
      </c>
      <c r="BX176" s="488">
        <f t="shared" ref="BX176" si="266">IF(ISBLANK(EA128),"X",EA128)</f>
        <v>6730</v>
      </c>
      <c r="BY176" s="489">
        <f t="shared" ref="BY176" si="267">IF(ISBLANK(EB128),"X",EB128)</f>
        <v>7190</v>
      </c>
      <c r="BZ176" s="513">
        <f t="shared" ref="BZ176" si="268">SUM(AB128,AG128,AL128,AQ128,AV128,BA128,BF128,BK128,BP128,BU128,BZ128,CE128,CJ128,CO128,CT128,CY128,DD128,DI128,DN128,DS128,DX128)</f>
        <v>642980</v>
      </c>
      <c r="CA176" s="514">
        <f t="shared" ref="CA176" si="269">SUM(AC128,AH128,AM128,AR128,AW128,BB128,BG128,BL128,BQ128,BV128,CA128,CF128,CK128,CP128,CU128,CZ128,DE128,DJ128,DO128,DT128,DY128)</f>
        <v>597770</v>
      </c>
      <c r="CB176" s="514">
        <f t="shared" ref="CB176" si="270">SUM(AD128,AI128,AN128,AS128,AX128,BC128,BH128,BM128,BR128,BW128,CB128,CG128,CL128,CQ128,CV128,DA128,DF128,DK128,DP128,DU128,DZ128)</f>
        <v>650260</v>
      </c>
      <c r="CC176" s="514">
        <f t="shared" ref="CC176" si="271">SUM(AE128,AJ128,AO128,AT128,AY128,BD128,BI128,BN128,BS128,BX128,CC128,CH128,CM128,CR128,CW128,DB128,DG128,DL128,DQ128,DV128,EA128)</f>
        <v>640420</v>
      </c>
      <c r="CD176" s="515">
        <f t="shared" ref="CD176" si="272">SUM(AF128,AK128,AP128,AU128,AZ128,BE128,BJ128,BO128,BT128,BY128,CD128,CI128,CN128,CS128,CX128,DC128,DH128,DM128,DR128,DW128,EB128)</f>
        <v>621860</v>
      </c>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c r="DS176" s="61"/>
      <c r="DT176" s="61"/>
      <c r="DU176" s="61"/>
      <c r="DV176" s="61"/>
      <c r="DW176" s="61"/>
      <c r="DX176" s="61"/>
      <c r="DY176" s="61"/>
      <c r="DZ176" s="61"/>
      <c r="EA176" s="61"/>
      <c r="EB176" s="61"/>
      <c r="EC176" s="61"/>
      <c r="ED176" s="61"/>
    </row>
    <row r="177" spans="55:134" ht="11.25" customHeight="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c r="DE177" s="61"/>
      <c r="DF177" s="61"/>
      <c r="DG177" s="61"/>
      <c r="DH177" s="61"/>
      <c r="DI177" s="61"/>
      <c r="DJ177" s="61"/>
      <c r="DK177" s="61"/>
      <c r="DL177" s="61"/>
      <c r="DM177" s="61"/>
      <c r="DN177" s="61"/>
      <c r="DO177" s="61"/>
      <c r="DP177" s="61"/>
      <c r="DQ177" s="61"/>
      <c r="DR177" s="61"/>
      <c r="DS177" s="61"/>
      <c r="DT177" s="61"/>
      <c r="DU177" s="61"/>
      <c r="DV177" s="61"/>
      <c r="DW177" s="61"/>
      <c r="DX177" s="61"/>
      <c r="DY177" s="61"/>
      <c r="DZ177" s="61"/>
      <c r="EA177" s="61"/>
      <c r="EB177" s="61"/>
      <c r="EC177" s="61"/>
      <c r="ED177" s="61"/>
    </row>
    <row r="178" spans="55:134" ht="11.25" customHeight="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61"/>
      <c r="DA178" s="61"/>
      <c r="DB178" s="61"/>
      <c r="DC178" s="61"/>
      <c r="DD178" s="61"/>
      <c r="DE178" s="61"/>
      <c r="DF178" s="61"/>
      <c r="DG178" s="61"/>
      <c r="DH178" s="61"/>
      <c r="DI178" s="61"/>
      <c r="DJ178" s="61"/>
      <c r="DK178" s="61"/>
      <c r="DL178" s="61"/>
      <c r="DM178" s="61"/>
      <c r="DN178" s="61"/>
      <c r="DO178" s="61"/>
      <c r="DP178" s="61"/>
      <c r="DQ178" s="61"/>
      <c r="DR178" s="61"/>
      <c r="DS178" s="61"/>
      <c r="DT178" s="61"/>
      <c r="DU178" s="61"/>
      <c r="DV178" s="61"/>
      <c r="DW178" s="61"/>
      <c r="DX178" s="61"/>
      <c r="DY178" s="61"/>
      <c r="DZ178" s="61"/>
      <c r="EA178" s="61"/>
      <c r="EB178" s="61"/>
      <c r="EC178" s="61"/>
      <c r="ED178" s="61"/>
    </row>
    <row r="179" spans="55:134" ht="11.25" customHeight="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c r="DI179" s="61"/>
      <c r="DJ179" s="61"/>
      <c r="DK179" s="61"/>
      <c r="DL179" s="61"/>
      <c r="DM179" s="61"/>
      <c r="DN179" s="61"/>
      <c r="DO179" s="61"/>
      <c r="DP179" s="61"/>
      <c r="DQ179" s="61"/>
      <c r="DR179" s="61"/>
      <c r="DS179" s="61"/>
      <c r="DT179" s="61"/>
      <c r="DU179" s="61"/>
      <c r="DV179" s="61"/>
      <c r="DW179" s="61"/>
      <c r="DX179" s="61"/>
      <c r="DY179" s="61"/>
      <c r="DZ179" s="61"/>
      <c r="EA179" s="61"/>
      <c r="EB179" s="61"/>
      <c r="EC179" s="61"/>
      <c r="ED179" s="61"/>
    </row>
    <row r="180" spans="55:134" ht="11.25" customHeight="1">
      <c r="EC180" s="61"/>
      <c r="ED180" s="61"/>
    </row>
    <row r="181" spans="55:134" ht="11.25" customHeight="1">
      <c r="ED181" s="61"/>
    </row>
    <row r="182" spans="55:134" ht="11.25" customHeight="1">
      <c r="ED182" s="61"/>
    </row>
    <row r="189" spans="55:134" ht="11.25" customHeight="1">
      <c r="BD189" s="55"/>
      <c r="BE189" s="55"/>
      <c r="BF189" s="55"/>
      <c r="BG189" s="55"/>
      <c r="BH189" s="55"/>
    </row>
    <row r="190" spans="55:134" ht="11.25" customHeight="1">
      <c r="BC190" s="55"/>
      <c r="BI190" s="55"/>
      <c r="BJ190" s="55"/>
      <c r="BK190" s="55"/>
      <c r="BL190" s="55"/>
      <c r="BM190" s="55"/>
      <c r="BN190" s="55"/>
      <c r="BO190" s="55"/>
      <c r="BP190" s="55"/>
      <c r="BQ190" s="55"/>
    </row>
    <row r="191" spans="55:134" ht="11.25" customHeight="1">
      <c r="BR191" s="55"/>
      <c r="BS191" s="55"/>
      <c r="BT191" s="55"/>
      <c r="BU191" s="55"/>
      <c r="BV191" s="55"/>
      <c r="BW191" s="55"/>
      <c r="BX191" s="55"/>
      <c r="BY191" s="55"/>
      <c r="BZ191" s="55"/>
      <c r="CA191" s="55"/>
      <c r="CB191" s="55"/>
      <c r="CC191" s="55"/>
      <c r="CD191" s="55"/>
    </row>
    <row r="195" spans="1:134" ht="11.25" customHeight="1">
      <c r="CE195" s="55"/>
    </row>
    <row r="197" spans="1:134" ht="11.25" customHeight="1">
      <c r="CF197" s="55"/>
      <c r="CG197" s="55"/>
      <c r="CH197" s="55"/>
      <c r="CI197" s="55"/>
      <c r="CJ197" s="55"/>
      <c r="CK197" s="55"/>
      <c r="CL197" s="55"/>
      <c r="CM197" s="55"/>
      <c r="CN197" s="55"/>
      <c r="CO197" s="55"/>
      <c r="CP197" s="55"/>
      <c r="CQ197" s="55"/>
      <c r="CR197" s="55"/>
      <c r="CS197" s="55"/>
      <c r="CT197" s="55"/>
      <c r="CU197" s="55"/>
      <c r="CV197" s="55"/>
      <c r="CW197" s="55"/>
      <c r="CX197" s="55"/>
      <c r="CY197" s="55"/>
      <c r="CZ197" s="55"/>
      <c r="DA197" s="55"/>
      <c r="DB197" s="55"/>
      <c r="DC197" s="55"/>
      <c r="DD197" s="55"/>
      <c r="DE197" s="55"/>
      <c r="DF197" s="55"/>
      <c r="DG197" s="55"/>
      <c r="DH197" s="55"/>
      <c r="DI197" s="55"/>
      <c r="DJ197" s="55"/>
      <c r="DK197" s="55"/>
      <c r="DL197" s="55"/>
      <c r="DM197" s="55"/>
      <c r="DN197" s="55"/>
      <c r="DO197" s="55"/>
      <c r="DP197" s="55"/>
      <c r="DQ197" s="55"/>
      <c r="DR197" s="55"/>
      <c r="DS197" s="55"/>
      <c r="DT197" s="55"/>
      <c r="DU197" s="55"/>
      <c r="DV197" s="55"/>
      <c r="DW197" s="55"/>
      <c r="DX197" s="55"/>
      <c r="DY197" s="55"/>
      <c r="DZ197" s="55"/>
      <c r="EA197" s="55"/>
      <c r="EB197" s="55"/>
      <c r="EC197" s="55"/>
    </row>
    <row r="199" spans="1:134" ht="18.75" customHeight="1">
      <c r="ED199" s="55"/>
    </row>
    <row r="200" spans="1:134" s="55" customFormat="1" ht="11.25" customHeight="1">
      <c r="A200" s="52"/>
      <c r="B200" s="52"/>
      <c r="C200" s="52"/>
      <c r="D200" s="52"/>
      <c r="E200" s="52"/>
      <c r="F200" s="52"/>
      <c r="G200" s="52"/>
      <c r="H200" s="52"/>
      <c r="I200" s="52"/>
      <c r="J200" s="52"/>
      <c r="K200" s="52"/>
      <c r="L200" s="52"/>
      <c r="M200" s="52"/>
      <c r="N200" s="52"/>
      <c r="O200"/>
      <c r="P200" s="52"/>
      <c r="Q200" s="52"/>
      <c r="R200" s="52"/>
      <c r="S200" s="52"/>
      <c r="T200" s="52"/>
      <c r="U200" s="52"/>
      <c r="V200" s="52"/>
      <c r="W200" s="52"/>
      <c r="X200" s="52"/>
      <c r="Y200" s="52"/>
      <c r="AB200" s="56"/>
      <c r="AC200" s="56"/>
      <c r="AD200" s="56"/>
      <c r="AE200" s="56"/>
      <c r="AF200" s="56"/>
      <c r="AG200" s="56"/>
      <c r="AH200" s="56"/>
      <c r="AI200" s="56"/>
      <c r="AJ200" s="56"/>
      <c r="AK200" s="56"/>
      <c r="AL200" s="56"/>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c r="BY200" s="52"/>
      <c r="BZ200" s="52"/>
      <c r="CA200" s="52"/>
      <c r="CB200" s="52"/>
      <c r="CC200" s="52"/>
      <c r="CD200" s="52"/>
      <c r="CE200" s="52"/>
      <c r="CF200" s="52"/>
      <c r="CG200" s="52"/>
      <c r="CH200" s="52"/>
      <c r="CI200" s="52"/>
      <c r="CJ200" s="52"/>
      <c r="CK200" s="52"/>
      <c r="CL200" s="52"/>
      <c r="CM200" s="52"/>
      <c r="CN200" s="52"/>
      <c r="CO200" s="52"/>
      <c r="CP200" s="52"/>
      <c r="CQ200" s="52"/>
      <c r="CR200" s="52"/>
      <c r="CS200" s="52"/>
      <c r="CT200" s="52"/>
      <c r="CU200" s="52"/>
      <c r="CV200" s="52"/>
      <c r="CW200" s="52"/>
      <c r="CX200" s="52"/>
      <c r="CY200" s="52"/>
      <c r="CZ200" s="52"/>
      <c r="DA200" s="52"/>
      <c r="DB200" s="52"/>
      <c r="DC200" s="52"/>
      <c r="DD200" s="52"/>
      <c r="DE200" s="52"/>
      <c r="DF200" s="52"/>
      <c r="DG200" s="52"/>
      <c r="DH200" s="52"/>
      <c r="DI200" s="52"/>
      <c r="DJ200" s="52"/>
      <c r="DK200" s="52"/>
      <c r="DL200" s="52"/>
      <c r="DM200" s="52"/>
      <c r="DN200" s="52"/>
      <c r="DO200" s="52"/>
      <c r="DP200" s="52"/>
      <c r="DQ200" s="52"/>
      <c r="DR200" s="52"/>
      <c r="DS200" s="52"/>
      <c r="DT200" s="52"/>
      <c r="DU200" s="52"/>
      <c r="DV200" s="52"/>
      <c r="DW200" s="52"/>
      <c r="DX200" s="52"/>
      <c r="DY200" s="52"/>
      <c r="DZ200" s="52"/>
      <c r="EA200" s="52"/>
      <c r="EB200" s="52"/>
      <c r="EC200" s="52"/>
      <c r="ED200" s="52"/>
    </row>
  </sheetData>
  <sheetProtection sheet="1" objects="1" scenarios="1"/>
  <mergeCells count="747">
    <mergeCell ref="B5:W5"/>
    <mergeCell ref="V117:W117"/>
    <mergeCell ref="D116:E116"/>
    <mergeCell ref="F116:G116"/>
    <mergeCell ref="D117:E117"/>
    <mergeCell ref="F117:G117"/>
    <mergeCell ref="H117:I117"/>
    <mergeCell ref="J117:K117"/>
    <mergeCell ref="L117:M117"/>
    <mergeCell ref="N117:O117"/>
    <mergeCell ref="P117:Q117"/>
    <mergeCell ref="R117:S117"/>
    <mergeCell ref="T117:U117"/>
    <mergeCell ref="H116:I116"/>
    <mergeCell ref="J116:K116"/>
    <mergeCell ref="L116:M116"/>
    <mergeCell ref="N116:O116"/>
    <mergeCell ref="P116:Q116"/>
    <mergeCell ref="R116:S116"/>
    <mergeCell ref="T116:U116"/>
    <mergeCell ref="V114:W114"/>
    <mergeCell ref="V115:W115"/>
    <mergeCell ref="V116:W116"/>
    <mergeCell ref="D115:E115"/>
    <mergeCell ref="BK105:BO105"/>
    <mergeCell ref="BF105:BJ105"/>
    <mergeCell ref="AB153:AF153"/>
    <mergeCell ref="AG153:AK153"/>
    <mergeCell ref="AB105:AF105"/>
    <mergeCell ref="AV105:AZ105"/>
    <mergeCell ref="AG105:AK105"/>
    <mergeCell ref="AL105:AP105"/>
    <mergeCell ref="AQ105:AU105"/>
    <mergeCell ref="F115:G115"/>
    <mergeCell ref="H115:I115"/>
    <mergeCell ref="J115:K115"/>
    <mergeCell ref="L115:M115"/>
    <mergeCell ref="N115:O115"/>
    <mergeCell ref="P115:Q115"/>
    <mergeCell ref="R115:S115"/>
    <mergeCell ref="T115:U115"/>
    <mergeCell ref="D114:E114"/>
    <mergeCell ref="F114:G114"/>
    <mergeCell ref="H114:I114"/>
    <mergeCell ref="J114:K114"/>
    <mergeCell ref="L114:M114"/>
    <mergeCell ref="N114:O114"/>
    <mergeCell ref="P114:Q114"/>
    <mergeCell ref="R114:S114"/>
    <mergeCell ref="T114:U114"/>
    <mergeCell ref="V111:W111"/>
    <mergeCell ref="D112:E112"/>
    <mergeCell ref="F112:G112"/>
    <mergeCell ref="H112:I112"/>
    <mergeCell ref="J112:K112"/>
    <mergeCell ref="L112:M112"/>
    <mergeCell ref="N112:O112"/>
    <mergeCell ref="P112:Q112"/>
    <mergeCell ref="R112:S112"/>
    <mergeCell ref="T112:U112"/>
    <mergeCell ref="V112:W112"/>
    <mergeCell ref="D111:E111"/>
    <mergeCell ref="F111:G111"/>
    <mergeCell ref="H111:I111"/>
    <mergeCell ref="J111:K111"/>
    <mergeCell ref="L111:M111"/>
    <mergeCell ref="N111:O111"/>
    <mergeCell ref="P111:Q111"/>
    <mergeCell ref="R111:S111"/>
    <mergeCell ref="T111:U111"/>
    <mergeCell ref="V110:W110"/>
    <mergeCell ref="D110:E110"/>
    <mergeCell ref="F110:G110"/>
    <mergeCell ref="H110:I110"/>
    <mergeCell ref="J110:K110"/>
    <mergeCell ref="L110:M110"/>
    <mergeCell ref="N110:O110"/>
    <mergeCell ref="P110:Q110"/>
    <mergeCell ref="R110:S110"/>
    <mergeCell ref="T110:U110"/>
    <mergeCell ref="V108:W108"/>
    <mergeCell ref="D109:E109"/>
    <mergeCell ref="F109:G109"/>
    <mergeCell ref="H109:I109"/>
    <mergeCell ref="J109:K109"/>
    <mergeCell ref="L109:M109"/>
    <mergeCell ref="N109:O109"/>
    <mergeCell ref="P109:Q109"/>
    <mergeCell ref="R109:S109"/>
    <mergeCell ref="T109:U109"/>
    <mergeCell ref="V109:W109"/>
    <mergeCell ref="D108:E108"/>
    <mergeCell ref="F108:G108"/>
    <mergeCell ref="H108:I108"/>
    <mergeCell ref="J108:K108"/>
    <mergeCell ref="L108:M108"/>
    <mergeCell ref="N108:O108"/>
    <mergeCell ref="P108:Q108"/>
    <mergeCell ref="R108:S108"/>
    <mergeCell ref="T108:U108"/>
    <mergeCell ref="V107:W107"/>
    <mergeCell ref="D106:E106"/>
    <mergeCell ref="F106:G106"/>
    <mergeCell ref="H106:I106"/>
    <mergeCell ref="J106:K106"/>
    <mergeCell ref="L106:M106"/>
    <mergeCell ref="N106:O106"/>
    <mergeCell ref="P106:Q106"/>
    <mergeCell ref="R106:S106"/>
    <mergeCell ref="T106:U106"/>
    <mergeCell ref="D107:E107"/>
    <mergeCell ref="F107:G107"/>
    <mergeCell ref="H107:I107"/>
    <mergeCell ref="J107:K107"/>
    <mergeCell ref="L107:M107"/>
    <mergeCell ref="N107:O107"/>
    <mergeCell ref="P107:Q107"/>
    <mergeCell ref="R107:S107"/>
    <mergeCell ref="T107:U107"/>
    <mergeCell ref="V104:W104"/>
    <mergeCell ref="D105:E105"/>
    <mergeCell ref="F105:G105"/>
    <mergeCell ref="H105:I105"/>
    <mergeCell ref="J105:K105"/>
    <mergeCell ref="L105:M105"/>
    <mergeCell ref="N105:O105"/>
    <mergeCell ref="P105:Q105"/>
    <mergeCell ref="R105:S105"/>
    <mergeCell ref="T105:U105"/>
    <mergeCell ref="V105:W105"/>
    <mergeCell ref="D104:E104"/>
    <mergeCell ref="F104:G104"/>
    <mergeCell ref="H104:I104"/>
    <mergeCell ref="J104:K104"/>
    <mergeCell ref="L104:M104"/>
    <mergeCell ref="N104:O104"/>
    <mergeCell ref="P104:Q104"/>
    <mergeCell ref="R104:S104"/>
    <mergeCell ref="T104:U104"/>
    <mergeCell ref="V102:W102"/>
    <mergeCell ref="D103:E103"/>
    <mergeCell ref="F103:G103"/>
    <mergeCell ref="H103:I103"/>
    <mergeCell ref="J103:K103"/>
    <mergeCell ref="L103:M103"/>
    <mergeCell ref="N103:O103"/>
    <mergeCell ref="P103:Q103"/>
    <mergeCell ref="R103:S103"/>
    <mergeCell ref="T103:U103"/>
    <mergeCell ref="V103:W103"/>
    <mergeCell ref="D102:E102"/>
    <mergeCell ref="F102:G102"/>
    <mergeCell ref="H102:I102"/>
    <mergeCell ref="J102:K102"/>
    <mergeCell ref="L102:M102"/>
    <mergeCell ref="N102:O102"/>
    <mergeCell ref="P102:Q102"/>
    <mergeCell ref="R102:S102"/>
    <mergeCell ref="T102:U102"/>
    <mergeCell ref="D100:E100"/>
    <mergeCell ref="F100:G100"/>
    <mergeCell ref="H100:I100"/>
    <mergeCell ref="J100:K100"/>
    <mergeCell ref="L100:M100"/>
    <mergeCell ref="N100:O100"/>
    <mergeCell ref="P100:Q100"/>
    <mergeCell ref="R100:S100"/>
    <mergeCell ref="T100:U100"/>
    <mergeCell ref="D89:E89"/>
    <mergeCell ref="V98:W98"/>
    <mergeCell ref="D99:E99"/>
    <mergeCell ref="F99:G99"/>
    <mergeCell ref="H99:I99"/>
    <mergeCell ref="J99:K99"/>
    <mergeCell ref="L99:M99"/>
    <mergeCell ref="N99:O99"/>
    <mergeCell ref="P99:Q99"/>
    <mergeCell ref="R99:S99"/>
    <mergeCell ref="T99:U99"/>
    <mergeCell ref="V99:W99"/>
    <mergeCell ref="D98:E98"/>
    <mergeCell ref="F98:G98"/>
    <mergeCell ref="H98:I98"/>
    <mergeCell ref="J98:K98"/>
    <mergeCell ref="L98:M98"/>
    <mergeCell ref="N98:O98"/>
    <mergeCell ref="P98:Q98"/>
    <mergeCell ref="R98:S98"/>
    <mergeCell ref="T98:U98"/>
    <mergeCell ref="R96:S96"/>
    <mergeCell ref="T96:U96"/>
    <mergeCell ref="V96:W96"/>
    <mergeCell ref="B96:B97"/>
    <mergeCell ref="D96:E96"/>
    <mergeCell ref="F96:G96"/>
    <mergeCell ref="H96:I96"/>
    <mergeCell ref="J96:K96"/>
    <mergeCell ref="L96:M96"/>
    <mergeCell ref="N96:O96"/>
    <mergeCell ref="P96:Q96"/>
    <mergeCell ref="D97:E97"/>
    <mergeCell ref="F97:G97"/>
    <mergeCell ref="H97:I97"/>
    <mergeCell ref="J97:K97"/>
    <mergeCell ref="L97:M97"/>
    <mergeCell ref="N97:O97"/>
    <mergeCell ref="P97:Q97"/>
    <mergeCell ref="F89:G89"/>
    <mergeCell ref="H89:I89"/>
    <mergeCell ref="J89:K89"/>
    <mergeCell ref="L89:M89"/>
    <mergeCell ref="N89:O89"/>
    <mergeCell ref="P89:Q89"/>
    <mergeCell ref="R89:S89"/>
    <mergeCell ref="T89:U89"/>
    <mergeCell ref="V88:W88"/>
    <mergeCell ref="V89:W89"/>
    <mergeCell ref="D88:E88"/>
    <mergeCell ref="F88:G88"/>
    <mergeCell ref="H88:I88"/>
    <mergeCell ref="J88:K88"/>
    <mergeCell ref="L88:M88"/>
    <mergeCell ref="N88:O88"/>
    <mergeCell ref="P88:Q88"/>
    <mergeCell ref="R88:S88"/>
    <mergeCell ref="T88:U88"/>
    <mergeCell ref="D86:E86"/>
    <mergeCell ref="F86:G86"/>
    <mergeCell ref="H86:I86"/>
    <mergeCell ref="J86:K86"/>
    <mergeCell ref="L86:M86"/>
    <mergeCell ref="N86:O86"/>
    <mergeCell ref="P86:Q86"/>
    <mergeCell ref="R86:S86"/>
    <mergeCell ref="T86:U86"/>
    <mergeCell ref="D87:E87"/>
    <mergeCell ref="F87:G87"/>
    <mergeCell ref="H87:I87"/>
    <mergeCell ref="J87:K87"/>
    <mergeCell ref="L87:M87"/>
    <mergeCell ref="N87:O87"/>
    <mergeCell ref="P87:Q87"/>
    <mergeCell ref="R87:S87"/>
    <mergeCell ref="T87:U87"/>
    <mergeCell ref="D84:E84"/>
    <mergeCell ref="F84:G84"/>
    <mergeCell ref="H84:I84"/>
    <mergeCell ref="J84:K84"/>
    <mergeCell ref="L84:M84"/>
    <mergeCell ref="N84:O84"/>
    <mergeCell ref="P84:Q84"/>
    <mergeCell ref="R84:S84"/>
    <mergeCell ref="T84:U84"/>
    <mergeCell ref="D85:E85"/>
    <mergeCell ref="F85:G85"/>
    <mergeCell ref="H85:I85"/>
    <mergeCell ref="J85:K85"/>
    <mergeCell ref="L85:M85"/>
    <mergeCell ref="N85:O85"/>
    <mergeCell ref="P85:Q85"/>
    <mergeCell ref="R85:S85"/>
    <mergeCell ref="T85:U85"/>
    <mergeCell ref="D83:E83"/>
    <mergeCell ref="F83:G83"/>
    <mergeCell ref="H83:I83"/>
    <mergeCell ref="J83:K83"/>
    <mergeCell ref="L83:M83"/>
    <mergeCell ref="N83:O83"/>
    <mergeCell ref="P83:Q83"/>
    <mergeCell ref="R83:S83"/>
    <mergeCell ref="T83:U83"/>
    <mergeCell ref="D82:E82"/>
    <mergeCell ref="F82:G82"/>
    <mergeCell ref="H82:I82"/>
    <mergeCell ref="J82:K82"/>
    <mergeCell ref="L82:M82"/>
    <mergeCell ref="N82:O82"/>
    <mergeCell ref="P82:Q82"/>
    <mergeCell ref="R82:S82"/>
    <mergeCell ref="T82:U82"/>
    <mergeCell ref="D80:E80"/>
    <mergeCell ref="F80:G80"/>
    <mergeCell ref="H80:I80"/>
    <mergeCell ref="J80:K80"/>
    <mergeCell ref="L80:M80"/>
    <mergeCell ref="N80:O80"/>
    <mergeCell ref="P80:Q80"/>
    <mergeCell ref="R80:S80"/>
    <mergeCell ref="T80:U80"/>
    <mergeCell ref="D81:E81"/>
    <mergeCell ref="F81:G81"/>
    <mergeCell ref="H81:I81"/>
    <mergeCell ref="J81:K81"/>
    <mergeCell ref="L81:M81"/>
    <mergeCell ref="N81:O81"/>
    <mergeCell ref="P81:Q81"/>
    <mergeCell ref="R81:S81"/>
    <mergeCell ref="T81:U81"/>
    <mergeCell ref="D78:E78"/>
    <mergeCell ref="F78:G78"/>
    <mergeCell ref="H78:I78"/>
    <mergeCell ref="J78:K78"/>
    <mergeCell ref="L78:M78"/>
    <mergeCell ref="N78:O78"/>
    <mergeCell ref="P78:Q78"/>
    <mergeCell ref="R78:S78"/>
    <mergeCell ref="T78:U78"/>
    <mergeCell ref="D79:E79"/>
    <mergeCell ref="F79:G79"/>
    <mergeCell ref="H79:I79"/>
    <mergeCell ref="J79:K79"/>
    <mergeCell ref="L79:M79"/>
    <mergeCell ref="N79:O79"/>
    <mergeCell ref="P79:Q79"/>
    <mergeCell ref="R79:S79"/>
    <mergeCell ref="T79:U79"/>
    <mergeCell ref="D76:E76"/>
    <mergeCell ref="F76:G76"/>
    <mergeCell ref="H76:I76"/>
    <mergeCell ref="J76:K76"/>
    <mergeCell ref="L76:M76"/>
    <mergeCell ref="N76:O76"/>
    <mergeCell ref="P76:Q76"/>
    <mergeCell ref="R76:S76"/>
    <mergeCell ref="T76:U76"/>
    <mergeCell ref="D77:E77"/>
    <mergeCell ref="F77:G77"/>
    <mergeCell ref="H77:I77"/>
    <mergeCell ref="J77:K77"/>
    <mergeCell ref="L77:M77"/>
    <mergeCell ref="N77:O77"/>
    <mergeCell ref="P77:Q77"/>
    <mergeCell ref="R77:S77"/>
    <mergeCell ref="T77:U77"/>
    <mergeCell ref="D74:E74"/>
    <mergeCell ref="F74:G74"/>
    <mergeCell ref="H74:I74"/>
    <mergeCell ref="J74:K74"/>
    <mergeCell ref="L74:M74"/>
    <mergeCell ref="N74:O74"/>
    <mergeCell ref="P74:Q74"/>
    <mergeCell ref="R74:S74"/>
    <mergeCell ref="T74:U74"/>
    <mergeCell ref="D75:E75"/>
    <mergeCell ref="F75:G75"/>
    <mergeCell ref="H75:I75"/>
    <mergeCell ref="J75:K75"/>
    <mergeCell ref="L75:M75"/>
    <mergeCell ref="N75:O75"/>
    <mergeCell ref="P75:Q75"/>
    <mergeCell ref="R75:S75"/>
    <mergeCell ref="T75:U75"/>
    <mergeCell ref="D73:E73"/>
    <mergeCell ref="F73:G73"/>
    <mergeCell ref="H73:I73"/>
    <mergeCell ref="J73:K73"/>
    <mergeCell ref="L73:M73"/>
    <mergeCell ref="N73:O73"/>
    <mergeCell ref="P73:Q73"/>
    <mergeCell ref="R73:S73"/>
    <mergeCell ref="T73:U73"/>
    <mergeCell ref="D72:E72"/>
    <mergeCell ref="F72:G72"/>
    <mergeCell ref="H72:I72"/>
    <mergeCell ref="J72:K72"/>
    <mergeCell ref="L72:M72"/>
    <mergeCell ref="N72:O72"/>
    <mergeCell ref="P72:Q72"/>
    <mergeCell ref="R72:S72"/>
    <mergeCell ref="T72:U72"/>
    <mergeCell ref="T67:U67"/>
    <mergeCell ref="V67:W67"/>
    <mergeCell ref="D68:E68"/>
    <mergeCell ref="F68:G68"/>
    <mergeCell ref="H68:I68"/>
    <mergeCell ref="J68:K68"/>
    <mergeCell ref="L68:M68"/>
    <mergeCell ref="N68:O68"/>
    <mergeCell ref="P68:Q68"/>
    <mergeCell ref="R44:S44"/>
    <mergeCell ref="P44:Q44"/>
    <mergeCell ref="B67:B68"/>
    <mergeCell ref="D67:E67"/>
    <mergeCell ref="F67:G67"/>
    <mergeCell ref="H67:I67"/>
    <mergeCell ref="J67:K67"/>
    <mergeCell ref="L67:M67"/>
    <mergeCell ref="N67:O67"/>
    <mergeCell ref="P67:Q67"/>
    <mergeCell ref="R67:S67"/>
    <mergeCell ref="R57:S57"/>
    <mergeCell ref="D57:E57"/>
    <mergeCell ref="D58:E58"/>
    <mergeCell ref="B65:W66"/>
    <mergeCell ref="N57:O57"/>
    <mergeCell ref="P57:Q57"/>
    <mergeCell ref="R59:S59"/>
    <mergeCell ref="T59:U59"/>
    <mergeCell ref="L58:M58"/>
    <mergeCell ref="N58:O58"/>
    <mergeCell ref="P58:Q58"/>
    <mergeCell ref="R58:S58"/>
    <mergeCell ref="T58:U58"/>
    <mergeCell ref="V58:W58"/>
    <mergeCell ref="F57:G57"/>
    <mergeCell ref="H57:I57"/>
    <mergeCell ref="P59:Q59"/>
    <mergeCell ref="N59:O59"/>
    <mergeCell ref="L59:M59"/>
    <mergeCell ref="J59:K59"/>
    <mergeCell ref="H59:I59"/>
    <mergeCell ref="F59:G59"/>
    <mergeCell ref="J57:K57"/>
    <mergeCell ref="T57:U57"/>
    <mergeCell ref="D55:E55"/>
    <mergeCell ref="F55:G55"/>
    <mergeCell ref="H55:I55"/>
    <mergeCell ref="J55:K55"/>
    <mergeCell ref="L55:M55"/>
    <mergeCell ref="N55:O55"/>
    <mergeCell ref="P55:Q55"/>
    <mergeCell ref="D60:E60"/>
    <mergeCell ref="F60:G60"/>
    <mergeCell ref="H60:I60"/>
    <mergeCell ref="J60:K60"/>
    <mergeCell ref="L60:M60"/>
    <mergeCell ref="N60:O60"/>
    <mergeCell ref="P60:Q60"/>
    <mergeCell ref="F58:G58"/>
    <mergeCell ref="H58:I58"/>
    <mergeCell ref="J58:K58"/>
    <mergeCell ref="D59:E59"/>
    <mergeCell ref="D56:E56"/>
    <mergeCell ref="R56:S56"/>
    <mergeCell ref="T56:U56"/>
    <mergeCell ref="V56:W56"/>
    <mergeCell ref="F56:G56"/>
    <mergeCell ref="H56:I56"/>
    <mergeCell ref="J56:K56"/>
    <mergeCell ref="L56:M56"/>
    <mergeCell ref="N56:O56"/>
    <mergeCell ref="P56:Q56"/>
    <mergeCell ref="D53:E53"/>
    <mergeCell ref="F53:G53"/>
    <mergeCell ref="H53:I53"/>
    <mergeCell ref="J53:K53"/>
    <mergeCell ref="L53:M53"/>
    <mergeCell ref="N53:O53"/>
    <mergeCell ref="P53:Q53"/>
    <mergeCell ref="R53:S53"/>
    <mergeCell ref="T53:U53"/>
    <mergeCell ref="D54:E54"/>
    <mergeCell ref="F54:G54"/>
    <mergeCell ref="H54:I54"/>
    <mergeCell ref="J54:K54"/>
    <mergeCell ref="L54:M54"/>
    <mergeCell ref="N54:O54"/>
    <mergeCell ref="P54:Q54"/>
    <mergeCell ref="R54:S54"/>
    <mergeCell ref="T54:U54"/>
    <mergeCell ref="D51:E51"/>
    <mergeCell ref="F51:G51"/>
    <mergeCell ref="H51:I51"/>
    <mergeCell ref="J51:K51"/>
    <mergeCell ref="L51:M51"/>
    <mergeCell ref="N51:O51"/>
    <mergeCell ref="P51:Q51"/>
    <mergeCell ref="R51:S51"/>
    <mergeCell ref="T51:U51"/>
    <mergeCell ref="D52:E52"/>
    <mergeCell ref="F52:G52"/>
    <mergeCell ref="H52:I52"/>
    <mergeCell ref="J52:K52"/>
    <mergeCell ref="L52:M52"/>
    <mergeCell ref="N52:O52"/>
    <mergeCell ref="P52:Q52"/>
    <mergeCell ref="R52:S52"/>
    <mergeCell ref="T52:U52"/>
    <mergeCell ref="D49:E49"/>
    <mergeCell ref="F49:G49"/>
    <mergeCell ref="H49:I49"/>
    <mergeCell ref="J49:K49"/>
    <mergeCell ref="L49:M49"/>
    <mergeCell ref="N49:O49"/>
    <mergeCell ref="P49:Q49"/>
    <mergeCell ref="R49:S49"/>
    <mergeCell ref="T49:U49"/>
    <mergeCell ref="D50:E50"/>
    <mergeCell ref="F50:G50"/>
    <mergeCell ref="H50:I50"/>
    <mergeCell ref="J50:K50"/>
    <mergeCell ref="L50:M50"/>
    <mergeCell ref="N50:O50"/>
    <mergeCell ref="P50:Q50"/>
    <mergeCell ref="R50:S50"/>
    <mergeCell ref="T50:U50"/>
    <mergeCell ref="B38:B39"/>
    <mergeCell ref="D41:E41"/>
    <mergeCell ref="F41:G41"/>
    <mergeCell ref="H41:I41"/>
    <mergeCell ref="J41:K41"/>
    <mergeCell ref="L41:M41"/>
    <mergeCell ref="N41:O41"/>
    <mergeCell ref="P41:Q41"/>
    <mergeCell ref="R41:S41"/>
    <mergeCell ref="D40:E40"/>
    <mergeCell ref="F40:G40"/>
    <mergeCell ref="J44:K44"/>
    <mergeCell ref="H44:I44"/>
    <mergeCell ref="F44:G44"/>
    <mergeCell ref="D44:E44"/>
    <mergeCell ref="L42:M42"/>
    <mergeCell ref="R43:S43"/>
    <mergeCell ref="P43:Q43"/>
    <mergeCell ref="BA7:BA8"/>
    <mergeCell ref="V43:W43"/>
    <mergeCell ref="V41:W41"/>
    <mergeCell ref="D42:E42"/>
    <mergeCell ref="F42:G42"/>
    <mergeCell ref="H42:I42"/>
    <mergeCell ref="J42:K42"/>
    <mergeCell ref="A33:Y33"/>
    <mergeCell ref="A34:Y34"/>
    <mergeCell ref="B7:B8"/>
    <mergeCell ref="V42:W42"/>
    <mergeCell ref="D43:E43"/>
    <mergeCell ref="V39:W39"/>
    <mergeCell ref="F38:G38"/>
    <mergeCell ref="D38:E38"/>
    <mergeCell ref="T41:U41"/>
    <mergeCell ref="T38:U38"/>
    <mergeCell ref="D46:E46"/>
    <mergeCell ref="F46:G46"/>
    <mergeCell ref="H46:I46"/>
    <mergeCell ref="J46:K46"/>
    <mergeCell ref="L46:M46"/>
    <mergeCell ref="N46:O46"/>
    <mergeCell ref="P46:Q46"/>
    <mergeCell ref="P39:Q39"/>
    <mergeCell ref="R39:S39"/>
    <mergeCell ref="F43:G43"/>
    <mergeCell ref="J43:K43"/>
    <mergeCell ref="D45:E45"/>
    <mergeCell ref="F45:G45"/>
    <mergeCell ref="H45:I45"/>
    <mergeCell ref="J45:K45"/>
    <mergeCell ref="L45:M45"/>
    <mergeCell ref="N45:O45"/>
    <mergeCell ref="P45:Q45"/>
    <mergeCell ref="R45:S45"/>
    <mergeCell ref="N42:O42"/>
    <mergeCell ref="P42:Q42"/>
    <mergeCell ref="R42:S42"/>
    <mergeCell ref="N44:O44"/>
    <mergeCell ref="L44:M44"/>
    <mergeCell ref="AB91:AB92"/>
    <mergeCell ref="R68:S68"/>
    <mergeCell ref="T68:U68"/>
    <mergeCell ref="V68:W68"/>
    <mergeCell ref="D69:E69"/>
    <mergeCell ref="F69:G69"/>
    <mergeCell ref="H69:I69"/>
    <mergeCell ref="J69:K69"/>
    <mergeCell ref="L69:M69"/>
    <mergeCell ref="N69:O69"/>
    <mergeCell ref="P69:Q69"/>
    <mergeCell ref="R69:S69"/>
    <mergeCell ref="T69:U69"/>
    <mergeCell ref="V69:W69"/>
    <mergeCell ref="V70:W70"/>
    <mergeCell ref="D71:E71"/>
    <mergeCell ref="F71:G71"/>
    <mergeCell ref="H71:I71"/>
    <mergeCell ref="AB85:AB86"/>
    <mergeCell ref="J71:K71"/>
    <mergeCell ref="D70:E70"/>
    <mergeCell ref="F70:G70"/>
    <mergeCell ref="H70:I70"/>
    <mergeCell ref="V73:W73"/>
    <mergeCell ref="L47:M47"/>
    <mergeCell ref="N47:O47"/>
    <mergeCell ref="P47:Q47"/>
    <mergeCell ref="V50:W50"/>
    <mergeCell ref="V51:W51"/>
    <mergeCell ref="V52:W52"/>
    <mergeCell ref="V53:W53"/>
    <mergeCell ref="V54:W54"/>
    <mergeCell ref="T71:U71"/>
    <mergeCell ref="V71:W71"/>
    <mergeCell ref="L71:M71"/>
    <mergeCell ref="N71:O71"/>
    <mergeCell ref="P71:Q71"/>
    <mergeCell ref="R71:S71"/>
    <mergeCell ref="R47:S47"/>
    <mergeCell ref="L57:M57"/>
    <mergeCell ref="V49:W49"/>
    <mergeCell ref="R55:S55"/>
    <mergeCell ref="T55:U55"/>
    <mergeCell ref="V55:W55"/>
    <mergeCell ref="R60:S60"/>
    <mergeCell ref="T60:U60"/>
    <mergeCell ref="V57:W57"/>
    <mergeCell ref="V59:W59"/>
    <mergeCell ref="AB93:AB94"/>
    <mergeCell ref="V60:W60"/>
    <mergeCell ref="V74:W74"/>
    <mergeCell ref="V75:W75"/>
    <mergeCell ref="V76:W76"/>
    <mergeCell ref="V77:W77"/>
    <mergeCell ref="V78:W78"/>
    <mergeCell ref="V79:W79"/>
    <mergeCell ref="V82:W82"/>
    <mergeCell ref="V80:W80"/>
    <mergeCell ref="V81:W81"/>
    <mergeCell ref="V83:W83"/>
    <mergeCell ref="V84:W84"/>
    <mergeCell ref="V85:W85"/>
    <mergeCell ref="V86:W86"/>
    <mergeCell ref="V87:W87"/>
    <mergeCell ref="AB75:AB76"/>
    <mergeCell ref="AB77:AB78"/>
    <mergeCell ref="AB79:AB80"/>
    <mergeCell ref="AB81:AB82"/>
    <mergeCell ref="AB83:AB84"/>
    <mergeCell ref="AB87:AB88"/>
    <mergeCell ref="V72:W72"/>
    <mergeCell ref="AB89:AB90"/>
    <mergeCell ref="T40:U40"/>
    <mergeCell ref="V38:W38"/>
    <mergeCell ref="T46:U46"/>
    <mergeCell ref="V46:W46"/>
    <mergeCell ref="V47:W47"/>
    <mergeCell ref="T48:U48"/>
    <mergeCell ref="V48:W48"/>
    <mergeCell ref="T39:U39"/>
    <mergeCell ref="V40:W40"/>
    <mergeCell ref="T45:U45"/>
    <mergeCell ref="T42:U42"/>
    <mergeCell ref="T47:U47"/>
    <mergeCell ref="V45:W45"/>
    <mergeCell ref="V44:W44"/>
    <mergeCell ref="T44:U44"/>
    <mergeCell ref="D31:G31"/>
    <mergeCell ref="J31:O31"/>
    <mergeCell ref="Q31:S31"/>
    <mergeCell ref="AL153:AP153"/>
    <mergeCell ref="AQ153:AU153"/>
    <mergeCell ref="AV153:AZ153"/>
    <mergeCell ref="R38:S38"/>
    <mergeCell ref="N40:O40"/>
    <mergeCell ref="P40:Q40"/>
    <mergeCell ref="R40:S40"/>
    <mergeCell ref="D39:E39"/>
    <mergeCell ref="F39:G39"/>
    <mergeCell ref="H39:I39"/>
    <mergeCell ref="J39:K39"/>
    <mergeCell ref="L39:M39"/>
    <mergeCell ref="N39:O39"/>
    <mergeCell ref="H40:I40"/>
    <mergeCell ref="J40:K40"/>
    <mergeCell ref="L40:M40"/>
    <mergeCell ref="P38:Q38"/>
    <mergeCell ref="N38:O38"/>
    <mergeCell ref="L38:M38"/>
    <mergeCell ref="J38:K38"/>
    <mergeCell ref="H38:I38"/>
    <mergeCell ref="J70:K70"/>
    <mergeCell ref="L70:M70"/>
    <mergeCell ref="N70:O70"/>
    <mergeCell ref="P70:Q70"/>
    <mergeCell ref="R70:S70"/>
    <mergeCell ref="T70:U70"/>
    <mergeCell ref="A63:Y63"/>
    <mergeCell ref="L43:M43"/>
    <mergeCell ref="N43:O43"/>
    <mergeCell ref="H43:I43"/>
    <mergeCell ref="T43:U43"/>
    <mergeCell ref="R46:S46"/>
    <mergeCell ref="D48:E48"/>
    <mergeCell ref="F48:G48"/>
    <mergeCell ref="H48:I48"/>
    <mergeCell ref="J48:K48"/>
    <mergeCell ref="L48:M48"/>
    <mergeCell ref="N48:O48"/>
    <mergeCell ref="P48:Q48"/>
    <mergeCell ref="R48:S48"/>
    <mergeCell ref="D47:E47"/>
    <mergeCell ref="F47:G47"/>
    <mergeCell ref="H47:I47"/>
    <mergeCell ref="J47:K47"/>
    <mergeCell ref="DX105:EB105"/>
    <mergeCell ref="DS105:DW105"/>
    <mergeCell ref="DN105:DR105"/>
    <mergeCell ref="DI105:DM105"/>
    <mergeCell ref="DD105:DH105"/>
    <mergeCell ref="CY105:DC105"/>
    <mergeCell ref="CT105:CX105"/>
    <mergeCell ref="CO105:CS105"/>
    <mergeCell ref="CJ105:CN105"/>
    <mergeCell ref="CE105:CI105"/>
    <mergeCell ref="BZ105:CD105"/>
    <mergeCell ref="BU105:BY105"/>
    <mergeCell ref="BP105:BT105"/>
    <mergeCell ref="BU129:BY129"/>
    <mergeCell ref="BP129:BT129"/>
    <mergeCell ref="BK129:BO129"/>
    <mergeCell ref="BF129:BJ129"/>
    <mergeCell ref="D113:E113"/>
    <mergeCell ref="F113:G113"/>
    <mergeCell ref="H113:I113"/>
    <mergeCell ref="J113:K113"/>
    <mergeCell ref="L113:M113"/>
    <mergeCell ref="N113:O113"/>
    <mergeCell ref="P113:Q113"/>
    <mergeCell ref="R113:S113"/>
    <mergeCell ref="T113:U113"/>
    <mergeCell ref="V113:W113"/>
    <mergeCell ref="AB129:AF129"/>
    <mergeCell ref="AG129:AK129"/>
    <mergeCell ref="AL129:AP129"/>
    <mergeCell ref="AQ129:AU129"/>
    <mergeCell ref="AV129:AZ129"/>
    <mergeCell ref="V106:W106"/>
    <mergeCell ref="V97:W97"/>
    <mergeCell ref="R97:S97"/>
    <mergeCell ref="T97:U97"/>
    <mergeCell ref="V100:W100"/>
    <mergeCell ref="D101:E101"/>
    <mergeCell ref="F101:G101"/>
    <mergeCell ref="V118:W118"/>
    <mergeCell ref="D118:E118"/>
    <mergeCell ref="F118:G118"/>
    <mergeCell ref="H118:I118"/>
    <mergeCell ref="J118:K118"/>
    <mergeCell ref="L118:M118"/>
    <mergeCell ref="N118:O118"/>
    <mergeCell ref="P118:Q118"/>
    <mergeCell ref="R118:S118"/>
    <mergeCell ref="T118:U118"/>
    <mergeCell ref="H101:I101"/>
    <mergeCell ref="J101:K101"/>
    <mergeCell ref="L101:M101"/>
    <mergeCell ref="N101:O101"/>
    <mergeCell ref="P101:Q101"/>
    <mergeCell ref="R101:S101"/>
    <mergeCell ref="T101:U101"/>
    <mergeCell ref="V101:W101"/>
  </mergeCells>
  <conditionalFormatting sqref="A1:A59">
    <cfRule type="containsErrors" dxfId="579" priority="127">
      <formula>ISERROR(A1)</formula>
    </cfRule>
  </conditionalFormatting>
  <conditionalFormatting sqref="A9:A29 A40:A58">
    <cfRule type="cellIs" dxfId="578" priority="142" operator="equal">
      <formula>0</formula>
    </cfRule>
  </conditionalFormatting>
  <conditionalFormatting sqref="A63:A88">
    <cfRule type="containsErrors" dxfId="577" priority="128">
      <formula>ISERROR(A63)</formula>
    </cfRule>
  </conditionalFormatting>
  <conditionalFormatting sqref="A69:A87">
    <cfRule type="cellIs" dxfId="576" priority="2" operator="equal">
      <formula>0</formula>
    </cfRule>
  </conditionalFormatting>
  <conditionalFormatting sqref="A98:A116">
    <cfRule type="cellIs" dxfId="575" priority="1" operator="equal">
      <formula>0</formula>
    </cfRule>
  </conditionalFormatting>
  <conditionalFormatting sqref="B9:B29 D40:W52 D53:D58 F53:F58 H53:H58 J53:J58 L53:L58 N53:N58 P53:P58 R53:R58 T53:T58 V53:V58 A90:A117 A119 A122 A165:A1048576">
    <cfRule type="containsErrors" dxfId="574" priority="202">
      <formula>ISERROR(A9)</formula>
    </cfRule>
  </conditionalFormatting>
  <conditionalFormatting sqref="B9:B31 B40:B60 B69:B89 B98:B119">
    <cfRule type="expression" dxfId="573" priority="201">
      <formula>$B9=$AC$4</formula>
    </cfRule>
  </conditionalFormatting>
  <conditionalFormatting sqref="D54 V54 T54 R54 P54 N54 L54 J54 H54 F54">
    <cfRule type="colorScale" priority="152">
      <colorScale>
        <cfvo type="min"/>
        <cfvo type="max"/>
        <color rgb="FFFCFCFF"/>
        <color rgb="FFF8696B"/>
      </colorScale>
    </cfRule>
  </conditionalFormatting>
  <conditionalFormatting sqref="D55 V55 T55 R55 P55 N55 L55 J55 H55 F55">
    <cfRule type="colorScale" priority="160">
      <colorScale>
        <cfvo type="min"/>
        <cfvo type="max"/>
        <color rgb="FFFCFCFF"/>
        <color rgb="FFF8696B"/>
      </colorScale>
    </cfRule>
    <cfRule type="colorScale" priority="149">
      <colorScale>
        <cfvo type="min"/>
        <cfvo type="max"/>
        <color rgb="FFFCFCFF"/>
        <color rgb="FFF8696B"/>
      </colorScale>
    </cfRule>
    <cfRule type="colorScale" priority="148">
      <colorScale>
        <cfvo type="min"/>
        <cfvo type="max"/>
        <color rgb="FFFCFCFF"/>
        <color rgb="FFF8696B"/>
      </colorScale>
    </cfRule>
  </conditionalFormatting>
  <conditionalFormatting sqref="D40:W40">
    <cfRule type="colorScale" priority="176">
      <colorScale>
        <cfvo type="min"/>
        <cfvo type="max"/>
        <color rgb="FFFCFCFF"/>
        <color rgb="FFF8696B"/>
      </colorScale>
    </cfRule>
  </conditionalFormatting>
  <conditionalFormatting sqref="D41:W41">
    <cfRule type="colorScale" priority="175">
      <colorScale>
        <cfvo type="min"/>
        <cfvo type="max"/>
        <color rgb="FFFCFCFF"/>
        <color rgb="FFF8696B"/>
      </colorScale>
    </cfRule>
  </conditionalFormatting>
  <conditionalFormatting sqref="D41:W42">
    <cfRule type="colorScale" priority="174">
      <colorScale>
        <cfvo type="min"/>
        <cfvo type="max"/>
        <color rgb="FFFCFCFF"/>
        <color rgb="FFF8696B"/>
      </colorScale>
    </cfRule>
  </conditionalFormatting>
  <conditionalFormatting sqref="D43:W43">
    <cfRule type="colorScale" priority="173">
      <colorScale>
        <cfvo type="min"/>
        <cfvo type="max"/>
        <color rgb="FFFCFCFF"/>
        <color rgb="FFF8696B"/>
      </colorScale>
    </cfRule>
  </conditionalFormatting>
  <conditionalFormatting sqref="D44:W44">
    <cfRule type="colorScale" priority="172">
      <colorScale>
        <cfvo type="min"/>
        <cfvo type="max"/>
        <color rgb="FFFCFCFF"/>
        <color rgb="FFF8696B"/>
      </colorScale>
    </cfRule>
  </conditionalFormatting>
  <conditionalFormatting sqref="D45:W45">
    <cfRule type="colorScale" priority="171">
      <colorScale>
        <cfvo type="min"/>
        <cfvo type="max"/>
        <color rgb="FFFCFCFF"/>
        <color rgb="FFF8696B"/>
      </colorScale>
    </cfRule>
  </conditionalFormatting>
  <conditionalFormatting sqref="D46:W46">
    <cfRule type="colorScale" priority="170">
      <colorScale>
        <cfvo type="min"/>
        <cfvo type="max"/>
        <color rgb="FFFCFCFF"/>
        <color rgb="FFF8696B"/>
      </colorScale>
    </cfRule>
  </conditionalFormatting>
  <conditionalFormatting sqref="D47:W47">
    <cfRule type="colorScale" priority="169">
      <colorScale>
        <cfvo type="min"/>
        <cfvo type="max"/>
        <color rgb="FFFCFCFF"/>
        <color rgb="FFF8696B"/>
      </colorScale>
    </cfRule>
  </conditionalFormatting>
  <conditionalFormatting sqref="D48:W48">
    <cfRule type="colorScale" priority="168">
      <colorScale>
        <cfvo type="min"/>
        <cfvo type="max"/>
        <color rgb="FFFCFCFF"/>
        <color rgb="FFF8696B"/>
      </colorScale>
    </cfRule>
  </conditionalFormatting>
  <conditionalFormatting sqref="D49:W49">
    <cfRule type="colorScale" priority="154">
      <colorScale>
        <cfvo type="min"/>
        <cfvo type="max"/>
        <color rgb="FFFCFCFF"/>
        <color rgb="FFF8696B"/>
      </colorScale>
    </cfRule>
    <cfRule type="colorScale" priority="167">
      <colorScale>
        <cfvo type="min"/>
        <cfvo type="max"/>
        <color rgb="FFFCFCFF"/>
        <color rgb="FFF8696B"/>
      </colorScale>
    </cfRule>
  </conditionalFormatting>
  <conditionalFormatting sqref="D50:W50">
    <cfRule type="colorScale" priority="166">
      <colorScale>
        <cfvo type="min"/>
        <cfvo type="max"/>
        <color rgb="FFFCFCFF"/>
        <color rgb="FFF8696B"/>
      </colorScale>
    </cfRule>
  </conditionalFormatting>
  <conditionalFormatting sqref="D51:W51">
    <cfRule type="colorScale" priority="165">
      <colorScale>
        <cfvo type="min"/>
        <cfvo type="max"/>
        <color rgb="FFFCFCFF"/>
        <color rgb="FFF8696B"/>
      </colorScale>
    </cfRule>
  </conditionalFormatting>
  <conditionalFormatting sqref="D52:W52">
    <cfRule type="colorScale" priority="164">
      <colorScale>
        <cfvo type="min"/>
        <cfvo type="max"/>
        <color rgb="FFFCFCFF"/>
        <color rgb="FFF8696B"/>
      </colorScale>
    </cfRule>
    <cfRule type="colorScale" priority="153">
      <colorScale>
        <cfvo type="min"/>
        <cfvo type="max"/>
        <color rgb="FFFCFCFF"/>
        <color rgb="FFF8696B"/>
      </colorScale>
    </cfRule>
  </conditionalFormatting>
  <conditionalFormatting sqref="D59:W59">
    <cfRule type="colorScale" priority="156">
      <colorScale>
        <cfvo type="min"/>
        <cfvo type="max"/>
        <color rgb="FFFCFCFF"/>
        <color rgb="FFF8696B"/>
      </colorScale>
    </cfRule>
  </conditionalFormatting>
  <conditionalFormatting sqref="D59:W60">
    <cfRule type="containsErrors" dxfId="572" priority="5">
      <formula>ISERROR(D59)</formula>
    </cfRule>
  </conditionalFormatting>
  <conditionalFormatting sqref="D60:W60">
    <cfRule type="colorScale" priority="3">
      <colorScale>
        <cfvo type="min"/>
        <cfvo type="max"/>
        <color rgb="FFFCFCFF"/>
        <color rgb="FFF8696B"/>
      </colorScale>
    </cfRule>
  </conditionalFormatting>
  <conditionalFormatting sqref="D69:W89 D91:W91 D98:W119">
    <cfRule type="expression" dxfId="571" priority="87">
      <formula>$B69=$AC$4</formula>
    </cfRule>
  </conditionalFormatting>
  <conditionalFormatting sqref="D9:X9">
    <cfRule type="colorScale" priority="198">
      <colorScale>
        <cfvo type="min"/>
        <cfvo type="max"/>
        <color rgb="FFFCFCFF"/>
        <color rgb="FFF8696B"/>
      </colorScale>
    </cfRule>
  </conditionalFormatting>
  <conditionalFormatting sqref="D9:X30 D40:W52 D53:D58 F53:F58 H53:H58 J53:J58 L53:L58 N53:N58 P53:P58 R53:R58 T53:T58 V53:V58 D59:W60">
    <cfRule type="expression" dxfId="570" priority="177">
      <formula>$B9=$AC$4</formula>
    </cfRule>
  </conditionalFormatting>
  <conditionalFormatting sqref="D9:X30">
    <cfRule type="containsErrors" dxfId="569" priority="15">
      <formula>ISERROR(D9)</formula>
    </cfRule>
  </conditionalFormatting>
  <conditionalFormatting sqref="D10:X10">
    <cfRule type="colorScale" priority="77">
      <colorScale>
        <cfvo type="min"/>
        <cfvo type="max"/>
        <color rgb="FFFCFCFF"/>
        <color rgb="FFF8696B"/>
      </colorScale>
    </cfRule>
  </conditionalFormatting>
  <conditionalFormatting sqref="D11:X11">
    <cfRule type="colorScale" priority="74">
      <colorScale>
        <cfvo type="min"/>
        <cfvo type="max"/>
        <color rgb="FFFCFCFF"/>
        <color rgb="FFF8696B"/>
      </colorScale>
    </cfRule>
  </conditionalFormatting>
  <conditionalFormatting sqref="D12:X12">
    <cfRule type="colorScale" priority="71">
      <colorScale>
        <cfvo type="min"/>
        <cfvo type="max"/>
        <color rgb="FFFCFCFF"/>
        <color rgb="FFF8696B"/>
      </colorScale>
    </cfRule>
  </conditionalFormatting>
  <conditionalFormatting sqref="D13:X13">
    <cfRule type="colorScale" priority="68">
      <colorScale>
        <cfvo type="min"/>
        <cfvo type="max"/>
        <color rgb="FFFCFCFF"/>
        <color rgb="FFF8696B"/>
      </colorScale>
    </cfRule>
  </conditionalFormatting>
  <conditionalFormatting sqref="D14:X14">
    <cfRule type="colorScale" priority="65">
      <colorScale>
        <cfvo type="min"/>
        <cfvo type="max"/>
        <color rgb="FFFCFCFF"/>
        <color rgb="FFF8696B"/>
      </colorScale>
    </cfRule>
  </conditionalFormatting>
  <conditionalFormatting sqref="D15:X15">
    <cfRule type="colorScale" priority="62">
      <colorScale>
        <cfvo type="min"/>
        <cfvo type="max"/>
        <color rgb="FFFCFCFF"/>
        <color rgb="FFF8696B"/>
      </colorScale>
    </cfRule>
  </conditionalFormatting>
  <conditionalFormatting sqref="D16:X16">
    <cfRule type="colorScale" priority="59">
      <colorScale>
        <cfvo type="min"/>
        <cfvo type="max"/>
        <color rgb="FFFCFCFF"/>
        <color rgb="FFF8696B"/>
      </colorScale>
    </cfRule>
  </conditionalFormatting>
  <conditionalFormatting sqref="D17:X17">
    <cfRule type="colorScale" priority="56">
      <colorScale>
        <cfvo type="min"/>
        <cfvo type="max"/>
        <color rgb="FFFCFCFF"/>
        <color rgb="FFF8696B"/>
      </colorScale>
    </cfRule>
  </conditionalFormatting>
  <conditionalFormatting sqref="D18:X18">
    <cfRule type="colorScale" priority="53">
      <colorScale>
        <cfvo type="min"/>
        <cfvo type="max"/>
        <color rgb="FFFCFCFF"/>
        <color rgb="FFF8696B"/>
      </colorScale>
    </cfRule>
  </conditionalFormatting>
  <conditionalFormatting sqref="D19:X19">
    <cfRule type="colorScale" priority="50">
      <colorScale>
        <cfvo type="min"/>
        <cfvo type="max"/>
        <color rgb="FFFCFCFF"/>
        <color rgb="FFF8696B"/>
      </colorScale>
    </cfRule>
  </conditionalFormatting>
  <conditionalFormatting sqref="D20:X20">
    <cfRule type="colorScale" priority="47">
      <colorScale>
        <cfvo type="min"/>
        <cfvo type="max"/>
        <color rgb="FFFCFCFF"/>
        <color rgb="FFF8696B"/>
      </colorScale>
    </cfRule>
  </conditionalFormatting>
  <conditionalFormatting sqref="D21:X21">
    <cfRule type="colorScale" priority="44">
      <colorScale>
        <cfvo type="min"/>
        <cfvo type="max"/>
        <color rgb="FFFCFCFF"/>
        <color rgb="FFF8696B"/>
      </colorScale>
    </cfRule>
  </conditionalFormatting>
  <conditionalFormatting sqref="D22:X22">
    <cfRule type="colorScale" priority="41">
      <colorScale>
        <cfvo type="min"/>
        <cfvo type="max"/>
        <color rgb="FFFCFCFF"/>
        <color rgb="FFF8696B"/>
      </colorScale>
    </cfRule>
  </conditionalFormatting>
  <conditionalFormatting sqref="D23:X23">
    <cfRule type="colorScale" priority="38">
      <colorScale>
        <cfvo type="min"/>
        <cfvo type="max"/>
        <color rgb="FFFCFCFF"/>
        <color rgb="FFF8696B"/>
      </colorScale>
    </cfRule>
  </conditionalFormatting>
  <conditionalFormatting sqref="D24:X24">
    <cfRule type="colorScale" priority="35">
      <colorScale>
        <cfvo type="min"/>
        <cfvo type="max"/>
        <color rgb="FFFCFCFF"/>
        <color rgb="FFF8696B"/>
      </colorScale>
    </cfRule>
  </conditionalFormatting>
  <conditionalFormatting sqref="D25:X25">
    <cfRule type="colorScale" priority="32">
      <colorScale>
        <cfvo type="min"/>
        <cfvo type="max"/>
        <color rgb="FFFCFCFF"/>
        <color rgb="FFF8696B"/>
      </colorScale>
    </cfRule>
  </conditionalFormatting>
  <conditionalFormatting sqref="D26:X26">
    <cfRule type="colorScale" priority="26">
      <colorScale>
        <cfvo type="min"/>
        <cfvo type="max"/>
        <color rgb="FFFCFCFF"/>
        <color rgb="FFF8696B"/>
      </colorScale>
    </cfRule>
  </conditionalFormatting>
  <conditionalFormatting sqref="D27:X27">
    <cfRule type="colorScale" priority="23">
      <colorScale>
        <cfvo type="min"/>
        <cfvo type="max"/>
        <color rgb="FFFCFCFF"/>
        <color rgb="FFF8696B"/>
      </colorScale>
    </cfRule>
  </conditionalFormatting>
  <conditionalFormatting sqref="D28:X28">
    <cfRule type="colorScale" priority="20">
      <colorScale>
        <cfvo type="min"/>
        <cfvo type="max"/>
        <color rgb="FFFCFCFF"/>
        <color rgb="FFF8696B"/>
      </colorScale>
    </cfRule>
  </conditionalFormatting>
  <conditionalFormatting sqref="D29:X29">
    <cfRule type="colorScale" priority="17">
      <colorScale>
        <cfvo type="min"/>
        <cfvo type="max"/>
        <color rgb="FFFCFCFF"/>
        <color rgb="FFF8696B"/>
      </colorScale>
    </cfRule>
  </conditionalFormatting>
  <conditionalFormatting sqref="D30:X30">
    <cfRule type="colorScale" priority="14">
      <colorScale>
        <cfvo type="min"/>
        <cfvo type="max"/>
        <color rgb="FFFCFCFF"/>
        <color rgb="FFF8696B"/>
      </colorScale>
    </cfRule>
  </conditionalFormatting>
  <conditionalFormatting sqref="V53:V54 T53:T54 R53:R54 P53:P54 N53:N54 L53:L54 J53:J54 H53:H54 D53:D54 F53:F54">
    <cfRule type="colorScale" priority="162">
      <colorScale>
        <cfvo type="min"/>
        <cfvo type="max"/>
        <color rgb="FFFCFCFF"/>
        <color rgb="FFF8696B"/>
      </colorScale>
    </cfRule>
  </conditionalFormatting>
  <conditionalFormatting sqref="V54:V58 T54:T58 R54:R58 P54:P58 N54:N58 L54:L58 J54:J58 H54:H58 D54:D58 F54:F58">
    <cfRule type="colorScale" priority="3568">
      <colorScale>
        <cfvo type="min"/>
        <cfvo type="max"/>
        <color rgb="FFFCFCFF"/>
        <color rgb="FFF8696B"/>
      </colorScale>
    </cfRule>
  </conditionalFormatting>
  <conditionalFormatting sqref="V55:V58 T55:T58 R55:R58 P55:P58 N55:N58 L55:L58 J55:J58 H55:H58 D55:D58 F55:F58">
    <cfRule type="colorScale" priority="3562">
      <colorScale>
        <cfvo type="min"/>
        <cfvo type="max"/>
        <color rgb="FFFCFCFF"/>
        <color rgb="FFF8696B"/>
      </colorScale>
    </cfRule>
  </conditionalFormatting>
  <conditionalFormatting sqref="V56:V57 T56:T57 R56:R57 P56:P57 N56:N57 L56:L57 J56:J57 H56:H57 D56:D57 F56:F57">
    <cfRule type="colorScale" priority="159">
      <colorScale>
        <cfvo type="min"/>
        <cfvo type="max"/>
        <color rgb="FFFCFCFF"/>
        <color rgb="FFF8696B"/>
      </colorScale>
    </cfRule>
  </conditionalFormatting>
  <conditionalFormatting sqref="V57 D57 T57 R57 P57 N57 L57 J57 H57 F57">
    <cfRule type="colorScale" priority="158">
      <colorScale>
        <cfvo type="min"/>
        <cfvo type="max"/>
        <color rgb="FFFCFCFF"/>
        <color rgb="FFF8696B"/>
      </colorScale>
    </cfRule>
    <cfRule type="colorScale" priority="146">
      <colorScale>
        <cfvo type="min"/>
        <cfvo type="max"/>
        <color rgb="FFFCFCFF"/>
        <color rgb="FFF8696B"/>
      </colorScale>
    </cfRule>
    <cfRule type="colorScale" priority="147">
      <colorScale>
        <cfvo type="min"/>
        <cfvo type="max"/>
        <color rgb="FFFCFCFF"/>
        <color rgb="FFF8696B"/>
      </colorScale>
    </cfRule>
  </conditionalFormatting>
  <conditionalFormatting sqref="V58 D58 T58 R58 P58 N58 L58 J58 H58 F58">
    <cfRule type="colorScale" priority="145">
      <colorScale>
        <cfvo type="min"/>
        <cfvo type="max"/>
        <color rgb="FFFCFCFF"/>
        <color rgb="FFF8696B"/>
      </colorScale>
    </cfRule>
    <cfRule type="colorScale" priority="157">
      <colorScale>
        <cfvo type="min"/>
        <cfvo type="max"/>
        <color rgb="FFFCFCFF"/>
        <color rgb="FFF8696B"/>
      </colorScale>
    </cfRule>
    <cfRule type="colorScale" priority="144">
      <colorScale>
        <cfvo type="min"/>
        <cfvo type="max"/>
        <color rgb="FFFCFCFF"/>
        <color rgb="FFF8696B"/>
      </colorScale>
    </cfRule>
  </conditionalFormatting>
  <conditionalFormatting sqref="AB2:AG3">
    <cfRule type="containsErrors" dxfId="568" priority="6">
      <formula>ISERROR(AB2)</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1" manualBreakCount="1">
    <brk id="63" max="24" man="1"/>
  </rowBreaks>
  <ignoredErrors>
    <ignoredError sqref="A40:A52 A9:A25 A26:A29" evalError="1"/>
  </ignoredErrors>
  <drawing r:id="rId2"/>
  <extLst>
    <ext xmlns:x14="http://schemas.microsoft.com/office/spreadsheetml/2009/9/main" uri="{05C60535-1F16-4fd2-B633-F4F36F0B64E0}">
      <x14:sparklineGroups xmlns:xm="http://schemas.microsoft.com/office/excel/2006/main">
        <x14:sparklineGroup manualMax="0" manualMin="0" displayEmptyCellsAs="gap" displayHidden="1" xr2:uid="{00000000-0003-0000-1200-000000000000}">
          <x14:colorSeries rgb="FF000000"/>
          <x14:colorNegative rgb="FF0070C0"/>
          <x14:colorAxis rgb="FF000000"/>
          <x14:colorMarkers rgb="FF0070C0"/>
          <x14:colorFirst rgb="FF0070C0"/>
          <x14:colorLast rgb="FF0070C0"/>
          <x14:colorHigh rgb="FF0070C0"/>
          <x14:colorLow rgb="FF0070C0"/>
          <x14:sparklines>
            <x14:sparkline>
              <xm:f>Referral_Source!BU132:BY132</xm:f>
              <xm:sqref>V98</xm:sqref>
            </x14:sparkline>
            <x14:sparkline>
              <xm:f>Referral_Source!BU133:BY133</xm:f>
              <xm:sqref>V99</xm:sqref>
            </x14:sparkline>
            <x14:sparkline>
              <xm:f>Referral_Source!BU134:BY134</xm:f>
              <xm:sqref>V100</xm:sqref>
            </x14:sparkline>
            <x14:sparkline>
              <xm:f>Referral_Source!BU135:BY135</xm:f>
              <xm:sqref>V101</xm:sqref>
            </x14:sparkline>
            <x14:sparkline>
              <xm:f>Referral_Source!BU136:BY136</xm:f>
              <xm:sqref>V102</xm:sqref>
            </x14:sparkline>
            <x14:sparkline>
              <xm:f>Referral_Source!BU137:BY137</xm:f>
              <xm:sqref>V103</xm:sqref>
            </x14:sparkline>
            <x14:sparkline>
              <xm:f>Referral_Source!BU138:BY138</xm:f>
              <xm:sqref>V104</xm:sqref>
            </x14:sparkline>
            <x14:sparkline>
              <xm:f>Referral_Source!BU139:BY139</xm:f>
              <xm:sqref>V105</xm:sqref>
            </x14:sparkline>
            <x14:sparkline>
              <xm:f>Referral_Source!BU140:BY140</xm:f>
              <xm:sqref>V106</xm:sqref>
            </x14:sparkline>
            <x14:sparkline>
              <xm:f>Referral_Source!BU141:BY141</xm:f>
              <xm:sqref>V107</xm:sqref>
            </x14:sparkline>
            <x14:sparkline>
              <xm:f>Referral_Source!BU142:BY142</xm:f>
              <xm:sqref>V108</xm:sqref>
            </x14:sparkline>
            <x14:sparkline>
              <xm:f>Referral_Source!BU143:BY143</xm:f>
              <xm:sqref>V109</xm:sqref>
            </x14:sparkline>
            <x14:sparkline>
              <xm:f>Referral_Source!BU144:BY144</xm:f>
              <xm:sqref>V110</xm:sqref>
            </x14:sparkline>
            <x14:sparkline>
              <xm:f>Referral_Source!BU145:BY145</xm:f>
              <xm:sqref>V111</xm:sqref>
            </x14:sparkline>
            <x14:sparkline>
              <xm:f>Referral_Source!BU146:BY146</xm:f>
              <xm:sqref>V112</xm:sqref>
            </x14:sparkline>
            <x14:sparkline>
              <xm:f>Referral_Source!BU147:BY147</xm:f>
              <xm:sqref>V113</xm:sqref>
            </x14:sparkline>
            <x14:sparkline>
              <xm:f>Referral_Source!BU148:BY148</xm:f>
              <xm:sqref>V114</xm:sqref>
            </x14:sparkline>
            <x14:sparkline>
              <xm:f>Referral_Source!BU149:BY149</xm:f>
              <xm:sqref>V115</xm:sqref>
            </x14:sparkline>
            <x14:sparkline>
              <xm:f>Referral_Source!BU150:BY150</xm:f>
              <xm:sqref>V116</xm:sqref>
            </x14:sparkline>
            <x14:sparkline>
              <xm:f>Referral_Source!BU151:BY151</xm:f>
              <xm:sqref>V117</xm:sqref>
            </x14:sparkline>
            <x14:sparkline>
              <xm:f>Referral_Source!BU152:BY152</xm:f>
              <xm:sqref>V118</xm:sqref>
            </x14:sparkline>
          </x14:sparklines>
        </x14:sparklineGroup>
        <x14:sparklineGroup manualMax="0" manualMin="0" displayEmptyCellsAs="gap" displayHidden="1" xr2:uid="{00000000-0003-0000-1200-000001000000}">
          <x14:colorSeries rgb="FF000000"/>
          <x14:colorNegative rgb="FF0070C0"/>
          <x14:colorAxis rgb="FF000000"/>
          <x14:colorMarkers rgb="FF0070C0"/>
          <x14:colorFirst rgb="FF0070C0"/>
          <x14:colorLast rgb="FF0070C0"/>
          <x14:colorHigh rgb="FF0070C0"/>
          <x14:colorLow rgb="FF0070C0"/>
          <x14:sparklines>
            <x14:sparkline>
              <xm:f>Referral_Source!BP132:BT132</xm:f>
              <xm:sqref>T98</xm:sqref>
            </x14:sparkline>
            <x14:sparkline>
              <xm:f>Referral_Source!BP133:BT133</xm:f>
              <xm:sqref>T99</xm:sqref>
            </x14:sparkline>
            <x14:sparkline>
              <xm:f>Referral_Source!BP134:BT134</xm:f>
              <xm:sqref>T100</xm:sqref>
            </x14:sparkline>
            <x14:sparkline>
              <xm:f>Referral_Source!BP135:BT135</xm:f>
              <xm:sqref>T101</xm:sqref>
            </x14:sparkline>
            <x14:sparkline>
              <xm:f>Referral_Source!BP136:BT136</xm:f>
              <xm:sqref>T102</xm:sqref>
            </x14:sparkline>
            <x14:sparkline>
              <xm:f>Referral_Source!BP137:BT137</xm:f>
              <xm:sqref>T103</xm:sqref>
            </x14:sparkline>
            <x14:sparkline>
              <xm:f>Referral_Source!BP138:BT138</xm:f>
              <xm:sqref>T104</xm:sqref>
            </x14:sparkline>
            <x14:sparkline>
              <xm:f>Referral_Source!BP139:BT139</xm:f>
              <xm:sqref>T105</xm:sqref>
            </x14:sparkline>
            <x14:sparkline>
              <xm:f>Referral_Source!BP140:BT140</xm:f>
              <xm:sqref>T106</xm:sqref>
            </x14:sparkline>
            <x14:sparkline>
              <xm:f>Referral_Source!BP141:BT141</xm:f>
              <xm:sqref>T107</xm:sqref>
            </x14:sparkline>
            <x14:sparkline>
              <xm:f>Referral_Source!BP142:BT142</xm:f>
              <xm:sqref>T108</xm:sqref>
            </x14:sparkline>
            <x14:sparkline>
              <xm:f>Referral_Source!BP143:BT143</xm:f>
              <xm:sqref>T109</xm:sqref>
            </x14:sparkline>
            <x14:sparkline>
              <xm:f>Referral_Source!BP144:BT144</xm:f>
              <xm:sqref>T110</xm:sqref>
            </x14:sparkline>
            <x14:sparkline>
              <xm:f>Referral_Source!BP145:BT145</xm:f>
              <xm:sqref>T111</xm:sqref>
            </x14:sparkline>
            <x14:sparkline>
              <xm:f>Referral_Source!BP146:BT146</xm:f>
              <xm:sqref>T112</xm:sqref>
            </x14:sparkline>
            <x14:sparkline>
              <xm:f>Referral_Source!BP147:BT147</xm:f>
              <xm:sqref>T113</xm:sqref>
            </x14:sparkline>
            <x14:sparkline>
              <xm:f>Referral_Source!BP148:BT148</xm:f>
              <xm:sqref>T114</xm:sqref>
            </x14:sparkline>
            <x14:sparkline>
              <xm:f>Referral_Source!BP149:BT149</xm:f>
              <xm:sqref>T115</xm:sqref>
            </x14:sparkline>
            <x14:sparkline>
              <xm:f>Referral_Source!BP150:BT150</xm:f>
              <xm:sqref>T116</xm:sqref>
            </x14:sparkline>
            <x14:sparkline>
              <xm:f>Referral_Source!BP151:BT151</xm:f>
              <xm:sqref>T117</xm:sqref>
            </x14:sparkline>
            <x14:sparkline>
              <xm:f>Referral_Source!BP152:BT152</xm:f>
              <xm:sqref>T118</xm:sqref>
            </x14:sparkline>
          </x14:sparklines>
        </x14:sparklineGroup>
        <x14:sparklineGroup manualMax="0" manualMin="0" displayEmptyCellsAs="gap" displayHidden="1" xr2:uid="{00000000-0003-0000-1200-000002000000}">
          <x14:colorSeries rgb="FF000000"/>
          <x14:colorNegative rgb="FF0070C0"/>
          <x14:colorAxis rgb="FF000000"/>
          <x14:colorMarkers rgb="FF0070C0"/>
          <x14:colorFirst rgb="FF0070C0"/>
          <x14:colorLast rgb="FF0070C0"/>
          <x14:colorHigh rgb="FF0070C0"/>
          <x14:colorLow rgb="FF0070C0"/>
          <x14:sparklines>
            <x14:sparkline>
              <xm:f>Referral_Source!BK132:BO132</xm:f>
              <xm:sqref>R98</xm:sqref>
            </x14:sparkline>
            <x14:sparkline>
              <xm:f>Referral_Source!BK133:BO133</xm:f>
              <xm:sqref>R99</xm:sqref>
            </x14:sparkline>
            <x14:sparkline>
              <xm:f>Referral_Source!BK134:BO134</xm:f>
              <xm:sqref>R100</xm:sqref>
            </x14:sparkline>
            <x14:sparkline>
              <xm:f>Referral_Source!BK135:BO135</xm:f>
              <xm:sqref>R101</xm:sqref>
            </x14:sparkline>
            <x14:sparkline>
              <xm:f>Referral_Source!BK136:BO136</xm:f>
              <xm:sqref>R102</xm:sqref>
            </x14:sparkline>
            <x14:sparkline>
              <xm:f>Referral_Source!BK137:BO137</xm:f>
              <xm:sqref>R103</xm:sqref>
            </x14:sparkline>
            <x14:sparkline>
              <xm:f>Referral_Source!BK138:BO138</xm:f>
              <xm:sqref>R104</xm:sqref>
            </x14:sparkline>
            <x14:sparkline>
              <xm:f>Referral_Source!BK139:BO139</xm:f>
              <xm:sqref>R105</xm:sqref>
            </x14:sparkline>
            <x14:sparkline>
              <xm:f>Referral_Source!BK140:BO140</xm:f>
              <xm:sqref>R106</xm:sqref>
            </x14:sparkline>
            <x14:sparkline>
              <xm:f>Referral_Source!BK141:BO141</xm:f>
              <xm:sqref>R107</xm:sqref>
            </x14:sparkline>
            <x14:sparkline>
              <xm:f>Referral_Source!BK142:BO142</xm:f>
              <xm:sqref>R108</xm:sqref>
            </x14:sparkline>
            <x14:sparkline>
              <xm:f>Referral_Source!BK143:BO143</xm:f>
              <xm:sqref>R109</xm:sqref>
            </x14:sparkline>
            <x14:sparkline>
              <xm:f>Referral_Source!BK144:BO144</xm:f>
              <xm:sqref>R110</xm:sqref>
            </x14:sparkline>
            <x14:sparkline>
              <xm:f>Referral_Source!BK145:BO145</xm:f>
              <xm:sqref>R111</xm:sqref>
            </x14:sparkline>
            <x14:sparkline>
              <xm:f>Referral_Source!BK146:BO146</xm:f>
              <xm:sqref>R112</xm:sqref>
            </x14:sparkline>
            <x14:sparkline>
              <xm:f>Referral_Source!BK147:BO147</xm:f>
              <xm:sqref>R113</xm:sqref>
            </x14:sparkline>
            <x14:sparkline>
              <xm:f>Referral_Source!BK148:BO148</xm:f>
              <xm:sqref>R114</xm:sqref>
            </x14:sparkline>
            <x14:sparkline>
              <xm:f>Referral_Source!BK149:BO149</xm:f>
              <xm:sqref>R115</xm:sqref>
            </x14:sparkline>
            <x14:sparkline>
              <xm:f>Referral_Source!BK150:BO150</xm:f>
              <xm:sqref>R116</xm:sqref>
            </x14:sparkline>
            <x14:sparkline>
              <xm:f>Referral_Source!BK151:BO151</xm:f>
              <xm:sqref>R117</xm:sqref>
            </x14:sparkline>
            <x14:sparkline>
              <xm:f>Referral_Source!BK152:BO152</xm:f>
              <xm:sqref>R118</xm:sqref>
            </x14:sparkline>
          </x14:sparklines>
        </x14:sparklineGroup>
        <x14:sparklineGroup manualMax="0" manualMin="0" displayEmptyCellsAs="gap" displayHidden="1" xr2:uid="{00000000-0003-0000-1200-000003000000}">
          <x14:colorSeries rgb="FF000000"/>
          <x14:colorNegative rgb="FF0070C0"/>
          <x14:colorAxis rgb="FF000000"/>
          <x14:colorMarkers rgb="FF0070C0"/>
          <x14:colorFirst rgb="FF0070C0"/>
          <x14:colorLast rgb="FF0070C0"/>
          <x14:colorHigh rgb="FF0070C0"/>
          <x14:colorLow rgb="FF0070C0"/>
          <x14:sparklines>
            <x14:sparkline>
              <xm:f>Referral_Source!BF132:BJ132</xm:f>
              <xm:sqref>P98</xm:sqref>
            </x14:sparkline>
            <x14:sparkline>
              <xm:f>Referral_Source!BF133:BJ133</xm:f>
              <xm:sqref>P99</xm:sqref>
            </x14:sparkline>
            <x14:sparkline>
              <xm:f>Referral_Source!BF134:BJ134</xm:f>
              <xm:sqref>P100</xm:sqref>
            </x14:sparkline>
            <x14:sparkline>
              <xm:f>Referral_Source!BF135:BJ135</xm:f>
              <xm:sqref>P101</xm:sqref>
            </x14:sparkline>
            <x14:sparkline>
              <xm:f>Referral_Source!BF136:BJ136</xm:f>
              <xm:sqref>P102</xm:sqref>
            </x14:sparkline>
            <x14:sparkline>
              <xm:f>Referral_Source!BF137:BJ137</xm:f>
              <xm:sqref>P103</xm:sqref>
            </x14:sparkline>
            <x14:sparkline>
              <xm:f>Referral_Source!BF138:BJ138</xm:f>
              <xm:sqref>P104</xm:sqref>
            </x14:sparkline>
            <x14:sparkline>
              <xm:f>Referral_Source!BF139:BJ139</xm:f>
              <xm:sqref>P105</xm:sqref>
            </x14:sparkline>
            <x14:sparkline>
              <xm:f>Referral_Source!BF140:BJ140</xm:f>
              <xm:sqref>P106</xm:sqref>
            </x14:sparkline>
            <x14:sparkline>
              <xm:f>Referral_Source!BF141:BJ141</xm:f>
              <xm:sqref>P107</xm:sqref>
            </x14:sparkline>
            <x14:sparkline>
              <xm:f>Referral_Source!BF142:BJ142</xm:f>
              <xm:sqref>P108</xm:sqref>
            </x14:sparkline>
            <x14:sparkline>
              <xm:f>Referral_Source!BF143:BJ143</xm:f>
              <xm:sqref>P109</xm:sqref>
            </x14:sparkline>
            <x14:sparkline>
              <xm:f>Referral_Source!BF144:BJ144</xm:f>
              <xm:sqref>P110</xm:sqref>
            </x14:sparkline>
            <x14:sparkline>
              <xm:f>Referral_Source!BF145:BJ145</xm:f>
              <xm:sqref>P111</xm:sqref>
            </x14:sparkline>
            <x14:sparkline>
              <xm:f>Referral_Source!BF146:BJ146</xm:f>
              <xm:sqref>P112</xm:sqref>
            </x14:sparkline>
            <x14:sparkline>
              <xm:f>Referral_Source!BF147:BJ147</xm:f>
              <xm:sqref>P113</xm:sqref>
            </x14:sparkline>
            <x14:sparkline>
              <xm:f>Referral_Source!BF148:BJ148</xm:f>
              <xm:sqref>P114</xm:sqref>
            </x14:sparkline>
            <x14:sparkline>
              <xm:f>Referral_Source!BF149:BJ149</xm:f>
              <xm:sqref>P115</xm:sqref>
            </x14:sparkline>
            <x14:sparkline>
              <xm:f>Referral_Source!BF150:BJ150</xm:f>
              <xm:sqref>P116</xm:sqref>
            </x14:sparkline>
            <x14:sparkline>
              <xm:f>Referral_Source!BF151:BJ151</xm:f>
              <xm:sqref>P117</xm:sqref>
            </x14:sparkline>
            <x14:sparkline>
              <xm:f>Referral_Source!BF152:BJ152</xm:f>
              <xm:sqref>P118</xm:sqref>
            </x14:sparkline>
          </x14:sparklines>
        </x14:sparklineGroup>
        <x14:sparklineGroup manualMax="0" manualMin="0" displayEmptyCellsAs="gap" displayHidden="1" xr2:uid="{00000000-0003-0000-1200-000004000000}">
          <x14:colorSeries rgb="FF000000"/>
          <x14:colorNegative rgb="FF0070C0"/>
          <x14:colorAxis rgb="FF000000"/>
          <x14:colorMarkers rgb="FF0070C0"/>
          <x14:colorFirst rgb="FF0070C0"/>
          <x14:colorLast rgb="FF0070C0"/>
          <x14:colorHigh rgb="FF0070C0"/>
          <x14:colorLow rgb="FF0070C0"/>
          <x14:sparklines>
            <x14:sparkline>
              <xm:f>Referral_Source!BA132:BE132</xm:f>
              <xm:sqref>N98</xm:sqref>
            </x14:sparkline>
            <x14:sparkline>
              <xm:f>Referral_Source!BA133:BE133</xm:f>
              <xm:sqref>N99</xm:sqref>
            </x14:sparkline>
            <x14:sparkline>
              <xm:f>Referral_Source!BA134:BE134</xm:f>
              <xm:sqref>N100</xm:sqref>
            </x14:sparkline>
            <x14:sparkline>
              <xm:f>Referral_Source!BA135:BE135</xm:f>
              <xm:sqref>N101</xm:sqref>
            </x14:sparkline>
            <x14:sparkline>
              <xm:f>Referral_Source!BA136:BE136</xm:f>
              <xm:sqref>N102</xm:sqref>
            </x14:sparkline>
            <x14:sparkline>
              <xm:f>Referral_Source!BA137:BE137</xm:f>
              <xm:sqref>N103</xm:sqref>
            </x14:sparkline>
            <x14:sparkline>
              <xm:f>Referral_Source!BA138:BE138</xm:f>
              <xm:sqref>N104</xm:sqref>
            </x14:sparkline>
            <x14:sparkline>
              <xm:f>Referral_Source!BA139:BE139</xm:f>
              <xm:sqref>N105</xm:sqref>
            </x14:sparkline>
            <x14:sparkline>
              <xm:f>Referral_Source!BA140:BE140</xm:f>
              <xm:sqref>N106</xm:sqref>
            </x14:sparkline>
            <x14:sparkline>
              <xm:f>Referral_Source!BA141:BE141</xm:f>
              <xm:sqref>N107</xm:sqref>
            </x14:sparkline>
            <x14:sparkline>
              <xm:f>Referral_Source!BA142:BE142</xm:f>
              <xm:sqref>N108</xm:sqref>
            </x14:sparkline>
            <x14:sparkline>
              <xm:f>Referral_Source!BA143:BE143</xm:f>
              <xm:sqref>N109</xm:sqref>
            </x14:sparkline>
            <x14:sparkline>
              <xm:f>Referral_Source!BA144:BE144</xm:f>
              <xm:sqref>N110</xm:sqref>
            </x14:sparkline>
            <x14:sparkline>
              <xm:f>Referral_Source!BA145:BE145</xm:f>
              <xm:sqref>N111</xm:sqref>
            </x14:sparkline>
            <x14:sparkline>
              <xm:f>Referral_Source!BA146:BE146</xm:f>
              <xm:sqref>N112</xm:sqref>
            </x14:sparkline>
            <x14:sparkline>
              <xm:f>Referral_Source!BA147:BE147</xm:f>
              <xm:sqref>N113</xm:sqref>
            </x14:sparkline>
            <x14:sparkline>
              <xm:f>Referral_Source!BA148:BE148</xm:f>
              <xm:sqref>N114</xm:sqref>
            </x14:sparkline>
            <x14:sparkline>
              <xm:f>Referral_Source!BA149:BE149</xm:f>
              <xm:sqref>N115</xm:sqref>
            </x14:sparkline>
            <x14:sparkline>
              <xm:f>Referral_Source!BA150:BE150</xm:f>
              <xm:sqref>N116</xm:sqref>
            </x14:sparkline>
            <x14:sparkline>
              <xm:f>Referral_Source!BA151:BE151</xm:f>
              <xm:sqref>N117</xm:sqref>
            </x14:sparkline>
            <x14:sparkline>
              <xm:f>Referral_Source!BA152:BE152</xm:f>
              <xm:sqref>N118</xm:sqref>
            </x14:sparkline>
          </x14:sparklines>
        </x14:sparklineGroup>
        <x14:sparklineGroup manualMax="0" manualMin="0" displayEmptyCellsAs="gap" displayHidden="1" xr2:uid="{00000000-0003-0000-1200-000005000000}">
          <x14:colorSeries rgb="FF000000"/>
          <x14:colorNegative rgb="FF0070C0"/>
          <x14:colorAxis rgb="FF000000"/>
          <x14:colorMarkers rgb="FF0070C0"/>
          <x14:colorFirst rgb="FF0070C0"/>
          <x14:colorLast rgb="FF0070C0"/>
          <x14:colorHigh rgb="FF0070C0"/>
          <x14:colorLow rgb="FF0070C0"/>
          <x14:sparklines>
            <x14:sparkline>
              <xm:f>Referral_Source!AV132:AZ132</xm:f>
              <xm:sqref>L98</xm:sqref>
            </x14:sparkline>
            <x14:sparkline>
              <xm:f>Referral_Source!AV133:AZ133</xm:f>
              <xm:sqref>L99</xm:sqref>
            </x14:sparkline>
            <x14:sparkline>
              <xm:f>Referral_Source!AV134:AZ134</xm:f>
              <xm:sqref>L100</xm:sqref>
            </x14:sparkline>
            <x14:sparkline>
              <xm:f>Referral_Source!AV135:AZ135</xm:f>
              <xm:sqref>L101</xm:sqref>
            </x14:sparkline>
            <x14:sparkline>
              <xm:f>Referral_Source!AV136:AZ136</xm:f>
              <xm:sqref>L102</xm:sqref>
            </x14:sparkline>
            <x14:sparkline>
              <xm:f>Referral_Source!AV137:AZ137</xm:f>
              <xm:sqref>L103</xm:sqref>
            </x14:sparkline>
            <x14:sparkline>
              <xm:f>Referral_Source!AV138:AZ138</xm:f>
              <xm:sqref>L104</xm:sqref>
            </x14:sparkline>
            <x14:sparkline>
              <xm:f>Referral_Source!AV139:AZ139</xm:f>
              <xm:sqref>L105</xm:sqref>
            </x14:sparkline>
            <x14:sparkline>
              <xm:f>Referral_Source!AV140:AZ140</xm:f>
              <xm:sqref>L106</xm:sqref>
            </x14:sparkline>
            <x14:sparkline>
              <xm:f>Referral_Source!AV141:AZ141</xm:f>
              <xm:sqref>L107</xm:sqref>
            </x14:sparkline>
            <x14:sparkline>
              <xm:f>Referral_Source!AV142:AZ142</xm:f>
              <xm:sqref>L108</xm:sqref>
            </x14:sparkline>
            <x14:sparkline>
              <xm:f>Referral_Source!AV143:AZ143</xm:f>
              <xm:sqref>L109</xm:sqref>
            </x14:sparkline>
            <x14:sparkline>
              <xm:f>Referral_Source!AV144:AZ144</xm:f>
              <xm:sqref>L110</xm:sqref>
            </x14:sparkline>
            <x14:sparkline>
              <xm:f>Referral_Source!AV145:AZ145</xm:f>
              <xm:sqref>L111</xm:sqref>
            </x14:sparkline>
            <x14:sparkline>
              <xm:f>Referral_Source!AV146:AZ146</xm:f>
              <xm:sqref>L112</xm:sqref>
            </x14:sparkline>
            <x14:sparkline>
              <xm:f>Referral_Source!AV147:AZ147</xm:f>
              <xm:sqref>L113</xm:sqref>
            </x14:sparkline>
            <x14:sparkline>
              <xm:f>Referral_Source!AV148:AZ148</xm:f>
              <xm:sqref>L114</xm:sqref>
            </x14:sparkline>
            <x14:sparkline>
              <xm:f>Referral_Source!AV149:AZ149</xm:f>
              <xm:sqref>L115</xm:sqref>
            </x14:sparkline>
            <x14:sparkline>
              <xm:f>Referral_Source!AV150:AZ150</xm:f>
              <xm:sqref>L116</xm:sqref>
            </x14:sparkline>
            <x14:sparkline>
              <xm:f>Referral_Source!AV151:AZ151</xm:f>
              <xm:sqref>L117</xm:sqref>
            </x14:sparkline>
            <x14:sparkline>
              <xm:f>Referral_Source!AV152:AZ152</xm:f>
              <xm:sqref>L118</xm:sqref>
            </x14:sparkline>
          </x14:sparklines>
        </x14:sparklineGroup>
        <x14:sparklineGroup manualMax="0" manualMin="0" displayEmptyCellsAs="gap" displayHidden="1" xr2:uid="{00000000-0003-0000-1200-000006000000}">
          <x14:colorSeries rgb="FF000000"/>
          <x14:colorNegative rgb="FF0070C0"/>
          <x14:colorAxis rgb="FF000000"/>
          <x14:colorMarkers rgb="FF0070C0"/>
          <x14:colorFirst rgb="FF0070C0"/>
          <x14:colorLast rgb="FF0070C0"/>
          <x14:colorHigh rgb="FF0070C0"/>
          <x14:colorLow rgb="FF0070C0"/>
          <x14:sparklines>
            <x14:sparkline>
              <xm:f>Referral_Source!AQ132:AU132</xm:f>
              <xm:sqref>J98</xm:sqref>
            </x14:sparkline>
            <x14:sparkline>
              <xm:f>Referral_Source!AQ133:AU133</xm:f>
              <xm:sqref>J99</xm:sqref>
            </x14:sparkline>
            <x14:sparkline>
              <xm:f>Referral_Source!AQ134:AU134</xm:f>
              <xm:sqref>J100</xm:sqref>
            </x14:sparkline>
            <x14:sparkline>
              <xm:f>Referral_Source!AQ135:AU135</xm:f>
              <xm:sqref>J101</xm:sqref>
            </x14:sparkline>
            <x14:sparkline>
              <xm:f>Referral_Source!AQ136:AU136</xm:f>
              <xm:sqref>J102</xm:sqref>
            </x14:sparkline>
            <x14:sparkline>
              <xm:f>Referral_Source!AQ137:AU137</xm:f>
              <xm:sqref>J103</xm:sqref>
            </x14:sparkline>
            <x14:sparkline>
              <xm:f>Referral_Source!AQ138:AU138</xm:f>
              <xm:sqref>J104</xm:sqref>
            </x14:sparkline>
            <x14:sparkline>
              <xm:f>Referral_Source!AQ139:AU139</xm:f>
              <xm:sqref>J105</xm:sqref>
            </x14:sparkline>
            <x14:sparkline>
              <xm:f>Referral_Source!AQ140:AU140</xm:f>
              <xm:sqref>J106</xm:sqref>
            </x14:sparkline>
            <x14:sparkline>
              <xm:f>Referral_Source!AQ141:AU141</xm:f>
              <xm:sqref>J107</xm:sqref>
            </x14:sparkline>
            <x14:sparkline>
              <xm:f>Referral_Source!AQ142:AU142</xm:f>
              <xm:sqref>J108</xm:sqref>
            </x14:sparkline>
            <x14:sparkline>
              <xm:f>Referral_Source!AQ143:AU143</xm:f>
              <xm:sqref>J109</xm:sqref>
            </x14:sparkline>
            <x14:sparkline>
              <xm:f>Referral_Source!AQ144:AU144</xm:f>
              <xm:sqref>J110</xm:sqref>
            </x14:sparkline>
            <x14:sparkline>
              <xm:f>Referral_Source!AQ145:AU145</xm:f>
              <xm:sqref>J111</xm:sqref>
            </x14:sparkline>
            <x14:sparkline>
              <xm:f>Referral_Source!AQ146:AU146</xm:f>
              <xm:sqref>J112</xm:sqref>
            </x14:sparkline>
            <x14:sparkline>
              <xm:f>Referral_Source!AQ147:AU147</xm:f>
              <xm:sqref>J113</xm:sqref>
            </x14:sparkline>
            <x14:sparkline>
              <xm:f>Referral_Source!AQ148:AU148</xm:f>
              <xm:sqref>J114</xm:sqref>
            </x14:sparkline>
            <x14:sparkline>
              <xm:f>Referral_Source!AQ149:AU149</xm:f>
              <xm:sqref>J115</xm:sqref>
            </x14:sparkline>
            <x14:sparkline>
              <xm:f>Referral_Source!AQ150:AU150</xm:f>
              <xm:sqref>J116</xm:sqref>
            </x14:sparkline>
            <x14:sparkline>
              <xm:f>Referral_Source!AQ151:AU151</xm:f>
              <xm:sqref>J117</xm:sqref>
            </x14:sparkline>
            <x14:sparkline>
              <xm:f>Referral_Source!AQ152:AU152</xm:f>
              <xm:sqref>J118</xm:sqref>
            </x14:sparkline>
          </x14:sparklines>
        </x14:sparklineGroup>
        <x14:sparklineGroup manualMax="0" manualMin="0" displayEmptyCellsAs="gap" displayHidden="1" xr2:uid="{00000000-0003-0000-1200-000007000000}">
          <x14:colorSeries rgb="FF000000"/>
          <x14:colorNegative rgb="FF0070C0"/>
          <x14:colorAxis rgb="FF000000"/>
          <x14:colorMarkers rgb="FF0070C0"/>
          <x14:colorFirst rgb="FF0070C0"/>
          <x14:colorLast rgb="FF0070C0"/>
          <x14:colorHigh rgb="FF0070C0"/>
          <x14:colorLow rgb="FF0070C0"/>
          <x14:sparklines>
            <x14:sparkline>
              <xm:f>Referral_Source!AL132:AP132</xm:f>
              <xm:sqref>H98</xm:sqref>
            </x14:sparkline>
            <x14:sparkline>
              <xm:f>Referral_Source!AL133:AP133</xm:f>
              <xm:sqref>H99</xm:sqref>
            </x14:sparkline>
            <x14:sparkline>
              <xm:f>Referral_Source!AL134:AP134</xm:f>
              <xm:sqref>H100</xm:sqref>
            </x14:sparkline>
            <x14:sparkline>
              <xm:f>Referral_Source!AL135:AP135</xm:f>
              <xm:sqref>H101</xm:sqref>
            </x14:sparkline>
            <x14:sparkline>
              <xm:f>Referral_Source!AL136:AP136</xm:f>
              <xm:sqref>H102</xm:sqref>
            </x14:sparkline>
            <x14:sparkline>
              <xm:f>Referral_Source!AL137:AP137</xm:f>
              <xm:sqref>H103</xm:sqref>
            </x14:sparkline>
            <x14:sparkline>
              <xm:f>Referral_Source!AL138:AP138</xm:f>
              <xm:sqref>H104</xm:sqref>
            </x14:sparkline>
            <x14:sparkline>
              <xm:f>Referral_Source!AL139:AP139</xm:f>
              <xm:sqref>H105</xm:sqref>
            </x14:sparkline>
            <x14:sparkline>
              <xm:f>Referral_Source!AL140:AP140</xm:f>
              <xm:sqref>H106</xm:sqref>
            </x14:sparkline>
            <x14:sparkline>
              <xm:f>Referral_Source!AL141:AP141</xm:f>
              <xm:sqref>H107</xm:sqref>
            </x14:sparkline>
            <x14:sparkline>
              <xm:f>Referral_Source!AL142:AP142</xm:f>
              <xm:sqref>H108</xm:sqref>
            </x14:sparkline>
            <x14:sparkline>
              <xm:f>Referral_Source!AL143:AP143</xm:f>
              <xm:sqref>H109</xm:sqref>
            </x14:sparkline>
            <x14:sparkline>
              <xm:f>Referral_Source!AL144:AP144</xm:f>
              <xm:sqref>H110</xm:sqref>
            </x14:sparkline>
            <x14:sparkline>
              <xm:f>Referral_Source!AL145:AP145</xm:f>
              <xm:sqref>H111</xm:sqref>
            </x14:sparkline>
            <x14:sparkline>
              <xm:f>Referral_Source!AL146:AP146</xm:f>
              <xm:sqref>H112</xm:sqref>
            </x14:sparkline>
            <x14:sparkline>
              <xm:f>Referral_Source!AL147:AP147</xm:f>
              <xm:sqref>H113</xm:sqref>
            </x14:sparkline>
            <x14:sparkline>
              <xm:f>Referral_Source!AL148:AP148</xm:f>
              <xm:sqref>H114</xm:sqref>
            </x14:sparkline>
            <x14:sparkline>
              <xm:f>Referral_Source!AL149:AP149</xm:f>
              <xm:sqref>H115</xm:sqref>
            </x14:sparkline>
            <x14:sparkline>
              <xm:f>Referral_Source!AL150:AP150</xm:f>
              <xm:sqref>H116</xm:sqref>
            </x14:sparkline>
            <x14:sparkline>
              <xm:f>Referral_Source!AL151:AP151</xm:f>
              <xm:sqref>H117</xm:sqref>
            </x14:sparkline>
            <x14:sparkline>
              <xm:f>Referral_Source!AL152:AP152</xm:f>
              <xm:sqref>H118</xm:sqref>
            </x14:sparkline>
          </x14:sparklines>
        </x14:sparklineGroup>
        <x14:sparklineGroup manualMax="0" manualMin="0" displayEmptyCellsAs="gap" displayHidden="1" xr2:uid="{00000000-0003-0000-1200-000008000000}">
          <x14:colorSeries rgb="FF000000"/>
          <x14:colorNegative rgb="FF0070C0"/>
          <x14:colorAxis rgb="FF000000"/>
          <x14:colorMarkers rgb="FF0070C0"/>
          <x14:colorFirst rgb="FF0070C0"/>
          <x14:colorLast rgb="FF0070C0"/>
          <x14:colorHigh rgb="FF0070C0"/>
          <x14:colorLow rgb="FF0070C0"/>
          <x14:sparklines>
            <x14:sparkline>
              <xm:f>Referral_Source!AB132:AF132</xm:f>
              <xm:sqref>D98</xm:sqref>
            </x14:sparkline>
            <x14:sparkline>
              <xm:f>Referral_Source!AB133:AF133</xm:f>
              <xm:sqref>D99</xm:sqref>
            </x14:sparkline>
            <x14:sparkline>
              <xm:f>Referral_Source!AB134:AF134</xm:f>
              <xm:sqref>D100</xm:sqref>
            </x14:sparkline>
            <x14:sparkline>
              <xm:f>Referral_Source!AB135:AF135</xm:f>
              <xm:sqref>D101</xm:sqref>
            </x14:sparkline>
            <x14:sparkline>
              <xm:f>Referral_Source!AB136:AF136</xm:f>
              <xm:sqref>D102</xm:sqref>
            </x14:sparkline>
            <x14:sparkline>
              <xm:f>Referral_Source!AB137:AF137</xm:f>
              <xm:sqref>D103</xm:sqref>
            </x14:sparkline>
            <x14:sparkline>
              <xm:f>Referral_Source!AB138:AF138</xm:f>
              <xm:sqref>D104</xm:sqref>
            </x14:sparkline>
            <x14:sparkline>
              <xm:f>Referral_Source!AB139:AF139</xm:f>
              <xm:sqref>D105</xm:sqref>
            </x14:sparkline>
            <x14:sparkline>
              <xm:f>Referral_Source!AB140:AF140</xm:f>
              <xm:sqref>D106</xm:sqref>
            </x14:sparkline>
            <x14:sparkline>
              <xm:f>Referral_Source!AB141:AF141</xm:f>
              <xm:sqref>D107</xm:sqref>
            </x14:sparkline>
            <x14:sparkline>
              <xm:f>Referral_Source!AB142:AF142</xm:f>
              <xm:sqref>D108</xm:sqref>
            </x14:sparkline>
            <x14:sparkline>
              <xm:f>Referral_Source!AB143:AF143</xm:f>
              <xm:sqref>D109</xm:sqref>
            </x14:sparkline>
            <x14:sparkline>
              <xm:f>Referral_Source!AB144:AF144</xm:f>
              <xm:sqref>D110</xm:sqref>
            </x14:sparkline>
            <x14:sparkline>
              <xm:f>Referral_Source!AB145:AF145</xm:f>
              <xm:sqref>D111</xm:sqref>
            </x14:sparkline>
            <x14:sparkline>
              <xm:f>Referral_Source!AB146:AF146</xm:f>
              <xm:sqref>D112</xm:sqref>
            </x14:sparkline>
            <x14:sparkline>
              <xm:f>Referral_Source!AB147:AF147</xm:f>
              <xm:sqref>D113</xm:sqref>
            </x14:sparkline>
            <x14:sparkline>
              <xm:f>Referral_Source!AB148:AF148</xm:f>
              <xm:sqref>D114</xm:sqref>
            </x14:sparkline>
            <x14:sparkline>
              <xm:f>Referral_Source!AB149:AF149</xm:f>
              <xm:sqref>D115</xm:sqref>
            </x14:sparkline>
            <x14:sparkline>
              <xm:f>Referral_Source!AB150:AF150</xm:f>
              <xm:sqref>D116</xm:sqref>
            </x14:sparkline>
            <x14:sparkline>
              <xm:f>Referral_Source!AB151:AF151</xm:f>
              <xm:sqref>D117</xm:sqref>
            </x14:sparkline>
            <x14:sparkline>
              <xm:f>Referral_Source!AB152:AF152</xm:f>
              <xm:sqref>D118</xm:sqref>
            </x14:sparkline>
          </x14:sparklines>
        </x14:sparklineGroup>
        <x14:sparklineGroup manualMax="0" manualMin="0" displayEmptyCellsAs="gap" displayHidden="1" xr2:uid="{00000000-0003-0000-1200-000009000000}">
          <x14:colorSeries rgb="FF000000"/>
          <x14:colorNegative rgb="FF0070C0"/>
          <x14:colorAxis rgb="FF000000"/>
          <x14:colorMarkers rgb="FF0070C0"/>
          <x14:colorFirst rgb="FF0070C0"/>
          <x14:colorLast rgb="FF0070C0"/>
          <x14:colorHigh rgb="FF0070C0"/>
          <x14:colorLow rgb="FF0070C0"/>
          <x14:sparklines>
            <x14:sparkline>
              <xm:f>Referral_Source!AG132:AK132</xm:f>
              <xm:sqref>F98</xm:sqref>
            </x14:sparkline>
            <x14:sparkline>
              <xm:f>Referral_Source!AG133:AK133</xm:f>
              <xm:sqref>F99</xm:sqref>
            </x14:sparkline>
            <x14:sparkline>
              <xm:f>Referral_Source!AG134:AK134</xm:f>
              <xm:sqref>F100</xm:sqref>
            </x14:sparkline>
            <x14:sparkline>
              <xm:f>Referral_Source!AG135:AK135</xm:f>
              <xm:sqref>F101</xm:sqref>
            </x14:sparkline>
            <x14:sparkline>
              <xm:f>Referral_Source!AG136:AK136</xm:f>
              <xm:sqref>F102</xm:sqref>
            </x14:sparkline>
            <x14:sparkline>
              <xm:f>Referral_Source!AG137:AK137</xm:f>
              <xm:sqref>F103</xm:sqref>
            </x14:sparkline>
            <x14:sparkline>
              <xm:f>Referral_Source!AG138:AK138</xm:f>
              <xm:sqref>F104</xm:sqref>
            </x14:sparkline>
            <x14:sparkline>
              <xm:f>Referral_Source!AG139:AK139</xm:f>
              <xm:sqref>F105</xm:sqref>
            </x14:sparkline>
            <x14:sparkline>
              <xm:f>Referral_Source!AG140:AK140</xm:f>
              <xm:sqref>F106</xm:sqref>
            </x14:sparkline>
            <x14:sparkline>
              <xm:f>Referral_Source!AG141:AK141</xm:f>
              <xm:sqref>F107</xm:sqref>
            </x14:sparkline>
            <x14:sparkline>
              <xm:f>Referral_Source!AG142:AK142</xm:f>
              <xm:sqref>F108</xm:sqref>
            </x14:sparkline>
            <x14:sparkline>
              <xm:f>Referral_Source!AG143:AK143</xm:f>
              <xm:sqref>F109</xm:sqref>
            </x14:sparkline>
            <x14:sparkline>
              <xm:f>Referral_Source!AG144:AK144</xm:f>
              <xm:sqref>F110</xm:sqref>
            </x14:sparkline>
            <x14:sparkline>
              <xm:f>Referral_Source!AG145:AK145</xm:f>
              <xm:sqref>F111</xm:sqref>
            </x14:sparkline>
            <x14:sparkline>
              <xm:f>Referral_Source!AG146:AK146</xm:f>
              <xm:sqref>F112</xm:sqref>
            </x14:sparkline>
            <x14:sparkline>
              <xm:f>Referral_Source!AG147:AK147</xm:f>
              <xm:sqref>F113</xm:sqref>
            </x14:sparkline>
            <x14:sparkline>
              <xm:f>Referral_Source!AG148:AK148</xm:f>
              <xm:sqref>F114</xm:sqref>
            </x14:sparkline>
            <x14:sparkline>
              <xm:f>Referral_Source!AG149:AK149</xm:f>
              <xm:sqref>F115</xm:sqref>
            </x14:sparkline>
            <x14:sparkline>
              <xm:f>Referral_Source!AG150:AK150</xm:f>
              <xm:sqref>F116</xm:sqref>
            </x14:sparkline>
            <x14:sparkline>
              <xm:f>Referral_Source!AG151:AK151</xm:f>
              <xm:sqref>F117</xm:sqref>
            </x14:sparkline>
            <x14:sparkline>
              <xm:f>Referral_Source!AG152:AK152</xm:f>
              <xm:sqref>F118</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tabColor rgb="FFFFC000"/>
  </sheetPr>
  <dimension ref="A1:AX299"/>
  <sheetViews>
    <sheetView showGridLines="0" showRowColHeaders="0" workbookViewId="0"/>
  </sheetViews>
  <sheetFormatPr defaultColWidth="9.140625" defaultRowHeight="11.25" customHeight="1"/>
  <cols>
    <col min="1" max="1" width="1.7109375" style="52" customWidth="1"/>
    <col min="2" max="2" width="19.42578125" style="52" customWidth="1"/>
    <col min="3" max="3" width="1.140625" style="52" customWidth="1"/>
    <col min="4" max="8" width="7.42578125" style="52" customWidth="1"/>
    <col min="9" max="9" width="8" style="52" customWidth="1"/>
    <col min="10" max="10" width="1.140625" customWidth="1"/>
    <col min="11" max="14" width="7.42578125" style="52" customWidth="1"/>
    <col min="15" max="15" width="7.28515625" style="52" customWidth="1"/>
    <col min="16" max="16" width="6" style="52" customWidth="1"/>
    <col min="17" max="17" width="6.42578125" style="52" customWidth="1"/>
    <col min="18" max="18" width="1.140625" style="52" customWidth="1"/>
    <col min="19" max="19" width="8.7109375" style="52" customWidth="1"/>
    <col min="20" max="20" width="8.28515625" style="52" customWidth="1"/>
    <col min="21" max="21" width="1.7109375" style="52" customWidth="1"/>
    <col min="22" max="22" width="6.42578125" style="55" customWidth="1"/>
    <col min="23" max="23" width="4.85546875" style="55" customWidth="1"/>
    <col min="24" max="24" width="18.7109375" style="56" hidden="1" customWidth="1"/>
    <col min="25" max="25" width="20.5703125" style="56" hidden="1" customWidth="1"/>
    <col min="26" max="26" width="26.140625" style="56" hidden="1" customWidth="1"/>
    <col min="27" max="27" width="18.7109375" style="56" hidden="1" customWidth="1"/>
    <col min="28" max="28" width="7.85546875" style="56" hidden="1" customWidth="1"/>
    <col min="29" max="29" width="8.42578125" style="56" hidden="1" customWidth="1"/>
    <col min="30" max="31" width="7.85546875" style="56" hidden="1" customWidth="1"/>
    <col min="32" max="32" width="17" style="56" hidden="1" customWidth="1"/>
    <col min="33" max="33" width="4.85546875" style="56" hidden="1" customWidth="1"/>
    <col min="34" max="34" width="2.7109375" style="56" hidden="1" customWidth="1"/>
    <col min="35" max="35" width="5.7109375" style="52" hidden="1" customWidth="1"/>
    <col min="36" max="36" width="31.5703125" style="52" customWidth="1"/>
    <col min="37" max="37" width="17" style="52" hidden="1" customWidth="1"/>
    <col min="38" max="42" width="13.5703125" style="52" hidden="1" customWidth="1"/>
    <col min="43" max="50" width="9.140625" style="52" hidden="1" customWidth="1"/>
    <col min="51" max="52" width="9.140625" style="52" customWidth="1"/>
    <col min="53" max="16384" width="9.140625" style="52"/>
  </cols>
  <sheetData>
    <row r="1" spans="1:50" ht="18.75" customHeight="1" thickBot="1">
      <c r="A1" s="81"/>
      <c r="B1" s="82"/>
      <c r="C1" s="82"/>
      <c r="D1" s="82"/>
      <c r="E1" s="82"/>
      <c r="F1" s="82"/>
      <c r="G1" s="82"/>
      <c r="H1" s="82"/>
      <c r="I1" s="82"/>
      <c r="J1" s="83"/>
      <c r="K1" s="82"/>
      <c r="L1" s="82"/>
      <c r="M1" s="82"/>
      <c r="N1" s="82"/>
      <c r="O1" s="82"/>
      <c r="P1" s="82"/>
      <c r="Q1" s="82"/>
      <c r="R1" s="82"/>
      <c r="S1" s="82"/>
      <c r="T1" s="82"/>
      <c r="U1" s="84"/>
      <c r="V1" s="207"/>
      <c r="W1" s="117"/>
      <c r="X1" s="135"/>
      <c r="Y1" s="534" t="str">
        <f>IF(ReportData!$C$3="Annual"," the year ending 31st March"," the quarter")</f>
        <v xml:space="preserve"> the year ending 31st March</v>
      </c>
      <c r="Z1" s="135"/>
      <c r="AA1" s="135"/>
      <c r="AB1" s="135"/>
      <c r="AC1" s="135"/>
      <c r="AD1" s="135"/>
      <c r="AE1" s="135"/>
      <c r="AF1" s="135"/>
      <c r="AG1" s="135"/>
      <c r="AH1" s="135"/>
      <c r="AI1" s="136"/>
      <c r="AJ1" s="118"/>
    </row>
    <row r="2" spans="1:50" ht="18.75" customHeight="1">
      <c r="A2" s="87"/>
      <c r="B2" s="888" t="s">
        <v>24</v>
      </c>
      <c r="C2" s="5"/>
      <c r="D2" s="5"/>
      <c r="E2" s="5"/>
      <c r="F2" s="5"/>
      <c r="G2" s="5"/>
      <c r="H2" s="5"/>
      <c r="I2" s="5"/>
      <c r="J2" s="1"/>
      <c r="K2" s="5"/>
      <c r="L2" s="5"/>
      <c r="M2" s="5"/>
      <c r="N2" s="5"/>
      <c r="O2" s="5"/>
      <c r="P2" s="5"/>
      <c r="Q2" s="5"/>
      <c r="R2" s="5"/>
      <c r="S2" s="5"/>
      <c r="T2" s="5"/>
      <c r="U2" s="86"/>
      <c r="V2" s="122"/>
      <c r="W2" s="114"/>
      <c r="X2" s="483">
        <f>IF(ReportData!$C$3="Annual",1,4)</f>
        <v>1</v>
      </c>
      <c r="Y2" s="461" t="str">
        <f>IF(ReportData!$C$3="Annual","",ReportData!$D$28)</f>
        <v/>
      </c>
      <c r="Z2" s="462" t="str">
        <f>IF(ReportData!$C$3="Annual","",ReportData!$E$28)</f>
        <v/>
      </c>
      <c r="AA2" s="462" t="str">
        <f>IF(ReportData!$C$3="Annual","",ReportData!$F$28)</f>
        <v/>
      </c>
      <c r="AB2" s="462" t="str">
        <f>IF(ReportData!$C$3="Annual","",ReportData!$G$28)</f>
        <v/>
      </c>
      <c r="AC2" s="463" t="str">
        <f>IF(ReportData!$C$3="Annual","",ReportData!$H$28)</f>
        <v/>
      </c>
      <c r="AJ2" s="119"/>
    </row>
    <row r="3" spans="1:50" ht="18.75" customHeight="1" thickBot="1">
      <c r="A3" s="91"/>
      <c r="B3" s="92"/>
      <c r="C3" s="92"/>
      <c r="D3" s="92"/>
      <c r="E3" s="92"/>
      <c r="F3" s="92"/>
      <c r="G3" s="92"/>
      <c r="H3" s="92"/>
      <c r="I3" s="200"/>
      <c r="J3" s="93"/>
      <c r="K3" s="92"/>
      <c r="L3" s="92"/>
      <c r="M3" s="92"/>
      <c r="N3" s="92"/>
      <c r="O3" s="92"/>
      <c r="P3" s="329"/>
      <c r="Q3" s="92"/>
      <c r="R3" s="92"/>
      <c r="S3" s="200"/>
      <c r="T3" s="92"/>
      <c r="U3" s="94"/>
      <c r="V3" s="122"/>
      <c r="W3" s="114"/>
      <c r="X3" s="464"/>
      <c r="Y3" s="464" t="str">
        <f>ReportData!$D$27</f>
        <v>2019/20</v>
      </c>
      <c r="Z3" s="465" t="str">
        <f>ReportData!$E$27</f>
        <v>2020/21</v>
      </c>
      <c r="AA3" s="465" t="str">
        <f>ReportData!$F$27</f>
        <v>2021/22</v>
      </c>
      <c r="AB3" s="465" t="str">
        <f>ReportData!$G$27</f>
        <v>2022/23</v>
      </c>
      <c r="AC3" s="466" t="str">
        <f>ReportData!$H$27</f>
        <v>2023/24</v>
      </c>
      <c r="AJ3" s="119"/>
    </row>
    <row r="4" spans="1:50" ht="11.25" customHeight="1">
      <c r="A4" s="81"/>
      <c r="B4" s="82"/>
      <c r="C4" s="82"/>
      <c r="D4" s="82"/>
      <c r="E4" s="82"/>
      <c r="F4" s="82"/>
      <c r="G4" s="82"/>
      <c r="H4" s="82"/>
      <c r="I4" s="82"/>
      <c r="J4" s="83"/>
      <c r="K4" s="82"/>
      <c r="L4" s="82"/>
      <c r="M4" s="82"/>
      <c r="N4" s="82"/>
      <c r="O4" s="82"/>
      <c r="P4" s="82"/>
      <c r="Q4" s="82"/>
      <c r="R4" s="82"/>
      <c r="S4" s="82"/>
      <c r="T4" s="82"/>
      <c r="U4" s="84"/>
      <c r="V4" s="119"/>
      <c r="W4" s="114"/>
      <c r="Y4" s="140" t="str">
        <f>Home!$D$5</f>
        <v>(none)</v>
      </c>
      <c r="Z4" s="25" t="str">
        <f>"Selected LA- "&amp;Y4</f>
        <v>Selected LA- (none)</v>
      </c>
      <c r="AJ4" s="119"/>
    </row>
    <row r="5" spans="1:50" ht="18.75" customHeight="1">
      <c r="A5" s="87"/>
      <c r="B5" s="1775" t="str">
        <f>"Re-referrals received in"&amp;Y1&amp;" [RIIA203]"</f>
        <v>Re-referrals received in the year ending 31st March [RIIA203]</v>
      </c>
      <c r="C5" s="1776"/>
      <c r="D5" s="1776"/>
      <c r="E5" s="1776"/>
      <c r="F5" s="1776"/>
      <c r="G5" s="1776"/>
      <c r="H5" s="1776"/>
      <c r="I5" s="1776"/>
      <c r="J5" s="1776"/>
      <c r="K5" s="1776"/>
      <c r="L5" s="1776"/>
      <c r="M5" s="1776"/>
      <c r="N5" s="1776"/>
      <c r="O5" s="50"/>
      <c r="P5" s="50"/>
      <c r="Q5" s="50"/>
      <c r="R5" s="50"/>
      <c r="S5" s="50"/>
      <c r="T5" s="50"/>
      <c r="U5" s="86"/>
      <c r="V5" s="119"/>
      <c r="W5" s="114"/>
      <c r="Y5" s="52"/>
      <c r="Z5" s="52"/>
      <c r="AA5" s="52"/>
      <c r="AB5" s="52"/>
      <c r="AC5" s="52"/>
      <c r="AD5" s="52"/>
      <c r="AE5" s="52"/>
      <c r="AF5" s="52"/>
      <c r="AG5" s="52"/>
      <c r="AH5" s="52"/>
      <c r="AJ5" s="119"/>
      <c r="AK5" s="52" t="str">
        <f>CONCATENATE($I$7,"in Number of "&amp;$B2)</f>
        <v>Average Annual Change in Number of Re-referrals</v>
      </c>
    </row>
    <row r="6" spans="1:50" ht="18.75" customHeight="1">
      <c r="A6" s="87"/>
      <c r="B6" s="1776"/>
      <c r="C6" s="1776"/>
      <c r="D6" s="1776"/>
      <c r="E6" s="1776"/>
      <c r="F6" s="1776"/>
      <c r="G6" s="1776"/>
      <c r="H6" s="1776"/>
      <c r="I6" s="1776"/>
      <c r="J6" s="1776"/>
      <c r="K6" s="1776"/>
      <c r="L6" s="1776"/>
      <c r="M6" s="1776"/>
      <c r="N6" s="1776"/>
      <c r="O6" s="50"/>
      <c r="P6" s="50"/>
      <c r="Q6" s="50"/>
      <c r="R6" s="50"/>
      <c r="S6" s="50"/>
      <c r="T6" s="50"/>
      <c r="U6" s="86"/>
      <c r="V6" s="119"/>
      <c r="W6" s="114"/>
      <c r="Y6" s="141"/>
      <c r="AJ6" s="119"/>
    </row>
    <row r="7" spans="1:50" ht="13.5" customHeight="1">
      <c r="A7" s="208"/>
      <c r="B7" s="1749" t="s">
        <v>177</v>
      </c>
      <c r="C7" s="896"/>
      <c r="D7" s="1777" t="s">
        <v>84</v>
      </c>
      <c r="E7" s="1777"/>
      <c r="F7" s="1777"/>
      <c r="G7" s="1777"/>
      <c r="H7" s="1778"/>
      <c r="I7" s="1761" t="str">
        <f>"Average "&amp;ReportData!C3&amp;" Change "</f>
        <v xml:space="preserve">Average Annual Change </v>
      </c>
      <c r="J7" s="896"/>
      <c r="K7" s="1765" t="s">
        <v>85</v>
      </c>
      <c r="L7" s="1766"/>
      <c r="M7" s="1766"/>
      <c r="N7" s="1766"/>
      <c r="O7" s="1766"/>
      <c r="P7" s="1767"/>
      <c r="Q7" s="1761" t="str">
        <f>IF(ISNA(O8),"Rank "&amp;O10,"Rank "&amp;LEFT(O8,5)&amp;" "&amp;RIGHT(O8,2))</f>
        <v>Rank 2023/ 24</v>
      </c>
      <c r="R7" s="64"/>
      <c r="S7" s="1783" t="str">
        <f>"Distance from "&amp;ReportData!$B$8&amp;" Expected Rate based on IDACI"</f>
        <v>Distance from 2024 Expected Rate based on IDACI</v>
      </c>
      <c r="T7" s="1784"/>
      <c r="U7" s="86"/>
      <c r="V7" s="186"/>
      <c r="W7" s="114"/>
      <c r="Y7" s="141"/>
      <c r="AA7" s="153" t="s">
        <v>76</v>
      </c>
      <c r="AJ7" s="119"/>
      <c r="AK7" s="350"/>
      <c r="AL7" s="350"/>
      <c r="AM7" s="350"/>
      <c r="AN7" s="350"/>
      <c r="AO7" s="350"/>
    </row>
    <row r="8" spans="1:50" s="61" customFormat="1" ht="13.5" customHeight="1">
      <c r="A8" s="88"/>
      <c r="B8" s="1749"/>
      <c r="C8" s="896"/>
      <c r="D8" s="1770" t="str">
        <f>ReportData!$D$27</f>
        <v>2019/20</v>
      </c>
      <c r="E8" s="1770" t="str">
        <f>ReportData!$E$27</f>
        <v>2020/21</v>
      </c>
      <c r="F8" s="1770" t="str">
        <f>ReportData!$F$27</f>
        <v>2021/22</v>
      </c>
      <c r="G8" s="1770" t="str">
        <f>ReportData!$G$27</f>
        <v>2022/23</v>
      </c>
      <c r="H8" s="1781" t="str">
        <f>ReportData!$H$27</f>
        <v>2023/24</v>
      </c>
      <c r="I8" s="1762"/>
      <c r="J8" s="896"/>
      <c r="K8" s="1770" t="str">
        <f>ReportData!$D$27</f>
        <v>2019/20</v>
      </c>
      <c r="L8" s="1770" t="str">
        <f>ReportData!$E$27</f>
        <v>2020/21</v>
      </c>
      <c r="M8" s="1770" t="str">
        <f>ReportData!$F$27</f>
        <v>2021/22</v>
      </c>
      <c r="N8" s="1770" t="str">
        <f>ReportData!$G$27</f>
        <v>2022/23</v>
      </c>
      <c r="O8" s="1789" t="str">
        <f>ReportData!$H$27</f>
        <v>2023/24</v>
      </c>
      <c r="P8" s="1790"/>
      <c r="Q8" s="1762"/>
      <c r="R8" s="64"/>
      <c r="S8" s="1785"/>
      <c r="T8" s="1786"/>
      <c r="U8" s="89"/>
      <c r="V8" s="103"/>
      <c r="W8" s="115"/>
      <c r="Y8" s="1772" t="s">
        <v>73</v>
      </c>
      <c r="Z8" s="1772" t="s">
        <v>74</v>
      </c>
      <c r="AA8" s="444" t="str">
        <f>ReportData!$D$27</f>
        <v>2019/20</v>
      </c>
      <c r="AB8" s="444" t="str">
        <f>ReportData!$E$27</f>
        <v>2020/21</v>
      </c>
      <c r="AC8" s="444" t="str">
        <f>ReportData!$F$27</f>
        <v>2021/22</v>
      </c>
      <c r="AD8" s="444" t="str">
        <f>ReportData!$G$27</f>
        <v>2022/23</v>
      </c>
      <c r="AE8" s="444" t="str">
        <f>ReportData!$H$27</f>
        <v>2023/24</v>
      </c>
      <c r="AF8" s="154" t="s">
        <v>88</v>
      </c>
      <c r="AG8" s="141"/>
      <c r="AH8" s="141"/>
      <c r="AJ8" s="121"/>
      <c r="AK8" s="109"/>
      <c r="AL8" s="109"/>
      <c r="AM8" s="109"/>
      <c r="AN8" s="109"/>
      <c r="AO8" s="109"/>
      <c r="AQ8" s="52"/>
      <c r="AR8" s="52"/>
      <c r="AS8" s="52"/>
      <c r="AT8" s="52"/>
      <c r="AU8" s="52"/>
      <c r="AV8" s="52"/>
      <c r="AW8" s="52"/>
      <c r="AX8" s="52"/>
    </row>
    <row r="9" spans="1:50" s="61" customFormat="1" ht="9" customHeight="1">
      <c r="A9" s="217"/>
      <c r="B9" s="1749"/>
      <c r="C9" s="896"/>
      <c r="D9" s="1771"/>
      <c r="E9" s="1771"/>
      <c r="F9" s="1771"/>
      <c r="G9" s="1771"/>
      <c r="H9" s="1782"/>
      <c r="I9" s="1762"/>
      <c r="J9" s="896"/>
      <c r="K9" s="1771"/>
      <c r="L9" s="1771"/>
      <c r="M9" s="1771"/>
      <c r="N9" s="1771"/>
      <c r="O9" s="1791"/>
      <c r="P9" s="1792"/>
      <c r="Q9" s="1762"/>
      <c r="R9" s="64"/>
      <c r="S9" s="1787"/>
      <c r="T9" s="1788"/>
      <c r="U9" s="89"/>
      <c r="V9" s="103"/>
      <c r="W9" s="115"/>
      <c r="Y9" s="1773"/>
      <c r="Z9" s="1773"/>
      <c r="AA9" s="444"/>
      <c r="AB9" s="444"/>
      <c r="AC9" s="444"/>
      <c r="AD9" s="444"/>
      <c r="AE9" s="444"/>
      <c r="AF9" s="154"/>
      <c r="AG9" s="141"/>
      <c r="AH9" s="141"/>
      <c r="AJ9" s="121"/>
      <c r="AK9" s="109"/>
      <c r="AL9" s="109"/>
      <c r="AM9" s="109"/>
      <c r="AN9" s="109"/>
      <c r="AO9" s="109"/>
      <c r="AQ9" s="52"/>
      <c r="AR9" s="52"/>
      <c r="AS9" s="52"/>
      <c r="AT9" s="52"/>
      <c r="AU9" s="52"/>
      <c r="AV9" s="52"/>
      <c r="AW9" s="52"/>
      <c r="AX9" s="52"/>
    </row>
    <row r="10" spans="1:50" s="61" customFormat="1" ht="13.5" customHeight="1">
      <c r="A10" s="88"/>
      <c r="B10" s="1764"/>
      <c r="C10" s="896"/>
      <c r="D10" s="897" t="e">
        <f>ReportData!$D$28</f>
        <v>#N/A</v>
      </c>
      <c r="E10" s="897" t="e">
        <f>ReportData!$E$28</f>
        <v>#N/A</v>
      </c>
      <c r="F10" s="897" t="e">
        <f>ReportData!$F$28</f>
        <v>#N/A</v>
      </c>
      <c r="G10" s="897" t="e">
        <f>ReportData!$G$28</f>
        <v>#N/A</v>
      </c>
      <c r="H10" s="920" t="e">
        <f>ReportData!$H$28</f>
        <v>#N/A</v>
      </c>
      <c r="I10" s="1763"/>
      <c r="J10" s="896"/>
      <c r="K10" s="897" t="e">
        <f>ReportData!$D$28</f>
        <v>#N/A</v>
      </c>
      <c r="L10" s="897" t="e">
        <f>ReportData!$E$28</f>
        <v>#N/A</v>
      </c>
      <c r="M10" s="897" t="e">
        <f>ReportData!$F$28</f>
        <v>#N/A</v>
      </c>
      <c r="N10" s="897" t="e">
        <f>ReportData!$G$28</f>
        <v>#N/A</v>
      </c>
      <c r="O10" s="1779" t="e">
        <f>ReportData!$H$28</f>
        <v>#N/A</v>
      </c>
      <c r="P10" s="1780"/>
      <c r="Q10" s="1763"/>
      <c r="R10" s="64"/>
      <c r="S10" s="898" t="s">
        <v>110</v>
      </c>
      <c r="T10" s="899" t="s">
        <v>111</v>
      </c>
      <c r="U10" s="89"/>
      <c r="V10" s="103"/>
      <c r="W10" s="115"/>
      <c r="Y10" s="1774"/>
      <c r="Z10" s="1774"/>
      <c r="AA10" s="444" t="e">
        <f>ReportData!$D$28</f>
        <v>#N/A</v>
      </c>
      <c r="AB10" s="444" t="e">
        <f>ReportData!$E$28</f>
        <v>#N/A</v>
      </c>
      <c r="AC10" s="444" t="e">
        <f>ReportData!$F$28</f>
        <v>#N/A</v>
      </c>
      <c r="AD10" s="444" t="e">
        <f>ReportData!$G$28</f>
        <v>#N/A</v>
      </c>
      <c r="AE10" s="444" t="e">
        <f>ReportData!$H$28</f>
        <v>#N/A</v>
      </c>
      <c r="AF10" s="141"/>
      <c r="AG10" s="141">
        <f>COLUMNS($B$4:O$4)</f>
        <v>14</v>
      </c>
      <c r="AH10" s="141"/>
      <c r="AJ10" s="121"/>
      <c r="AK10" s="479" t="s">
        <v>598</v>
      </c>
      <c r="AL10" s="479" t="s">
        <v>599</v>
      </c>
      <c r="AM10" s="479" t="s">
        <v>600</v>
      </c>
      <c r="AN10" s="479" t="s">
        <v>601</v>
      </c>
      <c r="AO10" s="479" t="s">
        <v>602</v>
      </c>
      <c r="AQ10" s="52"/>
      <c r="AR10" s="52"/>
      <c r="AS10" s="52"/>
      <c r="AT10" s="52"/>
      <c r="AU10" s="52"/>
      <c r="AV10" s="52"/>
      <c r="AW10" s="52"/>
      <c r="AX10" s="52"/>
    </row>
    <row r="11" spans="1:50" s="61" customFormat="1" ht="15.75" customHeight="1">
      <c r="A11" s="1103">
        <f>VLOOKUP(B11,ReportData!$AQ$4:$AR$25,2,FALSE)</f>
        <v>0</v>
      </c>
      <c r="B11" s="885" t="str">
        <f>ReportData!$K$4</f>
        <v>Bracknell Forest</v>
      </c>
      <c r="C11" s="896"/>
      <c r="D11" s="889">
        <f>IF(Year1_Bracknell_Forest Year1_ReReferrals="","",Year1_Bracknell_Forest Year1_ReReferrals)</f>
        <v>434</v>
      </c>
      <c r="E11" s="889">
        <f>IF(Year2_Bracknell_Forest Year2_ReReferrals="","",Year2_Bracknell_Forest Year2_ReReferrals)</f>
        <v>333</v>
      </c>
      <c r="F11" s="889">
        <f>IF(Year3_Bracknell_Forest Year3_ReReferrals="","",Year3_Bracknell_Forest Year3_ReReferrals)</f>
        <v>283</v>
      </c>
      <c r="G11" s="889">
        <f>IF(Year4_Bracknell_Forest Year4_ReReferrals="","",Year4_Bracknell_Forest Year4_ReReferrals)</f>
        <v>402</v>
      </c>
      <c r="H11" s="890">
        <f>IF(Year5_Bracknell_Forest Year5_ReReferrals="","",Year5_Bracknell_Forest Year5_ReReferrals)</f>
        <v>376</v>
      </c>
      <c r="I11" s="900">
        <f>AO11</f>
        <v>-6.7627403570366292E-3</v>
      </c>
      <c r="J11" s="896"/>
      <c r="K11" s="901">
        <f>IF(ISNUMBER(D11),D11/Population!D11*10000,NA())</f>
        <v>158.98600630082791</v>
      </c>
      <c r="L11" s="901">
        <f>IF(ISNUMBER(E11),E11/Population!E11*10000,NA())</f>
        <v>120.67840834964122</v>
      </c>
      <c r="M11" s="901">
        <f>IF(ISNUMBER(F11),F11/Population!F11*10000,NA())</f>
        <v>101.71440894224203</v>
      </c>
      <c r="N11" s="901">
        <f>IF(ISNUMBER(G11),G11/Population!G11*10000,NA())</f>
        <v>141.89904694669963</v>
      </c>
      <c r="O11" s="1138">
        <f>IF(ISNUMBER(H11),H11/Population!H11*10000,NA())</f>
        <v>131.25283624812371</v>
      </c>
      <c r="P11" s="903">
        <f>IF(ISNUMBER(O11),O11,"")</f>
        <v>131.25283624812371</v>
      </c>
      <c r="Q11" s="1139">
        <f t="shared" ref="Q11:Q31" si="0">IF(ISNA(VLOOKUP(B11,$AF$11:$AH$29,3,FALSE)),"--",IF(ISNUMBER(H11),VLOOKUP(B11,$AF$11:$AH$29,3,FALSE),NA()))</f>
        <v>10</v>
      </c>
      <c r="R11" s="64"/>
      <c r="S11" s="905">
        <f>((IDACI!$C9*$Y$41)+$Z$41)/$X$2</f>
        <v>77.395431984102657</v>
      </c>
      <c r="T11" s="906">
        <f t="shared" ref="T11:T31" si="1">O11-S11</f>
        <v>53.857404264021056</v>
      </c>
      <c r="U11" s="89"/>
      <c r="V11" s="103"/>
      <c r="W11" s="115"/>
      <c r="X11" s="51" t="str">
        <f t="shared" ref="X11:X31" si="2">B11</f>
        <v>Bracknell Forest</v>
      </c>
      <c r="Y11" s="27">
        <f>IF(ISNUMBER($H11),IDACI!D9,0)</f>
        <v>24849</v>
      </c>
      <c r="Z11" s="27">
        <f>IF(ISNUMBER($H11),IDACI!E9,0)</f>
        <v>2211.5610000000001</v>
      </c>
      <c r="AA11" s="155">
        <f>IF(ISNUMBER(D11),Population!D11,"")</f>
        <v>27298</v>
      </c>
      <c r="AB11" s="155">
        <f>IF(ISNUMBER(E11),Population!E11,"")</f>
        <v>27594</v>
      </c>
      <c r="AC11" s="155">
        <f>IF(ISNUMBER(F11),Population!F11,"")</f>
        <v>27823</v>
      </c>
      <c r="AD11" s="155">
        <f>IF(ISNUMBER(G11),Population!G11,"")</f>
        <v>28330</v>
      </c>
      <c r="AE11" s="155">
        <f>IF(ISNUMBER(H11),Population!H11,"")</f>
        <v>28647</v>
      </c>
      <c r="AF11" s="65" t="str">
        <f>B11</f>
        <v>Bracknell Forest</v>
      </c>
      <c r="AG11" s="70">
        <f t="shared" ref="AG11:AG29" si="3">IFERROR(VLOOKUP(AF11,$B$11:$O$29,$AG$10,FALSE),"")</f>
        <v>131.25283624812371</v>
      </c>
      <c r="AH11" s="156">
        <f t="shared" ref="AH11:AH29" si="4">RANK(AG11,$AG$11:$AG$29,1)</f>
        <v>10</v>
      </c>
      <c r="AJ11" s="121"/>
      <c r="AK11" s="480">
        <f t="shared" ref="AK11:AK29" si="5">IF(ISERROR((E11-D11)/D11),"x",(E11-D11)/D11)</f>
        <v>-0.23271889400921658</v>
      </c>
      <c r="AL11" s="480">
        <f t="shared" ref="AL11:AL29" si="6">IF(ISERROR((F11-E11)/E11),"x",(F11-E11)/E11)</f>
        <v>-0.15015015015015015</v>
      </c>
      <c r="AM11" s="480">
        <f t="shared" ref="AM11:AM29" si="7">IF(ISERROR((G11-F11)/F11),"x",(G11-F11)/F11)</f>
        <v>0.4204946996466431</v>
      </c>
      <c r="AN11" s="480">
        <f t="shared" ref="AN11:AN29" si="8">IF(ISERROR((H11-G11)/G11),"x",(H11-G11)/G11)</f>
        <v>-6.4676616915422883E-2</v>
      </c>
      <c r="AO11" s="480">
        <f>AVERAGE(AK11:AN11)</f>
        <v>-6.7627403570366292E-3</v>
      </c>
      <c r="AQ11" s="52"/>
      <c r="AR11" s="52"/>
      <c r="AS11" s="52"/>
      <c r="AT11" s="52"/>
      <c r="AU11" s="52"/>
      <c r="AV11" s="52"/>
      <c r="AW11" s="52"/>
      <c r="AX11" s="52"/>
    </row>
    <row r="12" spans="1:50" s="61" customFormat="1" ht="15.75" customHeight="1">
      <c r="A12" s="1103">
        <f>VLOOKUP(B12,ReportData!$AQ$4:$AR$25,2,FALSE)</f>
        <v>0</v>
      </c>
      <c r="B12" s="885" t="str">
        <f>ReportData!$K$5</f>
        <v>Brighton &amp; Hove</v>
      </c>
      <c r="C12" s="896"/>
      <c r="D12" s="889">
        <f>IF(Year1_Brighton_and_Hove Year1_ReReferrals="","",Year1_Brighton_and_Hove Year1_ReReferrals)</f>
        <v>1094</v>
      </c>
      <c r="E12" s="889">
        <f>IF(Year2_Brighton_and_Hove Year2_ReReferrals="","",Year2_Brighton_and_Hove Year2_ReReferrals)</f>
        <v>802</v>
      </c>
      <c r="F12" s="889">
        <f>IF(Year3_Brighton_and_Hove Year3_ReReferrals="","",Year3_Brighton_and_Hove Year3_ReReferrals)</f>
        <v>695</v>
      </c>
      <c r="G12" s="889">
        <f>IF(Year4_Brighton_and_Hove Year4_ReReferrals="","",Year4_Brighton_and_Hove Year4_ReReferrals)</f>
        <v>811</v>
      </c>
      <c r="H12" s="890">
        <f>IF(Year5_Brighton_and_Hove Year5_ReReferrals="","",Year5_Brighton_and_Hove Year5_ReReferrals)</f>
        <v>798</v>
      </c>
      <c r="I12" s="900">
        <f t="shared" ref="I12:I25" si="9">AO12</f>
        <v>-6.2362499400747097E-2</v>
      </c>
      <c r="J12" s="896"/>
      <c r="K12" s="901">
        <f>IF(ISNUMBER(D12),D12/Population!D12*10000,NA())</f>
        <v>226.02371802818064</v>
      </c>
      <c r="L12" s="901">
        <f>IF(ISNUMBER(E12),E12/Population!E12*10000,NA())</f>
        <v>167.20873988824954</v>
      </c>
      <c r="M12" s="901">
        <f>IF(ISNUMBER(F12),F12/Population!F12*10000,NA())</f>
        <v>147.48010610079575</v>
      </c>
      <c r="N12" s="901">
        <f>IF(ISNUMBER(G12),G12/Population!G12*10000,NA())</f>
        <v>172.04072974119643</v>
      </c>
      <c r="O12" s="902">
        <f>IF(ISNUMBER(H12),H12/Population!H12*10000,NA())</f>
        <v>171.0024428920413</v>
      </c>
      <c r="P12" s="903">
        <f t="shared" ref="P12:P25" si="10">IF(ISNUMBER(O12),O12,"")</f>
        <v>171.0024428920413</v>
      </c>
      <c r="Q12" s="1139">
        <f t="shared" si="0"/>
        <v>13</v>
      </c>
      <c r="R12" s="64"/>
      <c r="S12" s="905">
        <f>((IDACI!$C10*$Y$41)+$Z$41)/$X$2</f>
        <v>105.42876515862595</v>
      </c>
      <c r="T12" s="906">
        <f t="shared" si="1"/>
        <v>65.573677733415352</v>
      </c>
      <c r="U12" s="89"/>
      <c r="V12" s="103"/>
      <c r="W12" s="115"/>
      <c r="X12" s="51" t="str">
        <f t="shared" si="2"/>
        <v>Brighton &amp; Hove</v>
      </c>
      <c r="Y12" s="27">
        <f>IF(ISNUMBER($H12),IDACI!D10,0)</f>
        <v>45576</v>
      </c>
      <c r="Z12" s="27">
        <f>IF(ISNUMBER($H12),IDACI!E10,0)</f>
        <v>6973.1279999999997</v>
      </c>
      <c r="AA12" s="155">
        <f>IF(ISNUMBER(D12),Population!D12,"")</f>
        <v>48402</v>
      </c>
      <c r="AB12" s="155">
        <f>IF(ISNUMBER(E12),Population!E12,"")</f>
        <v>47964</v>
      </c>
      <c r="AC12" s="155">
        <f>IF(ISNUMBER(F12),Population!F12,"")</f>
        <v>47125</v>
      </c>
      <c r="AD12" s="155">
        <f>IF(ISNUMBER(G12),Population!G12,"")</f>
        <v>47140</v>
      </c>
      <c r="AE12" s="155">
        <f>IF(ISNUMBER(H12),Population!H12,"")</f>
        <v>46666</v>
      </c>
      <c r="AF12" s="65" t="s">
        <v>28</v>
      </c>
      <c r="AG12" s="70">
        <f t="shared" si="3"/>
        <v>171.0024428920413</v>
      </c>
      <c r="AH12" s="156">
        <f t="shared" si="4"/>
        <v>13</v>
      </c>
      <c r="AJ12" s="121"/>
      <c r="AK12" s="480">
        <f t="shared" si="5"/>
        <v>-0.26691042047531993</v>
      </c>
      <c r="AL12" s="480">
        <f t="shared" si="6"/>
        <v>-0.13341645885286782</v>
      </c>
      <c r="AM12" s="480">
        <f t="shared" si="7"/>
        <v>0.1669064748201439</v>
      </c>
      <c r="AN12" s="480">
        <f t="shared" si="8"/>
        <v>-1.6029593094944512E-2</v>
      </c>
      <c r="AO12" s="480">
        <f t="shared" ref="AO12:AO25" si="11">AVERAGE(AK12:AN12)</f>
        <v>-6.2362499400747097E-2</v>
      </c>
      <c r="AQ12" s="52"/>
      <c r="AR12" s="52"/>
      <c r="AS12" s="52"/>
      <c r="AT12" s="52"/>
      <c r="AU12" s="52"/>
      <c r="AV12" s="52"/>
      <c r="AW12" s="52"/>
      <c r="AX12" s="52"/>
    </row>
    <row r="13" spans="1:50" s="61" customFormat="1" ht="15.75" customHeight="1">
      <c r="A13" s="1103">
        <f>VLOOKUP(B13,ReportData!$AQ$4:$AR$25,2,FALSE)</f>
        <v>0</v>
      </c>
      <c r="B13" s="885" t="str">
        <f>ReportData!$K$6</f>
        <v>Buckinghamshire</v>
      </c>
      <c r="C13" s="896"/>
      <c r="D13" s="889">
        <f>IF(Year1_Buckinghamshire Year1_ReReferrals="","",Year1_Buckinghamshire Year1_ReReferrals)</f>
        <v>2180</v>
      </c>
      <c r="E13" s="889">
        <f>IF(Year2_Buckinghamshire Year2_ReReferrals="","",Year2_Buckinghamshire Year2_ReReferrals)</f>
        <v>3558</v>
      </c>
      <c r="F13" s="889">
        <f>IF(Year3_Buckinghamshire Year3_ReReferrals="","",Year3_Buckinghamshire Year3_ReReferrals)</f>
        <v>4276</v>
      </c>
      <c r="G13" s="889">
        <f>IF(Year4_Buckinghamshire Year4_ReReferrals="","",Year4_Buckinghamshire Year4_ReReferrals)</f>
        <v>4752</v>
      </c>
      <c r="H13" s="890">
        <f>IF(Year5_Buckinghamshire Year5_ReReferrals="","",Year5_Buckinghamshire Year5_ReReferrals)</f>
        <v>1541</v>
      </c>
      <c r="I13" s="900">
        <f t="shared" si="9"/>
        <v>6.737808914695928E-2</v>
      </c>
      <c r="J13" s="896"/>
      <c r="K13" s="901">
        <f>IF(ISNUMBER(D13),D13/Population!D13*10000,NA())</f>
        <v>178.48809124180227</v>
      </c>
      <c r="L13" s="901">
        <f>IF(ISNUMBER(E13),E13/Population!E13*10000,NA())</f>
        <v>290.46083513612803</v>
      </c>
      <c r="M13" s="901">
        <f>IF(ISNUMBER(F13),F13/Population!F13*10000,NA())</f>
        <v>346.2067848757186</v>
      </c>
      <c r="N13" s="901">
        <f>IF(ISNUMBER(G13),G13/Population!G13*10000,NA())</f>
        <v>377.39745066116029</v>
      </c>
      <c r="O13" s="902">
        <f>IF(ISNUMBER(H13),H13/Population!H13*10000,NA())</f>
        <v>120.75288365095285</v>
      </c>
      <c r="P13" s="903">
        <f t="shared" si="10"/>
        <v>120.75288365095285</v>
      </c>
      <c r="Q13" s="1139">
        <f t="shared" si="0"/>
        <v>9</v>
      </c>
      <c r="R13" s="64"/>
      <c r="S13" s="905">
        <f>((IDACI!$C11*$Y$41)+$Z$41)/$X$2</f>
        <v>75.643348660694954</v>
      </c>
      <c r="T13" s="906">
        <f t="shared" si="1"/>
        <v>45.109534990257899</v>
      </c>
      <c r="U13" s="89"/>
      <c r="V13" s="103"/>
      <c r="W13" s="115"/>
      <c r="X13" s="51" t="str">
        <f t="shared" si="2"/>
        <v>Buckinghamshire</v>
      </c>
      <c r="Y13" s="27">
        <f>IF(ISNUMBER($H13),IDACI!D11,0)</f>
        <v>107385</v>
      </c>
      <c r="Z13" s="27">
        <f>IF(ISNUMBER($H13),IDACI!E11,0)</f>
        <v>9127.7250000000004</v>
      </c>
      <c r="AA13" s="155">
        <f>IF(ISNUMBER(D13),Population!D13,"")</f>
        <v>122137</v>
      </c>
      <c r="AB13" s="155">
        <f>IF(ISNUMBER(E13),Population!E13,"")</f>
        <v>122495</v>
      </c>
      <c r="AC13" s="155">
        <f>IF(ISNUMBER(F13),Population!F13,"")</f>
        <v>123510</v>
      </c>
      <c r="AD13" s="155">
        <f>IF(ISNUMBER(G13),Population!G13,"")</f>
        <v>125915</v>
      </c>
      <c r="AE13" s="155">
        <f>IF(ISNUMBER(H13),Population!H13,"")</f>
        <v>127616</v>
      </c>
      <c r="AF13" s="65" t="s">
        <v>8</v>
      </c>
      <c r="AG13" s="70">
        <f t="shared" si="3"/>
        <v>120.75288365095285</v>
      </c>
      <c r="AH13" s="156">
        <f t="shared" si="4"/>
        <v>9</v>
      </c>
      <c r="AJ13" s="121"/>
      <c r="AK13" s="480">
        <f t="shared" si="5"/>
        <v>0.63211009174311927</v>
      </c>
      <c r="AL13" s="480">
        <f t="shared" si="6"/>
        <v>0.20179876335019675</v>
      </c>
      <c r="AM13" s="480">
        <f t="shared" si="7"/>
        <v>0.11131898971000935</v>
      </c>
      <c r="AN13" s="480">
        <f t="shared" si="8"/>
        <v>-0.67571548821548821</v>
      </c>
      <c r="AO13" s="480">
        <f t="shared" si="11"/>
        <v>6.737808914695928E-2</v>
      </c>
      <c r="AQ13" s="52"/>
      <c r="AR13" s="52"/>
      <c r="AS13" s="52"/>
      <c r="AT13" s="52"/>
      <c r="AU13" s="52"/>
      <c r="AV13" s="52"/>
      <c r="AW13" s="52"/>
      <c r="AX13" s="52"/>
    </row>
    <row r="14" spans="1:50" s="61" customFormat="1" ht="15.75" customHeight="1">
      <c r="A14" s="1103">
        <f>VLOOKUP(B14,ReportData!$AQ$4:$AR$25,2,FALSE)</f>
        <v>0</v>
      </c>
      <c r="B14" s="885" t="str">
        <f>ReportData!$K$7</f>
        <v>East Sussex</v>
      </c>
      <c r="C14" s="896"/>
      <c r="D14" s="889">
        <f>IF(Year1_East_Sussex Year1_ReReferrals="","",Year1_East_Sussex Year1_ReReferrals)</f>
        <v>761</v>
      </c>
      <c r="E14" s="889">
        <f>IF(Year2_East_Sussex Year2_ReReferrals="","",Year2_East_Sussex Year2_ReReferrals)</f>
        <v>788</v>
      </c>
      <c r="F14" s="889">
        <f>IF(Year3_East_Sussex Year3_ReReferrals="","",Year3_East_Sussex Year3_ReReferrals)</f>
        <v>691</v>
      </c>
      <c r="G14" s="889">
        <f>IF(Year4_East_Sussex Year4_ReReferrals="","",Year4_East_Sussex Year4_ReReferrals)</f>
        <v>643</v>
      </c>
      <c r="H14" s="890">
        <f>IF(Year5_East_Sussex Year5_ReReferrals="","",Year5_East_Sussex Year5_ReReferrals)</f>
        <v>653</v>
      </c>
      <c r="I14" s="900">
        <f t="shared" si="9"/>
        <v>-3.5382314810731202E-2</v>
      </c>
      <c r="J14" s="896"/>
      <c r="K14" s="901">
        <f>IF(ISNUMBER(D14),D14/Population!D14*10000,NA())</f>
        <v>73.940206566201255</v>
      </c>
      <c r="L14" s="901">
        <f>IF(ISNUMBER(E14),E14/Population!E14*10000,NA())</f>
        <v>76.938849236957978</v>
      </c>
      <c r="M14" s="901">
        <f>IF(ISNUMBER(F14),F14/Population!F14*10000,NA())</f>
        <v>67.772339862101433</v>
      </c>
      <c r="N14" s="901">
        <f>IF(ISNUMBER(G14),G14/Population!G14*10000,NA())</f>
        <v>62.533430585947002</v>
      </c>
      <c r="O14" s="902">
        <f>IF(ISNUMBER(H14),H14/Population!H14*10000,NA())</f>
        <v>63.02723780476034</v>
      </c>
      <c r="P14" s="903">
        <f t="shared" si="10"/>
        <v>63.02723780476034</v>
      </c>
      <c r="Q14" s="1139">
        <f t="shared" si="0"/>
        <v>3</v>
      </c>
      <c r="R14" s="64"/>
      <c r="S14" s="905">
        <f>((IDACI!$C12*$Y$41)+$Z$41)/$X$2</f>
        <v>108.93293180544137</v>
      </c>
      <c r="T14" s="906">
        <f t="shared" si="1"/>
        <v>-45.905694000681031</v>
      </c>
      <c r="U14" s="89"/>
      <c r="V14" s="103"/>
      <c r="W14" s="115"/>
      <c r="X14" s="51" t="str">
        <f t="shared" si="2"/>
        <v>East Sussex</v>
      </c>
      <c r="Y14" s="27">
        <f>IF(ISNUMBER($H14),IDACI!D12,0)</f>
        <v>93130</v>
      </c>
      <c r="Z14" s="27">
        <f>IF(ISNUMBER($H14),IDACI!E12,0)</f>
        <v>14993.93</v>
      </c>
      <c r="AA14" s="155">
        <f>IF(ISNUMBER(D14),Population!D14,"")</f>
        <v>102921</v>
      </c>
      <c r="AB14" s="155">
        <f>IF(ISNUMBER(E14),Population!E14,"")</f>
        <v>102419</v>
      </c>
      <c r="AC14" s="155">
        <f>IF(ISNUMBER(F14),Population!F14,"")</f>
        <v>101959</v>
      </c>
      <c r="AD14" s="155">
        <f>IF(ISNUMBER(G14),Population!G14,"")</f>
        <v>102825</v>
      </c>
      <c r="AE14" s="155">
        <f>IF(ISNUMBER(H14),Population!H14,"")</f>
        <v>103606</v>
      </c>
      <c r="AF14" s="65" t="s">
        <v>4</v>
      </c>
      <c r="AG14" s="70">
        <f t="shared" si="3"/>
        <v>63.02723780476034</v>
      </c>
      <c r="AH14" s="156">
        <f t="shared" si="4"/>
        <v>3</v>
      </c>
      <c r="AJ14" s="121"/>
      <c r="AK14" s="480">
        <f t="shared" si="5"/>
        <v>3.5479632063074903E-2</v>
      </c>
      <c r="AL14" s="480">
        <f t="shared" si="6"/>
        <v>-0.12309644670050761</v>
      </c>
      <c r="AM14" s="480">
        <f t="shared" si="7"/>
        <v>-6.9464544138929094E-2</v>
      </c>
      <c r="AN14" s="480">
        <f t="shared" si="8"/>
        <v>1.5552099533437015E-2</v>
      </c>
      <c r="AO14" s="480">
        <f t="shared" si="11"/>
        <v>-3.5382314810731202E-2</v>
      </c>
      <c r="AQ14" s="52"/>
      <c r="AR14" s="52"/>
      <c r="AS14" s="52"/>
      <c r="AT14" s="52"/>
      <c r="AU14" s="52"/>
      <c r="AV14" s="52"/>
      <c r="AW14" s="52"/>
      <c r="AX14" s="52"/>
    </row>
    <row r="15" spans="1:50" s="61" customFormat="1" ht="15.75" customHeight="1">
      <c r="A15" s="1103">
        <f>VLOOKUP(B15,ReportData!$AQ$4:$AR$25,2,FALSE)</f>
        <v>0</v>
      </c>
      <c r="B15" s="885" t="str">
        <f>ReportData!$K$8</f>
        <v>Hampshire</v>
      </c>
      <c r="C15" s="896"/>
      <c r="D15" s="889">
        <f>IF(Year1_Hampshire Year1_ReReferrals="","",Year1_Hampshire Year1_ReReferrals)</f>
        <v>6536</v>
      </c>
      <c r="E15" s="889">
        <f>IF(Year2_Hampshire Year2_ReReferrals="","",Year2_Hampshire Year2_ReReferrals)</f>
        <v>7353</v>
      </c>
      <c r="F15" s="891">
        <f>IF(Year3_Hampshire Year3_ReReferrals="","",Year3_Hampshire Year3_ReReferrals)</f>
        <v>9775</v>
      </c>
      <c r="G15" s="891">
        <f>IF(Year4_Hampshire Year4_ReReferrals="","",Year4_Hampshire Year4_ReReferrals)</f>
        <v>11807</v>
      </c>
      <c r="H15" s="890" t="str">
        <f>IF(Year5_Hampshire Year5_ReReferrals="","",Year5_Hampshire Year5_ReReferrals)</f>
        <v>u</v>
      </c>
      <c r="I15" s="900">
        <f t="shared" si="9"/>
        <v>0.22075553424558111</v>
      </c>
      <c r="J15" s="896"/>
      <c r="K15" s="901">
        <f>IF(ISNUMBER(D15),D15/Population!D15*10000,NA())</f>
        <v>233.980095940431</v>
      </c>
      <c r="L15" s="901">
        <f>IF(ISNUMBER(E15),E15/Population!E15*10000,NA())</f>
        <v>263.0995148062803</v>
      </c>
      <c r="M15" s="901">
        <f>IF(ISNUMBER(F15),F15/Population!F15*10000,NA())</f>
        <v>347.95268555400116</v>
      </c>
      <c r="N15" s="901">
        <f>IF(ISNUMBER(G15),G15/Population!G15*10000,NA())</f>
        <v>416.49176152698357</v>
      </c>
      <c r="O15" s="902" t="e">
        <f>IF(ISNUMBER(H15),H15/Population!H15*10000,NA())</f>
        <v>#N/A</v>
      </c>
      <c r="P15" s="903" t="str">
        <f t="shared" si="10"/>
        <v/>
      </c>
      <c r="Q15" s="1139" t="e">
        <f t="shared" si="0"/>
        <v>#N/A</v>
      </c>
      <c r="R15" s="64"/>
      <c r="S15" s="905">
        <f>((IDACI!$C13*$Y$41)+$Z$41)/$X$2</f>
        <v>82.651681954325795</v>
      </c>
      <c r="T15" s="906" t="e">
        <f t="shared" si="1"/>
        <v>#N/A</v>
      </c>
      <c r="U15" s="89"/>
      <c r="V15" s="103"/>
      <c r="W15" s="115"/>
      <c r="X15" s="51" t="str">
        <f t="shared" si="2"/>
        <v>Hampshire</v>
      </c>
      <c r="Y15" s="27">
        <f>IF(ISNUMBER($H15),IDACI!D13,0)</f>
        <v>0</v>
      </c>
      <c r="Z15" s="27">
        <f>IF(ISNUMBER($H15),IDACI!E13,0)</f>
        <v>0</v>
      </c>
      <c r="AA15" s="155">
        <f>IF(ISNUMBER(D15),Population!D15,"")</f>
        <v>279340</v>
      </c>
      <c r="AB15" s="155">
        <f>IF(ISNUMBER(E15),Population!E15,"")</f>
        <v>279476</v>
      </c>
      <c r="AC15" s="155">
        <f>IF(ISNUMBER(F15),Population!F15,"")</f>
        <v>280929</v>
      </c>
      <c r="AD15" s="155">
        <f>IF(ISNUMBER(G15),Population!G15,"")</f>
        <v>283487</v>
      </c>
      <c r="AE15" s="155" t="str">
        <f>IF(ISNUMBER(H15),Population!H15,"")</f>
        <v/>
      </c>
      <c r="AF15" s="65" t="s">
        <v>6</v>
      </c>
      <c r="AG15" s="70" t="str">
        <f t="shared" si="3"/>
        <v/>
      </c>
      <c r="AH15" s="156" t="e">
        <f t="shared" si="4"/>
        <v>#VALUE!</v>
      </c>
      <c r="AJ15" s="121"/>
      <c r="AK15" s="480">
        <f t="shared" si="5"/>
        <v>0.125</v>
      </c>
      <c r="AL15" s="480">
        <f t="shared" si="6"/>
        <v>0.32938936488508092</v>
      </c>
      <c r="AM15" s="480">
        <f t="shared" si="7"/>
        <v>0.2078772378516624</v>
      </c>
      <c r="AN15" s="480" t="str">
        <f t="shared" si="8"/>
        <v>x</v>
      </c>
      <c r="AO15" s="480">
        <f t="shared" si="11"/>
        <v>0.22075553424558111</v>
      </c>
      <c r="AQ15" s="52"/>
      <c r="AR15" s="52"/>
      <c r="AS15" s="52"/>
      <c r="AT15" s="52"/>
      <c r="AU15" s="52"/>
      <c r="AV15" s="52"/>
      <c r="AW15" s="52"/>
      <c r="AX15" s="52"/>
    </row>
    <row r="16" spans="1:50" s="61" customFormat="1" ht="15.75" customHeight="1">
      <c r="A16" s="1103">
        <f>VLOOKUP(B16,ReportData!$AQ$4:$AR$25,2,FALSE)</f>
        <v>0</v>
      </c>
      <c r="B16" s="885" t="str">
        <f>ReportData!$K$9</f>
        <v>Isle of Wight</v>
      </c>
      <c r="C16" s="896"/>
      <c r="D16" s="889">
        <f>IF(Year1_Isle_of_Wight Year1_ReReferrals="","",Year1_Isle_of_Wight Year1_ReReferrals)</f>
        <v>946</v>
      </c>
      <c r="E16" s="889">
        <f>IF(Year2_Isle_of_Wight Year2_ReReferrals="","",Year2_Isle_of_Wight Year2_ReReferrals)</f>
        <v>932</v>
      </c>
      <c r="F16" s="889">
        <f>IF(Year3_Isle_of_Wight Year3_ReReferrals="","",Year3_Isle_of_Wight Year3_ReReferrals)</f>
        <v>1312</v>
      </c>
      <c r="G16" s="889">
        <f>IF(Year4_Isle_of_Wight Year4_ReReferrals="","",Year4_Isle_of_Wight Year4_ReReferrals)</f>
        <v>1608</v>
      </c>
      <c r="H16" s="890">
        <f>IF(Year5_Isle_of_Wight Year5_ReReferrals="","",Year5_Isle_of_Wight Year5_ReReferrals)</f>
        <v>1988</v>
      </c>
      <c r="I16" s="900">
        <f t="shared" si="9"/>
        <v>0.21371358290303349</v>
      </c>
      <c r="J16" s="896"/>
      <c r="K16" s="901">
        <f>IF(ISNUMBER(D16),D16/Population!D16*10000,NA())</f>
        <v>389.28439158882355</v>
      </c>
      <c r="L16" s="901">
        <f>IF(ISNUMBER(E16),E16/Population!E16*10000,NA())</f>
        <v>390.08873263016909</v>
      </c>
      <c r="M16" s="901">
        <f>IF(ISNUMBER(F16),F16/Population!F16*10000,NA())</f>
        <v>555.08546285327463</v>
      </c>
      <c r="N16" s="901">
        <f>IF(ISNUMBER(G16),G16/Population!G16*10000,NA())</f>
        <v>683.26676298121868</v>
      </c>
      <c r="O16" s="902">
        <f>IF(ISNUMBER(H16),H16/Population!H16*10000,NA())</f>
        <v>848.19523850157873</v>
      </c>
      <c r="P16" s="903">
        <f t="shared" si="10"/>
        <v>848.19523850157873</v>
      </c>
      <c r="Q16" s="1139">
        <f t="shared" si="0"/>
        <v>18</v>
      </c>
      <c r="R16" s="64"/>
      <c r="S16" s="905">
        <f>((IDACI!$C14*$Y$41)+$Z$41)/$X$2</f>
        <v>117.25532759162797</v>
      </c>
      <c r="T16" s="906">
        <f t="shared" si="1"/>
        <v>730.93991090995075</v>
      </c>
      <c r="U16" s="89"/>
      <c r="V16" s="103"/>
      <c r="W16" s="115"/>
      <c r="X16" s="51" t="str">
        <f t="shared" si="2"/>
        <v>Isle of Wight</v>
      </c>
      <c r="Y16" s="27">
        <f>IF(ISNUMBER($H16),IDACI!D14,0)</f>
        <v>22123</v>
      </c>
      <c r="Z16" s="27">
        <f>IF(ISNUMBER($H16),IDACI!E14,0)</f>
        <v>3982.14</v>
      </c>
      <c r="AA16" s="155">
        <f>IF(ISNUMBER(D16),Population!D16,"")</f>
        <v>24301</v>
      </c>
      <c r="AB16" s="155">
        <f>IF(ISNUMBER(E16),Population!E16,"")</f>
        <v>23892</v>
      </c>
      <c r="AC16" s="155">
        <f>IF(ISNUMBER(F16),Population!F16,"")</f>
        <v>23636</v>
      </c>
      <c r="AD16" s="155">
        <f>IF(ISNUMBER(G16),Population!G16,"")</f>
        <v>23534</v>
      </c>
      <c r="AE16" s="155">
        <f>IF(ISNUMBER(H16),Population!H16,"")</f>
        <v>23438</v>
      </c>
      <c r="AF16" s="65" t="s">
        <v>1</v>
      </c>
      <c r="AG16" s="70">
        <f t="shared" si="3"/>
        <v>848.19523850157873</v>
      </c>
      <c r="AH16" s="156">
        <f t="shared" si="4"/>
        <v>18</v>
      </c>
      <c r="AJ16" s="121"/>
      <c r="AK16" s="480">
        <f t="shared" si="5"/>
        <v>-1.4799154334038054E-2</v>
      </c>
      <c r="AL16" s="480">
        <f t="shared" si="6"/>
        <v>0.40772532188841204</v>
      </c>
      <c r="AM16" s="480">
        <f t="shared" si="7"/>
        <v>0.22560975609756098</v>
      </c>
      <c r="AN16" s="480">
        <f t="shared" si="8"/>
        <v>0.23631840796019901</v>
      </c>
      <c r="AO16" s="480">
        <f t="shared" si="11"/>
        <v>0.21371358290303349</v>
      </c>
      <c r="AQ16" s="52"/>
      <c r="AR16" s="52"/>
      <c r="AS16" s="52"/>
      <c r="AT16" s="52"/>
      <c r="AU16" s="52"/>
      <c r="AV16" s="52"/>
      <c r="AW16" s="52"/>
      <c r="AX16" s="52"/>
    </row>
    <row r="17" spans="1:50" s="61" customFormat="1" ht="15.75" customHeight="1">
      <c r="A17" s="1103">
        <f>VLOOKUP(B17,ReportData!$AQ$4:$AR$25,2,FALSE)</f>
        <v>0</v>
      </c>
      <c r="B17" s="885" t="str">
        <f>ReportData!$K$10</f>
        <v>Kent</v>
      </c>
      <c r="C17" s="896"/>
      <c r="D17" s="889">
        <f>IF(Year1_Kent Year1_ReReferrals="","",Year1_Kent Year1_ReReferrals)</f>
        <v>6362</v>
      </c>
      <c r="E17" s="889">
        <f>IF(Year2_Kent Year2_ReReferrals="","",Year2_Kent Year2_ReReferrals)</f>
        <v>5320</v>
      </c>
      <c r="F17" s="889">
        <f>IF(Year3_Kent Year3_ReReferrals="","",Year3_Kent Year3_ReReferrals)</f>
        <v>4196</v>
      </c>
      <c r="G17" s="889">
        <f>IF(Year4_Kent Year4_ReReferrals="","",Year4_Kent Year4_ReReferrals)</f>
        <v>4915</v>
      </c>
      <c r="H17" s="890">
        <f>IF(Year5_Kent Year5_ReReferrals="","",Year5_Kent Year5_ReReferrals)</f>
        <v>5615</v>
      </c>
      <c r="I17" s="900">
        <f t="shared" si="9"/>
        <v>-1.5322084722587045E-2</v>
      </c>
      <c r="J17" s="896"/>
      <c r="K17" s="901">
        <f>IF(ISNUMBER(D17),D17/Population!D17*10000,NA())</f>
        <v>190.85446522050859</v>
      </c>
      <c r="L17" s="901">
        <f>IF(ISNUMBER(E17),E17/Population!E17*10000,NA())</f>
        <v>159.07949190249505</v>
      </c>
      <c r="M17" s="901">
        <f>IF(ISNUMBER(F17),F17/Population!F17*10000,NA())</f>
        <v>124.8471396139736</v>
      </c>
      <c r="N17" s="901">
        <f>IF(ISNUMBER(G17),G17/Population!G17*10000,NA())</f>
        <v>143.35380828214596</v>
      </c>
      <c r="O17" s="902">
        <f>IF(ISNUMBER(H17),H17/Population!H17*10000,NA())</f>
        <v>161.19678927000675</v>
      </c>
      <c r="P17" s="903">
        <f t="shared" si="10"/>
        <v>161.19678927000675</v>
      </c>
      <c r="Q17" s="1139">
        <f t="shared" si="0"/>
        <v>12</v>
      </c>
      <c r="R17" s="64"/>
      <c r="S17" s="905">
        <f>((IDACI!$C15*$Y$41)+$Z$41)/$X$2</f>
        <v>107.61886931288559</v>
      </c>
      <c r="T17" s="906">
        <f t="shared" si="1"/>
        <v>53.577919957121154</v>
      </c>
      <c r="U17" s="89"/>
      <c r="V17" s="103"/>
      <c r="W17" s="115"/>
      <c r="X17" s="51" t="str">
        <f t="shared" si="2"/>
        <v>Kent</v>
      </c>
      <c r="Y17" s="27">
        <f>IF(ISNUMBER($H17),IDACI!D15,0)</f>
        <v>291866</v>
      </c>
      <c r="Z17" s="27">
        <f>IF(ISNUMBER($H17),IDACI!E15,0)</f>
        <v>46114.828000000001</v>
      </c>
      <c r="AA17" s="155">
        <f>IF(ISNUMBER(D17),Population!D17,"")</f>
        <v>333343</v>
      </c>
      <c r="AB17" s="155">
        <f>IF(ISNUMBER(E17),Population!E17,"")</f>
        <v>334424</v>
      </c>
      <c r="AC17" s="155">
        <f>IF(ISNUMBER(F17),Population!F17,"")</f>
        <v>336091</v>
      </c>
      <c r="AD17" s="155">
        <f>IF(ISNUMBER(G17),Population!G17,"")</f>
        <v>342858</v>
      </c>
      <c r="AE17" s="155">
        <f>IF(ISNUMBER(H17),Population!H17,"")</f>
        <v>348332</v>
      </c>
      <c r="AF17" s="65" t="s">
        <v>9</v>
      </c>
      <c r="AG17" s="70">
        <f t="shared" si="3"/>
        <v>161.19678927000675</v>
      </c>
      <c r="AH17" s="156">
        <f t="shared" si="4"/>
        <v>12</v>
      </c>
      <c r="AJ17" s="121"/>
      <c r="AK17" s="480">
        <f t="shared" si="5"/>
        <v>-0.16378497327884314</v>
      </c>
      <c r="AL17" s="480">
        <f t="shared" si="6"/>
        <v>-0.21127819548872181</v>
      </c>
      <c r="AM17" s="480">
        <f t="shared" si="7"/>
        <v>0.1713536701620591</v>
      </c>
      <c r="AN17" s="480">
        <f t="shared" si="8"/>
        <v>0.14242115971515767</v>
      </c>
      <c r="AO17" s="480">
        <f t="shared" si="11"/>
        <v>-1.5322084722587045E-2</v>
      </c>
      <c r="AQ17" s="52"/>
      <c r="AR17" s="52"/>
      <c r="AS17" s="52"/>
      <c r="AT17" s="52"/>
      <c r="AU17" s="52"/>
      <c r="AV17" s="52"/>
      <c r="AW17" s="52"/>
      <c r="AX17" s="52"/>
    </row>
    <row r="18" spans="1:50" s="61" customFormat="1" ht="15.75" customHeight="1">
      <c r="A18" s="1103">
        <f>VLOOKUP(B18,ReportData!$AQ$4:$AR$25,2,FALSE)</f>
        <v>0</v>
      </c>
      <c r="B18" s="885" t="str">
        <f>ReportData!$K$11</f>
        <v>Medway</v>
      </c>
      <c r="C18" s="896"/>
      <c r="D18" s="889">
        <f>IF(Year1_Medway Year1_ReReferrals="","",Year1_Medway Year1_ReReferrals)</f>
        <v>1220</v>
      </c>
      <c r="E18" s="889">
        <f>IF(Year2_Medway Year2_ReReferrals="","",Year2_Medway Year2_ReReferrals)</f>
        <v>817</v>
      </c>
      <c r="F18" s="889">
        <f>IF(Year3_Medway Year3_ReReferrals="","",Year3_Medway Year3_ReReferrals)</f>
        <v>988</v>
      </c>
      <c r="G18" s="889">
        <f>IF(Year4_Medway Year4_ReReferrals="","",Year4_Medway Year4_ReReferrals)</f>
        <v>997</v>
      </c>
      <c r="H18" s="890">
        <f>IF(Year5_Medway Year5_ReReferrals="","",Year5_Medway Year5_ReReferrals)</f>
        <v>1263</v>
      </c>
      <c r="I18" s="900">
        <f t="shared" si="9"/>
        <v>3.8721042418359462E-2</v>
      </c>
      <c r="J18" s="896"/>
      <c r="K18" s="901">
        <f>IF(ISNUMBER(D18),D18/Population!D18*10000,NA())</f>
        <v>191.60698580223647</v>
      </c>
      <c r="L18" s="901">
        <f>IF(ISNUMBER(E18),E18/Population!E18*10000,NA())</f>
        <v>128.26752492346338</v>
      </c>
      <c r="M18" s="901">
        <f>IF(ISNUMBER(F18),F18/Population!F18*10000,NA())</f>
        <v>154.81768180892237</v>
      </c>
      <c r="N18" s="901">
        <f>IF(ISNUMBER(G18),G18/Population!G18*10000,NA())</f>
        <v>153.4908783003618</v>
      </c>
      <c r="O18" s="902">
        <f>IF(ISNUMBER(H18),H18/Population!H18*10000,NA())</f>
        <v>189.39223536821271</v>
      </c>
      <c r="P18" s="903">
        <f t="shared" si="10"/>
        <v>189.39223536821271</v>
      </c>
      <c r="Q18" s="1139">
        <f t="shared" si="0"/>
        <v>16</v>
      </c>
      <c r="R18" s="64"/>
      <c r="S18" s="905">
        <f>((IDACI!$C16*$Y$41)+$Z$41)/$X$2</f>
        <v>121.19751506929531</v>
      </c>
      <c r="T18" s="906">
        <f t="shared" si="1"/>
        <v>68.194720298917403</v>
      </c>
      <c r="U18" s="89"/>
      <c r="V18" s="103"/>
      <c r="W18" s="115"/>
      <c r="X18" s="51" t="str">
        <f t="shared" si="2"/>
        <v>Medway</v>
      </c>
      <c r="Y18" s="27">
        <f>IF(ISNUMBER($H18),IDACI!D16,0)</f>
        <v>55993</v>
      </c>
      <c r="Z18" s="27">
        <f>IF(ISNUMBER($H18),IDACI!E16,0)</f>
        <v>10582.676999999998</v>
      </c>
      <c r="AA18" s="155">
        <f>IF(ISNUMBER(D18),Population!D18,"")</f>
        <v>63672</v>
      </c>
      <c r="AB18" s="155">
        <f>IF(ISNUMBER(E18),Population!E18,"")</f>
        <v>63695</v>
      </c>
      <c r="AC18" s="155">
        <f>IF(ISNUMBER(F18),Population!F18,"")</f>
        <v>63817</v>
      </c>
      <c r="AD18" s="155">
        <f>IF(ISNUMBER(G18),Population!G18,"")</f>
        <v>64955</v>
      </c>
      <c r="AE18" s="155">
        <f>IF(ISNUMBER(H18),Population!H18,"")</f>
        <v>66687</v>
      </c>
      <c r="AF18" s="65" t="s">
        <v>2</v>
      </c>
      <c r="AG18" s="70">
        <f t="shared" si="3"/>
        <v>189.39223536821271</v>
      </c>
      <c r="AH18" s="156">
        <f t="shared" si="4"/>
        <v>16</v>
      </c>
      <c r="AJ18" s="121"/>
      <c r="AK18" s="480">
        <f t="shared" si="5"/>
        <v>-0.33032786885245902</v>
      </c>
      <c r="AL18" s="480">
        <f t="shared" si="6"/>
        <v>0.20930232558139536</v>
      </c>
      <c r="AM18" s="480">
        <f t="shared" si="7"/>
        <v>9.1093117408906875E-3</v>
      </c>
      <c r="AN18" s="480">
        <f t="shared" si="8"/>
        <v>0.26680040120361082</v>
      </c>
      <c r="AO18" s="480">
        <f t="shared" si="11"/>
        <v>3.8721042418359462E-2</v>
      </c>
      <c r="AQ18" s="52"/>
      <c r="AR18" s="52"/>
      <c r="AS18" s="52"/>
      <c r="AT18" s="52"/>
      <c r="AU18" s="52"/>
      <c r="AV18" s="52"/>
      <c r="AW18" s="52"/>
      <c r="AX18" s="52"/>
    </row>
    <row r="19" spans="1:50" s="61" customFormat="1" ht="15.75" customHeight="1">
      <c r="A19" s="1103">
        <f>VLOOKUP(B19,ReportData!$AQ$4:$AR$25,2,FALSE)</f>
        <v>0</v>
      </c>
      <c r="B19" s="885" t="str">
        <f>ReportData!$K$12</f>
        <v>Milton Keynes</v>
      </c>
      <c r="C19" s="896"/>
      <c r="D19" s="889">
        <f>IF(Year1_Milton_Keynes Year1_ReReferrals="","",Year1_Milton_Keynes Year1_ReReferrals)</f>
        <v>521</v>
      </c>
      <c r="E19" s="889">
        <f>IF(Year2_Milton_Keynes Year2_ReReferrals="","",Year2_Milton_Keynes Year2_ReReferrals)</f>
        <v>577</v>
      </c>
      <c r="F19" s="889">
        <f>IF(Year3_Milton_Keynes Year3_ReReferrals="","",Year3_Milton_Keynes Year3_ReReferrals)</f>
        <v>638</v>
      </c>
      <c r="G19" s="889">
        <f>IF(Year4_Milton_Keynes Year4_ReReferrals="","",Year4_Milton_Keynes Year4_ReReferrals)</f>
        <v>683</v>
      </c>
      <c r="H19" s="890">
        <f>IF(Year5_Milton_Keynes Year5_ReReferrals="","",Year5_Milton_Keynes Year5_ReReferrals)</f>
        <v>598</v>
      </c>
      <c r="I19" s="900">
        <f t="shared" si="9"/>
        <v>3.9821701429571983E-2</v>
      </c>
      <c r="J19" s="896"/>
      <c r="K19" s="901">
        <f>IF(ISNUMBER(D19),D19/Population!D19*10000,NA())</f>
        <v>75.466778683894134</v>
      </c>
      <c r="L19" s="901">
        <f>IF(ISNUMBER(E19),E19/Population!E19*10000,NA())</f>
        <v>83.255176394199552</v>
      </c>
      <c r="M19" s="901">
        <f>IF(ISNUMBER(F19),F19/Population!F19*10000,NA())</f>
        <v>91.620593092554032</v>
      </c>
      <c r="N19" s="901">
        <f>IF(ISNUMBER(G19),G19/Population!G19*10000,NA())</f>
        <v>96.263618553649692</v>
      </c>
      <c r="O19" s="902">
        <f>IF(ISNUMBER(H19),H19/Population!H19*10000,NA())</f>
        <v>82.146242290204256</v>
      </c>
      <c r="P19" s="903">
        <f t="shared" si="10"/>
        <v>82.146242290204256</v>
      </c>
      <c r="Q19" s="1139">
        <f t="shared" si="0"/>
        <v>6</v>
      </c>
      <c r="R19" s="64"/>
      <c r="S19" s="905">
        <f>((IDACI!$C17*$Y$41)+$Z$41)/$X$2</f>
        <v>104.11470266607019</v>
      </c>
      <c r="T19" s="906">
        <f t="shared" si="1"/>
        <v>-21.968460375865931</v>
      </c>
      <c r="U19" s="89"/>
      <c r="V19" s="103"/>
      <c r="W19" s="115"/>
      <c r="X19" s="51" t="str">
        <f t="shared" si="2"/>
        <v>Milton Keynes</v>
      </c>
      <c r="Y19" s="27">
        <f>IF(ISNUMBER($H19),IDACI!D17,0)</f>
        <v>59903</v>
      </c>
      <c r="Z19" s="27">
        <f>IF(ISNUMBER($H19),IDACI!E17,0)</f>
        <v>8985.4499999999989</v>
      </c>
      <c r="AA19" s="155">
        <f>IF(ISNUMBER(D19),Population!D19,"")</f>
        <v>69037</v>
      </c>
      <c r="AB19" s="155">
        <f>IF(ISNUMBER(E19),Population!E19,"")</f>
        <v>69305</v>
      </c>
      <c r="AC19" s="155">
        <f>IF(ISNUMBER(F19),Population!F19,"")</f>
        <v>69635</v>
      </c>
      <c r="AD19" s="155">
        <f>IF(ISNUMBER(G19),Population!G19,"")</f>
        <v>70951</v>
      </c>
      <c r="AE19" s="155">
        <f>IF(ISNUMBER(H19),Population!H19,"")</f>
        <v>72797</v>
      </c>
      <c r="AF19" s="65" t="s">
        <v>10</v>
      </c>
      <c r="AG19" s="70">
        <f t="shared" si="3"/>
        <v>82.146242290204256</v>
      </c>
      <c r="AH19" s="156">
        <f t="shared" si="4"/>
        <v>6</v>
      </c>
      <c r="AJ19" s="121"/>
      <c r="AK19" s="480">
        <f t="shared" si="5"/>
        <v>0.10748560460652591</v>
      </c>
      <c r="AL19" s="480">
        <f t="shared" si="6"/>
        <v>0.10571923743500866</v>
      </c>
      <c r="AM19" s="480">
        <f t="shared" si="7"/>
        <v>7.0532915360501561E-2</v>
      </c>
      <c r="AN19" s="480">
        <f t="shared" si="8"/>
        <v>-0.12445095168374817</v>
      </c>
      <c r="AO19" s="480">
        <f t="shared" si="11"/>
        <v>3.9821701429571983E-2</v>
      </c>
      <c r="AQ19" s="52"/>
      <c r="AR19" s="52"/>
      <c r="AS19" s="52"/>
      <c r="AT19" s="52"/>
      <c r="AU19" s="52"/>
      <c r="AV19" s="52"/>
      <c r="AW19" s="52"/>
      <c r="AX19" s="52"/>
    </row>
    <row r="20" spans="1:50" s="61" customFormat="1" ht="15.75" customHeight="1">
      <c r="A20" s="1103">
        <f>VLOOKUP(B20,ReportData!$AQ$4:$AR$25,2,FALSE)</f>
        <v>0</v>
      </c>
      <c r="B20" s="885" t="str">
        <f>ReportData!$K$13</f>
        <v>Oxfordshire</v>
      </c>
      <c r="C20" s="896"/>
      <c r="D20" s="889">
        <f>IF(Year1_Oxfordshire Year1_ReReferrals="","",Year1_Oxfordshire Year1_ReReferrals)</f>
        <v>1325</v>
      </c>
      <c r="E20" s="889">
        <f>IF(Year2_Oxfordshire Year2_ReReferrals="","",Year2_Oxfordshire Year2_ReReferrals)</f>
        <v>1797</v>
      </c>
      <c r="F20" s="889">
        <f>IF(Year3_Oxfordshire Year3_ReReferrals="","",Year3_Oxfordshire Year3_ReReferrals)</f>
        <v>1219</v>
      </c>
      <c r="G20" s="889">
        <f>IF(Year4_Oxfordshire Year4_ReReferrals="","",Year4_Oxfordshire Year4_ReReferrals)</f>
        <v>1098</v>
      </c>
      <c r="H20" s="890">
        <f>IF(Year5_Oxfordshire Year5_ReReferrals="","",Year5_Oxfordshire Year5_ReReferrals)</f>
        <v>940</v>
      </c>
      <c r="I20" s="900">
        <f t="shared" si="9"/>
        <v>-5.2145115233286882E-2</v>
      </c>
      <c r="J20" s="896"/>
      <c r="K20" s="901">
        <f>IF(ISNUMBER(D20),D20/Population!D20*10000,NA())</f>
        <v>91.740578415692141</v>
      </c>
      <c r="L20" s="901">
        <f>IF(ISNUMBER(E20),E20/Population!E20*10000,NA())</f>
        <v>123.74413816373891</v>
      </c>
      <c r="M20" s="901">
        <f>IF(ISNUMBER(F20),F20/Population!F20*10000,NA())</f>
        <v>83.297458710016869</v>
      </c>
      <c r="N20" s="901">
        <f>IF(ISNUMBER(G20),G20/Population!G20*10000,NA())</f>
        <v>73.426152549853555</v>
      </c>
      <c r="O20" s="902">
        <f>IF(ISNUMBER(H20),H20/Population!H20*10000,NA())</f>
        <v>61.637323366446999</v>
      </c>
      <c r="P20" s="903">
        <f t="shared" si="10"/>
        <v>61.637323366446999</v>
      </c>
      <c r="Q20" s="1139">
        <f t="shared" si="0"/>
        <v>2</v>
      </c>
      <c r="R20" s="64"/>
      <c r="S20" s="905">
        <f>((IDACI!$C18*$Y$41)+$Z$41)/$X$2</f>
        <v>82.651681954325795</v>
      </c>
      <c r="T20" s="906">
        <f t="shared" si="1"/>
        <v>-21.014358587878796</v>
      </c>
      <c r="U20" s="89"/>
      <c r="V20" s="103"/>
      <c r="W20" s="115"/>
      <c r="X20" s="51" t="str">
        <f t="shared" si="2"/>
        <v>Oxfordshire</v>
      </c>
      <c r="Y20" s="27">
        <f>IF(ISNUMBER($H20),IDACI!D18,0)</f>
        <v>126119</v>
      </c>
      <c r="Z20" s="27">
        <f>IF(ISNUMBER($H20),IDACI!E18,0)</f>
        <v>12738.019000000002</v>
      </c>
      <c r="AA20" s="155">
        <f>IF(ISNUMBER(D20),Population!D20,"")</f>
        <v>144429</v>
      </c>
      <c r="AB20" s="155">
        <f>IF(ISNUMBER(E20),Population!E20,"")</f>
        <v>145219</v>
      </c>
      <c r="AC20" s="155">
        <f>IF(ISNUMBER(F20),Population!F20,"")</f>
        <v>146343</v>
      </c>
      <c r="AD20" s="155">
        <f>IF(ISNUMBER(G20),Population!G20,"")</f>
        <v>149538</v>
      </c>
      <c r="AE20" s="155">
        <f>IF(ISNUMBER(H20),Population!H20,"")</f>
        <v>152505</v>
      </c>
      <c r="AF20" s="65" t="s">
        <v>11</v>
      </c>
      <c r="AG20" s="70">
        <f t="shared" si="3"/>
        <v>61.637323366446999</v>
      </c>
      <c r="AH20" s="156">
        <f t="shared" si="4"/>
        <v>2</v>
      </c>
      <c r="AJ20" s="121"/>
      <c r="AK20" s="480">
        <f t="shared" si="5"/>
        <v>0.35622641509433961</v>
      </c>
      <c r="AL20" s="480">
        <f t="shared" si="6"/>
        <v>-0.32164718976071227</v>
      </c>
      <c r="AM20" s="480">
        <f t="shared" si="7"/>
        <v>-9.9261689909762099E-2</v>
      </c>
      <c r="AN20" s="480">
        <f t="shared" si="8"/>
        <v>-0.14389799635701275</v>
      </c>
      <c r="AO20" s="480">
        <f t="shared" si="11"/>
        <v>-5.2145115233286882E-2</v>
      </c>
      <c r="AQ20" s="52"/>
      <c r="AR20" s="52"/>
      <c r="AS20" s="52"/>
      <c r="AT20" s="52"/>
      <c r="AU20" s="52"/>
      <c r="AV20" s="52"/>
      <c r="AW20" s="52"/>
      <c r="AX20" s="52"/>
    </row>
    <row r="21" spans="1:50" s="61" customFormat="1" ht="15.75" customHeight="1">
      <c r="A21" s="1103">
        <f>VLOOKUP(B21,ReportData!$AQ$4:$AR$25,2,FALSE)</f>
        <v>0</v>
      </c>
      <c r="B21" s="885" t="str">
        <f>ReportData!$K$14</f>
        <v>Portsmouth</v>
      </c>
      <c r="C21" s="896"/>
      <c r="D21" s="889">
        <f>IF(Year1_Portsmouth Year1_ReReferrals="","",Year1_Portsmouth Year1_ReReferrals)</f>
        <v>631</v>
      </c>
      <c r="E21" s="889">
        <f>IF(Year2_Portsmouth Year2_ReReferrals="","",Year2_Portsmouth Year2_ReReferrals)</f>
        <v>599</v>
      </c>
      <c r="F21" s="889">
        <f>IF(Year3_Portsmouth Year3_ReReferrals="","",Year3_Portsmouth Year3_ReReferrals)</f>
        <v>916</v>
      </c>
      <c r="G21" s="889">
        <f>IF(Year4_Portsmouth Year4_ReReferrals="","",Year4_Portsmouth Year4_ReReferrals)</f>
        <v>803</v>
      </c>
      <c r="H21" s="890">
        <f>IF(Year5_Portsmouth Year5_ReReferrals="","",Year5_Portsmouth Year5_ReReferrals)</f>
        <v>735</v>
      </c>
      <c r="I21" s="900">
        <f t="shared" si="9"/>
        <v>6.7614329736408449E-2</v>
      </c>
      <c r="J21" s="896"/>
      <c r="K21" s="901">
        <f>IF(ISNUMBER(D21),D21/Population!D21*10000,NA())</f>
        <v>150.12014369661932</v>
      </c>
      <c r="L21" s="901">
        <f>IF(ISNUMBER(E21),E21/Population!E21*10000,NA())</f>
        <v>143.07894422548668</v>
      </c>
      <c r="M21" s="901">
        <f>IF(ISNUMBER(F21),F21/Population!F21*10000,NA())</f>
        <v>221.00513909329987</v>
      </c>
      <c r="N21" s="901">
        <f>IF(ISNUMBER(G21),G21/Population!G21*10000,NA())</f>
        <v>191.77951326693892</v>
      </c>
      <c r="O21" s="902">
        <f>IF(ISNUMBER(H21),H21/Population!H21*10000,NA())</f>
        <v>173.73011558370953</v>
      </c>
      <c r="P21" s="903">
        <f t="shared" si="10"/>
        <v>173.73011558370953</v>
      </c>
      <c r="Q21" s="1139">
        <f t="shared" si="0"/>
        <v>15</v>
      </c>
      <c r="R21" s="64"/>
      <c r="S21" s="905">
        <f>((IDACI!$C19*$Y$41)+$Z$41)/$X$2</f>
        <v>126.89178587037037</v>
      </c>
      <c r="T21" s="906">
        <f t="shared" si="1"/>
        <v>46.838329713339164</v>
      </c>
      <c r="U21" s="89"/>
      <c r="V21" s="103"/>
      <c r="W21" s="115"/>
      <c r="X21" s="51" t="str">
        <f t="shared" si="2"/>
        <v>Portsmouth</v>
      </c>
      <c r="Y21" s="27">
        <f>IF(ISNUMBER($H21),IDACI!D19,0)</f>
        <v>39325</v>
      </c>
      <c r="Z21" s="27">
        <f>IF(ISNUMBER($H21),IDACI!E19,0)</f>
        <v>7943.6500000000015</v>
      </c>
      <c r="AA21" s="155">
        <f>IF(ISNUMBER(D21),Population!D21,"")</f>
        <v>42033</v>
      </c>
      <c r="AB21" s="155">
        <f>IF(ISNUMBER(E21),Population!E21,"")</f>
        <v>41865</v>
      </c>
      <c r="AC21" s="155">
        <f>IF(ISNUMBER(F21),Population!F21,"")</f>
        <v>41447</v>
      </c>
      <c r="AD21" s="155">
        <f>IF(ISNUMBER(G21),Population!G21,"")</f>
        <v>41871</v>
      </c>
      <c r="AE21" s="155">
        <f>IF(ISNUMBER(H21),Population!H21,"")</f>
        <v>42307</v>
      </c>
      <c r="AF21" s="65" t="s">
        <v>12</v>
      </c>
      <c r="AG21" s="70">
        <f t="shared" si="3"/>
        <v>173.73011558370953</v>
      </c>
      <c r="AH21" s="156">
        <f t="shared" si="4"/>
        <v>15</v>
      </c>
      <c r="AJ21" s="121"/>
      <c r="AK21" s="480">
        <f t="shared" si="5"/>
        <v>-5.0713153724247229E-2</v>
      </c>
      <c r="AL21" s="480">
        <f t="shared" si="6"/>
        <v>0.52921535893155258</v>
      </c>
      <c r="AM21" s="480">
        <f t="shared" si="7"/>
        <v>-0.12336244541484716</v>
      </c>
      <c r="AN21" s="480">
        <f t="shared" si="8"/>
        <v>-8.4682440846824414E-2</v>
      </c>
      <c r="AO21" s="480">
        <f t="shared" si="11"/>
        <v>6.7614329736408449E-2</v>
      </c>
      <c r="AQ21" s="52"/>
      <c r="AR21" s="52"/>
      <c r="AS21" s="52"/>
      <c r="AT21" s="52"/>
      <c r="AU21" s="52"/>
      <c r="AV21" s="52"/>
      <c r="AW21" s="52"/>
      <c r="AX21" s="52"/>
    </row>
    <row r="22" spans="1:50" s="61" customFormat="1" ht="15.75" customHeight="1">
      <c r="A22" s="1103">
        <f>VLOOKUP(B22,ReportData!$AQ$4:$AR$25,2,FALSE)</f>
        <v>0</v>
      </c>
      <c r="B22" s="885" t="str">
        <f>ReportData!$K$15</f>
        <v>Reading</v>
      </c>
      <c r="C22" s="896"/>
      <c r="D22" s="889">
        <f>IF(Year1_Reading Year1_ReReferrals="","",Year1_Reading Year1_ReReferrals)</f>
        <v>676</v>
      </c>
      <c r="E22" s="889">
        <f>IF(Year2_Reading Year2_ReReferrals="","",Year2_Reading Year2_ReReferrals)</f>
        <v>416</v>
      </c>
      <c r="F22" s="889">
        <f>IF(Year3_Reading Year3_ReReferrals="","",Year3_Reading Year3_ReReferrals)</f>
        <v>503</v>
      </c>
      <c r="G22" s="889">
        <f>IF(Year4_Reading Year4_ReReferrals="","",Year4_Reading Year4_ReReferrals)</f>
        <v>713</v>
      </c>
      <c r="H22" s="890">
        <f>IF(Year5_Reading Year5_ReReferrals="","",Year5_Reading Year5_ReReferrals)</f>
        <v>800</v>
      </c>
      <c r="I22" s="900">
        <f t="shared" si="9"/>
        <v>9.1008473983480706E-2</v>
      </c>
      <c r="J22" s="896"/>
      <c r="K22" s="901">
        <f>IF(ISNUMBER(D22),D22/Population!D22*10000,NA())</f>
        <v>182.55468539022414</v>
      </c>
      <c r="L22" s="901">
        <f>IF(ISNUMBER(E22),E22/Population!E22*10000,NA())</f>
        <v>112.52062427307891</v>
      </c>
      <c r="M22" s="901">
        <f>IF(ISNUMBER(F22),F22/Population!F22*10000,NA())</f>
        <v>138.43782682886552</v>
      </c>
      <c r="N22" s="901">
        <f>IF(ISNUMBER(G22),G22/Population!G22*10000,NA())</f>
        <v>191.35802469135803</v>
      </c>
      <c r="O22" s="902">
        <f>IF(ISNUMBER(H22),H22/Population!H22*10000,NA())</f>
        <v>210.92040391257348</v>
      </c>
      <c r="P22" s="903">
        <f t="shared" si="10"/>
        <v>210.92040391257348</v>
      </c>
      <c r="Q22" s="1139">
        <f t="shared" si="0"/>
        <v>17</v>
      </c>
      <c r="R22" s="64"/>
      <c r="S22" s="905">
        <f>((IDACI!$C20*$Y$41)+$Z$41)/$X$2</f>
        <v>108.49491097458944</v>
      </c>
      <c r="T22" s="906">
        <f t="shared" si="1"/>
        <v>102.42549293798403</v>
      </c>
      <c r="U22" s="89"/>
      <c r="V22" s="103"/>
      <c r="W22" s="115"/>
      <c r="X22" s="51" t="str">
        <f t="shared" si="2"/>
        <v>Reading</v>
      </c>
      <c r="Y22" s="27">
        <f>IF(ISNUMBER($H22),IDACI!D20,0)</f>
        <v>33203</v>
      </c>
      <c r="Z22" s="27">
        <f>IF(ISNUMBER($H22),IDACI!E20,0)</f>
        <v>5312.4800000000005</v>
      </c>
      <c r="AA22" s="155">
        <f>IF(ISNUMBER(D22),Population!D22,"")</f>
        <v>37030</v>
      </c>
      <c r="AB22" s="155">
        <f>IF(ISNUMBER(E22),Population!E22,"")</f>
        <v>36971</v>
      </c>
      <c r="AC22" s="155">
        <f>IF(ISNUMBER(F22),Population!F22,"")</f>
        <v>36334</v>
      </c>
      <c r="AD22" s="155">
        <f>IF(ISNUMBER(G22),Population!G22,"")</f>
        <v>37260</v>
      </c>
      <c r="AE22" s="155">
        <f>IF(ISNUMBER(H22),Population!H22,"")</f>
        <v>37929</v>
      </c>
      <c r="AF22" s="65" t="s">
        <v>3</v>
      </c>
      <c r="AG22" s="70">
        <f t="shared" si="3"/>
        <v>210.92040391257348</v>
      </c>
      <c r="AH22" s="156">
        <f t="shared" si="4"/>
        <v>17</v>
      </c>
      <c r="AJ22" s="121"/>
      <c r="AK22" s="480">
        <f t="shared" si="5"/>
        <v>-0.38461538461538464</v>
      </c>
      <c r="AL22" s="480">
        <f t="shared" si="6"/>
        <v>0.20913461538461539</v>
      </c>
      <c r="AM22" s="480">
        <f t="shared" si="7"/>
        <v>0.41749502982107356</v>
      </c>
      <c r="AN22" s="480">
        <f t="shared" si="8"/>
        <v>0.12201963534361851</v>
      </c>
      <c r="AO22" s="480">
        <f t="shared" si="11"/>
        <v>9.1008473983480706E-2</v>
      </c>
      <c r="AQ22" s="52"/>
      <c r="AR22" s="52"/>
      <c r="AS22" s="52"/>
      <c r="AT22" s="52"/>
      <c r="AU22" s="52"/>
      <c r="AV22" s="52"/>
      <c r="AW22" s="52"/>
      <c r="AX22" s="52"/>
    </row>
    <row r="23" spans="1:50" s="61" customFormat="1" ht="15.75" customHeight="1">
      <c r="A23" s="1103">
        <f>VLOOKUP(B23,ReportData!$AQ$4:$AR$25,2,FALSE)</f>
        <v>0</v>
      </c>
      <c r="B23" s="885" t="str">
        <f>ReportData!$K$16</f>
        <v>Slough</v>
      </c>
      <c r="C23" s="896"/>
      <c r="D23" s="889">
        <f>IF(Year1_Slough Year1_ReReferrals="","",Year1_Slough Year1_ReReferrals)</f>
        <v>429</v>
      </c>
      <c r="E23" s="889">
        <f>IF(Year2_Slough Year2_ReReferrals="","",Year2_Slough Year2_ReReferrals)</f>
        <v>583</v>
      </c>
      <c r="F23" s="889">
        <f>IF(Year3_Slough Year3_ReReferrals="","",Year3_Slough Year3_ReReferrals)</f>
        <v>688</v>
      </c>
      <c r="G23" s="889">
        <f>IF(Year4_Slough Year4_ReReferrals="","",Year4_Slough Year4_ReReferrals)</f>
        <v>690</v>
      </c>
      <c r="H23" s="890">
        <f>IF(Year5_Slough Year5_ReReferrals="","",Year5_Slough Year5_ReReferrals)</f>
        <v>771</v>
      </c>
      <c r="I23" s="900">
        <f t="shared" si="9"/>
        <v>0.16484388900458591</v>
      </c>
      <c r="J23" s="896"/>
      <c r="K23" s="901">
        <f>IF(ISNUMBER(D23),D23/Population!D23*10000,NA())</f>
        <v>98.668322638515136</v>
      </c>
      <c r="L23" s="901">
        <f>IF(ISNUMBER(E23),E23/Population!E23*10000,NA())</f>
        <v>132.8018223234624</v>
      </c>
      <c r="M23" s="901">
        <f>IF(ISNUMBER(F23),F23/Population!F23*10000,NA())</f>
        <v>157.30388458284747</v>
      </c>
      <c r="N23" s="901">
        <f>IF(ISNUMBER(G23),G23/Population!G23*10000,NA())</f>
        <v>155.93220338983051</v>
      </c>
      <c r="O23" s="902">
        <f>IF(ISNUMBER(H23),H23/Population!H23*10000,NA())</f>
        <v>171.91018751811637</v>
      </c>
      <c r="P23" s="903">
        <f t="shared" si="10"/>
        <v>171.91018751811637</v>
      </c>
      <c r="Q23" s="1139">
        <f t="shared" si="0"/>
        <v>14</v>
      </c>
      <c r="R23" s="64"/>
      <c r="S23" s="905">
        <f>((IDACI!$C21*$Y$41)+$Z$41)/$X$2</f>
        <v>102.8006401735144</v>
      </c>
      <c r="T23" s="906">
        <f t="shared" si="1"/>
        <v>69.109547344601978</v>
      </c>
      <c r="U23" s="89"/>
      <c r="V23" s="103"/>
      <c r="W23" s="115"/>
      <c r="X23" s="51" t="str">
        <f t="shared" si="2"/>
        <v>Slough</v>
      </c>
      <c r="Y23" s="27">
        <f>IF(ISNUMBER($H23),IDACI!D21,0)</f>
        <v>37031</v>
      </c>
      <c r="Z23" s="27">
        <f>IF(ISNUMBER($H23),IDACI!E21,0)</f>
        <v>5443.5569999999998</v>
      </c>
      <c r="AA23" s="155">
        <f>IF(ISNUMBER(D23),Population!D23,"")</f>
        <v>43479</v>
      </c>
      <c r="AB23" s="155">
        <f>IF(ISNUMBER(E23),Population!E23,"")</f>
        <v>43900</v>
      </c>
      <c r="AC23" s="155">
        <f>IF(ISNUMBER(F23),Population!F23,"")</f>
        <v>43737</v>
      </c>
      <c r="AD23" s="155">
        <f>IF(ISNUMBER(G23),Population!G23,"")</f>
        <v>44250</v>
      </c>
      <c r="AE23" s="155">
        <f>IF(ISNUMBER(H23),Population!H23,"")</f>
        <v>44849</v>
      </c>
      <c r="AF23" s="65" t="s">
        <v>13</v>
      </c>
      <c r="AG23" s="70">
        <f t="shared" si="3"/>
        <v>171.91018751811637</v>
      </c>
      <c r="AH23" s="156">
        <f t="shared" si="4"/>
        <v>14</v>
      </c>
      <c r="AJ23" s="121"/>
      <c r="AK23" s="480">
        <f t="shared" si="5"/>
        <v>0.35897435897435898</v>
      </c>
      <c r="AL23" s="480">
        <f t="shared" si="6"/>
        <v>0.18010291595197256</v>
      </c>
      <c r="AM23" s="480">
        <f t="shared" si="7"/>
        <v>2.9069767441860465E-3</v>
      </c>
      <c r="AN23" s="480">
        <f t="shared" si="8"/>
        <v>0.11739130434782609</v>
      </c>
      <c r="AO23" s="480">
        <f t="shared" si="11"/>
        <v>0.16484388900458591</v>
      </c>
      <c r="AQ23" s="52"/>
      <c r="AR23" s="52"/>
      <c r="AS23" s="52"/>
      <c r="AT23" s="52"/>
      <c r="AU23" s="52"/>
      <c r="AV23" s="52"/>
      <c r="AW23" s="52"/>
      <c r="AX23" s="52"/>
    </row>
    <row r="24" spans="1:50" s="61" customFormat="1" ht="15.75" customHeight="1">
      <c r="A24" s="1103">
        <f>VLOOKUP(B24,ReportData!$AQ$4:$AR$25,2,FALSE)</f>
        <v>0</v>
      </c>
      <c r="B24" s="885" t="str">
        <f>ReportData!$K$17</f>
        <v>Southampton</v>
      </c>
      <c r="C24" s="896"/>
      <c r="D24" s="889">
        <f>IF(Year1_Southampton Year1_ReReferrals="","",Year1_Southampton Year1_ReReferrals)</f>
        <v>1109</v>
      </c>
      <c r="E24" s="889">
        <f>IF(Year2_Southampton Year2_ReReferrals="","",Year2_Southampton Year2_ReReferrals)</f>
        <v>1144</v>
      </c>
      <c r="F24" s="889">
        <f>IF(Year3_Southampton Year3_ReReferrals="","",Year3_Southampton Year3_ReReferrals)</f>
        <v>658</v>
      </c>
      <c r="G24" s="889">
        <f>IF(Year4_Southampton Year4_ReReferrals="","",Year4_Southampton Year4_ReReferrals)</f>
        <v>853</v>
      </c>
      <c r="H24" s="890">
        <f>IF(Year5_Southampton Year5_ReReferrals="","",Year5_Southampton Year5_ReReferrals)</f>
        <v>768</v>
      </c>
      <c r="I24" s="900">
        <f t="shared" si="9"/>
        <v>-4.9140231856078048E-2</v>
      </c>
      <c r="J24" s="896"/>
      <c r="K24" s="901">
        <f>IF(ISNUMBER(D24),D24/Population!D24*10000,NA())</f>
        <v>223.64281681051867</v>
      </c>
      <c r="L24" s="901">
        <f>IF(ISNUMBER(E24),E24/Population!E24*10000,NA())</f>
        <v>230.00985182057624</v>
      </c>
      <c r="M24" s="901">
        <f>IF(ISNUMBER(F24),F24/Population!F24*10000,NA())</f>
        <v>133.2307443103588</v>
      </c>
      <c r="N24" s="901">
        <f>IF(ISNUMBER(G24),G24/Population!G24*10000,NA())</f>
        <v>171.04128651921957</v>
      </c>
      <c r="O24" s="902">
        <f>IF(ISNUMBER(H24),H24/Population!H24*10000,NA())</f>
        <v>152.46262878923233</v>
      </c>
      <c r="P24" s="903">
        <f t="shared" si="10"/>
        <v>152.46262878923233</v>
      </c>
      <c r="Q24" s="1139">
        <f t="shared" si="0"/>
        <v>11</v>
      </c>
      <c r="R24" s="64"/>
      <c r="S24" s="905">
        <f>((IDACI!$C22*$Y$41)+$Z$41)/$X$2</f>
        <v>128.20584836292613</v>
      </c>
      <c r="T24" s="906">
        <f t="shared" si="1"/>
        <v>24.256780426306193</v>
      </c>
      <c r="U24" s="89"/>
      <c r="V24" s="103"/>
      <c r="W24" s="115"/>
      <c r="X24" s="51" t="str">
        <f t="shared" si="2"/>
        <v>Southampton</v>
      </c>
      <c r="Y24" s="27">
        <f>IF(ISNUMBER($H24),IDACI!D22,0)</f>
        <v>44295</v>
      </c>
      <c r="Z24" s="27">
        <f>IF(ISNUMBER($H24),IDACI!E22,0)</f>
        <v>9080.4750000000004</v>
      </c>
      <c r="AA24" s="155">
        <f>IF(ISNUMBER(D24),Population!D24,"")</f>
        <v>49588</v>
      </c>
      <c r="AB24" s="155">
        <f>IF(ISNUMBER(E24),Population!E24,"")</f>
        <v>49737</v>
      </c>
      <c r="AC24" s="155">
        <f>IF(ISNUMBER(F24),Population!F24,"")</f>
        <v>49388</v>
      </c>
      <c r="AD24" s="155">
        <f>IF(ISNUMBER(G24),Population!G24,"")</f>
        <v>49871</v>
      </c>
      <c r="AE24" s="155">
        <f>IF(ISNUMBER(H24),Population!H24,"")</f>
        <v>50373</v>
      </c>
      <c r="AF24" s="65" t="s">
        <v>14</v>
      </c>
      <c r="AG24" s="70">
        <f t="shared" si="3"/>
        <v>152.46262878923233</v>
      </c>
      <c r="AH24" s="156">
        <f t="shared" si="4"/>
        <v>11</v>
      </c>
      <c r="AJ24" s="121"/>
      <c r="AK24" s="480">
        <f t="shared" si="5"/>
        <v>3.1559963931469794E-2</v>
      </c>
      <c r="AL24" s="480">
        <f t="shared" si="6"/>
        <v>-0.42482517482517484</v>
      </c>
      <c r="AM24" s="480">
        <f t="shared" si="7"/>
        <v>0.29635258358662614</v>
      </c>
      <c r="AN24" s="480">
        <f t="shared" si="8"/>
        <v>-9.9648300117233288E-2</v>
      </c>
      <c r="AO24" s="480">
        <f t="shared" si="11"/>
        <v>-4.9140231856078048E-2</v>
      </c>
      <c r="AQ24" s="52"/>
      <c r="AR24" s="52"/>
      <c r="AS24" s="52"/>
      <c r="AT24" s="52"/>
      <c r="AU24" s="52"/>
      <c r="AV24" s="52"/>
      <c r="AW24" s="52"/>
      <c r="AX24" s="52"/>
    </row>
    <row r="25" spans="1:50" s="61" customFormat="1" ht="15.75" customHeight="1">
      <c r="A25" s="1103">
        <f>VLOOKUP(B25,ReportData!$AQ$4:$AR$25,2,FALSE)</f>
        <v>0</v>
      </c>
      <c r="B25" s="885" t="str">
        <f>ReportData!$K$18</f>
        <v>Surrey</v>
      </c>
      <c r="C25" s="896"/>
      <c r="D25" s="889">
        <f>IF(Year1_Surrey Year1_ReReferrals="","",Year1_Surrey Year1_ReReferrals)</f>
        <v>1832</v>
      </c>
      <c r="E25" s="889">
        <f>IF(Year2_Surrey Year2_ReReferrals="","",Year2_Surrey Year2_ReReferrals)</f>
        <v>2359</v>
      </c>
      <c r="F25" s="889">
        <f>IF(Year3_Surrey Year3_ReReferrals="","",Year3_Surrey Year3_ReReferrals)</f>
        <v>1863</v>
      </c>
      <c r="G25" s="889">
        <f>IF(Year4_Surrey Year4_ReReferrals="","",Year4_Surrey Year4_ReReferrals)</f>
        <v>1229</v>
      </c>
      <c r="H25" s="890">
        <f>IF(Year5_Surrey Year5_ReReferrals="","",Year5_Surrey Year5_ReReferrals)</f>
        <v>1256</v>
      </c>
      <c r="I25" s="900">
        <f t="shared" si="9"/>
        <v>-6.023426848814651E-2</v>
      </c>
      <c r="J25" s="896"/>
      <c r="K25" s="901">
        <f>IF(ISNUMBER(D25),D25/Population!D25*10000,NA())</f>
        <v>70.995369024782505</v>
      </c>
      <c r="L25" s="901">
        <f>IF(ISNUMBER(E25),E25/Population!E25*10000,NA())</f>
        <v>91.250546381503867</v>
      </c>
      <c r="M25" s="901">
        <f>IF(ISNUMBER(F25),F25/Population!F25*10000,NA())</f>
        <v>71.795227524972248</v>
      </c>
      <c r="N25" s="901">
        <f>IF(ISNUMBER(G25),G25/Population!G25*10000,NA())</f>
        <v>46.635348759552848</v>
      </c>
      <c r="O25" s="902">
        <f>IF(ISNUMBER(H25),H25/Population!H25*10000,NA())</f>
        <v>47.276340751001236</v>
      </c>
      <c r="P25" s="903">
        <f t="shared" si="10"/>
        <v>47.276340751001236</v>
      </c>
      <c r="Q25" s="1139">
        <f t="shared" si="0"/>
        <v>1</v>
      </c>
      <c r="R25" s="64"/>
      <c r="S25" s="905">
        <f>((IDACI!$C23*$Y$41)+$Z$41)/$X$2</f>
        <v>74.767306998991103</v>
      </c>
      <c r="T25" s="906">
        <f t="shared" si="1"/>
        <v>-27.490966247989867</v>
      </c>
      <c r="U25" s="89"/>
      <c r="V25" s="103"/>
      <c r="W25" s="115"/>
      <c r="X25" s="51" t="str">
        <f t="shared" si="2"/>
        <v>Surrey</v>
      </c>
      <c r="Y25" s="27">
        <f>IF(ISNUMBER($H25),IDACI!D23,0)</f>
        <v>228466</v>
      </c>
      <c r="Z25" s="27">
        <f>IF(ISNUMBER($H25),IDACI!E23,0)</f>
        <v>18962.678</v>
      </c>
      <c r="AA25" s="155">
        <f>IF(ISNUMBER(D25),Population!D25,"")</f>
        <v>258045</v>
      </c>
      <c r="AB25" s="155">
        <f>IF(ISNUMBER(E25),Population!E25,"")</f>
        <v>258519</v>
      </c>
      <c r="AC25" s="155">
        <f>IF(ISNUMBER(F25),Population!F25,"")</f>
        <v>259488</v>
      </c>
      <c r="AD25" s="155">
        <f>IF(ISNUMBER(G25),Population!G25,"")</f>
        <v>263534</v>
      </c>
      <c r="AE25" s="155">
        <f>IF(ISNUMBER(H25),Population!H25,"")</f>
        <v>265672</v>
      </c>
      <c r="AF25" s="65" t="s">
        <v>7</v>
      </c>
      <c r="AG25" s="70">
        <f t="shared" si="3"/>
        <v>47.276340751001236</v>
      </c>
      <c r="AH25" s="156">
        <f t="shared" si="4"/>
        <v>1</v>
      </c>
      <c r="AJ25" s="121"/>
      <c r="AK25" s="480">
        <f t="shared" si="5"/>
        <v>0.2876637554585153</v>
      </c>
      <c r="AL25" s="480">
        <f t="shared" si="6"/>
        <v>-0.21025858414582449</v>
      </c>
      <c r="AM25" s="480">
        <f t="shared" si="7"/>
        <v>-0.34031132581857221</v>
      </c>
      <c r="AN25" s="480">
        <f t="shared" si="8"/>
        <v>2.1969080553295363E-2</v>
      </c>
      <c r="AO25" s="480">
        <f t="shared" si="11"/>
        <v>-6.023426848814651E-2</v>
      </c>
      <c r="AQ25" s="52"/>
      <c r="AR25" s="52"/>
      <c r="AS25" s="52"/>
      <c r="AT25" s="52"/>
      <c r="AU25" s="52"/>
      <c r="AV25" s="52"/>
      <c r="AW25" s="52"/>
      <c r="AX25" s="52"/>
    </row>
    <row r="26" spans="1:50" s="61" customFormat="1" ht="15.75" customHeight="1">
      <c r="A26" s="1103">
        <f>VLOOKUP(B26,ReportData!$AQ$4:$AR$25,2,FALSE)</f>
        <v>0</v>
      </c>
      <c r="B26" s="885" t="str">
        <f>ReportData!$K$19</f>
        <v>West Berkshire</v>
      </c>
      <c r="C26" s="896"/>
      <c r="D26" s="889">
        <f>IF(Year1_West_Berkshire Year1_ReReferrals="","",Year1_West_Berkshire Year1_ReReferrals)</f>
        <v>443</v>
      </c>
      <c r="E26" s="889">
        <f>IF(Year2_West_Berkshire Year2_ReReferrals="","",Year2_West_Berkshire Year2_ReReferrals)</f>
        <v>340</v>
      </c>
      <c r="F26" s="889">
        <f>IF(Year3_West_Berkshire Year3_ReReferrals="","",Year3_West_Berkshire Year3_ReReferrals)</f>
        <v>488</v>
      </c>
      <c r="G26" s="889">
        <f>IF(Year4_West_Berkshire Year4_ReReferrals="","",Year4_West_Berkshire Year4_ReReferrals)</f>
        <v>458</v>
      </c>
      <c r="H26" s="890">
        <f>IF(Year5_West_Berkshire Year5_ReReferrals="","",Year5_West_Berkshire Year5_ReReferrals)</f>
        <v>350</v>
      </c>
      <c r="I26" s="900">
        <f t="shared" ref="I26:I31" si="12">AO26</f>
        <v>-2.3623698947968313E-2</v>
      </c>
      <c r="J26" s="896"/>
      <c r="K26" s="901">
        <f>IF(ISNUMBER(D26),D26/Population!D26*10000,NA())</f>
        <v>126.35121645132769</v>
      </c>
      <c r="L26" s="901">
        <f>IF(ISNUMBER(E26),E26/Population!E26*10000,NA())</f>
        <v>97.633815759246502</v>
      </c>
      <c r="M26" s="901">
        <f>IF(ISNUMBER(F26),F26/Population!F26*10000,NA())</f>
        <v>141.06084694319989</v>
      </c>
      <c r="N26" s="901">
        <f>IF(ISNUMBER(G26),G26/Population!G26*10000,NA())</f>
        <v>131.18698441796516</v>
      </c>
      <c r="O26" s="902">
        <f>IF(ISNUMBER(H26),H26/Population!H26*10000,NA())</f>
        <v>99.079971691436654</v>
      </c>
      <c r="P26" s="903">
        <f t="shared" ref="P26:P31" si="13">IF(ISNUMBER(O26),O26,"")</f>
        <v>99.079971691436654</v>
      </c>
      <c r="Q26" s="1139">
        <f t="shared" si="0"/>
        <v>7</v>
      </c>
      <c r="R26" s="64"/>
      <c r="S26" s="905">
        <f>((IDACI!$C24*$Y$41)+$Z$41)/$X$2</f>
        <v>76.519390322398806</v>
      </c>
      <c r="T26" s="906">
        <f t="shared" si="1"/>
        <v>22.560581369037848</v>
      </c>
      <c r="U26" s="89"/>
      <c r="V26" s="103"/>
      <c r="W26" s="115"/>
      <c r="X26" s="51" t="str">
        <f t="shared" si="2"/>
        <v>West Berkshire</v>
      </c>
      <c r="Y26" s="27">
        <f>IF(ISNUMBER($H26),IDACI!D24,0)</f>
        <v>31625</v>
      </c>
      <c r="Z26" s="27">
        <f>IF(ISNUMBER($H26),IDACI!E24,0)</f>
        <v>2751.375</v>
      </c>
      <c r="AA26" s="155">
        <f>IF(ISNUMBER(D26),Population!D26,"")</f>
        <v>35061</v>
      </c>
      <c r="AB26" s="155">
        <f>IF(ISNUMBER(E26),Population!E26,"")</f>
        <v>34824</v>
      </c>
      <c r="AC26" s="155">
        <f>IF(ISNUMBER(F26),Population!F26,"")</f>
        <v>34595</v>
      </c>
      <c r="AD26" s="155">
        <f>IF(ISNUMBER(G26),Population!G26,"")</f>
        <v>34912</v>
      </c>
      <c r="AE26" s="155">
        <f>IF(ISNUMBER(H26),Population!H26,"")</f>
        <v>35325</v>
      </c>
      <c r="AF26" s="65" t="s">
        <v>15</v>
      </c>
      <c r="AG26" s="70">
        <f t="shared" si="3"/>
        <v>99.079971691436654</v>
      </c>
      <c r="AH26" s="156">
        <f t="shared" si="4"/>
        <v>7</v>
      </c>
      <c r="AJ26" s="121"/>
      <c r="AK26" s="480">
        <f t="shared" si="5"/>
        <v>-0.2325056433408578</v>
      </c>
      <c r="AL26" s="480">
        <f t="shared" si="6"/>
        <v>0.43529411764705883</v>
      </c>
      <c r="AM26" s="480">
        <f t="shared" si="7"/>
        <v>-6.1475409836065573E-2</v>
      </c>
      <c r="AN26" s="480">
        <f t="shared" si="8"/>
        <v>-0.23580786026200873</v>
      </c>
      <c r="AO26" s="480">
        <f t="shared" ref="AO26:AO31" si="14">AVERAGE(AK26:AN26)</f>
        <v>-2.3623698947968313E-2</v>
      </c>
      <c r="AQ26" s="52"/>
      <c r="AR26" s="52"/>
      <c r="AS26" s="52"/>
      <c r="AT26" s="52"/>
      <c r="AU26" s="52"/>
      <c r="AV26" s="52"/>
      <c r="AW26" s="52"/>
      <c r="AX26" s="52"/>
    </row>
    <row r="27" spans="1:50" s="61" customFormat="1" ht="15.75" customHeight="1">
      <c r="A27" s="1103">
        <f>VLOOKUP(B27,ReportData!$AQ$4:$AR$25,2,FALSE)</f>
        <v>0</v>
      </c>
      <c r="B27" s="885" t="str">
        <f>ReportData!$K$20</f>
        <v>West Sussex</v>
      </c>
      <c r="C27" s="896"/>
      <c r="D27" s="889">
        <f>IF(Year1_West_Sussex Year1_ReReferrals="","",Year1_West_Sussex Year1_ReReferrals)</f>
        <v>2654</v>
      </c>
      <c r="E27" s="889">
        <f>IF(Year2_West_Sussex Year2_ReReferrals="","",Year2_West_Sussex Year2_ReReferrals)</f>
        <v>2440</v>
      </c>
      <c r="F27" s="889">
        <f>IF(Year3_West_Sussex Year3_ReReferrals="","",Year3_West_Sussex Year3_ReReferrals)</f>
        <v>2401</v>
      </c>
      <c r="G27" s="889">
        <f>IF(Year4_West_Sussex Year4_ReReferrals="","",Year4_West_Sussex Year4_ReReferrals)</f>
        <v>2212</v>
      </c>
      <c r="H27" s="890">
        <f>IF(Year5_West_Sussex Year5_ReReferrals="","",Year5_West_Sussex Year5_ReReferrals)</f>
        <v>1347</v>
      </c>
      <c r="I27" s="900">
        <f t="shared" si="12"/>
        <v>-0.14159565977472544</v>
      </c>
      <c r="J27" s="896"/>
      <c r="K27" s="901">
        <f>IF(ISNUMBER(D27),D27/Population!D27*10000,NA())</f>
        <v>152.92334818007387</v>
      </c>
      <c r="L27" s="901">
        <f>IF(ISNUMBER(E27),E27/Population!E27*10000,NA())</f>
        <v>140.33231151472626</v>
      </c>
      <c r="M27" s="901">
        <f>IF(ISNUMBER(F27),F27/Population!F27*10000,NA())</f>
        <v>137.33026756809315</v>
      </c>
      <c r="N27" s="901">
        <f>IF(ISNUMBER(G27),G27/Population!G27*10000,NA())</f>
        <v>124.72582309457624</v>
      </c>
      <c r="O27" s="902">
        <f>IF(ISNUMBER(H27),H27/Population!H27*10000,NA())</f>
        <v>75.24803360743654</v>
      </c>
      <c r="P27" s="903">
        <f t="shared" si="13"/>
        <v>75.24803360743654</v>
      </c>
      <c r="Q27" s="1139">
        <f t="shared" si="0"/>
        <v>5</v>
      </c>
      <c r="R27" s="64"/>
      <c r="S27" s="905">
        <f>((IDACI!$C25*$Y$41)+$Z$41)/$X$2</f>
        <v>86.593869431993113</v>
      </c>
      <c r="T27" s="906">
        <f t="shared" si="1"/>
        <v>-11.345835824556573</v>
      </c>
      <c r="U27" s="89"/>
      <c r="V27" s="103"/>
      <c r="W27" s="115"/>
      <c r="X27" s="51" t="str">
        <f t="shared" si="2"/>
        <v>West Sussex</v>
      </c>
      <c r="Y27" s="27">
        <f>IF(ISNUMBER($H27),IDACI!D25,0)</f>
        <v>151487</v>
      </c>
      <c r="Z27" s="27">
        <f>IF(ISNUMBER($H27),IDACI!E25,0)</f>
        <v>16663.57</v>
      </c>
      <c r="AA27" s="155">
        <f>IF(ISNUMBER(D27),Population!D27,"")</f>
        <v>173551</v>
      </c>
      <c r="AB27" s="155">
        <f>IF(ISNUMBER(E27),Population!E27,"")</f>
        <v>173873</v>
      </c>
      <c r="AC27" s="155">
        <f>IF(ISNUMBER(F27),Population!F27,"")</f>
        <v>174834</v>
      </c>
      <c r="AD27" s="155">
        <f>IF(ISNUMBER(G27),Population!G27,"")</f>
        <v>177349</v>
      </c>
      <c r="AE27" s="155">
        <f>IF(ISNUMBER(H27),Population!H27,"")</f>
        <v>179008</v>
      </c>
      <c r="AF27" s="65" t="s">
        <v>5</v>
      </c>
      <c r="AG27" s="70">
        <f t="shared" si="3"/>
        <v>75.24803360743654</v>
      </c>
      <c r="AH27" s="156">
        <f t="shared" si="4"/>
        <v>5</v>
      </c>
      <c r="AJ27" s="121"/>
      <c r="AK27" s="480">
        <f t="shared" si="5"/>
        <v>-8.0633006782215522E-2</v>
      </c>
      <c r="AL27" s="480">
        <f t="shared" si="6"/>
        <v>-1.5983606557377048E-2</v>
      </c>
      <c r="AM27" s="480">
        <f t="shared" si="7"/>
        <v>-7.8717201166180764E-2</v>
      </c>
      <c r="AN27" s="480">
        <f t="shared" si="8"/>
        <v>-0.3910488245931284</v>
      </c>
      <c r="AO27" s="480">
        <f t="shared" si="14"/>
        <v>-0.14159565977472544</v>
      </c>
      <c r="AQ27" s="52"/>
      <c r="AR27" s="52"/>
      <c r="AS27" s="52"/>
      <c r="AT27" s="52"/>
      <c r="AU27" s="52"/>
      <c r="AV27" s="52"/>
      <c r="AW27" s="52"/>
      <c r="AX27" s="52"/>
    </row>
    <row r="28" spans="1:50" s="61" customFormat="1" ht="15.75" customHeight="1">
      <c r="A28" s="1103">
        <f>VLOOKUP(B28,ReportData!$AQ$4:$AR$25,2,FALSE)</f>
        <v>0</v>
      </c>
      <c r="B28" s="885" t="str">
        <f>ReportData!$K$21</f>
        <v>Windsor &amp; Maidenhead</v>
      </c>
      <c r="C28" s="896"/>
      <c r="D28" s="889">
        <f>IF(Year1_Windsor_and_Maidenhead Year1_ReReferrals="","",Year1_Windsor_and_Maidenhead Year1_ReReferrals)</f>
        <v>214</v>
      </c>
      <c r="E28" s="889">
        <f>IF(Year2_Windsor_and_Maidenhead Year2_ReReferrals="","",Year2_Windsor_and_Maidenhead Year2_ReReferrals)</f>
        <v>328</v>
      </c>
      <c r="F28" s="889">
        <f>IF(Year3_Windsor_and_Maidenhead Year3_ReReferrals="","",Year3_Windsor_and_Maidenhead Year3_ReReferrals)</f>
        <v>322</v>
      </c>
      <c r="G28" s="889">
        <f>IF(Year4_Windsor_and_Maidenhead Year4_ReReferrals="","",Year4_Windsor_and_Maidenhead Year4_ReReferrals)</f>
        <v>421</v>
      </c>
      <c r="H28" s="890">
        <f>IF(Year5_Windsor_and_Maidenhead Year5_ReReferrals="","",Year5_Windsor_and_Maidenhead Year5_ReReferrals)</f>
        <v>410</v>
      </c>
      <c r="I28" s="900">
        <f t="shared" si="12"/>
        <v>0.19893568689070415</v>
      </c>
      <c r="J28" s="896"/>
      <c r="K28" s="901">
        <f>IF(ISNUMBER(D28),D28/Population!D28*10000,NA())</f>
        <v>62.437999649880375</v>
      </c>
      <c r="L28" s="901">
        <f>IF(ISNUMBER(E28),E28/Population!E28*10000,NA())</f>
        <v>96.235660006454836</v>
      </c>
      <c r="M28" s="901">
        <f>IF(ISNUMBER(F28),F28/Population!F28*10000,NA())</f>
        <v>95.0525445743299</v>
      </c>
      <c r="N28" s="901">
        <f>IF(ISNUMBER(G28),G28/Population!G28*10000,NA())</f>
        <v>123.41336147509747</v>
      </c>
      <c r="O28" s="902">
        <f>IF(ISNUMBER(H28),H28/Population!H28*10000,NA())</f>
        <v>119.59977830284997</v>
      </c>
      <c r="P28" s="903">
        <f t="shared" si="13"/>
        <v>119.59977830284997</v>
      </c>
      <c r="Q28" s="1139">
        <f t="shared" si="0"/>
        <v>8</v>
      </c>
      <c r="R28" s="64"/>
      <c r="S28" s="905">
        <f>((IDACI!$C26*$Y$41)+$Z$41)/$X$2</f>
        <v>67.75897370536029</v>
      </c>
      <c r="T28" s="906">
        <f t="shared" si="1"/>
        <v>51.840804597489679</v>
      </c>
      <c r="U28" s="89"/>
      <c r="V28" s="103"/>
      <c r="W28" s="115"/>
      <c r="X28" s="51" t="str">
        <f t="shared" si="2"/>
        <v>Windsor &amp; Maidenhead</v>
      </c>
      <c r="Y28" s="27">
        <f>IF(ISNUMBER($H28),IDACI!D26,0)</f>
        <v>29792</v>
      </c>
      <c r="Z28" s="27">
        <f>IF(ISNUMBER($H28),IDACI!E26,0)</f>
        <v>1996.0640000000001</v>
      </c>
      <c r="AA28" s="155">
        <f>IF(ISNUMBER(D28),Population!D28,"")</f>
        <v>34274</v>
      </c>
      <c r="AB28" s="155">
        <f>IF(ISNUMBER(E28),Population!E28,"")</f>
        <v>34083</v>
      </c>
      <c r="AC28" s="155">
        <f>IF(ISNUMBER(F28),Population!F28,"")</f>
        <v>33876</v>
      </c>
      <c r="AD28" s="155">
        <f>IF(ISNUMBER(G28),Population!G28,"")</f>
        <v>34113</v>
      </c>
      <c r="AE28" s="155">
        <f>IF(ISNUMBER(H28),Population!H28,"")</f>
        <v>34281</v>
      </c>
      <c r="AF28" s="65" t="s">
        <v>27</v>
      </c>
      <c r="AG28" s="70">
        <f t="shared" si="3"/>
        <v>119.59977830284997</v>
      </c>
      <c r="AH28" s="156">
        <f t="shared" si="4"/>
        <v>8</v>
      </c>
      <c r="AJ28" s="121"/>
      <c r="AK28" s="480">
        <f t="shared" si="5"/>
        <v>0.53271028037383172</v>
      </c>
      <c r="AL28" s="480">
        <f t="shared" si="6"/>
        <v>-1.8292682926829267E-2</v>
      </c>
      <c r="AM28" s="480">
        <f t="shared" si="7"/>
        <v>0.30745341614906835</v>
      </c>
      <c r="AN28" s="480">
        <f t="shared" si="8"/>
        <v>-2.6128266033254157E-2</v>
      </c>
      <c r="AO28" s="480">
        <f t="shared" si="14"/>
        <v>0.19893568689070415</v>
      </c>
      <c r="AQ28" s="52"/>
      <c r="AR28" s="52"/>
      <c r="AS28" s="52"/>
      <c r="AT28" s="52"/>
      <c r="AU28" s="52"/>
      <c r="AV28" s="52"/>
      <c r="AW28" s="52"/>
      <c r="AX28" s="52"/>
    </row>
    <row r="29" spans="1:50" s="61" customFormat="1" ht="15.75" customHeight="1">
      <c r="A29" s="1103">
        <f>VLOOKUP(B29,ReportData!$AQ$4:$AR$25,2,FALSE)</f>
        <v>0</v>
      </c>
      <c r="B29" s="885" t="str">
        <f>ReportData!$K$22</f>
        <v>Wokingham</v>
      </c>
      <c r="C29" s="896"/>
      <c r="D29" s="889">
        <f>IF(Year1_Wokingham Year1_ReReferrals="","",Year1_Wokingham Year1_ReReferrals)</f>
        <v>436</v>
      </c>
      <c r="E29" s="889">
        <f>IF(Year2_Wokingham Year2_ReReferrals="","",Year2_Wokingham Year2_ReReferrals)</f>
        <v>259</v>
      </c>
      <c r="F29" s="889">
        <f>IF(Year3_Wokingham Year3_ReReferrals="","",Year3_Wokingham Year3_ReReferrals)</f>
        <v>249</v>
      </c>
      <c r="G29" s="889">
        <f>IF(Year4_Wokingham Year4_ReReferrals="","",Year4_Wokingham Year4_ReReferrals)</f>
        <v>291</v>
      </c>
      <c r="H29" s="890">
        <f>IF(Year5_Wokingham Year5_ReReferrals="","",Year5_Wokingham Year5_ReReferrals)</f>
        <v>290</v>
      </c>
      <c r="I29" s="900">
        <f t="shared" si="12"/>
        <v>-6.9833767170997485E-2</v>
      </c>
      <c r="J29" s="896"/>
      <c r="K29" s="901">
        <f>IF(ISNUMBER(D29),D29/Population!D29*10000,NA())</f>
        <v>109.62486171175701</v>
      </c>
      <c r="L29" s="901">
        <f>IF(ISNUMBER(E29),E29/Population!E29*10000,NA())</f>
        <v>63.988536416641963</v>
      </c>
      <c r="M29" s="901">
        <f>IF(ISNUMBER(F29),F29/Population!F29*10000,NA())</f>
        <v>60.541223953901145</v>
      </c>
      <c r="N29" s="901">
        <f>IF(ISNUMBER(G29),G29/Population!G29*10000,NA())</f>
        <v>68.438381937911572</v>
      </c>
      <c r="O29" s="902">
        <f>IF(ISNUMBER(H29),H29/Population!H29*10000,NA())</f>
        <v>66.952948238444847</v>
      </c>
      <c r="P29" s="903">
        <f t="shared" si="13"/>
        <v>66.952948238444847</v>
      </c>
      <c r="Q29" s="1139">
        <f t="shared" si="0"/>
        <v>4</v>
      </c>
      <c r="R29" s="64"/>
      <c r="S29" s="905">
        <f>((IDACI!$C27*$Y$41)+$Z$41)/$X$2</f>
        <v>62.940744565989093</v>
      </c>
      <c r="T29" s="906">
        <f t="shared" si="1"/>
        <v>4.0122036724557546</v>
      </c>
      <c r="U29" s="89"/>
      <c r="V29" s="103"/>
      <c r="W29" s="115"/>
      <c r="X29" s="51" t="str">
        <f t="shared" si="2"/>
        <v>Wokingham</v>
      </c>
      <c r="Y29" s="27">
        <f>IF(ISNUMBER($H29),IDACI!D27,0)</f>
        <v>33327</v>
      </c>
      <c r="Z29" s="27">
        <f>IF(ISNUMBER($H29),IDACI!E27,0)</f>
        <v>1866.3120000000004</v>
      </c>
      <c r="AA29" s="155">
        <f>IF(ISNUMBER(D29),Population!D29,"")</f>
        <v>39772</v>
      </c>
      <c r="AB29" s="155">
        <f>IF(ISNUMBER(E29),Population!E29,"")</f>
        <v>40476</v>
      </c>
      <c r="AC29" s="155">
        <f>IF(ISNUMBER(F29),Population!F29,"")</f>
        <v>41129</v>
      </c>
      <c r="AD29" s="155">
        <f>IF(ISNUMBER(G29),Population!G29,"")</f>
        <v>42520</v>
      </c>
      <c r="AE29" s="155">
        <f>IF(ISNUMBER(H29),Population!H29,"")</f>
        <v>43314</v>
      </c>
      <c r="AF29" s="65" t="s">
        <v>16</v>
      </c>
      <c r="AG29" s="70">
        <f t="shared" si="3"/>
        <v>66.952948238444847</v>
      </c>
      <c r="AH29" s="156">
        <f t="shared" si="4"/>
        <v>4</v>
      </c>
      <c r="AJ29" s="121"/>
      <c r="AK29" s="480">
        <f t="shared" si="5"/>
        <v>-0.40596330275229359</v>
      </c>
      <c r="AL29" s="480">
        <f t="shared" si="6"/>
        <v>-3.8610038610038609E-2</v>
      </c>
      <c r="AM29" s="480">
        <f t="shared" si="7"/>
        <v>0.16867469879518071</v>
      </c>
      <c r="AN29" s="480">
        <f t="shared" si="8"/>
        <v>-3.4364261168384879E-3</v>
      </c>
      <c r="AO29" s="480">
        <f t="shared" si="14"/>
        <v>-6.9833767170997485E-2</v>
      </c>
      <c r="AQ29" s="52"/>
      <c r="AR29" s="52"/>
      <c r="AS29" s="52"/>
      <c r="AT29" s="52"/>
      <c r="AU29" s="52"/>
      <c r="AV29" s="52"/>
      <c r="AW29" s="52"/>
      <c r="AX29" s="52"/>
    </row>
    <row r="30" spans="1:50" s="61" customFormat="1" ht="15.75" customHeight="1">
      <c r="A30" s="1103"/>
      <c r="B30" s="886" t="str">
        <f>ReportData!$K$23</f>
        <v>South East</v>
      </c>
      <c r="C30" s="896"/>
      <c r="D30" s="892">
        <f>IF(Year1_South_East Year1_ReReferrals="","",Year1_South_East Year1_ReReferrals)</f>
        <v>29803</v>
      </c>
      <c r="E30" s="892">
        <f>IF(Year2_South_East Year2_ReReferrals="","",Year2_South_East Year2_ReReferrals)</f>
        <v>30745</v>
      </c>
      <c r="F30" s="892">
        <f>IF(Year3_South_East Year3_ReReferrals="","",Year3_South_East Year3_ReReferrals)</f>
        <v>32161</v>
      </c>
      <c r="G30" s="892">
        <f>IF(Year4_South_East Year4_ReReferrals="","",Year4_South_East Year4_ReReferrals)</f>
        <v>35390</v>
      </c>
      <c r="H30" s="1084">
        <f>IF(Year5_South_East Year5_ReReferrals="","",Year5_South_East Year5_ReReferrals)</f>
        <v>32310</v>
      </c>
      <c r="I30" s="907">
        <f t="shared" si="12"/>
        <v>5.2641166306822855E-2</v>
      </c>
      <c r="J30" s="896"/>
      <c r="K30" s="908">
        <f>IF(ISNUMBER(D30),D30/AA30*10000,NA())</f>
        <v>154.60288953801734</v>
      </c>
      <c r="L30" s="908">
        <f>IF(ISNUMBER(E30),E30/AB30*10000,NA())</f>
        <v>159.24020487576988</v>
      </c>
      <c r="M30" s="908">
        <f>IF(ISNUMBER(F30),F30/AC30*10000,NA())</f>
        <v>166.14695696018384</v>
      </c>
      <c r="N30" s="908">
        <f>IF(ISNUMBER(G30),G30/AD30*10000,NA())</f>
        <v>180.08226080328188</v>
      </c>
      <c r="O30" s="909">
        <f>IF(ISNUMBER(H30),H30/AE30*10000,NA())</f>
        <v>189.68480971637101</v>
      </c>
      <c r="P30" s="903">
        <f t="shared" si="13"/>
        <v>189.68480971637101</v>
      </c>
      <c r="Q30" s="1140" t="str">
        <f t="shared" si="0"/>
        <v>--</v>
      </c>
      <c r="R30" s="64"/>
      <c r="S30" s="911">
        <f>(((Z31/Y31)*$Y$41)+$Z$41)/$X$2</f>
        <v>39.15991093371008</v>
      </c>
      <c r="T30" s="912">
        <f t="shared" si="1"/>
        <v>150.52489878266093</v>
      </c>
      <c r="U30" s="89"/>
      <c r="V30" s="103"/>
      <c r="W30" s="115"/>
      <c r="X30" s="51" t="str">
        <f t="shared" si="2"/>
        <v>South East</v>
      </c>
      <c r="Y30" s="27">
        <f>SUM(Y24:Y25,Y11:Y23,Y26:Y29)</f>
        <v>1455495</v>
      </c>
      <c r="Z30" s="27">
        <f>SUM(Z24:Z25,Z11:Z23,Z26:Z29)</f>
        <v>185729.61900000004</v>
      </c>
      <c r="AA30" s="155">
        <f>SUM(AA11:AA23,AA24:AA25,AA26:AA29)</f>
        <v>1927713</v>
      </c>
      <c r="AB30" s="155">
        <f>SUM(AB11:AB23,AB24:AB25,AB26:AB29)</f>
        <v>1930731</v>
      </c>
      <c r="AC30" s="155">
        <f>SUM(AC11:AC23,AC24:AC25,AC26:AC29)</f>
        <v>1935696</v>
      </c>
      <c r="AD30" s="155">
        <f>SUM(AD11:AD23,AD24:AD25,AD26:AD29)</f>
        <v>1965213</v>
      </c>
      <c r="AE30" s="155">
        <f>SUM(AE11:AE23,AE24:AE25,AE26:AE29)</f>
        <v>1703352</v>
      </c>
      <c r="AJ30" s="121"/>
      <c r="AK30" s="480">
        <f>IF(ISERROR((L30-K30)/K30),"x",(L30-K30)/K30)</f>
        <v>2.9995010776381441E-2</v>
      </c>
      <c r="AL30" s="480">
        <f>IF(ISERROR((M30-L30)/L30),"x",(M30-L30)/L30)</f>
        <v>4.3373167535185102E-2</v>
      </c>
      <c r="AM30" s="480">
        <f>IF(ISERROR((N30-M30)/M30),"x",(N30-M30)/M30)</f>
        <v>8.3873361860232892E-2</v>
      </c>
      <c r="AN30" s="480">
        <f>IF(ISERROR((O30-N30)/N30),"x",(O30-N30)/N30)</f>
        <v>5.3323125055491992E-2</v>
      </c>
      <c r="AO30" s="480">
        <f t="shared" si="14"/>
        <v>5.2641166306822855E-2</v>
      </c>
      <c r="AQ30" s="52"/>
      <c r="AR30" s="52"/>
      <c r="AS30" s="52"/>
      <c r="AT30" s="52"/>
      <c r="AU30" s="52"/>
      <c r="AV30" s="52"/>
      <c r="AW30" s="52"/>
      <c r="AX30" s="52"/>
    </row>
    <row r="31" spans="1:50" s="61" customFormat="1" ht="15.75" customHeight="1">
      <c r="A31" s="1103"/>
      <c r="B31" s="887" t="str">
        <f>ReportData!$K$24</f>
        <v>England</v>
      </c>
      <c r="C31" s="896"/>
      <c r="D31" s="894">
        <f>IF(Year1_England Year1_ReReferrals="","",Year1_England Year1_ReReferrals)</f>
        <v>145390</v>
      </c>
      <c r="E31" s="894">
        <f>IF(Year2_England Year2_ReReferrals="","",Year2_England Year2_ReReferrals)</f>
        <v>135850</v>
      </c>
      <c r="F31" s="894">
        <f>IF(Year3_England Year3_ReReferrals="","",Year3_England Year3_ReReferrals)</f>
        <v>139500</v>
      </c>
      <c r="G31" s="894">
        <f>IF(Year4_England Year4_ReReferrals="","",Year4_England Year4_ReReferrals)</f>
        <v>143770</v>
      </c>
      <c r="H31" s="1085">
        <f>IF(Year5_England Year5_ReReferrals="","",Year5_England Year5_ReReferrals)</f>
        <v>139080</v>
      </c>
      <c r="I31" s="913">
        <f t="shared" si="12"/>
        <v>-1.0190244427683598E-2</v>
      </c>
      <c r="J31" s="896"/>
      <c r="K31" s="914">
        <f>IF(ISNUMBER(D31),D31/Population!D31*10000,NA())</f>
        <v>123.31122399302761</v>
      </c>
      <c r="L31" s="914">
        <f>IF(ISNUMBER(E31),E31/Population!E31*10000,NA())</f>
        <v>115.24633022938814</v>
      </c>
      <c r="M31" s="914">
        <f>IF(ISNUMBER(F31),F31/Population!F31*10000,NA())</f>
        <v>118.59342586057595</v>
      </c>
      <c r="N31" s="914">
        <f>IF(ISNUMBER(G31),G31/Population!G31*10000,NA())</f>
        <v>120.95957617958723</v>
      </c>
      <c r="O31" s="1086">
        <f>IF(ISNUMBER(H31),H31/Population!H31*10000,NA())</f>
        <v>115.9130788590646</v>
      </c>
      <c r="P31" s="903">
        <f t="shared" si="13"/>
        <v>115.9130788590646</v>
      </c>
      <c r="Q31" s="1141" t="str">
        <f t="shared" si="0"/>
        <v>--</v>
      </c>
      <c r="R31" s="64"/>
      <c r="S31" s="917">
        <f>((IDACI!$C29*$Y$41)+$Z$41)/$X$2</f>
        <v>113.24486758116878</v>
      </c>
      <c r="T31" s="1087">
        <f t="shared" si="1"/>
        <v>2.6682112778958214</v>
      </c>
      <c r="U31" s="89"/>
      <c r="V31" s="121"/>
      <c r="W31" s="115"/>
      <c r="X31" s="51" t="str">
        <f t="shared" si="2"/>
        <v>England</v>
      </c>
      <c r="Y31" s="27">
        <f>IF(H31&gt;0,IDACI!D29,0)</f>
        <v>10405050</v>
      </c>
      <c r="Z31" s="27">
        <f>IF(H31&gt;0,IDACI!E29,0)</f>
        <v>1777641.7570000088</v>
      </c>
      <c r="AA31" s="155">
        <f>IF(ISNUMBER(D31),Population!D31,"")</f>
        <v>11790492</v>
      </c>
      <c r="AB31" s="155">
        <f>IF(ISNUMBER(E31),Population!E31,"")</f>
        <v>11787794</v>
      </c>
      <c r="AC31" s="155">
        <f>IF(ISNUMBER(F31),Population!F31,"")</f>
        <v>11762878</v>
      </c>
      <c r="AD31" s="155">
        <f>IF(ISNUMBER(G31),Population!G31,"")</f>
        <v>11885789</v>
      </c>
      <c r="AE31" s="155">
        <f>IF(ISNUMBER(H31),Population!H31,"")</f>
        <v>11998646</v>
      </c>
      <c r="AJ31" s="121"/>
      <c r="AK31" s="480">
        <f>IF(ISERROR((E31-D31)/D31),"x",(E31-D31)/D31)</f>
        <v>-6.5616617373959699E-2</v>
      </c>
      <c r="AL31" s="480">
        <f>IF(ISERROR((F31-E31)/E31),"x",(F31-E31)/E31)</f>
        <v>2.686786897313213E-2</v>
      </c>
      <c r="AM31" s="480">
        <f>IF(ISERROR((G31-F31)/F31),"x",(G31-F31)/F31)</f>
        <v>3.0609318996415769E-2</v>
      </c>
      <c r="AN31" s="480">
        <f>IF(ISERROR((H31-G31)/G31),"x",(H31-G31)/G31)</f>
        <v>-3.2621548306322599E-2</v>
      </c>
      <c r="AO31" s="480">
        <f t="shared" si="14"/>
        <v>-1.0190244427683598E-2</v>
      </c>
      <c r="AQ31" s="52"/>
      <c r="AR31" s="52"/>
      <c r="AS31" s="52"/>
      <c r="AT31" s="52"/>
      <c r="AU31" s="52"/>
      <c r="AV31" s="52"/>
      <c r="AW31" s="52"/>
      <c r="AX31" s="52"/>
    </row>
    <row r="32" spans="1:50" s="56" customFormat="1" ht="12.75" customHeight="1">
      <c r="A32" s="87"/>
      <c r="B32" s="90"/>
      <c r="C32" s="44"/>
      <c r="D32" s="44"/>
      <c r="E32" s="44"/>
      <c r="F32" s="44"/>
      <c r="G32" s="44"/>
      <c r="H32" s="44"/>
      <c r="I32" s="44"/>
      <c r="J32" s="44"/>
      <c r="K32" s="44"/>
      <c r="L32" s="44"/>
      <c r="M32" s="44"/>
      <c r="N32" s="44"/>
      <c r="O32" s="44"/>
      <c r="P32" s="44"/>
      <c r="Q32" s="1091" t="s">
        <v>100</v>
      </c>
      <c r="S32" s="44"/>
      <c r="T32" s="44"/>
      <c r="U32" s="86"/>
      <c r="V32" s="185"/>
      <c r="W32" s="114"/>
      <c r="X32" s="55"/>
      <c r="Y32" s="52"/>
      <c r="Z32" s="52"/>
      <c r="AA32" s="52"/>
      <c r="AB32" s="52"/>
      <c r="AC32" s="52"/>
      <c r="AD32" s="52"/>
      <c r="AE32" s="52"/>
      <c r="AF32" s="52"/>
      <c r="AG32" s="52"/>
      <c r="AI32" s="52"/>
      <c r="AJ32" s="122"/>
      <c r="AQ32" s="52"/>
      <c r="AR32" s="52"/>
      <c r="AS32" s="52"/>
      <c r="AT32" s="52"/>
      <c r="AU32" s="52"/>
      <c r="AV32" s="52"/>
      <c r="AW32" s="52"/>
      <c r="AX32" s="52"/>
    </row>
    <row r="33" spans="1:49"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Y33" s="141"/>
      <c r="AI33" s="52"/>
      <c r="AJ33" s="119"/>
      <c r="AK33" s="52"/>
      <c r="AL33" s="52"/>
      <c r="AM33" s="52"/>
      <c r="AN33" s="52"/>
      <c r="AO33" s="52"/>
      <c r="AP33" s="52"/>
      <c r="AQ33" s="52"/>
    </row>
    <row r="34" spans="1:49" s="56" customFormat="1" ht="15" customHeight="1">
      <c r="A34" s="1565"/>
      <c r="B34" s="1751"/>
      <c r="C34" s="1751"/>
      <c r="D34" s="1751"/>
      <c r="E34" s="1751"/>
      <c r="F34" s="1751"/>
      <c r="G34" s="1751"/>
      <c r="H34" s="1751"/>
      <c r="I34" s="1751"/>
      <c r="J34" s="1751"/>
      <c r="K34" s="1751"/>
      <c r="L34" s="1751"/>
      <c r="M34" s="1751"/>
      <c r="N34" s="1751"/>
      <c r="O34" s="1751"/>
      <c r="P34" s="1751"/>
      <c r="Q34" s="1751"/>
      <c r="R34" s="1751"/>
      <c r="S34" s="1751"/>
      <c r="T34" s="1751"/>
      <c r="U34" s="1752"/>
      <c r="V34" s="185"/>
      <c r="W34" s="114"/>
      <c r="Y34" s="141"/>
      <c r="AJ34" s="122"/>
      <c r="AL34" s="56">
        <f>COLUMNS($B$4:K$4)</f>
        <v>10</v>
      </c>
      <c r="AM34" s="56">
        <f>COLUMNS($B$4:L$4)</f>
        <v>11</v>
      </c>
      <c r="AN34" s="56">
        <f>COLUMNS($B$4:M$4)</f>
        <v>12</v>
      </c>
      <c r="AO34" s="56">
        <f>COLUMNS($B$4:N$4)</f>
        <v>13</v>
      </c>
      <c r="AP34" s="56">
        <f>COLUMNS($B$4:O$4)</f>
        <v>14</v>
      </c>
      <c r="AQ34" s="56">
        <f>COLUMNS($B$4:R$4)</f>
        <v>17</v>
      </c>
      <c r="AR34" s="56">
        <f>COLUMNS($B$4:D$4)</f>
        <v>3</v>
      </c>
      <c r="AS34" s="17">
        <f>COLUMNS($B$4:E$4)</f>
        <v>4</v>
      </c>
      <c r="AT34" s="17">
        <f>COLUMNS($B$4:F$4)</f>
        <v>5</v>
      </c>
      <c r="AU34" s="17">
        <f>COLUMNS($B$4:G$4)</f>
        <v>6</v>
      </c>
      <c r="AV34" s="16">
        <f>COLUMNS($B$4:H$4)</f>
        <v>7</v>
      </c>
    </row>
    <row r="35" spans="1:49" s="56" customFormat="1" ht="11.25" customHeight="1">
      <c r="A35" s="1739"/>
      <c r="B35" s="1740"/>
      <c r="C35" s="1740"/>
      <c r="D35" s="1740"/>
      <c r="E35" s="1740"/>
      <c r="F35" s="1740"/>
      <c r="G35" s="1740"/>
      <c r="H35" s="1740"/>
      <c r="I35" s="1741"/>
      <c r="J35" s="1740"/>
      <c r="K35" s="1740"/>
      <c r="L35" s="1740"/>
      <c r="M35" s="1740"/>
      <c r="N35" s="1740"/>
      <c r="O35" s="1740"/>
      <c r="P35" s="1742"/>
      <c r="Q35" s="1740"/>
      <c r="R35" s="1740"/>
      <c r="S35" s="1741"/>
      <c r="T35" s="1740"/>
      <c r="U35" s="1743"/>
      <c r="V35" s="102"/>
      <c r="W35" s="114"/>
      <c r="Y35" s="141"/>
      <c r="AI35" s="52"/>
      <c r="AJ35" s="121"/>
      <c r="AK35" s="61"/>
      <c r="AL35" s="109" t="s">
        <v>85</v>
      </c>
      <c r="AM35" s="173"/>
      <c r="AN35" s="173"/>
      <c r="AO35" s="173"/>
      <c r="AP35" s="173"/>
      <c r="AQ35" s="109" t="s">
        <v>862</v>
      </c>
      <c r="AR35" s="38" t="s">
        <v>81</v>
      </c>
      <c r="AS35" s="17"/>
      <c r="AT35" s="17"/>
      <c r="AU35" s="17"/>
      <c r="AV35" s="16"/>
    </row>
    <row r="36" spans="1:49" s="56" customFormat="1" ht="12.75" customHeight="1">
      <c r="A36" s="81"/>
      <c r="B36" s="82"/>
      <c r="C36" s="82"/>
      <c r="D36" s="82"/>
      <c r="E36" s="82"/>
      <c r="F36" s="82"/>
      <c r="G36" s="82"/>
      <c r="H36" s="82"/>
      <c r="I36" s="82"/>
      <c r="J36" s="83"/>
      <c r="K36" s="82"/>
      <c r="L36" s="82"/>
      <c r="M36" s="82"/>
      <c r="N36" s="82"/>
      <c r="O36" s="82"/>
      <c r="P36" s="82"/>
      <c r="Q36" s="82"/>
      <c r="R36" s="82"/>
      <c r="S36" s="82"/>
      <c r="T36" s="82"/>
      <c r="U36" s="84"/>
      <c r="V36" s="102"/>
      <c r="W36" s="1093" t="s">
        <v>94</v>
      </c>
      <c r="X36" s="1152"/>
      <c r="Y36" s="1152"/>
      <c r="Z36" s="1152"/>
      <c r="AA36" s="1152"/>
      <c r="AB36" s="1152"/>
      <c r="AC36" s="1113"/>
      <c r="AD36" s="1113"/>
      <c r="AE36" s="1113"/>
      <c r="AF36" s="1113"/>
      <c r="AG36" s="1113"/>
      <c r="AH36" s="1113"/>
      <c r="AI36" s="360"/>
      <c r="AJ36" s="921"/>
      <c r="AK36" s="61"/>
      <c r="AL36" s="109"/>
      <c r="AM36" s="109"/>
      <c r="AN36" s="109"/>
      <c r="AO36" s="109"/>
      <c r="AP36" s="109"/>
      <c r="AQ36" s="173"/>
      <c r="AR36" s="109"/>
      <c r="AS36" s="109"/>
      <c r="AT36" s="109"/>
      <c r="AU36" s="109"/>
      <c r="AV36" s="109"/>
    </row>
    <row r="37" spans="1:49" s="56" customFormat="1" ht="3.75" customHeight="1">
      <c r="A37" s="85"/>
      <c r="B37" s="5"/>
      <c r="C37" s="5"/>
      <c r="D37" s="5"/>
      <c r="E37" s="5"/>
      <c r="F37" s="5"/>
      <c r="G37" s="5"/>
      <c r="H37" s="5"/>
      <c r="I37" s="5"/>
      <c r="J37" s="1"/>
      <c r="K37" s="5"/>
      <c r="L37" s="5"/>
      <c r="M37" s="5"/>
      <c r="N37" s="5"/>
      <c r="O37" s="5"/>
      <c r="P37" s="5"/>
      <c r="Q37" s="5"/>
      <c r="R37" s="5"/>
      <c r="S37" s="5"/>
      <c r="T37" s="5"/>
      <c r="U37" s="86"/>
      <c r="V37" s="102"/>
      <c r="W37" s="1155"/>
      <c r="X37" s="1113"/>
      <c r="Y37" s="1113"/>
      <c r="Z37" s="1113"/>
      <c r="AA37" s="1113"/>
      <c r="AB37" s="1113"/>
      <c r="AC37" s="1156" t="s">
        <v>762</v>
      </c>
      <c r="AD37" s="1113"/>
      <c r="AE37" s="1113"/>
      <c r="AF37" s="1113"/>
      <c r="AG37" s="1113"/>
      <c r="AH37" s="1113"/>
      <c r="AI37" s="1113"/>
      <c r="AJ37" s="921"/>
      <c r="AK37" s="61"/>
      <c r="AL37" s="109" t="e">
        <f>D10</f>
        <v>#N/A</v>
      </c>
      <c r="AM37" s="109" t="e">
        <f>E10</f>
        <v>#N/A</v>
      </c>
      <c r="AN37" s="109" t="e">
        <f>F10</f>
        <v>#N/A</v>
      </c>
      <c r="AO37" s="109" t="e">
        <f>G10</f>
        <v>#N/A</v>
      </c>
      <c r="AP37" s="109" t="e">
        <f>H10</f>
        <v>#N/A</v>
      </c>
      <c r="AQ37" s="173"/>
      <c r="AR37" s="109" t="e">
        <f>K10</f>
        <v>#N/A</v>
      </c>
      <c r="AS37" s="109" t="e">
        <f>L10</f>
        <v>#N/A</v>
      </c>
      <c r="AT37" s="109" t="e">
        <f>M10</f>
        <v>#N/A</v>
      </c>
      <c r="AU37" s="109" t="e">
        <f>N10</f>
        <v>#N/A</v>
      </c>
      <c r="AV37" s="109" t="e">
        <f>O10</f>
        <v>#N/A</v>
      </c>
    </row>
    <row r="38" spans="1:49" s="56" customFormat="1" ht="14.25" customHeight="1">
      <c r="A38" s="87"/>
      <c r="B38" s="5"/>
      <c r="C38" s="5"/>
      <c r="D38" s="5"/>
      <c r="E38" s="5"/>
      <c r="F38" s="5"/>
      <c r="G38" s="5"/>
      <c r="H38" s="5"/>
      <c r="I38" s="5"/>
      <c r="J38" s="1"/>
      <c r="K38" s="5"/>
      <c r="L38" s="5"/>
      <c r="M38" s="5"/>
      <c r="N38" s="5"/>
      <c r="O38" s="5"/>
      <c r="P38" s="5"/>
      <c r="Q38" s="5"/>
      <c r="R38" s="5"/>
      <c r="S38" s="5"/>
      <c r="T38" s="5"/>
      <c r="U38" s="86"/>
      <c r="V38" s="102"/>
      <c r="W38" s="1155"/>
      <c r="X38" s="1157" t="s">
        <v>69</v>
      </c>
      <c r="Y38" s="1157" t="s">
        <v>67</v>
      </c>
      <c r="Z38" s="1157" t="s">
        <v>68</v>
      </c>
      <c r="AA38" s="1158">
        <v>3</v>
      </c>
      <c r="AB38" s="1159">
        <f>(AA38*Y39)+Z39</f>
        <v>9.5367852350827889</v>
      </c>
      <c r="AC38" s="1160">
        <f>ROUND(ChartLabels!$X15,3)</f>
        <v>0.16400000000000001</v>
      </c>
      <c r="AD38" s="1113"/>
      <c r="AE38" s="1113"/>
      <c r="AF38" s="1113"/>
      <c r="AG38" s="1113"/>
      <c r="AH38" s="1113"/>
      <c r="AI38" s="1161" t="b">
        <v>1</v>
      </c>
      <c r="AJ38" s="921" t="s">
        <v>0</v>
      </c>
      <c r="AK38" s="61" t="str">
        <f t="shared" ref="AK38:AK58" si="15">IF(AI38=TRUE,B11,"")</f>
        <v>Bracknell Forest</v>
      </c>
      <c r="AL38" s="110">
        <f t="shared" ref="AL38:AP47" si="16">VLOOKUP($AK38,$B$11:$O$31,AL$34,FALSE)</f>
        <v>158.98600630082791</v>
      </c>
      <c r="AM38" s="110">
        <f t="shared" si="16"/>
        <v>120.67840834964122</v>
      </c>
      <c r="AN38" s="110">
        <f t="shared" si="16"/>
        <v>101.71440894224203</v>
      </c>
      <c r="AO38" s="110">
        <f t="shared" si="16"/>
        <v>141.89904694669963</v>
      </c>
      <c r="AP38" s="110">
        <f t="shared" si="16"/>
        <v>131.25283624812371</v>
      </c>
      <c r="AQ38" s="111">
        <f>VLOOKUP(AK38,IDACI!$B$8:$C$29,2,FALSE)</f>
        <v>8.9</v>
      </c>
      <c r="AR38" s="237">
        <f t="shared" ref="AR38:AV47" si="17">VLOOKUP($AK38,$B$108:$H$128,AR$34,FALSE)</f>
        <v>0.25544437904649792</v>
      </c>
      <c r="AS38" s="237">
        <f t="shared" si="17"/>
        <v>0.19952067106051527</v>
      </c>
      <c r="AT38" s="237">
        <f t="shared" si="17"/>
        <v>0.18655240606460119</v>
      </c>
      <c r="AU38" s="237">
        <f t="shared" si="17"/>
        <v>0.2258426966292135</v>
      </c>
      <c r="AV38" s="237">
        <f t="shared" si="17"/>
        <v>0.24884182660489743</v>
      </c>
    </row>
    <row r="39" spans="1:49" s="56" customFormat="1" ht="14.25" customHeight="1">
      <c r="A39" s="87"/>
      <c r="B39" s="5"/>
      <c r="C39" s="5"/>
      <c r="D39" s="5"/>
      <c r="E39" s="5"/>
      <c r="F39" s="5"/>
      <c r="G39" s="5"/>
      <c r="H39" s="5"/>
      <c r="I39" s="5"/>
      <c r="J39" s="1"/>
      <c r="K39" s="5"/>
      <c r="L39" s="5"/>
      <c r="M39" s="5"/>
      <c r="N39" s="5"/>
      <c r="O39" s="5"/>
      <c r="P39" s="5"/>
      <c r="Q39" s="5"/>
      <c r="R39" s="5"/>
      <c r="S39" s="5"/>
      <c r="T39" s="5"/>
      <c r="U39" s="86"/>
      <c r="V39" s="102"/>
      <c r="W39" s="1155"/>
      <c r="X39" s="1162" t="str">
        <f>"Y= "&amp;Y39&amp;"x + "&amp;Z39</f>
        <v>Y= 15.0522056622661x + -35.6198317517155</v>
      </c>
      <c r="Y39" s="1163">
        <f>ChartLabels!$V15</f>
        <v>15.052205662266081</v>
      </c>
      <c r="Z39" s="1163">
        <f>ChartLabels!$W15</f>
        <v>-35.619831751715452</v>
      </c>
      <c r="AA39" s="1164">
        <v>22</v>
      </c>
      <c r="AB39" s="1159">
        <f>(AA39*Y39)+Z39</f>
        <v>295.52869281813832</v>
      </c>
      <c r="AC39" s="1165" t="str">
        <f>$AC$37&amp;" = "&amp;AC38</f>
        <v>r² = 0.164</v>
      </c>
      <c r="AD39" s="1113"/>
      <c r="AE39" s="1113"/>
      <c r="AF39" s="1113"/>
      <c r="AG39" s="1113"/>
      <c r="AH39" s="1113"/>
      <c r="AI39" s="1161" t="b">
        <v>1</v>
      </c>
      <c r="AJ39" s="921" t="s">
        <v>28</v>
      </c>
      <c r="AK39" s="61" t="str">
        <f t="shared" si="15"/>
        <v>Brighton &amp; Hove</v>
      </c>
      <c r="AL39" s="110">
        <f t="shared" si="16"/>
        <v>226.02371802818064</v>
      </c>
      <c r="AM39" s="110">
        <f t="shared" si="16"/>
        <v>167.20873988824954</v>
      </c>
      <c r="AN39" s="110">
        <f t="shared" si="16"/>
        <v>147.48010610079575</v>
      </c>
      <c r="AO39" s="110">
        <f t="shared" si="16"/>
        <v>172.04072974119643</v>
      </c>
      <c r="AP39" s="110">
        <f t="shared" si="16"/>
        <v>171.0024428920413</v>
      </c>
      <c r="AQ39" s="111">
        <f>VLOOKUP(AK39,IDACI!$B$8:$C$29,2,FALSE)</f>
        <v>15.299999999999999</v>
      </c>
      <c r="AR39" s="237">
        <f t="shared" si="17"/>
        <v>0.3063567628115374</v>
      </c>
      <c r="AS39" s="237">
        <f t="shared" si="17"/>
        <v>0.27288193263014632</v>
      </c>
      <c r="AT39" s="237">
        <f t="shared" si="17"/>
        <v>0.21678103555832814</v>
      </c>
      <c r="AU39" s="237">
        <f t="shared" si="17"/>
        <v>0.24961526623576485</v>
      </c>
      <c r="AV39" s="237">
        <f t="shared" si="17"/>
        <v>0.24501074608535461</v>
      </c>
    </row>
    <row r="40" spans="1:49" ht="14.25" customHeight="1">
      <c r="A40" s="87"/>
      <c r="B40" s="5"/>
      <c r="C40" s="5"/>
      <c r="D40" s="5"/>
      <c r="E40" s="5"/>
      <c r="F40" s="5"/>
      <c r="G40" s="5"/>
      <c r="H40" s="5"/>
      <c r="I40" s="5"/>
      <c r="J40" s="1"/>
      <c r="K40" s="5"/>
      <c r="L40" s="5"/>
      <c r="M40" s="5"/>
      <c r="N40" s="5"/>
      <c r="O40" s="5"/>
      <c r="P40" s="5"/>
      <c r="Q40" s="5"/>
      <c r="R40" s="5"/>
      <c r="S40" s="5"/>
      <c r="T40" s="5"/>
      <c r="U40" s="86"/>
      <c r="V40" s="102"/>
      <c r="W40" s="1155"/>
      <c r="X40" s="1157" t="str">
        <f>"National Trend "&amp;ReportData!$B$8</f>
        <v>National Trend 2024</v>
      </c>
      <c r="Y40" s="1166" t="s">
        <v>67</v>
      </c>
      <c r="Z40" s="1157" t="s">
        <v>68</v>
      </c>
      <c r="AA40" s="1158">
        <v>3</v>
      </c>
      <c r="AB40" s="1167">
        <f>((AA40*Y41)+Z41)/$X$2</f>
        <v>51.552202963839001</v>
      </c>
      <c r="AC40" s="1165" t="str">
        <f>$AC$37&amp;" = "&amp;AC41</f>
        <v>r² = 0.109</v>
      </c>
      <c r="AD40" s="1113"/>
      <c r="AE40" s="1113"/>
      <c r="AF40" s="1113"/>
      <c r="AG40" s="1113"/>
      <c r="AH40" s="1113"/>
      <c r="AI40" s="1161" t="b">
        <v>1</v>
      </c>
      <c r="AJ40" s="921" t="s">
        <v>8</v>
      </c>
      <c r="AK40" s="61" t="str">
        <f t="shared" si="15"/>
        <v>Buckinghamshire</v>
      </c>
      <c r="AL40" s="110">
        <f t="shared" si="16"/>
        <v>178.48809124180227</v>
      </c>
      <c r="AM40" s="110">
        <f t="shared" si="16"/>
        <v>290.46083513612803</v>
      </c>
      <c r="AN40" s="110">
        <f t="shared" si="16"/>
        <v>346.2067848757186</v>
      </c>
      <c r="AO40" s="110">
        <f t="shared" si="16"/>
        <v>377.39745066116029</v>
      </c>
      <c r="AP40" s="110">
        <f t="shared" si="16"/>
        <v>120.75288365095285</v>
      </c>
      <c r="AQ40" s="111">
        <f>VLOOKUP(AK40,IDACI!$B$8:$C$29,2,FALSE)</f>
        <v>8.5</v>
      </c>
      <c r="AR40" s="237">
        <f t="shared" si="17"/>
        <v>0.26054738855025694</v>
      </c>
      <c r="AS40" s="237">
        <f t="shared" si="17"/>
        <v>0.33023946537961762</v>
      </c>
      <c r="AT40" s="237">
        <f t="shared" si="17"/>
        <v>0.32673645602506302</v>
      </c>
      <c r="AU40" s="237">
        <f t="shared" si="17"/>
        <v>0.39088590935263634</v>
      </c>
      <c r="AV40" s="237">
        <f t="shared" si="17"/>
        <v>0.23277945619335347</v>
      </c>
      <c r="AW40" s="56"/>
    </row>
    <row r="41" spans="1:49" ht="14.25" customHeight="1">
      <c r="A41" s="87"/>
      <c r="B41" s="5"/>
      <c r="C41" s="5"/>
      <c r="D41" s="5"/>
      <c r="E41" s="5"/>
      <c r="F41" s="5"/>
      <c r="G41" s="5"/>
      <c r="H41" s="5"/>
      <c r="I41" s="5"/>
      <c r="J41" s="1"/>
      <c r="K41" s="10"/>
      <c r="L41" s="10"/>
      <c r="M41" s="10"/>
      <c r="N41" s="10"/>
      <c r="O41" s="5"/>
      <c r="P41" s="5"/>
      <c r="Q41" s="5"/>
      <c r="R41" s="5"/>
      <c r="S41" s="5"/>
      <c r="T41" s="5"/>
      <c r="U41" s="86"/>
      <c r="V41" s="102"/>
      <c r="W41" s="1155"/>
      <c r="X41" s="1168" t="str">
        <f>"Y= "&amp;Y41&amp;"x + "&amp;Z41</f>
        <v>Y= 4.38020830851926x + 38.4115780382812</v>
      </c>
      <c r="Y41" s="1163">
        <f>ReportData!$E$7</f>
        <v>4.3802083085192649</v>
      </c>
      <c r="Z41" s="1163">
        <f>ReportData!$E$8</f>
        <v>38.411578038281206</v>
      </c>
      <c r="AA41" s="1164">
        <v>22</v>
      </c>
      <c r="AB41" s="1159">
        <f>((AA41*Y41)+Z41)/$X$2</f>
        <v>134.77616082570503</v>
      </c>
      <c r="AC41" s="1169">
        <f>ROUND(ReportData!$E$9,3)</f>
        <v>0.109</v>
      </c>
      <c r="AD41" s="1113"/>
      <c r="AE41" s="1113"/>
      <c r="AF41" s="1113"/>
      <c r="AG41" s="1113"/>
      <c r="AH41" s="1113"/>
      <c r="AI41" s="1161" t="b">
        <v>1</v>
      </c>
      <c r="AJ41" s="921" t="s">
        <v>4</v>
      </c>
      <c r="AK41" s="61" t="str">
        <f t="shared" si="15"/>
        <v>East Sussex</v>
      </c>
      <c r="AL41" s="110">
        <f t="shared" si="16"/>
        <v>73.940206566201255</v>
      </c>
      <c r="AM41" s="110">
        <f t="shared" si="16"/>
        <v>76.938849236957978</v>
      </c>
      <c r="AN41" s="110">
        <f t="shared" si="16"/>
        <v>67.772339862101433</v>
      </c>
      <c r="AO41" s="110">
        <f t="shared" si="16"/>
        <v>62.533430585947002</v>
      </c>
      <c r="AP41" s="110">
        <f t="shared" si="16"/>
        <v>63.02723780476034</v>
      </c>
      <c r="AQ41" s="111">
        <f>VLOOKUP(AK41,IDACI!$B$8:$C$29,2,FALSE)</f>
        <v>16.100000000000001</v>
      </c>
      <c r="AR41" s="237">
        <f t="shared" si="17"/>
        <v>0.18262538996880251</v>
      </c>
      <c r="AS41" s="237">
        <f t="shared" si="17"/>
        <v>0.20606694560669456</v>
      </c>
      <c r="AT41" s="237">
        <f t="shared" si="17"/>
        <v>0.16099720410065238</v>
      </c>
      <c r="AU41" s="237">
        <f t="shared" si="17"/>
        <v>0.16428206438426163</v>
      </c>
      <c r="AV41" s="237">
        <f t="shared" si="17"/>
        <v>0.15147297610763164</v>
      </c>
      <c r="AW41" s="56"/>
    </row>
    <row r="42" spans="1:49" ht="14.25" customHeight="1">
      <c r="A42" s="87"/>
      <c r="B42" s="76"/>
      <c r="C42" s="76"/>
      <c r="D42" s="77"/>
      <c r="E42" s="77"/>
      <c r="F42" s="77"/>
      <c r="G42" s="77"/>
      <c r="H42" s="77"/>
      <c r="I42" s="77"/>
      <c r="J42" s="1"/>
      <c r="K42" s="5"/>
      <c r="L42" s="5"/>
      <c r="M42" s="5"/>
      <c r="N42" s="5"/>
      <c r="O42" s="5"/>
      <c r="P42" s="5"/>
      <c r="Q42" s="5"/>
      <c r="R42" s="5"/>
      <c r="S42" s="5"/>
      <c r="T42" s="5"/>
      <c r="U42" s="86"/>
      <c r="V42" s="102"/>
      <c r="W42" s="1155"/>
      <c r="X42" s="360"/>
      <c r="Y42" s="360"/>
      <c r="Z42" s="360"/>
      <c r="AA42" s="360"/>
      <c r="AB42" s="360"/>
      <c r="AC42" s="360"/>
      <c r="AD42" s="1113"/>
      <c r="AE42" s="1113"/>
      <c r="AF42" s="1113"/>
      <c r="AG42" s="1113"/>
      <c r="AH42" s="1113"/>
      <c r="AI42" s="1161" t="b">
        <v>1</v>
      </c>
      <c r="AJ42" s="921" t="s">
        <v>6</v>
      </c>
      <c r="AK42" s="61" t="str">
        <f t="shared" si="15"/>
        <v>Hampshire</v>
      </c>
      <c r="AL42" s="110">
        <f t="shared" si="16"/>
        <v>233.980095940431</v>
      </c>
      <c r="AM42" s="110">
        <f t="shared" si="16"/>
        <v>263.0995148062803</v>
      </c>
      <c r="AN42" s="110">
        <f t="shared" si="16"/>
        <v>347.95268555400116</v>
      </c>
      <c r="AO42" s="110">
        <f t="shared" si="16"/>
        <v>416.49176152698357</v>
      </c>
      <c r="AP42" s="110" t="e">
        <f t="shared" si="16"/>
        <v>#N/A</v>
      </c>
      <c r="AQ42" s="111">
        <f>VLOOKUP(AK42,IDACI!$B$8:$C$29,2,FALSE)</f>
        <v>10.100000000000001</v>
      </c>
      <c r="AR42" s="237">
        <f t="shared" si="17"/>
        <v>0.32324431256181996</v>
      </c>
      <c r="AS42" s="237">
        <f t="shared" si="17"/>
        <v>0.34470957761005111</v>
      </c>
      <c r="AT42" s="237">
        <f t="shared" si="17"/>
        <v>0.357090669978812</v>
      </c>
      <c r="AU42" s="237">
        <f t="shared" si="17"/>
        <v>0.38708937118877451</v>
      </c>
      <c r="AV42" s="237" t="e">
        <f t="shared" si="17"/>
        <v>#N/A</v>
      </c>
    </row>
    <row r="43" spans="1:49" ht="14.25" customHeight="1">
      <c r="A43" s="87"/>
      <c r="B43" s="77"/>
      <c r="C43" s="77"/>
      <c r="D43" s="77"/>
      <c r="E43" s="77"/>
      <c r="F43" s="77"/>
      <c r="G43" s="77"/>
      <c r="H43" s="77"/>
      <c r="I43" s="77"/>
      <c r="J43" s="1"/>
      <c r="K43" s="5"/>
      <c r="L43" s="5"/>
      <c r="M43" s="5"/>
      <c r="N43" s="5"/>
      <c r="O43" s="5"/>
      <c r="P43" s="5"/>
      <c r="Q43" s="5"/>
      <c r="R43" s="5"/>
      <c r="S43" s="5"/>
      <c r="T43" s="5"/>
      <c r="U43" s="86"/>
      <c r="V43" s="102"/>
      <c r="W43" s="1155"/>
      <c r="X43" s="1113"/>
      <c r="Y43" s="1113"/>
      <c r="Z43" s="1113"/>
      <c r="AA43" s="1113"/>
      <c r="AB43" s="1113"/>
      <c r="AC43" s="1113"/>
      <c r="AD43" s="1113"/>
      <c r="AE43" s="1113"/>
      <c r="AF43" s="1113"/>
      <c r="AG43" s="1113"/>
      <c r="AH43" s="1113"/>
      <c r="AI43" s="1161" t="b">
        <v>1</v>
      </c>
      <c r="AJ43" s="921" t="s">
        <v>1</v>
      </c>
      <c r="AK43" s="61" t="str">
        <f t="shared" si="15"/>
        <v>Isle of Wight</v>
      </c>
      <c r="AL43" s="110">
        <f t="shared" si="16"/>
        <v>389.28439158882355</v>
      </c>
      <c r="AM43" s="110">
        <f t="shared" si="16"/>
        <v>390.08873263016909</v>
      </c>
      <c r="AN43" s="110">
        <f t="shared" si="16"/>
        <v>555.08546285327463</v>
      </c>
      <c r="AO43" s="110">
        <f t="shared" si="16"/>
        <v>683.26676298121868</v>
      </c>
      <c r="AP43" s="110">
        <f t="shared" si="16"/>
        <v>848.19523850157873</v>
      </c>
      <c r="AQ43" s="111">
        <f>VLOOKUP(AK43,IDACI!$B$8:$C$29,2,FALSE)</f>
        <v>18</v>
      </c>
      <c r="AR43" s="237">
        <f t="shared" si="17"/>
        <v>0.35430711610486892</v>
      </c>
      <c r="AS43" s="237">
        <f t="shared" si="17"/>
        <v>0.35586101565483008</v>
      </c>
      <c r="AT43" s="237">
        <f t="shared" si="17"/>
        <v>0.38989598811292719</v>
      </c>
      <c r="AU43" s="237">
        <f t="shared" si="17"/>
        <v>0.41550387596899224</v>
      </c>
      <c r="AV43" s="237">
        <f t="shared" si="17"/>
        <v>0.45408862494289631</v>
      </c>
    </row>
    <row r="44" spans="1:49" ht="14.25" customHeight="1">
      <c r="A44" s="87"/>
      <c r="B44" s="77"/>
      <c r="C44" s="77"/>
      <c r="D44" s="77"/>
      <c r="E44" s="77"/>
      <c r="F44" s="77"/>
      <c r="G44" s="77"/>
      <c r="H44" s="77"/>
      <c r="I44" s="77"/>
      <c r="J44" s="1"/>
      <c r="K44" s="5"/>
      <c r="L44" s="5"/>
      <c r="M44" s="5"/>
      <c r="N44" s="5"/>
      <c r="O44" s="5"/>
      <c r="P44" s="5"/>
      <c r="Q44" s="5"/>
      <c r="R44" s="5"/>
      <c r="S44" s="5"/>
      <c r="T44" s="5"/>
      <c r="U44" s="86"/>
      <c r="V44" s="102"/>
      <c r="W44" s="1155"/>
      <c r="X44" s="1113"/>
      <c r="Y44" s="1113"/>
      <c r="Z44" s="1113"/>
      <c r="AA44" s="1113"/>
      <c r="AB44" s="1113"/>
      <c r="AC44" s="1170"/>
      <c r="AD44" s="1113"/>
      <c r="AE44" s="1113"/>
      <c r="AF44" s="1113"/>
      <c r="AG44" s="1113"/>
      <c r="AH44" s="1113"/>
      <c r="AI44" s="1161" t="b">
        <v>1</v>
      </c>
      <c r="AJ44" s="921" t="s">
        <v>9</v>
      </c>
      <c r="AK44" s="61" t="str">
        <f t="shared" si="15"/>
        <v>Kent</v>
      </c>
      <c r="AL44" s="110">
        <f t="shared" si="16"/>
        <v>190.85446522050859</v>
      </c>
      <c r="AM44" s="110">
        <f t="shared" si="16"/>
        <v>159.07949190249505</v>
      </c>
      <c r="AN44" s="110">
        <f t="shared" si="16"/>
        <v>124.8471396139736</v>
      </c>
      <c r="AO44" s="110">
        <f t="shared" si="16"/>
        <v>143.35380828214596</v>
      </c>
      <c r="AP44" s="110">
        <f t="shared" si="16"/>
        <v>161.19678927000675</v>
      </c>
      <c r="AQ44" s="111">
        <f>VLOOKUP(AK44,IDACI!$B$8:$C$29,2,FALSE)</f>
        <v>15.8</v>
      </c>
      <c r="AR44" s="237">
        <f t="shared" si="17"/>
        <v>0.28466598058078663</v>
      </c>
      <c r="AS44" s="237">
        <f t="shared" si="17"/>
        <v>0.28085735402808576</v>
      </c>
      <c r="AT44" s="237">
        <f t="shared" si="17"/>
        <v>0.21521259680976559</v>
      </c>
      <c r="AU44" s="237">
        <f t="shared" si="17"/>
        <v>0.21758377971579088</v>
      </c>
      <c r="AV44" s="237">
        <f t="shared" si="17"/>
        <v>0.23288125751731575</v>
      </c>
    </row>
    <row r="45" spans="1:49" ht="14.25" customHeight="1">
      <c r="A45" s="87"/>
      <c r="B45" s="40"/>
      <c r="C45" s="40"/>
      <c r="D45" s="40"/>
      <c r="E45" s="40"/>
      <c r="F45" s="40"/>
      <c r="G45" s="40"/>
      <c r="H45" s="40"/>
      <c r="I45" s="40"/>
      <c r="J45" s="1"/>
      <c r="K45" s="5"/>
      <c r="L45" s="5"/>
      <c r="M45" s="5"/>
      <c r="N45" s="5"/>
      <c r="O45" s="5"/>
      <c r="P45" s="5"/>
      <c r="Q45" s="5"/>
      <c r="R45" s="5"/>
      <c r="S45" s="5"/>
      <c r="T45" s="5"/>
      <c r="U45" s="86"/>
      <c r="V45" s="102"/>
      <c r="W45" s="1155"/>
      <c r="X45" s="1113"/>
      <c r="Y45" s="1113"/>
      <c r="Z45" s="1113"/>
      <c r="AA45" s="1113"/>
      <c r="AB45" s="1113"/>
      <c r="AC45" s="360"/>
      <c r="AD45" s="1113"/>
      <c r="AE45" s="1113"/>
      <c r="AF45" s="1113"/>
      <c r="AG45" s="1113"/>
      <c r="AH45" s="1113"/>
      <c r="AI45" s="1161" t="b">
        <v>1</v>
      </c>
      <c r="AJ45" s="921" t="s">
        <v>2</v>
      </c>
      <c r="AK45" s="61" t="str">
        <f t="shared" si="15"/>
        <v>Medway</v>
      </c>
      <c r="AL45" s="110">
        <f t="shared" si="16"/>
        <v>191.60698580223647</v>
      </c>
      <c r="AM45" s="110">
        <f t="shared" si="16"/>
        <v>128.26752492346338</v>
      </c>
      <c r="AN45" s="110">
        <f t="shared" si="16"/>
        <v>154.81768180892237</v>
      </c>
      <c r="AO45" s="110">
        <f t="shared" si="16"/>
        <v>153.4908783003618</v>
      </c>
      <c r="AP45" s="110">
        <f t="shared" si="16"/>
        <v>189.39223536821271</v>
      </c>
      <c r="AQ45" s="111">
        <f>VLOOKUP(AK45,IDACI!$B$8:$C$29,2,FALSE)</f>
        <v>18.899999999999999</v>
      </c>
      <c r="AR45" s="237">
        <f t="shared" si="17"/>
        <v>0.24877650897226752</v>
      </c>
      <c r="AS45" s="237">
        <f t="shared" si="17"/>
        <v>0.2506903958269408</v>
      </c>
      <c r="AT45" s="237">
        <f t="shared" si="17"/>
        <v>0.20626304801670145</v>
      </c>
      <c r="AU45" s="237">
        <f t="shared" si="17"/>
        <v>0.21149766652524396</v>
      </c>
      <c r="AV45" s="237">
        <f t="shared" si="17"/>
        <v>0.23906871095968199</v>
      </c>
    </row>
    <row r="46" spans="1:49" ht="14.25" customHeight="1">
      <c r="A46" s="87"/>
      <c r="B46" s="40"/>
      <c r="C46" s="40"/>
      <c r="D46" s="49"/>
      <c r="E46" s="50"/>
      <c r="F46" s="49"/>
      <c r="G46" s="50"/>
      <c r="H46" s="50"/>
      <c r="I46" s="50"/>
      <c r="J46" s="1"/>
      <c r="K46" s="5"/>
      <c r="L46" s="5"/>
      <c r="M46" s="5"/>
      <c r="N46" s="5"/>
      <c r="O46" s="5"/>
      <c r="P46" s="5"/>
      <c r="Q46" s="5"/>
      <c r="R46" s="5"/>
      <c r="S46" s="5"/>
      <c r="T46" s="5"/>
      <c r="U46" s="86"/>
      <c r="V46" s="102"/>
      <c r="W46" s="1155"/>
      <c r="X46" s="1113"/>
      <c r="Y46" s="1113"/>
      <c r="Z46" s="1113"/>
      <c r="AA46" s="1113"/>
      <c r="AB46" s="1113"/>
      <c r="AC46" s="1113"/>
      <c r="AD46" s="1113"/>
      <c r="AE46" s="1113"/>
      <c r="AF46" s="1113"/>
      <c r="AG46" s="1113"/>
      <c r="AH46" s="1113"/>
      <c r="AI46" s="1161" t="b">
        <v>1</v>
      </c>
      <c r="AJ46" s="921" t="s">
        <v>10</v>
      </c>
      <c r="AK46" s="61" t="str">
        <f t="shared" si="15"/>
        <v>Milton Keynes</v>
      </c>
      <c r="AL46" s="110">
        <f t="shared" si="16"/>
        <v>75.466778683894134</v>
      </c>
      <c r="AM46" s="110">
        <f t="shared" si="16"/>
        <v>83.255176394199552</v>
      </c>
      <c r="AN46" s="110">
        <f t="shared" si="16"/>
        <v>91.620593092554032</v>
      </c>
      <c r="AO46" s="110">
        <f t="shared" si="16"/>
        <v>96.263618553649692</v>
      </c>
      <c r="AP46" s="110">
        <f t="shared" si="16"/>
        <v>82.146242290204256</v>
      </c>
      <c r="AQ46" s="111">
        <f>VLOOKUP(AK46,IDACI!$B$8:$C$29,2,FALSE)</f>
        <v>15</v>
      </c>
      <c r="AR46" s="237">
        <f t="shared" si="17"/>
        <v>0.1686084142394822</v>
      </c>
      <c r="AS46" s="237">
        <f t="shared" si="17"/>
        <v>0.20203081232492998</v>
      </c>
      <c r="AT46" s="237">
        <f t="shared" si="17"/>
        <v>0.19321623258631132</v>
      </c>
      <c r="AU46" s="237">
        <f t="shared" si="17"/>
        <v>0.19877764842840512</v>
      </c>
      <c r="AV46" s="237">
        <f t="shared" si="17"/>
        <v>0.1920359666024406</v>
      </c>
    </row>
    <row r="47" spans="1:49" ht="14.25" customHeight="1">
      <c r="A47" s="87"/>
      <c r="B47" s="40"/>
      <c r="C47" s="40"/>
      <c r="D47" s="43"/>
      <c r="E47" s="43"/>
      <c r="F47" s="43"/>
      <c r="G47" s="43"/>
      <c r="H47" s="43"/>
      <c r="I47" s="43"/>
      <c r="J47" s="1"/>
      <c r="K47" s="5"/>
      <c r="L47" s="5"/>
      <c r="M47" s="5"/>
      <c r="N47" s="5"/>
      <c r="O47" s="5"/>
      <c r="P47" s="5"/>
      <c r="Q47" s="5"/>
      <c r="R47" s="5"/>
      <c r="S47" s="5"/>
      <c r="T47" s="5"/>
      <c r="U47" s="86"/>
      <c r="V47" s="102"/>
      <c r="W47" s="1155"/>
      <c r="X47" s="1113"/>
      <c r="Y47" s="1113"/>
      <c r="Z47" s="1113"/>
      <c r="AA47" s="1113"/>
      <c r="AB47" s="1113"/>
      <c r="AC47" s="1113"/>
      <c r="AD47" s="1113"/>
      <c r="AE47" s="1113"/>
      <c r="AF47" s="1113"/>
      <c r="AG47" s="1113"/>
      <c r="AH47" s="1113"/>
      <c r="AI47" s="1161" t="b">
        <v>1</v>
      </c>
      <c r="AJ47" s="921" t="s">
        <v>11</v>
      </c>
      <c r="AK47" s="61" t="str">
        <f t="shared" si="15"/>
        <v>Oxfordshire</v>
      </c>
      <c r="AL47" s="110">
        <f t="shared" si="16"/>
        <v>91.740578415692141</v>
      </c>
      <c r="AM47" s="110">
        <f t="shared" si="16"/>
        <v>123.74413816373891</v>
      </c>
      <c r="AN47" s="110">
        <f t="shared" si="16"/>
        <v>83.297458710016869</v>
      </c>
      <c r="AO47" s="110">
        <f t="shared" si="16"/>
        <v>73.426152549853555</v>
      </c>
      <c r="AP47" s="110">
        <f t="shared" si="16"/>
        <v>61.637323366446999</v>
      </c>
      <c r="AQ47" s="111">
        <f>VLOOKUP(AK47,IDACI!$B$8:$C$29,2,FALSE)</f>
        <v>10.100000000000001</v>
      </c>
      <c r="AR47" s="237">
        <f t="shared" si="17"/>
        <v>0.1766195681151693</v>
      </c>
      <c r="AS47" s="237">
        <f t="shared" si="17"/>
        <v>0.27633399969244965</v>
      </c>
      <c r="AT47" s="237">
        <f t="shared" si="17"/>
        <v>0.18183174224343676</v>
      </c>
      <c r="AU47" s="237">
        <f t="shared" si="17"/>
        <v>0.21103209686719201</v>
      </c>
      <c r="AV47" s="237">
        <f t="shared" si="17"/>
        <v>0.18624925698434713</v>
      </c>
    </row>
    <row r="48" spans="1:49" ht="14.25" customHeight="1">
      <c r="A48" s="87"/>
      <c r="B48" s="48"/>
      <c r="C48" s="48"/>
      <c r="D48" s="40"/>
      <c r="E48" s="40"/>
      <c r="F48" s="40"/>
      <c r="G48" s="40"/>
      <c r="H48" s="40"/>
      <c r="I48" s="40"/>
      <c r="J48" s="1"/>
      <c r="K48" s="5"/>
      <c r="L48" s="5"/>
      <c r="M48" s="5"/>
      <c r="N48" s="5"/>
      <c r="O48" s="5"/>
      <c r="P48" s="5"/>
      <c r="Q48" s="5"/>
      <c r="R48" s="5"/>
      <c r="S48" s="5"/>
      <c r="T48" s="5"/>
      <c r="U48" s="86"/>
      <c r="V48" s="102"/>
      <c r="W48" s="1155"/>
      <c r="X48" s="1113"/>
      <c r="Y48" s="1113"/>
      <c r="Z48" s="1113"/>
      <c r="AA48" s="1113"/>
      <c r="AB48" s="1113"/>
      <c r="AC48" s="1113"/>
      <c r="AD48" s="1113"/>
      <c r="AE48" s="1113"/>
      <c r="AF48" s="1113"/>
      <c r="AG48" s="1113"/>
      <c r="AH48" s="1113"/>
      <c r="AI48" s="1161" t="b">
        <v>1</v>
      </c>
      <c r="AJ48" s="921" t="s">
        <v>12</v>
      </c>
      <c r="AK48" s="61" t="str">
        <f t="shared" si="15"/>
        <v>Portsmouth</v>
      </c>
      <c r="AL48" s="110">
        <f t="shared" ref="AL48:AP58" si="18">VLOOKUP($AK48,$B$11:$O$31,AL$34,FALSE)</f>
        <v>150.12014369661932</v>
      </c>
      <c r="AM48" s="110">
        <f t="shared" si="18"/>
        <v>143.07894422548668</v>
      </c>
      <c r="AN48" s="110">
        <f t="shared" si="18"/>
        <v>221.00513909329987</v>
      </c>
      <c r="AO48" s="110">
        <f t="shared" si="18"/>
        <v>191.77951326693892</v>
      </c>
      <c r="AP48" s="110">
        <f t="shared" si="18"/>
        <v>173.73011558370953</v>
      </c>
      <c r="AQ48" s="111">
        <f>VLOOKUP(AK48,IDACI!$B$8:$C$29,2,FALSE)</f>
        <v>20.200000000000003</v>
      </c>
      <c r="AR48" s="237">
        <f t="shared" ref="AR48:AV58" si="19">VLOOKUP($AK48,$B$108:$H$128,AR$34,FALSE)</f>
        <v>0.23686186186186187</v>
      </c>
      <c r="AS48" s="237">
        <f t="shared" si="19"/>
        <v>0.21151129943502825</v>
      </c>
      <c r="AT48" s="237">
        <f t="shared" si="19"/>
        <v>0.24730021598272139</v>
      </c>
      <c r="AU48" s="237">
        <f t="shared" si="19"/>
        <v>0.27718329306178807</v>
      </c>
      <c r="AV48" s="237">
        <f t="shared" si="19"/>
        <v>0.24011760862463247</v>
      </c>
    </row>
    <row r="49" spans="1:48" ht="14.25" customHeight="1">
      <c r="A49" s="87"/>
      <c r="B49" s="48"/>
      <c r="C49" s="48"/>
      <c r="D49" s="40"/>
      <c r="E49" s="40"/>
      <c r="F49" s="40"/>
      <c r="G49" s="40"/>
      <c r="H49" s="40"/>
      <c r="I49" s="40"/>
      <c r="J49" s="1"/>
      <c r="K49" s="5"/>
      <c r="L49" s="5"/>
      <c r="M49" s="5"/>
      <c r="N49" s="5"/>
      <c r="O49" s="5"/>
      <c r="P49" s="5"/>
      <c r="Q49" s="5"/>
      <c r="R49" s="5"/>
      <c r="S49" s="5"/>
      <c r="T49" s="5"/>
      <c r="U49" s="86"/>
      <c r="V49" s="102"/>
      <c r="W49" s="1155"/>
      <c r="X49" s="1113"/>
      <c r="Y49" s="1113"/>
      <c r="Z49" s="1113"/>
      <c r="AA49" s="1113"/>
      <c r="AB49" s="1113"/>
      <c r="AC49" s="1113"/>
      <c r="AD49" s="1113"/>
      <c r="AE49" s="1113"/>
      <c r="AF49" s="1113"/>
      <c r="AG49" s="1113"/>
      <c r="AH49" s="1113"/>
      <c r="AI49" s="1161" t="b">
        <v>1</v>
      </c>
      <c r="AJ49" s="921" t="s">
        <v>3</v>
      </c>
      <c r="AK49" s="61" t="str">
        <f t="shared" si="15"/>
        <v>Reading</v>
      </c>
      <c r="AL49" s="110">
        <f t="shared" si="18"/>
        <v>182.55468539022414</v>
      </c>
      <c r="AM49" s="110">
        <f t="shared" si="18"/>
        <v>112.52062427307891</v>
      </c>
      <c r="AN49" s="110">
        <f t="shared" si="18"/>
        <v>138.43782682886552</v>
      </c>
      <c r="AO49" s="110">
        <f t="shared" si="18"/>
        <v>191.35802469135803</v>
      </c>
      <c r="AP49" s="110">
        <f t="shared" si="18"/>
        <v>210.92040391257348</v>
      </c>
      <c r="AQ49" s="111">
        <f>VLOOKUP(AK49,IDACI!$B$8:$C$29,2,FALSE)</f>
        <v>16</v>
      </c>
      <c r="AR49" s="237">
        <f t="shared" si="19"/>
        <v>0.26365054602184085</v>
      </c>
      <c r="AS49" s="237">
        <f t="shared" si="19"/>
        <v>0.18358340688437777</v>
      </c>
      <c r="AT49" s="237">
        <f t="shared" si="19"/>
        <v>0.20538995508370764</v>
      </c>
      <c r="AU49" s="237">
        <f t="shared" si="19"/>
        <v>0.25079141751670769</v>
      </c>
      <c r="AV49" s="237">
        <f t="shared" si="19"/>
        <v>0.26640026640026643</v>
      </c>
    </row>
    <row r="50" spans="1:48" ht="14.25" customHeight="1">
      <c r="A50" s="87"/>
      <c r="B50" s="48"/>
      <c r="C50" s="48"/>
      <c r="D50" s="40"/>
      <c r="E50" s="40"/>
      <c r="F50" s="40"/>
      <c r="G50" s="40"/>
      <c r="H50" s="40"/>
      <c r="I50" s="40"/>
      <c r="J50" s="1"/>
      <c r="K50" s="5"/>
      <c r="L50" s="5"/>
      <c r="M50" s="5"/>
      <c r="N50" s="5"/>
      <c r="O50" s="5"/>
      <c r="P50" s="5"/>
      <c r="Q50" s="5"/>
      <c r="R50" s="5"/>
      <c r="S50" s="5"/>
      <c r="T50" s="5"/>
      <c r="U50" s="86"/>
      <c r="V50" s="102"/>
      <c r="W50" s="1155"/>
      <c r="X50" s="1113"/>
      <c r="Y50" s="1113"/>
      <c r="Z50" s="1113"/>
      <c r="AA50" s="1113"/>
      <c r="AB50" s="1113"/>
      <c r="AC50" s="1113"/>
      <c r="AD50" s="1113"/>
      <c r="AE50" s="1113"/>
      <c r="AF50" s="1113"/>
      <c r="AG50" s="1113"/>
      <c r="AH50" s="1113"/>
      <c r="AI50" s="1161" t="b">
        <v>1</v>
      </c>
      <c r="AJ50" s="921" t="s">
        <v>13</v>
      </c>
      <c r="AK50" s="61" t="str">
        <f t="shared" si="15"/>
        <v>Slough</v>
      </c>
      <c r="AL50" s="110">
        <f t="shared" si="18"/>
        <v>98.668322638515136</v>
      </c>
      <c r="AM50" s="110">
        <f t="shared" si="18"/>
        <v>132.8018223234624</v>
      </c>
      <c r="AN50" s="110">
        <f t="shared" si="18"/>
        <v>157.30388458284747</v>
      </c>
      <c r="AO50" s="110">
        <f t="shared" si="18"/>
        <v>155.93220338983051</v>
      </c>
      <c r="AP50" s="110">
        <f t="shared" si="18"/>
        <v>171.91018751811637</v>
      </c>
      <c r="AQ50" s="111">
        <f>VLOOKUP(AK50,IDACI!$B$8:$C$29,2,FALSE)</f>
        <v>14.7</v>
      </c>
      <c r="AR50" s="237">
        <f t="shared" si="19"/>
        <v>0.16889763779527558</v>
      </c>
      <c r="AS50" s="237">
        <f t="shared" si="19"/>
        <v>0.17274074074074075</v>
      </c>
      <c r="AT50" s="237">
        <f t="shared" si="19"/>
        <v>0.21479862628785515</v>
      </c>
      <c r="AU50" s="237">
        <f t="shared" si="19"/>
        <v>0.20193151887620719</v>
      </c>
      <c r="AV50" s="237">
        <f t="shared" si="19"/>
        <v>0.22939601309134186</v>
      </c>
    </row>
    <row r="51" spans="1:48" ht="14.25" customHeight="1">
      <c r="A51" s="87"/>
      <c r="B51" s="48"/>
      <c r="C51" s="48"/>
      <c r="D51" s="40"/>
      <c r="E51" s="40"/>
      <c r="F51" s="40"/>
      <c r="G51" s="40"/>
      <c r="H51" s="40"/>
      <c r="I51" s="40"/>
      <c r="J51" s="1"/>
      <c r="K51" s="5"/>
      <c r="L51" s="5"/>
      <c r="M51" s="5"/>
      <c r="N51" s="5"/>
      <c r="O51" s="5"/>
      <c r="P51" s="5"/>
      <c r="Q51" s="5"/>
      <c r="R51" s="5"/>
      <c r="S51" s="5"/>
      <c r="T51" s="5"/>
      <c r="U51" s="86"/>
      <c r="V51" s="102"/>
      <c r="W51" s="1155"/>
      <c r="X51" s="1113"/>
      <c r="Y51" s="1113"/>
      <c r="Z51" s="1113"/>
      <c r="AA51" s="1113"/>
      <c r="AB51" s="1113"/>
      <c r="AC51" s="1113"/>
      <c r="AD51" s="1113"/>
      <c r="AE51" s="1113"/>
      <c r="AF51" s="1113"/>
      <c r="AG51" s="1113"/>
      <c r="AH51" s="1113"/>
      <c r="AI51" s="1161" t="b">
        <v>1</v>
      </c>
      <c r="AJ51" s="921" t="s">
        <v>14</v>
      </c>
      <c r="AK51" s="61" t="str">
        <f t="shared" si="15"/>
        <v>Southampton</v>
      </c>
      <c r="AL51" s="110">
        <f t="shared" si="18"/>
        <v>223.64281681051867</v>
      </c>
      <c r="AM51" s="110">
        <f t="shared" si="18"/>
        <v>230.00985182057624</v>
      </c>
      <c r="AN51" s="110">
        <f t="shared" si="18"/>
        <v>133.2307443103588</v>
      </c>
      <c r="AO51" s="110">
        <f t="shared" si="18"/>
        <v>171.04128651921957</v>
      </c>
      <c r="AP51" s="110">
        <f t="shared" si="18"/>
        <v>152.46262878923233</v>
      </c>
      <c r="AQ51" s="111">
        <f>VLOOKUP(AK51,IDACI!$B$8:$C$29,2,FALSE)</f>
        <v>20.5</v>
      </c>
      <c r="AR51" s="237">
        <f t="shared" si="19"/>
        <v>0.22913223140495867</v>
      </c>
      <c r="AS51" s="237">
        <f t="shared" si="19"/>
        <v>0.27956989247311825</v>
      </c>
      <c r="AT51" s="237">
        <f t="shared" si="19"/>
        <v>0.18076923076923077</v>
      </c>
      <c r="AU51" s="237">
        <f t="shared" si="19"/>
        <v>0.22764878569522284</v>
      </c>
      <c r="AV51" s="237">
        <f t="shared" si="19"/>
        <v>0.2482223658694247</v>
      </c>
    </row>
    <row r="52" spans="1:48" ht="14.25" customHeight="1">
      <c r="A52" s="87"/>
      <c r="B52" s="48"/>
      <c r="C52" s="48"/>
      <c r="D52" s="40"/>
      <c r="E52" s="40"/>
      <c r="F52" s="40"/>
      <c r="G52" s="40"/>
      <c r="H52" s="40"/>
      <c r="I52" s="40"/>
      <c r="J52" s="1"/>
      <c r="K52" s="5"/>
      <c r="L52" s="5"/>
      <c r="M52" s="5"/>
      <c r="N52" s="5"/>
      <c r="O52" s="5"/>
      <c r="P52" s="5"/>
      <c r="Q52" s="5"/>
      <c r="R52" s="5"/>
      <c r="S52" s="5"/>
      <c r="T52" s="5"/>
      <c r="U52" s="86"/>
      <c r="V52" s="102"/>
      <c r="W52" s="1155"/>
      <c r="X52" s="1113"/>
      <c r="Y52" s="1113"/>
      <c r="Z52" s="1113"/>
      <c r="AA52" s="1113"/>
      <c r="AB52" s="1113"/>
      <c r="AC52" s="1113"/>
      <c r="AD52" s="1113"/>
      <c r="AE52" s="1113"/>
      <c r="AF52" s="1113"/>
      <c r="AG52" s="1113"/>
      <c r="AH52" s="1113"/>
      <c r="AI52" s="1161" t="b">
        <v>1</v>
      </c>
      <c r="AJ52" s="921" t="s">
        <v>7</v>
      </c>
      <c r="AK52" s="61" t="str">
        <f t="shared" si="15"/>
        <v>Surrey</v>
      </c>
      <c r="AL52" s="110">
        <f t="shared" si="18"/>
        <v>70.995369024782505</v>
      </c>
      <c r="AM52" s="110">
        <f t="shared" si="18"/>
        <v>91.250546381503867</v>
      </c>
      <c r="AN52" s="110">
        <f t="shared" si="18"/>
        <v>71.795227524972248</v>
      </c>
      <c r="AO52" s="110">
        <f t="shared" si="18"/>
        <v>46.635348759552848</v>
      </c>
      <c r="AP52" s="110">
        <f t="shared" si="18"/>
        <v>47.276340751001236</v>
      </c>
      <c r="AQ52" s="111">
        <f>VLOOKUP(AK52,IDACI!$B$8:$C$29,2,FALSE)</f>
        <v>8.3000000000000007</v>
      </c>
      <c r="AR52" s="237">
        <f t="shared" si="19"/>
        <v>0.21504871463786829</v>
      </c>
      <c r="AS52" s="237">
        <f t="shared" si="19"/>
        <v>0.22621787495205217</v>
      </c>
      <c r="AT52" s="237">
        <f t="shared" si="19"/>
        <v>0.20164519969693689</v>
      </c>
      <c r="AU52" s="237">
        <f t="shared" si="19"/>
        <v>0.17278222972023055</v>
      </c>
      <c r="AV52" s="237">
        <f t="shared" si="19"/>
        <v>0.16349908877896382</v>
      </c>
    </row>
    <row r="53" spans="1:48" ht="14.25" customHeight="1">
      <c r="A53" s="87"/>
      <c r="B53" s="48"/>
      <c r="C53" s="48"/>
      <c r="D53" s="40"/>
      <c r="E53" s="40"/>
      <c r="F53" s="40"/>
      <c r="G53" s="40"/>
      <c r="H53" s="40"/>
      <c r="I53" s="40"/>
      <c r="J53" s="1"/>
      <c r="K53" s="5"/>
      <c r="L53" s="5"/>
      <c r="M53" s="5"/>
      <c r="N53" s="5"/>
      <c r="O53" s="5"/>
      <c r="P53" s="5"/>
      <c r="Q53" s="5"/>
      <c r="R53" s="5"/>
      <c r="S53" s="5"/>
      <c r="T53" s="5"/>
      <c r="U53" s="86"/>
      <c r="V53" s="102"/>
      <c r="W53" s="1155"/>
      <c r="X53" s="1113"/>
      <c r="Y53" s="1113"/>
      <c r="Z53" s="1113"/>
      <c r="AA53" s="1113"/>
      <c r="AB53" s="1113"/>
      <c r="AC53" s="1113"/>
      <c r="AD53" s="1113"/>
      <c r="AE53" s="1113"/>
      <c r="AF53" s="1113"/>
      <c r="AG53" s="1113"/>
      <c r="AH53" s="1113"/>
      <c r="AI53" s="1161" t="b">
        <v>1</v>
      </c>
      <c r="AJ53" s="921" t="s">
        <v>15</v>
      </c>
      <c r="AK53" s="61" t="str">
        <f t="shared" si="15"/>
        <v>West Berkshire</v>
      </c>
      <c r="AL53" s="110">
        <f t="shared" si="18"/>
        <v>126.35121645132769</v>
      </c>
      <c r="AM53" s="110">
        <f t="shared" si="18"/>
        <v>97.633815759246502</v>
      </c>
      <c r="AN53" s="110">
        <f t="shared" si="18"/>
        <v>141.06084694319989</v>
      </c>
      <c r="AO53" s="110">
        <f t="shared" si="18"/>
        <v>131.18698441796516</v>
      </c>
      <c r="AP53" s="110">
        <f t="shared" si="18"/>
        <v>99.079971691436654</v>
      </c>
      <c r="AQ53" s="111">
        <f>VLOOKUP(AK53,IDACI!$B$8:$C$29,2,FALSE)</f>
        <v>8.6999999999999993</v>
      </c>
      <c r="AR53" s="237">
        <f t="shared" si="19"/>
        <v>0.2678355501813785</v>
      </c>
      <c r="AS53" s="237">
        <f t="shared" si="19"/>
        <v>0.23432115782219159</v>
      </c>
      <c r="AT53" s="237">
        <f t="shared" si="19"/>
        <v>0.24522613065326634</v>
      </c>
      <c r="AU53" s="237">
        <f t="shared" si="19"/>
        <v>0.21371908539430703</v>
      </c>
      <c r="AV53" s="237">
        <f t="shared" si="19"/>
        <v>0.2183406113537118</v>
      </c>
    </row>
    <row r="54" spans="1:48" ht="14.25" customHeight="1">
      <c r="A54" s="208"/>
      <c r="B54" s="48"/>
      <c r="C54" s="48"/>
      <c r="D54" s="40"/>
      <c r="E54" s="40"/>
      <c r="F54" s="40"/>
      <c r="G54" s="40"/>
      <c r="H54" s="40"/>
      <c r="I54" s="40"/>
      <c r="J54" s="1"/>
      <c r="K54" s="5"/>
      <c r="L54" s="5"/>
      <c r="M54" s="5"/>
      <c r="N54" s="5"/>
      <c r="O54" s="5"/>
      <c r="P54" s="5"/>
      <c r="Q54" s="5"/>
      <c r="R54" s="5"/>
      <c r="S54" s="5"/>
      <c r="T54" s="5"/>
      <c r="U54" s="86"/>
      <c r="V54" s="102"/>
      <c r="W54" s="1155"/>
      <c r="X54" s="1113"/>
      <c r="Y54" s="1113"/>
      <c r="Z54" s="1113"/>
      <c r="AA54" s="1113"/>
      <c r="AB54" s="1113"/>
      <c r="AC54" s="1113"/>
      <c r="AD54" s="1113"/>
      <c r="AE54" s="1113"/>
      <c r="AF54" s="1113"/>
      <c r="AG54" s="1113"/>
      <c r="AH54" s="1113"/>
      <c r="AI54" s="1161" t="b">
        <v>1</v>
      </c>
      <c r="AJ54" s="921" t="s">
        <v>5</v>
      </c>
      <c r="AK54" s="61" t="str">
        <f t="shared" si="15"/>
        <v>West Sussex</v>
      </c>
      <c r="AL54" s="110">
        <f t="shared" si="18"/>
        <v>152.92334818007387</v>
      </c>
      <c r="AM54" s="110">
        <f t="shared" si="18"/>
        <v>140.33231151472626</v>
      </c>
      <c r="AN54" s="110">
        <f t="shared" si="18"/>
        <v>137.33026756809315</v>
      </c>
      <c r="AO54" s="110">
        <f t="shared" si="18"/>
        <v>124.72582309457624</v>
      </c>
      <c r="AP54" s="110">
        <f t="shared" si="18"/>
        <v>75.24803360743654</v>
      </c>
      <c r="AQ54" s="111">
        <f>VLOOKUP(AK54,IDACI!$B$8:$C$29,2,FALSE)</f>
        <v>11</v>
      </c>
      <c r="AR54" s="237">
        <f t="shared" si="19"/>
        <v>0.26558591013709598</v>
      </c>
      <c r="AS54" s="237">
        <f t="shared" si="19"/>
        <v>0.26660839160839161</v>
      </c>
      <c r="AT54" s="237">
        <f t="shared" si="19"/>
        <v>0.25624332977588049</v>
      </c>
      <c r="AU54" s="237">
        <f t="shared" si="19"/>
        <v>0.23046468014169619</v>
      </c>
      <c r="AV54" s="237">
        <f t="shared" si="19"/>
        <v>0.16983986886899508</v>
      </c>
    </row>
    <row r="55" spans="1:48" ht="14.25" customHeight="1">
      <c r="A55" s="87"/>
      <c r="B55" s="48"/>
      <c r="C55" s="48"/>
      <c r="D55" s="40"/>
      <c r="E55" s="40"/>
      <c r="F55" s="40"/>
      <c r="G55" s="40"/>
      <c r="H55" s="40"/>
      <c r="I55" s="40"/>
      <c r="J55" s="1"/>
      <c r="K55" s="5"/>
      <c r="L55" s="5"/>
      <c r="M55" s="5"/>
      <c r="N55" s="5"/>
      <c r="O55" s="5"/>
      <c r="P55" s="5"/>
      <c r="Q55" s="5"/>
      <c r="R55" s="5"/>
      <c r="S55" s="5"/>
      <c r="T55" s="5"/>
      <c r="U55" s="86"/>
      <c r="V55" s="102"/>
      <c r="W55" s="1155"/>
      <c r="X55" s="1113"/>
      <c r="Y55" s="1113"/>
      <c r="Z55" s="1113"/>
      <c r="AA55" s="1113"/>
      <c r="AB55" s="1113"/>
      <c r="AC55" s="1113"/>
      <c r="AD55" s="1113"/>
      <c r="AE55" s="1113"/>
      <c r="AF55" s="1113"/>
      <c r="AG55" s="1113"/>
      <c r="AH55" s="1113"/>
      <c r="AI55" s="1161" t="b">
        <v>1</v>
      </c>
      <c r="AJ55" s="921" t="s">
        <v>27</v>
      </c>
      <c r="AK55" s="61" t="str">
        <f t="shared" si="15"/>
        <v>Windsor &amp; Maidenhead</v>
      </c>
      <c r="AL55" s="110">
        <f t="shared" si="18"/>
        <v>62.437999649880375</v>
      </c>
      <c r="AM55" s="110">
        <f t="shared" si="18"/>
        <v>96.235660006454836</v>
      </c>
      <c r="AN55" s="110">
        <f t="shared" si="18"/>
        <v>95.0525445743299</v>
      </c>
      <c r="AO55" s="110">
        <f t="shared" si="18"/>
        <v>123.41336147509747</v>
      </c>
      <c r="AP55" s="110">
        <f t="shared" si="18"/>
        <v>119.59977830284997</v>
      </c>
      <c r="AQ55" s="111">
        <f>VLOOKUP(AK55,IDACI!$B$8:$C$29,2,FALSE)</f>
        <v>6.7</v>
      </c>
      <c r="AR55" s="237">
        <f t="shared" si="19"/>
        <v>0.15781710914454278</v>
      </c>
      <c r="AS55" s="237">
        <f t="shared" si="19"/>
        <v>0.22147197839297772</v>
      </c>
      <c r="AT55" s="237">
        <f t="shared" si="19"/>
        <v>0.18421052631578946</v>
      </c>
      <c r="AU55" s="237">
        <f t="shared" si="19"/>
        <v>0.21381411884205181</v>
      </c>
      <c r="AV55" s="237">
        <f t="shared" si="19"/>
        <v>0.22614451185879758</v>
      </c>
    </row>
    <row r="56" spans="1:48" ht="14.25" customHeight="1">
      <c r="A56" s="87"/>
      <c r="B56" s="48"/>
      <c r="C56" s="48"/>
      <c r="D56" s="40"/>
      <c r="E56" s="40"/>
      <c r="F56" s="40"/>
      <c r="G56" s="40"/>
      <c r="H56" s="40"/>
      <c r="I56" s="40"/>
      <c r="J56" s="1"/>
      <c r="K56" s="5"/>
      <c r="L56" s="5"/>
      <c r="M56" s="5"/>
      <c r="N56" s="5"/>
      <c r="O56" s="5"/>
      <c r="P56" s="5"/>
      <c r="Q56" s="5"/>
      <c r="R56" s="5"/>
      <c r="S56" s="5"/>
      <c r="T56" s="5"/>
      <c r="U56" s="86"/>
      <c r="V56" s="102"/>
      <c r="W56" s="1155"/>
      <c r="X56" s="1113"/>
      <c r="Y56" s="1113"/>
      <c r="Z56" s="1113"/>
      <c r="AA56" s="1113"/>
      <c r="AB56" s="1113"/>
      <c r="AC56" s="1113"/>
      <c r="AD56" s="1113"/>
      <c r="AE56" s="1113"/>
      <c r="AF56" s="1113"/>
      <c r="AG56" s="1113"/>
      <c r="AH56" s="1113"/>
      <c r="AI56" s="1161" t="b">
        <v>1</v>
      </c>
      <c r="AJ56" s="921" t="s">
        <v>16</v>
      </c>
      <c r="AK56" s="61" t="str">
        <f t="shared" si="15"/>
        <v>Wokingham</v>
      </c>
      <c r="AL56" s="110">
        <f t="shared" si="18"/>
        <v>109.62486171175701</v>
      </c>
      <c r="AM56" s="110">
        <f t="shared" si="18"/>
        <v>63.988536416641963</v>
      </c>
      <c r="AN56" s="110">
        <f t="shared" si="18"/>
        <v>60.541223953901145</v>
      </c>
      <c r="AO56" s="110">
        <f t="shared" si="18"/>
        <v>68.438381937911572</v>
      </c>
      <c r="AP56" s="110">
        <f t="shared" si="18"/>
        <v>66.952948238444847</v>
      </c>
      <c r="AQ56" s="111">
        <f>VLOOKUP(AK56,IDACI!$B$8:$C$29,2,FALSE)</f>
        <v>5.6000000000000005</v>
      </c>
      <c r="AR56" s="237">
        <f t="shared" si="19"/>
        <v>0.24577226606538896</v>
      </c>
      <c r="AS56" s="237">
        <f t="shared" si="19"/>
        <v>0.19213649851632048</v>
      </c>
      <c r="AT56" s="237">
        <f t="shared" si="19"/>
        <v>0.16285153695225638</v>
      </c>
      <c r="AU56" s="237">
        <f t="shared" si="19"/>
        <v>0.18108276291225886</v>
      </c>
      <c r="AV56" s="237">
        <f t="shared" si="19"/>
        <v>0.18733850129198967</v>
      </c>
    </row>
    <row r="57" spans="1:48" s="56" customFormat="1" ht="15.75" customHeight="1">
      <c r="A57" s="87"/>
      <c r="B57" s="48"/>
      <c r="C57" s="48"/>
      <c r="D57" s="40"/>
      <c r="E57" s="40"/>
      <c r="F57" s="40"/>
      <c r="G57" s="40"/>
      <c r="H57" s="40"/>
      <c r="I57" s="40"/>
      <c r="J57" s="1"/>
      <c r="K57" s="5"/>
      <c r="L57" s="5"/>
      <c r="M57" s="5"/>
      <c r="N57" s="5"/>
      <c r="O57" s="5"/>
      <c r="P57" s="5"/>
      <c r="Q57" s="5"/>
      <c r="R57" s="5"/>
      <c r="S57" s="5"/>
      <c r="T57" s="5"/>
      <c r="U57" s="86"/>
      <c r="V57" s="102"/>
      <c r="W57" s="1155"/>
      <c r="X57" s="1113"/>
      <c r="Y57" s="1113"/>
      <c r="Z57" s="1113"/>
      <c r="AA57" s="1113"/>
      <c r="AB57" s="1113"/>
      <c r="AC57" s="1113"/>
      <c r="AD57" s="1113"/>
      <c r="AE57" s="1113"/>
      <c r="AF57" s="1113"/>
      <c r="AG57" s="1113"/>
      <c r="AH57" s="1113"/>
      <c r="AI57" s="1161" t="b">
        <v>1</v>
      </c>
      <c r="AJ57" s="921" t="s">
        <v>71</v>
      </c>
      <c r="AK57" s="61" t="str">
        <f t="shared" si="15"/>
        <v>South East</v>
      </c>
      <c r="AL57" s="110">
        <f t="shared" si="18"/>
        <v>154.60288953801734</v>
      </c>
      <c r="AM57" s="110">
        <f t="shared" si="18"/>
        <v>159.24020487576988</v>
      </c>
      <c r="AN57" s="110">
        <f t="shared" si="18"/>
        <v>166.14695696018384</v>
      </c>
      <c r="AO57" s="110">
        <f t="shared" si="18"/>
        <v>180.08226080328188</v>
      </c>
      <c r="AP57" s="110">
        <f t="shared" si="18"/>
        <v>189.68480971637101</v>
      </c>
      <c r="AQ57" s="111">
        <f>Z30/Y30*100</f>
        <v>12.760581039440194</v>
      </c>
      <c r="AR57" s="237">
        <f t="shared" si="19"/>
        <v>0.26041784993402828</v>
      </c>
      <c r="AS57" s="237">
        <f t="shared" si="19"/>
        <v>0.27663058637226584</v>
      </c>
      <c r="AT57" s="237">
        <f t="shared" si="19"/>
        <v>0.25934198854931056</v>
      </c>
      <c r="AU57" s="237">
        <f t="shared" si="19"/>
        <v>0.2792110453648915</v>
      </c>
      <c r="AV57" s="237">
        <f t="shared" si="19"/>
        <v>0.26651818856718634</v>
      </c>
    </row>
    <row r="58" spans="1:48"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1155"/>
      <c r="X58" s="1113"/>
      <c r="Y58" s="1113"/>
      <c r="Z58" s="1113"/>
      <c r="AA58" s="1113"/>
      <c r="AB58" s="1113"/>
      <c r="AC58" s="1113"/>
      <c r="AD58" s="1113"/>
      <c r="AE58" s="1113"/>
      <c r="AF58" s="1113"/>
      <c r="AG58" s="1113"/>
      <c r="AH58" s="1113"/>
      <c r="AI58" s="1161" t="b">
        <v>1</v>
      </c>
      <c r="AJ58" s="921" t="s">
        <v>109</v>
      </c>
      <c r="AK58" s="61" t="str">
        <f t="shared" si="15"/>
        <v>England</v>
      </c>
      <c r="AL58" s="110">
        <f t="shared" si="18"/>
        <v>123.31122399302761</v>
      </c>
      <c r="AM58" s="110">
        <f t="shared" si="18"/>
        <v>115.24633022938814</v>
      </c>
      <c r="AN58" s="110">
        <f t="shared" si="18"/>
        <v>118.59342586057595</v>
      </c>
      <c r="AO58" s="110">
        <f t="shared" si="18"/>
        <v>120.95957617958723</v>
      </c>
      <c r="AP58" s="110">
        <f t="shared" si="18"/>
        <v>115.9130788590646</v>
      </c>
      <c r="AQ58" s="111">
        <f>VLOOKUP(AK58,IDACI!$B$8:$C$29,2,FALSE)</f>
        <v>17.084413405029373</v>
      </c>
      <c r="AR58" s="237">
        <f t="shared" si="19"/>
        <v>0.22611900836728982</v>
      </c>
      <c r="AS58" s="237">
        <f t="shared" si="19"/>
        <v>0.22726512312633834</v>
      </c>
      <c r="AT58" s="237">
        <f t="shared" si="19"/>
        <v>0.21452627370169314</v>
      </c>
      <c r="AU58" s="237">
        <f t="shared" si="19"/>
        <v>0.22448979591836735</v>
      </c>
      <c r="AV58" s="237">
        <f t="shared" si="19"/>
        <v>0.22364443300958384</v>
      </c>
    </row>
    <row r="59" spans="1:48" s="56" customFormat="1" ht="12.75" customHeight="1">
      <c r="A59" s="87"/>
      <c r="B59" s="48"/>
      <c r="C59" s="48"/>
      <c r="D59" s="40"/>
      <c r="E59" s="40"/>
      <c r="F59" s="40"/>
      <c r="G59" s="40"/>
      <c r="H59" s="40"/>
      <c r="I59" s="40"/>
      <c r="J59" s="1"/>
      <c r="K59" s="5"/>
      <c r="L59" s="5"/>
      <c r="M59" s="5"/>
      <c r="N59" s="5"/>
      <c r="O59" s="5"/>
      <c r="P59" s="5"/>
      <c r="Q59" s="5"/>
      <c r="R59" s="5"/>
      <c r="S59" s="5"/>
      <c r="T59" s="5"/>
      <c r="U59" s="86"/>
      <c r="V59" s="102"/>
      <c r="W59" s="218"/>
      <c r="AJ59" s="122"/>
      <c r="AK59" s="52" t="str">
        <f>Z4</f>
        <v>Selected LA- (none)</v>
      </c>
      <c r="AL59" s="112" t="e">
        <f>VLOOKUP($Y4,$B$11:$O$30,AL$34,FALSE)</f>
        <v>#N/A</v>
      </c>
      <c r="AM59" s="112" t="e">
        <f>VLOOKUP($Y4,$B$11:$O$30,AM$34,FALSE)</f>
        <v>#N/A</v>
      </c>
      <c r="AN59" s="112" t="e">
        <f>VLOOKUP($Y4,$B$11:$O$30,AN$34,FALSE)</f>
        <v>#N/A</v>
      </c>
      <c r="AO59" s="112" t="e">
        <f>VLOOKUP($Y4,$B$11:$O$30,AO$34,FALSE)</f>
        <v>#N/A</v>
      </c>
      <c r="AP59" s="112" t="e">
        <f>VLOOKUP($Y4,$B$11:$O$30,AP$34,FALSE)</f>
        <v>#N/A</v>
      </c>
      <c r="AQ59" s="111" t="e">
        <f>VLOOKUP($Y$4,IDACI!$B$8:$C$29,2,FALSE)</f>
        <v>#N/A</v>
      </c>
      <c r="AR59" s="132" t="e">
        <f>VLOOKUP($Y$4,$B$108:$H$128,AR$34,FALSE)</f>
        <v>#N/A</v>
      </c>
      <c r="AS59" s="132" t="e">
        <f>VLOOKUP($Y$4,$B$108:$H$128,AS$34,FALSE)</f>
        <v>#N/A</v>
      </c>
      <c r="AT59" s="132" t="e">
        <f>VLOOKUP($Y$4,$B$108:$H$128,AT$34,FALSE)</f>
        <v>#N/A</v>
      </c>
      <c r="AU59" s="132" t="e">
        <f>VLOOKUP($Y$4,$B$108:$H$128,AU$34,FALSE)</f>
        <v>#N/A</v>
      </c>
      <c r="AV59" s="132" t="e">
        <f>VLOOKUP($Y$4,$B$108:$H$128,AV$34,FALSE)</f>
        <v>#N/A</v>
      </c>
    </row>
    <row r="60" spans="1:48" s="56" customFormat="1" ht="14.25" customHeight="1">
      <c r="A60" s="87"/>
      <c r="B60" s="48"/>
      <c r="C60" s="48"/>
      <c r="D60" s="40"/>
      <c r="E60" s="40"/>
      <c r="F60" s="40"/>
      <c r="G60" s="40"/>
      <c r="H60" s="40"/>
      <c r="I60" s="40"/>
      <c r="J60" s="1"/>
      <c r="K60" s="79"/>
      <c r="L60" s="1882" t="s">
        <v>69</v>
      </c>
      <c r="M60" s="1882"/>
      <c r="N60" s="1882"/>
      <c r="O60" s="1882"/>
      <c r="P60" s="1171"/>
      <c r="Q60" s="1753" t="s">
        <v>93</v>
      </c>
      <c r="R60" s="1753"/>
      <c r="S60" s="1753"/>
      <c r="T60" s="1753"/>
      <c r="U60" s="86"/>
      <c r="V60" s="102"/>
      <c r="W60" s="218"/>
      <c r="AJ60" s="122"/>
    </row>
    <row r="61" spans="1:48" s="56" customFormat="1" ht="14.25" customHeight="1">
      <c r="A61" s="87"/>
      <c r="B61" s="48"/>
      <c r="C61" s="48"/>
      <c r="D61" s="40"/>
      <c r="E61" s="40"/>
      <c r="F61" s="40"/>
      <c r="G61" s="40"/>
      <c r="H61" s="40"/>
      <c r="I61" s="40"/>
      <c r="J61" s="1"/>
      <c r="K61" s="80"/>
      <c r="L61" s="1753" t="str">
        <f>Z4</f>
        <v>Selected LA- (none)</v>
      </c>
      <c r="M61" s="1753"/>
      <c r="N61" s="1753"/>
      <c r="O61" s="1753"/>
      <c r="P61" s="1172"/>
      <c r="Q61" s="1753" t="s">
        <v>167</v>
      </c>
      <c r="R61" s="1753"/>
      <c r="S61" s="1753"/>
      <c r="T61" s="1753"/>
      <c r="U61" s="86"/>
      <c r="V61" s="102"/>
      <c r="W61" s="114"/>
      <c r="AI61" s="61"/>
      <c r="AJ61" s="121"/>
      <c r="AK61" s="61"/>
      <c r="AL61" s="61"/>
      <c r="AM61" s="61"/>
      <c r="AN61" s="61"/>
      <c r="AO61" s="61"/>
      <c r="AP61" s="61"/>
      <c r="AQ61" s="61"/>
      <c r="AR61" s="61"/>
      <c r="AS61" s="61"/>
      <c r="AT61" s="61"/>
      <c r="AU61" s="61"/>
      <c r="AV61" s="61"/>
    </row>
    <row r="62" spans="1:48" s="56" customFormat="1" ht="46.5" customHeight="1">
      <c r="A62" s="87"/>
      <c r="B62" s="48"/>
      <c r="C62" s="48"/>
      <c r="D62" s="40"/>
      <c r="E62" s="40"/>
      <c r="F62" s="40"/>
      <c r="G62" s="40"/>
      <c r="H62" s="40"/>
      <c r="I62" s="40"/>
      <c r="J62" s="1"/>
      <c r="K62" s="5"/>
      <c r="L62" s="5"/>
      <c r="M62" s="5"/>
      <c r="N62" s="5"/>
      <c r="O62" s="5"/>
      <c r="P62" s="5"/>
      <c r="Q62" s="5"/>
      <c r="R62" s="5"/>
      <c r="S62" s="5"/>
      <c r="T62" s="5"/>
      <c r="U62" s="86"/>
      <c r="V62" s="102"/>
      <c r="W62" s="114"/>
      <c r="AI62" s="61"/>
      <c r="AJ62" s="121"/>
      <c r="AK62" s="61"/>
      <c r="AL62" s="61"/>
      <c r="AM62" s="61"/>
      <c r="AN62" s="61"/>
      <c r="AO62" s="61"/>
      <c r="AP62" s="61"/>
      <c r="AQ62" s="61"/>
      <c r="AR62" s="61"/>
      <c r="AS62" s="61"/>
      <c r="AT62" s="61"/>
      <c r="AU62" s="61"/>
      <c r="AV62" s="61"/>
    </row>
    <row r="63" spans="1:48" s="61" customFormat="1" ht="46.5" customHeight="1">
      <c r="A63" s="88"/>
      <c r="B63" s="78"/>
      <c r="C63" s="78"/>
      <c r="D63" s="78"/>
      <c r="E63" s="78"/>
      <c r="F63" s="78"/>
      <c r="G63" s="78"/>
      <c r="H63" s="78"/>
      <c r="I63" s="78"/>
      <c r="J63" s="68"/>
      <c r="K63" s="59"/>
      <c r="L63" s="59"/>
      <c r="M63" s="59"/>
      <c r="N63" s="59"/>
      <c r="O63" s="59"/>
      <c r="P63" s="59"/>
      <c r="Q63" s="59"/>
      <c r="R63" s="59"/>
      <c r="S63" s="59"/>
      <c r="T63" s="59"/>
      <c r="U63" s="89"/>
      <c r="V63" s="103"/>
      <c r="W63" s="115"/>
      <c r="AD63" s="141"/>
      <c r="AE63" s="141"/>
      <c r="AF63" s="141"/>
      <c r="AG63" s="141"/>
      <c r="AH63" s="141"/>
      <c r="AI63" s="52"/>
      <c r="AJ63" s="119"/>
      <c r="AK63" s="52"/>
      <c r="AL63" s="52"/>
      <c r="AM63" s="52"/>
      <c r="AN63" s="52"/>
      <c r="AO63" s="52"/>
      <c r="AP63" s="52"/>
      <c r="AQ63" s="52"/>
      <c r="AR63" s="52"/>
      <c r="AS63" s="52"/>
      <c r="AT63" s="52"/>
      <c r="AU63" s="52"/>
      <c r="AV63" s="52"/>
    </row>
    <row r="64" spans="1:48" s="61" customFormat="1" ht="46.5" customHeight="1">
      <c r="A64" s="88"/>
      <c r="B64" s="78"/>
      <c r="C64" s="78"/>
      <c r="D64" s="78"/>
      <c r="E64" s="78"/>
      <c r="F64" s="78"/>
      <c r="G64" s="78"/>
      <c r="H64" s="78"/>
      <c r="I64" s="78"/>
      <c r="J64" s="68"/>
      <c r="K64" s="59"/>
      <c r="L64" s="59"/>
      <c r="M64" s="59"/>
      <c r="N64" s="59"/>
      <c r="O64" s="59"/>
      <c r="P64" s="59"/>
      <c r="Q64" s="59"/>
      <c r="R64" s="59"/>
      <c r="S64" s="59"/>
      <c r="T64" s="59"/>
      <c r="U64" s="89"/>
      <c r="V64" s="121"/>
      <c r="W64" s="115"/>
      <c r="AD64" s="141"/>
      <c r="AE64" s="141"/>
      <c r="AF64" s="141"/>
      <c r="AG64" s="141"/>
      <c r="AH64" s="141"/>
      <c r="AI64" s="52"/>
      <c r="AJ64" s="119"/>
      <c r="AK64" s="52"/>
      <c r="AL64" s="52"/>
      <c r="AM64" s="52"/>
      <c r="AN64" s="52"/>
      <c r="AO64" s="52"/>
      <c r="AP64" s="52"/>
      <c r="AQ64" s="52"/>
      <c r="AR64" s="52"/>
      <c r="AS64" s="52"/>
      <c r="AT64" s="52"/>
      <c r="AU64" s="52"/>
      <c r="AV64" s="52"/>
    </row>
    <row r="65" spans="1:48" ht="7.5" customHeight="1">
      <c r="A65" s="87"/>
      <c r="B65" s="12"/>
      <c r="C65" s="12"/>
      <c r="D65" s="11"/>
      <c r="E65" s="11"/>
      <c r="F65" s="11"/>
      <c r="G65" s="11"/>
      <c r="H65" s="11"/>
      <c r="I65" s="11"/>
      <c r="J65" s="1"/>
      <c r="K65" s="13"/>
      <c r="L65" s="13"/>
      <c r="M65" s="13"/>
      <c r="N65" s="13"/>
      <c r="O65" s="13"/>
      <c r="P65" s="13"/>
      <c r="Q65" s="13"/>
      <c r="R65" s="13"/>
      <c r="S65" s="13"/>
      <c r="T65" s="14"/>
      <c r="U65" s="86"/>
      <c r="V65" s="185"/>
      <c r="W65" s="114"/>
      <c r="X65" s="61"/>
      <c r="Y65" s="61"/>
      <c r="Z65" s="61"/>
      <c r="AA65" s="61"/>
      <c r="AB65" s="61"/>
      <c r="AJ65" s="119"/>
    </row>
    <row r="66" spans="1:48" ht="15" customHeight="1">
      <c r="A66" s="1565"/>
      <c r="B66" s="1751"/>
      <c r="C66" s="1751"/>
      <c r="D66" s="1751"/>
      <c r="E66" s="1751"/>
      <c r="F66" s="1751"/>
      <c r="G66" s="1751"/>
      <c r="H66" s="1751"/>
      <c r="I66" s="1751"/>
      <c r="J66" s="1751"/>
      <c r="K66" s="1751"/>
      <c r="L66" s="1751"/>
      <c r="M66" s="1751"/>
      <c r="N66" s="1751"/>
      <c r="O66" s="1751"/>
      <c r="P66" s="1751"/>
      <c r="Q66" s="1751"/>
      <c r="R66" s="1751"/>
      <c r="S66" s="1751"/>
      <c r="T66" s="1751"/>
      <c r="U66" s="1752"/>
      <c r="V66" s="185"/>
      <c r="W66" s="114"/>
      <c r="X66" s="61"/>
      <c r="Y66" s="61"/>
      <c r="Z66" s="61"/>
      <c r="AA66" s="61"/>
      <c r="AB66" s="61"/>
      <c r="AJ66" s="119"/>
    </row>
    <row r="67" spans="1:48" ht="11.25" customHeight="1">
      <c r="A67" s="1739"/>
      <c r="B67" s="1740"/>
      <c r="C67" s="1740"/>
      <c r="D67" s="1740"/>
      <c r="E67" s="1740"/>
      <c r="F67" s="1740"/>
      <c r="G67" s="1740"/>
      <c r="H67" s="1740"/>
      <c r="I67" s="1741"/>
      <c r="J67" s="1740"/>
      <c r="K67" s="1740"/>
      <c r="L67" s="1740"/>
      <c r="M67" s="1740"/>
      <c r="N67" s="1740"/>
      <c r="O67" s="1740"/>
      <c r="P67" s="1742"/>
      <c r="Q67" s="1740"/>
      <c r="R67" s="1740"/>
      <c r="S67" s="1741"/>
      <c r="T67" s="1740"/>
      <c r="U67" s="1743"/>
      <c r="V67" s="185"/>
      <c r="W67" s="114"/>
      <c r="X67" s="61"/>
      <c r="Y67" s="61"/>
      <c r="Z67" s="61"/>
      <c r="AA67" s="61"/>
      <c r="AB67" s="61"/>
      <c r="AJ67" s="119"/>
    </row>
    <row r="68" spans="1:48" ht="11.25" customHeight="1">
      <c r="A68" s="81"/>
      <c r="B68" s="82"/>
      <c r="C68" s="82"/>
      <c r="D68" s="82"/>
      <c r="E68" s="82"/>
      <c r="F68" s="82"/>
      <c r="G68" s="82"/>
      <c r="H68" s="82"/>
      <c r="I68" s="82"/>
      <c r="J68" s="83"/>
      <c r="K68" s="82"/>
      <c r="L68" s="82"/>
      <c r="M68" s="82"/>
      <c r="N68" s="82"/>
      <c r="O68" s="82"/>
      <c r="P68" s="82"/>
      <c r="Q68" s="82"/>
      <c r="R68" s="82"/>
      <c r="S68" s="82"/>
      <c r="T68" s="82"/>
      <c r="U68" s="84"/>
      <c r="V68" s="102"/>
      <c r="W68" s="114"/>
      <c r="X68" s="61"/>
      <c r="Y68" s="61"/>
      <c r="Z68" s="61"/>
      <c r="AA68" s="61"/>
      <c r="AB68" s="61"/>
      <c r="AJ68" s="119"/>
    </row>
    <row r="69" spans="1:48" ht="15.6" customHeight="1">
      <c r="A69" s="87"/>
      <c r="B69" s="41"/>
      <c r="C69" s="47"/>
      <c r="D69" s="47"/>
      <c r="E69" s="47"/>
      <c r="F69" s="47"/>
      <c r="G69" s="47"/>
      <c r="H69" s="47"/>
      <c r="I69" s="47"/>
      <c r="J69" s="50"/>
      <c r="K69" s="50"/>
      <c r="L69" s="50"/>
      <c r="M69" s="50"/>
      <c r="N69" s="224"/>
      <c r="O69" s="50"/>
      <c r="P69" s="50"/>
      <c r="Q69" s="50"/>
      <c r="R69" s="50"/>
      <c r="S69" s="50"/>
      <c r="T69" s="50"/>
      <c r="U69" s="86"/>
      <c r="V69" s="102"/>
      <c r="W69" s="114"/>
      <c r="X69" s="52"/>
      <c r="Y69" s="52"/>
      <c r="Z69" s="52"/>
      <c r="AA69" s="52"/>
      <c r="AB69" s="52"/>
      <c r="AC69" s="52"/>
      <c r="AD69" s="52"/>
      <c r="AE69" s="52"/>
      <c r="AF69" s="52"/>
      <c r="AG69" s="52"/>
      <c r="AH69" s="52"/>
      <c r="AI69" s="61"/>
      <c r="AJ69" s="121"/>
      <c r="AK69" s="61"/>
      <c r="AL69" s="61"/>
      <c r="AM69" s="61"/>
      <c r="AN69" s="61"/>
      <c r="AO69" s="61"/>
      <c r="AP69" s="61"/>
      <c r="AQ69" s="61"/>
      <c r="AR69" s="61"/>
      <c r="AS69" s="61"/>
      <c r="AT69" s="61"/>
      <c r="AU69" s="61"/>
      <c r="AV69" s="61"/>
    </row>
    <row r="70" spans="1:48" ht="13.5" customHeight="1">
      <c r="A70" s="87"/>
      <c r="B70" s="47"/>
      <c r="C70" s="47"/>
      <c r="D70" s="47"/>
      <c r="E70" s="47"/>
      <c r="F70" s="47"/>
      <c r="G70" s="47"/>
      <c r="H70" s="47"/>
      <c r="I70" s="47"/>
      <c r="J70" s="50"/>
      <c r="K70" s="50"/>
      <c r="L70" s="50"/>
      <c r="M70" s="50"/>
      <c r="N70" s="224"/>
      <c r="O70" s="50"/>
      <c r="P70" s="50"/>
      <c r="Q70" s="50"/>
      <c r="R70" s="5"/>
      <c r="S70" s="50"/>
      <c r="T70" s="50"/>
      <c r="U70" s="86"/>
      <c r="V70" s="102"/>
      <c r="W70" s="114"/>
      <c r="X70" s="52"/>
      <c r="Y70" s="52"/>
      <c r="Z70" s="146"/>
      <c r="AA70" s="146"/>
      <c r="AB70" s="147"/>
      <c r="AC70" s="147"/>
      <c r="AI70" s="61"/>
      <c r="AJ70" s="121"/>
      <c r="AK70" s="61"/>
      <c r="AL70" s="61"/>
      <c r="AM70" s="61"/>
      <c r="AN70" s="61"/>
      <c r="AO70" s="61"/>
      <c r="AP70" s="61"/>
      <c r="AQ70" s="61"/>
      <c r="AR70" s="61"/>
      <c r="AS70" s="61"/>
      <c r="AT70" s="61"/>
      <c r="AU70" s="61"/>
      <c r="AV70" s="61"/>
    </row>
    <row r="71" spans="1:48" s="61" customFormat="1" ht="12" customHeight="1">
      <c r="A71" s="88"/>
      <c r="B71" s="47"/>
      <c r="C71" s="47"/>
      <c r="D71" s="47"/>
      <c r="E71" s="47"/>
      <c r="F71" s="47"/>
      <c r="G71" s="47"/>
      <c r="H71" s="47"/>
      <c r="I71" s="68"/>
      <c r="J71" s="68"/>
      <c r="K71" s="43"/>
      <c r="L71" s="43"/>
      <c r="M71" s="43"/>
      <c r="N71" s="43"/>
      <c r="O71" s="43"/>
      <c r="P71" s="43"/>
      <c r="Q71" s="225"/>
      <c r="R71" s="225"/>
      <c r="S71" s="120"/>
      <c r="T71" s="226"/>
      <c r="U71" s="89"/>
      <c r="V71" s="103"/>
      <c r="W71" s="115"/>
      <c r="X71" s="52"/>
      <c r="Y71" s="52"/>
      <c r="Z71" s="146"/>
      <c r="AA71" s="146"/>
      <c r="AB71" s="147"/>
      <c r="AC71" s="147"/>
      <c r="AD71" s="149"/>
      <c r="AE71" s="141"/>
      <c r="AF71" s="141"/>
      <c r="AG71" s="141"/>
      <c r="AH71" s="141"/>
      <c r="AJ71" s="121"/>
    </row>
    <row r="72" spans="1:48" s="61" customFormat="1" ht="24" customHeight="1">
      <c r="A72" s="88"/>
      <c r="B72" s="47"/>
      <c r="C72" s="47"/>
      <c r="D72" s="47"/>
      <c r="E72" s="47"/>
      <c r="F72" s="47"/>
      <c r="G72" s="47"/>
      <c r="H72" s="47"/>
      <c r="I72" s="68"/>
      <c r="J72" s="68"/>
      <c r="K72" s="127"/>
      <c r="L72" s="127"/>
      <c r="M72" s="127"/>
      <c r="N72" s="127"/>
      <c r="O72" s="127"/>
      <c r="P72" s="127"/>
      <c r="Q72" s="127"/>
      <c r="R72" s="128"/>
      <c r="S72" s="120"/>
      <c r="T72" s="127"/>
      <c r="U72" s="89"/>
      <c r="V72" s="103"/>
      <c r="W72" s="115"/>
      <c r="Y72" s="242" t="s">
        <v>112</v>
      </c>
      <c r="Z72" s="242" t="s">
        <v>113</v>
      </c>
      <c r="AA72" s="146"/>
      <c r="AB72" s="147"/>
      <c r="AC72" s="147"/>
      <c r="AD72" s="149"/>
      <c r="AE72" s="141"/>
      <c r="AF72" s="141"/>
      <c r="AG72" s="141"/>
      <c r="AH72" s="141"/>
      <c r="AJ72" s="121"/>
    </row>
    <row r="73" spans="1:48" s="61" customFormat="1" ht="12.75" customHeight="1">
      <c r="A73" s="88"/>
      <c r="B73" s="47"/>
      <c r="C73" s="47"/>
      <c r="D73" s="47"/>
      <c r="E73" s="47"/>
      <c r="F73" s="47"/>
      <c r="G73" s="47"/>
      <c r="H73" s="47"/>
      <c r="I73" s="68"/>
      <c r="J73" s="68"/>
      <c r="K73" s="127"/>
      <c r="L73" s="127"/>
      <c r="M73" s="127"/>
      <c r="N73" s="127"/>
      <c r="O73" s="127"/>
      <c r="P73" s="127"/>
      <c r="Q73" s="127"/>
      <c r="R73" s="128"/>
      <c r="S73" s="120"/>
      <c r="T73" s="127"/>
      <c r="U73" s="89"/>
      <c r="V73" s="103"/>
      <c r="W73" s="115"/>
      <c r="X73" s="351" t="str">
        <f t="shared" ref="X73:X93" si="20">B11</f>
        <v>Bracknell Forest</v>
      </c>
      <c r="Y73" s="244" t="e">
        <f t="shared" ref="Y73:Y93" si="21">IF(X73=$Y$4,I11,#N/A)</f>
        <v>#N/A</v>
      </c>
      <c r="Z73" s="244" t="e">
        <f t="shared" ref="Z73:Z93" si="22">IF(X73=$Y$4,T11,#N/A)</f>
        <v>#N/A</v>
      </c>
      <c r="AA73" s="146"/>
      <c r="AB73" s="147"/>
      <c r="AC73" s="147"/>
      <c r="AD73" s="149"/>
      <c r="AE73" s="141"/>
      <c r="AF73" s="141"/>
      <c r="AG73" s="141"/>
      <c r="AH73" s="141"/>
      <c r="AJ73" s="121"/>
    </row>
    <row r="74" spans="1:48" s="61" customFormat="1" ht="12.75" customHeight="1">
      <c r="A74" s="88"/>
      <c r="B74" s="47"/>
      <c r="C74" s="47"/>
      <c r="D74" s="47"/>
      <c r="E74" s="47"/>
      <c r="F74" s="47"/>
      <c r="G74" s="47"/>
      <c r="H74" s="47"/>
      <c r="I74" s="68"/>
      <c r="J74" s="68"/>
      <c r="K74" s="127"/>
      <c r="L74" s="127"/>
      <c r="M74" s="127"/>
      <c r="N74" s="127"/>
      <c r="O74" s="127"/>
      <c r="P74" s="127"/>
      <c r="Q74" s="127"/>
      <c r="R74" s="128"/>
      <c r="S74" s="120"/>
      <c r="T74" s="127"/>
      <c r="U74" s="89"/>
      <c r="V74" s="103"/>
      <c r="W74" s="115"/>
      <c r="X74" s="351" t="str">
        <f t="shared" si="20"/>
        <v>Brighton &amp; Hove</v>
      </c>
      <c r="Y74" s="244" t="e">
        <f t="shared" si="21"/>
        <v>#N/A</v>
      </c>
      <c r="Z74" s="244" t="e">
        <f t="shared" si="22"/>
        <v>#N/A</v>
      </c>
      <c r="AA74" s="146"/>
      <c r="AB74" s="147"/>
      <c r="AC74" s="147"/>
      <c r="AD74" s="149"/>
      <c r="AE74" s="141"/>
      <c r="AF74" s="141"/>
      <c r="AG74" s="141"/>
      <c r="AH74" s="141"/>
      <c r="AJ74" s="121"/>
    </row>
    <row r="75" spans="1:48" s="61" customFormat="1" ht="12.75" customHeight="1">
      <c r="A75" s="88"/>
      <c r="B75" s="47"/>
      <c r="C75" s="47"/>
      <c r="D75" s="47"/>
      <c r="E75" s="47"/>
      <c r="F75" s="47"/>
      <c r="G75" s="47"/>
      <c r="H75" s="47"/>
      <c r="I75" s="68"/>
      <c r="J75" s="68"/>
      <c r="K75" s="127"/>
      <c r="L75" s="127"/>
      <c r="M75" s="127"/>
      <c r="N75" s="127"/>
      <c r="O75" s="127"/>
      <c r="P75" s="127"/>
      <c r="Q75" s="127"/>
      <c r="R75" s="128"/>
      <c r="S75" s="120"/>
      <c r="T75" s="127"/>
      <c r="U75" s="89"/>
      <c r="V75" s="103"/>
      <c r="W75" s="115"/>
      <c r="X75" s="351" t="str">
        <f t="shared" si="20"/>
        <v>Buckinghamshire</v>
      </c>
      <c r="Y75" s="244" t="e">
        <f t="shared" si="21"/>
        <v>#N/A</v>
      </c>
      <c r="Z75" s="244" t="e">
        <f t="shared" si="22"/>
        <v>#N/A</v>
      </c>
      <c r="AA75" s="146"/>
      <c r="AB75" s="147"/>
      <c r="AC75" s="147"/>
      <c r="AD75" s="149"/>
      <c r="AE75" s="141"/>
      <c r="AF75" s="141"/>
      <c r="AG75" s="141"/>
      <c r="AH75" s="141"/>
      <c r="AJ75" s="121"/>
      <c r="AR75" s="61" t="s">
        <v>95</v>
      </c>
    </row>
    <row r="76" spans="1:48" s="61" customFormat="1" ht="12.75" customHeight="1">
      <c r="A76" s="88"/>
      <c r="B76" s="47"/>
      <c r="C76" s="47"/>
      <c r="D76" s="47"/>
      <c r="E76" s="47"/>
      <c r="F76" s="47"/>
      <c r="G76" s="47"/>
      <c r="H76" s="47"/>
      <c r="I76" s="68"/>
      <c r="J76" s="68"/>
      <c r="K76" s="127"/>
      <c r="L76" s="127"/>
      <c r="M76" s="127"/>
      <c r="N76" s="127"/>
      <c r="O76" s="127"/>
      <c r="P76" s="127"/>
      <c r="Q76" s="127"/>
      <c r="R76" s="128"/>
      <c r="S76" s="120"/>
      <c r="T76" s="127"/>
      <c r="U76" s="89"/>
      <c r="V76" s="103"/>
      <c r="W76" s="115"/>
      <c r="X76" s="351" t="str">
        <f t="shared" si="20"/>
        <v>East Sussex</v>
      </c>
      <c r="Y76" s="244" t="e">
        <f t="shared" si="21"/>
        <v>#N/A</v>
      </c>
      <c r="Z76" s="244" t="e">
        <f t="shared" si="22"/>
        <v>#N/A</v>
      </c>
      <c r="AA76" s="146"/>
      <c r="AB76" s="147"/>
      <c r="AC76" s="147"/>
      <c r="AD76" s="149"/>
      <c r="AE76" s="141"/>
      <c r="AF76" s="141"/>
      <c r="AG76" s="141"/>
      <c r="AH76" s="141"/>
      <c r="AJ76" s="121"/>
    </row>
    <row r="77" spans="1:48" s="61" customFormat="1" ht="12.75" customHeight="1">
      <c r="A77" s="88"/>
      <c r="B77" s="47"/>
      <c r="C77" s="47"/>
      <c r="D77" s="47"/>
      <c r="E77" s="47"/>
      <c r="F77" s="47"/>
      <c r="G77" s="47"/>
      <c r="H77" s="47"/>
      <c r="I77" s="68"/>
      <c r="J77" s="68"/>
      <c r="K77" s="127"/>
      <c r="L77" s="127"/>
      <c r="M77" s="127"/>
      <c r="N77" s="127"/>
      <c r="O77" s="127"/>
      <c r="P77" s="127"/>
      <c r="Q77" s="127"/>
      <c r="R77" s="128"/>
      <c r="S77" s="120"/>
      <c r="T77" s="127"/>
      <c r="U77" s="89"/>
      <c r="V77" s="103"/>
      <c r="W77" s="115"/>
      <c r="X77" s="351" t="str">
        <f t="shared" si="20"/>
        <v>Hampshire</v>
      </c>
      <c r="Y77" s="244" t="e">
        <f t="shared" si="21"/>
        <v>#N/A</v>
      </c>
      <c r="Z77" s="244" t="e">
        <f t="shared" si="22"/>
        <v>#N/A</v>
      </c>
      <c r="AA77" s="146"/>
      <c r="AB77" s="147"/>
      <c r="AC77" s="147"/>
      <c r="AD77" s="149"/>
      <c r="AE77" s="141"/>
      <c r="AF77" s="141"/>
      <c r="AG77" s="141"/>
      <c r="AH77" s="141"/>
      <c r="AJ77" s="121"/>
    </row>
    <row r="78" spans="1:48" s="61" customFormat="1" ht="12.75" customHeight="1">
      <c r="A78" s="88"/>
      <c r="B78" s="47"/>
      <c r="C78" s="47"/>
      <c r="D78" s="47"/>
      <c r="E78" s="47"/>
      <c r="F78" s="47"/>
      <c r="G78" s="47"/>
      <c r="H78" s="47"/>
      <c r="I78" s="68"/>
      <c r="J78" s="68"/>
      <c r="K78" s="127"/>
      <c r="L78" s="127"/>
      <c r="M78" s="127"/>
      <c r="N78" s="127"/>
      <c r="O78" s="127"/>
      <c r="P78" s="127"/>
      <c r="Q78" s="127"/>
      <c r="R78" s="128"/>
      <c r="S78" s="120"/>
      <c r="T78" s="127"/>
      <c r="U78" s="89"/>
      <c r="V78" s="103"/>
      <c r="W78" s="115"/>
      <c r="X78" s="351" t="str">
        <f t="shared" si="20"/>
        <v>Isle of Wight</v>
      </c>
      <c r="Y78" s="244" t="e">
        <f t="shared" si="21"/>
        <v>#N/A</v>
      </c>
      <c r="Z78" s="244" t="e">
        <f t="shared" si="22"/>
        <v>#N/A</v>
      </c>
      <c r="AA78" s="146"/>
      <c r="AB78" s="147"/>
      <c r="AC78" s="147"/>
      <c r="AD78" s="149"/>
      <c r="AE78" s="141"/>
      <c r="AF78" s="141"/>
      <c r="AG78" s="141"/>
      <c r="AH78" s="141"/>
      <c r="AJ78" s="121"/>
    </row>
    <row r="79" spans="1:48" s="61" customFormat="1" ht="12.75" customHeight="1">
      <c r="A79" s="88"/>
      <c r="B79" s="47"/>
      <c r="C79" s="47"/>
      <c r="D79" s="47"/>
      <c r="E79" s="47"/>
      <c r="F79" s="47"/>
      <c r="G79" s="47"/>
      <c r="H79" s="47"/>
      <c r="I79" s="68"/>
      <c r="J79" s="68"/>
      <c r="K79" s="127"/>
      <c r="L79" s="127"/>
      <c r="M79" s="127"/>
      <c r="N79" s="127"/>
      <c r="O79" s="127"/>
      <c r="P79" s="127"/>
      <c r="Q79" s="127"/>
      <c r="R79" s="128"/>
      <c r="S79" s="120"/>
      <c r="T79" s="127"/>
      <c r="U79" s="89"/>
      <c r="V79" s="103"/>
      <c r="W79" s="115"/>
      <c r="X79" s="351" t="str">
        <f t="shared" si="20"/>
        <v>Kent</v>
      </c>
      <c r="Y79" s="244" t="e">
        <f t="shared" si="21"/>
        <v>#N/A</v>
      </c>
      <c r="Z79" s="244" t="e">
        <f t="shared" si="22"/>
        <v>#N/A</v>
      </c>
      <c r="AA79" s="146"/>
      <c r="AB79" s="147"/>
      <c r="AC79" s="147"/>
      <c r="AD79" s="149"/>
      <c r="AE79" s="141"/>
      <c r="AF79" s="141"/>
      <c r="AG79" s="141"/>
      <c r="AH79" s="141"/>
      <c r="AJ79" s="121"/>
    </row>
    <row r="80" spans="1:48" s="61" customFormat="1" ht="12.75" customHeight="1">
      <c r="A80" s="88"/>
      <c r="B80" s="47"/>
      <c r="C80" s="47"/>
      <c r="D80" s="47"/>
      <c r="E80" s="47"/>
      <c r="F80" s="47"/>
      <c r="G80" s="47"/>
      <c r="H80" s="47"/>
      <c r="I80" s="68"/>
      <c r="J80" s="68"/>
      <c r="K80" s="127"/>
      <c r="L80" s="127"/>
      <c r="M80" s="127"/>
      <c r="N80" s="127"/>
      <c r="O80" s="127"/>
      <c r="P80" s="127"/>
      <c r="Q80" s="127"/>
      <c r="R80" s="128"/>
      <c r="S80" s="120"/>
      <c r="T80" s="127"/>
      <c r="U80" s="89"/>
      <c r="V80" s="103"/>
      <c r="W80" s="115"/>
      <c r="X80" s="351" t="str">
        <f t="shared" si="20"/>
        <v>Medway</v>
      </c>
      <c r="Y80" s="244" t="e">
        <f t="shared" si="21"/>
        <v>#N/A</v>
      </c>
      <c r="Z80" s="244" t="e">
        <f t="shared" si="22"/>
        <v>#N/A</v>
      </c>
      <c r="AA80" s="146"/>
      <c r="AB80" s="147"/>
      <c r="AC80" s="147"/>
      <c r="AD80" s="149"/>
      <c r="AE80" s="141"/>
      <c r="AF80" s="141"/>
      <c r="AG80" s="141"/>
      <c r="AH80" s="141"/>
      <c r="AJ80" s="121"/>
    </row>
    <row r="81" spans="1:48" s="61" customFormat="1" ht="12.75" customHeight="1">
      <c r="A81" s="88"/>
      <c r="B81" s="47"/>
      <c r="C81" s="47"/>
      <c r="D81" s="47"/>
      <c r="E81" s="47"/>
      <c r="F81" s="47"/>
      <c r="G81" s="47"/>
      <c r="H81" s="47"/>
      <c r="I81" s="68"/>
      <c r="J81" s="68"/>
      <c r="K81" s="127"/>
      <c r="L81" s="127"/>
      <c r="M81" s="127"/>
      <c r="N81" s="127"/>
      <c r="O81" s="127"/>
      <c r="P81" s="127"/>
      <c r="Q81" s="127"/>
      <c r="R81" s="128"/>
      <c r="S81" s="120"/>
      <c r="T81" s="127"/>
      <c r="U81" s="89"/>
      <c r="V81" s="103"/>
      <c r="W81" s="115"/>
      <c r="X81" s="351" t="str">
        <f t="shared" si="20"/>
        <v>Milton Keynes</v>
      </c>
      <c r="Y81" s="244" t="e">
        <f t="shared" si="21"/>
        <v>#N/A</v>
      </c>
      <c r="Z81" s="244" t="e">
        <f t="shared" si="22"/>
        <v>#N/A</v>
      </c>
      <c r="AA81" s="146"/>
      <c r="AB81" s="147"/>
      <c r="AC81" s="147"/>
      <c r="AD81" s="149"/>
      <c r="AE81" s="141"/>
      <c r="AF81" s="141"/>
      <c r="AG81" s="141"/>
      <c r="AH81" s="141"/>
      <c r="AJ81" s="121"/>
    </row>
    <row r="82" spans="1:48" s="61" customFormat="1" ht="12.75" customHeight="1">
      <c r="A82" s="88"/>
      <c r="B82" s="47"/>
      <c r="C82" s="47"/>
      <c r="D82" s="47"/>
      <c r="E82" s="47"/>
      <c r="F82" s="47"/>
      <c r="G82" s="47"/>
      <c r="H82" s="47"/>
      <c r="I82" s="68"/>
      <c r="J82" s="68"/>
      <c r="K82" s="127"/>
      <c r="L82" s="127"/>
      <c r="M82" s="127"/>
      <c r="N82" s="127"/>
      <c r="O82" s="127"/>
      <c r="P82" s="127"/>
      <c r="Q82" s="127"/>
      <c r="R82" s="128"/>
      <c r="S82" s="120"/>
      <c r="T82" s="127"/>
      <c r="U82" s="89"/>
      <c r="V82" s="103"/>
      <c r="W82" s="115"/>
      <c r="X82" s="351" t="str">
        <f t="shared" si="20"/>
        <v>Oxfordshire</v>
      </c>
      <c r="Y82" s="244" t="e">
        <f t="shared" si="21"/>
        <v>#N/A</v>
      </c>
      <c r="Z82" s="244" t="e">
        <f t="shared" si="22"/>
        <v>#N/A</v>
      </c>
      <c r="AA82" s="146"/>
      <c r="AB82" s="147"/>
      <c r="AC82" s="147"/>
      <c r="AD82" s="149"/>
      <c r="AE82" s="141"/>
      <c r="AF82" s="141"/>
      <c r="AG82" s="141"/>
      <c r="AH82" s="141"/>
      <c r="AJ82" s="121"/>
    </row>
    <row r="83" spans="1:48" s="61" customFormat="1" ht="12.75" customHeight="1">
      <c r="A83" s="88"/>
      <c r="B83" s="47"/>
      <c r="C83" s="47"/>
      <c r="D83" s="47"/>
      <c r="E83" s="47"/>
      <c r="F83" s="47"/>
      <c r="G83" s="47"/>
      <c r="H83" s="47"/>
      <c r="I83" s="68"/>
      <c r="J83" s="68"/>
      <c r="K83" s="127"/>
      <c r="L83" s="127"/>
      <c r="M83" s="127"/>
      <c r="N83" s="127"/>
      <c r="O83" s="127"/>
      <c r="P83" s="127"/>
      <c r="Q83" s="127"/>
      <c r="R83" s="128"/>
      <c r="S83" s="120"/>
      <c r="T83" s="127"/>
      <c r="U83" s="89"/>
      <c r="V83" s="103"/>
      <c r="W83" s="115"/>
      <c r="X83" s="351" t="str">
        <f t="shared" si="20"/>
        <v>Portsmouth</v>
      </c>
      <c r="Y83" s="244" t="e">
        <f t="shared" si="21"/>
        <v>#N/A</v>
      </c>
      <c r="Z83" s="244" t="e">
        <f t="shared" si="22"/>
        <v>#N/A</v>
      </c>
      <c r="AA83" s="146"/>
      <c r="AB83" s="147"/>
      <c r="AC83" s="147"/>
      <c r="AD83" s="149"/>
      <c r="AE83" s="141"/>
      <c r="AF83" s="141"/>
      <c r="AG83" s="141"/>
      <c r="AH83" s="141"/>
      <c r="AJ83" s="121"/>
    </row>
    <row r="84" spans="1:48" s="61" customFormat="1" ht="12.75" customHeight="1">
      <c r="A84" s="88"/>
      <c r="B84" s="47"/>
      <c r="C84" s="47"/>
      <c r="D84" s="47"/>
      <c r="E84" s="47"/>
      <c r="F84" s="47"/>
      <c r="G84" s="47"/>
      <c r="H84" s="47"/>
      <c r="I84" s="68"/>
      <c r="J84" s="68"/>
      <c r="K84" s="127"/>
      <c r="L84" s="127"/>
      <c r="M84" s="127"/>
      <c r="N84" s="127"/>
      <c r="O84" s="127"/>
      <c r="P84" s="127"/>
      <c r="Q84" s="127"/>
      <c r="R84" s="128"/>
      <c r="S84" s="120"/>
      <c r="T84" s="127"/>
      <c r="U84" s="89"/>
      <c r="V84" s="103"/>
      <c r="W84" s="115"/>
      <c r="X84" s="351" t="str">
        <f t="shared" si="20"/>
        <v>Reading</v>
      </c>
      <c r="Y84" s="244" t="e">
        <f t="shared" si="21"/>
        <v>#N/A</v>
      </c>
      <c r="Z84" s="244" t="e">
        <f t="shared" si="22"/>
        <v>#N/A</v>
      </c>
      <c r="AA84" s="146"/>
      <c r="AB84" s="147"/>
      <c r="AC84" s="147"/>
      <c r="AD84" s="149"/>
      <c r="AE84" s="141"/>
      <c r="AF84" s="141"/>
      <c r="AG84" s="141"/>
      <c r="AH84" s="141"/>
      <c r="AJ84" s="121"/>
    </row>
    <row r="85" spans="1:48" s="61" customFormat="1" ht="12.75" customHeight="1">
      <c r="A85" s="88"/>
      <c r="B85" s="47"/>
      <c r="C85" s="47"/>
      <c r="D85" s="47"/>
      <c r="E85" s="47"/>
      <c r="F85" s="47"/>
      <c r="G85" s="47"/>
      <c r="H85" s="47"/>
      <c r="I85" s="68"/>
      <c r="J85" s="68"/>
      <c r="K85" s="127"/>
      <c r="L85" s="127"/>
      <c r="M85" s="127"/>
      <c r="N85" s="127"/>
      <c r="O85" s="127"/>
      <c r="P85" s="127"/>
      <c r="Q85" s="127"/>
      <c r="R85" s="128"/>
      <c r="S85" s="120"/>
      <c r="T85" s="127"/>
      <c r="U85" s="89"/>
      <c r="V85" s="103"/>
      <c r="W85" s="115"/>
      <c r="X85" s="351" t="str">
        <f t="shared" si="20"/>
        <v>Slough</v>
      </c>
      <c r="Y85" s="244" t="e">
        <f t="shared" si="21"/>
        <v>#N/A</v>
      </c>
      <c r="Z85" s="244" t="e">
        <f t="shared" si="22"/>
        <v>#N/A</v>
      </c>
      <c r="AA85" s="146"/>
      <c r="AB85" s="147"/>
      <c r="AC85" s="147"/>
      <c r="AD85" s="149"/>
      <c r="AE85" s="141"/>
      <c r="AF85" s="141"/>
      <c r="AG85" s="141"/>
      <c r="AH85" s="141"/>
      <c r="AJ85" s="121"/>
    </row>
    <row r="86" spans="1:48" s="61" customFormat="1" ht="12.75" customHeight="1">
      <c r="A86" s="88"/>
      <c r="B86" s="47"/>
      <c r="C86" s="47"/>
      <c r="D86" s="47"/>
      <c r="E86" s="47"/>
      <c r="F86" s="47"/>
      <c r="G86" s="47"/>
      <c r="H86" s="47"/>
      <c r="I86" s="68"/>
      <c r="J86" s="68"/>
      <c r="K86" s="127"/>
      <c r="L86" s="127"/>
      <c r="M86" s="127"/>
      <c r="N86" s="127"/>
      <c r="O86" s="127"/>
      <c r="P86" s="127"/>
      <c r="Q86" s="127"/>
      <c r="R86" s="128"/>
      <c r="S86" s="120"/>
      <c r="T86" s="127"/>
      <c r="U86" s="89"/>
      <c r="V86" s="103"/>
      <c r="W86" s="115"/>
      <c r="X86" s="351" t="str">
        <f t="shared" si="20"/>
        <v>Southampton</v>
      </c>
      <c r="Y86" s="244" t="e">
        <f t="shared" si="21"/>
        <v>#N/A</v>
      </c>
      <c r="Z86" s="244" t="e">
        <f t="shared" si="22"/>
        <v>#N/A</v>
      </c>
      <c r="AA86" s="146"/>
      <c r="AB86" s="147"/>
      <c r="AC86" s="147"/>
      <c r="AD86" s="149"/>
      <c r="AE86" s="141"/>
      <c r="AF86" s="141"/>
      <c r="AG86" s="141"/>
      <c r="AH86" s="141"/>
      <c r="AJ86" s="121"/>
    </row>
    <row r="87" spans="1:48" s="61" customFormat="1" ht="12.75" customHeight="1">
      <c r="A87" s="88"/>
      <c r="B87" s="47"/>
      <c r="C87" s="47"/>
      <c r="D87" s="47"/>
      <c r="E87" s="47"/>
      <c r="F87" s="47"/>
      <c r="G87" s="47"/>
      <c r="H87" s="47"/>
      <c r="I87" s="68"/>
      <c r="J87" s="68"/>
      <c r="K87" s="127"/>
      <c r="L87" s="127"/>
      <c r="M87" s="127"/>
      <c r="N87" s="127"/>
      <c r="O87" s="127"/>
      <c r="P87" s="127"/>
      <c r="Q87" s="127"/>
      <c r="R87" s="128"/>
      <c r="S87" s="120"/>
      <c r="T87" s="127"/>
      <c r="U87" s="89"/>
      <c r="V87" s="103"/>
      <c r="W87" s="115"/>
      <c r="X87" s="351" t="str">
        <f t="shared" si="20"/>
        <v>Surrey</v>
      </c>
      <c r="Y87" s="244" t="e">
        <f t="shared" si="21"/>
        <v>#N/A</v>
      </c>
      <c r="Z87" s="244" t="e">
        <f t="shared" si="22"/>
        <v>#N/A</v>
      </c>
      <c r="AA87" s="146"/>
      <c r="AB87" s="147"/>
      <c r="AC87" s="147"/>
      <c r="AD87" s="149"/>
      <c r="AE87" s="141"/>
      <c r="AF87" s="141"/>
      <c r="AG87" s="141"/>
      <c r="AH87" s="141"/>
      <c r="AJ87" s="121"/>
    </row>
    <row r="88" spans="1:48" s="61" customFormat="1" ht="12.75" customHeight="1">
      <c r="A88" s="217"/>
      <c r="B88" s="47"/>
      <c r="C88" s="47"/>
      <c r="D88" s="47"/>
      <c r="E88" s="47"/>
      <c r="F88" s="47"/>
      <c r="G88" s="47"/>
      <c r="H88" s="47"/>
      <c r="I88" s="68"/>
      <c r="J88" s="68"/>
      <c r="K88" s="127"/>
      <c r="L88" s="127"/>
      <c r="M88" s="127"/>
      <c r="N88" s="127"/>
      <c r="O88" s="127"/>
      <c r="P88" s="127"/>
      <c r="Q88" s="127"/>
      <c r="R88" s="128"/>
      <c r="S88" s="120"/>
      <c r="T88" s="127"/>
      <c r="U88" s="89"/>
      <c r="V88" s="103"/>
      <c r="W88" s="115"/>
      <c r="X88" s="351" t="str">
        <f t="shared" si="20"/>
        <v>West Berkshire</v>
      </c>
      <c r="Y88" s="244" t="e">
        <f t="shared" si="21"/>
        <v>#N/A</v>
      </c>
      <c r="Z88" s="244" t="e">
        <f t="shared" si="22"/>
        <v>#N/A</v>
      </c>
      <c r="AA88" s="146"/>
      <c r="AB88" s="147"/>
      <c r="AC88" s="147"/>
      <c r="AD88" s="149"/>
      <c r="AE88" s="141"/>
      <c r="AF88" s="141"/>
      <c r="AG88" s="141"/>
      <c r="AH88" s="141"/>
      <c r="AJ88" s="121"/>
    </row>
    <row r="89" spans="1:48" s="61" customFormat="1" ht="12.75" customHeight="1">
      <c r="A89" s="217"/>
      <c r="B89" s="47"/>
      <c r="C89" s="47"/>
      <c r="D89" s="47"/>
      <c r="E89" s="47"/>
      <c r="F89" s="47"/>
      <c r="G89" s="47"/>
      <c r="H89" s="47"/>
      <c r="I89" s="68"/>
      <c r="J89" s="68"/>
      <c r="K89" s="127"/>
      <c r="L89" s="127"/>
      <c r="M89" s="127"/>
      <c r="N89" s="127"/>
      <c r="O89" s="127"/>
      <c r="P89" s="127"/>
      <c r="Q89" s="127"/>
      <c r="R89" s="128"/>
      <c r="S89" s="120"/>
      <c r="T89" s="127"/>
      <c r="U89" s="89"/>
      <c r="V89" s="103"/>
      <c r="W89" s="115"/>
      <c r="X89" s="351" t="str">
        <f t="shared" si="20"/>
        <v>West Sussex</v>
      </c>
      <c r="Y89" s="244" t="e">
        <f t="shared" si="21"/>
        <v>#N/A</v>
      </c>
      <c r="Z89" s="244" t="e">
        <f t="shared" si="22"/>
        <v>#N/A</v>
      </c>
      <c r="AA89" s="146"/>
      <c r="AB89" s="147"/>
      <c r="AC89" s="147"/>
      <c r="AD89" s="149"/>
      <c r="AE89" s="141"/>
      <c r="AF89" s="141"/>
      <c r="AG89" s="141"/>
      <c r="AH89" s="141"/>
      <c r="AJ89" s="121"/>
    </row>
    <row r="90" spans="1:48" s="61" customFormat="1" ht="12.75" customHeight="1">
      <c r="A90" s="88"/>
      <c r="B90" s="47"/>
      <c r="C90" s="47"/>
      <c r="D90" s="47"/>
      <c r="E90" s="47"/>
      <c r="F90" s="47"/>
      <c r="G90" s="47"/>
      <c r="H90" s="47"/>
      <c r="I90" s="68"/>
      <c r="J90" s="68"/>
      <c r="K90" s="127"/>
      <c r="L90" s="127"/>
      <c r="M90" s="127"/>
      <c r="N90" s="127"/>
      <c r="O90" s="127"/>
      <c r="P90" s="127"/>
      <c r="Q90" s="127"/>
      <c r="R90" s="128"/>
      <c r="S90" s="120"/>
      <c r="T90" s="127"/>
      <c r="U90" s="89"/>
      <c r="V90" s="103"/>
      <c r="W90" s="115"/>
      <c r="X90" s="351" t="str">
        <f t="shared" si="20"/>
        <v>Windsor &amp; Maidenhead</v>
      </c>
      <c r="Y90" s="244" t="e">
        <f t="shared" si="21"/>
        <v>#N/A</v>
      </c>
      <c r="Z90" s="244" t="e">
        <f t="shared" si="22"/>
        <v>#N/A</v>
      </c>
      <c r="AA90" s="146"/>
      <c r="AB90" s="147"/>
      <c r="AC90" s="147"/>
      <c r="AD90" s="149"/>
      <c r="AF90" s="141"/>
      <c r="AG90" s="141"/>
      <c r="AH90" s="141"/>
      <c r="AJ90" s="121"/>
    </row>
    <row r="91" spans="1:48" s="61" customFormat="1" ht="12.75" customHeight="1">
      <c r="A91" s="88"/>
      <c r="B91" s="47"/>
      <c r="C91" s="47"/>
      <c r="D91" s="47"/>
      <c r="E91" s="47"/>
      <c r="F91" s="47"/>
      <c r="G91" s="47"/>
      <c r="H91" s="47"/>
      <c r="I91" s="68"/>
      <c r="J91" s="68"/>
      <c r="K91" s="127"/>
      <c r="L91" s="127"/>
      <c r="M91" s="127"/>
      <c r="N91" s="127"/>
      <c r="O91" s="127"/>
      <c r="P91" s="127"/>
      <c r="Q91" s="127"/>
      <c r="R91" s="128"/>
      <c r="S91" s="120"/>
      <c r="T91" s="127"/>
      <c r="U91" s="89"/>
      <c r="V91" s="103"/>
      <c r="W91" s="115"/>
      <c r="X91" s="351" t="str">
        <f t="shared" si="20"/>
        <v>Wokingham</v>
      </c>
      <c r="Y91" s="244" t="e">
        <f t="shared" si="21"/>
        <v>#N/A</v>
      </c>
      <c r="Z91" s="244" t="e">
        <f t="shared" si="22"/>
        <v>#N/A</v>
      </c>
      <c r="AA91" s="146"/>
      <c r="AB91" s="147"/>
      <c r="AC91" s="147"/>
      <c r="AD91" s="149"/>
      <c r="AF91" s="141"/>
      <c r="AG91" s="141"/>
      <c r="AH91" s="141"/>
      <c r="AJ91" s="121"/>
    </row>
    <row r="92" spans="1:48" s="61" customFormat="1" ht="12.75" customHeight="1">
      <c r="A92" s="88"/>
      <c r="B92" s="47"/>
      <c r="C92" s="47"/>
      <c r="D92" s="47"/>
      <c r="E92" s="47"/>
      <c r="F92" s="47"/>
      <c r="G92" s="47"/>
      <c r="H92" s="47"/>
      <c r="I92" s="68"/>
      <c r="J92" s="68"/>
      <c r="K92" s="127"/>
      <c r="L92" s="127"/>
      <c r="M92" s="127"/>
      <c r="N92" s="127"/>
      <c r="O92" s="127"/>
      <c r="P92" s="127"/>
      <c r="Q92" s="127"/>
      <c r="R92" s="128"/>
      <c r="S92" s="120"/>
      <c r="T92" s="127"/>
      <c r="U92" s="89"/>
      <c r="V92" s="103"/>
      <c r="W92" s="115"/>
      <c r="X92" s="351" t="str">
        <f t="shared" si="20"/>
        <v>South East</v>
      </c>
      <c r="Y92" s="244" t="e">
        <f t="shared" si="21"/>
        <v>#N/A</v>
      </c>
      <c r="Z92" s="244" t="e">
        <f t="shared" si="22"/>
        <v>#N/A</v>
      </c>
      <c r="AA92" s="146"/>
      <c r="AB92" s="147"/>
      <c r="AC92" s="147"/>
      <c r="AD92" s="149"/>
      <c r="AH92" s="141"/>
      <c r="AJ92" s="121"/>
    </row>
    <row r="93" spans="1:48" s="61" customFormat="1" ht="12.75" customHeight="1">
      <c r="A93" s="88"/>
      <c r="B93" s="47"/>
      <c r="C93" s="47"/>
      <c r="D93" s="47"/>
      <c r="E93" s="47"/>
      <c r="F93" s="47"/>
      <c r="G93" s="47"/>
      <c r="H93" s="47"/>
      <c r="I93" s="68"/>
      <c r="J93" s="68"/>
      <c r="K93" s="127"/>
      <c r="L93" s="127"/>
      <c r="M93" s="127"/>
      <c r="N93" s="127"/>
      <c r="O93" s="127"/>
      <c r="P93" s="127"/>
      <c r="Q93" s="127"/>
      <c r="R93" s="128"/>
      <c r="S93" s="120"/>
      <c r="T93" s="127"/>
      <c r="U93" s="89"/>
      <c r="V93" s="103"/>
      <c r="W93" s="115"/>
      <c r="X93" s="351" t="str">
        <f t="shared" si="20"/>
        <v>England</v>
      </c>
      <c r="Y93" s="244" t="e">
        <f t="shared" si="21"/>
        <v>#N/A</v>
      </c>
      <c r="Z93" s="244" t="e">
        <f t="shared" si="22"/>
        <v>#N/A</v>
      </c>
      <c r="AA93" s="146"/>
      <c r="AB93" s="147"/>
      <c r="AC93" s="147"/>
      <c r="AD93" s="149"/>
      <c r="AH93" s="141"/>
      <c r="AJ93" s="121"/>
    </row>
    <row r="94" spans="1:48" s="61" customFormat="1" ht="12.75" customHeight="1">
      <c r="A94" s="88"/>
      <c r="B94" s="47"/>
      <c r="C94" s="47"/>
      <c r="D94" s="47"/>
      <c r="E94" s="47"/>
      <c r="F94" s="47"/>
      <c r="G94" s="47"/>
      <c r="H94" s="47"/>
      <c r="I94" s="68"/>
      <c r="J94" s="68"/>
      <c r="K94" s="129"/>
      <c r="L94" s="129"/>
      <c r="M94" s="129"/>
      <c r="N94" s="129"/>
      <c r="O94" s="129"/>
      <c r="P94" s="129"/>
      <c r="Q94" s="129"/>
      <c r="R94" s="130"/>
      <c r="S94" s="120"/>
      <c r="T94" s="131"/>
      <c r="U94" s="89"/>
      <c r="V94" s="103"/>
      <c r="W94" s="115"/>
      <c r="AA94" s="146"/>
      <c r="AB94" s="147"/>
      <c r="AC94" s="147"/>
      <c r="AD94" s="149"/>
      <c r="AH94" s="141"/>
      <c r="AJ94" s="121"/>
    </row>
    <row r="95" spans="1:48" s="61" customFormat="1" ht="12.75" customHeight="1">
      <c r="A95" s="88"/>
      <c r="B95" s="47"/>
      <c r="C95" s="47"/>
      <c r="D95" s="47"/>
      <c r="E95" s="47"/>
      <c r="F95" s="47"/>
      <c r="G95" s="47"/>
      <c r="H95" s="47"/>
      <c r="I95" s="68"/>
      <c r="J95" s="68"/>
      <c r="K95" s="129"/>
      <c r="L95" s="129"/>
      <c r="M95" s="129"/>
      <c r="N95" s="129"/>
      <c r="O95" s="129"/>
      <c r="P95" s="129"/>
      <c r="Q95" s="129"/>
      <c r="R95" s="130"/>
      <c r="S95" s="120"/>
      <c r="T95" s="131"/>
      <c r="U95" s="89"/>
      <c r="V95" s="103"/>
      <c r="W95" s="115"/>
      <c r="X95" s="56"/>
      <c r="Y95" s="56"/>
      <c r="Z95" s="56"/>
      <c r="AA95" s="146"/>
      <c r="AB95" s="147"/>
      <c r="AC95" s="147"/>
      <c r="AD95" s="149"/>
      <c r="AH95" s="141"/>
      <c r="AI95" s="52"/>
      <c r="AJ95" s="122"/>
      <c r="AK95" s="56"/>
      <c r="AL95" s="56"/>
      <c r="AM95" s="56"/>
      <c r="AN95" s="56"/>
      <c r="AO95" s="56"/>
      <c r="AP95" s="56"/>
      <c r="AQ95" s="56"/>
      <c r="AR95" s="56"/>
      <c r="AS95" s="56"/>
      <c r="AT95" s="56"/>
      <c r="AU95" s="56"/>
      <c r="AV95" s="56"/>
    </row>
    <row r="96" spans="1:48" s="61" customFormat="1" ht="11.25" customHeight="1">
      <c r="A96" s="217"/>
      <c r="B96" s="47"/>
      <c r="C96" s="47"/>
      <c r="D96" s="47"/>
      <c r="E96" s="47"/>
      <c r="F96" s="47"/>
      <c r="G96" s="47"/>
      <c r="H96" s="47"/>
      <c r="I96" s="68"/>
      <c r="J96" s="68"/>
      <c r="K96" s="129"/>
      <c r="L96" s="129"/>
      <c r="M96" s="129"/>
      <c r="N96" s="129"/>
      <c r="O96" s="129"/>
      <c r="P96" s="129"/>
      <c r="Q96" s="129"/>
      <c r="R96" s="130"/>
      <c r="S96" s="120"/>
      <c r="T96" s="131"/>
      <c r="U96" s="89"/>
      <c r="V96" s="103"/>
      <c r="W96" s="115"/>
      <c r="X96" s="56"/>
      <c r="Y96" s="141"/>
      <c r="Z96" s="56"/>
      <c r="AA96" s="146"/>
      <c r="AB96" s="147"/>
      <c r="AC96" s="147"/>
      <c r="AD96" s="149"/>
      <c r="AH96" s="141"/>
      <c r="AI96" s="52"/>
      <c r="AJ96" s="122"/>
      <c r="AK96" s="56"/>
      <c r="AL96" s="56"/>
      <c r="AM96" s="56"/>
      <c r="AN96" s="56"/>
      <c r="AO96" s="56"/>
      <c r="AP96" s="56"/>
      <c r="AQ96" s="56"/>
      <c r="AR96" s="56"/>
      <c r="AS96" s="56"/>
      <c r="AT96" s="56"/>
      <c r="AU96" s="56"/>
      <c r="AV96" s="56"/>
    </row>
    <row r="97" spans="1:48" s="56" customFormat="1" ht="35.450000000000003" customHeight="1">
      <c r="A97" s="166"/>
      <c r="B97" s="47"/>
      <c r="C97" s="47"/>
      <c r="D97" s="47"/>
      <c r="E97" s="47"/>
      <c r="F97" s="47"/>
      <c r="G97" s="47"/>
      <c r="H97" s="47"/>
      <c r="I97" s="171"/>
      <c r="J97" s="133"/>
      <c r="K97" s="133"/>
      <c r="L97" s="133"/>
      <c r="M97" s="133"/>
      <c r="N97" s="133"/>
      <c r="O97" s="133"/>
      <c r="P97" s="133"/>
      <c r="Q97" s="133"/>
      <c r="R97" s="101"/>
      <c r="S97" s="133"/>
      <c r="T97" s="133"/>
      <c r="U97" s="86"/>
      <c r="V97" s="102"/>
      <c r="W97" s="114"/>
      <c r="Y97" s="141"/>
      <c r="AC97" s="147"/>
      <c r="AD97" s="149"/>
      <c r="AE97" s="52"/>
      <c r="AF97" s="52"/>
      <c r="AG97" s="52"/>
      <c r="AI97" s="52"/>
      <c r="AJ97" s="122"/>
    </row>
    <row r="98" spans="1:48" s="56" customFormat="1" ht="36.6" customHeight="1">
      <c r="A98" s="166"/>
      <c r="B98" s="47"/>
      <c r="C98" s="47"/>
      <c r="D98" s="47"/>
      <c r="E98" s="47"/>
      <c r="F98" s="47"/>
      <c r="G98" s="47"/>
      <c r="H98" s="47"/>
      <c r="I98" s="171"/>
      <c r="J98" s="133"/>
      <c r="K98" s="133"/>
      <c r="L98" s="133"/>
      <c r="M98" s="133"/>
      <c r="N98" s="133"/>
      <c r="O98" s="133"/>
      <c r="P98" s="133"/>
      <c r="Q98" s="133"/>
      <c r="R98" s="101"/>
      <c r="S98" s="133"/>
      <c r="T98" s="133"/>
      <c r="U98" s="86"/>
      <c r="V98" s="102"/>
      <c r="W98" s="114"/>
      <c r="Y98" s="141"/>
      <c r="AD98" s="149"/>
      <c r="AE98" s="52"/>
      <c r="AF98" s="52"/>
      <c r="AG98" s="52"/>
      <c r="AI98" s="52"/>
      <c r="AJ98" s="119"/>
      <c r="AK98" s="52"/>
      <c r="AL98" s="52"/>
      <c r="AM98" s="52"/>
      <c r="AN98" s="52"/>
      <c r="AO98" s="52"/>
      <c r="AP98" s="52"/>
      <c r="AQ98" s="52"/>
    </row>
    <row r="99" spans="1:48" s="56" customFormat="1" ht="45" customHeight="1">
      <c r="A99" s="166"/>
      <c r="B99" s="171"/>
      <c r="C99" s="171"/>
      <c r="D99" s="171"/>
      <c r="E99" s="171"/>
      <c r="F99" s="171"/>
      <c r="G99" s="171"/>
      <c r="H99" s="171"/>
      <c r="I99" s="171"/>
      <c r="J99" s="133"/>
      <c r="K99" s="133"/>
      <c r="L99" s="133"/>
      <c r="M99" s="133"/>
      <c r="N99" s="133"/>
      <c r="O99" s="133"/>
      <c r="P99" s="133"/>
      <c r="Q99" s="133"/>
      <c r="R99" s="101"/>
      <c r="S99" s="133"/>
      <c r="T99" s="133"/>
      <c r="U99" s="86"/>
      <c r="V99" s="121"/>
      <c r="W99" s="114"/>
      <c r="X99" s="52"/>
      <c r="Y99" s="52"/>
      <c r="AD99" s="149"/>
      <c r="AE99" s="52"/>
      <c r="AF99" s="52"/>
      <c r="AG99" s="52"/>
      <c r="AJ99" s="122"/>
      <c r="AS99" s="52"/>
    </row>
    <row r="100" spans="1:48" s="56" customFormat="1" ht="7.5" customHeight="1">
      <c r="A100" s="87"/>
      <c r="B100" s="12"/>
      <c r="C100" s="12"/>
      <c r="D100" s="11"/>
      <c r="E100" s="11"/>
      <c r="F100" s="11"/>
      <c r="G100" s="11"/>
      <c r="H100" s="11"/>
      <c r="I100" s="11"/>
      <c r="J100" s="1"/>
      <c r="K100" s="13"/>
      <c r="L100" s="13"/>
      <c r="M100" s="13"/>
      <c r="N100" s="13"/>
      <c r="O100" s="13"/>
      <c r="P100" s="13"/>
      <c r="Q100" s="13"/>
      <c r="R100" s="13"/>
      <c r="S100" s="13"/>
      <c r="T100" s="14"/>
      <c r="U100" s="86"/>
      <c r="V100" s="185"/>
      <c r="W100" s="114"/>
      <c r="X100" s="52"/>
      <c r="Y100" s="52"/>
      <c r="AI100" s="52"/>
      <c r="AJ100" s="121"/>
      <c r="AK100" s="61"/>
      <c r="AS100" s="52"/>
    </row>
    <row r="101" spans="1:48" s="56" customFormat="1" ht="15" customHeight="1">
      <c r="A101" s="1565"/>
      <c r="B101" s="1751"/>
      <c r="C101" s="1751"/>
      <c r="D101" s="1751"/>
      <c r="E101" s="1751"/>
      <c r="F101" s="1751"/>
      <c r="G101" s="1751"/>
      <c r="H101" s="1751"/>
      <c r="I101" s="1751"/>
      <c r="J101" s="1751"/>
      <c r="K101" s="1751"/>
      <c r="L101" s="1751"/>
      <c r="M101" s="1751"/>
      <c r="N101" s="1751"/>
      <c r="O101" s="1751"/>
      <c r="P101" s="1751"/>
      <c r="Q101" s="1751"/>
      <c r="R101" s="1751"/>
      <c r="S101" s="1751"/>
      <c r="T101" s="1751"/>
      <c r="U101" s="1752"/>
      <c r="V101" s="185"/>
      <c r="W101" s="114"/>
      <c r="X101" s="52"/>
      <c r="Y101" s="52"/>
      <c r="AI101" s="52"/>
      <c r="AJ101" s="119"/>
      <c r="AK101" s="52"/>
      <c r="AL101" s="52"/>
      <c r="AM101" s="52"/>
      <c r="AN101" s="52"/>
      <c r="AO101" s="52"/>
      <c r="AP101" s="52"/>
      <c r="AQ101" s="52"/>
      <c r="AR101" s="52"/>
      <c r="AS101" s="52"/>
      <c r="AT101" s="52"/>
      <c r="AU101" s="52"/>
      <c r="AV101" s="52"/>
    </row>
    <row r="102" spans="1:48" s="56" customFormat="1" ht="11.25" customHeight="1">
      <c r="A102" s="1739"/>
      <c r="B102" s="1740"/>
      <c r="C102" s="1740"/>
      <c r="D102" s="1740"/>
      <c r="E102" s="1740"/>
      <c r="F102" s="1740"/>
      <c r="G102" s="1740"/>
      <c r="H102" s="1740"/>
      <c r="I102" s="1741"/>
      <c r="J102" s="1740"/>
      <c r="K102" s="1740"/>
      <c r="L102" s="1740"/>
      <c r="M102" s="1740"/>
      <c r="N102" s="1740"/>
      <c r="O102" s="1740"/>
      <c r="P102" s="1742"/>
      <c r="Q102" s="1740"/>
      <c r="R102" s="1740"/>
      <c r="S102" s="1741"/>
      <c r="T102" s="1740"/>
      <c r="U102" s="1743"/>
      <c r="V102" s="185"/>
      <c r="W102" s="114"/>
      <c r="X102" s="52"/>
      <c r="Y102" s="52"/>
      <c r="AI102" s="52"/>
      <c r="AJ102" s="119"/>
      <c r="AK102" s="52"/>
      <c r="AL102" s="52"/>
      <c r="AM102" s="52"/>
      <c r="AN102" s="52"/>
      <c r="AO102" s="52"/>
      <c r="AP102" s="52"/>
      <c r="AQ102" s="52"/>
      <c r="AR102" s="52"/>
      <c r="AS102" s="52"/>
      <c r="AT102" s="52"/>
      <c r="AU102" s="52"/>
      <c r="AV102" s="52"/>
    </row>
    <row r="103" spans="1:48" ht="10.5" customHeight="1">
      <c r="A103" s="81"/>
      <c r="B103" s="82"/>
      <c r="C103" s="82"/>
      <c r="D103" s="82"/>
      <c r="E103" s="82"/>
      <c r="F103" s="82"/>
      <c r="G103" s="82"/>
      <c r="H103" s="82"/>
      <c r="I103" s="82"/>
      <c r="J103" s="83"/>
      <c r="K103" s="82"/>
      <c r="L103" s="82"/>
      <c r="M103" s="82"/>
      <c r="N103" s="82"/>
      <c r="O103" s="82"/>
      <c r="P103" s="82"/>
      <c r="Q103" s="82"/>
      <c r="R103" s="82"/>
      <c r="S103" s="82"/>
      <c r="T103" s="82"/>
      <c r="U103" s="84"/>
      <c r="V103" s="102"/>
      <c r="W103" s="114"/>
      <c r="X103" s="52"/>
      <c r="Y103" s="52"/>
      <c r="AJ103" s="119"/>
    </row>
    <row r="104" spans="1:48" ht="18.75" customHeight="1">
      <c r="A104" s="87"/>
      <c r="B104" s="1883" t="s">
        <v>1059</v>
      </c>
      <c r="C104" s="1883"/>
      <c r="D104" s="1883"/>
      <c r="E104" s="1883"/>
      <c r="F104" s="1883"/>
      <c r="G104" s="1883"/>
      <c r="H104" s="1883"/>
      <c r="I104" s="47"/>
      <c r="J104" s="50"/>
      <c r="K104" s="50"/>
      <c r="L104" s="50"/>
      <c r="M104" s="50"/>
      <c r="N104" s="224"/>
      <c r="O104" s="50"/>
      <c r="P104" s="50"/>
      <c r="Q104" s="50"/>
      <c r="R104" s="50"/>
      <c r="S104" s="50"/>
      <c r="T104" s="50"/>
      <c r="U104" s="86"/>
      <c r="V104" s="102"/>
      <c r="W104" s="114"/>
      <c r="X104" s="52"/>
      <c r="Y104" s="52"/>
      <c r="AE104" s="52"/>
      <c r="AF104" s="52"/>
      <c r="AG104" s="52"/>
      <c r="AH104" s="52"/>
      <c r="AI104" s="61"/>
      <c r="AJ104" s="121"/>
      <c r="AK104" s="61"/>
      <c r="AL104" s="61"/>
      <c r="AM104" s="61"/>
      <c r="AN104" s="61"/>
      <c r="AO104" s="61"/>
      <c r="AP104" s="61"/>
      <c r="AQ104" s="61"/>
      <c r="AR104" s="61"/>
      <c r="AS104" s="61"/>
      <c r="AT104" s="61"/>
      <c r="AU104" s="61"/>
      <c r="AV104" s="61"/>
    </row>
    <row r="105" spans="1:48" ht="18.75" customHeight="1">
      <c r="A105" s="87"/>
      <c r="B105" s="1883"/>
      <c r="C105" s="1883"/>
      <c r="D105" s="1883"/>
      <c r="E105" s="1883"/>
      <c r="F105" s="1883"/>
      <c r="G105" s="1883"/>
      <c r="H105" s="1883"/>
      <c r="I105" s="47"/>
      <c r="J105" s="50"/>
      <c r="K105" s="50"/>
      <c r="L105" s="50"/>
      <c r="M105" s="50"/>
      <c r="N105" s="224"/>
      <c r="O105" s="50"/>
      <c r="P105" s="50"/>
      <c r="Q105" s="50"/>
      <c r="R105" s="5"/>
      <c r="S105" s="50"/>
      <c r="T105" s="50"/>
      <c r="U105" s="86"/>
      <c r="V105" s="102"/>
      <c r="W105" s="114"/>
      <c r="X105" s="52"/>
      <c r="Y105" s="52"/>
      <c r="AI105" s="61"/>
      <c r="AJ105" s="121"/>
      <c r="AK105" s="61"/>
      <c r="AL105" s="61"/>
      <c r="AM105" s="61"/>
      <c r="AN105" s="61"/>
      <c r="AO105" s="61"/>
      <c r="AP105" s="61"/>
      <c r="AQ105" s="61"/>
      <c r="AR105" s="61"/>
      <c r="AS105" s="61"/>
      <c r="AT105" s="61"/>
      <c r="AU105" s="61"/>
      <c r="AV105" s="61"/>
    </row>
    <row r="106" spans="1:48" s="61" customFormat="1" ht="18.75" customHeight="1">
      <c r="A106" s="88"/>
      <c r="B106" s="1749" t="s">
        <v>177</v>
      </c>
      <c r="C106" s="59"/>
      <c r="D106" s="1088" t="str">
        <f>ReportData!$D$27</f>
        <v>2019/20</v>
      </c>
      <c r="E106" s="1088" t="str">
        <f>ReportData!$E$27</f>
        <v>2020/21</v>
      </c>
      <c r="F106" s="1088" t="str">
        <f>ReportData!$F$27</f>
        <v>2021/22</v>
      </c>
      <c r="G106" s="1088" t="str">
        <f>ReportData!$G$27</f>
        <v>2022/23</v>
      </c>
      <c r="H106" s="1089" t="str">
        <f>ReportData!$H$27</f>
        <v>2023/24</v>
      </c>
      <c r="I106" s="68"/>
      <c r="J106" s="68"/>
      <c r="K106" s="43"/>
      <c r="L106" s="43"/>
      <c r="M106" s="43"/>
      <c r="N106" s="43"/>
      <c r="O106" s="43"/>
      <c r="P106" s="43"/>
      <c r="Q106" s="225"/>
      <c r="R106" s="225"/>
      <c r="S106" s="120"/>
      <c r="T106" s="226"/>
      <c r="U106" s="89"/>
      <c r="V106" s="103"/>
      <c r="W106" s="115"/>
      <c r="X106" s="52"/>
      <c r="Y106" s="52"/>
      <c r="Z106" s="56"/>
      <c r="AA106" s="56"/>
      <c r="AB106" s="56"/>
      <c r="AC106" s="56"/>
      <c r="AD106" s="56"/>
      <c r="AE106" s="141"/>
      <c r="AF106" s="141"/>
      <c r="AG106" s="141"/>
      <c r="AH106" s="141"/>
      <c r="AJ106" s="121"/>
    </row>
    <row r="107" spans="1:48" s="61" customFormat="1" ht="16.5" customHeight="1">
      <c r="A107" s="217"/>
      <c r="B107" s="1750"/>
      <c r="C107" s="59"/>
      <c r="D107" s="459" t="e">
        <f>ReportData!$D$28</f>
        <v>#N/A</v>
      </c>
      <c r="E107" s="459" t="e">
        <f>ReportData!$E$28</f>
        <v>#N/A</v>
      </c>
      <c r="F107" s="459" t="e">
        <f>ReportData!$F$28</f>
        <v>#N/A</v>
      </c>
      <c r="G107" s="459" t="e">
        <f>ReportData!$G$28</f>
        <v>#N/A</v>
      </c>
      <c r="H107" s="460" t="e">
        <f>ReportData!$H$28</f>
        <v>#N/A</v>
      </c>
      <c r="I107" s="68"/>
      <c r="J107" s="68"/>
      <c r="K107" s="43"/>
      <c r="L107" s="43"/>
      <c r="M107" s="43"/>
      <c r="N107" s="43"/>
      <c r="O107" s="43"/>
      <c r="P107" s="43"/>
      <c r="Q107" s="225"/>
      <c r="R107" s="225"/>
      <c r="S107" s="120"/>
      <c r="T107" s="226"/>
      <c r="U107" s="89"/>
      <c r="V107" s="103"/>
      <c r="W107" s="115"/>
      <c r="X107" s="52"/>
      <c r="Y107" s="52"/>
      <c r="Z107" s="56"/>
      <c r="AA107" s="56"/>
      <c r="AB107" s="56"/>
      <c r="AC107" s="56"/>
      <c r="AD107" s="56"/>
      <c r="AE107" s="141"/>
      <c r="AF107" s="141"/>
      <c r="AG107" s="141"/>
      <c r="AH107" s="141"/>
      <c r="AJ107" s="121"/>
    </row>
    <row r="108" spans="1:48" s="746" customFormat="1" ht="13.5" customHeight="1">
      <c r="A108" s="1103">
        <f>VLOOKUP(B108,ReportData!$AQ$4:$AR$25,2,FALSE)</f>
        <v>0</v>
      </c>
      <c r="B108" s="885" t="str">
        <f t="shared" ref="B108:B122" si="23">B11</f>
        <v>Bracknell Forest</v>
      </c>
      <c r="C108" s="896"/>
      <c r="D108" s="922">
        <f>IF(AND(ISNUMBER(D11),ISNUMBER(Referrals!D11)),'Re-referrals'!D11/Referrals!D11,NA())</f>
        <v>0.25544437904649792</v>
      </c>
      <c r="E108" s="922">
        <f>IF(AND(ISNUMBER(E11),ISNUMBER(Referrals!E11)),'Re-referrals'!E11/Referrals!E11,NA())</f>
        <v>0.19952067106051527</v>
      </c>
      <c r="F108" s="922">
        <f>IF(AND(ISNUMBER(F11),ISNUMBER(Referrals!F11)),'Re-referrals'!F11/Referrals!F11,NA())</f>
        <v>0.18655240606460119</v>
      </c>
      <c r="G108" s="922">
        <f>IF(AND(ISNUMBER(G11),ISNUMBER(Referrals!G11)),'Re-referrals'!G11/Referrals!G11,NA())</f>
        <v>0.2258426966292135</v>
      </c>
      <c r="H108" s="923">
        <f>IF(AND(ISNUMBER(H11),ISNUMBER(Referrals!H11)),'Re-referrals'!H11/Referrals!H11,NA())</f>
        <v>0.24884182660489743</v>
      </c>
      <c r="I108" s="896"/>
      <c r="J108" s="896"/>
      <c r="K108" s="1142"/>
      <c r="L108" s="1142"/>
      <c r="M108" s="1142"/>
      <c r="N108" s="1142"/>
      <c r="O108" s="1142"/>
      <c r="P108" s="1142"/>
      <c r="Q108" s="1142"/>
      <c r="R108" s="1143"/>
      <c r="S108" s="1098"/>
      <c r="T108" s="1142"/>
      <c r="U108" s="1102"/>
      <c r="V108" s="1144"/>
      <c r="W108" s="1145"/>
      <c r="X108" s="360"/>
      <c r="Y108" s="360"/>
      <c r="Z108" s="1113"/>
      <c r="AA108" s="1113"/>
      <c r="AB108" s="1113"/>
      <c r="AC108" s="1113"/>
      <c r="AD108" s="1113"/>
      <c r="AE108" s="1146"/>
      <c r="AF108" s="1146"/>
      <c r="AG108" s="1146"/>
      <c r="AH108" s="1146"/>
      <c r="AJ108" s="921"/>
    </row>
    <row r="109" spans="1:48" s="746" customFormat="1" ht="13.5" customHeight="1">
      <c r="A109" s="1103">
        <f>VLOOKUP(B109,ReportData!$AQ$4:$AR$25,2,FALSE)</f>
        <v>0</v>
      </c>
      <c r="B109" s="885" t="str">
        <f t="shared" si="23"/>
        <v>Brighton &amp; Hove</v>
      </c>
      <c r="C109" s="896"/>
      <c r="D109" s="922">
        <f>IF(AND(ISNUMBER(D12),ISNUMBER(Referrals!D12)),'Re-referrals'!D12/Referrals!D12,NA())</f>
        <v>0.3063567628115374</v>
      </c>
      <c r="E109" s="922">
        <f>IF(AND(ISNUMBER(E12),ISNUMBER(Referrals!E12)),'Re-referrals'!E12/Referrals!E12,NA())</f>
        <v>0.27288193263014632</v>
      </c>
      <c r="F109" s="922">
        <f>IF(AND(ISNUMBER(F12),ISNUMBER(Referrals!F12)),'Re-referrals'!F12/Referrals!F12,NA())</f>
        <v>0.21678103555832814</v>
      </c>
      <c r="G109" s="922">
        <f>IF(AND(ISNUMBER(G12),ISNUMBER(Referrals!G12)),'Re-referrals'!G12/Referrals!G12,NA())</f>
        <v>0.24961526623576485</v>
      </c>
      <c r="H109" s="923">
        <f>IF(AND(ISNUMBER(H12),ISNUMBER(Referrals!H12)),'Re-referrals'!H12/Referrals!H12,NA())</f>
        <v>0.24501074608535461</v>
      </c>
      <c r="I109" s="896"/>
      <c r="J109" s="896"/>
      <c r="K109" s="1142"/>
      <c r="L109" s="1142"/>
      <c r="M109" s="1142"/>
      <c r="N109" s="1142"/>
      <c r="O109" s="1142"/>
      <c r="P109" s="1142"/>
      <c r="Q109" s="1142"/>
      <c r="R109" s="1143"/>
      <c r="S109" s="1098"/>
      <c r="T109" s="1142"/>
      <c r="U109" s="1102"/>
      <c r="V109" s="1144"/>
      <c r="W109" s="1145"/>
      <c r="X109" s="360"/>
      <c r="Y109" s="360"/>
      <c r="Z109" s="1113"/>
      <c r="AA109" s="1113"/>
      <c r="AB109" s="1113"/>
      <c r="AC109" s="1113"/>
      <c r="AD109" s="1113"/>
      <c r="AE109" s="1146"/>
      <c r="AF109" s="1146"/>
      <c r="AG109" s="1146"/>
      <c r="AH109" s="1146"/>
      <c r="AJ109" s="921"/>
    </row>
    <row r="110" spans="1:48" s="746" customFormat="1" ht="13.5" customHeight="1">
      <c r="A110" s="1103">
        <f>VLOOKUP(B110,ReportData!$AQ$4:$AR$25,2,FALSE)</f>
        <v>0</v>
      </c>
      <c r="B110" s="885" t="str">
        <f t="shared" si="23"/>
        <v>Buckinghamshire</v>
      </c>
      <c r="C110" s="896"/>
      <c r="D110" s="922">
        <f>IF(AND(ISNUMBER(D13),ISNUMBER(Referrals!D13)),'Re-referrals'!D13/Referrals!D13,NA())</f>
        <v>0.26054738855025694</v>
      </c>
      <c r="E110" s="922">
        <f>IF(AND(ISNUMBER(E13),ISNUMBER(Referrals!E13)),'Re-referrals'!E13/Referrals!E13,NA())</f>
        <v>0.33023946537961762</v>
      </c>
      <c r="F110" s="922">
        <f>IF(AND(ISNUMBER(F13),ISNUMBER(Referrals!F13)),'Re-referrals'!F13/Referrals!F13,NA())</f>
        <v>0.32673645602506302</v>
      </c>
      <c r="G110" s="922">
        <f>IF(AND(ISNUMBER(G13),ISNUMBER(Referrals!G13)),'Re-referrals'!G13/Referrals!G13,NA())</f>
        <v>0.39088590935263634</v>
      </c>
      <c r="H110" s="923">
        <f>IF(AND(ISNUMBER(H13),ISNUMBER(Referrals!H13)),'Re-referrals'!H13/Referrals!H13,NA())</f>
        <v>0.23277945619335347</v>
      </c>
      <c r="I110" s="896"/>
      <c r="J110" s="896"/>
      <c r="K110" s="1142"/>
      <c r="L110" s="1142"/>
      <c r="M110" s="1142"/>
      <c r="N110" s="1142"/>
      <c r="O110" s="1142"/>
      <c r="P110" s="1142"/>
      <c r="Q110" s="1142"/>
      <c r="R110" s="1143"/>
      <c r="S110" s="1098"/>
      <c r="T110" s="1142"/>
      <c r="U110" s="1102"/>
      <c r="V110" s="1144"/>
      <c r="W110" s="1145"/>
      <c r="X110" s="360"/>
      <c r="Y110" s="360"/>
      <c r="Z110" s="1113"/>
      <c r="AA110" s="1113"/>
      <c r="AB110" s="1113"/>
      <c r="AC110" s="1113"/>
      <c r="AD110" s="1113"/>
      <c r="AE110" s="1146"/>
      <c r="AF110" s="1146"/>
      <c r="AG110" s="1146"/>
      <c r="AH110" s="1146"/>
      <c r="AJ110" s="921"/>
    </row>
    <row r="111" spans="1:48" s="746" customFormat="1" ht="13.5" customHeight="1">
      <c r="A111" s="1103">
        <f>VLOOKUP(B111,ReportData!$AQ$4:$AR$25,2,FALSE)</f>
        <v>0</v>
      </c>
      <c r="B111" s="885" t="str">
        <f t="shared" si="23"/>
        <v>East Sussex</v>
      </c>
      <c r="C111" s="896"/>
      <c r="D111" s="922">
        <f>IF(AND(ISNUMBER(D14),ISNUMBER(Referrals!D14)),'Re-referrals'!D14/Referrals!D14,NA())</f>
        <v>0.18262538996880251</v>
      </c>
      <c r="E111" s="922">
        <f>IF(AND(ISNUMBER(E14),ISNUMBER(Referrals!E14)),'Re-referrals'!E14/Referrals!E14,NA())</f>
        <v>0.20606694560669456</v>
      </c>
      <c r="F111" s="922">
        <f>IF(AND(ISNUMBER(F14),ISNUMBER(Referrals!F14)),'Re-referrals'!F14/Referrals!F14,NA())</f>
        <v>0.16099720410065238</v>
      </c>
      <c r="G111" s="922">
        <f>IF(AND(ISNUMBER(G14),ISNUMBER(Referrals!G14)),'Re-referrals'!G14/Referrals!G14,NA())</f>
        <v>0.16428206438426163</v>
      </c>
      <c r="H111" s="923">
        <f>IF(AND(ISNUMBER(H14),ISNUMBER(Referrals!H14)),'Re-referrals'!H14/Referrals!H14,NA())</f>
        <v>0.15147297610763164</v>
      </c>
      <c r="I111" s="896"/>
      <c r="J111" s="896"/>
      <c r="K111" s="1142"/>
      <c r="L111" s="1142"/>
      <c r="M111" s="1142"/>
      <c r="N111" s="1142"/>
      <c r="O111" s="1142"/>
      <c r="P111" s="1142"/>
      <c r="Q111" s="1142"/>
      <c r="R111" s="1143"/>
      <c r="S111" s="1098"/>
      <c r="T111" s="1142"/>
      <c r="U111" s="1102"/>
      <c r="V111" s="1144"/>
      <c r="W111" s="1145"/>
      <c r="X111" s="360"/>
      <c r="Y111" s="360"/>
      <c r="Z111" s="1113"/>
      <c r="AA111" s="1113"/>
      <c r="AB111" s="1113"/>
      <c r="AC111" s="1113"/>
      <c r="AD111" s="1113"/>
      <c r="AE111" s="1146"/>
      <c r="AF111" s="1146"/>
      <c r="AG111" s="1146"/>
      <c r="AH111" s="1146"/>
      <c r="AJ111" s="921"/>
      <c r="AR111" s="746" t="s">
        <v>95</v>
      </c>
    </row>
    <row r="112" spans="1:48" s="746" customFormat="1" ht="13.5" customHeight="1">
      <c r="A112" s="1103">
        <f>VLOOKUP(B112,ReportData!$AQ$4:$AR$25,2,FALSE)</f>
        <v>0</v>
      </c>
      <c r="B112" s="885" t="str">
        <f t="shared" si="23"/>
        <v>Hampshire</v>
      </c>
      <c r="C112" s="896"/>
      <c r="D112" s="922">
        <f>IF(AND(ISNUMBER(D15),ISNUMBER(Referrals!D15)),'Re-referrals'!D15/Referrals!D15,NA())</f>
        <v>0.32324431256181996</v>
      </c>
      <c r="E112" s="922">
        <f>IF(AND(ISNUMBER(E15),ISNUMBER(Referrals!E15)),'Re-referrals'!E15/Referrals!E15,NA())</f>
        <v>0.34470957761005111</v>
      </c>
      <c r="F112" s="922">
        <f>IF(AND(ISNUMBER(F15),ISNUMBER(Referrals!F15)),'Re-referrals'!F15/Referrals!F15,NA())</f>
        <v>0.357090669978812</v>
      </c>
      <c r="G112" s="922">
        <f>IF(AND(ISNUMBER(G15),ISNUMBER(Referrals!G15)),'Re-referrals'!G15/Referrals!G15,NA())</f>
        <v>0.38708937118877451</v>
      </c>
      <c r="H112" s="923" t="e">
        <f>IF(AND(ISNUMBER(H15),ISNUMBER(Referrals!H15)),'Re-referrals'!H15/Referrals!H15,NA())</f>
        <v>#N/A</v>
      </c>
      <c r="I112" s="896"/>
      <c r="J112" s="896"/>
      <c r="K112" s="1142"/>
      <c r="L112" s="1142"/>
      <c r="M112" s="1142"/>
      <c r="N112" s="1142"/>
      <c r="O112" s="1142"/>
      <c r="P112" s="1142"/>
      <c r="Q112" s="1142"/>
      <c r="R112" s="1143"/>
      <c r="S112" s="1098"/>
      <c r="T112" s="1142"/>
      <c r="U112" s="1102"/>
      <c r="V112" s="1144"/>
      <c r="W112" s="1145"/>
      <c r="X112" s="360"/>
      <c r="Y112" s="360"/>
      <c r="Z112" s="1113"/>
      <c r="AA112" s="1113"/>
      <c r="AB112" s="1113"/>
      <c r="AC112" s="1113"/>
      <c r="AD112" s="1113"/>
      <c r="AE112" s="1146"/>
      <c r="AF112" s="1146"/>
      <c r="AG112" s="1146"/>
      <c r="AH112" s="1146"/>
      <c r="AJ112" s="921"/>
    </row>
    <row r="113" spans="1:48" s="746" customFormat="1" ht="13.5" customHeight="1">
      <c r="A113" s="1103">
        <f>VLOOKUP(B113,ReportData!$AQ$4:$AR$25,2,FALSE)</f>
        <v>0</v>
      </c>
      <c r="B113" s="885" t="str">
        <f t="shared" si="23"/>
        <v>Isle of Wight</v>
      </c>
      <c r="C113" s="896"/>
      <c r="D113" s="922">
        <f>IF(AND(ISNUMBER(D16),ISNUMBER(Referrals!D16)),'Re-referrals'!D16/Referrals!D16,NA())</f>
        <v>0.35430711610486892</v>
      </c>
      <c r="E113" s="922">
        <f>IF(AND(ISNUMBER(E16),ISNUMBER(Referrals!E16)),'Re-referrals'!E16/Referrals!E16,NA())</f>
        <v>0.35586101565483008</v>
      </c>
      <c r="F113" s="922">
        <f>IF(AND(ISNUMBER(F16),ISNUMBER(Referrals!F16)),'Re-referrals'!F16/Referrals!F16,NA())</f>
        <v>0.38989598811292719</v>
      </c>
      <c r="G113" s="922">
        <f>IF(AND(ISNUMBER(G16),ISNUMBER(Referrals!G16)),'Re-referrals'!G16/Referrals!G16,NA())</f>
        <v>0.41550387596899224</v>
      </c>
      <c r="H113" s="923">
        <f>IF(AND(ISNUMBER(H16),ISNUMBER(Referrals!H16)),'Re-referrals'!H16/Referrals!H16,NA())</f>
        <v>0.45408862494289631</v>
      </c>
      <c r="I113" s="896"/>
      <c r="J113" s="896"/>
      <c r="K113" s="1142"/>
      <c r="L113" s="1142"/>
      <c r="M113" s="1142"/>
      <c r="N113" s="1142"/>
      <c r="O113" s="1142"/>
      <c r="P113" s="1142"/>
      <c r="Q113" s="1142"/>
      <c r="R113" s="1143"/>
      <c r="S113" s="1098"/>
      <c r="T113" s="1142"/>
      <c r="U113" s="1102"/>
      <c r="V113" s="1144"/>
      <c r="W113" s="1145"/>
      <c r="X113" s="360"/>
      <c r="Y113" s="360"/>
      <c r="Z113" s="1113"/>
      <c r="AA113" s="1113"/>
      <c r="AB113" s="1113"/>
      <c r="AC113" s="1113"/>
      <c r="AD113" s="1113"/>
      <c r="AE113" s="1146"/>
      <c r="AF113" s="1146"/>
      <c r="AG113" s="1146"/>
      <c r="AH113" s="1146"/>
      <c r="AJ113" s="921"/>
    </row>
    <row r="114" spans="1:48" s="746" customFormat="1" ht="13.5" customHeight="1">
      <c r="A114" s="1103">
        <f>VLOOKUP(B114,ReportData!$AQ$4:$AR$25,2,FALSE)</f>
        <v>0</v>
      </c>
      <c r="B114" s="885" t="str">
        <f t="shared" si="23"/>
        <v>Kent</v>
      </c>
      <c r="C114" s="896"/>
      <c r="D114" s="922">
        <f>IF(AND(ISNUMBER(D17),ISNUMBER(Referrals!D17)),'Re-referrals'!D17/Referrals!D17,NA())</f>
        <v>0.28466598058078663</v>
      </c>
      <c r="E114" s="922">
        <f>IF(AND(ISNUMBER(E17),ISNUMBER(Referrals!E17)),'Re-referrals'!E17/Referrals!E17,NA())</f>
        <v>0.28085735402808576</v>
      </c>
      <c r="F114" s="922">
        <f>IF(AND(ISNUMBER(F17),ISNUMBER(Referrals!F17)),'Re-referrals'!F17/Referrals!F17,NA())</f>
        <v>0.21521259680976559</v>
      </c>
      <c r="G114" s="922">
        <f>IF(AND(ISNUMBER(G17),ISNUMBER(Referrals!G17)),'Re-referrals'!G17/Referrals!G17,NA())</f>
        <v>0.21758377971579088</v>
      </c>
      <c r="H114" s="923">
        <f>IF(AND(ISNUMBER(H17),ISNUMBER(Referrals!H17)),'Re-referrals'!H17/Referrals!H17,NA())</f>
        <v>0.23288125751731575</v>
      </c>
      <c r="I114" s="896"/>
      <c r="J114" s="896"/>
      <c r="K114" s="1142"/>
      <c r="L114" s="1142"/>
      <c r="M114" s="1142"/>
      <c r="N114" s="1142"/>
      <c r="O114" s="1142"/>
      <c r="P114" s="1142"/>
      <c r="Q114" s="1142"/>
      <c r="R114" s="1143"/>
      <c r="S114" s="1098"/>
      <c r="T114" s="1142"/>
      <c r="U114" s="1102"/>
      <c r="V114" s="1144"/>
      <c r="W114" s="1145"/>
      <c r="X114" s="360"/>
      <c r="Y114" s="360"/>
      <c r="Z114" s="1113"/>
      <c r="AA114" s="1113"/>
      <c r="AB114" s="1113"/>
      <c r="AC114" s="1113"/>
      <c r="AD114" s="1113"/>
      <c r="AE114" s="1146"/>
      <c r="AF114" s="1146"/>
      <c r="AG114" s="1146"/>
      <c r="AH114" s="1146"/>
      <c r="AJ114" s="921"/>
    </row>
    <row r="115" spans="1:48" s="746" customFormat="1" ht="13.5" customHeight="1">
      <c r="A115" s="1103">
        <f>VLOOKUP(B115,ReportData!$AQ$4:$AR$25,2,FALSE)</f>
        <v>0</v>
      </c>
      <c r="B115" s="885" t="str">
        <f t="shared" si="23"/>
        <v>Medway</v>
      </c>
      <c r="C115" s="896"/>
      <c r="D115" s="922">
        <f>IF(AND(ISNUMBER(D18),ISNUMBER(Referrals!D18)),'Re-referrals'!D18/Referrals!D18,NA())</f>
        <v>0.24877650897226752</v>
      </c>
      <c r="E115" s="922">
        <f>IF(AND(ISNUMBER(E18),ISNUMBER(Referrals!E18)),'Re-referrals'!E18/Referrals!E18,NA())</f>
        <v>0.2506903958269408</v>
      </c>
      <c r="F115" s="922">
        <f>IF(AND(ISNUMBER(F18),ISNUMBER(Referrals!F18)),'Re-referrals'!F18/Referrals!F18,NA())</f>
        <v>0.20626304801670145</v>
      </c>
      <c r="G115" s="922">
        <f>IF(AND(ISNUMBER(G18),ISNUMBER(Referrals!G18)),'Re-referrals'!G18/Referrals!G18,NA())</f>
        <v>0.21149766652524396</v>
      </c>
      <c r="H115" s="923">
        <f>IF(AND(ISNUMBER(H18),ISNUMBER(Referrals!H18)),'Re-referrals'!H18/Referrals!H18,NA())</f>
        <v>0.23906871095968199</v>
      </c>
      <c r="I115" s="896"/>
      <c r="J115" s="896"/>
      <c r="K115" s="1142"/>
      <c r="L115" s="1142"/>
      <c r="M115" s="1142"/>
      <c r="N115" s="1142"/>
      <c r="O115" s="1142"/>
      <c r="P115" s="1142"/>
      <c r="Q115" s="1142"/>
      <c r="R115" s="1143"/>
      <c r="S115" s="1098"/>
      <c r="T115" s="1142"/>
      <c r="U115" s="1102"/>
      <c r="V115" s="1144"/>
      <c r="W115" s="1145"/>
      <c r="X115" s="360"/>
      <c r="Y115" s="360"/>
      <c r="Z115" s="1113"/>
      <c r="AA115" s="1113"/>
      <c r="AB115" s="1113"/>
      <c r="AC115" s="1113"/>
      <c r="AD115" s="1113"/>
      <c r="AE115" s="1146"/>
      <c r="AF115" s="1146"/>
      <c r="AG115" s="1146"/>
      <c r="AH115" s="1146"/>
      <c r="AJ115" s="921"/>
    </row>
    <row r="116" spans="1:48" s="746" customFormat="1" ht="13.5" customHeight="1">
      <c r="A116" s="1103">
        <f>VLOOKUP(B116,ReportData!$AQ$4:$AR$25,2,FALSE)</f>
        <v>0</v>
      </c>
      <c r="B116" s="885" t="str">
        <f t="shared" si="23"/>
        <v>Milton Keynes</v>
      </c>
      <c r="C116" s="896"/>
      <c r="D116" s="922">
        <f>IF(AND(ISNUMBER(D19),ISNUMBER(Referrals!D19)),'Re-referrals'!D19/Referrals!D19,NA())</f>
        <v>0.1686084142394822</v>
      </c>
      <c r="E116" s="922">
        <f>IF(AND(ISNUMBER(E19),ISNUMBER(Referrals!E19)),'Re-referrals'!E19/Referrals!E19,NA())</f>
        <v>0.20203081232492998</v>
      </c>
      <c r="F116" s="922">
        <f>IF(AND(ISNUMBER(F19),ISNUMBER(Referrals!F19)),'Re-referrals'!F19/Referrals!F19,NA())</f>
        <v>0.19321623258631132</v>
      </c>
      <c r="G116" s="922">
        <f>IF(AND(ISNUMBER(G19),ISNUMBER(Referrals!G19)),'Re-referrals'!G19/Referrals!G19,NA())</f>
        <v>0.19877764842840512</v>
      </c>
      <c r="H116" s="923">
        <f>IF(AND(ISNUMBER(H19),ISNUMBER(Referrals!H19)),'Re-referrals'!H19/Referrals!H19,NA())</f>
        <v>0.1920359666024406</v>
      </c>
      <c r="I116" s="896"/>
      <c r="J116" s="896"/>
      <c r="K116" s="1142"/>
      <c r="L116" s="1142"/>
      <c r="M116" s="1142"/>
      <c r="N116" s="1142"/>
      <c r="O116" s="1142"/>
      <c r="P116" s="1142"/>
      <c r="Q116" s="1142"/>
      <c r="R116" s="1143"/>
      <c r="S116" s="1098"/>
      <c r="T116" s="1142"/>
      <c r="U116" s="1102"/>
      <c r="V116" s="1144"/>
      <c r="W116" s="1145"/>
      <c r="X116" s="360"/>
      <c r="Y116" s="360"/>
      <c r="Z116" s="1113"/>
      <c r="AA116" s="1113"/>
      <c r="AB116" s="1113"/>
      <c r="AC116" s="1113"/>
      <c r="AD116" s="1113"/>
      <c r="AE116" s="1146"/>
      <c r="AF116" s="1146"/>
      <c r="AG116" s="1146"/>
      <c r="AH116" s="1146"/>
      <c r="AJ116" s="921"/>
    </row>
    <row r="117" spans="1:48" s="746" customFormat="1" ht="13.5" customHeight="1">
      <c r="A117" s="1103">
        <f>VLOOKUP(B117,ReportData!$AQ$4:$AR$25,2,FALSE)</f>
        <v>0</v>
      </c>
      <c r="B117" s="885" t="str">
        <f t="shared" si="23"/>
        <v>Oxfordshire</v>
      </c>
      <c r="C117" s="896"/>
      <c r="D117" s="922">
        <f>IF(AND(ISNUMBER(D20),ISNUMBER(Referrals!D20)),'Re-referrals'!D20/Referrals!D20,NA())</f>
        <v>0.1766195681151693</v>
      </c>
      <c r="E117" s="922">
        <f>IF(AND(ISNUMBER(E20),ISNUMBER(Referrals!E20)),'Re-referrals'!E20/Referrals!E20,NA())</f>
        <v>0.27633399969244965</v>
      </c>
      <c r="F117" s="922">
        <f>IF(AND(ISNUMBER(F20),ISNUMBER(Referrals!F20)),'Re-referrals'!F20/Referrals!F20,NA())</f>
        <v>0.18183174224343676</v>
      </c>
      <c r="G117" s="922">
        <f>IF(AND(ISNUMBER(G20),ISNUMBER(Referrals!G20)),'Re-referrals'!G20/Referrals!G20,NA())</f>
        <v>0.21103209686719201</v>
      </c>
      <c r="H117" s="923">
        <f>IF(AND(ISNUMBER(H20),ISNUMBER(Referrals!H20)),'Re-referrals'!H20/Referrals!H20,NA())</f>
        <v>0.18624925698434713</v>
      </c>
      <c r="I117" s="896"/>
      <c r="J117" s="896"/>
      <c r="K117" s="1142"/>
      <c r="L117" s="1142"/>
      <c r="M117" s="1142"/>
      <c r="N117" s="1142"/>
      <c r="O117" s="1142"/>
      <c r="P117" s="1142"/>
      <c r="Q117" s="1142"/>
      <c r="R117" s="1143"/>
      <c r="S117" s="1098"/>
      <c r="T117" s="1142"/>
      <c r="U117" s="1102"/>
      <c r="V117" s="1144"/>
      <c r="W117" s="1145"/>
      <c r="X117" s="360"/>
      <c r="Y117" s="360"/>
      <c r="Z117" s="1113"/>
      <c r="AA117" s="1113"/>
      <c r="AB117" s="1113"/>
      <c r="AC117" s="1113"/>
      <c r="AD117" s="1113"/>
      <c r="AE117" s="1146"/>
      <c r="AF117" s="1146"/>
      <c r="AG117" s="1146"/>
      <c r="AH117" s="1146"/>
      <c r="AJ117" s="921"/>
    </row>
    <row r="118" spans="1:48" s="746" customFormat="1" ht="13.5" customHeight="1">
      <c r="A118" s="1103">
        <f>VLOOKUP(B118,ReportData!$AQ$4:$AR$25,2,FALSE)</f>
        <v>0</v>
      </c>
      <c r="B118" s="885" t="str">
        <f t="shared" si="23"/>
        <v>Portsmouth</v>
      </c>
      <c r="C118" s="896"/>
      <c r="D118" s="922">
        <f>IF(AND(ISNUMBER(D21),ISNUMBER(Referrals!D21)),'Re-referrals'!D21/Referrals!D21,NA())</f>
        <v>0.23686186186186187</v>
      </c>
      <c r="E118" s="922">
        <f>IF(AND(ISNUMBER(E21),ISNUMBER(Referrals!E21)),'Re-referrals'!E21/Referrals!E21,NA())</f>
        <v>0.21151129943502825</v>
      </c>
      <c r="F118" s="922">
        <f>IF(AND(ISNUMBER(F21),ISNUMBER(Referrals!F21)),'Re-referrals'!F21/Referrals!F21,NA())</f>
        <v>0.24730021598272139</v>
      </c>
      <c r="G118" s="922">
        <f>IF(AND(ISNUMBER(G21),ISNUMBER(Referrals!G21)),'Re-referrals'!G21/Referrals!G21,NA())</f>
        <v>0.27718329306178807</v>
      </c>
      <c r="H118" s="923">
        <f>IF(AND(ISNUMBER(H21),ISNUMBER(Referrals!H21)),'Re-referrals'!H21/Referrals!H21,NA())</f>
        <v>0.24011760862463247</v>
      </c>
      <c r="I118" s="896"/>
      <c r="J118" s="896"/>
      <c r="K118" s="1142"/>
      <c r="L118" s="1142"/>
      <c r="M118" s="1142"/>
      <c r="N118" s="1142"/>
      <c r="O118" s="1142"/>
      <c r="P118" s="1142"/>
      <c r="Q118" s="1142"/>
      <c r="R118" s="1143"/>
      <c r="S118" s="1098"/>
      <c r="T118" s="1142"/>
      <c r="U118" s="1102"/>
      <c r="V118" s="1144"/>
      <c r="W118" s="1145"/>
      <c r="X118" s="360"/>
      <c r="Y118" s="360"/>
      <c r="Z118" s="1113"/>
      <c r="AA118" s="1113"/>
      <c r="AB118" s="1113"/>
      <c r="AC118" s="1113"/>
      <c r="AD118" s="1113"/>
      <c r="AE118" s="1146"/>
      <c r="AF118" s="1146"/>
      <c r="AG118" s="1146"/>
      <c r="AH118" s="1146"/>
      <c r="AJ118" s="921"/>
    </row>
    <row r="119" spans="1:48" s="746" customFormat="1" ht="13.5" customHeight="1">
      <c r="A119" s="1103">
        <f>VLOOKUP(B119,ReportData!$AQ$4:$AR$25,2,FALSE)</f>
        <v>0</v>
      </c>
      <c r="B119" s="885" t="str">
        <f t="shared" si="23"/>
        <v>Reading</v>
      </c>
      <c r="C119" s="896"/>
      <c r="D119" s="922">
        <f>IF(AND(ISNUMBER(D22),ISNUMBER(Referrals!D22)),'Re-referrals'!D22/Referrals!D22,NA())</f>
        <v>0.26365054602184085</v>
      </c>
      <c r="E119" s="922">
        <f>IF(AND(ISNUMBER(E22),ISNUMBER(Referrals!E22)),'Re-referrals'!E22/Referrals!E22,NA())</f>
        <v>0.18358340688437777</v>
      </c>
      <c r="F119" s="922">
        <f>IF(AND(ISNUMBER(F22),ISNUMBER(Referrals!F22)),'Re-referrals'!F22/Referrals!F22,NA())</f>
        <v>0.20538995508370764</v>
      </c>
      <c r="G119" s="922">
        <f>IF(AND(ISNUMBER(G22),ISNUMBER(Referrals!G22)),'Re-referrals'!G22/Referrals!G22,NA())</f>
        <v>0.25079141751670769</v>
      </c>
      <c r="H119" s="923">
        <f>IF(AND(ISNUMBER(H22),ISNUMBER(Referrals!H22)),'Re-referrals'!H22/Referrals!H22,NA())</f>
        <v>0.26640026640026643</v>
      </c>
      <c r="I119" s="896"/>
      <c r="J119" s="896"/>
      <c r="K119" s="1142"/>
      <c r="L119" s="1142"/>
      <c r="M119" s="1142"/>
      <c r="N119" s="1142"/>
      <c r="O119" s="1142"/>
      <c r="P119" s="1142"/>
      <c r="Q119" s="1142"/>
      <c r="R119" s="1143"/>
      <c r="S119" s="1098"/>
      <c r="T119" s="1142"/>
      <c r="U119" s="1102"/>
      <c r="V119" s="1144"/>
      <c r="W119" s="1145"/>
      <c r="X119" s="360"/>
      <c r="Y119" s="360"/>
      <c r="Z119" s="1113"/>
      <c r="AA119" s="1113"/>
      <c r="AB119" s="1113"/>
      <c r="AC119" s="1113"/>
      <c r="AD119" s="1113"/>
      <c r="AE119" s="1146"/>
      <c r="AF119" s="1146"/>
      <c r="AG119" s="1146"/>
      <c r="AH119" s="1146"/>
      <c r="AJ119" s="921"/>
    </row>
    <row r="120" spans="1:48" s="746" customFormat="1" ht="13.5" customHeight="1">
      <c r="A120" s="1103">
        <f>VLOOKUP(B120,ReportData!$AQ$4:$AR$25,2,FALSE)</f>
        <v>0</v>
      </c>
      <c r="B120" s="885" t="str">
        <f t="shared" si="23"/>
        <v>Slough</v>
      </c>
      <c r="C120" s="896"/>
      <c r="D120" s="922">
        <f>IF(AND(ISNUMBER(D23),ISNUMBER(Referrals!D23)),'Re-referrals'!D23/Referrals!D23,NA())</f>
        <v>0.16889763779527558</v>
      </c>
      <c r="E120" s="922">
        <f>IF(AND(ISNUMBER(E23),ISNUMBER(Referrals!E23)),'Re-referrals'!E23/Referrals!E23,NA())</f>
        <v>0.17274074074074075</v>
      </c>
      <c r="F120" s="922">
        <f>IF(AND(ISNUMBER(F23),ISNUMBER(Referrals!F23)),'Re-referrals'!F23/Referrals!F23,NA())</f>
        <v>0.21479862628785515</v>
      </c>
      <c r="G120" s="922">
        <f>IF(AND(ISNUMBER(G23),ISNUMBER(Referrals!G23)),'Re-referrals'!G23/Referrals!G23,NA())</f>
        <v>0.20193151887620719</v>
      </c>
      <c r="H120" s="923">
        <f>IF(AND(ISNUMBER(H23),ISNUMBER(Referrals!H23)),'Re-referrals'!H23/Referrals!H23,NA())</f>
        <v>0.22939601309134186</v>
      </c>
      <c r="I120" s="896"/>
      <c r="J120" s="896"/>
      <c r="K120" s="1142"/>
      <c r="L120" s="1142"/>
      <c r="M120" s="1142"/>
      <c r="N120" s="1142"/>
      <c r="O120" s="1142"/>
      <c r="P120" s="1142"/>
      <c r="Q120" s="1142"/>
      <c r="R120" s="1143"/>
      <c r="S120" s="1098"/>
      <c r="T120" s="1142"/>
      <c r="U120" s="1102"/>
      <c r="V120" s="1144"/>
      <c r="W120" s="1145"/>
      <c r="X120" s="360"/>
      <c r="Y120" s="360"/>
      <c r="Z120" s="1113"/>
      <c r="AA120" s="1113"/>
      <c r="AB120" s="1113"/>
      <c r="AC120" s="1113"/>
      <c r="AD120" s="1113"/>
      <c r="AE120" s="1146"/>
      <c r="AF120" s="1146"/>
      <c r="AG120" s="1146"/>
      <c r="AH120" s="1146"/>
      <c r="AJ120" s="921"/>
    </row>
    <row r="121" spans="1:48" s="746" customFormat="1" ht="13.5" customHeight="1">
      <c r="A121" s="1103">
        <f>VLOOKUP(B121,ReportData!$AQ$4:$AR$25,2,FALSE)</f>
        <v>0</v>
      </c>
      <c r="B121" s="885" t="str">
        <f t="shared" si="23"/>
        <v>Southampton</v>
      </c>
      <c r="C121" s="896"/>
      <c r="D121" s="922">
        <f>IF(AND(ISNUMBER(D24),ISNUMBER(Referrals!D24)),'Re-referrals'!D24/Referrals!D24,NA())</f>
        <v>0.22913223140495867</v>
      </c>
      <c r="E121" s="922">
        <f>IF(AND(ISNUMBER(E24),ISNUMBER(Referrals!E24)),'Re-referrals'!E24/Referrals!E24,NA())</f>
        <v>0.27956989247311825</v>
      </c>
      <c r="F121" s="922">
        <f>IF(AND(ISNUMBER(F24),ISNUMBER(Referrals!F24)),'Re-referrals'!F24/Referrals!F24,NA())</f>
        <v>0.18076923076923077</v>
      </c>
      <c r="G121" s="922">
        <f>IF(AND(ISNUMBER(G24),ISNUMBER(Referrals!G24)),'Re-referrals'!G24/Referrals!G24,NA())</f>
        <v>0.22764878569522284</v>
      </c>
      <c r="H121" s="923">
        <f>IF(AND(ISNUMBER(H24),ISNUMBER(Referrals!H24)),'Re-referrals'!H24/Referrals!H24,NA())</f>
        <v>0.2482223658694247</v>
      </c>
      <c r="I121" s="896"/>
      <c r="J121" s="896"/>
      <c r="K121" s="1142"/>
      <c r="L121" s="1142"/>
      <c r="M121" s="1142"/>
      <c r="N121" s="1142"/>
      <c r="O121" s="1142"/>
      <c r="P121" s="1142"/>
      <c r="Q121" s="1142"/>
      <c r="R121" s="1143"/>
      <c r="S121" s="1098"/>
      <c r="T121" s="1142"/>
      <c r="U121" s="1102"/>
      <c r="V121" s="1144"/>
      <c r="W121" s="1145"/>
      <c r="X121" s="360"/>
      <c r="Y121" s="360"/>
      <c r="Z121" s="1113"/>
      <c r="AA121" s="1113"/>
      <c r="AB121" s="1113"/>
      <c r="AC121" s="1113"/>
      <c r="AD121" s="1113"/>
      <c r="AE121" s="1146"/>
      <c r="AF121" s="1146"/>
      <c r="AG121" s="1146"/>
      <c r="AH121" s="1146"/>
      <c r="AJ121" s="921"/>
    </row>
    <row r="122" spans="1:48" s="746" customFormat="1" ht="13.5" customHeight="1">
      <c r="A122" s="1103">
        <f>VLOOKUP(B122,ReportData!$AQ$4:$AR$25,2,FALSE)</f>
        <v>0</v>
      </c>
      <c r="B122" s="885" t="str">
        <f t="shared" si="23"/>
        <v>Surrey</v>
      </c>
      <c r="C122" s="896"/>
      <c r="D122" s="922">
        <f>IF(AND(ISNUMBER(D25),ISNUMBER(Referrals!D25)),'Re-referrals'!D25/Referrals!D25,NA())</f>
        <v>0.21504871463786829</v>
      </c>
      <c r="E122" s="922">
        <f>IF(AND(ISNUMBER(E25),ISNUMBER(Referrals!E25)),'Re-referrals'!E25/Referrals!E25,NA())</f>
        <v>0.22621787495205217</v>
      </c>
      <c r="F122" s="922">
        <f>IF(AND(ISNUMBER(F25),ISNUMBER(Referrals!F25)),'Re-referrals'!F25/Referrals!F25,NA())</f>
        <v>0.20164519969693689</v>
      </c>
      <c r="G122" s="922">
        <f>IF(AND(ISNUMBER(G25),ISNUMBER(Referrals!G25)),'Re-referrals'!G25/Referrals!G25,NA())</f>
        <v>0.17278222972023055</v>
      </c>
      <c r="H122" s="923">
        <f>IF(AND(ISNUMBER(H25),ISNUMBER(Referrals!H25)),'Re-referrals'!H25/Referrals!H25,NA())</f>
        <v>0.16349908877896382</v>
      </c>
      <c r="I122" s="896"/>
      <c r="J122" s="896"/>
      <c r="K122" s="1142"/>
      <c r="L122" s="1142"/>
      <c r="M122" s="1142"/>
      <c r="N122" s="1142"/>
      <c r="O122" s="1142"/>
      <c r="P122" s="1142"/>
      <c r="Q122" s="1142"/>
      <c r="R122" s="1143"/>
      <c r="S122" s="1098"/>
      <c r="T122" s="1142"/>
      <c r="U122" s="1102"/>
      <c r="V122" s="1144"/>
      <c r="W122" s="1145"/>
      <c r="X122" s="360"/>
      <c r="Y122" s="360"/>
      <c r="Z122" s="1113"/>
      <c r="AA122" s="1113"/>
      <c r="AB122" s="1113"/>
      <c r="AC122" s="1113"/>
      <c r="AD122" s="1113"/>
      <c r="AE122" s="1146"/>
      <c r="AF122" s="1146"/>
      <c r="AG122" s="1146"/>
      <c r="AH122" s="1146"/>
      <c r="AJ122" s="921"/>
    </row>
    <row r="123" spans="1:48" s="746" customFormat="1" ht="13.5" customHeight="1">
      <c r="A123" s="1103">
        <f>VLOOKUP(B123,ReportData!$AQ$4:$AR$25,2,FALSE)</f>
        <v>0</v>
      </c>
      <c r="B123" s="885" t="str">
        <f t="shared" ref="B123:B128" si="24">B26</f>
        <v>West Berkshire</v>
      </c>
      <c r="C123" s="896"/>
      <c r="D123" s="922">
        <f>IF(AND(ISNUMBER(D26),ISNUMBER(Referrals!D26)),'Re-referrals'!D26/Referrals!D26,NA())</f>
        <v>0.2678355501813785</v>
      </c>
      <c r="E123" s="922">
        <f>IF(AND(ISNUMBER(E26),ISNUMBER(Referrals!E26)),'Re-referrals'!E26/Referrals!E26,NA())</f>
        <v>0.23432115782219159</v>
      </c>
      <c r="F123" s="922">
        <f>IF(AND(ISNUMBER(F26),ISNUMBER(Referrals!F26)),'Re-referrals'!F26/Referrals!F26,NA())</f>
        <v>0.24522613065326634</v>
      </c>
      <c r="G123" s="922">
        <f>IF(AND(ISNUMBER(G26),ISNUMBER(Referrals!G26)),'Re-referrals'!G26/Referrals!G26,NA())</f>
        <v>0.21371908539430703</v>
      </c>
      <c r="H123" s="923">
        <f>IF(AND(ISNUMBER(H26),ISNUMBER(Referrals!H26)),'Re-referrals'!H26/Referrals!H26,NA())</f>
        <v>0.2183406113537118</v>
      </c>
      <c r="I123" s="896"/>
      <c r="J123" s="896"/>
      <c r="K123" s="1142"/>
      <c r="L123" s="1142"/>
      <c r="M123" s="1142"/>
      <c r="N123" s="1142"/>
      <c r="O123" s="1142"/>
      <c r="P123" s="1142"/>
      <c r="Q123" s="1142"/>
      <c r="R123" s="1143"/>
      <c r="S123" s="1098"/>
      <c r="T123" s="1142"/>
      <c r="U123" s="1102"/>
      <c r="V123" s="1144"/>
      <c r="W123" s="1145"/>
      <c r="X123" s="360"/>
      <c r="Y123" s="360"/>
      <c r="Z123" s="1113"/>
      <c r="AA123" s="1113"/>
      <c r="AB123" s="1113"/>
      <c r="AC123" s="1113"/>
      <c r="AD123" s="1113"/>
      <c r="AF123" s="1146"/>
      <c r="AG123" s="1146"/>
      <c r="AH123" s="1146"/>
      <c r="AJ123" s="921"/>
    </row>
    <row r="124" spans="1:48" s="746" customFormat="1" ht="13.5" customHeight="1">
      <c r="A124" s="1103">
        <f>VLOOKUP(B124,ReportData!$AQ$4:$AR$25,2,FALSE)</f>
        <v>0</v>
      </c>
      <c r="B124" s="885" t="str">
        <f t="shared" si="24"/>
        <v>West Sussex</v>
      </c>
      <c r="C124" s="896"/>
      <c r="D124" s="922">
        <f>IF(AND(ISNUMBER(D27),ISNUMBER(Referrals!D27)),'Re-referrals'!D27/Referrals!D27,NA())</f>
        <v>0.26558591013709598</v>
      </c>
      <c r="E124" s="922">
        <f>IF(AND(ISNUMBER(E27),ISNUMBER(Referrals!E27)),'Re-referrals'!E27/Referrals!E27,NA())</f>
        <v>0.26660839160839161</v>
      </c>
      <c r="F124" s="922">
        <f>IF(AND(ISNUMBER(F27),ISNUMBER(Referrals!F27)),'Re-referrals'!F27/Referrals!F27,NA())</f>
        <v>0.25624332977588049</v>
      </c>
      <c r="G124" s="922">
        <f>IF(AND(ISNUMBER(G27),ISNUMBER(Referrals!G27)),'Re-referrals'!G27/Referrals!G27,NA())</f>
        <v>0.23046468014169619</v>
      </c>
      <c r="H124" s="923">
        <f>IF(AND(ISNUMBER(H27),ISNUMBER(Referrals!H27)),'Re-referrals'!H27/Referrals!H27,NA())</f>
        <v>0.16983986886899508</v>
      </c>
      <c r="I124" s="896"/>
      <c r="J124" s="896"/>
      <c r="K124" s="1142"/>
      <c r="L124" s="1142"/>
      <c r="M124" s="1142"/>
      <c r="N124" s="1142"/>
      <c r="O124" s="1142"/>
      <c r="P124" s="1142"/>
      <c r="Q124" s="1142"/>
      <c r="R124" s="1143"/>
      <c r="S124" s="1098"/>
      <c r="T124" s="1142"/>
      <c r="U124" s="1102"/>
      <c r="V124" s="1144"/>
      <c r="W124" s="1145"/>
      <c r="X124" s="360"/>
      <c r="Y124" s="360"/>
      <c r="Z124" s="1113"/>
      <c r="AA124" s="1113"/>
      <c r="AB124" s="1113"/>
      <c r="AC124" s="1113"/>
      <c r="AD124" s="1113"/>
      <c r="AF124" s="1146"/>
      <c r="AG124" s="1146"/>
      <c r="AH124" s="1146"/>
      <c r="AJ124" s="921"/>
    </row>
    <row r="125" spans="1:48" s="746" customFormat="1" ht="13.5" customHeight="1">
      <c r="A125" s="1103">
        <f>VLOOKUP(B125,ReportData!$AQ$4:$AR$25,2,FALSE)</f>
        <v>0</v>
      </c>
      <c r="B125" s="885" t="str">
        <f t="shared" si="24"/>
        <v>Windsor &amp; Maidenhead</v>
      </c>
      <c r="C125" s="896"/>
      <c r="D125" s="922">
        <f>IF(AND(ISNUMBER(D28),ISNUMBER(Referrals!D28)),'Re-referrals'!D28/Referrals!D28,NA())</f>
        <v>0.15781710914454278</v>
      </c>
      <c r="E125" s="922">
        <f>IF(AND(ISNUMBER(E28),ISNUMBER(Referrals!E28)),'Re-referrals'!E28/Referrals!E28,NA())</f>
        <v>0.22147197839297772</v>
      </c>
      <c r="F125" s="922">
        <f>IF(AND(ISNUMBER(F28),ISNUMBER(Referrals!F28)),'Re-referrals'!F28/Referrals!F28,NA())</f>
        <v>0.18421052631578946</v>
      </c>
      <c r="G125" s="922">
        <f>IF(AND(ISNUMBER(G28),ISNUMBER(Referrals!G28)),'Re-referrals'!G28/Referrals!G28,NA())</f>
        <v>0.21381411884205181</v>
      </c>
      <c r="H125" s="923">
        <f>IF(AND(ISNUMBER(H28),ISNUMBER(Referrals!H28)),'Re-referrals'!H28/Referrals!H28,NA())</f>
        <v>0.22614451185879758</v>
      </c>
      <c r="I125" s="896"/>
      <c r="J125" s="896"/>
      <c r="K125" s="1142"/>
      <c r="L125" s="1142"/>
      <c r="M125" s="1142"/>
      <c r="N125" s="1142"/>
      <c r="O125" s="1142"/>
      <c r="P125" s="1142"/>
      <c r="Q125" s="1142"/>
      <c r="R125" s="1143"/>
      <c r="S125" s="1098"/>
      <c r="T125" s="1142"/>
      <c r="U125" s="1102"/>
      <c r="V125" s="1144"/>
      <c r="W125" s="1145"/>
      <c r="X125" s="360"/>
      <c r="Y125" s="360"/>
      <c r="Z125" s="1113"/>
      <c r="AA125" s="1113"/>
      <c r="AB125" s="1113"/>
      <c r="AC125" s="1113"/>
      <c r="AD125" s="1113"/>
      <c r="AH125" s="1146"/>
      <c r="AJ125" s="921"/>
    </row>
    <row r="126" spans="1:48" s="746" customFormat="1" ht="13.5" customHeight="1">
      <c r="A126" s="1103">
        <f>VLOOKUP(B126,ReportData!$AQ$4:$AR$25,2,FALSE)</f>
        <v>0</v>
      </c>
      <c r="B126" s="885" t="str">
        <f t="shared" si="24"/>
        <v>Wokingham</v>
      </c>
      <c r="C126" s="896"/>
      <c r="D126" s="922">
        <f>IF(AND(ISNUMBER(D29),ISNUMBER(Referrals!D29)),'Re-referrals'!D29/Referrals!D29,NA())</f>
        <v>0.24577226606538896</v>
      </c>
      <c r="E126" s="922">
        <f>IF(AND(ISNUMBER(E29),ISNUMBER(Referrals!E29)),'Re-referrals'!E29/Referrals!E29,NA())</f>
        <v>0.19213649851632048</v>
      </c>
      <c r="F126" s="922">
        <f>IF(AND(ISNUMBER(F29),ISNUMBER(Referrals!F29)),'Re-referrals'!F29/Referrals!F29,NA())</f>
        <v>0.16285153695225638</v>
      </c>
      <c r="G126" s="922">
        <f>IF(AND(ISNUMBER(G29),ISNUMBER(Referrals!G29)),'Re-referrals'!G29/Referrals!G29,NA())</f>
        <v>0.18108276291225886</v>
      </c>
      <c r="H126" s="923">
        <f>IF(AND(ISNUMBER(H29),ISNUMBER(Referrals!H29)),'Re-referrals'!H29/Referrals!H29,NA())</f>
        <v>0.18733850129198967</v>
      </c>
      <c r="I126" s="896"/>
      <c r="J126" s="896"/>
      <c r="K126" s="1142"/>
      <c r="L126" s="1142"/>
      <c r="M126" s="1142"/>
      <c r="N126" s="1142"/>
      <c r="O126" s="1142"/>
      <c r="P126" s="1142"/>
      <c r="Q126" s="1142"/>
      <c r="R126" s="1143"/>
      <c r="S126" s="1098"/>
      <c r="T126" s="1142"/>
      <c r="U126" s="1102"/>
      <c r="V126" s="1144"/>
      <c r="W126" s="1145"/>
      <c r="X126" s="1113"/>
      <c r="Y126" s="1113"/>
      <c r="Z126" s="1147"/>
      <c r="AA126" s="1113"/>
      <c r="AB126" s="1113"/>
      <c r="AC126" s="1113"/>
      <c r="AD126" s="1113"/>
      <c r="AH126" s="1146"/>
      <c r="AJ126" s="921"/>
    </row>
    <row r="127" spans="1:48" s="746" customFormat="1" ht="13.5" customHeight="1">
      <c r="A127" s="1103"/>
      <c r="B127" s="886" t="str">
        <f t="shared" si="24"/>
        <v>South East</v>
      </c>
      <c r="C127" s="896"/>
      <c r="D127" s="924">
        <f>IF(AND(ISNUMBER(D30),ISNUMBER(Referrals!D30)),'Re-referrals'!D30/Referrals!D30,NA())</f>
        <v>0.26041784993402828</v>
      </c>
      <c r="E127" s="924">
        <f>IF(AND(ISNUMBER(E30),ISNUMBER(Referrals!E30)),'Re-referrals'!E30/Referrals!E30,NA())</f>
        <v>0.27663058637226584</v>
      </c>
      <c r="F127" s="924">
        <f>IF(AND(ISNUMBER(F30),ISNUMBER(Referrals!F30)),'Re-referrals'!F30/Referrals!F30,NA())</f>
        <v>0.25934198854931056</v>
      </c>
      <c r="G127" s="924">
        <f>IF(AND(ISNUMBER(G30),ISNUMBER(Referrals!G30)),'Re-referrals'!G30/Referrals!G30,NA())</f>
        <v>0.2792110453648915</v>
      </c>
      <c r="H127" s="925">
        <f>IF(AND(ISNUMBER(H30),ISNUMBER(Referrals!H30)),'Re-referrals'!H30/Referrals!H30,NA())</f>
        <v>0.26651818856718634</v>
      </c>
      <c r="I127" s="896"/>
      <c r="J127" s="896"/>
      <c r="K127" s="1149"/>
      <c r="L127" s="1149"/>
      <c r="M127" s="1149"/>
      <c r="N127" s="1149"/>
      <c r="O127" s="1149"/>
      <c r="P127" s="1149"/>
      <c r="Q127" s="1149"/>
      <c r="R127" s="1150"/>
      <c r="S127" s="1098"/>
      <c r="T127" s="1151"/>
      <c r="U127" s="1102"/>
      <c r="V127" s="1144"/>
      <c r="W127" s="1145"/>
      <c r="X127" s="1113"/>
      <c r="Y127" s="1113"/>
      <c r="Z127" s="1147"/>
      <c r="AA127" s="1113"/>
      <c r="AB127" s="1113"/>
      <c r="AC127" s="1113"/>
      <c r="AD127" s="1113"/>
      <c r="AH127" s="1146"/>
      <c r="AJ127" s="921"/>
    </row>
    <row r="128" spans="1:48" s="746" customFormat="1" ht="13.5" customHeight="1">
      <c r="A128" s="1103"/>
      <c r="B128" s="887" t="str">
        <f t="shared" si="24"/>
        <v>England</v>
      </c>
      <c r="C128" s="896"/>
      <c r="D128" s="926">
        <f>IF(AND(ISNUMBER(D31),ISNUMBER(Referrals!D31)),'Re-referrals'!D31/Referrals!D31,NA())</f>
        <v>0.22611900836728982</v>
      </c>
      <c r="E128" s="926">
        <f>IF(AND(ISNUMBER(E31),ISNUMBER(Referrals!E31)),'Re-referrals'!E31/Referrals!E31,NA())</f>
        <v>0.22726512312633834</v>
      </c>
      <c r="F128" s="926">
        <f>IF(AND(ISNUMBER(F31),ISNUMBER(Referrals!F31)),'Re-referrals'!F31/Referrals!F31,NA())</f>
        <v>0.21452627370169314</v>
      </c>
      <c r="G128" s="926">
        <f>IF(AND(ISNUMBER(G31),ISNUMBER(Referrals!G31)),'Re-referrals'!G31/Referrals!G31,NA())</f>
        <v>0.22448979591836735</v>
      </c>
      <c r="H128" s="927">
        <f>IF(AND(ISNUMBER(H31),ISNUMBER(Referrals!H31)),'Re-referrals'!H31/Referrals!H31,NA())</f>
        <v>0.22364443300958384</v>
      </c>
      <c r="I128" s="896"/>
      <c r="J128" s="896"/>
      <c r="K128" s="1149"/>
      <c r="L128" s="1149"/>
      <c r="M128" s="1149"/>
      <c r="N128" s="1149"/>
      <c r="O128" s="1149"/>
      <c r="P128" s="1149"/>
      <c r="Q128" s="1149"/>
      <c r="R128" s="1150"/>
      <c r="S128" s="1098"/>
      <c r="T128" s="1151"/>
      <c r="U128" s="1102"/>
      <c r="V128" s="1144"/>
      <c r="W128" s="1145"/>
      <c r="X128" s="1113"/>
      <c r="Y128" s="1113"/>
      <c r="Z128" s="1113"/>
      <c r="AA128" s="1147"/>
      <c r="AB128" s="1152"/>
      <c r="AC128" s="1152"/>
      <c r="AD128" s="1153"/>
      <c r="AH128" s="1146"/>
      <c r="AI128" s="360"/>
      <c r="AJ128" s="1154"/>
      <c r="AK128" s="1113"/>
      <c r="AL128" s="1113"/>
      <c r="AM128" s="1113"/>
      <c r="AN128" s="1113"/>
      <c r="AO128" s="1113"/>
      <c r="AP128" s="1113"/>
      <c r="AQ128" s="1113"/>
      <c r="AR128" s="1113"/>
      <c r="AS128" s="1113"/>
      <c r="AT128" s="1113"/>
      <c r="AU128" s="1113"/>
      <c r="AV128" s="1113"/>
    </row>
    <row r="129" spans="1:48" s="61" customFormat="1" ht="4.5" customHeight="1">
      <c r="A129" s="217"/>
      <c r="B129" s="68"/>
      <c r="C129" s="68"/>
      <c r="D129" s="68"/>
      <c r="E129" s="68"/>
      <c r="F129" s="68"/>
      <c r="G129" s="68"/>
      <c r="H129" s="68"/>
      <c r="I129" s="68"/>
      <c r="J129" s="68"/>
      <c r="K129" s="129"/>
      <c r="L129" s="129"/>
      <c r="M129" s="129"/>
      <c r="N129" s="129"/>
      <c r="O129" s="129"/>
      <c r="P129" s="129"/>
      <c r="Q129" s="129"/>
      <c r="R129" s="130"/>
      <c r="S129" s="120"/>
      <c r="T129" s="131"/>
      <c r="U129" s="89"/>
      <c r="V129" s="103"/>
      <c r="W129" s="115"/>
      <c r="X129" s="56"/>
      <c r="Y129" s="141"/>
      <c r="Z129" s="56"/>
      <c r="AA129" s="146"/>
      <c r="AB129" s="147"/>
      <c r="AC129" s="147"/>
      <c r="AD129" s="149"/>
      <c r="AH129" s="141"/>
      <c r="AI129" s="52"/>
      <c r="AJ129" s="122"/>
      <c r="AK129" s="56"/>
      <c r="AL129" s="56"/>
      <c r="AM129" s="56"/>
      <c r="AN129" s="56"/>
      <c r="AO129" s="56"/>
      <c r="AP129" s="56"/>
      <c r="AQ129" s="56"/>
      <c r="AR129" s="56"/>
      <c r="AS129" s="56"/>
      <c r="AT129" s="56"/>
      <c r="AU129" s="56"/>
      <c r="AV129" s="56"/>
    </row>
    <row r="130" spans="1:48" s="56" customFormat="1" ht="42" customHeight="1">
      <c r="A130" s="166"/>
      <c r="B130" s="171"/>
      <c r="C130" s="171"/>
      <c r="D130" s="171"/>
      <c r="E130" s="171"/>
      <c r="F130" s="171"/>
      <c r="G130" s="171"/>
      <c r="H130" s="171"/>
      <c r="I130" s="171"/>
      <c r="J130" s="133"/>
      <c r="K130" s="133"/>
      <c r="L130" s="133"/>
      <c r="M130" s="133"/>
      <c r="N130" s="133"/>
      <c r="O130" s="133"/>
      <c r="P130" s="133"/>
      <c r="Q130" s="133"/>
      <c r="R130" s="101"/>
      <c r="S130" s="133"/>
      <c r="T130" s="133"/>
      <c r="U130" s="86"/>
      <c r="V130" s="102"/>
      <c r="W130" s="114"/>
      <c r="Y130" s="141"/>
      <c r="AC130" s="147"/>
      <c r="AD130" s="149"/>
      <c r="AE130" s="52"/>
      <c r="AF130" s="52"/>
      <c r="AG130" s="52"/>
      <c r="AI130" s="52"/>
      <c r="AJ130" s="122"/>
    </row>
    <row r="131" spans="1:48" s="56" customFormat="1" ht="42" customHeight="1">
      <c r="A131" s="166"/>
      <c r="B131" s="171"/>
      <c r="C131" s="171"/>
      <c r="D131" s="171"/>
      <c r="E131" s="171"/>
      <c r="F131" s="171"/>
      <c r="G131" s="171"/>
      <c r="H131" s="171"/>
      <c r="I131" s="171"/>
      <c r="J131" s="133"/>
      <c r="K131" s="133"/>
      <c r="L131" s="133"/>
      <c r="M131" s="133"/>
      <c r="N131" s="133"/>
      <c r="O131" s="133"/>
      <c r="P131" s="133"/>
      <c r="Q131" s="133"/>
      <c r="R131" s="101"/>
      <c r="S131" s="133"/>
      <c r="T131" s="133"/>
      <c r="U131" s="86"/>
      <c r="V131" s="102"/>
      <c r="W131" s="114"/>
      <c r="Y131" s="141"/>
      <c r="AD131" s="149"/>
      <c r="AE131" s="52"/>
      <c r="AF131" s="52"/>
      <c r="AG131" s="52"/>
      <c r="AI131" s="52"/>
      <c r="AJ131" s="119"/>
      <c r="AK131" s="52"/>
      <c r="AL131" s="52"/>
      <c r="AM131" s="52"/>
      <c r="AN131" s="52"/>
      <c r="AO131" s="52"/>
      <c r="AP131" s="52"/>
      <c r="AQ131" s="52"/>
    </row>
    <row r="132" spans="1:48" s="56" customFormat="1" ht="42.75" customHeight="1">
      <c r="A132" s="166"/>
      <c r="B132" s="171"/>
      <c r="C132" s="171"/>
      <c r="D132" s="171"/>
      <c r="E132" s="171"/>
      <c r="F132" s="171"/>
      <c r="G132" s="171"/>
      <c r="H132" s="171"/>
      <c r="I132" s="171"/>
      <c r="J132" s="133"/>
      <c r="K132" s="133"/>
      <c r="L132" s="133"/>
      <c r="M132" s="133"/>
      <c r="N132" s="133"/>
      <c r="O132" s="133"/>
      <c r="P132" s="133"/>
      <c r="Q132" s="133"/>
      <c r="R132" s="101"/>
      <c r="S132" s="133"/>
      <c r="T132" s="133"/>
      <c r="U132" s="86"/>
      <c r="V132" s="121"/>
      <c r="W132" s="114"/>
      <c r="AD132" s="149"/>
      <c r="AE132" s="52"/>
      <c r="AF132" s="52"/>
      <c r="AG132" s="52"/>
      <c r="AJ132" s="122"/>
      <c r="AS132" s="52"/>
    </row>
    <row r="133" spans="1:48" s="56" customFormat="1" ht="7.5" customHeight="1">
      <c r="A133" s="87"/>
      <c r="B133" s="12"/>
      <c r="C133" s="12"/>
      <c r="D133" s="11"/>
      <c r="E133" s="11"/>
      <c r="F133" s="11"/>
      <c r="G133" s="11"/>
      <c r="H133" s="11"/>
      <c r="I133" s="11"/>
      <c r="J133" s="1"/>
      <c r="K133" s="13"/>
      <c r="L133" s="13"/>
      <c r="M133" s="13"/>
      <c r="N133" s="13"/>
      <c r="O133" s="13"/>
      <c r="P133" s="13"/>
      <c r="Q133" s="13"/>
      <c r="R133" s="13"/>
      <c r="S133" s="13"/>
      <c r="T133" s="14"/>
      <c r="U133" s="86"/>
      <c r="V133" s="185"/>
      <c r="W133" s="114"/>
      <c r="AI133" s="52"/>
      <c r="AJ133" s="121"/>
      <c r="AK133" s="61"/>
      <c r="AS133" s="52"/>
    </row>
    <row r="134" spans="1:48" s="56" customFormat="1" ht="15" customHeight="1">
      <c r="A134" s="1565"/>
      <c r="B134" s="1751"/>
      <c r="C134" s="1751"/>
      <c r="D134" s="1751"/>
      <c r="E134" s="1751"/>
      <c r="F134" s="1751"/>
      <c r="G134" s="1751"/>
      <c r="H134" s="1751"/>
      <c r="I134" s="1751"/>
      <c r="J134" s="1751"/>
      <c r="K134" s="1751"/>
      <c r="L134" s="1751"/>
      <c r="M134" s="1751"/>
      <c r="N134" s="1751"/>
      <c r="O134" s="1751"/>
      <c r="P134" s="1751"/>
      <c r="Q134" s="1751"/>
      <c r="R134" s="1751"/>
      <c r="S134" s="1751"/>
      <c r="T134" s="1751"/>
      <c r="U134" s="1752"/>
      <c r="V134" s="185"/>
      <c r="W134" s="114"/>
      <c r="AI134" s="52"/>
      <c r="AJ134" s="119"/>
      <c r="AK134" s="52"/>
      <c r="AR134" s="52"/>
      <c r="AS134" s="52"/>
      <c r="AT134" s="52"/>
      <c r="AU134" s="52"/>
      <c r="AV134" s="52"/>
    </row>
    <row r="135" spans="1:48" s="56" customFormat="1" ht="11.25" customHeight="1">
      <c r="A135" s="1739"/>
      <c r="B135" s="1740"/>
      <c r="C135" s="1740"/>
      <c r="D135" s="1740"/>
      <c r="E135" s="1740"/>
      <c r="F135" s="1740"/>
      <c r="G135" s="1740"/>
      <c r="H135" s="1740"/>
      <c r="I135" s="1741"/>
      <c r="J135" s="1740"/>
      <c r="K135" s="1740"/>
      <c r="L135" s="1740"/>
      <c r="M135" s="1740"/>
      <c r="N135" s="1740"/>
      <c r="O135" s="1740"/>
      <c r="P135" s="1742"/>
      <c r="Q135" s="1740"/>
      <c r="R135" s="1740"/>
      <c r="S135" s="1741"/>
      <c r="T135" s="1740"/>
      <c r="U135" s="1743"/>
      <c r="V135" s="185"/>
      <c r="W135" s="114"/>
      <c r="AI135" s="52"/>
      <c r="AJ135" s="119"/>
      <c r="AK135" s="52"/>
      <c r="AR135" s="52"/>
      <c r="AS135" s="52"/>
      <c r="AT135" s="52"/>
      <c r="AU135" s="52"/>
      <c r="AV135" s="52"/>
    </row>
    <row r="136" spans="1:48" ht="11.25" customHeight="1">
      <c r="A136" s="106"/>
      <c r="B136" s="705"/>
      <c r="C136" s="5"/>
      <c r="D136" s="5"/>
      <c r="E136" s="9"/>
      <c r="F136" s="5"/>
      <c r="G136" s="40"/>
      <c r="H136" s="554"/>
      <c r="I136" s="40"/>
      <c r="J136" s="40"/>
      <c r="K136" s="40"/>
      <c r="L136" s="40"/>
      <c r="M136" s="40"/>
      <c r="N136" s="40"/>
      <c r="O136" s="40"/>
      <c r="P136" s="40"/>
      <c r="Q136" s="40"/>
      <c r="R136" s="40"/>
      <c r="S136" s="40"/>
      <c r="T136" s="40"/>
      <c r="U136" s="40"/>
      <c r="V136" s="119"/>
      <c r="W136" s="114"/>
      <c r="AE136" s="57"/>
      <c r="AH136" s="52"/>
      <c r="AJ136" s="119"/>
      <c r="AL136" s="56"/>
      <c r="AM136" s="56"/>
      <c r="AN136" s="56"/>
      <c r="AO136" s="56"/>
      <c r="AP136" s="56"/>
      <c r="AQ136" s="56"/>
    </row>
    <row r="137" spans="1:48" ht="11.25" customHeight="1">
      <c r="A137" s="106"/>
      <c r="B137" s="705"/>
      <c r="C137" s="5"/>
      <c r="D137" s="5"/>
      <c r="E137" s="9"/>
      <c r="F137" s="5"/>
      <c r="G137" s="40"/>
      <c r="H137" s="554"/>
      <c r="I137" s="40"/>
      <c r="J137" s="40"/>
      <c r="K137" s="40"/>
      <c r="L137" s="40"/>
      <c r="M137" s="40"/>
      <c r="N137" s="40"/>
      <c r="O137" s="40"/>
      <c r="P137" s="40"/>
      <c r="Q137" s="40"/>
      <c r="R137" s="40"/>
      <c r="S137" s="40"/>
      <c r="T137" s="40"/>
      <c r="U137" s="40"/>
      <c r="V137" s="119"/>
      <c r="W137" s="114"/>
      <c r="AE137" s="57"/>
      <c r="AH137" s="52"/>
      <c r="AJ137" s="119"/>
    </row>
    <row r="138" spans="1:48" ht="11.25" customHeight="1">
      <c r="A138" s="106"/>
      <c r="B138" s="1317"/>
      <c r="C138" s="5"/>
      <c r="D138" s="5"/>
      <c r="E138" s="9"/>
      <c r="F138" s="5"/>
      <c r="G138" s="40"/>
      <c r="H138" s="554"/>
      <c r="I138" s="40"/>
      <c r="J138" s="40"/>
      <c r="K138" s="40"/>
      <c r="L138" s="40"/>
      <c r="M138" s="40"/>
      <c r="N138" s="40"/>
      <c r="O138" s="40"/>
      <c r="P138" s="40"/>
      <c r="Q138" s="40"/>
      <c r="R138" s="40"/>
      <c r="S138" s="40"/>
      <c r="T138" s="40"/>
      <c r="U138" s="40"/>
      <c r="V138" s="119"/>
      <c r="W138" s="114"/>
      <c r="AE138" s="57"/>
      <c r="AH138" s="52"/>
      <c r="AJ138" s="119"/>
    </row>
    <row r="139" spans="1:48" ht="11.25" customHeight="1">
      <c r="A139" s="106"/>
      <c r="B139" s="1318"/>
      <c r="C139" s="5"/>
      <c r="D139" s="5"/>
      <c r="E139" s="9"/>
      <c r="F139" s="2"/>
      <c r="G139" s="554"/>
      <c r="H139" s="554"/>
      <c r="I139" s="40"/>
      <c r="J139" s="40"/>
      <c r="K139" s="40"/>
      <c r="L139" s="40"/>
      <c r="M139" s="40"/>
      <c r="N139" s="40"/>
      <c r="O139" s="40"/>
      <c r="P139" s="40"/>
      <c r="Q139" s="40"/>
      <c r="R139" s="40"/>
      <c r="S139" s="40"/>
      <c r="T139" s="40"/>
      <c r="U139" s="40"/>
      <c r="V139" s="119"/>
      <c r="W139" s="114"/>
      <c r="AE139" s="57"/>
      <c r="AH139" s="52"/>
      <c r="AJ139" s="119"/>
    </row>
    <row r="140" spans="1:48" ht="11.25" customHeight="1">
      <c r="A140" s="106"/>
      <c r="B140" s="420"/>
      <c r="C140" s="420"/>
      <c r="D140" s="420"/>
      <c r="E140" s="420"/>
      <c r="F140" s="420"/>
      <c r="G140" s="420"/>
      <c r="H140" s="554"/>
      <c r="I140" s="40"/>
      <c r="J140" s="40"/>
      <c r="K140" s="40"/>
      <c r="L140" s="40"/>
      <c r="M140" s="40"/>
      <c r="N140" s="40"/>
      <c r="O140" s="40"/>
      <c r="P140" s="40"/>
      <c r="Q140" s="40"/>
      <c r="R140" s="40"/>
      <c r="S140" s="40"/>
      <c r="T140" s="40"/>
      <c r="U140" s="40"/>
      <c r="V140" s="119"/>
      <c r="W140" s="114"/>
      <c r="AE140" s="57"/>
      <c r="AH140" s="52"/>
      <c r="AJ140" s="119"/>
    </row>
    <row r="141" spans="1:48" ht="11.25" customHeight="1">
      <c r="A141" s="106"/>
      <c r="B141" s="420"/>
      <c r="C141" s="420"/>
      <c r="D141" s="420"/>
      <c r="E141" s="420"/>
      <c r="F141" s="420"/>
      <c r="G141" s="420"/>
      <c r="H141" s="554"/>
      <c r="I141" s="40"/>
      <c r="J141" s="40"/>
      <c r="K141" s="40"/>
      <c r="L141" s="40"/>
      <c r="M141" s="40"/>
      <c r="N141" s="40"/>
      <c r="O141" s="40"/>
      <c r="P141" s="40"/>
      <c r="Q141" s="40"/>
      <c r="R141" s="40"/>
      <c r="S141" s="40"/>
      <c r="T141" s="40"/>
      <c r="U141" s="40"/>
      <c r="V141" s="119"/>
      <c r="W141" s="114"/>
      <c r="AE141" s="57"/>
      <c r="AH141" s="52"/>
      <c r="AJ141" s="119"/>
    </row>
    <row r="142" spans="1:48" ht="11.25" customHeight="1">
      <c r="A142" s="106"/>
      <c r="B142" s="420"/>
      <c r="C142" s="420"/>
      <c r="D142" s="420"/>
      <c r="E142" s="420"/>
      <c r="F142" s="420"/>
      <c r="G142" s="420"/>
      <c r="H142" s="554"/>
      <c r="I142" s="40"/>
      <c r="J142" s="40"/>
      <c r="K142" s="40"/>
      <c r="L142" s="40"/>
      <c r="M142" s="40"/>
      <c r="N142" s="40"/>
      <c r="O142" s="40"/>
      <c r="P142" s="40"/>
      <c r="Q142" s="40"/>
      <c r="R142" s="40"/>
      <c r="S142" s="40"/>
      <c r="T142" s="40"/>
      <c r="U142" s="40"/>
      <c r="V142" s="119"/>
      <c r="W142" s="116"/>
      <c r="AE142" s="57"/>
      <c r="AH142" s="52"/>
      <c r="AJ142" s="119"/>
    </row>
    <row r="143" spans="1:48" ht="11.25" customHeight="1">
      <c r="A143" s="106"/>
      <c r="B143" s="420"/>
      <c r="C143" s="420"/>
      <c r="D143" s="420"/>
      <c r="E143" s="420"/>
      <c r="F143" s="420"/>
      <c r="G143" s="420"/>
      <c r="H143" s="554"/>
      <c r="I143" s="40"/>
      <c r="J143" s="40"/>
      <c r="K143" s="40"/>
      <c r="L143" s="40"/>
      <c r="M143" s="40"/>
      <c r="N143" s="40"/>
      <c r="O143" s="40"/>
      <c r="P143" s="40"/>
      <c r="Q143" s="40"/>
      <c r="R143" s="40"/>
      <c r="S143" s="40"/>
      <c r="T143" s="40"/>
      <c r="U143" s="40"/>
      <c r="V143" s="119"/>
      <c r="W143" s="114"/>
      <c r="AE143" s="57"/>
      <c r="AH143" s="52"/>
      <c r="AJ143" s="119"/>
    </row>
    <row r="144" spans="1:48" ht="11.25" customHeight="1">
      <c r="A144" s="106"/>
      <c r="B144" s="420"/>
      <c r="C144" s="420"/>
      <c r="D144" s="420"/>
      <c r="E144" s="420"/>
      <c r="F144" s="420"/>
      <c r="G144" s="420"/>
      <c r="H144" s="554"/>
      <c r="I144" s="40"/>
      <c r="J144" s="40"/>
      <c r="K144" s="40"/>
      <c r="L144" s="40"/>
      <c r="M144" s="40"/>
      <c r="N144" s="40"/>
      <c r="O144" s="40"/>
      <c r="P144" s="40"/>
      <c r="Q144" s="40"/>
      <c r="R144" s="40"/>
      <c r="S144" s="40"/>
      <c r="T144" s="40"/>
      <c r="U144" s="40"/>
      <c r="V144" s="119"/>
      <c r="W144" s="114"/>
      <c r="Z144" s="52"/>
      <c r="AE144" s="57"/>
      <c r="AH144" s="52"/>
      <c r="AJ144" s="119"/>
    </row>
    <row r="145" spans="1:36" ht="11.25" customHeight="1">
      <c r="A145" s="106"/>
      <c r="B145" s="420"/>
      <c r="C145" s="420"/>
      <c r="D145" s="420"/>
      <c r="E145" s="420"/>
      <c r="F145" s="420"/>
      <c r="G145" s="420"/>
      <c r="H145" s="554"/>
      <c r="I145" s="40"/>
      <c r="J145" s="40"/>
      <c r="K145" s="40"/>
      <c r="L145" s="40"/>
      <c r="M145" s="40"/>
      <c r="N145" s="40"/>
      <c r="O145" s="40"/>
      <c r="P145" s="40"/>
      <c r="Q145" s="40"/>
      <c r="R145" s="40"/>
      <c r="S145" s="40"/>
      <c r="T145" s="40"/>
      <c r="U145" s="40"/>
      <c r="V145" s="119"/>
      <c r="W145" s="114"/>
      <c r="Z145" s="52"/>
      <c r="AE145" s="57"/>
      <c r="AH145" s="52"/>
      <c r="AJ145" s="119"/>
    </row>
    <row r="146" spans="1:36" ht="11.25" customHeight="1">
      <c r="A146" s="106"/>
      <c r="B146" s="420"/>
      <c r="C146" s="420"/>
      <c r="D146" s="420"/>
      <c r="E146" s="420"/>
      <c r="F146" s="420"/>
      <c r="G146" s="420"/>
      <c r="H146" s="554"/>
      <c r="I146" s="40"/>
      <c r="J146" s="40"/>
      <c r="K146" s="40"/>
      <c r="L146" s="40"/>
      <c r="M146" s="40"/>
      <c r="N146" s="40"/>
      <c r="O146" s="40"/>
      <c r="P146" s="40"/>
      <c r="Q146" s="40"/>
      <c r="R146" s="40"/>
      <c r="S146" s="40"/>
      <c r="T146" s="40"/>
      <c r="U146" s="40"/>
      <c r="V146" s="119"/>
      <c r="W146" s="114"/>
      <c r="Z146" s="52"/>
      <c r="AA146" s="52"/>
      <c r="AE146" s="57"/>
      <c r="AH146" s="52"/>
      <c r="AJ146" s="119"/>
    </row>
    <row r="147" spans="1:36" ht="11.25" customHeight="1">
      <c r="A147" s="106"/>
      <c r="B147" s="420"/>
      <c r="C147" s="420"/>
      <c r="D147" s="420"/>
      <c r="E147" s="420"/>
      <c r="F147" s="420"/>
      <c r="G147" s="420"/>
      <c r="H147" s="554"/>
      <c r="I147" s="40"/>
      <c r="J147" s="40"/>
      <c r="K147" s="40"/>
      <c r="L147" s="40"/>
      <c r="M147" s="40"/>
      <c r="N147" s="40"/>
      <c r="O147" s="40"/>
      <c r="P147" s="40"/>
      <c r="Q147" s="40"/>
      <c r="R147" s="40"/>
      <c r="S147" s="40"/>
      <c r="T147" s="40"/>
      <c r="U147" s="40"/>
      <c r="V147" s="119"/>
      <c r="W147" s="114"/>
      <c r="Z147" s="52"/>
      <c r="AA147" s="52"/>
      <c r="AE147" s="57"/>
      <c r="AH147" s="52"/>
      <c r="AJ147" s="119"/>
    </row>
    <row r="148" spans="1:36" ht="11.25" customHeight="1">
      <c r="A148" s="106"/>
      <c r="B148" s="420"/>
      <c r="C148" s="420"/>
      <c r="D148" s="420"/>
      <c r="E148" s="420"/>
      <c r="F148" s="420"/>
      <c r="G148" s="420"/>
      <c r="H148" s="554"/>
      <c r="I148" s="40"/>
      <c r="J148" s="40"/>
      <c r="K148" s="40"/>
      <c r="L148" s="40"/>
      <c r="M148" s="40"/>
      <c r="N148" s="40"/>
      <c r="O148" s="40"/>
      <c r="P148" s="40"/>
      <c r="Q148" s="40"/>
      <c r="R148" s="40"/>
      <c r="S148" s="40"/>
      <c r="T148" s="40"/>
      <c r="U148" s="40"/>
      <c r="V148" s="119"/>
      <c r="W148" s="114"/>
      <c r="Z148" s="52"/>
      <c r="AA148" s="52"/>
      <c r="AE148" s="57"/>
      <c r="AH148" s="52"/>
      <c r="AJ148" s="119"/>
    </row>
    <row r="149" spans="1:36" ht="11.25" customHeight="1">
      <c r="A149" s="106"/>
      <c r="B149" s="420"/>
      <c r="C149" s="420"/>
      <c r="D149" s="420"/>
      <c r="E149" s="420"/>
      <c r="F149" s="420"/>
      <c r="G149" s="420"/>
      <c r="H149" s="554"/>
      <c r="I149" s="40"/>
      <c r="J149" s="40"/>
      <c r="K149" s="40"/>
      <c r="L149" s="40"/>
      <c r="M149" s="40"/>
      <c r="N149" s="40"/>
      <c r="O149" s="40"/>
      <c r="P149" s="40"/>
      <c r="Q149" s="40"/>
      <c r="R149" s="40"/>
      <c r="S149" s="40"/>
      <c r="T149" s="40"/>
      <c r="U149" s="40"/>
      <c r="V149" s="119"/>
      <c r="W149" s="114"/>
      <c r="Z149" s="52"/>
      <c r="AA149" s="52"/>
      <c r="AE149" s="57"/>
      <c r="AH149" s="52"/>
      <c r="AJ149" s="119"/>
    </row>
    <row r="150" spans="1:36" ht="11.25" customHeight="1">
      <c r="A150" s="106"/>
      <c r="B150" s="420"/>
      <c r="C150" s="420"/>
      <c r="D150" s="420"/>
      <c r="E150" s="420"/>
      <c r="F150" s="420"/>
      <c r="G150" s="420"/>
      <c r="H150" s="554"/>
      <c r="I150" s="40"/>
      <c r="J150" s="40"/>
      <c r="K150" s="40"/>
      <c r="L150" s="40"/>
      <c r="M150" s="40"/>
      <c r="N150" s="40"/>
      <c r="O150" s="40"/>
      <c r="P150" s="40"/>
      <c r="Q150" s="40"/>
      <c r="R150" s="40"/>
      <c r="S150" s="40"/>
      <c r="T150" s="40"/>
      <c r="U150" s="40"/>
      <c r="V150" s="119"/>
      <c r="W150" s="114"/>
      <c r="AA150" s="52"/>
      <c r="AE150" s="57"/>
      <c r="AH150" s="52"/>
      <c r="AJ150" s="119"/>
    </row>
    <row r="151" spans="1:36" ht="11.25" customHeight="1">
      <c r="A151" s="106"/>
      <c r="B151" s="420"/>
      <c r="C151" s="420"/>
      <c r="D151" s="420"/>
      <c r="E151" s="420"/>
      <c r="F151" s="420"/>
      <c r="G151" s="420"/>
      <c r="H151" s="554"/>
      <c r="I151" s="40"/>
      <c r="J151" s="40"/>
      <c r="K151" s="40"/>
      <c r="L151" s="40"/>
      <c r="M151" s="40"/>
      <c r="N151" s="40"/>
      <c r="O151" s="40"/>
      <c r="P151" s="40"/>
      <c r="Q151" s="40"/>
      <c r="R151" s="40"/>
      <c r="S151" s="40"/>
      <c r="T151" s="40"/>
      <c r="U151" s="40"/>
      <c r="V151" s="119"/>
      <c r="W151" s="114"/>
      <c r="AA151" s="52"/>
      <c r="AE151" s="57"/>
      <c r="AH151" s="52"/>
      <c r="AJ151" s="119"/>
    </row>
    <row r="152" spans="1:36" ht="11.25" customHeight="1">
      <c r="A152" s="106"/>
      <c r="B152" s="420"/>
      <c r="C152" s="420"/>
      <c r="D152" s="420"/>
      <c r="E152" s="420"/>
      <c r="F152" s="420"/>
      <c r="G152" s="420"/>
      <c r="H152" s="554"/>
      <c r="I152" s="40"/>
      <c r="J152" s="40"/>
      <c r="K152" s="40"/>
      <c r="L152" s="40"/>
      <c r="M152" s="40"/>
      <c r="N152" s="40"/>
      <c r="O152" s="40"/>
      <c r="P152" s="40"/>
      <c r="Q152" s="40"/>
      <c r="R152" s="40"/>
      <c r="S152" s="40"/>
      <c r="T152" s="40"/>
      <c r="U152" s="40"/>
      <c r="V152" s="119"/>
      <c r="W152" s="114"/>
      <c r="AE152" s="57"/>
      <c r="AH152" s="52"/>
      <c r="AJ152" s="119"/>
    </row>
    <row r="153" spans="1:36" ht="11.25" customHeight="1">
      <c r="A153" s="106"/>
      <c r="B153" s="420"/>
      <c r="C153" s="420"/>
      <c r="D153" s="420"/>
      <c r="E153" s="420"/>
      <c r="F153" s="420"/>
      <c r="G153" s="420"/>
      <c r="H153" s="554"/>
      <c r="I153" s="40"/>
      <c r="J153" s="40"/>
      <c r="K153" s="40"/>
      <c r="L153" s="40"/>
      <c r="M153" s="40"/>
      <c r="N153" s="40"/>
      <c r="O153" s="40"/>
      <c r="P153" s="40"/>
      <c r="Q153" s="40"/>
      <c r="R153" s="40"/>
      <c r="S153" s="40"/>
      <c r="T153" s="40"/>
      <c r="U153" s="40"/>
      <c r="V153" s="119"/>
      <c r="W153" s="114"/>
      <c r="AE153" s="57"/>
      <c r="AH153" s="52"/>
      <c r="AJ153" s="119"/>
    </row>
    <row r="154" spans="1:36" ht="11.25" customHeight="1">
      <c r="A154" s="106"/>
      <c r="B154" s="420"/>
      <c r="C154" s="420"/>
      <c r="D154" s="420"/>
      <c r="E154" s="420"/>
      <c r="F154" s="420"/>
      <c r="G154" s="420"/>
      <c r="H154" s="554"/>
      <c r="I154" s="40"/>
      <c r="J154" s="40"/>
      <c r="K154" s="40"/>
      <c r="L154" s="40"/>
      <c r="M154" s="40"/>
      <c r="N154" s="40"/>
      <c r="O154" s="40"/>
      <c r="P154" s="40"/>
      <c r="Q154" s="40"/>
      <c r="R154" s="40"/>
      <c r="S154" s="40"/>
      <c r="T154" s="40"/>
      <c r="U154" s="40"/>
      <c r="V154" s="119"/>
      <c r="W154" s="114"/>
      <c r="AE154" s="57"/>
      <c r="AH154" s="52"/>
      <c r="AJ154" s="119"/>
    </row>
    <row r="155" spans="1:36" ht="11.25" customHeight="1">
      <c r="A155" s="106"/>
      <c r="B155" s="420"/>
      <c r="C155" s="420"/>
      <c r="D155" s="420"/>
      <c r="E155" s="420"/>
      <c r="F155" s="420"/>
      <c r="G155" s="420"/>
      <c r="H155" s="554"/>
      <c r="I155" s="40"/>
      <c r="J155" s="40"/>
      <c r="K155" s="40"/>
      <c r="L155" s="40"/>
      <c r="M155" s="40"/>
      <c r="N155" s="40"/>
      <c r="O155" s="40"/>
      <c r="P155" s="40"/>
      <c r="Q155" s="40"/>
      <c r="R155" s="40"/>
      <c r="S155" s="40"/>
      <c r="T155" s="40"/>
      <c r="U155" s="40"/>
      <c r="V155" s="119"/>
      <c r="W155" s="114"/>
      <c r="AE155" s="57"/>
      <c r="AH155" s="52"/>
      <c r="AJ155" s="119"/>
    </row>
    <row r="156" spans="1:36" ht="11.25" customHeight="1">
      <c r="A156" s="106"/>
      <c r="B156" s="420"/>
      <c r="C156" s="420"/>
      <c r="D156" s="420"/>
      <c r="E156" s="420"/>
      <c r="F156" s="420"/>
      <c r="G156" s="420"/>
      <c r="H156" s="554"/>
      <c r="I156" s="40"/>
      <c r="J156" s="40"/>
      <c r="K156" s="40"/>
      <c r="L156" s="40"/>
      <c r="M156" s="40"/>
      <c r="N156" s="40"/>
      <c r="O156" s="40"/>
      <c r="P156" s="40"/>
      <c r="Q156" s="40"/>
      <c r="R156" s="40"/>
      <c r="S156" s="40"/>
      <c r="T156" s="40"/>
      <c r="U156" s="40"/>
      <c r="V156" s="119"/>
      <c r="W156" s="114"/>
      <c r="AE156" s="57"/>
      <c r="AH156" s="52"/>
      <c r="AJ156" s="119"/>
    </row>
    <row r="157" spans="1:36" ht="11.25" customHeight="1">
      <c r="A157" s="106"/>
      <c r="B157" s="420"/>
      <c r="C157" s="420"/>
      <c r="D157" s="420"/>
      <c r="E157" s="420"/>
      <c r="F157" s="420"/>
      <c r="G157" s="420"/>
      <c r="H157" s="554"/>
      <c r="I157" s="40"/>
      <c r="J157" s="40"/>
      <c r="K157" s="40"/>
      <c r="L157" s="40"/>
      <c r="M157" s="40"/>
      <c r="N157" s="40"/>
      <c r="O157" s="40"/>
      <c r="P157" s="40"/>
      <c r="Q157" s="40"/>
      <c r="R157" s="40"/>
      <c r="S157" s="40"/>
      <c r="T157" s="40"/>
      <c r="U157" s="40"/>
      <c r="V157" s="119"/>
      <c r="W157" s="114"/>
      <c r="AE157" s="57"/>
      <c r="AH157" s="52"/>
      <c r="AJ157" s="119"/>
    </row>
    <row r="158" spans="1:36" ht="11.25" customHeight="1">
      <c r="A158" s="106"/>
      <c r="B158" s="420"/>
      <c r="C158" s="420"/>
      <c r="D158" s="420"/>
      <c r="E158" s="420"/>
      <c r="F158" s="420"/>
      <c r="G158" s="420"/>
      <c r="H158" s="554"/>
      <c r="I158" s="40"/>
      <c r="J158" s="40"/>
      <c r="K158" s="40"/>
      <c r="L158" s="40"/>
      <c r="M158" s="40"/>
      <c r="N158" s="40"/>
      <c r="O158" s="40"/>
      <c r="P158" s="40"/>
      <c r="Q158" s="40"/>
      <c r="R158" s="40"/>
      <c r="S158" s="40"/>
      <c r="T158" s="40"/>
      <c r="U158" s="40"/>
      <c r="V158" s="119"/>
      <c r="W158" s="114"/>
      <c r="AE158" s="57"/>
      <c r="AH158" s="52"/>
      <c r="AJ158" s="119"/>
    </row>
    <row r="159" spans="1:36" ht="11.25" customHeight="1">
      <c r="A159" s="106"/>
      <c r="B159" s="420"/>
      <c r="C159" s="420"/>
      <c r="D159" s="420"/>
      <c r="E159" s="420"/>
      <c r="F159" s="420"/>
      <c r="G159" s="420"/>
      <c r="H159" s="554"/>
      <c r="I159" s="40"/>
      <c r="J159" s="40"/>
      <c r="K159" s="40"/>
      <c r="L159" s="40"/>
      <c r="M159" s="40"/>
      <c r="N159" s="40"/>
      <c r="O159" s="40"/>
      <c r="P159" s="40"/>
      <c r="Q159" s="40"/>
      <c r="R159" s="40"/>
      <c r="S159" s="40"/>
      <c r="T159" s="40"/>
      <c r="U159" s="40"/>
      <c r="V159" s="119"/>
      <c r="W159" s="114"/>
      <c r="AE159" s="57"/>
      <c r="AH159" s="52"/>
      <c r="AJ159" s="119"/>
    </row>
    <row r="160" spans="1:36" ht="11.25" customHeight="1">
      <c r="A160" s="106"/>
      <c r="B160" s="420"/>
      <c r="C160" s="420"/>
      <c r="D160" s="420"/>
      <c r="E160" s="420"/>
      <c r="F160" s="420"/>
      <c r="G160" s="420"/>
      <c r="H160" s="554"/>
      <c r="I160" s="40"/>
      <c r="J160" s="40"/>
      <c r="K160" s="40"/>
      <c r="L160" s="40"/>
      <c r="M160" s="40"/>
      <c r="N160" s="40"/>
      <c r="O160" s="40"/>
      <c r="P160" s="40"/>
      <c r="Q160" s="40"/>
      <c r="R160" s="40"/>
      <c r="S160" s="40"/>
      <c r="T160" s="40"/>
      <c r="U160" s="40"/>
      <c r="V160" s="119"/>
      <c r="W160" s="114"/>
      <c r="AE160" s="57"/>
      <c r="AH160" s="52"/>
      <c r="AJ160" s="119"/>
    </row>
    <row r="161" spans="1:36" ht="11.25" customHeight="1">
      <c r="A161" s="106"/>
      <c r="B161" s="420"/>
      <c r="C161" s="420"/>
      <c r="D161" s="420"/>
      <c r="E161" s="420"/>
      <c r="F161" s="420"/>
      <c r="G161" s="420"/>
      <c r="H161" s="554"/>
      <c r="I161" s="40"/>
      <c r="J161" s="40"/>
      <c r="K161" s="40"/>
      <c r="L161" s="40"/>
      <c r="M161" s="40"/>
      <c r="N161" s="40"/>
      <c r="O161" s="40"/>
      <c r="P161" s="40"/>
      <c r="Q161" s="40"/>
      <c r="R161" s="40"/>
      <c r="S161" s="40"/>
      <c r="T161" s="40"/>
      <c r="U161" s="40"/>
      <c r="V161" s="119"/>
      <c r="W161" s="114"/>
      <c r="AE161" s="57"/>
      <c r="AH161" s="52"/>
      <c r="AJ161" s="119"/>
    </row>
    <row r="162" spans="1:36" ht="11.25" customHeight="1">
      <c r="A162" s="106"/>
      <c r="B162" s="420"/>
      <c r="C162" s="420"/>
      <c r="D162" s="420"/>
      <c r="E162" s="420"/>
      <c r="F162" s="420"/>
      <c r="G162" s="420"/>
      <c r="H162" s="554"/>
      <c r="I162" s="40"/>
      <c r="J162" s="40"/>
      <c r="K162" s="40"/>
      <c r="L162" s="40"/>
      <c r="M162" s="40"/>
      <c r="N162" s="40"/>
      <c r="O162" s="40"/>
      <c r="P162" s="40"/>
      <c r="Q162" s="40"/>
      <c r="R162" s="40"/>
      <c r="S162" s="40"/>
      <c r="T162" s="40"/>
      <c r="U162" s="40"/>
      <c r="V162" s="119"/>
      <c r="W162" s="114"/>
      <c r="AE162" s="57"/>
      <c r="AH162" s="52"/>
      <c r="AJ162" s="119"/>
    </row>
    <row r="163" spans="1:36" ht="11.25" customHeight="1">
      <c r="A163" s="106"/>
      <c r="B163" s="420"/>
      <c r="C163" s="420"/>
      <c r="D163" s="420"/>
      <c r="E163" s="420"/>
      <c r="F163" s="420"/>
      <c r="G163" s="420"/>
      <c r="H163" s="554"/>
      <c r="I163" s="40"/>
      <c r="J163" s="40"/>
      <c r="K163" s="40"/>
      <c r="L163" s="40"/>
      <c r="M163" s="40"/>
      <c r="N163" s="40"/>
      <c r="O163" s="40"/>
      <c r="P163" s="40"/>
      <c r="Q163" s="40"/>
      <c r="R163" s="40"/>
      <c r="S163" s="40"/>
      <c r="T163" s="40"/>
      <c r="U163" s="40"/>
      <c r="V163" s="119"/>
      <c r="W163" s="114"/>
      <c r="AE163" s="57"/>
      <c r="AH163" s="52"/>
      <c r="AJ163" s="119"/>
    </row>
    <row r="164" spans="1:36" ht="11.25" customHeight="1">
      <c r="A164" s="106"/>
      <c r="B164" s="420"/>
      <c r="C164" s="420"/>
      <c r="D164" s="420"/>
      <c r="E164" s="420"/>
      <c r="F164" s="420"/>
      <c r="G164" s="420"/>
      <c r="H164" s="554"/>
      <c r="I164" s="40"/>
      <c r="J164" s="40"/>
      <c r="K164" s="40"/>
      <c r="L164" s="40"/>
      <c r="M164" s="40"/>
      <c r="N164" s="40"/>
      <c r="O164" s="40"/>
      <c r="P164" s="40"/>
      <c r="Q164" s="40"/>
      <c r="R164" s="40"/>
      <c r="S164" s="40"/>
      <c r="T164" s="40"/>
      <c r="U164" s="40"/>
      <c r="V164" s="119"/>
      <c r="W164" s="114"/>
      <c r="AE164" s="57"/>
      <c r="AH164" s="52"/>
      <c r="AJ164" s="119"/>
    </row>
    <row r="165" spans="1:36" ht="11.25" customHeight="1">
      <c r="A165" s="106"/>
      <c r="B165" s="420"/>
      <c r="C165" s="420"/>
      <c r="D165" s="420"/>
      <c r="E165" s="420"/>
      <c r="F165" s="420"/>
      <c r="G165" s="420"/>
      <c r="H165" s="554"/>
      <c r="I165" s="40"/>
      <c r="J165" s="40"/>
      <c r="K165" s="40"/>
      <c r="L165" s="40"/>
      <c r="M165" s="40"/>
      <c r="N165" s="40"/>
      <c r="O165" s="40"/>
      <c r="P165" s="40"/>
      <c r="Q165" s="40"/>
      <c r="R165" s="40"/>
      <c r="S165" s="40"/>
      <c r="T165" s="40"/>
      <c r="U165" s="40"/>
      <c r="V165" s="119"/>
      <c r="W165" s="114"/>
      <c r="AE165" s="57"/>
      <c r="AH165" s="52"/>
      <c r="AJ165" s="119"/>
    </row>
    <row r="166" spans="1:36" ht="11.25" customHeight="1">
      <c r="A166" s="106"/>
      <c r="B166" s="420"/>
      <c r="C166" s="420"/>
      <c r="D166" s="420"/>
      <c r="E166" s="420"/>
      <c r="F166" s="420"/>
      <c r="G166" s="420"/>
      <c r="H166" s="554"/>
      <c r="I166" s="40"/>
      <c r="J166" s="40"/>
      <c r="K166" s="40"/>
      <c r="L166" s="40"/>
      <c r="M166" s="40"/>
      <c r="N166" s="40"/>
      <c r="O166" s="40"/>
      <c r="P166" s="40"/>
      <c r="Q166" s="40"/>
      <c r="R166" s="40"/>
      <c r="S166" s="40"/>
      <c r="T166" s="40"/>
      <c r="U166" s="40"/>
      <c r="V166" s="119"/>
      <c r="W166" s="114"/>
      <c r="AE166" s="57"/>
      <c r="AH166" s="52"/>
      <c r="AJ166" s="119"/>
    </row>
    <row r="167" spans="1:36" ht="11.25" customHeight="1">
      <c r="A167" s="106"/>
      <c r="B167" s="420"/>
      <c r="C167" s="420"/>
      <c r="D167" s="420"/>
      <c r="E167" s="420"/>
      <c r="F167" s="420"/>
      <c r="G167" s="420"/>
      <c r="H167" s="554"/>
      <c r="I167" s="40"/>
      <c r="J167" s="40"/>
      <c r="K167" s="40"/>
      <c r="L167" s="40"/>
      <c r="M167" s="40"/>
      <c r="N167" s="40"/>
      <c r="O167" s="40"/>
      <c r="P167" s="40"/>
      <c r="Q167" s="40"/>
      <c r="R167" s="40"/>
      <c r="S167" s="40"/>
      <c r="T167" s="40"/>
      <c r="U167" s="40"/>
      <c r="V167" s="119"/>
      <c r="W167" s="114"/>
      <c r="AE167" s="57"/>
      <c r="AH167" s="52"/>
      <c r="AJ167" s="119"/>
    </row>
    <row r="168" spans="1:36" ht="11.25" customHeight="1">
      <c r="A168" s="106"/>
      <c r="B168" s="420"/>
      <c r="C168" s="420"/>
      <c r="D168" s="420"/>
      <c r="E168" s="420"/>
      <c r="F168" s="420"/>
      <c r="G168" s="420"/>
      <c r="H168" s="554"/>
      <c r="I168" s="40"/>
      <c r="J168" s="40"/>
      <c r="K168" s="40"/>
      <c r="L168" s="40"/>
      <c r="M168" s="40"/>
      <c r="N168" s="40"/>
      <c r="O168" s="40"/>
      <c r="P168" s="40"/>
      <c r="Q168" s="40"/>
      <c r="R168" s="40"/>
      <c r="S168" s="40"/>
      <c r="T168" s="40"/>
      <c r="U168" s="40"/>
      <c r="V168" s="119"/>
      <c r="W168" s="114"/>
      <c r="AE168" s="57"/>
      <c r="AH168" s="52"/>
      <c r="AJ168" s="119"/>
    </row>
    <row r="169" spans="1:36" ht="11.25" customHeight="1">
      <c r="A169" s="106"/>
      <c r="B169" s="420"/>
      <c r="C169" s="420"/>
      <c r="D169" s="420"/>
      <c r="E169" s="420"/>
      <c r="F169" s="420"/>
      <c r="G169" s="420"/>
      <c r="H169" s="554"/>
      <c r="I169" s="40"/>
      <c r="J169" s="40"/>
      <c r="K169" s="40"/>
      <c r="L169" s="40"/>
      <c r="M169" s="40"/>
      <c r="N169" s="40"/>
      <c r="O169" s="40"/>
      <c r="P169" s="40"/>
      <c r="Q169" s="40"/>
      <c r="R169" s="40"/>
      <c r="S169" s="40"/>
      <c r="T169" s="40"/>
      <c r="U169" s="40"/>
      <c r="V169" s="119"/>
      <c r="W169" s="114"/>
      <c r="AE169" s="57"/>
      <c r="AH169" s="52"/>
      <c r="AJ169" s="119"/>
    </row>
    <row r="170" spans="1:36" ht="11.25" customHeight="1">
      <c r="A170" s="106"/>
      <c r="B170" s="420"/>
      <c r="C170" s="420"/>
      <c r="D170" s="420"/>
      <c r="E170" s="420"/>
      <c r="F170" s="420"/>
      <c r="G170" s="420"/>
      <c r="H170" s="554"/>
      <c r="I170" s="40"/>
      <c r="J170" s="40"/>
      <c r="K170" s="40"/>
      <c r="L170" s="40"/>
      <c r="M170" s="40"/>
      <c r="N170" s="40"/>
      <c r="O170" s="40"/>
      <c r="P170" s="40"/>
      <c r="Q170" s="40"/>
      <c r="R170" s="40"/>
      <c r="S170" s="40"/>
      <c r="T170" s="40"/>
      <c r="U170" s="40"/>
      <c r="V170" s="119"/>
      <c r="W170" s="114"/>
      <c r="AE170" s="57"/>
      <c r="AH170" s="52"/>
      <c r="AJ170" s="119"/>
    </row>
    <row r="171" spans="1:36" ht="11.25" customHeight="1">
      <c r="A171" s="106"/>
      <c r="B171" s="420"/>
      <c r="C171" s="420"/>
      <c r="D171" s="420"/>
      <c r="E171" s="420"/>
      <c r="F171" s="420"/>
      <c r="G171" s="420"/>
      <c r="H171" s="554"/>
      <c r="I171" s="40"/>
      <c r="J171" s="40"/>
      <c r="K171" s="40"/>
      <c r="L171" s="40"/>
      <c r="M171" s="40"/>
      <c r="N171" s="40"/>
      <c r="O171" s="40"/>
      <c r="P171" s="40"/>
      <c r="Q171" s="40"/>
      <c r="R171" s="40"/>
      <c r="S171" s="40"/>
      <c r="T171" s="40"/>
      <c r="U171" s="40"/>
      <c r="V171" s="119"/>
      <c r="W171" s="114"/>
      <c r="AE171" s="57"/>
      <c r="AH171" s="52"/>
      <c r="AJ171" s="119"/>
    </row>
    <row r="172" spans="1:36" ht="11.25" customHeight="1">
      <c r="A172" s="106"/>
      <c r="B172" s="420"/>
      <c r="C172" s="420"/>
      <c r="D172" s="420"/>
      <c r="E172" s="420"/>
      <c r="F172" s="420"/>
      <c r="G172" s="420"/>
      <c r="H172" s="554"/>
      <c r="I172" s="40"/>
      <c r="J172" s="40"/>
      <c r="K172" s="40"/>
      <c r="L172" s="40"/>
      <c r="M172" s="40"/>
      <c r="N172" s="40"/>
      <c r="O172" s="40"/>
      <c r="P172" s="40"/>
      <c r="Q172" s="40"/>
      <c r="R172" s="40"/>
      <c r="S172" s="40"/>
      <c r="T172" s="40"/>
      <c r="U172" s="40"/>
      <c r="V172" s="119"/>
      <c r="W172" s="114"/>
      <c r="AE172" s="57"/>
      <c r="AH172" s="52"/>
      <c r="AJ172" s="119"/>
    </row>
    <row r="173" spans="1:36" ht="11.25" customHeight="1">
      <c r="A173" s="106"/>
      <c r="B173" s="420"/>
      <c r="C173" s="420"/>
      <c r="D173" s="420"/>
      <c r="E173" s="420"/>
      <c r="F173" s="420"/>
      <c r="G173" s="420"/>
      <c r="H173" s="554"/>
      <c r="I173" s="40"/>
      <c r="J173" s="40"/>
      <c r="K173" s="40"/>
      <c r="L173" s="40"/>
      <c r="M173" s="40"/>
      <c r="N173" s="40"/>
      <c r="O173" s="40"/>
      <c r="P173" s="40"/>
      <c r="Q173" s="40"/>
      <c r="R173" s="40"/>
      <c r="S173" s="40"/>
      <c r="T173" s="40"/>
      <c r="U173" s="40"/>
      <c r="V173" s="119"/>
      <c r="W173" s="114"/>
      <c r="AE173" s="57"/>
      <c r="AH173" s="52"/>
      <c r="AJ173" s="119"/>
    </row>
    <row r="174" spans="1:36" ht="11.25" customHeight="1">
      <c r="A174" s="136"/>
      <c r="B174" s="1330"/>
      <c r="C174" s="1330"/>
      <c r="D174" s="1330"/>
      <c r="E174" s="1330"/>
      <c r="F174" s="1330"/>
      <c r="G174" s="1330"/>
      <c r="H174" s="1331"/>
      <c r="I174" s="136"/>
      <c r="J174" s="136"/>
      <c r="K174" s="136"/>
      <c r="L174" s="136"/>
      <c r="M174" s="136"/>
      <c r="N174" s="136"/>
      <c r="O174" s="136"/>
      <c r="P174" s="136"/>
      <c r="Q174" s="136"/>
      <c r="R174" s="136"/>
      <c r="S174" s="136"/>
      <c r="T174" s="136"/>
      <c r="U174" s="136"/>
      <c r="V174" s="136"/>
      <c r="W174" s="869"/>
      <c r="X174" s="135"/>
      <c r="Y174" s="135"/>
      <c r="Z174" s="135"/>
      <c r="AA174" s="135"/>
      <c r="AB174" s="135"/>
      <c r="AC174" s="135"/>
      <c r="AD174" s="135"/>
      <c r="AE174" s="868"/>
      <c r="AF174" s="135"/>
      <c r="AG174" s="135"/>
      <c r="AH174" s="136"/>
      <c r="AI174" s="136"/>
      <c r="AJ174" s="136"/>
    </row>
    <row r="175" spans="1:36" ht="11.25" customHeight="1">
      <c r="B175" s="1332"/>
      <c r="C175" s="1332"/>
      <c r="D175" s="1332"/>
      <c r="E175" s="1332"/>
      <c r="F175" s="1332"/>
      <c r="G175" s="1332"/>
      <c r="H175" s="53"/>
      <c r="J175" s="52"/>
      <c r="V175" s="52"/>
      <c r="AE175" s="57"/>
      <c r="AH175" s="52"/>
    </row>
    <row r="176" spans="1:36" ht="11.25" customHeight="1">
      <c r="B176" s="1332"/>
      <c r="C176" s="1332"/>
      <c r="D176" s="1332"/>
      <c r="E176" s="1332"/>
      <c r="F176" s="1332"/>
      <c r="G176" s="1332"/>
      <c r="H176" s="53"/>
      <c r="J176" s="52"/>
      <c r="V176" s="52"/>
      <c r="AE176" s="57"/>
      <c r="AH176" s="52"/>
    </row>
    <row r="177" spans="1:50" s="55" customFormat="1" ht="11.25" customHeight="1">
      <c r="A177" s="52"/>
      <c r="B177" s="1332"/>
      <c r="C177" s="1332"/>
      <c r="D177" s="1332"/>
      <c r="E177" s="1332"/>
      <c r="F177" s="1332"/>
      <c r="G177" s="1332"/>
      <c r="H177" s="53"/>
      <c r="I177" s="52"/>
      <c r="J177" s="52"/>
      <c r="K177" s="52"/>
      <c r="L177" s="52"/>
      <c r="M177" s="52"/>
      <c r="N177" s="52"/>
      <c r="O177" s="52"/>
      <c r="P177" s="52"/>
      <c r="Q177" s="52"/>
      <c r="R177" s="52"/>
      <c r="S177" s="52"/>
      <c r="T177" s="52"/>
      <c r="U177" s="52"/>
      <c r="V177" s="52"/>
      <c r="X177" s="56"/>
      <c r="Y177" s="56"/>
      <c r="Z177" s="56"/>
      <c r="AA177" s="56"/>
      <c r="AB177" s="56"/>
      <c r="AC177" s="56"/>
      <c r="AD177" s="56"/>
      <c r="AE177" s="57"/>
      <c r="AF177" s="56"/>
      <c r="AG177" s="56"/>
      <c r="AH177" s="52"/>
      <c r="AI177" s="52"/>
      <c r="AJ177" s="52"/>
      <c r="AK177" s="52"/>
      <c r="AL177" s="52"/>
      <c r="AM177" s="52"/>
      <c r="AN177" s="52"/>
      <c r="AO177" s="52"/>
      <c r="AP177" s="52"/>
      <c r="AQ177" s="52"/>
      <c r="AR177" s="52"/>
      <c r="AS177" s="52"/>
      <c r="AT177" s="52"/>
      <c r="AU177" s="52"/>
      <c r="AV177" s="52"/>
      <c r="AW177" s="52"/>
      <c r="AX177" s="52"/>
    </row>
    <row r="178" spans="1:50" ht="11.25" customHeight="1">
      <c r="A178" s="53"/>
      <c r="B178" s="707"/>
      <c r="C178" s="53"/>
      <c r="D178" s="53"/>
      <c r="E178" s="53"/>
      <c r="H178"/>
      <c r="J178" s="52"/>
      <c r="S178" s="55"/>
      <c r="T178" s="56"/>
      <c r="U178" s="56"/>
      <c r="V178" s="56"/>
      <c r="AE178" s="57"/>
      <c r="AH178" s="52"/>
    </row>
    <row r="179" spans="1:50" ht="11.25" customHeight="1">
      <c r="J179" s="52"/>
      <c r="V179" s="52"/>
      <c r="AE179" s="57"/>
      <c r="AH179" s="52"/>
    </row>
    <row r="180" spans="1:50" ht="11.25" customHeight="1">
      <c r="J180" s="52"/>
      <c r="V180" s="52"/>
      <c r="AE180" s="57"/>
      <c r="AH180" s="52"/>
    </row>
    <row r="181" spans="1:50" ht="11.25" customHeight="1">
      <c r="J181" s="52"/>
      <c r="V181" s="52"/>
      <c r="AE181" s="57"/>
      <c r="AH181" s="52"/>
    </row>
    <row r="182" spans="1:50" ht="11.25" customHeight="1">
      <c r="J182" s="52"/>
      <c r="V182" s="52"/>
      <c r="AE182" s="57"/>
      <c r="AH182" s="52"/>
    </row>
    <row r="183" spans="1:50" ht="11.25" customHeight="1">
      <c r="J183" s="52"/>
      <c r="V183" s="52"/>
      <c r="AE183" s="57"/>
      <c r="AH183" s="52"/>
    </row>
    <row r="184" spans="1:50" ht="11.25" customHeight="1">
      <c r="J184" s="52"/>
      <c r="V184" s="52"/>
      <c r="AE184" s="57"/>
      <c r="AH184" s="52"/>
    </row>
    <row r="185" spans="1:50" ht="11.25" customHeight="1">
      <c r="J185" s="52"/>
      <c r="V185" s="52"/>
      <c r="AE185" s="57"/>
      <c r="AH185" s="52"/>
    </row>
    <row r="186" spans="1:50" ht="11.25" customHeight="1">
      <c r="J186" s="52"/>
      <c r="V186" s="52"/>
      <c r="AE186" s="57"/>
      <c r="AH186" s="52"/>
    </row>
    <row r="187" spans="1:50" ht="11.25" customHeight="1">
      <c r="J187" s="52"/>
      <c r="V187" s="52"/>
      <c r="AE187" s="57"/>
      <c r="AH187" s="52"/>
    </row>
    <row r="188" spans="1:50" ht="11.25" customHeight="1">
      <c r="J188" s="52"/>
      <c r="V188" s="52"/>
      <c r="AE188" s="57"/>
      <c r="AH188" s="52"/>
    </row>
    <row r="189" spans="1:50" ht="11.25" customHeight="1">
      <c r="J189" s="52"/>
      <c r="V189" s="52"/>
      <c r="AE189" s="57"/>
      <c r="AH189" s="52"/>
    </row>
    <row r="190" spans="1:50" ht="11.25" customHeight="1">
      <c r="J190" s="52"/>
      <c r="V190" s="52"/>
      <c r="AE190" s="57"/>
      <c r="AH190" s="52"/>
    </row>
    <row r="299" spans="37:37" ht="11.25" customHeight="1">
      <c r="AK299" s="52" t="b">
        <v>1</v>
      </c>
    </row>
  </sheetData>
  <sheetProtection sheet="1" objects="1" scenarios="1"/>
  <mergeCells count="34">
    <mergeCell ref="A134:U134"/>
    <mergeCell ref="A135:U135"/>
    <mergeCell ref="B106:B107"/>
    <mergeCell ref="B104:H105"/>
    <mergeCell ref="A102:U102"/>
    <mergeCell ref="B5:N6"/>
    <mergeCell ref="D7:H7"/>
    <mergeCell ref="I7:I10"/>
    <mergeCell ref="Q7:Q10"/>
    <mergeCell ref="B7:B10"/>
    <mergeCell ref="O10:P10"/>
    <mergeCell ref="K7:P7"/>
    <mergeCell ref="L8:L9"/>
    <mergeCell ref="K8:K9"/>
    <mergeCell ref="H8:H9"/>
    <mergeCell ref="G8:G9"/>
    <mergeCell ref="F8:F9"/>
    <mergeCell ref="E8:E9"/>
    <mergeCell ref="Z8:Z10"/>
    <mergeCell ref="A66:U66"/>
    <mergeCell ref="Y8:Y10"/>
    <mergeCell ref="A67:U67"/>
    <mergeCell ref="A101:U101"/>
    <mergeCell ref="A34:U34"/>
    <mergeCell ref="A35:U35"/>
    <mergeCell ref="D8:D9"/>
    <mergeCell ref="L61:O61"/>
    <mergeCell ref="L60:O60"/>
    <mergeCell ref="S7:T9"/>
    <mergeCell ref="O8:P9"/>
    <mergeCell ref="N8:N9"/>
    <mergeCell ref="M8:M9"/>
    <mergeCell ref="Q61:T61"/>
    <mergeCell ref="Q60:T60"/>
  </mergeCells>
  <conditionalFormatting sqref="A1:A135">
    <cfRule type="cellIs" dxfId="567" priority="38" operator="equal">
      <formula>0</formula>
    </cfRule>
    <cfRule type="containsErrors" dxfId="566" priority="39">
      <formula>ISERROR(A1)</formula>
    </cfRule>
  </conditionalFormatting>
  <conditionalFormatting sqref="A191:A1048576">
    <cfRule type="cellIs" dxfId="565" priority="52" operator="equal">
      <formula>0</formula>
    </cfRule>
    <cfRule type="containsErrors" dxfId="564" priority="60">
      <formula>ISERROR(A191)</formula>
    </cfRule>
  </conditionalFormatting>
  <conditionalFormatting sqref="B11:B29 D11:I29 K11:O29 Q11:Q29 S11:T29 P11:P31 B48:C62 B108:B126 D108:H126">
    <cfRule type="expression" dxfId="563" priority="3651">
      <formula>$B11=$Y$4</formula>
    </cfRule>
  </conditionalFormatting>
  <conditionalFormatting sqref="B128:H128">
    <cfRule type="containsErrors" dxfId="562" priority="13">
      <formula>ISERROR(B128)</formula>
    </cfRule>
  </conditionalFormatting>
  <conditionalFormatting sqref="D8:H8">
    <cfRule type="containsErrors" dxfId="561" priority="20">
      <formula>ISERROR(D8)</formula>
    </cfRule>
  </conditionalFormatting>
  <conditionalFormatting sqref="D10:H10">
    <cfRule type="containsErrors" dxfId="560" priority="22">
      <formula>ISERROR(D10)</formula>
    </cfRule>
  </conditionalFormatting>
  <conditionalFormatting sqref="D106:H106">
    <cfRule type="containsErrors" dxfId="559" priority="28">
      <formula>ISERROR(D106)</formula>
    </cfRule>
  </conditionalFormatting>
  <conditionalFormatting sqref="D31:I31 K31:O31">
    <cfRule type="containsErrors" dxfId="558" priority="12">
      <formula>ISERROR(D31)</formula>
    </cfRule>
  </conditionalFormatting>
  <conditionalFormatting sqref="K8:O8">
    <cfRule type="containsErrors" dxfId="557" priority="19">
      <formula>ISERROR(K8)</formula>
    </cfRule>
  </conditionalFormatting>
  <conditionalFormatting sqref="K10:O10">
    <cfRule type="containsErrors" dxfId="556" priority="61">
      <formula>ISERROR(K10)</formula>
    </cfRule>
  </conditionalFormatting>
  <conditionalFormatting sqref="P11:P31">
    <cfRule type="containsErrors" dxfId="555" priority="3649">
      <formula>ISERROR(P11)</formula>
    </cfRule>
    <cfRule type="dataBar" priority="3650">
      <dataBar showValue="0">
        <cfvo type="min"/>
        <cfvo type="max"/>
        <color theme="9"/>
      </dataBar>
      <extLst>
        <ext xmlns:x14="http://schemas.microsoft.com/office/spreadsheetml/2009/9/main" uri="{B025F937-C7B1-47D3-B67F-A62EFF666E3E}">
          <x14:id>{D4E6E97B-DEA9-4C36-A988-415CBFAFF749}</x14:id>
        </ext>
      </extLst>
    </cfRule>
  </conditionalFormatting>
  <conditionalFormatting sqref="P30:P31">
    <cfRule type="containsErrors" dxfId="554" priority="25">
      <formula>ISERROR(P30)</formula>
    </cfRule>
  </conditionalFormatting>
  <conditionalFormatting sqref="Q11:Q29 B11:B29 D11:I29 K11:O29 S11:T29 AF11:AG29 B48:C62 B108:B126 D108:H126">
    <cfRule type="containsErrors" dxfId="553" priority="59">
      <formula>ISERROR(B11)</formula>
    </cfRule>
  </conditionalFormatting>
  <conditionalFormatting sqref="Q11:Q29 D107:H107">
    <cfRule type="containsErrors" dxfId="552" priority="29">
      <formula>ISERROR(D11)</formula>
    </cfRule>
  </conditionalFormatting>
  <conditionalFormatting sqref="S30:T30">
    <cfRule type="containsErrors" dxfId="551" priority="5">
      <formula>ISERROR(S30)</formula>
    </cfRule>
  </conditionalFormatting>
  <conditionalFormatting sqref="S31:T31">
    <cfRule type="containsErrors" dxfId="550" priority="4">
      <formula>ISERROR(S31)</formula>
    </cfRule>
  </conditionalFormatting>
  <conditionalFormatting sqref="X2:AC3">
    <cfRule type="containsErrors" dxfId="549" priority="2">
      <formula>ISERROR(X2)</formula>
    </cfRule>
  </conditionalFormatting>
  <conditionalFormatting sqref="AA10:AE10">
    <cfRule type="cellIs" dxfId="548" priority="14" stopIfTrue="1" operator="equal">
      <formula>0</formula>
    </cfRule>
  </conditionalFormatting>
  <conditionalFormatting sqref="AF11:AG22 AG12:AG23">
    <cfRule type="expression" dxfId="547" priority="46">
      <formula>$B11=$W$4</formula>
    </cfRule>
  </conditionalFormatting>
  <conditionalFormatting sqref="AG24">
    <cfRule type="expression" dxfId="546" priority="3647">
      <formula>#REF!=$W$4</formula>
    </cfRule>
  </conditionalFormatting>
  <conditionalFormatting sqref="AG25:AG27">
    <cfRule type="expression" dxfId="545" priority="3570">
      <formula>$B24=$W$4</formula>
    </cfRule>
  </conditionalFormatting>
  <conditionalFormatting sqref="AG28">
    <cfRule type="expression" dxfId="544" priority="1824">
      <formula>#REF!=$W$4</formula>
    </cfRule>
  </conditionalFormatting>
  <conditionalFormatting sqref="AG29">
    <cfRule type="expression" dxfId="543" priority="1823">
      <formula>$B26=$W$4</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3" manualBreakCount="3">
    <brk id="35" max="20" man="1"/>
    <brk id="67" max="20" man="1"/>
    <brk id="102" max="20" man="1"/>
  </rowBreaks>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macro="[0]!CheckBox1_Click" altText="">
                <anchor>
                  <from>
                    <xdr:col>22</xdr:col>
                    <xdr:colOff>85725</xdr:colOff>
                    <xdr:row>36</xdr:row>
                    <xdr:rowOff>38100</xdr:rowOff>
                  </from>
                  <to>
                    <xdr:col>35</xdr:col>
                    <xdr:colOff>57150</xdr:colOff>
                    <xdr:row>38</xdr:row>
                    <xdr:rowOff>19050</xdr:rowOff>
                  </to>
                </anchor>
              </controlPr>
            </control>
          </mc:Choice>
        </mc:AlternateContent>
        <mc:AlternateContent xmlns:mc="http://schemas.openxmlformats.org/markup-compatibility/2006">
          <mc:Choice Requires="x14">
            <control shapeId="86018" r:id="rId5" name="Check Box 2">
              <controlPr defaultSize="0" autoFill="0" autoLine="0" autoPict="0" macro="[0]!CheckBox1_Click" altText="">
                <anchor>
                  <from>
                    <xdr:col>22</xdr:col>
                    <xdr:colOff>85725</xdr:colOff>
                    <xdr:row>37</xdr:row>
                    <xdr:rowOff>161925</xdr:rowOff>
                  </from>
                  <to>
                    <xdr:col>35</xdr:col>
                    <xdr:colOff>57150</xdr:colOff>
                    <xdr:row>39</xdr:row>
                    <xdr:rowOff>19050</xdr:rowOff>
                  </to>
                </anchor>
              </controlPr>
            </control>
          </mc:Choice>
        </mc:AlternateContent>
        <mc:AlternateContent xmlns:mc="http://schemas.openxmlformats.org/markup-compatibility/2006">
          <mc:Choice Requires="x14">
            <control shapeId="86019" r:id="rId6" name="Check Box 3">
              <controlPr defaultSize="0" autoFill="0" autoLine="0" autoPict="0" macro="[0]!CheckBox1_Click" altText="">
                <anchor>
                  <from>
                    <xdr:col>22</xdr:col>
                    <xdr:colOff>85725</xdr:colOff>
                    <xdr:row>38</xdr:row>
                    <xdr:rowOff>161925</xdr:rowOff>
                  </from>
                  <to>
                    <xdr:col>35</xdr:col>
                    <xdr:colOff>57150</xdr:colOff>
                    <xdr:row>40</xdr:row>
                    <xdr:rowOff>19050</xdr:rowOff>
                  </to>
                </anchor>
              </controlPr>
            </control>
          </mc:Choice>
        </mc:AlternateContent>
        <mc:AlternateContent xmlns:mc="http://schemas.openxmlformats.org/markup-compatibility/2006">
          <mc:Choice Requires="x14">
            <control shapeId="86020" r:id="rId7" name="Check Box 4">
              <controlPr defaultSize="0" autoFill="0" autoLine="0" autoPict="0" macro="[0]!CheckBox1_Click" altText="">
                <anchor>
                  <from>
                    <xdr:col>22</xdr:col>
                    <xdr:colOff>85725</xdr:colOff>
                    <xdr:row>39</xdr:row>
                    <xdr:rowOff>161925</xdr:rowOff>
                  </from>
                  <to>
                    <xdr:col>35</xdr:col>
                    <xdr:colOff>57150</xdr:colOff>
                    <xdr:row>41</xdr:row>
                    <xdr:rowOff>19050</xdr:rowOff>
                  </to>
                </anchor>
              </controlPr>
            </control>
          </mc:Choice>
        </mc:AlternateContent>
        <mc:AlternateContent xmlns:mc="http://schemas.openxmlformats.org/markup-compatibility/2006">
          <mc:Choice Requires="x14">
            <control shapeId="86021" r:id="rId8" name="Check Box 5">
              <controlPr defaultSize="0" autoFill="0" autoLine="0" autoPict="0" macro="[0]!CheckBox1_Click" altText="">
                <anchor>
                  <from>
                    <xdr:col>22</xdr:col>
                    <xdr:colOff>85725</xdr:colOff>
                    <xdr:row>40</xdr:row>
                    <xdr:rowOff>161925</xdr:rowOff>
                  </from>
                  <to>
                    <xdr:col>35</xdr:col>
                    <xdr:colOff>57150</xdr:colOff>
                    <xdr:row>42</xdr:row>
                    <xdr:rowOff>19050</xdr:rowOff>
                  </to>
                </anchor>
              </controlPr>
            </control>
          </mc:Choice>
        </mc:AlternateContent>
        <mc:AlternateContent xmlns:mc="http://schemas.openxmlformats.org/markup-compatibility/2006">
          <mc:Choice Requires="x14">
            <control shapeId="86022" r:id="rId9" name="Check Box 6">
              <controlPr defaultSize="0" autoFill="0" autoLine="0" autoPict="0" macro="[0]!CheckBox1_Click" altText="">
                <anchor>
                  <from>
                    <xdr:col>22</xdr:col>
                    <xdr:colOff>85725</xdr:colOff>
                    <xdr:row>41</xdr:row>
                    <xdr:rowOff>161925</xdr:rowOff>
                  </from>
                  <to>
                    <xdr:col>35</xdr:col>
                    <xdr:colOff>57150</xdr:colOff>
                    <xdr:row>43</xdr:row>
                    <xdr:rowOff>19050</xdr:rowOff>
                  </to>
                </anchor>
              </controlPr>
            </control>
          </mc:Choice>
        </mc:AlternateContent>
        <mc:AlternateContent xmlns:mc="http://schemas.openxmlformats.org/markup-compatibility/2006">
          <mc:Choice Requires="x14">
            <control shapeId="86023" r:id="rId10" name="Check Box 7">
              <controlPr defaultSize="0" autoFill="0" autoLine="0" autoPict="0" macro="[0]!CheckBox1_Click" altText="">
                <anchor>
                  <from>
                    <xdr:col>22</xdr:col>
                    <xdr:colOff>85725</xdr:colOff>
                    <xdr:row>42</xdr:row>
                    <xdr:rowOff>161925</xdr:rowOff>
                  </from>
                  <to>
                    <xdr:col>35</xdr:col>
                    <xdr:colOff>57150</xdr:colOff>
                    <xdr:row>44</xdr:row>
                    <xdr:rowOff>19050</xdr:rowOff>
                  </to>
                </anchor>
              </controlPr>
            </control>
          </mc:Choice>
        </mc:AlternateContent>
        <mc:AlternateContent xmlns:mc="http://schemas.openxmlformats.org/markup-compatibility/2006">
          <mc:Choice Requires="x14">
            <control shapeId="86024" r:id="rId11" name="Check Box 8">
              <controlPr defaultSize="0" autoFill="0" autoLine="0" autoPict="0" macro="[0]!CheckBox1_Click" altText="">
                <anchor>
                  <from>
                    <xdr:col>22</xdr:col>
                    <xdr:colOff>85725</xdr:colOff>
                    <xdr:row>43</xdr:row>
                    <xdr:rowOff>161925</xdr:rowOff>
                  </from>
                  <to>
                    <xdr:col>35</xdr:col>
                    <xdr:colOff>57150</xdr:colOff>
                    <xdr:row>45</xdr:row>
                    <xdr:rowOff>19050</xdr:rowOff>
                  </to>
                </anchor>
              </controlPr>
            </control>
          </mc:Choice>
        </mc:AlternateContent>
        <mc:AlternateContent xmlns:mc="http://schemas.openxmlformats.org/markup-compatibility/2006">
          <mc:Choice Requires="x14">
            <control shapeId="86025" r:id="rId12" name="Check Box 9">
              <controlPr defaultSize="0" autoFill="0" autoLine="0" autoPict="0" macro="[0]!CheckBox1_Click" altText="">
                <anchor>
                  <from>
                    <xdr:col>22</xdr:col>
                    <xdr:colOff>85725</xdr:colOff>
                    <xdr:row>44</xdr:row>
                    <xdr:rowOff>161925</xdr:rowOff>
                  </from>
                  <to>
                    <xdr:col>35</xdr:col>
                    <xdr:colOff>57150</xdr:colOff>
                    <xdr:row>46</xdr:row>
                    <xdr:rowOff>19050</xdr:rowOff>
                  </to>
                </anchor>
              </controlPr>
            </control>
          </mc:Choice>
        </mc:AlternateContent>
        <mc:AlternateContent xmlns:mc="http://schemas.openxmlformats.org/markup-compatibility/2006">
          <mc:Choice Requires="x14">
            <control shapeId="86026" r:id="rId13" name="Check Box 10">
              <controlPr defaultSize="0" autoFill="0" autoLine="0" autoPict="0" macro="[0]!CheckBox1_Click" altText="">
                <anchor>
                  <from>
                    <xdr:col>22</xdr:col>
                    <xdr:colOff>85725</xdr:colOff>
                    <xdr:row>45</xdr:row>
                    <xdr:rowOff>161925</xdr:rowOff>
                  </from>
                  <to>
                    <xdr:col>35</xdr:col>
                    <xdr:colOff>57150</xdr:colOff>
                    <xdr:row>47</xdr:row>
                    <xdr:rowOff>19050</xdr:rowOff>
                  </to>
                </anchor>
              </controlPr>
            </control>
          </mc:Choice>
        </mc:AlternateContent>
        <mc:AlternateContent xmlns:mc="http://schemas.openxmlformats.org/markup-compatibility/2006">
          <mc:Choice Requires="x14">
            <control shapeId="86027" r:id="rId14" name="Check Box 11">
              <controlPr defaultSize="0" autoFill="0" autoLine="0" autoPict="0" macro="[0]!CheckBox1_Click" altText="">
                <anchor>
                  <from>
                    <xdr:col>22</xdr:col>
                    <xdr:colOff>85725</xdr:colOff>
                    <xdr:row>46</xdr:row>
                    <xdr:rowOff>161925</xdr:rowOff>
                  </from>
                  <to>
                    <xdr:col>35</xdr:col>
                    <xdr:colOff>57150</xdr:colOff>
                    <xdr:row>48</xdr:row>
                    <xdr:rowOff>19050</xdr:rowOff>
                  </to>
                </anchor>
              </controlPr>
            </control>
          </mc:Choice>
        </mc:AlternateContent>
        <mc:AlternateContent xmlns:mc="http://schemas.openxmlformats.org/markup-compatibility/2006">
          <mc:Choice Requires="x14">
            <control shapeId="86028" r:id="rId15" name="Check Box 12">
              <controlPr defaultSize="0" autoFill="0" autoLine="0" autoPict="0" macro="[0]!CheckBox1_Click" altText="">
                <anchor>
                  <from>
                    <xdr:col>22</xdr:col>
                    <xdr:colOff>85725</xdr:colOff>
                    <xdr:row>47</xdr:row>
                    <xdr:rowOff>161925</xdr:rowOff>
                  </from>
                  <to>
                    <xdr:col>35</xdr:col>
                    <xdr:colOff>57150</xdr:colOff>
                    <xdr:row>49</xdr:row>
                    <xdr:rowOff>19050</xdr:rowOff>
                  </to>
                </anchor>
              </controlPr>
            </control>
          </mc:Choice>
        </mc:AlternateContent>
        <mc:AlternateContent xmlns:mc="http://schemas.openxmlformats.org/markup-compatibility/2006">
          <mc:Choice Requires="x14">
            <control shapeId="86029" r:id="rId16" name="Check Box 13">
              <controlPr defaultSize="0" autoFill="0" autoLine="0" autoPict="0" macro="[0]!CheckBox1_Click" altText="">
                <anchor>
                  <from>
                    <xdr:col>22</xdr:col>
                    <xdr:colOff>85725</xdr:colOff>
                    <xdr:row>48</xdr:row>
                    <xdr:rowOff>161925</xdr:rowOff>
                  </from>
                  <to>
                    <xdr:col>35</xdr:col>
                    <xdr:colOff>57150</xdr:colOff>
                    <xdr:row>50</xdr:row>
                    <xdr:rowOff>19050</xdr:rowOff>
                  </to>
                </anchor>
              </controlPr>
            </control>
          </mc:Choice>
        </mc:AlternateContent>
        <mc:AlternateContent xmlns:mc="http://schemas.openxmlformats.org/markup-compatibility/2006">
          <mc:Choice Requires="x14">
            <control shapeId="86031" r:id="rId17" name="Check Box 15">
              <controlPr defaultSize="0" autoFill="0" autoLine="0" autoPict="0" macro="[0]!CheckBox1_Click" altText="">
                <anchor>
                  <from>
                    <xdr:col>22</xdr:col>
                    <xdr:colOff>85725</xdr:colOff>
                    <xdr:row>49</xdr:row>
                    <xdr:rowOff>161925</xdr:rowOff>
                  </from>
                  <to>
                    <xdr:col>35</xdr:col>
                    <xdr:colOff>57150</xdr:colOff>
                    <xdr:row>51</xdr:row>
                    <xdr:rowOff>19050</xdr:rowOff>
                  </to>
                </anchor>
              </controlPr>
            </control>
          </mc:Choice>
        </mc:AlternateContent>
        <mc:AlternateContent xmlns:mc="http://schemas.openxmlformats.org/markup-compatibility/2006">
          <mc:Choice Requires="x14">
            <control shapeId="86032" r:id="rId18" name="Check Box 16">
              <controlPr defaultSize="0" autoFill="0" autoLine="0" autoPict="0" macro="[0]!CheckBox1_Click" altText="">
                <anchor>
                  <from>
                    <xdr:col>22</xdr:col>
                    <xdr:colOff>85725</xdr:colOff>
                    <xdr:row>50</xdr:row>
                    <xdr:rowOff>161925</xdr:rowOff>
                  </from>
                  <to>
                    <xdr:col>35</xdr:col>
                    <xdr:colOff>57150</xdr:colOff>
                    <xdr:row>52</xdr:row>
                    <xdr:rowOff>19050</xdr:rowOff>
                  </to>
                </anchor>
              </controlPr>
            </control>
          </mc:Choice>
        </mc:AlternateContent>
        <mc:AlternateContent xmlns:mc="http://schemas.openxmlformats.org/markup-compatibility/2006">
          <mc:Choice Requires="x14">
            <control shapeId="86033" r:id="rId19" name="Check Box 17">
              <controlPr defaultSize="0" autoFill="0" autoLine="0" autoPict="0" macro="[0]!CheckBox1_Click" altText="">
                <anchor>
                  <from>
                    <xdr:col>22</xdr:col>
                    <xdr:colOff>85725</xdr:colOff>
                    <xdr:row>51</xdr:row>
                    <xdr:rowOff>161925</xdr:rowOff>
                  </from>
                  <to>
                    <xdr:col>35</xdr:col>
                    <xdr:colOff>57150</xdr:colOff>
                    <xdr:row>53</xdr:row>
                    <xdr:rowOff>19050</xdr:rowOff>
                  </to>
                </anchor>
              </controlPr>
            </control>
          </mc:Choice>
        </mc:AlternateContent>
        <mc:AlternateContent xmlns:mc="http://schemas.openxmlformats.org/markup-compatibility/2006">
          <mc:Choice Requires="x14">
            <control shapeId="86034" r:id="rId20" name="Check Box 18">
              <controlPr defaultSize="0" autoFill="0" autoLine="0" autoPict="0" macro="[0]!CheckBox1_Click" altText="">
                <anchor>
                  <from>
                    <xdr:col>22</xdr:col>
                    <xdr:colOff>85725</xdr:colOff>
                    <xdr:row>52</xdr:row>
                    <xdr:rowOff>161925</xdr:rowOff>
                  </from>
                  <to>
                    <xdr:col>35</xdr:col>
                    <xdr:colOff>57150</xdr:colOff>
                    <xdr:row>54</xdr:row>
                    <xdr:rowOff>19050</xdr:rowOff>
                  </to>
                </anchor>
              </controlPr>
            </control>
          </mc:Choice>
        </mc:AlternateContent>
        <mc:AlternateContent xmlns:mc="http://schemas.openxmlformats.org/markup-compatibility/2006">
          <mc:Choice Requires="x14">
            <control shapeId="86035" r:id="rId21" name="Check Box 19">
              <controlPr defaultSize="0" autoFill="0" autoLine="0" autoPict="0" macro="[0]!CheckBox1_Click" altText="">
                <anchor>
                  <from>
                    <xdr:col>22</xdr:col>
                    <xdr:colOff>85725</xdr:colOff>
                    <xdr:row>53</xdr:row>
                    <xdr:rowOff>161925</xdr:rowOff>
                  </from>
                  <to>
                    <xdr:col>35</xdr:col>
                    <xdr:colOff>57150</xdr:colOff>
                    <xdr:row>55</xdr:row>
                    <xdr:rowOff>19050</xdr:rowOff>
                  </to>
                </anchor>
              </controlPr>
            </control>
          </mc:Choice>
        </mc:AlternateContent>
        <mc:AlternateContent xmlns:mc="http://schemas.openxmlformats.org/markup-compatibility/2006">
          <mc:Choice Requires="x14">
            <control shapeId="86036" r:id="rId22" name="Check Box 20">
              <controlPr defaultSize="0" autoFill="0" autoLine="0" autoPict="0" macro="[0]!CheckBox1_Click" altText="">
                <anchor>
                  <from>
                    <xdr:col>22</xdr:col>
                    <xdr:colOff>85725</xdr:colOff>
                    <xdr:row>54</xdr:row>
                    <xdr:rowOff>161925</xdr:rowOff>
                  </from>
                  <to>
                    <xdr:col>35</xdr:col>
                    <xdr:colOff>57150</xdr:colOff>
                    <xdr:row>56</xdr:row>
                    <xdr:rowOff>19050</xdr:rowOff>
                  </to>
                </anchor>
              </controlPr>
            </control>
          </mc:Choice>
        </mc:AlternateContent>
        <mc:AlternateContent xmlns:mc="http://schemas.openxmlformats.org/markup-compatibility/2006">
          <mc:Choice Requires="x14">
            <control shapeId="86037" r:id="rId23" name="Check Box 21">
              <controlPr defaultSize="0" autoFill="0" autoLine="0" autoPict="0" macro="[0]!CheckBox1_Click" altText="">
                <anchor>
                  <from>
                    <xdr:col>22</xdr:col>
                    <xdr:colOff>85725</xdr:colOff>
                    <xdr:row>55</xdr:row>
                    <xdr:rowOff>161925</xdr:rowOff>
                  </from>
                  <to>
                    <xdr:col>35</xdr:col>
                    <xdr:colOff>57150</xdr:colOff>
                    <xdr:row>57</xdr:row>
                    <xdr:rowOff>0</xdr:rowOff>
                  </to>
                </anchor>
              </controlPr>
            </control>
          </mc:Choice>
        </mc:AlternateContent>
        <mc:AlternateContent xmlns:mc="http://schemas.openxmlformats.org/markup-compatibility/2006">
          <mc:Choice Requires="x14">
            <control shapeId="86040" r:id="rId24" name="Check Box 24">
              <controlPr defaultSize="0" autoFill="0" autoLine="0" autoPict="0" macro="[0]!CheckBox1_Click" altText="">
                <anchor>
                  <from>
                    <xdr:col>22</xdr:col>
                    <xdr:colOff>85725</xdr:colOff>
                    <xdr:row>56</xdr:row>
                    <xdr:rowOff>161925</xdr:rowOff>
                  </from>
                  <to>
                    <xdr:col>35</xdr:col>
                    <xdr:colOff>57150</xdr:colOff>
                    <xdr:row>58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D4E6E97B-DEA9-4C36-A988-415CBFAFF749}">
            <x14:dataBar minLength="0" maxLength="100" gradient="0" negativeBarColorSameAsPositive="1">
              <x14:cfvo type="autoMin"/>
              <x14:cfvo type="autoMax"/>
              <x14:axisColor rgb="FF000000"/>
            </x14:dataBar>
          </x14:cfRule>
          <xm:sqref>P11:P31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3">
    <tabColor rgb="FFFFC000"/>
  </sheetPr>
  <dimension ref="A1:BM398"/>
  <sheetViews>
    <sheetView showGridLines="0" showRowColHeaders="0" workbookViewId="0"/>
  </sheetViews>
  <sheetFormatPr defaultColWidth="9.140625" defaultRowHeight="11.25" customHeight="1"/>
  <cols>
    <col min="1" max="1" width="1.7109375" style="52" customWidth="1"/>
    <col min="2" max="2" width="19.42578125" style="52" customWidth="1"/>
    <col min="3" max="3" width="1.140625" style="52" customWidth="1"/>
    <col min="4" max="8" width="7.42578125" style="52" customWidth="1"/>
    <col min="9" max="9" width="8" style="52" customWidth="1"/>
    <col min="10" max="10" width="1.140625" customWidth="1"/>
    <col min="11" max="14" width="7.42578125" style="52" customWidth="1"/>
    <col min="15" max="15" width="7.28515625" style="52" customWidth="1"/>
    <col min="16" max="16" width="6" style="52" customWidth="1"/>
    <col min="17" max="17" width="6.42578125" style="52" customWidth="1"/>
    <col min="18" max="18" width="1.140625" style="52" customWidth="1"/>
    <col min="19" max="19" width="8.7109375" style="52" customWidth="1"/>
    <col min="20" max="20" width="8.28515625" style="52" customWidth="1"/>
    <col min="21" max="21" width="1.7109375" style="52" customWidth="1"/>
    <col min="22" max="22" width="6.42578125" style="55" customWidth="1"/>
    <col min="23" max="23" width="4.85546875" style="55" customWidth="1"/>
    <col min="24" max="24" width="17.85546875" style="56" hidden="1" customWidth="1"/>
    <col min="25" max="26" width="19.5703125" style="56" hidden="1" customWidth="1"/>
    <col min="27" max="29" width="9.42578125" style="56" hidden="1" customWidth="1"/>
    <col min="30" max="30" width="8.5703125" style="56" hidden="1" customWidth="1"/>
    <col min="31" max="31" width="18.140625" style="56" hidden="1" customWidth="1"/>
    <col min="32" max="32" width="17" style="56" hidden="1" customWidth="1"/>
    <col min="33" max="33" width="5.5703125" style="56" hidden="1" customWidth="1"/>
    <col min="34" max="34" width="6.5703125" style="56" hidden="1" customWidth="1"/>
    <col min="35" max="35" width="6.5703125" style="52" hidden="1" customWidth="1"/>
    <col min="36" max="36" width="31.5703125" style="52" customWidth="1"/>
    <col min="37" max="37" width="17" style="52" hidden="1" customWidth="1"/>
    <col min="38" max="42" width="13.5703125" style="52" hidden="1" customWidth="1"/>
    <col min="43" max="65" width="9.140625" style="52" hidden="1" customWidth="1"/>
    <col min="66" max="16384" width="9.140625" style="52"/>
  </cols>
  <sheetData>
    <row r="1" spans="1:49" ht="18.75" customHeight="1" thickBot="1">
      <c r="A1" s="81"/>
      <c r="B1" s="82"/>
      <c r="C1" s="82"/>
      <c r="D1" s="82"/>
      <c r="E1" s="82"/>
      <c r="F1" s="82"/>
      <c r="G1" s="82"/>
      <c r="H1" s="82"/>
      <c r="I1" s="82"/>
      <c r="J1" s="83"/>
      <c r="K1" s="82"/>
      <c r="L1" s="82"/>
      <c r="M1" s="82"/>
      <c r="N1" s="82"/>
      <c r="O1" s="82"/>
      <c r="P1" s="82"/>
      <c r="Q1" s="82"/>
      <c r="R1" s="82"/>
      <c r="S1" s="82"/>
      <c r="T1" s="82"/>
      <c r="U1" s="84"/>
      <c r="V1" s="207"/>
      <c r="W1" s="117"/>
      <c r="X1" s="135"/>
      <c r="Y1" s="534" t="str">
        <f>IF(ReportData!$C$3="Annual"," the year ending 31st March"," the quarter")</f>
        <v xml:space="preserve"> the year ending 31st March</v>
      </c>
      <c r="Z1" s="135"/>
      <c r="AA1" s="135"/>
      <c r="AB1" s="135"/>
      <c r="AC1" s="135"/>
      <c r="AD1" s="135"/>
      <c r="AE1" s="135"/>
      <c r="AF1" s="135"/>
      <c r="AG1" s="135"/>
      <c r="AH1" s="135"/>
      <c r="AI1" s="136"/>
      <c r="AJ1" s="118"/>
    </row>
    <row r="2" spans="1:49" ht="18.75" customHeight="1">
      <c r="A2" s="87"/>
      <c r="B2" s="888" t="s">
        <v>22</v>
      </c>
      <c r="C2" s="5"/>
      <c r="D2" s="5"/>
      <c r="E2" s="5"/>
      <c r="F2" s="5"/>
      <c r="G2" s="5"/>
      <c r="H2" s="5"/>
      <c r="I2" s="5"/>
      <c r="J2" s="1"/>
      <c r="K2" s="5"/>
      <c r="L2" s="5"/>
      <c r="M2" s="5"/>
      <c r="N2" s="5"/>
      <c r="O2" s="5"/>
      <c r="P2" s="5"/>
      <c r="Q2" s="5"/>
      <c r="R2" s="5"/>
      <c r="S2" s="5"/>
      <c r="T2" s="5"/>
      <c r="U2" s="86"/>
      <c r="V2" s="122"/>
      <c r="W2" s="114"/>
      <c r="X2" s="483">
        <f>IF(ReportData!$C$3="Annual",1,4)</f>
        <v>1</v>
      </c>
      <c r="Y2" s="461" t="str">
        <f>IF(ReportData!$C$3="Annual","",ReportData!$D$28)</f>
        <v/>
      </c>
      <c r="Z2" s="462" t="str">
        <f>IF(ReportData!$C$3="Annual","",ReportData!$E$28)</f>
        <v/>
      </c>
      <c r="AA2" s="462" t="str">
        <f>IF(ReportData!$C$3="Annual","",ReportData!$F$28)</f>
        <v/>
      </c>
      <c r="AB2" s="462" t="str">
        <f>IF(ReportData!$C$3="Annual","",ReportData!$G$28)</f>
        <v/>
      </c>
      <c r="AC2" s="463" t="str">
        <f>IF(ReportData!$C$3="Annual","",ReportData!$H$28)</f>
        <v/>
      </c>
      <c r="AJ2" s="119"/>
    </row>
    <row r="3" spans="1:49" ht="18.75" customHeight="1" thickBot="1">
      <c r="A3" s="91"/>
      <c r="B3" s="92"/>
      <c r="C3" s="92"/>
      <c r="D3" s="92"/>
      <c r="E3" s="92"/>
      <c r="F3" s="92"/>
      <c r="G3" s="92"/>
      <c r="H3" s="92"/>
      <c r="I3" s="200"/>
      <c r="J3" s="93"/>
      <c r="K3" s="92"/>
      <c r="L3" s="92"/>
      <c r="M3" s="92"/>
      <c r="N3" s="92"/>
      <c r="O3" s="92"/>
      <c r="P3" s="329"/>
      <c r="Q3" s="92"/>
      <c r="R3" s="92"/>
      <c r="S3" s="200"/>
      <c r="T3" s="92"/>
      <c r="U3" s="94"/>
      <c r="V3" s="122"/>
      <c r="W3" s="114"/>
      <c r="X3" s="464"/>
      <c r="Y3" s="464" t="str">
        <f>ReportData!$D$27</f>
        <v>2019/20</v>
      </c>
      <c r="Z3" s="465" t="str">
        <f>ReportData!$E$27</f>
        <v>2020/21</v>
      </c>
      <c r="AA3" s="465" t="str">
        <f>ReportData!$F$27</f>
        <v>2021/22</v>
      </c>
      <c r="AB3" s="465" t="str">
        <f>ReportData!$G$27</f>
        <v>2022/23</v>
      </c>
      <c r="AC3" s="466" t="str">
        <f>ReportData!$H$27</f>
        <v>2023/24</v>
      </c>
      <c r="AJ3" s="119"/>
    </row>
    <row r="4" spans="1:49" ht="11.25" customHeight="1">
      <c r="A4" s="81"/>
      <c r="B4" s="82"/>
      <c r="C4" s="82"/>
      <c r="D4" s="82"/>
      <c r="E4" s="82"/>
      <c r="F4" s="82"/>
      <c r="G4" s="82"/>
      <c r="H4" s="82"/>
      <c r="I4" s="82"/>
      <c r="J4" s="83"/>
      <c r="K4" s="82"/>
      <c r="L4" s="82"/>
      <c r="M4" s="82"/>
      <c r="N4" s="82"/>
      <c r="O4" s="82"/>
      <c r="P4" s="82"/>
      <c r="Q4" s="82"/>
      <c r="R4" s="82"/>
      <c r="S4" s="82"/>
      <c r="T4" s="82"/>
      <c r="U4" s="84"/>
      <c r="V4" s="119"/>
      <c r="W4" s="114"/>
      <c r="Y4" s="140" t="str">
        <f>Home!$D$5</f>
        <v>(none)</v>
      </c>
      <c r="Z4" s="25" t="str">
        <f>"Selected LA- "&amp;Y4</f>
        <v>Selected LA- (none)</v>
      </c>
      <c r="AJ4" s="119"/>
    </row>
    <row r="5" spans="1:49" ht="18.75" customHeight="1">
      <c r="A5" s="87"/>
      <c r="B5" s="1775" t="str">
        <f>"Assessments completed in"&amp;Y1&amp;" [RIIA205]"</f>
        <v>Assessments completed in the year ending 31st March [RIIA205]</v>
      </c>
      <c r="C5" s="1776"/>
      <c r="D5" s="1776"/>
      <c r="E5" s="1776"/>
      <c r="F5" s="1776"/>
      <c r="G5" s="1776"/>
      <c r="H5" s="1776"/>
      <c r="I5" s="1776"/>
      <c r="J5" s="1776"/>
      <c r="K5" s="1776"/>
      <c r="L5" s="1776"/>
      <c r="M5" s="1776"/>
      <c r="N5" s="1776"/>
      <c r="O5" s="50"/>
      <c r="P5" s="50"/>
      <c r="Q5" s="50"/>
      <c r="R5" s="50"/>
      <c r="S5" s="50"/>
      <c r="T5" s="50"/>
      <c r="U5" s="86"/>
      <c r="V5" s="119"/>
      <c r="W5" s="114"/>
      <c r="Y5" s="52"/>
      <c r="Z5" s="52"/>
      <c r="AA5" s="52"/>
      <c r="AB5" s="52"/>
      <c r="AC5" s="52"/>
      <c r="AD5" s="52"/>
      <c r="AE5" s="52"/>
      <c r="AF5" s="52"/>
      <c r="AG5" s="52"/>
      <c r="AH5" s="52"/>
      <c r="AJ5" s="119"/>
      <c r="AK5" s="52" t="str">
        <f>CONCATENATE($I$7,"in Number of "&amp;$B2)</f>
        <v>Average Annual Change in Number of Assessments</v>
      </c>
    </row>
    <row r="6" spans="1:49" ht="18.75" customHeight="1">
      <c r="A6" s="87"/>
      <c r="B6" s="1776"/>
      <c r="C6" s="1776"/>
      <c r="D6" s="1776"/>
      <c r="E6" s="1776"/>
      <c r="F6" s="1776"/>
      <c r="G6" s="1776"/>
      <c r="H6" s="1776"/>
      <c r="I6" s="1776"/>
      <c r="J6" s="1776"/>
      <c r="K6" s="1776"/>
      <c r="L6" s="1776"/>
      <c r="M6" s="1776"/>
      <c r="N6" s="1776"/>
      <c r="O6" s="50"/>
      <c r="P6" s="50"/>
      <c r="Q6" s="50"/>
      <c r="R6" s="50"/>
      <c r="S6" s="50"/>
      <c r="T6" s="50"/>
      <c r="U6" s="86"/>
      <c r="V6" s="119"/>
      <c r="W6" s="114"/>
      <c r="Y6" s="141"/>
      <c r="AJ6" s="119"/>
    </row>
    <row r="7" spans="1:49" s="61" customFormat="1" ht="13.5" customHeight="1">
      <c r="A7" s="88"/>
      <c r="B7" s="1749" t="s">
        <v>177</v>
      </c>
      <c r="C7" s="896"/>
      <c r="D7" s="1777" t="s">
        <v>84</v>
      </c>
      <c r="E7" s="1777"/>
      <c r="F7" s="1777"/>
      <c r="G7" s="1777"/>
      <c r="H7" s="1778"/>
      <c r="I7" s="1761" t="str">
        <f>"Average "&amp;ReportData!C3&amp;" Change "</f>
        <v xml:space="preserve">Average Annual Change </v>
      </c>
      <c r="J7" s="896"/>
      <c r="K7" s="1765" t="s">
        <v>85</v>
      </c>
      <c r="L7" s="1766"/>
      <c r="M7" s="1766"/>
      <c r="N7" s="1766"/>
      <c r="O7" s="1766"/>
      <c r="P7" s="1767"/>
      <c r="Q7" s="1761" t="str">
        <f>IF(ISNA(O8),"Rank "&amp;O10,"Rank "&amp;LEFT(O8,5)&amp;" "&amp;RIGHT(O8,2))</f>
        <v>Rank 2023/ 24</v>
      </c>
      <c r="R7" s="64"/>
      <c r="S7" s="1783" t="str">
        <f>"Distance from "&amp;ReportData!$B$8&amp;" Expected Rate based on IDACI"</f>
        <v>Distance from 2024 Expected Rate based on IDACI</v>
      </c>
      <c r="T7" s="1784"/>
      <c r="U7" s="89"/>
      <c r="V7" s="186"/>
      <c r="W7" s="115"/>
      <c r="AA7" s="153" t="s">
        <v>76</v>
      </c>
      <c r="AB7" s="141"/>
      <c r="AC7" s="141"/>
      <c r="AD7" s="149"/>
      <c r="AE7" s="149"/>
      <c r="AF7" s="154" t="s">
        <v>88</v>
      </c>
      <c r="AG7" s="141"/>
      <c r="AH7" s="141"/>
      <c r="AJ7" s="121"/>
      <c r="AP7" s="52"/>
      <c r="AQ7" s="52"/>
      <c r="AR7" s="52"/>
      <c r="AS7" s="52"/>
      <c r="AT7" s="52"/>
      <c r="AU7" s="52"/>
      <c r="AV7" s="52"/>
      <c r="AW7" s="52"/>
    </row>
    <row r="8" spans="1:49" s="61" customFormat="1" ht="13.5" customHeight="1">
      <c r="A8" s="217"/>
      <c r="B8" s="1749"/>
      <c r="C8" s="896"/>
      <c r="D8" s="1770" t="str">
        <f>ReportData!$D$27</f>
        <v>2019/20</v>
      </c>
      <c r="E8" s="1770" t="str">
        <f>ReportData!$E$27</f>
        <v>2020/21</v>
      </c>
      <c r="F8" s="1770" t="str">
        <f>ReportData!$F$27</f>
        <v>2021/22</v>
      </c>
      <c r="G8" s="1770" t="str">
        <f>ReportData!$G$27</f>
        <v>2022/23</v>
      </c>
      <c r="H8" s="1781" t="str">
        <f>ReportData!$H$27</f>
        <v>2023/24</v>
      </c>
      <c r="I8" s="1762"/>
      <c r="J8" s="896"/>
      <c r="K8" s="1770" t="str">
        <f>ReportData!$D$27</f>
        <v>2019/20</v>
      </c>
      <c r="L8" s="1770" t="str">
        <f>ReportData!$E$27</f>
        <v>2020/21</v>
      </c>
      <c r="M8" s="1770" t="str">
        <f>ReportData!$F$27</f>
        <v>2021/22</v>
      </c>
      <c r="N8" s="1770" t="str">
        <f>ReportData!$G$27</f>
        <v>2022/23</v>
      </c>
      <c r="O8" s="1789" t="str">
        <f>ReportData!$H$27</f>
        <v>2023/24</v>
      </c>
      <c r="P8" s="1790"/>
      <c r="Q8" s="1762"/>
      <c r="R8" s="64"/>
      <c r="S8" s="1785"/>
      <c r="T8" s="1786"/>
      <c r="U8" s="89"/>
      <c r="V8" s="103"/>
      <c r="W8" s="115"/>
      <c r="Y8" s="1772" t="s">
        <v>73</v>
      </c>
      <c r="Z8" s="1772" t="s">
        <v>74</v>
      </c>
      <c r="AA8" s="444" t="str">
        <f>ReportData!$D$27</f>
        <v>2019/20</v>
      </c>
      <c r="AB8" s="444" t="str">
        <f>ReportData!$E$27</f>
        <v>2020/21</v>
      </c>
      <c r="AC8" s="444" t="str">
        <f>ReportData!$F$27</f>
        <v>2021/22</v>
      </c>
      <c r="AD8" s="444" t="str">
        <f>ReportData!$G$27</f>
        <v>2022/23</v>
      </c>
      <c r="AE8" s="444" t="str">
        <f>ReportData!$H$27</f>
        <v>2023/24</v>
      </c>
      <c r="AF8" s="154"/>
      <c r="AG8" s="141"/>
      <c r="AH8" s="141"/>
      <c r="AJ8" s="121"/>
      <c r="AP8" s="52"/>
      <c r="AQ8" s="52"/>
      <c r="AR8" s="52"/>
      <c r="AS8" s="52"/>
      <c r="AT8" s="52"/>
      <c r="AU8" s="52"/>
      <c r="AV8" s="52"/>
      <c r="AW8" s="52"/>
    </row>
    <row r="9" spans="1:49" s="61" customFormat="1" ht="9" customHeight="1">
      <c r="A9" s="217"/>
      <c r="B9" s="1749"/>
      <c r="C9" s="896"/>
      <c r="D9" s="1771"/>
      <c r="E9" s="1771"/>
      <c r="F9" s="1771"/>
      <c r="G9" s="1771"/>
      <c r="H9" s="1782"/>
      <c r="I9" s="1762"/>
      <c r="J9" s="896"/>
      <c r="K9" s="1771"/>
      <c r="L9" s="1771"/>
      <c r="M9" s="1771"/>
      <c r="N9" s="1771"/>
      <c r="O9" s="1791"/>
      <c r="P9" s="1792"/>
      <c r="Q9" s="1762"/>
      <c r="R9" s="64"/>
      <c r="S9" s="1787"/>
      <c r="T9" s="1788"/>
      <c r="U9" s="89"/>
      <c r="V9" s="103"/>
      <c r="W9" s="918"/>
      <c r="Y9" s="1773"/>
      <c r="Z9" s="1773"/>
      <c r="AA9" s="444"/>
      <c r="AB9" s="444"/>
      <c r="AC9" s="444"/>
      <c r="AD9" s="444"/>
      <c r="AE9" s="444"/>
      <c r="AF9" s="154"/>
      <c r="AG9" s="141"/>
      <c r="AH9" s="141"/>
      <c r="AJ9" s="121"/>
      <c r="AP9" s="52"/>
      <c r="AQ9" s="52"/>
      <c r="AR9" s="52"/>
      <c r="AS9" s="52"/>
      <c r="AT9" s="52"/>
      <c r="AU9" s="52"/>
      <c r="AV9" s="52"/>
      <c r="AW9" s="52"/>
    </row>
    <row r="10" spans="1:49" s="61" customFormat="1" ht="13.5" customHeight="1">
      <c r="A10" s="88"/>
      <c r="B10" s="1764"/>
      <c r="C10" s="896"/>
      <c r="D10" s="897" t="e">
        <f>ReportData!$D$28</f>
        <v>#N/A</v>
      </c>
      <c r="E10" s="897" t="e">
        <f>ReportData!$E$28</f>
        <v>#N/A</v>
      </c>
      <c r="F10" s="897" t="e">
        <f>ReportData!$F$28</f>
        <v>#N/A</v>
      </c>
      <c r="G10" s="897" t="e">
        <f>ReportData!$G$28</f>
        <v>#N/A</v>
      </c>
      <c r="H10" s="920" t="e">
        <f>ReportData!$H$28</f>
        <v>#N/A</v>
      </c>
      <c r="I10" s="1763"/>
      <c r="J10" s="896"/>
      <c r="K10" s="897" t="e">
        <f>ReportData!$D$28</f>
        <v>#N/A</v>
      </c>
      <c r="L10" s="897" t="e">
        <f>ReportData!$E$28</f>
        <v>#N/A</v>
      </c>
      <c r="M10" s="897" t="e">
        <f>ReportData!$F$28</f>
        <v>#N/A</v>
      </c>
      <c r="N10" s="897" t="e">
        <f>ReportData!$G$28</f>
        <v>#N/A</v>
      </c>
      <c r="O10" s="1779" t="e">
        <f>ReportData!$H$28</f>
        <v>#N/A</v>
      </c>
      <c r="P10" s="1780"/>
      <c r="Q10" s="1763"/>
      <c r="R10" s="64"/>
      <c r="S10" s="898" t="s">
        <v>110</v>
      </c>
      <c r="T10" s="899" t="s">
        <v>111</v>
      </c>
      <c r="U10" s="89"/>
      <c r="V10" s="103"/>
      <c r="W10" s="115"/>
      <c r="Y10" s="1774"/>
      <c r="Z10" s="1774"/>
      <c r="AA10" s="444" t="e">
        <f>ReportData!$D$28</f>
        <v>#N/A</v>
      </c>
      <c r="AB10" s="444" t="e">
        <f>ReportData!$E$28</f>
        <v>#N/A</v>
      </c>
      <c r="AC10" s="444" t="e">
        <f>ReportData!$F$28</f>
        <v>#N/A</v>
      </c>
      <c r="AD10" s="444" t="e">
        <f>ReportData!$G$28</f>
        <v>#N/A</v>
      </c>
      <c r="AE10" s="444" t="e">
        <f>ReportData!$H$28</f>
        <v>#N/A</v>
      </c>
      <c r="AF10" s="141"/>
      <c r="AG10" s="141">
        <f>COLUMNS($B$4:O$4)</f>
        <v>14</v>
      </c>
      <c r="AH10" s="141"/>
      <c r="AJ10" s="121"/>
      <c r="AK10" s="479" t="s">
        <v>598</v>
      </c>
      <c r="AL10" s="479" t="s">
        <v>599</v>
      </c>
      <c r="AM10" s="479" t="s">
        <v>600</v>
      </c>
      <c r="AN10" s="479" t="s">
        <v>601</v>
      </c>
      <c r="AO10" s="479" t="s">
        <v>602</v>
      </c>
      <c r="AP10" s="52"/>
      <c r="AQ10" s="52"/>
      <c r="AR10" s="52"/>
      <c r="AS10" s="52"/>
      <c r="AT10" s="52"/>
      <c r="AU10" s="52"/>
      <c r="AV10" s="52"/>
      <c r="AW10" s="52"/>
    </row>
    <row r="11" spans="1:49" s="61" customFormat="1" ht="15.75" customHeight="1">
      <c r="A11" s="1103">
        <f>VLOOKUP(B11,ReportData!$AQ$4:$AR$25,2,FALSE)</f>
        <v>0</v>
      </c>
      <c r="B11" s="885" t="str">
        <f>ReportData!$K$4</f>
        <v>Bracknell Forest</v>
      </c>
      <c r="C11" s="896"/>
      <c r="D11" s="889">
        <f>IF(Year1_Bracknell_Forest Year1_Assessments="","",Year1_Bracknell_Forest Year1_Assessments)</f>
        <v>1531</v>
      </c>
      <c r="E11" s="889">
        <f>IF(Year2_Bracknell_Forest Year2_Assessments="","",Year2_Bracknell_Forest Year2_Assessments)</f>
        <v>1613</v>
      </c>
      <c r="F11" s="889">
        <f>IF(Year3_Bracknell_Forest Year3_Assessments="","",Year3_Bracknell_Forest Year3_Assessments)</f>
        <v>1464</v>
      </c>
      <c r="G11" s="889">
        <f>IF(Year4_Bracknell_Forest Year4_Assessments="","",Year4_Bracknell_Forest Year4_Assessments)</f>
        <v>1410</v>
      </c>
      <c r="H11" s="890">
        <f>IF(Year5_Bracknell_Forest Year5_Assessments="","",Year5_Bracknell_Forest Year5_Assessments)</f>
        <v>1423</v>
      </c>
      <c r="I11" s="900">
        <f t="shared" ref="I11:I25" si="0">AO11</f>
        <v>-1.6620020104647526E-2</v>
      </c>
      <c r="J11" s="896"/>
      <c r="K11" s="901">
        <f>IF(ISNUMBER(D11),D11/Population!D11*10000,NA())</f>
        <v>560.84694849439518</v>
      </c>
      <c r="L11" s="901">
        <f>IF(ISNUMBER(E11),E11/Population!E11*10000,NA())</f>
        <v>584.54736536928317</v>
      </c>
      <c r="M11" s="901">
        <f>IF(ISNUMBER(F11),F11/Population!F11*10000,NA())</f>
        <v>526.1833734679941</v>
      </c>
      <c r="N11" s="901">
        <f>IF(ISNUMBER(G11),G11/Population!G11*10000,NA())</f>
        <v>497.70561242499116</v>
      </c>
      <c r="O11" s="1138">
        <f>IF(ISNUMBER(H11),H11/Population!H11*10000,NA())</f>
        <v>496.7361329284044</v>
      </c>
      <c r="P11" s="903">
        <f>IF(ISNUMBER(O11),O11,"")</f>
        <v>496.7361329284044</v>
      </c>
      <c r="Q11" s="1139">
        <f t="shared" ref="Q11:Q31" si="1">IF(ISNA(VLOOKUP(B11,$AF$11:$AH$29,3,FALSE)),"--",IF(ISNUMBER(H11),VLOOKUP(B11,$AF$11:$AH$29,3,FALSE),NA()))</f>
        <v>8</v>
      </c>
      <c r="R11" s="64"/>
      <c r="S11" s="905">
        <f>((IDACI!C9*$Y$41)+$Z$41)/$X$2</f>
        <v>396.75551732378801</v>
      </c>
      <c r="T11" s="906">
        <f t="shared" ref="T11:T31" si="2">O11-S11</f>
        <v>99.980615604616389</v>
      </c>
      <c r="U11" s="89"/>
      <c r="V11" s="103"/>
      <c r="W11" s="115"/>
      <c r="X11" s="51" t="str">
        <f t="shared" ref="X11:X31" si="3">B11</f>
        <v>Bracknell Forest</v>
      </c>
      <c r="Y11" s="27">
        <f>IF(ISNUMBER($H11),IDACI!D9,0)</f>
        <v>24849</v>
      </c>
      <c r="Z11" s="27">
        <f>IF(ISNUMBER($H11),IDACI!E9,0)</f>
        <v>2211.5610000000001</v>
      </c>
      <c r="AA11" s="155">
        <f>IF(ISNUMBER(D11),Population!D11,"")</f>
        <v>27298</v>
      </c>
      <c r="AB11" s="155">
        <f>IF(ISNUMBER(E11),Population!E11,"")</f>
        <v>27594</v>
      </c>
      <c r="AC11" s="155">
        <f>IF(ISNUMBER(F11),Population!F11,"")</f>
        <v>27823</v>
      </c>
      <c r="AD11" s="155">
        <f>IF(ISNUMBER(G11),Population!G11,"")</f>
        <v>28330</v>
      </c>
      <c r="AE11" s="155">
        <f>IF(ISNUMBER(H11),Population!H11,"")</f>
        <v>28647</v>
      </c>
      <c r="AF11" s="65" t="str">
        <f>B11</f>
        <v>Bracknell Forest</v>
      </c>
      <c r="AG11" s="70">
        <f t="shared" ref="AG11:AG29" si="4">IFERROR(VLOOKUP(AF11,$B$11:$O$29,$AG$10,FALSE),"")</f>
        <v>496.7361329284044</v>
      </c>
      <c r="AH11" s="156">
        <f t="shared" ref="AH11:AH29" si="5">RANK(AG11,$AG$11:$AG$29,1)</f>
        <v>8</v>
      </c>
      <c r="AJ11" s="121"/>
      <c r="AK11" s="480">
        <f t="shared" ref="AK11:AK29" si="6">IF(ISERROR((E11-D11)/D11),"x",(E11-D11)/D11)</f>
        <v>5.3559764859568912E-2</v>
      </c>
      <c r="AL11" s="480">
        <f t="shared" ref="AL11:AL29" si="7">IF(ISERROR((F11-E11)/E11),"x",(F11-E11)/E11)</f>
        <v>-9.237445753254804E-2</v>
      </c>
      <c r="AM11" s="480">
        <f t="shared" ref="AM11:AM29" si="8">IF(ISERROR((G11-F11)/F11),"x",(G11-F11)/F11)</f>
        <v>-3.6885245901639344E-2</v>
      </c>
      <c r="AN11" s="480">
        <f t="shared" ref="AN11:AN29" si="9">IF(ISERROR((H11-G11)/G11),"x",(H11-G11)/G11)</f>
        <v>9.2198581560283682E-3</v>
      </c>
      <c r="AO11" s="480">
        <f>AVERAGE(AK11:AN11)</f>
        <v>-1.6620020104647526E-2</v>
      </c>
      <c r="AP11" s="52"/>
      <c r="AQ11" s="52"/>
      <c r="AR11" s="52"/>
      <c r="AS11" s="52"/>
      <c r="AT11" s="52"/>
      <c r="AU11" s="52"/>
      <c r="AV11" s="52"/>
      <c r="AW11" s="52"/>
    </row>
    <row r="12" spans="1:49" s="61" customFormat="1" ht="15.75" customHeight="1">
      <c r="A12" s="1103">
        <f>VLOOKUP(B12,ReportData!$AQ$4:$AR$25,2,FALSE)</f>
        <v>0</v>
      </c>
      <c r="B12" s="885" t="str">
        <f>ReportData!$K$5</f>
        <v>Brighton &amp; Hove</v>
      </c>
      <c r="C12" s="896"/>
      <c r="D12" s="889">
        <f>IF(Year1_Brighton_and_Hove Year1_Assessments="","",Year1_Brighton_and_Hove Year1_Assessments)</f>
        <v>2754</v>
      </c>
      <c r="E12" s="889">
        <f>IF(Year2_Brighton_and_Hove Year2_Assessments="","",Year2_Brighton_and_Hove Year2_Assessments)</f>
        <v>2146</v>
      </c>
      <c r="F12" s="889">
        <f>IF(Year3_Brighton_and_Hove Year3_Assessments="","",Year3_Brighton_and_Hove Year3_Assessments)</f>
        <v>2646</v>
      </c>
      <c r="G12" s="889">
        <f>IF(Year4_Brighton_and_Hove Year4_Assessments="","",Year4_Brighton_and_Hove Year4_Assessments)</f>
        <v>3144</v>
      </c>
      <c r="H12" s="890">
        <f>IF(Year5_Brighton_and_Hove Year5_Assessments="","",Year5_Brighton_and_Hove Year5_Assessments)</f>
        <v>2869</v>
      </c>
      <c r="I12" s="900">
        <f t="shared" si="0"/>
        <v>2.8240561575134552E-2</v>
      </c>
      <c r="J12" s="896"/>
      <c r="K12" s="901">
        <f>IF(ISNUMBER(D12),D12/Population!D12*10000,NA())</f>
        <v>568.98475269616961</v>
      </c>
      <c r="L12" s="901">
        <f>IF(ISNUMBER(E12),E12/Population!E12*10000,NA())</f>
        <v>447.41889750646317</v>
      </c>
      <c r="M12" s="901">
        <f>IF(ISNUMBER(F12),F12/Population!F12*10000,NA())</f>
        <v>561.48541114058355</v>
      </c>
      <c r="N12" s="901">
        <f>IF(ISNUMBER(G12),G12/Population!G12*10000,NA())</f>
        <v>666.94951209164185</v>
      </c>
      <c r="O12" s="902">
        <f>IF(ISNUMBER(H12),H12/Population!H12*10000,NA())</f>
        <v>614.79449706424373</v>
      </c>
      <c r="P12" s="903">
        <f t="shared" ref="P12:P25" si="10">IF(ISNUMBER(O12),O12,"")</f>
        <v>614.79449706424373</v>
      </c>
      <c r="Q12" s="1139">
        <f t="shared" si="1"/>
        <v>9</v>
      </c>
      <c r="R12" s="64"/>
      <c r="S12" s="905">
        <f>((IDACI!C10*$Y$41)+$Z$41)/$X$2</f>
        <v>520.03687654650639</v>
      </c>
      <c r="T12" s="906">
        <f t="shared" si="2"/>
        <v>94.757620517737337</v>
      </c>
      <c r="U12" s="89"/>
      <c r="V12" s="103"/>
      <c r="W12" s="115"/>
      <c r="X12" s="51" t="str">
        <f t="shared" si="3"/>
        <v>Brighton &amp; Hove</v>
      </c>
      <c r="Y12" s="27">
        <f>IF(ISNUMBER($H12),IDACI!D10,0)</f>
        <v>45576</v>
      </c>
      <c r="Z12" s="27">
        <f>IF(ISNUMBER($H12),IDACI!E10,0)</f>
        <v>6973.1279999999997</v>
      </c>
      <c r="AA12" s="155">
        <f>IF(ISNUMBER(D12),Population!D12,"")</f>
        <v>48402</v>
      </c>
      <c r="AB12" s="155">
        <f>IF(ISNUMBER(E12),Population!E12,"")</f>
        <v>47964</v>
      </c>
      <c r="AC12" s="155">
        <f>IF(ISNUMBER(F12),Population!F12,"")</f>
        <v>47125</v>
      </c>
      <c r="AD12" s="155">
        <f>IF(ISNUMBER(G12),Population!G12,"")</f>
        <v>47140</v>
      </c>
      <c r="AE12" s="155">
        <f>IF(ISNUMBER(H12),Population!H12,"")</f>
        <v>46666</v>
      </c>
      <c r="AF12" s="65" t="s">
        <v>28</v>
      </c>
      <c r="AG12" s="70">
        <f t="shared" si="4"/>
        <v>614.79449706424373</v>
      </c>
      <c r="AH12" s="156">
        <f t="shared" si="5"/>
        <v>9</v>
      </c>
      <c r="AJ12" s="121"/>
      <c r="AK12" s="480">
        <f t="shared" si="6"/>
        <v>-0.22076978939724037</v>
      </c>
      <c r="AL12" s="480">
        <f t="shared" si="7"/>
        <v>0.23299161230195714</v>
      </c>
      <c r="AM12" s="480">
        <f t="shared" si="8"/>
        <v>0.18820861678004536</v>
      </c>
      <c r="AN12" s="480">
        <f t="shared" si="9"/>
        <v>-8.7468193384223916E-2</v>
      </c>
      <c r="AO12" s="480">
        <f t="shared" ref="AO12:AO25" si="11">AVERAGE(AK12:AN12)</f>
        <v>2.8240561575134552E-2</v>
      </c>
      <c r="AP12" s="52"/>
      <c r="AQ12" s="52"/>
      <c r="AR12" s="52"/>
      <c r="AS12" s="52"/>
      <c r="AT12" s="52"/>
      <c r="AU12" s="52"/>
      <c r="AV12" s="52"/>
      <c r="AW12" s="52"/>
    </row>
    <row r="13" spans="1:49" s="61" customFormat="1" ht="15.75" customHeight="1">
      <c r="A13" s="1103">
        <f>VLOOKUP(B13,ReportData!$AQ$4:$AR$25,2,FALSE)</f>
        <v>0</v>
      </c>
      <c r="B13" s="885" t="str">
        <f>ReportData!$K$6</f>
        <v>Buckinghamshire</v>
      </c>
      <c r="C13" s="896"/>
      <c r="D13" s="889">
        <f>IF(Year1_Buckinghamshire Year1_Assessments="","",Year1_Buckinghamshire Year1_Assessments)</f>
        <v>8122</v>
      </c>
      <c r="E13" s="889">
        <f>IF(Year2_Buckinghamshire Year2_Assessments="","",Year2_Buckinghamshire Year2_Assessments)</f>
        <v>8277</v>
      </c>
      <c r="F13" s="889">
        <f>IF(Year3_Buckinghamshire Year3_Assessments="","",Year3_Buckinghamshire Year3_Assessments)</f>
        <v>10201</v>
      </c>
      <c r="G13" s="889">
        <f>IF(Year4_Buckinghamshire Year4_Assessments="","",Year4_Buckinghamshire Year4_Assessments)</f>
        <v>8877</v>
      </c>
      <c r="H13" s="890">
        <f>IF(Year5_Buckinghamshire Year5_Assessments="","",Year5_Buckinghamshire Year5_Assessments)</f>
        <v>8590</v>
      </c>
      <c r="I13" s="900">
        <f t="shared" si="0"/>
        <v>2.2353350356509795E-2</v>
      </c>
      <c r="J13" s="896"/>
      <c r="K13" s="901">
        <f>IF(ISNUMBER(D13),D13/Population!D13*10000,NA())</f>
        <v>664.99095278253105</v>
      </c>
      <c r="L13" s="901">
        <f>IF(ISNUMBER(E13),E13/Population!E13*10000,NA())</f>
        <v>675.70104902240917</v>
      </c>
      <c r="M13" s="901">
        <f>IF(ISNUMBER(F13),F13/Population!F13*10000,NA())</f>
        <v>825.92502631365869</v>
      </c>
      <c r="N13" s="901">
        <f>IF(ISNUMBER(G13),G13/Population!G13*10000,NA())</f>
        <v>704.99940436008421</v>
      </c>
      <c r="O13" s="902">
        <f>IF(ISNUMBER(H13),H13/Population!H13*10000,NA())</f>
        <v>673.1130892678035</v>
      </c>
      <c r="P13" s="903">
        <f t="shared" si="10"/>
        <v>673.1130892678035</v>
      </c>
      <c r="Q13" s="1139">
        <f t="shared" si="1"/>
        <v>13</v>
      </c>
      <c r="R13" s="64"/>
      <c r="S13" s="905">
        <f>((IDACI!C11*$Y$41)+$Z$41)/$X$2</f>
        <v>389.05043237236811</v>
      </c>
      <c r="T13" s="906">
        <f t="shared" si="2"/>
        <v>284.0626568954354</v>
      </c>
      <c r="U13" s="89"/>
      <c r="V13" s="103"/>
      <c r="W13" s="115"/>
      <c r="X13" s="51" t="str">
        <f t="shared" si="3"/>
        <v>Buckinghamshire</v>
      </c>
      <c r="Y13" s="27">
        <f>IF(ISNUMBER($H13),IDACI!D11,0)</f>
        <v>107385</v>
      </c>
      <c r="Z13" s="27">
        <f>IF(ISNUMBER($H13),IDACI!E11,0)</f>
        <v>9127.7250000000004</v>
      </c>
      <c r="AA13" s="155">
        <f>IF(ISNUMBER(D13),Population!D13,"")</f>
        <v>122137</v>
      </c>
      <c r="AB13" s="155">
        <f>IF(ISNUMBER(E13),Population!E13,"")</f>
        <v>122495</v>
      </c>
      <c r="AC13" s="155">
        <f>IF(ISNUMBER(F13),Population!F13,"")</f>
        <v>123510</v>
      </c>
      <c r="AD13" s="155">
        <f>IF(ISNUMBER(G13),Population!G13,"")</f>
        <v>125915</v>
      </c>
      <c r="AE13" s="155">
        <f>IF(ISNUMBER(H13),Population!H13,"")</f>
        <v>127616</v>
      </c>
      <c r="AF13" s="65" t="s">
        <v>8</v>
      </c>
      <c r="AG13" s="70">
        <f t="shared" si="4"/>
        <v>673.1130892678035</v>
      </c>
      <c r="AH13" s="156">
        <f t="shared" si="5"/>
        <v>13</v>
      </c>
      <c r="AJ13" s="121"/>
      <c r="AK13" s="480">
        <f t="shared" si="6"/>
        <v>1.9083969465648856E-2</v>
      </c>
      <c r="AL13" s="480">
        <f t="shared" si="7"/>
        <v>0.23245137126978374</v>
      </c>
      <c r="AM13" s="480">
        <f t="shared" si="8"/>
        <v>-0.12979119694147634</v>
      </c>
      <c r="AN13" s="480">
        <f t="shared" si="9"/>
        <v>-3.2330742367917088E-2</v>
      </c>
      <c r="AO13" s="480">
        <f t="shared" si="11"/>
        <v>2.2353350356509795E-2</v>
      </c>
      <c r="AP13" s="52"/>
      <c r="AQ13" s="52"/>
      <c r="AR13" s="52"/>
      <c r="AS13" s="52"/>
      <c r="AT13" s="52"/>
      <c r="AU13" s="52"/>
      <c r="AV13" s="52"/>
      <c r="AW13" s="52"/>
    </row>
    <row r="14" spans="1:49" s="61" customFormat="1" ht="15.75" customHeight="1">
      <c r="A14" s="1103">
        <f>VLOOKUP(B14,ReportData!$AQ$4:$AR$25,2,FALSE)</f>
        <v>0</v>
      </c>
      <c r="B14" s="885" t="str">
        <f>ReportData!$K$7</f>
        <v>East Sussex</v>
      </c>
      <c r="C14" s="896"/>
      <c r="D14" s="889">
        <f>IF(Year1_East_Sussex Year1_Assessments="","",Year1_East_Sussex Year1_Assessments)</f>
        <v>3470</v>
      </c>
      <c r="E14" s="889">
        <f>IF(Year2_East_Sussex Year2_Assessments="","",Year2_East_Sussex Year2_Assessments)</f>
        <v>3184</v>
      </c>
      <c r="F14" s="889">
        <f>IF(Year3_East_Sussex Year3_Assessments="","",Year3_East_Sussex Year3_Assessments)</f>
        <v>3236</v>
      </c>
      <c r="G14" s="889">
        <f>IF(Year4_East_Sussex Year4_Assessments="","",Year4_East_Sussex Year4_Assessments)</f>
        <v>3712</v>
      </c>
      <c r="H14" s="890">
        <f>IF(Year5_East_Sussex Year5_Assessments="","",Year5_East_Sussex Year5_Assessments)</f>
        <v>4223</v>
      </c>
      <c r="I14" s="900">
        <f t="shared" si="0"/>
        <v>5.4666931544143649E-2</v>
      </c>
      <c r="J14" s="896"/>
      <c r="K14" s="901">
        <f>IF(ISNUMBER(D14),D14/Population!D14*10000,NA())</f>
        <v>337.15179603773765</v>
      </c>
      <c r="L14" s="901">
        <f>IF(ISNUMBER(E14),E14/Population!E14*10000,NA())</f>
        <v>310.87981722141399</v>
      </c>
      <c r="M14" s="901">
        <f>IF(ISNUMBER(F14),F14/Population!F14*10000,NA())</f>
        <v>317.38247727027533</v>
      </c>
      <c r="N14" s="901">
        <f>IF(ISNUMBER(G14),G14/Population!G14*10000,NA())</f>
        <v>361.00170192073915</v>
      </c>
      <c r="O14" s="902">
        <f>IF(ISNUMBER(H14),H14/Population!H14*10000,NA())</f>
        <v>407.60187633920816</v>
      </c>
      <c r="P14" s="903">
        <f t="shared" si="10"/>
        <v>407.60187633920816</v>
      </c>
      <c r="Q14" s="1139">
        <f t="shared" si="1"/>
        <v>4</v>
      </c>
      <c r="R14" s="64"/>
      <c r="S14" s="905">
        <f>((IDACI!C12*$Y$41)+$Z$41)/$X$2</f>
        <v>535.44704644934632</v>
      </c>
      <c r="T14" s="906">
        <f t="shared" si="2"/>
        <v>-127.84517011013816</v>
      </c>
      <c r="U14" s="89"/>
      <c r="V14" s="103"/>
      <c r="W14" s="115"/>
      <c r="X14" s="51" t="str">
        <f t="shared" si="3"/>
        <v>East Sussex</v>
      </c>
      <c r="Y14" s="27">
        <f>IF(ISNUMBER($H14),IDACI!D12,0)</f>
        <v>93130</v>
      </c>
      <c r="Z14" s="27">
        <f>IF(ISNUMBER($H14),IDACI!E12,0)</f>
        <v>14993.93</v>
      </c>
      <c r="AA14" s="155">
        <f>IF(ISNUMBER(D14),Population!D14,"")</f>
        <v>102921</v>
      </c>
      <c r="AB14" s="155">
        <f>IF(ISNUMBER(E14),Population!E14,"")</f>
        <v>102419</v>
      </c>
      <c r="AC14" s="155">
        <f>IF(ISNUMBER(F14),Population!F14,"")</f>
        <v>101959</v>
      </c>
      <c r="AD14" s="155">
        <f>IF(ISNUMBER(G14),Population!G14,"")</f>
        <v>102825</v>
      </c>
      <c r="AE14" s="155">
        <f>IF(ISNUMBER(H14),Population!H14,"")</f>
        <v>103606</v>
      </c>
      <c r="AF14" s="65" t="s">
        <v>4</v>
      </c>
      <c r="AG14" s="70">
        <f t="shared" si="4"/>
        <v>407.60187633920816</v>
      </c>
      <c r="AH14" s="156">
        <f t="shared" si="5"/>
        <v>4</v>
      </c>
      <c r="AJ14" s="121"/>
      <c r="AK14" s="480">
        <f t="shared" si="6"/>
        <v>-8.2420749279538907E-2</v>
      </c>
      <c r="AL14" s="480">
        <f t="shared" si="7"/>
        <v>1.6331658291457288E-2</v>
      </c>
      <c r="AM14" s="480">
        <f t="shared" si="8"/>
        <v>0.14709517923362175</v>
      </c>
      <c r="AN14" s="480">
        <f t="shared" si="9"/>
        <v>0.13766163793103448</v>
      </c>
      <c r="AO14" s="480">
        <f t="shared" si="11"/>
        <v>5.4666931544143649E-2</v>
      </c>
      <c r="AP14" s="52"/>
      <c r="AQ14" s="52"/>
      <c r="AR14" s="52"/>
      <c r="AS14" s="52"/>
      <c r="AT14" s="52"/>
      <c r="AU14" s="52"/>
      <c r="AV14" s="52"/>
      <c r="AW14" s="52"/>
    </row>
    <row r="15" spans="1:49" s="61" customFormat="1" ht="15.75" customHeight="1">
      <c r="A15" s="1103">
        <f>VLOOKUP(B15,ReportData!$AQ$4:$AR$25,2,FALSE)</f>
        <v>0</v>
      </c>
      <c r="B15" s="885" t="str">
        <f>ReportData!$K$8</f>
        <v>Hampshire</v>
      </c>
      <c r="C15" s="896"/>
      <c r="D15" s="889">
        <f>IF(Year1_Hampshire Year1_Assessments="","",Year1_Hampshire Year1_Assessments)</f>
        <v>19712</v>
      </c>
      <c r="E15" s="889">
        <f>IF(Year2_Hampshire Year2_Assessments="","",Year2_Hampshire Year2_Assessments)</f>
        <v>22008</v>
      </c>
      <c r="F15" s="891">
        <f>IF(Year3_Hampshire Year3_Assessments="","",Year3_Hampshire Year3_Assessments)</f>
        <v>27661</v>
      </c>
      <c r="G15" s="891">
        <f>IF(Year4_Hampshire Year4_Assessments="","",Year4_Hampshire Year4_Assessments)</f>
        <v>28484</v>
      </c>
      <c r="H15" s="890" t="str">
        <f>IF(Year5_Hampshire Year5_Assessments="","",Year5_Hampshire Year5_Assessments)</f>
        <v>u</v>
      </c>
      <c r="I15" s="900">
        <f t="shared" si="0"/>
        <v>0.13436383202898139</v>
      </c>
      <c r="J15" s="896"/>
      <c r="K15" s="901">
        <f>IF(ISNUMBER(D15),D15/Population!D15*10000,NA())</f>
        <v>705.66334932340521</v>
      </c>
      <c r="L15" s="901">
        <f>IF(ISNUMBER(E15),E15/Population!E15*10000,NA())</f>
        <v>787.47370078289373</v>
      </c>
      <c r="M15" s="901">
        <f>IF(ISNUMBER(F15),F15/Population!F15*10000,NA())</f>
        <v>984.62600870682638</v>
      </c>
      <c r="N15" s="901">
        <f>IF(ISNUMBER(G15),G15/Population!G15*10000,NA())</f>
        <v>1004.7727056267131</v>
      </c>
      <c r="O15" s="902" t="e">
        <f>IF(ISNUMBER(H15),H15/Population!H15*10000,NA())</f>
        <v>#N/A</v>
      </c>
      <c r="P15" s="903" t="str">
        <f t="shared" si="10"/>
        <v/>
      </c>
      <c r="Q15" s="1139" t="e">
        <f t="shared" si="1"/>
        <v>#N/A</v>
      </c>
      <c r="R15" s="64"/>
      <c r="S15" s="905">
        <f>((IDACI!C13*$Y$41)+$Z$41)/$X$2</f>
        <v>419.87077217804773</v>
      </c>
      <c r="T15" s="906" t="e">
        <f t="shared" si="2"/>
        <v>#N/A</v>
      </c>
      <c r="U15" s="89"/>
      <c r="V15" s="103"/>
      <c r="W15" s="115"/>
      <c r="X15" s="51" t="str">
        <f t="shared" si="3"/>
        <v>Hampshire</v>
      </c>
      <c r="Y15" s="27">
        <f>IF(ISNUMBER($H15),IDACI!D13,0)</f>
        <v>0</v>
      </c>
      <c r="Z15" s="27">
        <f>IF(ISNUMBER($H15),IDACI!E13,0)</f>
        <v>0</v>
      </c>
      <c r="AA15" s="155">
        <f>IF(ISNUMBER(D15),Population!D15,"")</f>
        <v>279340</v>
      </c>
      <c r="AB15" s="155">
        <f>IF(ISNUMBER(E15),Population!E15,"")</f>
        <v>279476</v>
      </c>
      <c r="AC15" s="155">
        <f>IF(ISNUMBER(F15),Population!F15,"")</f>
        <v>280929</v>
      </c>
      <c r="AD15" s="155">
        <f>IF(ISNUMBER(G15),Population!G15,"")</f>
        <v>283487</v>
      </c>
      <c r="AE15" s="155" t="str">
        <f>IF(ISNUMBER(H15),Population!H15,"")</f>
        <v/>
      </c>
      <c r="AF15" s="65" t="s">
        <v>6</v>
      </c>
      <c r="AG15" s="70" t="str">
        <f t="shared" si="4"/>
        <v/>
      </c>
      <c r="AH15" s="156" t="e">
        <f t="shared" si="5"/>
        <v>#VALUE!</v>
      </c>
      <c r="AJ15" s="121"/>
      <c r="AK15" s="480">
        <f t="shared" si="6"/>
        <v>0.11647727272727272</v>
      </c>
      <c r="AL15" s="480">
        <f t="shared" si="7"/>
        <v>0.25686114140312616</v>
      </c>
      <c r="AM15" s="480">
        <f t="shared" si="8"/>
        <v>2.9753081956545316E-2</v>
      </c>
      <c r="AN15" s="480" t="str">
        <f t="shared" si="9"/>
        <v>x</v>
      </c>
      <c r="AO15" s="480">
        <f t="shared" si="11"/>
        <v>0.13436383202898139</v>
      </c>
      <c r="AP15" s="52"/>
      <c r="AQ15" s="52"/>
      <c r="AR15" s="52"/>
      <c r="AS15" s="52"/>
      <c r="AT15" s="52"/>
      <c r="AU15" s="52"/>
      <c r="AV15" s="52"/>
      <c r="AW15" s="52"/>
    </row>
    <row r="16" spans="1:49" s="61" customFormat="1" ht="15.75" customHeight="1">
      <c r="A16" s="1103">
        <f>VLOOKUP(B16,ReportData!$AQ$4:$AR$25,2,FALSE)</f>
        <v>0</v>
      </c>
      <c r="B16" s="885" t="str">
        <f>ReportData!$K$9</f>
        <v>Isle of Wight</v>
      </c>
      <c r="C16" s="896"/>
      <c r="D16" s="889">
        <f>IF(Year1_Isle_of_Wight Year1_Assessments="","",Year1_Isle_of_Wight Year1_Assessments)</f>
        <v>3149</v>
      </c>
      <c r="E16" s="889">
        <f>IF(Year2_Isle_of_Wight Year2_Assessments="","",Year2_Isle_of_Wight Year2_Assessments)</f>
        <v>3463</v>
      </c>
      <c r="F16" s="889">
        <f>IF(Year3_Isle_of_Wight Year3_Assessments="","",Year3_Isle_of_Wight Year3_Assessments)</f>
        <v>4179</v>
      </c>
      <c r="G16" s="889">
        <f>IF(Year4_Isle_of_Wight Year4_Assessments="","",Year4_Isle_of_Wight Year4_Assessments)</f>
        <v>3957</v>
      </c>
      <c r="H16" s="890">
        <f>IF(Year5_Isle_of_Wight Year5_Assessments="","",Year5_Isle_of_Wight Year5_Assessments)</f>
        <v>3969</v>
      </c>
      <c r="I16" s="900">
        <f t="shared" si="0"/>
        <v>6.4095296444866195E-2</v>
      </c>
      <c r="J16" s="896"/>
      <c r="K16" s="901">
        <f>IF(ISNUMBER(D16),D16/Population!D16*10000,NA())</f>
        <v>1295.8314472655447</v>
      </c>
      <c r="L16" s="901">
        <f>IF(ISNUMBER(E16),E16/Population!E16*10000,NA())</f>
        <v>1449.4391428093086</v>
      </c>
      <c r="M16" s="901">
        <f>IF(ISNUMBER(F16),F16/Population!F16*10000,NA())</f>
        <v>1768.0656625486547</v>
      </c>
      <c r="N16" s="901">
        <f>IF(ISNUMBER(G16),G16/Population!G16*10000,NA())</f>
        <v>1681.3971275601259</v>
      </c>
      <c r="O16" s="902">
        <f>IF(ISNUMBER(H16),H16/Population!H16*10000,NA())</f>
        <v>1693.4038740506869</v>
      </c>
      <c r="P16" s="903">
        <f t="shared" si="10"/>
        <v>1693.4038740506869</v>
      </c>
      <c r="Q16" s="1139">
        <f t="shared" si="1"/>
        <v>18</v>
      </c>
      <c r="R16" s="64"/>
      <c r="S16" s="905">
        <f>((IDACI!C14*$Y$41)+$Z$41)/$X$2</f>
        <v>572.04619996859071</v>
      </c>
      <c r="T16" s="906">
        <f t="shared" si="2"/>
        <v>1121.3576740820963</v>
      </c>
      <c r="U16" s="89"/>
      <c r="V16" s="103"/>
      <c r="W16" s="115"/>
      <c r="X16" s="51" t="str">
        <f t="shared" si="3"/>
        <v>Isle of Wight</v>
      </c>
      <c r="Y16" s="27">
        <f>IF(ISNUMBER($H16),IDACI!D14,0)</f>
        <v>22123</v>
      </c>
      <c r="Z16" s="27">
        <f>IF(ISNUMBER($H16),IDACI!E14,0)</f>
        <v>3982.14</v>
      </c>
      <c r="AA16" s="155">
        <f>IF(ISNUMBER(D16),Population!D16,"")</f>
        <v>24301</v>
      </c>
      <c r="AB16" s="155">
        <f>IF(ISNUMBER(E16),Population!E16,"")</f>
        <v>23892</v>
      </c>
      <c r="AC16" s="155">
        <f>IF(ISNUMBER(F16),Population!F16,"")</f>
        <v>23636</v>
      </c>
      <c r="AD16" s="155">
        <f>IF(ISNUMBER(G16),Population!G16,"")</f>
        <v>23534</v>
      </c>
      <c r="AE16" s="155">
        <f>IF(ISNUMBER(H16),Population!H16,"")</f>
        <v>23438</v>
      </c>
      <c r="AF16" s="65" t="s">
        <v>1</v>
      </c>
      <c r="AG16" s="70">
        <f t="shared" si="4"/>
        <v>1693.4038740506869</v>
      </c>
      <c r="AH16" s="156">
        <f t="shared" si="5"/>
        <v>18</v>
      </c>
      <c r="AJ16" s="121"/>
      <c r="AK16" s="480">
        <f t="shared" si="6"/>
        <v>9.9714194982534143E-2</v>
      </c>
      <c r="AL16" s="480">
        <f t="shared" si="7"/>
        <v>0.2067571469823852</v>
      </c>
      <c r="AM16" s="480">
        <f t="shared" si="8"/>
        <v>-5.3122756640344583E-2</v>
      </c>
      <c r="AN16" s="480">
        <f t="shared" si="9"/>
        <v>3.0326004548900682E-3</v>
      </c>
      <c r="AO16" s="480">
        <f t="shared" si="11"/>
        <v>6.4095296444866195E-2</v>
      </c>
      <c r="AP16" s="52"/>
      <c r="AQ16" s="52"/>
      <c r="AR16" s="52"/>
      <c r="AS16" s="52"/>
      <c r="AT16" s="52"/>
      <c r="AU16" s="52"/>
      <c r="AV16" s="52"/>
      <c r="AW16" s="52"/>
    </row>
    <row r="17" spans="1:49" s="61" customFormat="1" ht="15.75" customHeight="1">
      <c r="A17" s="1103">
        <f>VLOOKUP(B17,ReportData!$AQ$4:$AR$25,2,FALSE)</f>
        <v>0</v>
      </c>
      <c r="B17" s="885" t="str">
        <f>ReportData!$K$10</f>
        <v>Kent</v>
      </c>
      <c r="C17" s="896"/>
      <c r="D17" s="889">
        <f>IF(Year1_Kent Year1_Assessments="","",Year1_Kent Year1_Assessments)</f>
        <v>20686</v>
      </c>
      <c r="E17" s="889">
        <f>IF(Year2_Kent Year2_Assessments="","",Year2_Kent Year2_Assessments)</f>
        <v>18350</v>
      </c>
      <c r="F17" s="889">
        <f>IF(Year3_Kent Year3_Assessments="","",Year3_Kent Year3_Assessments)</f>
        <v>18796</v>
      </c>
      <c r="G17" s="889">
        <f>IF(Year4_Kent Year4_Assessments="","",Year4_Kent Year4_Assessments)</f>
        <v>20733</v>
      </c>
      <c r="H17" s="890">
        <f>IF(Year5_Kent Year5_Assessments="","",Year5_Kent Year5_Assessments)</f>
        <v>21680</v>
      </c>
      <c r="I17" s="900">
        <f t="shared" si="0"/>
        <v>1.5027094204214074E-2</v>
      </c>
      <c r="J17" s="896"/>
      <c r="K17" s="901">
        <f>IF(ISNUMBER(D17),D17/Population!D17*10000,NA())</f>
        <v>620.56200370189265</v>
      </c>
      <c r="L17" s="901">
        <f>IF(ISNUMBER(E17),E17/Population!E17*10000,NA())</f>
        <v>548.7046384230797</v>
      </c>
      <c r="M17" s="901">
        <f>IF(ISNUMBER(F17),F17/Population!F17*10000,NA())</f>
        <v>559.25329747003047</v>
      </c>
      <c r="N17" s="901">
        <f>IF(ISNUMBER(G17),G17/Population!G17*10000,NA())</f>
        <v>604.71098822252952</v>
      </c>
      <c r="O17" s="902">
        <f>IF(ISNUMBER(H17),H17/Population!H17*10000,NA())</f>
        <v>622.39472686976796</v>
      </c>
      <c r="P17" s="903">
        <f t="shared" si="10"/>
        <v>622.39472686976796</v>
      </c>
      <c r="Q17" s="1139">
        <f t="shared" si="1"/>
        <v>10</v>
      </c>
      <c r="R17" s="64"/>
      <c r="S17" s="905">
        <f>((IDACI!C15*$Y$41)+$Z$41)/$X$2</f>
        <v>529.66823273578132</v>
      </c>
      <c r="T17" s="906">
        <f t="shared" si="2"/>
        <v>92.726494133986648</v>
      </c>
      <c r="U17" s="89"/>
      <c r="V17" s="103"/>
      <c r="W17" s="115"/>
      <c r="X17" s="51" t="str">
        <f t="shared" si="3"/>
        <v>Kent</v>
      </c>
      <c r="Y17" s="27">
        <f>IF(ISNUMBER($H17),IDACI!D15,0)</f>
        <v>291866</v>
      </c>
      <c r="Z17" s="27">
        <f>IF(ISNUMBER($H17),IDACI!E15,0)</f>
        <v>46114.828000000001</v>
      </c>
      <c r="AA17" s="155">
        <f>IF(ISNUMBER(D17),Population!D17,"")</f>
        <v>333343</v>
      </c>
      <c r="AB17" s="155">
        <f>IF(ISNUMBER(E17),Population!E17,"")</f>
        <v>334424</v>
      </c>
      <c r="AC17" s="155">
        <f>IF(ISNUMBER(F17),Population!F17,"")</f>
        <v>336091</v>
      </c>
      <c r="AD17" s="155">
        <f>IF(ISNUMBER(G17),Population!G17,"")</f>
        <v>342858</v>
      </c>
      <c r="AE17" s="155">
        <f>IF(ISNUMBER(H17),Population!H17,"")</f>
        <v>348332</v>
      </c>
      <c r="AF17" s="65" t="s">
        <v>9</v>
      </c>
      <c r="AG17" s="70">
        <f t="shared" si="4"/>
        <v>622.39472686976796</v>
      </c>
      <c r="AH17" s="156">
        <f t="shared" si="5"/>
        <v>10</v>
      </c>
      <c r="AJ17" s="121"/>
      <c r="AK17" s="480">
        <f t="shared" si="6"/>
        <v>-0.1129266170356763</v>
      </c>
      <c r="AL17" s="480">
        <f t="shared" si="7"/>
        <v>2.4305177111716623E-2</v>
      </c>
      <c r="AM17" s="480">
        <f t="shared" si="8"/>
        <v>0.10305384124281762</v>
      </c>
      <c r="AN17" s="480">
        <f t="shared" si="9"/>
        <v>4.5675975497998358E-2</v>
      </c>
      <c r="AO17" s="480">
        <f t="shared" si="11"/>
        <v>1.5027094204214074E-2</v>
      </c>
      <c r="AP17" s="52"/>
      <c r="AQ17" s="52"/>
      <c r="AR17" s="52"/>
      <c r="AS17" s="52"/>
      <c r="AT17" s="52"/>
      <c r="AU17" s="52"/>
      <c r="AV17" s="52"/>
      <c r="AW17" s="52"/>
    </row>
    <row r="18" spans="1:49" s="61" customFormat="1" ht="15.75" customHeight="1">
      <c r="A18" s="1103">
        <f>VLOOKUP(B18,ReportData!$AQ$4:$AR$25,2,FALSE)</f>
        <v>0</v>
      </c>
      <c r="B18" s="885" t="str">
        <f>ReportData!$K$11</f>
        <v>Medway</v>
      </c>
      <c r="C18" s="896"/>
      <c r="D18" s="889">
        <f>IF(Year1_Medway Year1_Assessments="","",Year1_Medway Year1_Assessments)</f>
        <v>4769</v>
      </c>
      <c r="E18" s="1173">
        <f>IF(Year2_Medway Year2_Assessments="","",Year2_Medway Year2_Assessments)</f>
        <v>3294</v>
      </c>
      <c r="F18" s="1173">
        <f>IF(Year3_Medway Year3_Assessments="","",Year3_Medway Year3_Assessments)</f>
        <v>3595</v>
      </c>
      <c r="G18" s="1173">
        <f>IF(Year4_Medway Year4_Assessments="","",Year4_Medway Year4_Assessments)</f>
        <v>4041</v>
      </c>
      <c r="H18" s="1174">
        <f>IF(Year5_Medway Year5_Assessments="","",Year5_Medway Year5_Assessments)</f>
        <v>5377</v>
      </c>
      <c r="I18" s="900">
        <f t="shared" si="0"/>
        <v>5.9190383826277962E-2</v>
      </c>
      <c r="J18" s="896"/>
      <c r="K18" s="901">
        <f>IF(ISNUMBER(D18),D18/Population!D18*10000,NA())</f>
        <v>748.99484859907022</v>
      </c>
      <c r="L18" s="901">
        <f>IF(ISNUMBER(E18),E18/Population!E18*10000,NA())</f>
        <v>517.1520527513934</v>
      </c>
      <c r="M18" s="901">
        <f>IF(ISNUMBER(F18),F18/Population!F18*10000,NA())</f>
        <v>563.32952034724292</v>
      </c>
      <c r="N18" s="901">
        <f>IF(ISNUMBER(G18),G18/Population!G18*10000,NA())</f>
        <v>622.12300823647138</v>
      </c>
      <c r="O18" s="902">
        <f>IF(ISNUMBER(H18),H18/Population!H18*10000,NA())</f>
        <v>806.30407725643681</v>
      </c>
      <c r="P18" s="903">
        <f t="shared" si="10"/>
        <v>806.30407725643681</v>
      </c>
      <c r="Q18" s="1139">
        <f t="shared" si="1"/>
        <v>17</v>
      </c>
      <c r="R18" s="64"/>
      <c r="S18" s="905">
        <f>((IDACI!C16*$Y$41)+$Z$41)/$X$2</f>
        <v>589.38264110928549</v>
      </c>
      <c r="T18" s="906">
        <f t="shared" si="2"/>
        <v>216.92143614715133</v>
      </c>
      <c r="U18" s="89"/>
      <c r="V18" s="103"/>
      <c r="W18" s="115"/>
      <c r="X18" s="51" t="str">
        <f t="shared" si="3"/>
        <v>Medway</v>
      </c>
      <c r="Y18" s="27">
        <f>IF(ISNUMBER($H18),IDACI!D16,0)</f>
        <v>55993</v>
      </c>
      <c r="Z18" s="27">
        <f>IF(ISNUMBER($H18),IDACI!E16,0)</f>
        <v>10582.676999999998</v>
      </c>
      <c r="AA18" s="155">
        <f>IF(ISNUMBER(D18),Population!D18,"")</f>
        <v>63672</v>
      </c>
      <c r="AB18" s="155">
        <f>IF(ISNUMBER(E18),Population!E18,"")</f>
        <v>63695</v>
      </c>
      <c r="AC18" s="155">
        <f>IF(ISNUMBER(F18),Population!F18,"")</f>
        <v>63817</v>
      </c>
      <c r="AD18" s="155">
        <f>IF(ISNUMBER(G18),Population!G18,"")</f>
        <v>64955</v>
      </c>
      <c r="AE18" s="155">
        <f>IF(ISNUMBER(H18),Population!H18,"")</f>
        <v>66687</v>
      </c>
      <c r="AF18" s="65" t="s">
        <v>2</v>
      </c>
      <c r="AG18" s="70">
        <f t="shared" si="4"/>
        <v>806.30407725643681</v>
      </c>
      <c r="AH18" s="156">
        <f t="shared" si="5"/>
        <v>17</v>
      </c>
      <c r="AJ18" s="121"/>
      <c r="AK18" s="480">
        <f t="shared" si="6"/>
        <v>-0.30928915915286226</v>
      </c>
      <c r="AL18" s="480">
        <f t="shared" si="7"/>
        <v>9.1378263509411056E-2</v>
      </c>
      <c r="AM18" s="480">
        <f t="shared" si="8"/>
        <v>0.12406119610570236</v>
      </c>
      <c r="AN18" s="480">
        <f t="shared" si="9"/>
        <v>0.3306112348428607</v>
      </c>
      <c r="AO18" s="480">
        <f t="shared" si="11"/>
        <v>5.9190383826277962E-2</v>
      </c>
      <c r="AP18" s="52"/>
      <c r="AQ18" s="52"/>
      <c r="AR18" s="52"/>
      <c r="AS18" s="52"/>
      <c r="AT18" s="52"/>
      <c r="AU18" s="52"/>
      <c r="AV18" s="52"/>
      <c r="AW18" s="52"/>
    </row>
    <row r="19" spans="1:49" s="61" customFormat="1" ht="15.75" customHeight="1">
      <c r="A19" s="1103">
        <f>VLOOKUP(B19,ReportData!$AQ$4:$AR$25,2,FALSE)</f>
        <v>0</v>
      </c>
      <c r="B19" s="885" t="str">
        <f>ReportData!$K$12</f>
        <v>Milton Keynes</v>
      </c>
      <c r="C19" s="896"/>
      <c r="D19" s="889">
        <f>IF(Year1_Milton_Keynes Year1_Assessments="","",Year1_Milton_Keynes Year1_Assessments)</f>
        <v>3052</v>
      </c>
      <c r="E19" s="889">
        <f>IF(Year2_Milton_Keynes Year2_Assessments="","",Year2_Milton_Keynes Year2_Assessments)</f>
        <v>3518</v>
      </c>
      <c r="F19" s="889">
        <f>IF(Year3_Milton_Keynes Year3_Assessments="","",Year3_Milton_Keynes Year3_Assessments)</f>
        <v>3568</v>
      </c>
      <c r="G19" s="889">
        <f>IF(Year4_Milton_Keynes Year4_Assessments="","",Year4_Milton_Keynes Year4_Assessments)</f>
        <v>4052</v>
      </c>
      <c r="H19" s="890">
        <f>IF(Year5_Milton_Keynes Year5_Assessments="","",Year5_Milton_Keynes Year5_Assessments)</f>
        <v>3607</v>
      </c>
      <c r="I19" s="900">
        <f t="shared" si="0"/>
        <v>4.8181824457661102E-2</v>
      </c>
      <c r="J19" s="896"/>
      <c r="K19" s="901">
        <f>IF(ISNUMBER(D19),D19/Population!D19*10000,NA())</f>
        <v>442.08178223271574</v>
      </c>
      <c r="L19" s="901">
        <f>IF(ISNUMBER(E19),E19/Population!E19*10000,NA())</f>
        <v>507.61128345718197</v>
      </c>
      <c r="M19" s="901">
        <f>IF(ISNUMBER(F19),F19/Population!F19*10000,NA())</f>
        <v>512.38601278092915</v>
      </c>
      <c r="N19" s="901">
        <f>IF(ISNUMBER(G19),G19/Population!G19*10000,NA())</f>
        <v>571.09836365942692</v>
      </c>
      <c r="O19" s="902">
        <f>IF(ISNUMBER(H19),H19/Population!H19*10000,NA())</f>
        <v>495.48745140596458</v>
      </c>
      <c r="P19" s="903">
        <f t="shared" si="10"/>
        <v>495.48745140596458</v>
      </c>
      <c r="Q19" s="1139">
        <f t="shared" si="1"/>
        <v>7</v>
      </c>
      <c r="R19" s="64"/>
      <c r="S19" s="905">
        <f>((IDACI!C17*$Y$41)+$Z$41)/$X$2</f>
        <v>514.2580628329415</v>
      </c>
      <c r="T19" s="906">
        <f t="shared" si="2"/>
        <v>-18.770611426976927</v>
      </c>
      <c r="U19" s="89"/>
      <c r="V19" s="103"/>
      <c r="W19" s="115"/>
      <c r="X19" s="51" t="str">
        <f t="shared" si="3"/>
        <v>Milton Keynes</v>
      </c>
      <c r="Y19" s="27">
        <f>IF(ISNUMBER($H19),IDACI!D17,0)</f>
        <v>59903</v>
      </c>
      <c r="Z19" s="27">
        <f>IF(ISNUMBER($H19),IDACI!E17,0)</f>
        <v>8985.4499999999989</v>
      </c>
      <c r="AA19" s="155">
        <f>IF(ISNUMBER(D19),Population!D19,"")</f>
        <v>69037</v>
      </c>
      <c r="AB19" s="155">
        <f>IF(ISNUMBER(E19),Population!E19,"")</f>
        <v>69305</v>
      </c>
      <c r="AC19" s="155">
        <f>IF(ISNUMBER(F19),Population!F19,"")</f>
        <v>69635</v>
      </c>
      <c r="AD19" s="155">
        <f>IF(ISNUMBER(G19),Population!G19,"")</f>
        <v>70951</v>
      </c>
      <c r="AE19" s="155">
        <f>IF(ISNUMBER(H19),Population!H19,"")</f>
        <v>72797</v>
      </c>
      <c r="AF19" s="65" t="s">
        <v>10</v>
      </c>
      <c r="AG19" s="70">
        <f t="shared" si="4"/>
        <v>495.48745140596458</v>
      </c>
      <c r="AH19" s="156">
        <f t="shared" si="5"/>
        <v>7</v>
      </c>
      <c r="AJ19" s="121"/>
      <c r="AK19" s="480">
        <f t="shared" si="6"/>
        <v>0.1526867627785059</v>
      </c>
      <c r="AL19" s="480">
        <f t="shared" si="7"/>
        <v>1.4212620807276862E-2</v>
      </c>
      <c r="AM19" s="480">
        <f t="shared" si="8"/>
        <v>0.13565022421524664</v>
      </c>
      <c r="AN19" s="480">
        <f t="shared" si="9"/>
        <v>-0.109822309970385</v>
      </c>
      <c r="AO19" s="480">
        <f t="shared" si="11"/>
        <v>4.8181824457661102E-2</v>
      </c>
      <c r="AP19" s="52"/>
      <c r="AQ19" s="52"/>
      <c r="AR19" s="52"/>
      <c r="AS19" s="52"/>
      <c r="AT19" s="52"/>
      <c r="AU19" s="52"/>
      <c r="AV19" s="52"/>
      <c r="AW19" s="52"/>
    </row>
    <row r="20" spans="1:49" s="61" customFormat="1" ht="15.75" customHeight="1">
      <c r="A20" s="1103">
        <f>VLOOKUP(B20,ReportData!$AQ$4:$AR$25,2,FALSE)</f>
        <v>0</v>
      </c>
      <c r="B20" s="885" t="str">
        <f>ReportData!$K$13</f>
        <v>Oxfordshire</v>
      </c>
      <c r="C20" s="896"/>
      <c r="D20" s="889">
        <f>IF(Year1_Oxfordshire Year1_Assessments="","",Year1_Oxfordshire Year1_Assessments)</f>
        <v>7021</v>
      </c>
      <c r="E20" s="889">
        <f>IF(Year2_Oxfordshire Year2_Assessments="","",Year2_Oxfordshire Year2_Assessments)</f>
        <v>5937</v>
      </c>
      <c r="F20" s="889">
        <f>IF(Year3_Oxfordshire Year3_Assessments="","",Year3_Oxfordshire Year3_Assessments)</f>
        <v>5939</v>
      </c>
      <c r="G20" s="889">
        <f>IF(Year4_Oxfordshire Year4_Assessments="","",Year4_Oxfordshire Year4_Assessments)</f>
        <v>5732</v>
      </c>
      <c r="H20" s="890">
        <f>IF(Year5_Oxfordshire Year5_Assessments="","",Year5_Oxfordshire Year5_Assessments)</f>
        <v>5366</v>
      </c>
      <c r="I20" s="900">
        <f t="shared" si="0"/>
        <v>-6.3190875425952669E-2</v>
      </c>
      <c r="J20" s="896"/>
      <c r="K20" s="901">
        <f>IF(ISNUMBER(D20),D20/Population!D20*10000,NA())</f>
        <v>486.12120834458455</v>
      </c>
      <c r="L20" s="901">
        <f>IF(ISNUMBER(E20),E20/Population!E20*10000,NA())</f>
        <v>408.83080037736107</v>
      </c>
      <c r="M20" s="901">
        <f>IF(ISNUMBER(F20),F20/Population!F20*10000,NA())</f>
        <v>405.8274054789091</v>
      </c>
      <c r="N20" s="901">
        <f>IF(ISNUMBER(G20),G20/Population!G20*10000,NA())</f>
        <v>383.313940269363</v>
      </c>
      <c r="O20" s="902">
        <f>IF(ISNUMBER(H20),H20/Population!H20*10000,NA())</f>
        <v>351.85731615356872</v>
      </c>
      <c r="P20" s="903">
        <f t="shared" si="10"/>
        <v>351.85731615356872</v>
      </c>
      <c r="Q20" s="1139">
        <f t="shared" si="1"/>
        <v>2</v>
      </c>
      <c r="R20" s="64"/>
      <c r="S20" s="905">
        <f>((IDACI!C18*$Y$41)+$Z$41)/$X$2</f>
        <v>419.87077217804773</v>
      </c>
      <c r="T20" s="906">
        <f t="shared" si="2"/>
        <v>-68.013456024479012</v>
      </c>
      <c r="U20" s="89"/>
      <c r="V20" s="103"/>
      <c r="W20" s="115"/>
      <c r="X20" s="51" t="str">
        <f t="shared" si="3"/>
        <v>Oxfordshire</v>
      </c>
      <c r="Y20" s="27">
        <f>IF(ISNUMBER($H20),IDACI!D18,0)</f>
        <v>126119</v>
      </c>
      <c r="Z20" s="27">
        <f>IF(ISNUMBER($H20),IDACI!E18,0)</f>
        <v>12738.019000000002</v>
      </c>
      <c r="AA20" s="155">
        <f>IF(ISNUMBER(D20),Population!D20,"")</f>
        <v>144429</v>
      </c>
      <c r="AB20" s="155">
        <f>IF(ISNUMBER(E20),Population!E20,"")</f>
        <v>145219</v>
      </c>
      <c r="AC20" s="155">
        <f>IF(ISNUMBER(F20),Population!F20,"")</f>
        <v>146343</v>
      </c>
      <c r="AD20" s="155">
        <f>IF(ISNUMBER(G20),Population!G20,"")</f>
        <v>149538</v>
      </c>
      <c r="AE20" s="155">
        <f>IF(ISNUMBER(H20),Population!H20,"")</f>
        <v>152505</v>
      </c>
      <c r="AF20" s="65" t="s">
        <v>11</v>
      </c>
      <c r="AG20" s="70">
        <f t="shared" si="4"/>
        <v>351.85731615356872</v>
      </c>
      <c r="AH20" s="156">
        <f t="shared" si="5"/>
        <v>2</v>
      </c>
      <c r="AJ20" s="121"/>
      <c r="AK20" s="480">
        <f t="shared" si="6"/>
        <v>-0.1543939609742202</v>
      </c>
      <c r="AL20" s="480">
        <f t="shared" si="7"/>
        <v>3.3687047330301502E-4</v>
      </c>
      <c r="AM20" s="480">
        <f t="shared" si="8"/>
        <v>-3.4854352584610206E-2</v>
      </c>
      <c r="AN20" s="480">
        <f t="shared" si="9"/>
        <v>-6.3852058618283317E-2</v>
      </c>
      <c r="AO20" s="480">
        <f t="shared" si="11"/>
        <v>-6.3190875425952669E-2</v>
      </c>
      <c r="AP20" s="52"/>
      <c r="AQ20" s="52"/>
      <c r="AR20" s="52"/>
      <c r="AS20" s="52"/>
      <c r="AT20" s="52"/>
      <c r="AU20" s="52"/>
      <c r="AV20" s="52"/>
      <c r="AW20" s="52"/>
    </row>
    <row r="21" spans="1:49" s="61" customFormat="1" ht="15.75" customHeight="1">
      <c r="A21" s="1103">
        <f>VLOOKUP(B21,ReportData!$AQ$4:$AR$25,2,FALSE)</f>
        <v>0</v>
      </c>
      <c r="B21" s="885" t="str">
        <f>ReportData!$K$14</f>
        <v>Portsmouth</v>
      </c>
      <c r="C21" s="896"/>
      <c r="D21" s="889">
        <f>IF(Year1_Portsmouth Year1_Assessments="","",Year1_Portsmouth Year1_Assessments)</f>
        <v>2590</v>
      </c>
      <c r="E21" s="889">
        <f>IF(Year2_Portsmouth Year2_Assessments="","",Year2_Portsmouth Year2_Assessments)</f>
        <v>2624</v>
      </c>
      <c r="F21" s="889">
        <f>IF(Year3_Portsmouth Year3_Assessments="","",Year3_Portsmouth Year3_Assessments)</f>
        <v>3478</v>
      </c>
      <c r="G21" s="889">
        <f>IF(Year4_Portsmouth Year4_Assessments="","",Year4_Portsmouth Year4_Assessments)</f>
        <v>2830</v>
      </c>
      <c r="H21" s="890">
        <f>IF(Year5_Portsmouth Year5_Assessments="","",Year5_Portsmouth Year5_Assessments)</f>
        <v>2792</v>
      </c>
      <c r="I21" s="900">
        <f t="shared" si="0"/>
        <v>3.4710798703777974E-2</v>
      </c>
      <c r="J21" s="896"/>
      <c r="K21" s="901">
        <f>IF(ISNUMBER(D21),D21/Population!D21*10000,NA())</f>
        <v>616.18252325553726</v>
      </c>
      <c r="L21" s="901">
        <f>IF(ISNUMBER(E21),E21/Population!E21*10000,NA())</f>
        <v>626.77654365221542</v>
      </c>
      <c r="M21" s="901">
        <f>IF(ISNUMBER(F21),F21/Population!F21*10000,NA())</f>
        <v>839.14396699399231</v>
      </c>
      <c r="N21" s="901">
        <f>IF(ISNUMBER(G21),G21/Population!G21*10000,NA())</f>
        <v>675.88545771536394</v>
      </c>
      <c r="O21" s="902">
        <f>IF(ISNUMBER(H21),H21/Population!H21*10000,NA())</f>
        <v>659.93807171390085</v>
      </c>
      <c r="P21" s="903">
        <f t="shared" si="10"/>
        <v>659.93807171390085</v>
      </c>
      <c r="Q21" s="1139">
        <f t="shared" si="1"/>
        <v>12</v>
      </c>
      <c r="R21" s="64"/>
      <c r="S21" s="905">
        <f>((IDACI!C19*$Y$41)+$Z$41)/$X$2</f>
        <v>614.42416720140022</v>
      </c>
      <c r="T21" s="906">
        <f t="shared" si="2"/>
        <v>45.513904512500631</v>
      </c>
      <c r="U21" s="89"/>
      <c r="V21" s="103"/>
      <c r="W21" s="115"/>
      <c r="X21" s="51" t="str">
        <f t="shared" si="3"/>
        <v>Portsmouth</v>
      </c>
      <c r="Y21" s="27">
        <f>IF(ISNUMBER($H21),IDACI!D19,0)</f>
        <v>39325</v>
      </c>
      <c r="Z21" s="27">
        <f>IF(ISNUMBER($H21),IDACI!E19,0)</f>
        <v>7943.6500000000015</v>
      </c>
      <c r="AA21" s="155">
        <f>IF(ISNUMBER(D21),Population!D21,"")</f>
        <v>42033</v>
      </c>
      <c r="AB21" s="155">
        <f>IF(ISNUMBER(E21),Population!E21,"")</f>
        <v>41865</v>
      </c>
      <c r="AC21" s="155">
        <f>IF(ISNUMBER(F21),Population!F21,"")</f>
        <v>41447</v>
      </c>
      <c r="AD21" s="155">
        <f>IF(ISNUMBER(G21),Population!G21,"")</f>
        <v>41871</v>
      </c>
      <c r="AE21" s="155">
        <f>IF(ISNUMBER(H21),Population!H21,"")</f>
        <v>42307</v>
      </c>
      <c r="AF21" s="65" t="s">
        <v>12</v>
      </c>
      <c r="AG21" s="70">
        <f t="shared" si="4"/>
        <v>659.93807171390085</v>
      </c>
      <c r="AH21" s="156">
        <f t="shared" si="5"/>
        <v>12</v>
      </c>
      <c r="AJ21" s="121"/>
      <c r="AK21" s="480">
        <f t="shared" si="6"/>
        <v>1.3127413127413128E-2</v>
      </c>
      <c r="AL21" s="480">
        <f t="shared" si="7"/>
        <v>0.32545731707317072</v>
      </c>
      <c r="AM21" s="480">
        <f t="shared" si="8"/>
        <v>-0.1863139735480161</v>
      </c>
      <c r="AN21" s="480">
        <f t="shared" si="9"/>
        <v>-1.342756183745583E-2</v>
      </c>
      <c r="AO21" s="480">
        <f t="shared" si="11"/>
        <v>3.4710798703777974E-2</v>
      </c>
      <c r="AP21" s="52"/>
      <c r="AQ21" s="52"/>
      <c r="AR21" s="52"/>
      <c r="AS21" s="52"/>
      <c r="AT21" s="52"/>
      <c r="AU21" s="52"/>
      <c r="AV21" s="52"/>
      <c r="AW21" s="52"/>
    </row>
    <row r="22" spans="1:49" s="61" customFormat="1" ht="15.75" customHeight="1">
      <c r="A22" s="1103">
        <f>VLOOKUP(B22,ReportData!$AQ$4:$AR$25,2,FALSE)</f>
        <v>0</v>
      </c>
      <c r="B22" s="885" t="str">
        <f>ReportData!$K$15</f>
        <v>Reading</v>
      </c>
      <c r="C22" s="896"/>
      <c r="D22" s="889">
        <f>IF(Year1_Reading Year1_Assessments="","",Year1_Reading Year1_Assessments)</f>
        <v>2689</v>
      </c>
      <c r="E22" s="889">
        <f>IF(Year2_Reading Year2_Assessments="","",Year2_Reading Year2_Assessments)</f>
        <v>2186</v>
      </c>
      <c r="F22" s="889">
        <f>IF(Year3_Reading Year3_Assessments="","",Year3_Reading Year3_Assessments)</f>
        <v>2268</v>
      </c>
      <c r="G22" s="889">
        <f>IF(Year4_Reading Year4_Assessments="","",Year4_Reading Year4_Assessments)</f>
        <v>2680</v>
      </c>
      <c r="H22" s="890">
        <f>IF(Year5_Reading Year5_Assessments="","",Year5_Reading Year5_Assessments)</f>
        <v>2767</v>
      </c>
      <c r="I22" s="900">
        <f t="shared" si="0"/>
        <v>1.6143396322028287E-2</v>
      </c>
      <c r="J22" s="896"/>
      <c r="K22" s="901">
        <f>IF(ISNUMBER(D22),D22/Population!D22*10000,NA())</f>
        <v>726.16797191466378</v>
      </c>
      <c r="L22" s="901">
        <f>IF(ISNUMBER(E22),E22/Population!E22*10000,NA())</f>
        <v>591.27424197343862</v>
      </c>
      <c r="M22" s="901">
        <f>IF(ISNUMBER(F22),F22/Population!F22*10000,NA())</f>
        <v>624.20873011504375</v>
      </c>
      <c r="N22" s="901">
        <f>IF(ISNUMBER(G22),G22/Population!G22*10000,NA())</f>
        <v>719.26999463231346</v>
      </c>
      <c r="O22" s="902">
        <f>IF(ISNUMBER(H22),H22/Population!H22*10000,NA())</f>
        <v>729.52094703261366</v>
      </c>
      <c r="P22" s="903">
        <f t="shared" si="10"/>
        <v>729.52094703261366</v>
      </c>
      <c r="Q22" s="1139">
        <f t="shared" si="1"/>
        <v>15</v>
      </c>
      <c r="R22" s="64"/>
      <c r="S22" s="905">
        <f>((IDACI!C20*$Y$41)+$Z$41)/$X$2</f>
        <v>533.52077521149124</v>
      </c>
      <c r="T22" s="906">
        <f t="shared" si="2"/>
        <v>196.00017182112242</v>
      </c>
      <c r="U22" s="89"/>
      <c r="V22" s="103"/>
      <c r="W22" s="115"/>
      <c r="X22" s="51" t="str">
        <f t="shared" si="3"/>
        <v>Reading</v>
      </c>
      <c r="Y22" s="27">
        <f>IF(ISNUMBER($H22),IDACI!D20,0)</f>
        <v>33203</v>
      </c>
      <c r="Z22" s="27">
        <f>IF(ISNUMBER($H22),IDACI!E20,0)</f>
        <v>5312.4800000000005</v>
      </c>
      <c r="AA22" s="155">
        <f>IF(ISNUMBER(D22),Population!D22,"")</f>
        <v>37030</v>
      </c>
      <c r="AB22" s="155">
        <f>IF(ISNUMBER(E22),Population!E22,"")</f>
        <v>36971</v>
      </c>
      <c r="AC22" s="155">
        <f>IF(ISNUMBER(F22),Population!F22,"")</f>
        <v>36334</v>
      </c>
      <c r="AD22" s="155">
        <f>IF(ISNUMBER(G22),Population!G22,"")</f>
        <v>37260</v>
      </c>
      <c r="AE22" s="155">
        <f>IF(ISNUMBER(H22),Population!H22,"")</f>
        <v>37929</v>
      </c>
      <c r="AF22" s="65" t="s">
        <v>3</v>
      </c>
      <c r="AG22" s="70">
        <f t="shared" si="4"/>
        <v>729.52094703261366</v>
      </c>
      <c r="AH22" s="156">
        <f t="shared" si="5"/>
        <v>15</v>
      </c>
      <c r="AJ22" s="121"/>
      <c r="AK22" s="480">
        <f t="shared" si="6"/>
        <v>-0.18705838601710673</v>
      </c>
      <c r="AL22" s="480">
        <f t="shared" si="7"/>
        <v>3.7511436413540711E-2</v>
      </c>
      <c r="AM22" s="480">
        <f t="shared" si="8"/>
        <v>0.18165784832451498</v>
      </c>
      <c r="AN22" s="480">
        <f t="shared" si="9"/>
        <v>3.2462686567164181E-2</v>
      </c>
      <c r="AO22" s="480">
        <f t="shared" si="11"/>
        <v>1.6143396322028287E-2</v>
      </c>
      <c r="AP22" s="52"/>
      <c r="AQ22" s="52"/>
      <c r="AR22" s="52"/>
      <c r="AS22" s="52"/>
      <c r="AT22" s="52"/>
      <c r="AU22" s="52"/>
      <c r="AV22" s="52"/>
      <c r="AW22" s="52"/>
    </row>
    <row r="23" spans="1:49" s="61" customFormat="1" ht="15.75" customHeight="1">
      <c r="A23" s="1103">
        <f>VLOOKUP(B23,ReportData!$AQ$4:$AR$25,2,FALSE)</f>
        <v>0</v>
      </c>
      <c r="B23" s="885" t="str">
        <f>ReportData!$K$16</f>
        <v>Slough</v>
      </c>
      <c r="C23" s="896"/>
      <c r="D23" s="889">
        <f>IF(Year1_Slough Year1_Assessments="","",Year1_Slough Year1_Assessments)</f>
        <v>2484</v>
      </c>
      <c r="E23" s="889">
        <f>IF(Year2_Slough Year2_Assessments="","",Year2_Slough Year2_Assessments)</f>
        <v>3775</v>
      </c>
      <c r="F23" s="889">
        <f>IF(Year3_Slough Year3_Assessments="","",Year3_Slough Year3_Assessments)</f>
        <v>3512</v>
      </c>
      <c r="G23" s="889">
        <f>IF(Year4_Slough Year4_Assessments="","",Year4_Slough Year4_Assessments)</f>
        <v>3716</v>
      </c>
      <c r="H23" s="890">
        <f>IF(Year5_Slough Year5_Assessments="","",Year5_Slough Year5_Assessments)</f>
        <v>3576</v>
      </c>
      <c r="I23" s="900">
        <f t="shared" si="0"/>
        <v>0.11761725372784165</v>
      </c>
      <c r="J23" s="896"/>
      <c r="K23" s="901">
        <f>IF(ISNUMBER(D23),D23/Population!D23*10000,NA())</f>
        <v>571.31028772510865</v>
      </c>
      <c r="L23" s="901">
        <f>IF(ISNUMBER(E23),E23/Population!E23*10000,NA())</f>
        <v>859.90888382687922</v>
      </c>
      <c r="M23" s="901">
        <f>IF(ISNUMBER(F23),F23/Population!F23*10000,NA())</f>
        <v>802.98145734732611</v>
      </c>
      <c r="N23" s="901">
        <f>IF(ISNUMBER(G23),G23/Population!G23*10000,NA())</f>
        <v>839.77401129943507</v>
      </c>
      <c r="O23" s="902">
        <f>IF(ISNUMBER(H23),H23/Population!H23*10000,NA())</f>
        <v>797.34219269102982</v>
      </c>
      <c r="P23" s="903">
        <f t="shared" si="10"/>
        <v>797.34219269102982</v>
      </c>
      <c r="Q23" s="1139">
        <f t="shared" si="1"/>
        <v>16</v>
      </c>
      <c r="R23" s="64"/>
      <c r="S23" s="905">
        <f>((IDACI!C21*$Y$41)+$Z$41)/$X$2</f>
        <v>508.47924911937656</v>
      </c>
      <c r="T23" s="906">
        <f t="shared" si="2"/>
        <v>288.86294357165326</v>
      </c>
      <c r="U23" s="89"/>
      <c r="V23" s="103"/>
      <c r="W23" s="115"/>
      <c r="X23" s="51" t="str">
        <f t="shared" si="3"/>
        <v>Slough</v>
      </c>
      <c r="Y23" s="27">
        <f>IF(ISNUMBER($H23),IDACI!D21,0)</f>
        <v>37031</v>
      </c>
      <c r="Z23" s="27">
        <f>IF(ISNUMBER($H23),IDACI!E21,0)</f>
        <v>5443.5569999999998</v>
      </c>
      <c r="AA23" s="155">
        <f>IF(ISNUMBER(D23),Population!D23,"")</f>
        <v>43479</v>
      </c>
      <c r="AB23" s="155">
        <f>IF(ISNUMBER(E23),Population!E23,"")</f>
        <v>43900</v>
      </c>
      <c r="AC23" s="155">
        <f>IF(ISNUMBER(F23),Population!F23,"")</f>
        <v>43737</v>
      </c>
      <c r="AD23" s="155">
        <f>IF(ISNUMBER(G23),Population!G23,"")</f>
        <v>44250</v>
      </c>
      <c r="AE23" s="155">
        <f>IF(ISNUMBER(H23),Population!H23,"")</f>
        <v>44849</v>
      </c>
      <c r="AF23" s="65" t="s">
        <v>13</v>
      </c>
      <c r="AG23" s="70">
        <f t="shared" si="4"/>
        <v>797.34219269102982</v>
      </c>
      <c r="AH23" s="156">
        <f t="shared" si="5"/>
        <v>16</v>
      </c>
      <c r="AJ23" s="121"/>
      <c r="AK23" s="480">
        <f t="shared" si="6"/>
        <v>0.51972624798711753</v>
      </c>
      <c r="AL23" s="480">
        <f t="shared" si="7"/>
        <v>-6.9668874172185424E-2</v>
      </c>
      <c r="AM23" s="480">
        <f t="shared" si="8"/>
        <v>5.808656036446469E-2</v>
      </c>
      <c r="AN23" s="480">
        <f t="shared" si="9"/>
        <v>-3.7674919268030141E-2</v>
      </c>
      <c r="AO23" s="480">
        <f t="shared" si="11"/>
        <v>0.11761725372784165</v>
      </c>
      <c r="AP23" s="52"/>
      <c r="AQ23" s="52"/>
      <c r="AR23" s="52"/>
      <c r="AS23" s="52"/>
      <c r="AT23" s="52"/>
      <c r="AU23" s="52"/>
      <c r="AV23" s="52"/>
      <c r="AW23" s="52"/>
    </row>
    <row r="24" spans="1:49" s="61" customFormat="1" ht="15.75" customHeight="1">
      <c r="A24" s="1103">
        <f>VLOOKUP(B24,ReportData!$AQ$4:$AR$25,2,FALSE)</f>
        <v>0</v>
      </c>
      <c r="B24" s="885" t="str">
        <f>ReportData!$K$17</f>
        <v>Southampton</v>
      </c>
      <c r="C24" s="896"/>
      <c r="D24" s="889">
        <f>IF(Year1_Southampton Year1_Assessments="","",Year1_Southampton Year1_Assessments)</f>
        <v>4602</v>
      </c>
      <c r="E24" s="889">
        <f>IF(Year2_Southampton Year2_Assessments="","",Year2_Southampton Year2_Assessments)</f>
        <v>3481</v>
      </c>
      <c r="F24" s="889">
        <f>IF(Year3_Southampton Year3_Assessments="","",Year3_Southampton Year3_Assessments)</f>
        <v>3575</v>
      </c>
      <c r="G24" s="889">
        <f>IF(Year4_Southampton Year4_Assessments="","",Year4_Southampton Year4_Assessments)</f>
        <v>3839</v>
      </c>
      <c r="H24" s="890">
        <f>IF(Year5_Southampton Year5_Assessments="","",Year5_Southampton Year5_Assessments)</f>
        <v>3189</v>
      </c>
      <c r="I24" s="900">
        <f t="shared" si="0"/>
        <v>-7.8013695236618025E-2</v>
      </c>
      <c r="J24" s="896"/>
      <c r="K24" s="901">
        <f>IF(ISNUMBER(D24),D24/Population!D24*10000,NA())</f>
        <v>928.04710817133184</v>
      </c>
      <c r="L24" s="901">
        <f>IF(ISNUMBER(E24),E24/Population!E24*10000,NA())</f>
        <v>699.88137603795963</v>
      </c>
      <c r="M24" s="901">
        <f>IF(ISNUMBER(F24),F24/Population!F24*10000,NA())</f>
        <v>723.86004697497367</v>
      </c>
      <c r="N24" s="901">
        <f>IF(ISNUMBER(G24),G24/Population!G24*10000,NA())</f>
        <v>769.78604800384983</v>
      </c>
      <c r="O24" s="902">
        <f>IF(ISNUMBER(H24),H24/Population!H24*10000,NA())</f>
        <v>633.07724376153897</v>
      </c>
      <c r="P24" s="903">
        <f t="shared" si="10"/>
        <v>633.07724376153897</v>
      </c>
      <c r="Q24" s="1139">
        <f t="shared" si="1"/>
        <v>11</v>
      </c>
      <c r="R24" s="64"/>
      <c r="S24" s="905">
        <f>((IDACI!C22*$Y$41)+$Z$41)/$X$2</f>
        <v>620.20298091496511</v>
      </c>
      <c r="T24" s="906">
        <f t="shared" si="2"/>
        <v>12.874262846573856</v>
      </c>
      <c r="U24" s="89"/>
      <c r="V24" s="103"/>
      <c r="W24" s="115"/>
      <c r="X24" s="51" t="str">
        <f t="shared" si="3"/>
        <v>Southampton</v>
      </c>
      <c r="Y24" s="27">
        <f>IF(ISNUMBER($H24),IDACI!D22,0)</f>
        <v>44295</v>
      </c>
      <c r="Z24" s="27">
        <f>IF(ISNUMBER($H24),IDACI!E22,0)</f>
        <v>9080.4750000000004</v>
      </c>
      <c r="AA24" s="155">
        <f>IF(ISNUMBER(D24),Population!D24,"")</f>
        <v>49588</v>
      </c>
      <c r="AB24" s="155">
        <f>IF(ISNUMBER(E24),Population!E24,"")</f>
        <v>49737</v>
      </c>
      <c r="AC24" s="155">
        <f>IF(ISNUMBER(F24),Population!F24,"")</f>
        <v>49388</v>
      </c>
      <c r="AD24" s="155">
        <f>IF(ISNUMBER(G24),Population!G24,"")</f>
        <v>49871</v>
      </c>
      <c r="AE24" s="155">
        <f>IF(ISNUMBER(H24),Population!H24,"")</f>
        <v>50373</v>
      </c>
      <c r="AF24" s="65" t="s">
        <v>14</v>
      </c>
      <c r="AG24" s="70">
        <f t="shared" si="4"/>
        <v>633.07724376153897</v>
      </c>
      <c r="AH24" s="156">
        <f t="shared" si="5"/>
        <v>11</v>
      </c>
      <c r="AJ24" s="121"/>
      <c r="AK24" s="480">
        <f t="shared" si="6"/>
        <v>-0.24358974358974358</v>
      </c>
      <c r="AL24" s="480">
        <f t="shared" si="7"/>
        <v>2.7003734559034761E-2</v>
      </c>
      <c r="AM24" s="480">
        <f t="shared" si="8"/>
        <v>7.3846153846153853E-2</v>
      </c>
      <c r="AN24" s="480">
        <f t="shared" si="9"/>
        <v>-0.16931492576191717</v>
      </c>
      <c r="AO24" s="480">
        <f t="shared" si="11"/>
        <v>-7.8013695236618025E-2</v>
      </c>
      <c r="AP24" s="52"/>
      <c r="AQ24" s="52"/>
      <c r="AR24" s="52"/>
      <c r="AS24" s="52"/>
      <c r="AT24" s="52"/>
      <c r="AU24" s="52"/>
      <c r="AV24" s="52"/>
      <c r="AW24" s="52"/>
    </row>
    <row r="25" spans="1:49" s="61" customFormat="1" ht="15.75" customHeight="1">
      <c r="A25" s="1103">
        <f>VLOOKUP(B25,ReportData!$AQ$4:$AR$25,2,FALSE)</f>
        <v>0</v>
      </c>
      <c r="B25" s="885" t="str">
        <f>ReportData!$K$18</f>
        <v>Surrey</v>
      </c>
      <c r="C25" s="896"/>
      <c r="D25" s="889">
        <f>IF(Year1_Surrey Year1_Assessments="","",Year1_Surrey Year1_Assessments)</f>
        <v>8724</v>
      </c>
      <c r="E25" s="889">
        <f>IF(Year2_Surrey Year2_Assessments="","",Year2_Surrey Year2_Assessments)</f>
        <v>11079</v>
      </c>
      <c r="F25" s="889">
        <f>IF(Year3_Surrey Year3_Assessments="","",Year3_Surrey Year3_Assessments)</f>
        <v>9379</v>
      </c>
      <c r="G25" s="889">
        <f>IF(Year4_Surrey Year4_Assessments="","",Year4_Surrey Year4_Assessments)</f>
        <v>7491</v>
      </c>
      <c r="H25" s="890">
        <f>IF(Year5_Surrey Year5_Assessments="","",Year5_Surrey Year5_Assessments)</f>
        <v>7611</v>
      </c>
      <c r="I25" s="900">
        <f t="shared" si="0"/>
        <v>-1.7195006868671293E-2</v>
      </c>
      <c r="J25" s="896"/>
      <c r="K25" s="901">
        <f>IF(ISNUMBER(D25),D25/Population!D25*10000,NA())</f>
        <v>338.08056734290534</v>
      </c>
      <c r="L25" s="901">
        <f>IF(ISNUMBER(E25),E25/Population!E25*10000,NA())</f>
        <v>428.55650841911034</v>
      </c>
      <c r="M25" s="901">
        <f>IF(ISNUMBER(F25),F25/Population!F25*10000,NA())</f>
        <v>361.44253298803795</v>
      </c>
      <c r="N25" s="901">
        <f>IF(ISNUMBER(G25),G25/Population!G25*10000,NA())</f>
        <v>284.25174740261218</v>
      </c>
      <c r="O25" s="902">
        <f>IF(ISNUMBER(H25),H25/Population!H25*10000,NA())</f>
        <v>286.48107440754012</v>
      </c>
      <c r="P25" s="903">
        <f t="shared" si="10"/>
        <v>286.48107440754012</v>
      </c>
      <c r="Q25" s="1139">
        <f t="shared" si="1"/>
        <v>1</v>
      </c>
      <c r="R25" s="64"/>
      <c r="S25" s="905">
        <f>((IDACI!C23*$Y$41)+$Z$41)/$X$2</f>
        <v>385.19788989665818</v>
      </c>
      <c r="T25" s="906">
        <f t="shared" si="2"/>
        <v>-98.716815489118062</v>
      </c>
      <c r="U25" s="89"/>
      <c r="V25" s="103"/>
      <c r="W25" s="115"/>
      <c r="X25" s="51" t="str">
        <f t="shared" si="3"/>
        <v>Surrey</v>
      </c>
      <c r="Y25" s="27">
        <f>IF(ISNUMBER($H25),IDACI!D23,0)</f>
        <v>228466</v>
      </c>
      <c r="Z25" s="27">
        <f>IF(ISNUMBER($H25),IDACI!E23,0)</f>
        <v>18962.678</v>
      </c>
      <c r="AA25" s="155">
        <f>IF(ISNUMBER(D25),Population!D25,"")</f>
        <v>258045</v>
      </c>
      <c r="AB25" s="155">
        <f>IF(ISNUMBER(E25),Population!E25,"")</f>
        <v>258519</v>
      </c>
      <c r="AC25" s="155">
        <f>IF(ISNUMBER(F25),Population!F25,"")</f>
        <v>259488</v>
      </c>
      <c r="AD25" s="155">
        <f>IF(ISNUMBER(G25),Population!G25,"")</f>
        <v>263534</v>
      </c>
      <c r="AE25" s="155">
        <f>IF(ISNUMBER(H25),Population!H25,"")</f>
        <v>265672</v>
      </c>
      <c r="AF25" s="65" t="s">
        <v>7</v>
      </c>
      <c r="AG25" s="70">
        <f t="shared" si="4"/>
        <v>286.48107440754012</v>
      </c>
      <c r="AH25" s="156">
        <f t="shared" si="5"/>
        <v>1</v>
      </c>
      <c r="AJ25" s="121"/>
      <c r="AK25" s="480">
        <f t="shared" si="6"/>
        <v>0.26994497936726275</v>
      </c>
      <c r="AL25" s="480">
        <f t="shared" si="7"/>
        <v>-0.1534434515750519</v>
      </c>
      <c r="AM25" s="480">
        <f t="shared" si="8"/>
        <v>-0.20130077833457724</v>
      </c>
      <c r="AN25" s="480">
        <f t="shared" si="9"/>
        <v>1.6019223067681217E-2</v>
      </c>
      <c r="AO25" s="480">
        <f t="shared" si="11"/>
        <v>-1.7195006868671293E-2</v>
      </c>
      <c r="AP25" s="52"/>
      <c r="AQ25" s="52"/>
      <c r="AR25" s="52"/>
      <c r="AS25" s="52"/>
      <c r="AT25" s="52"/>
      <c r="AU25" s="52"/>
      <c r="AV25" s="52"/>
      <c r="AW25" s="52"/>
    </row>
    <row r="26" spans="1:49" s="61" customFormat="1" ht="15.75" customHeight="1">
      <c r="A26" s="1103">
        <f>VLOOKUP(B26,ReportData!$AQ$4:$AR$25,2,FALSE)</f>
        <v>0</v>
      </c>
      <c r="B26" s="885" t="str">
        <f>ReportData!$K$19</f>
        <v>West Berkshire</v>
      </c>
      <c r="C26" s="896"/>
      <c r="D26" s="889">
        <f>IF(Year1_West_Berkshire Year1_Assessments="","",Year1_West_Berkshire Year1_Assessments)</f>
        <v>1878</v>
      </c>
      <c r="E26" s="889">
        <f>IF(Year2_West_Berkshire Year2_Assessments="","",Year2_West_Berkshire Year2_Assessments)</f>
        <v>1826</v>
      </c>
      <c r="F26" s="889">
        <f>IF(Year3_West_Berkshire Year3_Assessments="","",Year3_West_Berkshire Year3_Assessments)</f>
        <v>2356</v>
      </c>
      <c r="G26" s="889">
        <f>IF(Year4_West_Berkshire Year4_Assessments="","",Year4_West_Berkshire Year4_Assessments)</f>
        <v>2849</v>
      </c>
      <c r="H26" s="890">
        <f>IF(Year5_West_Berkshire Year5_Assessments="","",Year5_West_Berkshire Year5_Assessments)</f>
        <v>2406</v>
      </c>
      <c r="I26" s="900">
        <f t="shared" ref="I26:I31" si="12">AO26</f>
        <v>7.9080675379596899E-2</v>
      </c>
      <c r="J26" s="896"/>
      <c r="K26" s="901">
        <f>IF(ISNUMBER(D26),D26/Population!D26*10000,NA())</f>
        <v>535.63788825190386</v>
      </c>
      <c r="L26" s="901">
        <f>IF(ISNUMBER(E26),E26/Population!E26*10000,NA())</f>
        <v>524.35102228348273</v>
      </c>
      <c r="M26" s="901">
        <f>IF(ISNUMBER(F26),F26/Population!F26*10000,NA())</f>
        <v>681.02326925856346</v>
      </c>
      <c r="N26" s="901">
        <f>IF(ISNUMBER(G26),G26/Population!G26*10000,NA())</f>
        <v>816.05178735105403</v>
      </c>
      <c r="O26" s="902">
        <f>IF(ISNUMBER(H26),H26/Population!H26*10000,NA())</f>
        <v>681.10403397027608</v>
      </c>
      <c r="P26" s="903">
        <f t="shared" ref="P26:P31" si="13">IF(ISNUMBER(O26),O26,"")</f>
        <v>681.10403397027608</v>
      </c>
      <c r="Q26" s="1139">
        <f t="shared" si="1"/>
        <v>14</v>
      </c>
      <c r="R26" s="64"/>
      <c r="S26" s="905">
        <f>((IDACI!C24*$Y$41)+$Z$41)/$X$2</f>
        <v>392.90297484807809</v>
      </c>
      <c r="T26" s="906">
        <f t="shared" si="2"/>
        <v>288.20105912219799</v>
      </c>
      <c r="U26" s="89"/>
      <c r="V26" s="103"/>
      <c r="W26" s="115"/>
      <c r="X26" s="51" t="str">
        <f t="shared" si="3"/>
        <v>West Berkshire</v>
      </c>
      <c r="Y26" s="27">
        <f>IF(ISNUMBER($H26),IDACI!D24,0)</f>
        <v>31625</v>
      </c>
      <c r="Z26" s="27">
        <f>IF(ISNUMBER($H26),IDACI!E24,0)</f>
        <v>2751.375</v>
      </c>
      <c r="AA26" s="155">
        <f>IF(ISNUMBER(D26),Population!D26,"")</f>
        <v>35061</v>
      </c>
      <c r="AB26" s="155">
        <f>IF(ISNUMBER(E26),Population!E26,"")</f>
        <v>34824</v>
      </c>
      <c r="AC26" s="155">
        <f>IF(ISNUMBER(F26),Population!F26,"")</f>
        <v>34595</v>
      </c>
      <c r="AD26" s="155">
        <f>IF(ISNUMBER(G26),Population!G26,"")</f>
        <v>34912</v>
      </c>
      <c r="AE26" s="155">
        <f>IF(ISNUMBER(H26),Population!H26,"")</f>
        <v>35325</v>
      </c>
      <c r="AF26" s="65" t="s">
        <v>15</v>
      </c>
      <c r="AG26" s="70">
        <f t="shared" si="4"/>
        <v>681.10403397027608</v>
      </c>
      <c r="AH26" s="156">
        <f t="shared" si="5"/>
        <v>14</v>
      </c>
      <c r="AJ26" s="121"/>
      <c r="AK26" s="480">
        <f t="shared" si="6"/>
        <v>-2.7689030883919063E-2</v>
      </c>
      <c r="AL26" s="480">
        <f t="shared" si="7"/>
        <v>0.29025191675794088</v>
      </c>
      <c r="AM26" s="480">
        <f t="shared" si="8"/>
        <v>0.20925297113752123</v>
      </c>
      <c r="AN26" s="480">
        <f t="shared" si="9"/>
        <v>-0.15549315549315548</v>
      </c>
      <c r="AO26" s="480">
        <f t="shared" ref="AO26:AO31" si="14">AVERAGE(AK26:AN26)</f>
        <v>7.9080675379596899E-2</v>
      </c>
      <c r="AP26" s="52"/>
      <c r="AQ26" s="52"/>
      <c r="AR26" s="52"/>
      <c r="AS26" s="52"/>
      <c r="AT26" s="52"/>
      <c r="AU26" s="52"/>
      <c r="AV26" s="52"/>
      <c r="AW26" s="52"/>
    </row>
    <row r="27" spans="1:49" s="61" customFormat="1" ht="15.75" customHeight="1">
      <c r="A27" s="1103">
        <f>VLOOKUP(B27,ReportData!$AQ$4:$AR$25,2,FALSE)</f>
        <v>0</v>
      </c>
      <c r="B27" s="885" t="str">
        <f>ReportData!$K$20</f>
        <v>West Sussex</v>
      </c>
      <c r="C27" s="896"/>
      <c r="D27" s="889">
        <f>IF(Year1_West_Sussex Year1_Assessments="","",Year1_West_Sussex Year1_Assessments)</f>
        <v>10458</v>
      </c>
      <c r="E27" s="889">
        <f>IF(Year2_West_Sussex Year2_Assessments="","",Year2_West_Sussex Year2_Assessments)</f>
        <v>10238</v>
      </c>
      <c r="F27" s="889">
        <f>IF(Year3_West_Sussex Year3_Assessments="","",Year3_West_Sussex Year3_Assessments)</f>
        <v>9963</v>
      </c>
      <c r="G27" s="889">
        <f>IF(Year4_West_Sussex Year4_Assessments="","",Year4_West_Sussex Year4_Assessments)</f>
        <v>10060</v>
      </c>
      <c r="H27" s="890">
        <f>IF(Year5_West_Sussex Year5_Assessments="","",Year5_West_Sussex Year5_Assessments)</f>
        <v>8562</v>
      </c>
      <c r="I27" s="900">
        <f t="shared" si="12"/>
        <v>-4.676694484851069E-2</v>
      </c>
      <c r="J27" s="896"/>
      <c r="K27" s="901">
        <f>IF(ISNUMBER(D27),D27/Population!D27*10000,NA())</f>
        <v>602.58944056790222</v>
      </c>
      <c r="L27" s="901">
        <f>IF(ISNUMBER(E27),E27/Population!E27*10000,NA())</f>
        <v>588.82057593760965</v>
      </c>
      <c r="M27" s="901">
        <f>IF(ISNUMBER(F27),F27/Population!F27*10000,NA())</f>
        <v>569.85483372799342</v>
      </c>
      <c r="N27" s="901">
        <f>IF(ISNUMBER(G27),G27/Population!G27*10000,NA())</f>
        <v>567.24311949884134</v>
      </c>
      <c r="O27" s="902">
        <f>IF(ISNUMBER(H27),H27/Population!H27*10000,NA())</f>
        <v>478.3026456918127</v>
      </c>
      <c r="P27" s="903">
        <f t="shared" si="13"/>
        <v>478.3026456918127</v>
      </c>
      <c r="Q27" s="1139">
        <f t="shared" si="1"/>
        <v>6</v>
      </c>
      <c r="R27" s="64"/>
      <c r="S27" s="905">
        <f>((IDACI!C25*$Y$41)+$Z$41)/$X$2</f>
        <v>437.2072133187425</v>
      </c>
      <c r="T27" s="906">
        <f t="shared" si="2"/>
        <v>41.095432373070196</v>
      </c>
      <c r="U27" s="89"/>
      <c r="V27" s="103"/>
      <c r="W27" s="115"/>
      <c r="X27" s="51" t="str">
        <f t="shared" si="3"/>
        <v>West Sussex</v>
      </c>
      <c r="Y27" s="27">
        <f>IF(ISNUMBER($H27),IDACI!D25,0)</f>
        <v>151487</v>
      </c>
      <c r="Z27" s="27">
        <f>IF(ISNUMBER($H27),IDACI!E25,0)</f>
        <v>16663.57</v>
      </c>
      <c r="AA27" s="155">
        <f>IF(ISNUMBER(D27),Population!D27,"")</f>
        <v>173551</v>
      </c>
      <c r="AB27" s="155">
        <f>IF(ISNUMBER(E27),Population!E27,"")</f>
        <v>173873</v>
      </c>
      <c r="AC27" s="155">
        <f>IF(ISNUMBER(F27),Population!F27,"")</f>
        <v>174834</v>
      </c>
      <c r="AD27" s="155">
        <f>IF(ISNUMBER(G27),Population!G27,"")</f>
        <v>177349</v>
      </c>
      <c r="AE27" s="155">
        <f>IF(ISNUMBER(H27),Population!H27,"")</f>
        <v>179008</v>
      </c>
      <c r="AF27" s="65" t="s">
        <v>5</v>
      </c>
      <c r="AG27" s="70">
        <f t="shared" si="4"/>
        <v>478.3026456918127</v>
      </c>
      <c r="AH27" s="156">
        <f t="shared" si="5"/>
        <v>6</v>
      </c>
      <c r="AJ27" s="121"/>
      <c r="AK27" s="480">
        <f t="shared" si="6"/>
        <v>-2.1036527060623447E-2</v>
      </c>
      <c r="AL27" s="480">
        <f t="shared" si="7"/>
        <v>-2.6860714983395196E-2</v>
      </c>
      <c r="AM27" s="480">
        <f t="shared" si="8"/>
        <v>9.7360232861587875E-3</v>
      </c>
      <c r="AN27" s="480">
        <f t="shared" si="9"/>
        <v>-0.14890656063618291</v>
      </c>
      <c r="AO27" s="480">
        <f t="shared" si="14"/>
        <v>-4.676694484851069E-2</v>
      </c>
      <c r="AP27" s="52"/>
      <c r="AQ27" s="52"/>
      <c r="AR27" s="52"/>
      <c r="AS27" s="52"/>
      <c r="AT27" s="52"/>
      <c r="AU27" s="52"/>
      <c r="AV27" s="52"/>
      <c r="AW27" s="52"/>
    </row>
    <row r="28" spans="1:49" s="61" customFormat="1" ht="15.75" customHeight="1">
      <c r="A28" s="1103">
        <f>VLOOKUP(B28,ReportData!$AQ$4:$AR$25,2,FALSE)</f>
        <v>0</v>
      </c>
      <c r="B28" s="885" t="str">
        <f>ReportData!$K$21</f>
        <v>Windsor &amp; Maidenhead</v>
      </c>
      <c r="C28" s="896"/>
      <c r="D28" s="889">
        <f>IF(Year1_Windsor_and_Maidenhead Year1_Assessments="","",Year1_Windsor_and_Maidenhead Year1_Assessments)</f>
        <v>1211</v>
      </c>
      <c r="E28" s="889">
        <f>IF(Year2_Windsor_and_Maidenhead Year2_Assessments="","",Year2_Windsor_and_Maidenhead Year2_Assessments)</f>
        <v>1410</v>
      </c>
      <c r="F28" s="889">
        <f>IF(Year3_Windsor_and_Maidenhead Year3_Assessments="","",Year3_Windsor_and_Maidenhead Year3_Assessments)</f>
        <v>1643</v>
      </c>
      <c r="G28" s="889">
        <f>IF(Year4_Windsor_and_Maidenhead Year4_Assessments="","",Year4_Windsor_and_Maidenhead Year4_Assessments)</f>
        <v>1525</v>
      </c>
      <c r="H28" s="890">
        <f>IF(Year5_Windsor_and_Maidenhead Year5_Assessments="","",Year5_Windsor_and_Maidenhead Year5_Assessments)</f>
        <v>1525</v>
      </c>
      <c r="I28" s="900">
        <f t="shared" si="12"/>
        <v>6.4438846918688758E-2</v>
      </c>
      <c r="J28" s="896"/>
      <c r="K28" s="901">
        <f>IF(ISNUMBER(D28),D28/Population!D28*10000,NA())</f>
        <v>353.32905409348194</v>
      </c>
      <c r="L28" s="901">
        <f>IF(ISNUMBER(E28),E28/Population!E28*10000,NA())</f>
        <v>413.69597746677226</v>
      </c>
      <c r="M28" s="901">
        <f>IF(ISNUMBER(F28),F28/Population!F28*10000,NA())</f>
        <v>485.00413271932933</v>
      </c>
      <c r="N28" s="901">
        <f>IF(ISNUMBER(G28),G28/Population!G28*10000,NA())</f>
        <v>447.04364904874978</v>
      </c>
      <c r="O28" s="902">
        <f>IF(ISNUMBER(H28),H28/Population!H28*10000,NA())</f>
        <v>444.85283393133221</v>
      </c>
      <c r="P28" s="903">
        <f t="shared" si="13"/>
        <v>444.85283393133221</v>
      </c>
      <c r="Q28" s="1139">
        <f t="shared" si="1"/>
        <v>5</v>
      </c>
      <c r="R28" s="64"/>
      <c r="S28" s="905">
        <f>((IDACI!C26*$Y$41)+$Z$41)/$X$2</f>
        <v>354.37755009097856</v>
      </c>
      <c r="T28" s="906">
        <f t="shared" si="2"/>
        <v>90.475283840353654</v>
      </c>
      <c r="U28" s="89"/>
      <c r="V28" s="103"/>
      <c r="W28" s="115"/>
      <c r="X28" s="51" t="str">
        <f t="shared" si="3"/>
        <v>Windsor &amp; Maidenhead</v>
      </c>
      <c r="Y28" s="27">
        <f>IF(ISNUMBER($H28),IDACI!D26,0)</f>
        <v>29792</v>
      </c>
      <c r="Z28" s="27">
        <f>IF(ISNUMBER($H28),IDACI!E26,0)</f>
        <v>1996.0640000000001</v>
      </c>
      <c r="AA28" s="155">
        <f>IF(ISNUMBER(D28),Population!D28,"")</f>
        <v>34274</v>
      </c>
      <c r="AB28" s="155">
        <f>IF(ISNUMBER(E28),Population!E28,"")</f>
        <v>34083</v>
      </c>
      <c r="AC28" s="155">
        <f>IF(ISNUMBER(F28),Population!F28,"")</f>
        <v>33876</v>
      </c>
      <c r="AD28" s="155">
        <f>IF(ISNUMBER(G28),Population!G28,"")</f>
        <v>34113</v>
      </c>
      <c r="AE28" s="155">
        <f>IF(ISNUMBER(H28),Population!H28,"")</f>
        <v>34281</v>
      </c>
      <c r="AF28" s="65" t="s">
        <v>27</v>
      </c>
      <c r="AG28" s="70">
        <f t="shared" si="4"/>
        <v>444.85283393133221</v>
      </c>
      <c r="AH28" s="156">
        <f t="shared" si="5"/>
        <v>5</v>
      </c>
      <c r="AJ28" s="121"/>
      <c r="AK28" s="480">
        <f t="shared" si="6"/>
        <v>0.16432700247729148</v>
      </c>
      <c r="AL28" s="480">
        <f t="shared" si="7"/>
        <v>0.1652482269503546</v>
      </c>
      <c r="AM28" s="480">
        <f t="shared" si="8"/>
        <v>-7.181984175289105E-2</v>
      </c>
      <c r="AN28" s="480">
        <f t="shared" si="9"/>
        <v>0</v>
      </c>
      <c r="AO28" s="480">
        <f t="shared" si="14"/>
        <v>6.4438846918688758E-2</v>
      </c>
      <c r="AP28" s="52"/>
      <c r="AQ28" s="52"/>
      <c r="AR28" s="52"/>
      <c r="AS28" s="52"/>
      <c r="AT28" s="52"/>
      <c r="AU28" s="52"/>
      <c r="AV28" s="52"/>
      <c r="AW28" s="52"/>
    </row>
    <row r="29" spans="1:49" s="61" customFormat="1" ht="15.75" customHeight="1">
      <c r="A29" s="1103">
        <f>VLOOKUP(B29,ReportData!$AQ$4:$AR$25,2,FALSE)</f>
        <v>0</v>
      </c>
      <c r="B29" s="885" t="str">
        <f>ReportData!$K$22</f>
        <v>Wokingham</v>
      </c>
      <c r="C29" s="896"/>
      <c r="D29" s="889">
        <f>IF(Year1_Wokingham Year1_Assessments="","",Year1_Wokingham Year1_Assessments)</f>
        <v>1583</v>
      </c>
      <c r="E29" s="889">
        <f>IF(Year2_Wokingham Year2_Assessments="","",Year2_Wokingham Year2_Assessments)</f>
        <v>1410</v>
      </c>
      <c r="F29" s="889">
        <f>IF(Year3_Wokingham Year3_Assessments="","",Year3_Wokingham Year3_Assessments)</f>
        <v>1470</v>
      </c>
      <c r="G29" s="889">
        <f>IF(Year4_Wokingham Year4_Assessments="","",Year4_Wokingham Year4_Assessments)</f>
        <v>1493</v>
      </c>
      <c r="H29" s="890">
        <f>IF(Year5_Wokingham Year5_Assessments="","",Year5_Wokingham Year5_Assessments)</f>
        <v>1576</v>
      </c>
      <c r="I29" s="900">
        <f t="shared" si="12"/>
        <v>1.1265126816749436E-3</v>
      </c>
      <c r="J29" s="896"/>
      <c r="K29" s="901">
        <f>IF(ISNUMBER(D29),D29/Population!D29*10000,NA())</f>
        <v>398.01870662777833</v>
      </c>
      <c r="L29" s="901">
        <f>IF(ISNUMBER(E29),E29/Population!E29*10000,NA())</f>
        <v>348.3545804921435</v>
      </c>
      <c r="M29" s="901">
        <f>IF(ISNUMBER(F29),F29/Population!F29*10000,NA())</f>
        <v>357.41204502905492</v>
      </c>
      <c r="N29" s="901">
        <f>IF(ISNUMBER(G29),G29/Population!G29*10000,NA())</f>
        <v>351.12888052681092</v>
      </c>
      <c r="O29" s="902">
        <f>IF(ISNUMBER(H29),H29/Population!H29*10000,NA())</f>
        <v>363.85464284065199</v>
      </c>
      <c r="P29" s="903">
        <f t="shared" si="13"/>
        <v>363.85464284065199</v>
      </c>
      <c r="Q29" s="1139">
        <f t="shared" si="1"/>
        <v>3</v>
      </c>
      <c r="R29" s="64"/>
      <c r="S29" s="905">
        <f>((IDACI!C27*$Y$41)+$Z$41)/$X$2</f>
        <v>333.18856647457386</v>
      </c>
      <c r="T29" s="906">
        <f t="shared" si="2"/>
        <v>30.66607636607813</v>
      </c>
      <c r="U29" s="89"/>
      <c r="V29" s="103"/>
      <c r="W29" s="115"/>
      <c r="X29" s="51" t="str">
        <f t="shared" si="3"/>
        <v>Wokingham</v>
      </c>
      <c r="Y29" s="27">
        <f>IF(ISNUMBER($H29),IDACI!D27,0)</f>
        <v>33327</v>
      </c>
      <c r="Z29" s="27">
        <f>IF(ISNUMBER($H29),IDACI!E27,0)</f>
        <v>1866.3120000000004</v>
      </c>
      <c r="AA29" s="155">
        <f>IF(ISNUMBER(D29),Population!D29,"")</f>
        <v>39772</v>
      </c>
      <c r="AB29" s="155">
        <f>IF(ISNUMBER(E29),Population!E29,"")</f>
        <v>40476</v>
      </c>
      <c r="AC29" s="155">
        <f>IF(ISNUMBER(F29),Population!F29,"")</f>
        <v>41129</v>
      </c>
      <c r="AD29" s="155">
        <f>IF(ISNUMBER(G29),Population!G29,"")</f>
        <v>42520</v>
      </c>
      <c r="AE29" s="155">
        <f>IF(ISNUMBER(H29),Population!H29,"")</f>
        <v>43314</v>
      </c>
      <c r="AF29" s="65" t="s">
        <v>16</v>
      </c>
      <c r="AG29" s="70">
        <f t="shared" si="4"/>
        <v>363.85464284065199</v>
      </c>
      <c r="AH29" s="156">
        <f t="shared" si="5"/>
        <v>3</v>
      </c>
      <c r="AJ29" s="121"/>
      <c r="AK29" s="480">
        <f t="shared" si="6"/>
        <v>-0.10928616550852811</v>
      </c>
      <c r="AL29" s="480">
        <f t="shared" si="7"/>
        <v>4.2553191489361701E-2</v>
      </c>
      <c r="AM29" s="480">
        <f t="shared" si="8"/>
        <v>1.5646258503401362E-2</v>
      </c>
      <c r="AN29" s="480">
        <f t="shared" si="9"/>
        <v>5.5592766242464835E-2</v>
      </c>
      <c r="AO29" s="480">
        <f t="shared" si="14"/>
        <v>1.1265126816749436E-3</v>
      </c>
      <c r="AP29" s="52"/>
      <c r="AQ29" s="52"/>
      <c r="AR29" s="52"/>
      <c r="AS29" s="52"/>
      <c r="AT29" s="52"/>
      <c r="AU29" s="52"/>
      <c r="AV29" s="52"/>
      <c r="AW29" s="52"/>
    </row>
    <row r="30" spans="1:49" s="61" customFormat="1" ht="15.75" customHeight="1">
      <c r="A30" s="1103"/>
      <c r="B30" s="886" t="str">
        <f>ReportData!$K$23</f>
        <v>South East</v>
      </c>
      <c r="C30" s="896"/>
      <c r="D30" s="892">
        <f>IF(Year1_South_East Year1_Assessments="","",Year1_South_East Year1_Assessments)</f>
        <v>110485</v>
      </c>
      <c r="E30" s="892">
        <f>IF(Year2_South_East Year2_Assessments="","",Year2_South_East Year2_Assessments)</f>
        <v>109819</v>
      </c>
      <c r="F30" s="892">
        <f>IF(Year3_South_East Year3_Assessments="","",Year3_South_East Year3_Assessments)</f>
        <v>118930</v>
      </c>
      <c r="G30" s="892">
        <f>IF(Year4_South_East Year4_Assessments="","",Year4_South_East Year4_Assessments)</f>
        <v>120630</v>
      </c>
      <c r="H30" s="893">
        <f>IF(Year5_South_East Year5_Assessments="","",Year5_South_East Year5_Assessments)</f>
        <v>119590</v>
      </c>
      <c r="I30" s="907">
        <f t="shared" si="12"/>
        <v>5.3862494354215577E-2</v>
      </c>
      <c r="J30" s="896"/>
      <c r="K30" s="908">
        <f>IF(ISNUMBER(D30),D30/AA30*10000,NA())</f>
        <v>573.1402962992936</v>
      </c>
      <c r="L30" s="908">
        <f>IF(ISNUMBER(E30),E30/AB30*10000,NA())</f>
        <v>568.79492793144152</v>
      </c>
      <c r="M30" s="908">
        <f>IF(ISNUMBER(F30),F30/AC30*10000,NA())</f>
        <v>614.40432795232311</v>
      </c>
      <c r="N30" s="908">
        <f>IF(ISNUMBER(G30),G30/AD30*10000,NA())</f>
        <v>613.82659284260785</v>
      </c>
      <c r="O30" s="909">
        <f>IF(ISNUMBER(H30),H30/AE30*10000,NA())</f>
        <v>702.08623936802258</v>
      </c>
      <c r="P30" s="903">
        <f t="shared" si="13"/>
        <v>702.08623936802258</v>
      </c>
      <c r="Q30" s="1140" t="str">
        <f t="shared" si="1"/>
        <v>--</v>
      </c>
      <c r="R30" s="64"/>
      <c r="S30" s="911">
        <f>((AQ57*$Y$41)+$Z$41)/$X$2</f>
        <v>471.12077950060711</v>
      </c>
      <c r="T30" s="912">
        <f t="shared" si="2"/>
        <v>230.96545986741546</v>
      </c>
      <c r="U30" s="89"/>
      <c r="V30" s="103"/>
      <c r="W30" s="115"/>
      <c r="X30" s="51" t="str">
        <f t="shared" si="3"/>
        <v>South East</v>
      </c>
      <c r="Y30" s="27">
        <f>SUM(Y24:Y25,Y11:Y23,Y26:Y29)</f>
        <v>1455495</v>
      </c>
      <c r="Z30" s="27">
        <f>SUM(Z24:Z25,Z11:Z23,Z26:Z29)</f>
        <v>185729.61900000004</v>
      </c>
      <c r="AA30" s="155">
        <f>SUM(AA11:AA23,AA24:AA25,AA26:AA29)</f>
        <v>1927713</v>
      </c>
      <c r="AB30" s="155">
        <f>SUM(AB11:AB23,AB24:AB25,AB26:AB29)</f>
        <v>1930731</v>
      </c>
      <c r="AC30" s="155">
        <f>SUM(AC11:AC23,AC24:AC25,AC26:AC29)</f>
        <v>1935696</v>
      </c>
      <c r="AD30" s="155">
        <f>SUM(AD11:AD23,AD24:AD25,AD26:AD29)</f>
        <v>1965213</v>
      </c>
      <c r="AE30" s="155">
        <f>SUM(AE11:AE23,AE24:AE25,AE26:AE29)</f>
        <v>1703352</v>
      </c>
      <c r="AH30" s="141"/>
      <c r="AJ30" s="121"/>
      <c r="AK30" s="480">
        <f>IF(ISERROR((L30-K30)/K30),"x",(L30-K30)/K30)</f>
        <v>-7.581683570165385E-3</v>
      </c>
      <c r="AL30" s="480">
        <f>IF(ISERROR((M30-L30)/L30),"x",(M30-L30)/L30)</f>
        <v>8.0186017457559017E-2</v>
      </c>
      <c r="AM30" s="480">
        <f>IF(ISERROR((N30-M30)/M30),"x",(N30-M30)/M30)</f>
        <v>-9.4031744802438081E-4</v>
      </c>
      <c r="AN30" s="480">
        <f>IF(ISERROR((O30-N30)/N30),"x",(O30-N30)/N30)</f>
        <v>0.14378596097749305</v>
      </c>
      <c r="AO30" s="480">
        <f t="shared" si="14"/>
        <v>5.3862494354215577E-2</v>
      </c>
      <c r="AP30" s="52"/>
      <c r="AQ30" s="52"/>
      <c r="AR30" s="52"/>
      <c r="AS30" s="52"/>
      <c r="AT30" s="52"/>
      <c r="AU30" s="52"/>
      <c r="AV30" s="52"/>
      <c r="AW30" s="52"/>
    </row>
    <row r="31" spans="1:49" s="61" customFormat="1" ht="15.75" customHeight="1">
      <c r="A31" s="1103"/>
      <c r="B31" s="887" t="str">
        <f>ReportData!$K$24</f>
        <v>England</v>
      </c>
      <c r="C31" s="896"/>
      <c r="D31" s="894">
        <f>IF(Year1_England Year1_Assessments="","",Year1_England Year1_Assessments)</f>
        <v>665660</v>
      </c>
      <c r="E31" s="894">
        <f>IF(Year2_England Year2_Assessments="","",Year2_England Year2_Assessments)</f>
        <v>625960</v>
      </c>
      <c r="F31" s="894">
        <f>IF(Year3_England Year3_Assessments="","",Year3_England Year3_Assessments)</f>
        <v>645070</v>
      </c>
      <c r="G31" s="894">
        <f>IF(Year4_England Year4_Assessments="","",Year4_England Year4_Assessments)</f>
        <v>655540</v>
      </c>
      <c r="H31" s="895">
        <f>IF(Year5_England Year5_Assessments="","",Year5_England Year5_Assessments)</f>
        <v>643170</v>
      </c>
      <c r="I31" s="913">
        <f t="shared" si="12"/>
        <v>-7.9375229557649852E-3</v>
      </c>
      <c r="J31" s="896"/>
      <c r="K31" s="914">
        <f>IF(ISNUMBER(D31),D31/Population!D31*10000,NA())</f>
        <v>564.5735563876384</v>
      </c>
      <c r="L31" s="914">
        <f>IF(ISNUMBER(E31),E31/Population!E31*10000,NA())</f>
        <v>531.02387096347297</v>
      </c>
      <c r="M31" s="914">
        <f>IF(ISNUMBER(F31),F31/Population!F31*10000,NA())</f>
        <v>548.39470408517377</v>
      </c>
      <c r="N31" s="914">
        <f>IF(ISNUMBER(G31),G31/Population!G31*10000,NA())</f>
        <v>551.5325907266232</v>
      </c>
      <c r="O31" s="1086">
        <f>IF(ISNUMBER(H31),H31/Population!H31*10000,NA())</f>
        <v>536.03548267029464</v>
      </c>
      <c r="P31" s="903">
        <f t="shared" si="13"/>
        <v>536.03548267029464</v>
      </c>
      <c r="Q31" s="1141" t="str">
        <f t="shared" si="1"/>
        <v>--</v>
      </c>
      <c r="R31" s="64"/>
      <c r="S31" s="917">
        <f>((IDACI!C29*$Y$41)+$Z$41)/$X$2</f>
        <v>554.40951873201584</v>
      </c>
      <c r="T31" s="1087">
        <f t="shared" si="2"/>
        <v>-18.374036061721199</v>
      </c>
      <c r="U31" s="89"/>
      <c r="V31" s="103"/>
      <c r="W31" s="115"/>
      <c r="X31" s="51" t="str">
        <f t="shared" si="3"/>
        <v>England</v>
      </c>
      <c r="Y31" s="27">
        <f>IF(H31&gt;0,IDACI!D29,0)</f>
        <v>10405050</v>
      </c>
      <c r="Z31" s="27">
        <f>IF(H31&gt;0,IDACI!E29,0)</f>
        <v>1777641.7570000088</v>
      </c>
      <c r="AA31" s="155">
        <f>IF(ISNUMBER(D31),Population!D31,"")</f>
        <v>11790492</v>
      </c>
      <c r="AB31" s="155">
        <f>IF(ISNUMBER(E31),Population!E31,"")</f>
        <v>11787794</v>
      </c>
      <c r="AC31" s="155">
        <f>IF(ISNUMBER(F31),Population!F31,"")</f>
        <v>11762878</v>
      </c>
      <c r="AD31" s="155">
        <f>IF(ISNUMBER(G31),Population!G31,"")</f>
        <v>11885789</v>
      </c>
      <c r="AE31" s="155">
        <f>IF(ISNUMBER(H31),Population!H31,"")</f>
        <v>11998646</v>
      </c>
      <c r="AH31" s="141"/>
      <c r="AJ31" s="121"/>
      <c r="AK31" s="480">
        <f>IF(ISERROR((E31-D31)/D31),"x",(E31-D31)/D31)</f>
        <v>-5.9640056485292789E-2</v>
      </c>
      <c r="AL31" s="480">
        <f>IF(ISERROR((F31-E31)/E31),"x",(F31-E31)/E31)</f>
        <v>3.0529107291200716E-2</v>
      </c>
      <c r="AM31" s="480">
        <f>IF(ISERROR((G31-F31)/F31),"x",(G31-F31)/F31)</f>
        <v>1.6230796657727069E-2</v>
      </c>
      <c r="AN31" s="480">
        <f>IF(ISERROR((H31-G31)/G31),"x",(H31-G31)/G31)</f>
        <v>-1.8869939286694937E-2</v>
      </c>
      <c r="AO31" s="480">
        <f t="shared" si="14"/>
        <v>-7.9375229557649852E-3</v>
      </c>
      <c r="AP31" s="52"/>
      <c r="AQ31" s="52"/>
      <c r="AR31" s="52"/>
      <c r="AS31" s="52"/>
      <c r="AT31" s="52"/>
      <c r="AU31" s="52"/>
      <c r="AV31" s="52"/>
      <c r="AW31" s="52"/>
    </row>
    <row r="32" spans="1:49" s="56" customFormat="1" ht="12.75" customHeight="1">
      <c r="A32" s="87"/>
      <c r="B32" s="90"/>
      <c r="C32" s="44"/>
      <c r="D32" s="44"/>
      <c r="E32" s="44"/>
      <c r="F32" s="44"/>
      <c r="G32" s="44"/>
      <c r="H32" s="44"/>
      <c r="I32" s="44"/>
      <c r="J32" s="44"/>
      <c r="K32" s="44"/>
      <c r="L32" s="44"/>
      <c r="M32" s="44"/>
      <c r="N32" s="44"/>
      <c r="O32" s="44"/>
      <c r="P32" s="44"/>
      <c r="Q32" s="1091" t="s">
        <v>100</v>
      </c>
      <c r="S32" s="44"/>
      <c r="T32" s="44"/>
      <c r="U32" s="86"/>
      <c r="V32" s="121"/>
      <c r="W32" s="114"/>
      <c r="X32" s="55"/>
      <c r="Y32" s="52"/>
      <c r="Z32" s="52"/>
      <c r="AA32" s="52"/>
      <c r="AB32" s="52"/>
      <c r="AC32" s="52"/>
      <c r="AD32" s="52"/>
      <c r="AE32" s="52"/>
      <c r="AF32" s="52"/>
      <c r="AG32" s="52"/>
      <c r="AI32" s="52"/>
      <c r="AJ32" s="122"/>
    </row>
    <row r="33" spans="1:63"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Y33" s="141"/>
      <c r="AI33" s="52"/>
      <c r="AJ33" s="119"/>
      <c r="AK33" s="52"/>
      <c r="AL33" s="52"/>
      <c r="AM33" s="52"/>
      <c r="AN33" s="52"/>
      <c r="AO33" s="52"/>
      <c r="AP33" s="52"/>
      <c r="AQ33" s="52"/>
    </row>
    <row r="34" spans="1:63" s="56" customFormat="1" ht="15" customHeight="1">
      <c r="A34" s="1565"/>
      <c r="B34" s="1751"/>
      <c r="C34" s="1751"/>
      <c r="D34" s="1751"/>
      <c r="E34" s="1751"/>
      <c r="F34" s="1751"/>
      <c r="G34" s="1751"/>
      <c r="H34" s="1751"/>
      <c r="I34" s="1751"/>
      <c r="J34" s="1751"/>
      <c r="K34" s="1751"/>
      <c r="L34" s="1751"/>
      <c r="M34" s="1751"/>
      <c r="N34" s="1751"/>
      <c r="O34" s="1751"/>
      <c r="P34" s="1751"/>
      <c r="Q34" s="1751"/>
      <c r="R34" s="1751"/>
      <c r="S34" s="1751"/>
      <c r="T34" s="1751"/>
      <c r="U34" s="1752"/>
      <c r="V34" s="185"/>
      <c r="W34" s="114"/>
      <c r="Y34" s="141"/>
      <c r="AJ34" s="122"/>
      <c r="AL34" s="56">
        <f>COLUMNS($B$4:K$4)</f>
        <v>10</v>
      </c>
      <c r="AM34" s="56">
        <f>COLUMNS($B$4:L$4)</f>
        <v>11</v>
      </c>
      <c r="AN34" s="56">
        <f>COLUMNS($B$4:M$4)</f>
        <v>12</v>
      </c>
      <c r="AO34" s="56">
        <f>COLUMNS($B$4:N$4)</f>
        <v>13</v>
      </c>
      <c r="AP34" s="56">
        <f>COLUMNS($B$4:O$4)</f>
        <v>14</v>
      </c>
      <c r="AQ34" s="56">
        <f>COLUMNS($B$4:R$4)</f>
        <v>17</v>
      </c>
      <c r="AR34" s="56">
        <f>COLUMNS($B$4:D$4)</f>
        <v>3</v>
      </c>
      <c r="AS34" s="56">
        <f>COLUMNS($B$4:E$4)</f>
        <v>4</v>
      </c>
      <c r="AT34" s="56">
        <f>COLUMNS($B$4:F$4)</f>
        <v>5</v>
      </c>
      <c r="AU34" s="56">
        <f>COLUMNS($B$4:G$4)</f>
        <v>6</v>
      </c>
      <c r="AV34" s="56">
        <f>COLUMNS($B$4:H$4)</f>
        <v>7</v>
      </c>
      <c r="AW34" s="56">
        <f>COLUMNS($B$4:D$4)</f>
        <v>3</v>
      </c>
      <c r="AX34" s="56">
        <f>COLUMNS($B$4:E$4)</f>
        <v>4</v>
      </c>
      <c r="AY34" s="56">
        <f>COLUMNS($B$4:F$4)</f>
        <v>5</v>
      </c>
      <c r="AZ34" s="56">
        <f>COLUMNS($B$4:G$4)</f>
        <v>6</v>
      </c>
      <c r="BA34" s="56">
        <f>COLUMNS($B$4:H$4)</f>
        <v>7</v>
      </c>
      <c r="BB34" s="56">
        <f>COLUMNS($B$4:D$4)</f>
        <v>3</v>
      </c>
      <c r="BC34" s="56">
        <f>COLUMNS($B$4:E$4)</f>
        <v>4</v>
      </c>
      <c r="BD34" s="56">
        <f>COLUMNS($B$4:F$4)</f>
        <v>5</v>
      </c>
      <c r="BE34" s="56">
        <f>COLUMNS($B$4:G$4)</f>
        <v>6</v>
      </c>
      <c r="BF34" s="56">
        <f>COLUMNS($B$4:H$4)</f>
        <v>7</v>
      </c>
      <c r="BG34" s="56">
        <f>COLUMNS($B$4:D$4)</f>
        <v>3</v>
      </c>
      <c r="BH34" s="56">
        <f>COLUMNS($B$4:E$4)</f>
        <v>4</v>
      </c>
      <c r="BI34" s="56">
        <f>COLUMNS($B$4:F$4)</f>
        <v>5</v>
      </c>
      <c r="BJ34" s="56">
        <f>COLUMNS($B$4:G$4)</f>
        <v>6</v>
      </c>
      <c r="BK34" s="56">
        <f>COLUMNS($B$4:H$4)</f>
        <v>7</v>
      </c>
    </row>
    <row r="35" spans="1:63" s="56" customFormat="1" ht="11.25" customHeight="1">
      <c r="A35" s="1739"/>
      <c r="B35" s="1740"/>
      <c r="C35" s="1740"/>
      <c r="D35" s="1740"/>
      <c r="E35" s="1740"/>
      <c r="F35" s="1740"/>
      <c r="G35" s="1740"/>
      <c r="H35" s="1740"/>
      <c r="I35" s="1741"/>
      <c r="J35" s="1740"/>
      <c r="K35" s="1740"/>
      <c r="L35" s="1740"/>
      <c r="M35" s="1740"/>
      <c r="N35" s="1740"/>
      <c r="O35" s="1740"/>
      <c r="P35" s="1742"/>
      <c r="Q35" s="1740"/>
      <c r="R35" s="1740"/>
      <c r="S35" s="1741"/>
      <c r="T35" s="1740"/>
      <c r="U35" s="1743"/>
      <c r="V35" s="185"/>
      <c r="W35" s="114"/>
      <c r="Y35" s="141"/>
      <c r="AI35" s="52"/>
      <c r="AJ35" s="121"/>
      <c r="AK35" s="61"/>
      <c r="AL35" s="1738" t="s">
        <v>85</v>
      </c>
      <c r="AM35" s="1738"/>
      <c r="AN35" s="1738"/>
      <c r="AO35" s="1738"/>
      <c r="AP35" s="1738"/>
      <c r="AQ35" s="1738" t="s">
        <v>862</v>
      </c>
      <c r="AR35" s="38" t="s">
        <v>121</v>
      </c>
      <c r="AS35" s="17"/>
      <c r="AT35" s="17"/>
      <c r="AU35" s="17"/>
      <c r="AV35" s="16"/>
      <c r="AW35" s="38" t="s">
        <v>180</v>
      </c>
      <c r="AX35" s="17"/>
      <c r="AY35" s="17"/>
      <c r="AZ35" s="17"/>
      <c r="BA35" s="16"/>
      <c r="BB35" s="1892" t="s">
        <v>179</v>
      </c>
      <c r="BC35" s="1892"/>
      <c r="BD35" s="1892"/>
      <c r="BE35" s="1892"/>
      <c r="BF35" s="1892"/>
      <c r="BG35" s="1892" t="s">
        <v>178</v>
      </c>
      <c r="BH35" s="1892"/>
      <c r="BI35" s="1892"/>
      <c r="BJ35" s="1892"/>
      <c r="BK35" s="1892"/>
    </row>
    <row r="36" spans="1:63" s="56" customFormat="1" ht="12.75">
      <c r="A36" s="81"/>
      <c r="B36" s="82"/>
      <c r="C36" s="82"/>
      <c r="D36" s="82"/>
      <c r="E36" s="82"/>
      <c r="F36" s="82"/>
      <c r="G36" s="82"/>
      <c r="H36" s="82"/>
      <c r="I36" s="82"/>
      <c r="J36" s="83"/>
      <c r="K36" s="82"/>
      <c r="L36" s="82"/>
      <c r="M36" s="82"/>
      <c r="N36" s="82"/>
      <c r="O36" s="82"/>
      <c r="P36" s="82"/>
      <c r="Q36" s="82"/>
      <c r="R36" s="82"/>
      <c r="S36" s="82"/>
      <c r="T36" s="82"/>
      <c r="U36" s="84"/>
      <c r="V36" s="102"/>
      <c r="W36" s="1093" t="s">
        <v>94</v>
      </c>
      <c r="X36" s="147"/>
      <c r="Y36" s="147"/>
      <c r="Z36" s="147"/>
      <c r="AA36" s="147"/>
      <c r="AB36" s="147"/>
      <c r="AI36" s="52"/>
      <c r="AJ36" s="121"/>
      <c r="AK36" s="61"/>
      <c r="AL36" s="109" t="str">
        <f>IF(ReportData!$C$3="Annual","",ReportData!$D$28)</f>
        <v/>
      </c>
      <c r="AM36" s="109" t="str">
        <f>IF(ReportData!$C$3="Annual","",ReportData!$E$28)</f>
        <v/>
      </c>
      <c r="AN36" s="109" t="str">
        <f>IF(ReportData!$C$3="Annual","",ReportData!$F$28)</f>
        <v/>
      </c>
      <c r="AO36" s="109" t="str">
        <f>IF(ReportData!$C$3="Annual","",ReportData!$G$28)</f>
        <v/>
      </c>
      <c r="AP36" s="109" t="str">
        <f>IF(ReportData!$C$3="Annual","",ReportData!$H$28)</f>
        <v/>
      </c>
      <c r="AQ36" s="1738"/>
      <c r="AR36" s="109"/>
      <c r="AS36" s="109"/>
      <c r="AT36" s="109"/>
      <c r="AU36" s="109"/>
      <c r="AV36" s="109"/>
      <c r="AW36" s="109" t="str">
        <f>IF(ReportData!$C$3="Annual","",ReportData!$D$28)</f>
        <v/>
      </c>
      <c r="AX36" s="109" t="str">
        <f>IF(ReportData!$C$3="Annual","",ReportData!$E$28)</f>
        <v/>
      </c>
      <c r="AY36" s="109" t="str">
        <f>IF(ReportData!$C$3="Annual","",ReportData!$F$28)</f>
        <v/>
      </c>
      <c r="AZ36" s="109" t="str">
        <f>IF(ReportData!$C$3="Annual","",ReportData!$G$28)</f>
        <v/>
      </c>
      <c r="BA36" s="109" t="str">
        <f>IF(ReportData!$C$3="Annual","",ReportData!$H$28)</f>
        <v/>
      </c>
      <c r="BB36" s="109" t="str">
        <f>IF(ReportData!$C$3="Annual","",ReportData!$D$28)</f>
        <v/>
      </c>
      <c r="BC36" s="109" t="str">
        <f>IF(ReportData!$C$3="Annual","",ReportData!$E$28)</f>
        <v/>
      </c>
      <c r="BD36" s="109" t="str">
        <f>IF(ReportData!$C$3="Annual","",ReportData!$F$28)</f>
        <v/>
      </c>
      <c r="BE36" s="109" t="str">
        <f>IF(ReportData!$C$3="Annual","",ReportData!$G$28)</f>
        <v/>
      </c>
      <c r="BF36" s="109" t="str">
        <f>IF(ReportData!$C$3="Annual","",ReportData!$H$28)</f>
        <v/>
      </c>
      <c r="BG36" s="109" t="str">
        <f>IF(ReportData!$C$3="Annual","",ReportData!$D$28)</f>
        <v/>
      </c>
      <c r="BH36" s="109" t="str">
        <f>IF(ReportData!$C$3="Annual","",ReportData!$E$28)</f>
        <v/>
      </c>
      <c r="BI36" s="109" t="str">
        <f>IF(ReportData!$C$3="Annual","",ReportData!$F$28)</f>
        <v/>
      </c>
      <c r="BJ36" s="109" t="str">
        <f>IF(ReportData!$C$3="Annual","",ReportData!$G$28)</f>
        <v/>
      </c>
      <c r="BK36" s="109" t="str">
        <f>IF(ReportData!$C$3="Annual","",ReportData!$H$28)</f>
        <v/>
      </c>
    </row>
    <row r="37" spans="1:63" s="56" customFormat="1" ht="3.75" customHeight="1">
      <c r="A37" s="85"/>
      <c r="B37" s="5"/>
      <c r="C37" s="5"/>
      <c r="D37" s="5"/>
      <c r="E37" s="5"/>
      <c r="F37" s="5"/>
      <c r="G37" s="5"/>
      <c r="H37" s="5"/>
      <c r="I37" s="5"/>
      <c r="J37" s="1"/>
      <c r="K37" s="5"/>
      <c r="L37" s="5"/>
      <c r="M37" s="5"/>
      <c r="N37" s="5"/>
      <c r="O37" s="5"/>
      <c r="P37" s="5"/>
      <c r="Q37" s="5"/>
      <c r="R37" s="5"/>
      <c r="S37" s="5"/>
      <c r="T37" s="5"/>
      <c r="U37" s="86"/>
      <c r="V37" s="102"/>
      <c r="W37" s="218"/>
      <c r="AC37" s="748" t="s">
        <v>762</v>
      </c>
      <c r="AJ37" s="121"/>
      <c r="AK37" s="61"/>
      <c r="AL37" s="109" t="str">
        <f>ReportData!$D$27</f>
        <v>2019/20</v>
      </c>
      <c r="AM37" s="109" t="str">
        <f>ReportData!$E$27</f>
        <v>2020/21</v>
      </c>
      <c r="AN37" s="109" t="str">
        <f>ReportData!$F$27</f>
        <v>2021/22</v>
      </c>
      <c r="AO37" s="109" t="str">
        <f>ReportData!$G$27</f>
        <v>2022/23</v>
      </c>
      <c r="AP37" s="109" t="str">
        <f>ReportData!$H$27</f>
        <v>2023/24</v>
      </c>
      <c r="AQ37" s="1738"/>
      <c r="AR37" s="228" t="s">
        <v>114</v>
      </c>
      <c r="AS37" s="228" t="s">
        <v>115</v>
      </c>
      <c r="AT37" s="228" t="s">
        <v>116</v>
      </c>
      <c r="AU37" s="228" t="s">
        <v>117</v>
      </c>
      <c r="AV37" s="229" t="s">
        <v>118</v>
      </c>
      <c r="AW37" s="109" t="str">
        <f>ReportData!$D$27</f>
        <v>2019/20</v>
      </c>
      <c r="AX37" s="109" t="str">
        <f>ReportData!$E$27</f>
        <v>2020/21</v>
      </c>
      <c r="AY37" s="109" t="str">
        <f>ReportData!$F$27</f>
        <v>2021/22</v>
      </c>
      <c r="AZ37" s="109" t="str">
        <f>ReportData!$G$27</f>
        <v>2022/23</v>
      </c>
      <c r="BA37" s="109" t="str">
        <f>ReportData!$H$27</f>
        <v>2023/24</v>
      </c>
      <c r="BB37" s="109" t="str">
        <f>ReportData!$D$27</f>
        <v>2019/20</v>
      </c>
      <c r="BC37" s="109" t="str">
        <f>ReportData!$E$27</f>
        <v>2020/21</v>
      </c>
      <c r="BD37" s="109" t="str">
        <f>ReportData!$F$27</f>
        <v>2021/22</v>
      </c>
      <c r="BE37" s="109" t="str">
        <f>ReportData!$G$27</f>
        <v>2022/23</v>
      </c>
      <c r="BF37" s="109" t="str">
        <f>ReportData!$H$27</f>
        <v>2023/24</v>
      </c>
      <c r="BG37" s="109" t="str">
        <f>ReportData!$D$27</f>
        <v>2019/20</v>
      </c>
      <c r="BH37" s="109" t="str">
        <f>ReportData!$E$27</f>
        <v>2020/21</v>
      </c>
      <c r="BI37" s="109" t="str">
        <f>ReportData!$F$27</f>
        <v>2021/22</v>
      </c>
      <c r="BJ37" s="109" t="str">
        <f>ReportData!$G$27</f>
        <v>2022/23</v>
      </c>
      <c r="BK37" s="109" t="str">
        <f>ReportData!$H$27</f>
        <v>2023/24</v>
      </c>
    </row>
    <row r="38" spans="1:63" s="56" customFormat="1" ht="14.25" customHeight="1">
      <c r="A38" s="87"/>
      <c r="B38" s="5"/>
      <c r="C38" s="5"/>
      <c r="D38" s="5"/>
      <c r="E38" s="5"/>
      <c r="F38" s="5"/>
      <c r="G38" s="5"/>
      <c r="H38" s="5"/>
      <c r="I38" s="5"/>
      <c r="J38" s="1"/>
      <c r="K38" s="5"/>
      <c r="L38" s="5"/>
      <c r="M38" s="5"/>
      <c r="N38" s="5"/>
      <c r="O38" s="5"/>
      <c r="P38" s="5"/>
      <c r="Q38" s="5"/>
      <c r="R38" s="5"/>
      <c r="S38" s="5"/>
      <c r="T38" s="5"/>
      <c r="U38" s="86"/>
      <c r="V38" s="102"/>
      <c r="W38" s="218"/>
      <c r="X38" s="26" t="s">
        <v>69</v>
      </c>
      <c r="Y38" s="26" t="s">
        <v>67</v>
      </c>
      <c r="Z38" s="26" t="s">
        <v>68</v>
      </c>
      <c r="AA38" s="693">
        <v>3</v>
      </c>
      <c r="AB38" s="165">
        <f>(AA38*Y39)+Z39</f>
        <v>304.4116931614443</v>
      </c>
      <c r="AC38" s="156">
        <f>ROUND(ChartLabels!$X17,3)</f>
        <v>0.23599999999999999</v>
      </c>
      <c r="AI38" s="361" t="b">
        <v>1</v>
      </c>
      <c r="AJ38" s="121" t="s">
        <v>0</v>
      </c>
      <c r="AK38" s="61" t="str">
        <f t="shared" ref="AK38:AK58" si="15">IF(AI38=TRUE,B11,"")</f>
        <v>Bracknell Forest</v>
      </c>
      <c r="AL38" s="110">
        <f t="shared" ref="AL38:AP47" si="16">VLOOKUP($AK38,$B$11:$O$31,AL$34,FALSE)</f>
        <v>560.84694849439518</v>
      </c>
      <c r="AM38" s="110">
        <f t="shared" si="16"/>
        <v>584.54736536928317</v>
      </c>
      <c r="AN38" s="110">
        <f t="shared" si="16"/>
        <v>526.1833734679941</v>
      </c>
      <c r="AO38" s="110">
        <f t="shared" si="16"/>
        <v>497.70561242499116</v>
      </c>
      <c r="AP38" s="110">
        <f t="shared" si="16"/>
        <v>496.7361329284044</v>
      </c>
      <c r="AQ38" s="111">
        <f>VLOOKUP(AK38,IDACI!$B$8:$C$29,2,FALSE)</f>
        <v>8.9</v>
      </c>
      <c r="AR38" s="237">
        <f t="shared" ref="AR38:AV47" si="17">VLOOKUP($AK38,$B$141:$H$161,AR$34,FALSE)</f>
        <v>0.23190442726633873</v>
      </c>
      <c r="AS38" s="237">
        <f t="shared" si="17"/>
        <v>0.26563598032326069</v>
      </c>
      <c r="AT38" s="237">
        <f t="shared" si="17"/>
        <v>0.14968376669009137</v>
      </c>
      <c r="AU38" s="237">
        <f t="shared" si="17"/>
        <v>0.17498243148278286</v>
      </c>
      <c r="AV38" s="237">
        <f t="shared" si="17"/>
        <v>0.17779339423752635</v>
      </c>
      <c r="AW38" s="237">
        <f t="shared" ref="AW38:BA47" si="18">VLOOKUP($AK38,$B$109:$H$129,AW$34,FALSE)</f>
        <v>0.93729588504245587</v>
      </c>
      <c r="AX38" s="237">
        <f t="shared" si="18"/>
        <v>0.93428394296342221</v>
      </c>
      <c r="AY38" s="237">
        <f t="shared" si="18"/>
        <v>0.81625683060109289</v>
      </c>
      <c r="AZ38" s="237">
        <f t="shared" si="18"/>
        <v>0.85886524822695032</v>
      </c>
      <c r="BA38" s="237">
        <f t="shared" si="18"/>
        <v>0.82220660576247362</v>
      </c>
      <c r="BB38" s="237" t="e">
        <f t="shared" ref="BB38:BF47" si="19">VLOOKUP($AK38,$B$173:$H$193,BB$34,FALSE)</f>
        <v>#N/A</v>
      </c>
      <c r="BC38" s="237" t="e">
        <f t="shared" si="19"/>
        <v>#N/A</v>
      </c>
      <c r="BD38" s="237" t="e">
        <f t="shared" si="19"/>
        <v>#N/A</v>
      </c>
      <c r="BE38" s="237" t="e">
        <f t="shared" si="19"/>
        <v>#N/A</v>
      </c>
      <c r="BF38" s="237" t="e">
        <f t="shared" si="19"/>
        <v>#N/A</v>
      </c>
      <c r="BG38" s="237" t="e">
        <f t="shared" ref="BG38:BK47" si="20">VLOOKUP($AK38,$B$206:$H$226,BG$34,FALSE)</f>
        <v>#N/A</v>
      </c>
      <c r="BH38" s="237" t="e">
        <f t="shared" si="20"/>
        <v>#N/A</v>
      </c>
      <c r="BI38" s="237" t="e">
        <f t="shared" si="20"/>
        <v>#N/A</v>
      </c>
      <c r="BJ38" s="237" t="e">
        <f t="shared" si="20"/>
        <v>#N/A</v>
      </c>
      <c r="BK38" s="237" t="e">
        <f t="shared" si="20"/>
        <v>#N/A</v>
      </c>
    </row>
    <row r="39" spans="1:63" s="56" customFormat="1" ht="14.25" customHeight="1">
      <c r="A39" s="87"/>
      <c r="B39" s="5"/>
      <c r="C39" s="5"/>
      <c r="D39" s="5"/>
      <c r="E39" s="5"/>
      <c r="F39" s="5"/>
      <c r="G39" s="5"/>
      <c r="H39" s="5"/>
      <c r="I39" s="5"/>
      <c r="J39" s="1"/>
      <c r="K39" s="5"/>
      <c r="L39" s="5"/>
      <c r="M39" s="5"/>
      <c r="N39" s="5"/>
      <c r="O39" s="5"/>
      <c r="P39" s="5"/>
      <c r="Q39" s="5"/>
      <c r="R39" s="5"/>
      <c r="S39" s="5"/>
      <c r="T39" s="5"/>
      <c r="U39" s="86"/>
      <c r="V39" s="102"/>
      <c r="W39" s="218"/>
      <c r="X39" s="161" t="str">
        <f>"Y= "&amp;Y39&amp;"x + "&amp;Z39</f>
        <v>Y= 31.2357908327227x + 210.704320663276</v>
      </c>
      <c r="Y39" s="433">
        <f>ChartLabels!$V17</f>
        <v>31.235790832722653</v>
      </c>
      <c r="Z39" s="433">
        <f>ChartLabels!$W17</f>
        <v>210.70432066327635</v>
      </c>
      <c r="AA39" s="164">
        <v>22</v>
      </c>
      <c r="AB39" s="165">
        <f>(AA39*Y39)+Z39</f>
        <v>897.89171898317477</v>
      </c>
      <c r="AC39" s="747" t="str">
        <f>AC37&amp;" = "&amp;AC38</f>
        <v>r² = 0.236</v>
      </c>
      <c r="AI39" s="361" t="b">
        <v>1</v>
      </c>
      <c r="AJ39" s="121" t="s">
        <v>28</v>
      </c>
      <c r="AK39" s="61" t="str">
        <f t="shared" si="15"/>
        <v>Brighton &amp; Hove</v>
      </c>
      <c r="AL39" s="110">
        <f t="shared" si="16"/>
        <v>568.98475269616961</v>
      </c>
      <c r="AM39" s="110">
        <f t="shared" si="16"/>
        <v>447.41889750646317</v>
      </c>
      <c r="AN39" s="110">
        <f t="shared" si="16"/>
        <v>561.48541114058355</v>
      </c>
      <c r="AO39" s="110">
        <f t="shared" si="16"/>
        <v>666.94951209164185</v>
      </c>
      <c r="AP39" s="110">
        <f t="shared" si="16"/>
        <v>614.79449706424373</v>
      </c>
      <c r="AQ39" s="111">
        <f>VLOOKUP(AK39,IDACI!$B$8:$C$29,2,FALSE)</f>
        <v>15.299999999999999</v>
      </c>
      <c r="AR39" s="237">
        <f t="shared" si="17"/>
        <v>0.15684907633321715</v>
      </c>
      <c r="AS39" s="237">
        <f t="shared" si="17"/>
        <v>0.12896479609620076</v>
      </c>
      <c r="AT39" s="237">
        <f t="shared" si="17"/>
        <v>0.15580341582432902</v>
      </c>
      <c r="AU39" s="237">
        <f t="shared" si="17"/>
        <v>0.41826420355524574</v>
      </c>
      <c r="AV39" s="237">
        <f t="shared" si="17"/>
        <v>0.14011850819100732</v>
      </c>
      <c r="AW39" s="237">
        <f t="shared" si="18"/>
        <v>0.90014524328249823</v>
      </c>
      <c r="AX39" s="237">
        <f t="shared" si="18"/>
        <v>0.91425908667287981</v>
      </c>
      <c r="AY39" s="237">
        <f t="shared" si="18"/>
        <v>0.87339380196523053</v>
      </c>
      <c r="AZ39" s="237">
        <f t="shared" si="18"/>
        <v>0.83524173027989823</v>
      </c>
      <c r="BA39" s="237">
        <f t="shared" si="18"/>
        <v>0.85988149180899265</v>
      </c>
      <c r="BB39" s="237" t="e">
        <f t="shared" si="19"/>
        <v>#N/A</v>
      </c>
      <c r="BC39" s="237" t="e">
        <f t="shared" si="19"/>
        <v>#N/A</v>
      </c>
      <c r="BD39" s="237" t="e">
        <f t="shared" si="19"/>
        <v>#N/A</v>
      </c>
      <c r="BE39" s="237" t="e">
        <f t="shared" si="19"/>
        <v>#N/A</v>
      </c>
      <c r="BF39" s="237" t="e">
        <f t="shared" si="19"/>
        <v>#N/A</v>
      </c>
      <c r="BG39" s="237" t="e">
        <f t="shared" si="20"/>
        <v>#N/A</v>
      </c>
      <c r="BH39" s="237" t="e">
        <f t="shared" si="20"/>
        <v>#N/A</v>
      </c>
      <c r="BI39" s="237" t="e">
        <f t="shared" si="20"/>
        <v>#N/A</v>
      </c>
      <c r="BJ39" s="237" t="e">
        <f t="shared" si="20"/>
        <v>#N/A</v>
      </c>
      <c r="BK39" s="237" t="e">
        <f t="shared" si="20"/>
        <v>#N/A</v>
      </c>
    </row>
    <row r="40" spans="1:63" ht="14.25" customHeight="1">
      <c r="A40" s="87"/>
      <c r="B40" s="5"/>
      <c r="C40" s="5"/>
      <c r="D40" s="5"/>
      <c r="E40" s="5"/>
      <c r="F40" s="5"/>
      <c r="G40" s="5"/>
      <c r="H40" s="5"/>
      <c r="I40" s="5"/>
      <c r="J40" s="1"/>
      <c r="K40" s="5"/>
      <c r="L40" s="5"/>
      <c r="M40" s="5"/>
      <c r="N40" s="5"/>
      <c r="O40" s="5"/>
      <c r="P40" s="5"/>
      <c r="Q40" s="5"/>
      <c r="R40" s="5"/>
      <c r="S40" s="5"/>
      <c r="T40" s="5"/>
      <c r="U40" s="86"/>
      <c r="V40" s="102"/>
      <c r="W40" s="218"/>
      <c r="X40" s="26" t="str">
        <f>"National Trend "&amp;ReportData!$B$8</f>
        <v>National Trend 2024</v>
      </c>
      <c r="Y40" s="158" t="s">
        <v>67</v>
      </c>
      <c r="Z40" s="26" t="s">
        <v>68</v>
      </c>
      <c r="AA40" s="693">
        <v>3</v>
      </c>
      <c r="AB40" s="160">
        <f>((AA40*Y41)+Z41)/$X$2</f>
        <v>283.1055142903445</v>
      </c>
      <c r="AC40" s="747" t="str">
        <f>$AC$37&amp;" = "&amp;AC41</f>
        <v>r² = 0.325</v>
      </c>
      <c r="AI40" s="361" t="b">
        <v>1</v>
      </c>
      <c r="AJ40" s="121" t="s">
        <v>8</v>
      </c>
      <c r="AK40" s="61" t="str">
        <f t="shared" si="15"/>
        <v>Buckinghamshire</v>
      </c>
      <c r="AL40" s="110">
        <f t="shared" si="16"/>
        <v>664.99095278253105</v>
      </c>
      <c r="AM40" s="110">
        <f t="shared" si="16"/>
        <v>675.70104902240917</v>
      </c>
      <c r="AN40" s="110">
        <f t="shared" si="16"/>
        <v>825.92502631365869</v>
      </c>
      <c r="AO40" s="110">
        <f t="shared" si="16"/>
        <v>704.99940436008421</v>
      </c>
      <c r="AP40" s="110">
        <f t="shared" si="16"/>
        <v>673.1130892678035</v>
      </c>
      <c r="AQ40" s="111">
        <f>VLOOKUP(AK40,IDACI!$B$8:$C$29,2,FALSE)</f>
        <v>8.5</v>
      </c>
      <c r="AR40" s="237">
        <f t="shared" si="17"/>
        <v>0.2048894062863795</v>
      </c>
      <c r="AS40" s="237">
        <f t="shared" si="17"/>
        <v>0.11036088474970897</v>
      </c>
      <c r="AT40" s="237">
        <f t="shared" si="17"/>
        <v>0.15552968568102446</v>
      </c>
      <c r="AU40" s="237">
        <f t="shared" si="17"/>
        <v>0.30023282887077996</v>
      </c>
      <c r="AV40" s="237">
        <f t="shared" si="17"/>
        <v>0.2289871944121071</v>
      </c>
      <c r="AW40" s="237">
        <f t="shared" si="18"/>
        <v>0.87958630879093824</v>
      </c>
      <c r="AX40" s="237">
        <f t="shared" si="18"/>
        <v>0.84015947807176516</v>
      </c>
      <c r="AY40" s="237">
        <f t="shared" si="18"/>
        <v>0.81305754337810021</v>
      </c>
      <c r="AZ40" s="237">
        <f t="shared" si="18"/>
        <v>0.87788667342570692</v>
      </c>
      <c r="BA40" s="237">
        <f t="shared" si="18"/>
        <v>0.77101280558789287</v>
      </c>
      <c r="BB40" s="237" t="e">
        <f t="shared" si="19"/>
        <v>#N/A</v>
      </c>
      <c r="BC40" s="237" t="e">
        <f t="shared" si="19"/>
        <v>#N/A</v>
      </c>
      <c r="BD40" s="237" t="e">
        <f t="shared" si="19"/>
        <v>#N/A</v>
      </c>
      <c r="BE40" s="237" t="e">
        <f t="shared" si="19"/>
        <v>#N/A</v>
      </c>
      <c r="BF40" s="237" t="e">
        <f t="shared" si="19"/>
        <v>#N/A</v>
      </c>
      <c r="BG40" s="237" t="e">
        <f t="shared" si="20"/>
        <v>#N/A</v>
      </c>
      <c r="BH40" s="237" t="e">
        <f t="shared" si="20"/>
        <v>#N/A</v>
      </c>
      <c r="BI40" s="237" t="e">
        <f t="shared" si="20"/>
        <v>#N/A</v>
      </c>
      <c r="BJ40" s="237" t="e">
        <f t="shared" si="20"/>
        <v>#N/A</v>
      </c>
      <c r="BK40" s="237" t="e">
        <f t="shared" si="20"/>
        <v>#N/A</v>
      </c>
    </row>
    <row r="41" spans="1:63" ht="14.25" customHeight="1">
      <c r="A41" s="87"/>
      <c r="B41" s="5"/>
      <c r="C41" s="5"/>
      <c r="D41" s="5"/>
      <c r="E41" s="5"/>
      <c r="F41" s="5"/>
      <c r="G41" s="5"/>
      <c r="H41" s="5"/>
      <c r="I41" s="5"/>
      <c r="J41" s="1"/>
      <c r="K41" s="10"/>
      <c r="L41" s="10"/>
      <c r="M41" s="10"/>
      <c r="N41" s="10"/>
      <c r="O41" s="5"/>
      <c r="P41" s="5"/>
      <c r="Q41" s="5"/>
      <c r="R41" s="5"/>
      <c r="S41" s="5"/>
      <c r="T41" s="5"/>
      <c r="U41" s="86"/>
      <c r="V41" s="102"/>
      <c r="W41" s="218"/>
      <c r="X41" s="51" t="str">
        <f>"Y= "&amp;Y41&amp;"x + "&amp;Z41</f>
        <v>Y= 19.2627123785498x + 225.317377154695</v>
      </c>
      <c r="Y41" s="433">
        <f>ReportData!$F$7</f>
        <v>19.26271237854975</v>
      </c>
      <c r="Z41" s="433">
        <f>ReportData!$F$8</f>
        <v>225.31737715469524</v>
      </c>
      <c r="AA41" s="164">
        <v>22</v>
      </c>
      <c r="AB41" s="165">
        <f>((AA41*Y41)+Z41)/$X$2</f>
        <v>649.09704948278977</v>
      </c>
      <c r="AC41" s="694">
        <f>ROUND(ReportData!$F$9,3)</f>
        <v>0.32500000000000001</v>
      </c>
      <c r="AI41" s="361" t="b">
        <v>1</v>
      </c>
      <c r="AJ41" s="121" t="s">
        <v>4</v>
      </c>
      <c r="AK41" s="61" t="str">
        <f t="shared" si="15"/>
        <v>East Sussex</v>
      </c>
      <c r="AL41" s="110">
        <f t="shared" si="16"/>
        <v>337.15179603773765</v>
      </c>
      <c r="AM41" s="110">
        <f t="shared" si="16"/>
        <v>310.87981722141399</v>
      </c>
      <c r="AN41" s="110">
        <f t="shared" si="16"/>
        <v>317.38247727027533</v>
      </c>
      <c r="AO41" s="110">
        <f t="shared" si="16"/>
        <v>361.00170192073915</v>
      </c>
      <c r="AP41" s="110">
        <f t="shared" si="16"/>
        <v>407.60187633920816</v>
      </c>
      <c r="AQ41" s="111">
        <f>VLOOKUP(AK41,IDACI!$B$8:$C$29,2,FALSE)</f>
        <v>16.100000000000001</v>
      </c>
      <c r="AR41" s="237">
        <f t="shared" si="17"/>
        <v>8.264267108690504E-2</v>
      </c>
      <c r="AS41" s="237">
        <f t="shared" si="17"/>
        <v>0.13876391191096377</v>
      </c>
      <c r="AT41" s="237">
        <f t="shared" si="17"/>
        <v>0.14255268766279897</v>
      </c>
      <c r="AU41" s="237">
        <f t="shared" si="17"/>
        <v>0.29836609045702106</v>
      </c>
      <c r="AV41" s="237">
        <f t="shared" si="17"/>
        <v>0.33767463888231114</v>
      </c>
      <c r="AW41" s="237">
        <f t="shared" si="18"/>
        <v>0.61008645533141215</v>
      </c>
      <c r="AX41" s="237">
        <f t="shared" si="18"/>
        <v>0.65515075376884424</v>
      </c>
      <c r="AY41" s="237">
        <f t="shared" si="18"/>
        <v>0.60661310259579726</v>
      </c>
      <c r="AZ41" s="237">
        <f t="shared" si="18"/>
        <v>0.60317887931034486</v>
      </c>
      <c r="BA41" s="237">
        <f t="shared" si="18"/>
        <v>0.6623253611176888</v>
      </c>
      <c r="BB41" s="237" t="e">
        <f t="shared" si="19"/>
        <v>#N/A</v>
      </c>
      <c r="BC41" s="237" t="e">
        <f t="shared" si="19"/>
        <v>#N/A</v>
      </c>
      <c r="BD41" s="237" t="e">
        <f t="shared" si="19"/>
        <v>#N/A</v>
      </c>
      <c r="BE41" s="237" t="e">
        <f t="shared" si="19"/>
        <v>#N/A</v>
      </c>
      <c r="BF41" s="237" t="e">
        <f t="shared" si="19"/>
        <v>#N/A</v>
      </c>
      <c r="BG41" s="237" t="e">
        <f t="shared" si="20"/>
        <v>#N/A</v>
      </c>
      <c r="BH41" s="237" t="e">
        <f t="shared" si="20"/>
        <v>#N/A</v>
      </c>
      <c r="BI41" s="237" t="e">
        <f t="shared" si="20"/>
        <v>#N/A</v>
      </c>
      <c r="BJ41" s="237" t="e">
        <f t="shared" si="20"/>
        <v>#N/A</v>
      </c>
      <c r="BK41" s="237" t="e">
        <f t="shared" si="20"/>
        <v>#N/A</v>
      </c>
    </row>
    <row r="42" spans="1:63" ht="14.25" customHeight="1">
      <c r="A42" s="87"/>
      <c r="B42" s="76"/>
      <c r="C42" s="76"/>
      <c r="D42" s="77"/>
      <c r="E42" s="77"/>
      <c r="F42" s="77"/>
      <c r="G42" s="77"/>
      <c r="H42" s="77"/>
      <c r="I42" s="77"/>
      <c r="J42" s="1"/>
      <c r="K42" s="5"/>
      <c r="L42" s="5"/>
      <c r="M42" s="5"/>
      <c r="N42" s="5"/>
      <c r="O42" s="5"/>
      <c r="P42" s="5"/>
      <c r="Q42" s="5"/>
      <c r="R42" s="5"/>
      <c r="S42" s="5"/>
      <c r="T42" s="5"/>
      <c r="U42" s="86"/>
      <c r="V42" s="102"/>
      <c r="W42" s="218"/>
      <c r="X42" s="52"/>
      <c r="Y42" s="52"/>
      <c r="Z42" s="52"/>
      <c r="AA42" s="52"/>
      <c r="AB42" s="52"/>
      <c r="AI42" s="361" t="b">
        <v>1</v>
      </c>
      <c r="AJ42" s="121" t="s">
        <v>6</v>
      </c>
      <c r="AK42" s="61" t="str">
        <f t="shared" si="15"/>
        <v>Hampshire</v>
      </c>
      <c r="AL42" s="110">
        <f t="shared" si="16"/>
        <v>705.66334932340521</v>
      </c>
      <c r="AM42" s="110">
        <f t="shared" si="16"/>
        <v>787.47370078289373</v>
      </c>
      <c r="AN42" s="110">
        <f t="shared" si="16"/>
        <v>984.62600870682638</v>
      </c>
      <c r="AO42" s="110">
        <f t="shared" si="16"/>
        <v>1004.7727056267131</v>
      </c>
      <c r="AP42" s="110" t="e">
        <f t="shared" si="16"/>
        <v>#N/A</v>
      </c>
      <c r="AQ42" s="111">
        <f>VLOOKUP(AK42,IDACI!$B$8:$C$29,2,FALSE)</f>
        <v>10.100000000000001</v>
      </c>
      <c r="AR42" s="237" t="e">
        <f t="shared" si="17"/>
        <v>#N/A</v>
      </c>
      <c r="AS42" s="237" t="e">
        <f t="shared" si="17"/>
        <v>#N/A</v>
      </c>
      <c r="AT42" s="237" t="e">
        <f t="shared" si="17"/>
        <v>#N/A</v>
      </c>
      <c r="AU42" s="237" t="e">
        <f t="shared" si="17"/>
        <v>#N/A</v>
      </c>
      <c r="AV42" s="237" t="e">
        <f t="shared" si="17"/>
        <v>#N/A</v>
      </c>
      <c r="AW42" s="237">
        <f t="shared" si="18"/>
        <v>0.92608563311688308</v>
      </c>
      <c r="AX42" s="237">
        <f t="shared" si="18"/>
        <v>0.95910577971646671</v>
      </c>
      <c r="AY42" s="237">
        <f t="shared" si="18"/>
        <v>0.96023281877010958</v>
      </c>
      <c r="AZ42" s="237">
        <f t="shared" si="18"/>
        <v>0.95063895520292097</v>
      </c>
      <c r="BA42" s="237" t="e">
        <f t="shared" si="18"/>
        <v>#VALUE!</v>
      </c>
      <c r="BB42" s="237" t="e">
        <f t="shared" si="19"/>
        <v>#N/A</v>
      </c>
      <c r="BC42" s="237" t="e">
        <f t="shared" si="19"/>
        <v>#N/A</v>
      </c>
      <c r="BD42" s="237" t="e">
        <f t="shared" si="19"/>
        <v>#N/A</v>
      </c>
      <c r="BE42" s="237" t="e">
        <f t="shared" si="19"/>
        <v>#N/A</v>
      </c>
      <c r="BF42" s="237" t="e">
        <f t="shared" si="19"/>
        <v>#N/A</v>
      </c>
      <c r="BG42" s="237" t="e">
        <f t="shared" si="20"/>
        <v>#N/A</v>
      </c>
      <c r="BH42" s="237" t="e">
        <f t="shared" si="20"/>
        <v>#N/A</v>
      </c>
      <c r="BI42" s="237" t="e">
        <f t="shared" si="20"/>
        <v>#N/A</v>
      </c>
      <c r="BJ42" s="237" t="e">
        <f t="shared" si="20"/>
        <v>#N/A</v>
      </c>
      <c r="BK42" s="237" t="e">
        <f t="shared" si="20"/>
        <v>#N/A</v>
      </c>
    </row>
    <row r="43" spans="1:63" ht="14.25" customHeight="1">
      <c r="A43" s="87"/>
      <c r="B43" s="77"/>
      <c r="C43" s="77"/>
      <c r="D43" s="77"/>
      <c r="E43" s="77"/>
      <c r="F43" s="77"/>
      <c r="G43" s="77"/>
      <c r="H43" s="77"/>
      <c r="I43" s="77"/>
      <c r="J43" s="1"/>
      <c r="K43" s="5"/>
      <c r="L43" s="5"/>
      <c r="M43" s="5"/>
      <c r="N43" s="5"/>
      <c r="O43" s="5"/>
      <c r="P43" s="5"/>
      <c r="Q43" s="5"/>
      <c r="R43" s="5"/>
      <c r="S43" s="5"/>
      <c r="T43" s="5"/>
      <c r="U43" s="86"/>
      <c r="V43" s="102"/>
      <c r="W43" s="218"/>
      <c r="AI43" s="361" t="b">
        <v>1</v>
      </c>
      <c r="AJ43" s="121" t="s">
        <v>1</v>
      </c>
      <c r="AK43" s="61" t="str">
        <f t="shared" si="15"/>
        <v>Isle of Wight</v>
      </c>
      <c r="AL43" s="110">
        <f t="shared" si="16"/>
        <v>1295.8314472655447</v>
      </c>
      <c r="AM43" s="110">
        <f t="shared" si="16"/>
        <v>1449.4391428093086</v>
      </c>
      <c r="AN43" s="110">
        <f t="shared" si="16"/>
        <v>1768.0656625486547</v>
      </c>
      <c r="AO43" s="110">
        <f t="shared" si="16"/>
        <v>1681.3971275601259</v>
      </c>
      <c r="AP43" s="110">
        <f t="shared" si="16"/>
        <v>1693.4038740506869</v>
      </c>
      <c r="AQ43" s="111">
        <f>VLOOKUP(AK43,IDACI!$B$8:$C$29,2,FALSE)</f>
        <v>18</v>
      </c>
      <c r="AR43" s="237">
        <f t="shared" si="17"/>
        <v>0.4494834971025447</v>
      </c>
      <c r="AS43" s="237">
        <f t="shared" si="17"/>
        <v>0.32023179642227262</v>
      </c>
      <c r="AT43" s="237">
        <f t="shared" si="17"/>
        <v>8.1632653061224483E-2</v>
      </c>
      <c r="AU43" s="237">
        <f t="shared" si="17"/>
        <v>0.11337868480725624</v>
      </c>
      <c r="AV43" s="237">
        <f t="shared" si="17"/>
        <v>3.5273368606701938E-2</v>
      </c>
      <c r="AW43" s="237">
        <f t="shared" si="18"/>
        <v>0.94474436328993328</v>
      </c>
      <c r="AX43" s="237">
        <f t="shared" si="18"/>
        <v>0.96679179901819234</v>
      </c>
      <c r="AY43" s="237">
        <f t="shared" si="18"/>
        <v>0.96841349605168703</v>
      </c>
      <c r="AZ43" s="237">
        <f t="shared" si="18"/>
        <v>0.94288602476623706</v>
      </c>
      <c r="BA43" s="237">
        <f t="shared" si="18"/>
        <v>0.96472663139329806</v>
      </c>
      <c r="BB43" s="237" t="e">
        <f t="shared" si="19"/>
        <v>#N/A</v>
      </c>
      <c r="BC43" s="237" t="e">
        <f t="shared" si="19"/>
        <v>#N/A</v>
      </c>
      <c r="BD43" s="237" t="e">
        <f t="shared" si="19"/>
        <v>#N/A</v>
      </c>
      <c r="BE43" s="237" t="e">
        <f t="shared" si="19"/>
        <v>#N/A</v>
      </c>
      <c r="BF43" s="237" t="e">
        <f t="shared" si="19"/>
        <v>#N/A</v>
      </c>
      <c r="BG43" s="237" t="e">
        <f t="shared" si="20"/>
        <v>#N/A</v>
      </c>
      <c r="BH43" s="237" t="e">
        <f t="shared" si="20"/>
        <v>#N/A</v>
      </c>
      <c r="BI43" s="237" t="e">
        <f t="shared" si="20"/>
        <v>#N/A</v>
      </c>
      <c r="BJ43" s="237" t="e">
        <f t="shared" si="20"/>
        <v>#N/A</v>
      </c>
      <c r="BK43" s="237" t="e">
        <f t="shared" si="20"/>
        <v>#N/A</v>
      </c>
    </row>
    <row r="44" spans="1:63" ht="14.25" customHeight="1">
      <c r="A44" s="87"/>
      <c r="B44" s="77"/>
      <c r="C44" s="77"/>
      <c r="D44" s="77"/>
      <c r="E44" s="77"/>
      <c r="F44" s="77"/>
      <c r="G44" s="77"/>
      <c r="H44" s="77"/>
      <c r="I44" s="77"/>
      <c r="J44" s="1"/>
      <c r="K44" s="5"/>
      <c r="L44" s="5"/>
      <c r="M44" s="5"/>
      <c r="N44" s="5"/>
      <c r="O44" s="5"/>
      <c r="P44" s="5"/>
      <c r="Q44" s="5"/>
      <c r="R44" s="5"/>
      <c r="S44" s="5"/>
      <c r="T44" s="5"/>
      <c r="U44" s="86"/>
      <c r="V44" s="102"/>
      <c r="W44" s="218"/>
      <c r="AC44" s="157"/>
      <c r="AI44" s="361" t="b">
        <v>1</v>
      </c>
      <c r="AJ44" s="121" t="s">
        <v>9</v>
      </c>
      <c r="AK44" s="61" t="str">
        <f t="shared" si="15"/>
        <v>Kent</v>
      </c>
      <c r="AL44" s="110">
        <f t="shared" si="16"/>
        <v>620.56200370189265</v>
      </c>
      <c r="AM44" s="110">
        <f t="shared" si="16"/>
        <v>548.7046384230797</v>
      </c>
      <c r="AN44" s="110">
        <f t="shared" si="16"/>
        <v>559.25329747003047</v>
      </c>
      <c r="AO44" s="110">
        <f t="shared" si="16"/>
        <v>604.71098822252952</v>
      </c>
      <c r="AP44" s="110">
        <f t="shared" si="16"/>
        <v>622.39472686976796</v>
      </c>
      <c r="AQ44" s="111">
        <f>VLOOKUP(AK44,IDACI!$B$8:$C$29,2,FALSE)</f>
        <v>15.8</v>
      </c>
      <c r="AR44" s="237">
        <f t="shared" si="17"/>
        <v>0.13464022140221402</v>
      </c>
      <c r="AS44" s="237">
        <f t="shared" si="17"/>
        <v>8.9898523985239856E-2</v>
      </c>
      <c r="AT44" s="237">
        <f t="shared" si="17"/>
        <v>0.17375461254612545</v>
      </c>
      <c r="AU44" s="237">
        <f t="shared" si="17"/>
        <v>0.45013837638376386</v>
      </c>
      <c r="AV44" s="237">
        <f t="shared" si="17"/>
        <v>0.15156826568265683</v>
      </c>
      <c r="AW44" s="237">
        <f t="shared" si="18"/>
        <v>0.88020883689451801</v>
      </c>
      <c r="AX44" s="237">
        <f t="shared" si="18"/>
        <v>0.89378746594005454</v>
      </c>
      <c r="AY44" s="237">
        <f t="shared" si="18"/>
        <v>0.79006171525856561</v>
      </c>
      <c r="AZ44" s="237">
        <f t="shared" si="18"/>
        <v>0.76920850817537256</v>
      </c>
      <c r="BA44" s="237">
        <f t="shared" si="18"/>
        <v>0.8484317343173432</v>
      </c>
      <c r="BB44" s="237" t="e">
        <f t="shared" si="19"/>
        <v>#N/A</v>
      </c>
      <c r="BC44" s="237" t="e">
        <f t="shared" si="19"/>
        <v>#N/A</v>
      </c>
      <c r="BD44" s="237" t="e">
        <f t="shared" si="19"/>
        <v>#N/A</v>
      </c>
      <c r="BE44" s="237" t="e">
        <f t="shared" si="19"/>
        <v>#N/A</v>
      </c>
      <c r="BF44" s="237" t="e">
        <f t="shared" si="19"/>
        <v>#N/A</v>
      </c>
      <c r="BG44" s="237" t="e">
        <f t="shared" si="20"/>
        <v>#N/A</v>
      </c>
      <c r="BH44" s="237" t="e">
        <f t="shared" si="20"/>
        <v>#N/A</v>
      </c>
      <c r="BI44" s="237" t="e">
        <f t="shared" si="20"/>
        <v>#N/A</v>
      </c>
      <c r="BJ44" s="237" t="e">
        <f t="shared" si="20"/>
        <v>#N/A</v>
      </c>
      <c r="BK44" s="237" t="e">
        <f t="shared" si="20"/>
        <v>#N/A</v>
      </c>
    </row>
    <row r="45" spans="1:63" ht="14.25" customHeight="1">
      <c r="A45" s="87"/>
      <c r="B45" s="40"/>
      <c r="C45" s="40"/>
      <c r="D45" s="40"/>
      <c r="E45" s="40"/>
      <c r="F45" s="40"/>
      <c r="G45" s="40"/>
      <c r="H45" s="40"/>
      <c r="I45" s="40"/>
      <c r="J45" s="1"/>
      <c r="K45" s="5"/>
      <c r="L45" s="5"/>
      <c r="M45" s="5"/>
      <c r="N45" s="5"/>
      <c r="O45" s="5"/>
      <c r="P45" s="5"/>
      <c r="Q45" s="5"/>
      <c r="R45" s="5"/>
      <c r="S45" s="5"/>
      <c r="T45" s="5"/>
      <c r="U45" s="86"/>
      <c r="V45" s="102"/>
      <c r="W45" s="218"/>
      <c r="AC45" s="52"/>
      <c r="AI45" s="361" t="b">
        <v>1</v>
      </c>
      <c r="AJ45" s="121" t="s">
        <v>2</v>
      </c>
      <c r="AK45" s="61" t="str">
        <f t="shared" si="15"/>
        <v>Medway</v>
      </c>
      <c r="AL45" s="110">
        <f t="shared" si="16"/>
        <v>748.99484859907022</v>
      </c>
      <c r="AM45" s="110">
        <f t="shared" si="16"/>
        <v>517.1520527513934</v>
      </c>
      <c r="AN45" s="110">
        <f t="shared" si="16"/>
        <v>563.32952034724292</v>
      </c>
      <c r="AO45" s="110">
        <f t="shared" si="16"/>
        <v>622.12300823647138</v>
      </c>
      <c r="AP45" s="110">
        <f t="shared" si="16"/>
        <v>806.30407725643681</v>
      </c>
      <c r="AQ45" s="111">
        <f>VLOOKUP(AK45,IDACI!$B$8:$C$29,2,FALSE)</f>
        <v>18.899999999999999</v>
      </c>
      <c r="AR45" s="237">
        <f t="shared" si="17"/>
        <v>5.4491352055049284E-2</v>
      </c>
      <c r="AS45" s="237">
        <f t="shared" si="17"/>
        <v>7.9040357076436668E-2</v>
      </c>
      <c r="AT45" s="237">
        <f t="shared" si="17"/>
        <v>0.12032732006695183</v>
      </c>
      <c r="AU45" s="237">
        <f t="shared" si="17"/>
        <v>0.52780360795982895</v>
      </c>
      <c r="AV45" s="237">
        <f t="shared" si="17"/>
        <v>0.2183373628417333</v>
      </c>
      <c r="AW45" s="237">
        <f t="shared" si="18"/>
        <v>0.95097623089983019</v>
      </c>
      <c r="AX45" s="237">
        <f t="shared" si="18"/>
        <v>0.95901639344262291</v>
      </c>
      <c r="AY45" s="237">
        <f t="shared" si="18"/>
        <v>0.88178025034770513</v>
      </c>
      <c r="AZ45" s="237">
        <f t="shared" si="18"/>
        <v>0.70180648354367736</v>
      </c>
      <c r="BA45" s="237">
        <f t="shared" si="18"/>
        <v>0.78166263715826667</v>
      </c>
      <c r="BB45" s="237" t="e">
        <f t="shared" si="19"/>
        <v>#N/A</v>
      </c>
      <c r="BC45" s="237" t="e">
        <f t="shared" si="19"/>
        <v>#N/A</v>
      </c>
      <c r="BD45" s="237" t="e">
        <f t="shared" si="19"/>
        <v>#N/A</v>
      </c>
      <c r="BE45" s="237" t="e">
        <f t="shared" si="19"/>
        <v>#N/A</v>
      </c>
      <c r="BF45" s="237" t="e">
        <f t="shared" si="19"/>
        <v>#N/A</v>
      </c>
      <c r="BG45" s="237" t="e">
        <f t="shared" si="20"/>
        <v>#N/A</v>
      </c>
      <c r="BH45" s="237" t="e">
        <f t="shared" si="20"/>
        <v>#N/A</v>
      </c>
      <c r="BI45" s="237" t="e">
        <f t="shared" si="20"/>
        <v>#N/A</v>
      </c>
      <c r="BJ45" s="237" t="e">
        <f t="shared" si="20"/>
        <v>#N/A</v>
      </c>
      <c r="BK45" s="237" t="e">
        <f t="shared" si="20"/>
        <v>#N/A</v>
      </c>
    </row>
    <row r="46" spans="1:63" ht="14.25" customHeight="1">
      <c r="A46" s="87"/>
      <c r="B46" s="40"/>
      <c r="C46" s="40"/>
      <c r="D46" s="49"/>
      <c r="E46" s="50"/>
      <c r="F46" s="49"/>
      <c r="G46" s="50"/>
      <c r="H46" s="50"/>
      <c r="I46" s="50"/>
      <c r="J46" s="1"/>
      <c r="K46" s="5"/>
      <c r="L46" s="5"/>
      <c r="M46" s="5"/>
      <c r="N46" s="5"/>
      <c r="O46" s="5"/>
      <c r="P46" s="5"/>
      <c r="Q46" s="5"/>
      <c r="R46" s="5"/>
      <c r="S46" s="5"/>
      <c r="T46" s="5"/>
      <c r="U46" s="86"/>
      <c r="V46" s="102"/>
      <c r="W46" s="218"/>
      <c r="AI46" s="361" t="b">
        <v>1</v>
      </c>
      <c r="AJ46" s="121" t="s">
        <v>10</v>
      </c>
      <c r="AK46" s="61" t="str">
        <f t="shared" si="15"/>
        <v>Milton Keynes</v>
      </c>
      <c r="AL46" s="110">
        <f t="shared" si="16"/>
        <v>442.08178223271574</v>
      </c>
      <c r="AM46" s="110">
        <f t="shared" si="16"/>
        <v>507.61128345718197</v>
      </c>
      <c r="AN46" s="110">
        <f t="shared" si="16"/>
        <v>512.38601278092915</v>
      </c>
      <c r="AO46" s="110">
        <f t="shared" si="16"/>
        <v>571.09836365942692</v>
      </c>
      <c r="AP46" s="110">
        <f t="shared" si="16"/>
        <v>495.48745140596458</v>
      </c>
      <c r="AQ46" s="111">
        <f>VLOOKUP(AK46,IDACI!$B$8:$C$29,2,FALSE)</f>
        <v>15</v>
      </c>
      <c r="AR46" s="237">
        <f t="shared" si="17"/>
        <v>9.3706681452730797E-2</v>
      </c>
      <c r="AS46" s="237">
        <f t="shared" si="17"/>
        <v>0.17798724701968394</v>
      </c>
      <c r="AT46" s="237">
        <f t="shared" si="17"/>
        <v>0.2173551427779318</v>
      </c>
      <c r="AU46" s="237">
        <f t="shared" si="17"/>
        <v>0.32187413362905459</v>
      </c>
      <c r="AV46" s="237">
        <f t="shared" si="17"/>
        <v>0.18907679512059883</v>
      </c>
      <c r="AW46" s="237">
        <f t="shared" si="18"/>
        <v>0.82929226736566186</v>
      </c>
      <c r="AX46" s="237">
        <f t="shared" si="18"/>
        <v>0.91074474133030126</v>
      </c>
      <c r="AY46" s="237">
        <f t="shared" si="18"/>
        <v>0.91507847533632292</v>
      </c>
      <c r="AZ46" s="237">
        <f t="shared" si="18"/>
        <v>0.79121421520236923</v>
      </c>
      <c r="BA46" s="237">
        <f t="shared" si="18"/>
        <v>0.81092320487940117</v>
      </c>
      <c r="BB46" s="237" t="e">
        <f t="shared" si="19"/>
        <v>#N/A</v>
      </c>
      <c r="BC46" s="237" t="e">
        <f t="shared" si="19"/>
        <v>#N/A</v>
      </c>
      <c r="BD46" s="237" t="e">
        <f t="shared" si="19"/>
        <v>#N/A</v>
      </c>
      <c r="BE46" s="237" t="e">
        <f t="shared" si="19"/>
        <v>#N/A</v>
      </c>
      <c r="BF46" s="237" t="e">
        <f t="shared" si="19"/>
        <v>#N/A</v>
      </c>
      <c r="BG46" s="237" t="e">
        <f t="shared" si="20"/>
        <v>#N/A</v>
      </c>
      <c r="BH46" s="237" t="e">
        <f t="shared" si="20"/>
        <v>#N/A</v>
      </c>
      <c r="BI46" s="237" t="e">
        <f t="shared" si="20"/>
        <v>#N/A</v>
      </c>
      <c r="BJ46" s="237" t="e">
        <f t="shared" si="20"/>
        <v>#N/A</v>
      </c>
      <c r="BK46" s="237" t="e">
        <f t="shared" si="20"/>
        <v>#N/A</v>
      </c>
    </row>
    <row r="47" spans="1:63" ht="14.25" customHeight="1">
      <c r="A47" s="87"/>
      <c r="B47" s="40"/>
      <c r="C47" s="40"/>
      <c r="D47" s="43"/>
      <c r="E47" s="43"/>
      <c r="F47" s="43"/>
      <c r="G47" s="43"/>
      <c r="H47" s="43"/>
      <c r="I47" s="43"/>
      <c r="J47" s="1"/>
      <c r="K47" s="5"/>
      <c r="L47" s="5"/>
      <c r="M47" s="5"/>
      <c r="N47" s="5"/>
      <c r="O47" s="5"/>
      <c r="P47" s="5"/>
      <c r="Q47" s="5"/>
      <c r="R47" s="5"/>
      <c r="S47" s="5"/>
      <c r="T47" s="5"/>
      <c r="U47" s="86"/>
      <c r="V47" s="102"/>
      <c r="W47" s="218"/>
      <c r="AI47" s="361" t="b">
        <v>1</v>
      </c>
      <c r="AJ47" s="121" t="s">
        <v>11</v>
      </c>
      <c r="AK47" s="61" t="str">
        <f t="shared" si="15"/>
        <v>Oxfordshire</v>
      </c>
      <c r="AL47" s="110">
        <f t="shared" si="16"/>
        <v>486.12120834458455</v>
      </c>
      <c r="AM47" s="110">
        <f t="shared" si="16"/>
        <v>408.83080037736107</v>
      </c>
      <c r="AN47" s="110">
        <f t="shared" si="16"/>
        <v>405.8274054789091</v>
      </c>
      <c r="AO47" s="110">
        <f t="shared" si="16"/>
        <v>383.313940269363</v>
      </c>
      <c r="AP47" s="110">
        <f t="shared" si="16"/>
        <v>351.85731615356872</v>
      </c>
      <c r="AQ47" s="111">
        <f>VLOOKUP(AK47,IDACI!$B$8:$C$29,2,FALSE)</f>
        <v>10.100000000000001</v>
      </c>
      <c r="AR47" s="237">
        <f t="shared" si="17"/>
        <v>8.6656727543794262E-2</v>
      </c>
      <c r="AS47" s="237">
        <f t="shared" si="17"/>
        <v>0.15001863585538577</v>
      </c>
      <c r="AT47" s="237">
        <f t="shared" si="17"/>
        <v>0.1738725307491614</v>
      </c>
      <c r="AU47" s="237">
        <f t="shared" si="17"/>
        <v>0.40122996645546033</v>
      </c>
      <c r="AV47" s="237">
        <f t="shared" si="17"/>
        <v>0.18822213939619828</v>
      </c>
      <c r="AW47" s="237">
        <f t="shared" si="18"/>
        <v>0.63010967098703885</v>
      </c>
      <c r="AX47" s="237">
        <f t="shared" si="18"/>
        <v>0.69193195216439274</v>
      </c>
      <c r="AY47" s="237">
        <f t="shared" si="18"/>
        <v>0.70264354268395357</v>
      </c>
      <c r="AZ47" s="237">
        <f t="shared" si="18"/>
        <v>0.69277739009071881</v>
      </c>
      <c r="BA47" s="237">
        <f t="shared" si="18"/>
        <v>0.81177786060380175</v>
      </c>
      <c r="BB47" s="237" t="e">
        <f t="shared" si="19"/>
        <v>#N/A</v>
      </c>
      <c r="BC47" s="237" t="e">
        <f t="shared" si="19"/>
        <v>#N/A</v>
      </c>
      <c r="BD47" s="237" t="e">
        <f t="shared" si="19"/>
        <v>#N/A</v>
      </c>
      <c r="BE47" s="237" t="e">
        <f t="shared" si="19"/>
        <v>#N/A</v>
      </c>
      <c r="BF47" s="237" t="e">
        <f t="shared" si="19"/>
        <v>#N/A</v>
      </c>
      <c r="BG47" s="237" t="e">
        <f t="shared" si="20"/>
        <v>#N/A</v>
      </c>
      <c r="BH47" s="237" t="e">
        <f t="shared" si="20"/>
        <v>#N/A</v>
      </c>
      <c r="BI47" s="237" t="e">
        <f t="shared" si="20"/>
        <v>#N/A</v>
      </c>
      <c r="BJ47" s="237" t="e">
        <f t="shared" si="20"/>
        <v>#N/A</v>
      </c>
      <c r="BK47" s="237" t="e">
        <f t="shared" si="20"/>
        <v>#N/A</v>
      </c>
    </row>
    <row r="48" spans="1:63" ht="14.25" customHeight="1">
      <c r="A48" s="87"/>
      <c r="B48" s="48"/>
      <c r="C48" s="48"/>
      <c r="D48" s="40"/>
      <c r="E48" s="40"/>
      <c r="F48" s="40"/>
      <c r="G48" s="40"/>
      <c r="H48" s="40"/>
      <c r="I48" s="40"/>
      <c r="J48" s="1"/>
      <c r="K48" s="5"/>
      <c r="L48" s="5"/>
      <c r="M48" s="5"/>
      <c r="N48" s="5"/>
      <c r="O48" s="5"/>
      <c r="P48" s="5"/>
      <c r="Q48" s="5"/>
      <c r="R48" s="5"/>
      <c r="S48" s="5"/>
      <c r="T48" s="5"/>
      <c r="U48" s="86"/>
      <c r="V48" s="102"/>
      <c r="W48" s="218"/>
      <c r="AI48" s="361" t="b">
        <v>1</v>
      </c>
      <c r="AJ48" s="121" t="s">
        <v>12</v>
      </c>
      <c r="AK48" s="61" t="str">
        <f t="shared" si="15"/>
        <v>Portsmouth</v>
      </c>
      <c r="AL48" s="110">
        <f t="shared" ref="AL48:AP58" si="21">VLOOKUP($AK48,$B$11:$O$31,AL$34,FALSE)</f>
        <v>616.18252325553726</v>
      </c>
      <c r="AM48" s="110">
        <f t="shared" si="21"/>
        <v>626.77654365221542</v>
      </c>
      <c r="AN48" s="110">
        <f t="shared" si="21"/>
        <v>839.14396699399231</v>
      </c>
      <c r="AO48" s="110">
        <f t="shared" si="21"/>
        <v>675.88545771536394</v>
      </c>
      <c r="AP48" s="110">
        <f t="shared" si="21"/>
        <v>659.93807171390085</v>
      </c>
      <c r="AQ48" s="111">
        <f>VLOOKUP(AK48,IDACI!$B$8:$C$29,2,FALSE)</f>
        <v>20.200000000000003</v>
      </c>
      <c r="AR48" s="237">
        <f t="shared" ref="AR48:AV58" si="22">VLOOKUP($AK48,$B$141:$H$161,AR$34,FALSE)</f>
        <v>0.19252128841169938</v>
      </c>
      <c r="AS48" s="237">
        <f t="shared" si="22"/>
        <v>0.30729359496482783</v>
      </c>
      <c r="AT48" s="237">
        <f t="shared" si="22"/>
        <v>0.24879674194742687</v>
      </c>
      <c r="AU48" s="237">
        <f t="shared" si="22"/>
        <v>0.25138837467604591</v>
      </c>
      <c r="AV48" s="237" t="e">
        <f t="shared" si="22"/>
        <v>#N/A</v>
      </c>
      <c r="AW48" s="237">
        <f t="shared" ref="AW48:BA58" si="23">VLOOKUP($AK48,$B$109:$H$129,AW$34,FALSE)</f>
        <v>0.97992277992277987</v>
      </c>
      <c r="AX48" s="237">
        <f t="shared" si="23"/>
        <v>0.98246951219512191</v>
      </c>
      <c r="AY48" s="237">
        <f t="shared" si="23"/>
        <v>0.97498562392179411</v>
      </c>
      <c r="AZ48" s="237">
        <f t="shared" si="23"/>
        <v>0.98233215547703179</v>
      </c>
      <c r="BA48" s="237">
        <f t="shared" si="23"/>
        <v>1</v>
      </c>
      <c r="BB48" s="237" t="e">
        <f t="shared" ref="BB48:BF58" si="24">VLOOKUP($AK48,$B$173:$H$193,BB$34,FALSE)</f>
        <v>#N/A</v>
      </c>
      <c r="BC48" s="237" t="e">
        <f t="shared" si="24"/>
        <v>#N/A</v>
      </c>
      <c r="BD48" s="237" t="e">
        <f t="shared" si="24"/>
        <v>#N/A</v>
      </c>
      <c r="BE48" s="237" t="e">
        <f t="shared" si="24"/>
        <v>#N/A</v>
      </c>
      <c r="BF48" s="237" t="e">
        <f t="shared" si="24"/>
        <v>#N/A</v>
      </c>
      <c r="BG48" s="237" t="e">
        <f t="shared" ref="BG48:BK58" si="25">VLOOKUP($AK48,$B$206:$H$226,BG$34,FALSE)</f>
        <v>#N/A</v>
      </c>
      <c r="BH48" s="237" t="e">
        <f t="shared" si="25"/>
        <v>#N/A</v>
      </c>
      <c r="BI48" s="237" t="e">
        <f t="shared" si="25"/>
        <v>#N/A</v>
      </c>
      <c r="BJ48" s="237" t="e">
        <f t="shared" si="25"/>
        <v>#N/A</v>
      </c>
      <c r="BK48" s="237" t="e">
        <f t="shared" si="25"/>
        <v>#N/A</v>
      </c>
    </row>
    <row r="49" spans="1:65" ht="14.25" customHeight="1">
      <c r="A49" s="87"/>
      <c r="B49" s="48"/>
      <c r="C49" s="48"/>
      <c r="D49" s="40"/>
      <c r="E49" s="40"/>
      <c r="F49" s="40"/>
      <c r="G49" s="40"/>
      <c r="H49" s="40"/>
      <c r="I49" s="40"/>
      <c r="J49" s="1"/>
      <c r="K49" s="5"/>
      <c r="L49" s="5"/>
      <c r="M49" s="5"/>
      <c r="N49" s="5"/>
      <c r="O49" s="5"/>
      <c r="P49" s="5"/>
      <c r="Q49" s="5"/>
      <c r="R49" s="5"/>
      <c r="S49" s="5"/>
      <c r="T49" s="5"/>
      <c r="U49" s="86"/>
      <c r="V49" s="102"/>
      <c r="W49" s="218"/>
      <c r="AI49" s="361" t="b">
        <v>1</v>
      </c>
      <c r="AJ49" s="121" t="s">
        <v>3</v>
      </c>
      <c r="AK49" s="61" t="str">
        <f t="shared" si="15"/>
        <v>Reading</v>
      </c>
      <c r="AL49" s="110">
        <f t="shared" si="21"/>
        <v>726.16797191466378</v>
      </c>
      <c r="AM49" s="110">
        <f t="shared" si="21"/>
        <v>591.27424197343862</v>
      </c>
      <c r="AN49" s="110">
        <f t="shared" si="21"/>
        <v>624.20873011504375</v>
      </c>
      <c r="AO49" s="110">
        <f t="shared" si="21"/>
        <v>719.26999463231346</v>
      </c>
      <c r="AP49" s="110">
        <f t="shared" si="21"/>
        <v>729.52094703261366</v>
      </c>
      <c r="AQ49" s="111">
        <f>VLOOKUP(AK49,IDACI!$B$8:$C$29,2,FALSE)</f>
        <v>16</v>
      </c>
      <c r="AR49" s="237">
        <f t="shared" si="22"/>
        <v>4.6982291290206001E-2</v>
      </c>
      <c r="AS49" s="237">
        <f t="shared" si="22"/>
        <v>0.11601011926273942</v>
      </c>
      <c r="AT49" s="237">
        <f t="shared" si="22"/>
        <v>0.14889772316588362</v>
      </c>
      <c r="AU49" s="237">
        <f t="shared" si="22"/>
        <v>0.30936031803397179</v>
      </c>
      <c r="AV49" s="237">
        <f t="shared" si="22"/>
        <v>0.37874954824719914</v>
      </c>
      <c r="AW49" s="237">
        <f t="shared" si="23"/>
        <v>0.79992562290814428</v>
      </c>
      <c r="AX49" s="237">
        <f t="shared" si="23"/>
        <v>0.84669811320754718</v>
      </c>
      <c r="AY49" s="237">
        <f t="shared" si="23"/>
        <v>0.80423280423280419</v>
      </c>
      <c r="AZ49" s="237">
        <f t="shared" si="23"/>
        <v>0.62014925373134333</v>
      </c>
      <c r="BA49" s="237">
        <f t="shared" si="23"/>
        <v>0.62125045175280091</v>
      </c>
      <c r="BB49" s="237" t="e">
        <f t="shared" si="24"/>
        <v>#N/A</v>
      </c>
      <c r="BC49" s="237" t="e">
        <f t="shared" si="24"/>
        <v>#N/A</v>
      </c>
      <c r="BD49" s="237" t="e">
        <f t="shared" si="24"/>
        <v>#N/A</v>
      </c>
      <c r="BE49" s="237" t="e">
        <f t="shared" si="24"/>
        <v>#N/A</v>
      </c>
      <c r="BF49" s="237" t="e">
        <f t="shared" si="24"/>
        <v>#N/A</v>
      </c>
      <c r="BG49" s="237" t="e">
        <f t="shared" si="25"/>
        <v>#N/A</v>
      </c>
      <c r="BH49" s="237" t="e">
        <f t="shared" si="25"/>
        <v>#N/A</v>
      </c>
      <c r="BI49" s="237" t="e">
        <f t="shared" si="25"/>
        <v>#N/A</v>
      </c>
      <c r="BJ49" s="237" t="e">
        <f t="shared" si="25"/>
        <v>#N/A</v>
      </c>
      <c r="BK49" s="237" t="e">
        <f t="shared" si="25"/>
        <v>#N/A</v>
      </c>
    </row>
    <row r="50" spans="1:65" ht="14.25" customHeight="1">
      <c r="A50" s="87"/>
      <c r="B50" s="48"/>
      <c r="C50" s="48"/>
      <c r="D50" s="40"/>
      <c r="E50" s="40"/>
      <c r="F50" s="40"/>
      <c r="G50" s="40"/>
      <c r="H50" s="40"/>
      <c r="I50" s="40"/>
      <c r="J50" s="1"/>
      <c r="K50" s="5"/>
      <c r="L50" s="5"/>
      <c r="M50" s="5"/>
      <c r="N50" s="5"/>
      <c r="O50" s="5"/>
      <c r="P50" s="5"/>
      <c r="Q50" s="5"/>
      <c r="R50" s="5"/>
      <c r="S50" s="5"/>
      <c r="T50" s="5"/>
      <c r="U50" s="86"/>
      <c r="V50" s="102"/>
      <c r="W50" s="218"/>
      <c r="AI50" s="361" t="b">
        <v>1</v>
      </c>
      <c r="AJ50" s="121" t="s">
        <v>13</v>
      </c>
      <c r="AK50" s="61" t="str">
        <f t="shared" si="15"/>
        <v>Slough</v>
      </c>
      <c r="AL50" s="110">
        <f t="shared" si="21"/>
        <v>571.31028772510865</v>
      </c>
      <c r="AM50" s="110">
        <f t="shared" si="21"/>
        <v>859.90888382687922</v>
      </c>
      <c r="AN50" s="110">
        <f t="shared" si="21"/>
        <v>802.98145734732611</v>
      </c>
      <c r="AO50" s="110">
        <f t="shared" si="21"/>
        <v>839.77401129943507</v>
      </c>
      <c r="AP50" s="110">
        <f t="shared" si="21"/>
        <v>797.34219269102982</v>
      </c>
      <c r="AQ50" s="111">
        <f>VLOOKUP(AK50,IDACI!$B$8:$C$29,2,FALSE)</f>
        <v>14.7</v>
      </c>
      <c r="AR50" s="237" t="e">
        <f t="shared" si="22"/>
        <v>#N/A</v>
      </c>
      <c r="AS50" s="237">
        <f t="shared" si="22"/>
        <v>0.11456196894227952</v>
      </c>
      <c r="AT50" s="237">
        <f t="shared" si="22"/>
        <v>0.27160855552300028</v>
      </c>
      <c r="AU50" s="237">
        <f t="shared" si="22"/>
        <v>0.4781716964547319</v>
      </c>
      <c r="AV50" s="237">
        <f t="shared" si="22"/>
        <v>0.13565777907998827</v>
      </c>
      <c r="AW50" s="237">
        <f t="shared" si="23"/>
        <v>0.73904052936311004</v>
      </c>
      <c r="AX50" s="237">
        <f t="shared" si="23"/>
        <v>0.80734447793916142</v>
      </c>
      <c r="AY50" s="237">
        <f t="shared" si="23"/>
        <v>0.82403189066059224</v>
      </c>
      <c r="AZ50" s="237">
        <f t="shared" si="23"/>
        <v>0.88864265927977837</v>
      </c>
      <c r="BA50" s="237">
        <f t="shared" si="23"/>
        <v>0.86434222092001167</v>
      </c>
      <c r="BB50" s="237" t="e">
        <f t="shared" si="24"/>
        <v>#N/A</v>
      </c>
      <c r="BC50" s="237" t="e">
        <f t="shared" si="24"/>
        <v>#N/A</v>
      </c>
      <c r="BD50" s="237" t="e">
        <f t="shared" si="24"/>
        <v>#N/A</v>
      </c>
      <c r="BE50" s="237" t="e">
        <f t="shared" si="24"/>
        <v>#N/A</v>
      </c>
      <c r="BF50" s="237" t="e">
        <f t="shared" si="24"/>
        <v>#N/A</v>
      </c>
      <c r="BG50" s="237" t="e">
        <f t="shared" si="25"/>
        <v>#N/A</v>
      </c>
      <c r="BH50" s="237" t="e">
        <f t="shared" si="25"/>
        <v>#N/A</v>
      </c>
      <c r="BI50" s="237" t="e">
        <f t="shared" si="25"/>
        <v>#N/A</v>
      </c>
      <c r="BJ50" s="237" t="e">
        <f t="shared" si="25"/>
        <v>#N/A</v>
      </c>
      <c r="BK50" s="237" t="e">
        <f t="shared" si="25"/>
        <v>#N/A</v>
      </c>
    </row>
    <row r="51" spans="1:65" ht="14.25" customHeight="1">
      <c r="A51" s="87"/>
      <c r="B51" s="48"/>
      <c r="C51" s="48"/>
      <c r="D51" s="40"/>
      <c r="E51" s="40"/>
      <c r="F51" s="40"/>
      <c r="G51" s="40"/>
      <c r="H51" s="40"/>
      <c r="I51" s="40"/>
      <c r="J51" s="1"/>
      <c r="K51" s="5"/>
      <c r="L51" s="5"/>
      <c r="M51" s="5"/>
      <c r="N51" s="5"/>
      <c r="O51" s="5"/>
      <c r="P51" s="5"/>
      <c r="Q51" s="5"/>
      <c r="R51" s="5"/>
      <c r="S51" s="5"/>
      <c r="T51" s="5"/>
      <c r="U51" s="86"/>
      <c r="V51" s="102"/>
      <c r="W51" s="218"/>
      <c r="AI51" s="361" t="b">
        <v>1</v>
      </c>
      <c r="AJ51" s="121" t="s">
        <v>14</v>
      </c>
      <c r="AK51" s="61" t="str">
        <f t="shared" si="15"/>
        <v>Southampton</v>
      </c>
      <c r="AL51" s="110">
        <f t="shared" si="21"/>
        <v>928.04710817133184</v>
      </c>
      <c r="AM51" s="110">
        <f t="shared" si="21"/>
        <v>699.88137603795963</v>
      </c>
      <c r="AN51" s="110">
        <f t="shared" si="21"/>
        <v>723.86004697497367</v>
      </c>
      <c r="AO51" s="110">
        <f t="shared" si="21"/>
        <v>769.78604800384983</v>
      </c>
      <c r="AP51" s="110">
        <f t="shared" si="21"/>
        <v>633.07724376153897</v>
      </c>
      <c r="AQ51" s="111">
        <f>VLOOKUP(AK51,IDACI!$B$8:$C$29,2,FALSE)</f>
        <v>20.5</v>
      </c>
      <c r="AR51" s="237">
        <f t="shared" si="22"/>
        <v>0.13609281906553777</v>
      </c>
      <c r="AS51" s="237">
        <f t="shared" si="22"/>
        <v>0.13577924114142365</v>
      </c>
      <c r="AT51" s="237">
        <f t="shared" si="22"/>
        <v>0.16023831922232676</v>
      </c>
      <c r="AU51" s="237">
        <f t="shared" si="22"/>
        <v>0.4487300094073377</v>
      </c>
      <c r="AV51" s="237">
        <f t="shared" si="22"/>
        <v>0.1191596111633741</v>
      </c>
      <c r="AW51" s="237">
        <f t="shared" si="23"/>
        <v>0.65254237288135597</v>
      </c>
      <c r="AX51" s="237">
        <f t="shared" si="23"/>
        <v>0.8563631140476875</v>
      </c>
      <c r="AY51" s="237">
        <f t="shared" si="23"/>
        <v>0.91300699300699306</v>
      </c>
      <c r="AZ51" s="237">
        <f t="shared" si="23"/>
        <v>0.81635842667361291</v>
      </c>
      <c r="BA51" s="237">
        <f t="shared" si="23"/>
        <v>0.88084038883662585</v>
      </c>
      <c r="BB51" s="237" t="e">
        <f t="shared" si="24"/>
        <v>#N/A</v>
      </c>
      <c r="BC51" s="237" t="e">
        <f t="shared" si="24"/>
        <v>#N/A</v>
      </c>
      <c r="BD51" s="237" t="e">
        <f t="shared" si="24"/>
        <v>#N/A</v>
      </c>
      <c r="BE51" s="237" t="e">
        <f t="shared" si="24"/>
        <v>#N/A</v>
      </c>
      <c r="BF51" s="237" t="e">
        <f t="shared" si="24"/>
        <v>#N/A</v>
      </c>
      <c r="BG51" s="237" t="e">
        <f t="shared" si="25"/>
        <v>#N/A</v>
      </c>
      <c r="BH51" s="237" t="e">
        <f t="shared" si="25"/>
        <v>#N/A</v>
      </c>
      <c r="BI51" s="237" t="e">
        <f t="shared" si="25"/>
        <v>#N/A</v>
      </c>
      <c r="BJ51" s="237" t="e">
        <f t="shared" si="25"/>
        <v>#N/A</v>
      </c>
      <c r="BK51" s="237" t="e">
        <f t="shared" si="25"/>
        <v>#N/A</v>
      </c>
    </row>
    <row r="52" spans="1:65" ht="14.25" customHeight="1">
      <c r="A52" s="87"/>
      <c r="B52" s="48"/>
      <c r="C52" s="48"/>
      <c r="D52" s="40"/>
      <c r="E52" s="40"/>
      <c r="F52" s="40"/>
      <c r="G52" s="40"/>
      <c r="H52" s="40"/>
      <c r="I52" s="40"/>
      <c r="J52" s="1"/>
      <c r="K52" s="5"/>
      <c r="L52" s="5"/>
      <c r="M52" s="5"/>
      <c r="N52" s="5"/>
      <c r="O52" s="5"/>
      <c r="P52" s="5"/>
      <c r="Q52" s="5"/>
      <c r="R52" s="5"/>
      <c r="S52" s="5"/>
      <c r="T52" s="5"/>
      <c r="U52" s="86"/>
      <c r="V52" s="102"/>
      <c r="W52" s="218"/>
      <c r="AI52" s="361" t="b">
        <v>1</v>
      </c>
      <c r="AJ52" s="121" t="s">
        <v>7</v>
      </c>
      <c r="AK52" s="61" t="str">
        <f t="shared" si="15"/>
        <v>Surrey</v>
      </c>
      <c r="AL52" s="110">
        <f t="shared" si="21"/>
        <v>338.08056734290534</v>
      </c>
      <c r="AM52" s="110">
        <f t="shared" si="21"/>
        <v>428.55650841911034</v>
      </c>
      <c r="AN52" s="110">
        <f t="shared" si="21"/>
        <v>361.44253298803795</v>
      </c>
      <c r="AO52" s="110">
        <f t="shared" si="21"/>
        <v>284.25174740261218</v>
      </c>
      <c r="AP52" s="110">
        <f t="shared" si="21"/>
        <v>286.48107440754012</v>
      </c>
      <c r="AQ52" s="111">
        <f>VLOOKUP(AK52,IDACI!$B$8:$C$29,2,FALSE)</f>
        <v>8.3000000000000007</v>
      </c>
      <c r="AR52" s="237">
        <f t="shared" si="22"/>
        <v>6.3592169228747872E-2</v>
      </c>
      <c r="AS52" s="237">
        <f t="shared" si="22"/>
        <v>0.11141768492970701</v>
      </c>
      <c r="AT52" s="237">
        <f t="shared" si="22"/>
        <v>0.10800157666535277</v>
      </c>
      <c r="AU52" s="237">
        <f t="shared" si="22"/>
        <v>0.56917619235317307</v>
      </c>
      <c r="AV52" s="237">
        <f t="shared" si="22"/>
        <v>0.14781237682301931</v>
      </c>
      <c r="AW52" s="237">
        <f t="shared" si="23"/>
        <v>0.81808803301237965</v>
      </c>
      <c r="AX52" s="237">
        <f t="shared" si="23"/>
        <v>0.88220958570268071</v>
      </c>
      <c r="AY52" s="237">
        <f t="shared" si="23"/>
        <v>0.84475956925045315</v>
      </c>
      <c r="AZ52" s="237">
        <f t="shared" si="23"/>
        <v>0.72660525964490719</v>
      </c>
      <c r="BA52" s="237">
        <f t="shared" si="23"/>
        <v>0.85218762317698071</v>
      </c>
      <c r="BB52" s="237" t="e">
        <f t="shared" si="24"/>
        <v>#N/A</v>
      </c>
      <c r="BC52" s="237" t="e">
        <f t="shared" si="24"/>
        <v>#N/A</v>
      </c>
      <c r="BD52" s="237" t="e">
        <f t="shared" si="24"/>
        <v>#N/A</v>
      </c>
      <c r="BE52" s="237" t="e">
        <f t="shared" si="24"/>
        <v>#N/A</v>
      </c>
      <c r="BF52" s="237" t="e">
        <f t="shared" si="24"/>
        <v>#N/A</v>
      </c>
      <c r="BG52" s="237" t="e">
        <f t="shared" si="25"/>
        <v>#N/A</v>
      </c>
      <c r="BH52" s="237" t="e">
        <f t="shared" si="25"/>
        <v>#N/A</v>
      </c>
      <c r="BI52" s="237" t="e">
        <f t="shared" si="25"/>
        <v>#N/A</v>
      </c>
      <c r="BJ52" s="237" t="e">
        <f t="shared" si="25"/>
        <v>#N/A</v>
      </c>
      <c r="BK52" s="237" t="e">
        <f t="shared" si="25"/>
        <v>#N/A</v>
      </c>
    </row>
    <row r="53" spans="1:65" ht="14.25" customHeight="1">
      <c r="A53" s="87"/>
      <c r="B53" s="48"/>
      <c r="C53" s="48"/>
      <c r="D53" s="40"/>
      <c r="E53" s="40"/>
      <c r="F53" s="40"/>
      <c r="G53" s="40"/>
      <c r="H53" s="40"/>
      <c r="I53" s="40"/>
      <c r="J53" s="1"/>
      <c r="K53" s="5"/>
      <c r="L53" s="5"/>
      <c r="M53" s="5"/>
      <c r="N53" s="5"/>
      <c r="O53" s="5"/>
      <c r="P53" s="5"/>
      <c r="Q53" s="5"/>
      <c r="R53" s="5"/>
      <c r="S53" s="5"/>
      <c r="T53" s="5"/>
      <c r="U53" s="86"/>
      <c r="V53" s="102"/>
      <c r="W53" s="218"/>
      <c r="AI53" s="361" t="b">
        <v>1</v>
      </c>
      <c r="AJ53" s="121" t="s">
        <v>15</v>
      </c>
      <c r="AK53" s="61" t="str">
        <f t="shared" si="15"/>
        <v>West Berkshire</v>
      </c>
      <c r="AL53" s="110">
        <f t="shared" si="21"/>
        <v>535.63788825190386</v>
      </c>
      <c r="AM53" s="110">
        <f t="shared" si="21"/>
        <v>524.35102228348273</v>
      </c>
      <c r="AN53" s="110">
        <f t="shared" si="21"/>
        <v>681.02326925856346</v>
      </c>
      <c r="AO53" s="110">
        <f t="shared" si="21"/>
        <v>816.05178735105403</v>
      </c>
      <c r="AP53" s="110">
        <f t="shared" si="21"/>
        <v>681.10403397027608</v>
      </c>
      <c r="AQ53" s="111">
        <f>VLOOKUP(AK53,IDACI!$B$8:$C$29,2,FALSE)</f>
        <v>8.6999999999999993</v>
      </c>
      <c r="AR53" s="237">
        <f t="shared" si="22"/>
        <v>0.36159600997506236</v>
      </c>
      <c r="AS53" s="237">
        <f t="shared" si="22"/>
        <v>0.16209476309226933</v>
      </c>
      <c r="AT53" s="237">
        <f t="shared" si="22"/>
        <v>0.14256026600166252</v>
      </c>
      <c r="AU53" s="237">
        <f t="shared" si="22"/>
        <v>0.30756442227763925</v>
      </c>
      <c r="AV53" s="237">
        <f t="shared" si="22"/>
        <v>2.6184538653366583E-2</v>
      </c>
      <c r="AW53" s="237">
        <f t="shared" si="23"/>
        <v>0.99090422685928303</v>
      </c>
      <c r="AX53" s="237">
        <f t="shared" si="23"/>
        <v>1</v>
      </c>
      <c r="AY53" s="237">
        <f t="shared" si="23"/>
        <v>0.99275671069450366</v>
      </c>
      <c r="AZ53" s="237">
        <f t="shared" si="23"/>
        <v>0.97191997191997193</v>
      </c>
      <c r="BA53" s="237">
        <f t="shared" si="23"/>
        <v>0.97381546134663344</v>
      </c>
      <c r="BB53" s="237" t="e">
        <f t="shared" si="24"/>
        <v>#N/A</v>
      </c>
      <c r="BC53" s="237" t="e">
        <f t="shared" si="24"/>
        <v>#N/A</v>
      </c>
      <c r="BD53" s="237" t="e">
        <f t="shared" si="24"/>
        <v>#N/A</v>
      </c>
      <c r="BE53" s="237" t="e">
        <f t="shared" si="24"/>
        <v>#N/A</v>
      </c>
      <c r="BF53" s="237" t="e">
        <f t="shared" si="24"/>
        <v>#N/A</v>
      </c>
      <c r="BG53" s="237" t="e">
        <f t="shared" si="25"/>
        <v>#N/A</v>
      </c>
      <c r="BH53" s="237" t="e">
        <f t="shared" si="25"/>
        <v>#N/A</v>
      </c>
      <c r="BI53" s="237" t="e">
        <f t="shared" si="25"/>
        <v>#N/A</v>
      </c>
      <c r="BJ53" s="237" t="e">
        <f t="shared" si="25"/>
        <v>#N/A</v>
      </c>
      <c r="BK53" s="237" t="e">
        <f t="shared" si="25"/>
        <v>#N/A</v>
      </c>
    </row>
    <row r="54" spans="1:65" ht="14.25" customHeight="1">
      <c r="A54" s="208"/>
      <c r="B54" s="48"/>
      <c r="C54" s="48"/>
      <c r="D54" s="40"/>
      <c r="E54" s="40"/>
      <c r="F54" s="40"/>
      <c r="G54" s="40"/>
      <c r="H54" s="40"/>
      <c r="I54" s="40"/>
      <c r="J54" s="1"/>
      <c r="K54" s="5"/>
      <c r="L54" s="5"/>
      <c r="M54" s="5"/>
      <c r="N54" s="5"/>
      <c r="O54" s="5"/>
      <c r="P54" s="5"/>
      <c r="Q54" s="5"/>
      <c r="R54" s="5"/>
      <c r="S54" s="5"/>
      <c r="T54" s="5"/>
      <c r="U54" s="86"/>
      <c r="V54" s="102"/>
      <c r="W54" s="218"/>
      <c r="AI54" s="361" t="b">
        <v>1</v>
      </c>
      <c r="AJ54" s="121" t="s">
        <v>5</v>
      </c>
      <c r="AK54" s="61" t="str">
        <f t="shared" si="15"/>
        <v>West Sussex</v>
      </c>
      <c r="AL54" s="110">
        <f t="shared" si="21"/>
        <v>602.58944056790222</v>
      </c>
      <c r="AM54" s="110">
        <f t="shared" si="21"/>
        <v>588.82057593760965</v>
      </c>
      <c r="AN54" s="110">
        <f t="shared" si="21"/>
        <v>569.85483372799342</v>
      </c>
      <c r="AO54" s="110">
        <f t="shared" si="21"/>
        <v>567.24311949884134</v>
      </c>
      <c r="AP54" s="110">
        <f t="shared" si="21"/>
        <v>478.3026456918127</v>
      </c>
      <c r="AQ54" s="111">
        <f>VLOOKUP(AK54,IDACI!$B$8:$C$29,2,FALSE)</f>
        <v>11</v>
      </c>
      <c r="AR54" s="237">
        <f t="shared" si="22"/>
        <v>6.8792338238729267E-2</v>
      </c>
      <c r="AS54" s="237">
        <f t="shared" si="22"/>
        <v>0.16398037841625787</v>
      </c>
      <c r="AT54" s="237">
        <f t="shared" si="22"/>
        <v>0.16748423265592152</v>
      </c>
      <c r="AU54" s="237">
        <f t="shared" si="22"/>
        <v>0.49532819434711517</v>
      </c>
      <c r="AV54" s="237">
        <f t="shared" si="22"/>
        <v>0.10441485634197617</v>
      </c>
      <c r="AW54" s="237">
        <f t="shared" si="23"/>
        <v>0.87779690189328741</v>
      </c>
      <c r="AX54" s="237">
        <f t="shared" si="23"/>
        <v>0.89021293221332287</v>
      </c>
      <c r="AY54" s="237">
        <f t="shared" si="23"/>
        <v>0.8007628224430392</v>
      </c>
      <c r="AZ54" s="237">
        <f t="shared" si="23"/>
        <v>0.81411530815109345</v>
      </c>
      <c r="BA54" s="237">
        <f t="shared" si="23"/>
        <v>0.89558514365802377</v>
      </c>
      <c r="BB54" s="237" t="e">
        <f t="shared" si="24"/>
        <v>#N/A</v>
      </c>
      <c r="BC54" s="237" t="e">
        <f t="shared" si="24"/>
        <v>#N/A</v>
      </c>
      <c r="BD54" s="237" t="e">
        <f t="shared" si="24"/>
        <v>#N/A</v>
      </c>
      <c r="BE54" s="237" t="e">
        <f t="shared" si="24"/>
        <v>#N/A</v>
      </c>
      <c r="BF54" s="237" t="e">
        <f t="shared" si="24"/>
        <v>#N/A</v>
      </c>
      <c r="BG54" s="237" t="e">
        <f t="shared" si="25"/>
        <v>#N/A</v>
      </c>
      <c r="BH54" s="237" t="e">
        <f t="shared" si="25"/>
        <v>#N/A</v>
      </c>
      <c r="BI54" s="237" t="e">
        <f t="shared" si="25"/>
        <v>#N/A</v>
      </c>
      <c r="BJ54" s="237" t="e">
        <f t="shared" si="25"/>
        <v>#N/A</v>
      </c>
      <c r="BK54" s="237" t="e">
        <f t="shared" si="25"/>
        <v>#N/A</v>
      </c>
    </row>
    <row r="55" spans="1:65" ht="14.25" customHeight="1">
      <c r="A55" s="208"/>
      <c r="B55" s="48"/>
      <c r="C55" s="48"/>
      <c r="D55" s="40"/>
      <c r="E55" s="40"/>
      <c r="F55" s="40"/>
      <c r="G55" s="40"/>
      <c r="H55" s="40"/>
      <c r="I55" s="40"/>
      <c r="J55" s="1"/>
      <c r="K55" s="5"/>
      <c r="L55" s="5"/>
      <c r="M55" s="5"/>
      <c r="N55" s="5"/>
      <c r="O55" s="5"/>
      <c r="P55" s="5"/>
      <c r="Q55" s="5"/>
      <c r="R55" s="5"/>
      <c r="S55" s="5"/>
      <c r="T55" s="5"/>
      <c r="U55" s="86"/>
      <c r="V55" s="102"/>
      <c r="W55" s="218"/>
      <c r="AI55" s="361" t="b">
        <v>1</v>
      </c>
      <c r="AJ55" s="121" t="s">
        <v>27</v>
      </c>
      <c r="AK55" s="61" t="str">
        <f t="shared" si="15"/>
        <v>Windsor &amp; Maidenhead</v>
      </c>
      <c r="AL55" s="110">
        <f t="shared" si="21"/>
        <v>353.32905409348194</v>
      </c>
      <c r="AM55" s="110">
        <f t="shared" si="21"/>
        <v>413.69597746677226</v>
      </c>
      <c r="AN55" s="110">
        <f t="shared" si="21"/>
        <v>485.00413271932933</v>
      </c>
      <c r="AO55" s="110">
        <f t="shared" si="21"/>
        <v>447.04364904874978</v>
      </c>
      <c r="AP55" s="110">
        <f t="shared" si="21"/>
        <v>444.85283393133221</v>
      </c>
      <c r="AQ55" s="111">
        <f>VLOOKUP(AK55,IDACI!$B$8:$C$29,2,FALSE)</f>
        <v>6.7</v>
      </c>
      <c r="AR55" s="237">
        <f t="shared" si="22"/>
        <v>0.13836065573770492</v>
      </c>
      <c r="AS55" s="237">
        <f t="shared" si="22"/>
        <v>0.23540983606557378</v>
      </c>
      <c r="AT55" s="237">
        <f t="shared" si="22"/>
        <v>0.19409836065573771</v>
      </c>
      <c r="AU55" s="237">
        <f t="shared" si="22"/>
        <v>0.33573770491803279</v>
      </c>
      <c r="AV55" s="237">
        <f t="shared" si="22"/>
        <v>9.6393442622950826E-2</v>
      </c>
      <c r="AW55" s="237">
        <f t="shared" si="23"/>
        <v>0.93063583815028905</v>
      </c>
      <c r="AX55" s="237">
        <f t="shared" si="23"/>
        <v>0.97092198581560285</v>
      </c>
      <c r="AY55" s="237">
        <f t="shared" si="23"/>
        <v>0.88374923919659165</v>
      </c>
      <c r="AZ55" s="237">
        <f t="shared" si="23"/>
        <v>0.82098360655737701</v>
      </c>
      <c r="BA55" s="237">
        <f t="shared" si="23"/>
        <v>0.9036065573770492</v>
      </c>
      <c r="BB55" s="237" t="e">
        <f t="shared" si="24"/>
        <v>#N/A</v>
      </c>
      <c r="BC55" s="237" t="e">
        <f t="shared" si="24"/>
        <v>#N/A</v>
      </c>
      <c r="BD55" s="237" t="e">
        <f t="shared" si="24"/>
        <v>#N/A</v>
      </c>
      <c r="BE55" s="237" t="e">
        <f t="shared" si="24"/>
        <v>#N/A</v>
      </c>
      <c r="BF55" s="237" t="e">
        <f t="shared" si="24"/>
        <v>#N/A</v>
      </c>
      <c r="BG55" s="237" t="e">
        <f t="shared" si="25"/>
        <v>#N/A</v>
      </c>
      <c r="BH55" s="237" t="e">
        <f t="shared" si="25"/>
        <v>#N/A</v>
      </c>
      <c r="BI55" s="237" t="e">
        <f t="shared" si="25"/>
        <v>#N/A</v>
      </c>
      <c r="BJ55" s="237" t="e">
        <f t="shared" si="25"/>
        <v>#N/A</v>
      </c>
      <c r="BK55" s="237" t="e">
        <f t="shared" si="25"/>
        <v>#N/A</v>
      </c>
    </row>
    <row r="56" spans="1:65" ht="14.25" customHeight="1">
      <c r="A56" s="87"/>
      <c r="B56" s="48"/>
      <c r="C56" s="48"/>
      <c r="D56" s="40"/>
      <c r="E56" s="40"/>
      <c r="F56" s="40"/>
      <c r="G56" s="40"/>
      <c r="H56" s="40"/>
      <c r="I56" s="40"/>
      <c r="J56" s="1"/>
      <c r="K56" s="5"/>
      <c r="L56" s="5"/>
      <c r="M56" s="5"/>
      <c r="N56" s="5"/>
      <c r="O56" s="5"/>
      <c r="P56" s="5"/>
      <c r="Q56" s="5"/>
      <c r="R56" s="5"/>
      <c r="S56" s="5"/>
      <c r="T56" s="5"/>
      <c r="U56" s="86"/>
      <c r="V56" s="102"/>
      <c r="W56" s="218"/>
      <c r="AI56" s="361" t="b">
        <v>1</v>
      </c>
      <c r="AJ56" s="121" t="s">
        <v>16</v>
      </c>
      <c r="AK56" s="61" t="str">
        <f t="shared" si="15"/>
        <v>Wokingham</v>
      </c>
      <c r="AL56" s="110">
        <f t="shared" si="21"/>
        <v>398.01870662777833</v>
      </c>
      <c r="AM56" s="110">
        <f t="shared" si="21"/>
        <v>348.3545804921435</v>
      </c>
      <c r="AN56" s="110">
        <f t="shared" si="21"/>
        <v>357.41204502905492</v>
      </c>
      <c r="AO56" s="110">
        <f t="shared" si="21"/>
        <v>351.12888052681092</v>
      </c>
      <c r="AP56" s="110">
        <f t="shared" si="21"/>
        <v>363.85464284065199</v>
      </c>
      <c r="AQ56" s="111">
        <f>VLOOKUP(AK56,IDACI!$B$8:$C$29,2,FALSE)</f>
        <v>5.6000000000000005</v>
      </c>
      <c r="AR56" s="237" t="e">
        <f t="shared" si="22"/>
        <v>#N/A</v>
      </c>
      <c r="AS56" s="237">
        <f t="shared" si="22"/>
        <v>9.4514210178453406E-2</v>
      </c>
      <c r="AT56" s="237">
        <f t="shared" si="22"/>
        <v>0.10508922670191673</v>
      </c>
      <c r="AU56" s="237">
        <f t="shared" si="22"/>
        <v>0.61202908129543954</v>
      </c>
      <c r="AV56" s="237">
        <f t="shared" si="22"/>
        <v>0.18836748182419036</v>
      </c>
      <c r="AW56" s="237">
        <f t="shared" si="23"/>
        <v>0.78744939271255066</v>
      </c>
      <c r="AX56" s="237">
        <f t="shared" si="23"/>
        <v>0.7397163120567376</v>
      </c>
      <c r="AY56" s="237">
        <f t="shared" si="23"/>
        <v>0.65611510791366912</v>
      </c>
      <c r="AZ56" s="237">
        <f t="shared" si="23"/>
        <v>0.66711319490957799</v>
      </c>
      <c r="BA56" s="237">
        <f t="shared" si="23"/>
        <v>0.81163251817580961</v>
      </c>
      <c r="BB56" s="237" t="e">
        <f t="shared" si="24"/>
        <v>#N/A</v>
      </c>
      <c r="BC56" s="237" t="e">
        <f t="shared" si="24"/>
        <v>#N/A</v>
      </c>
      <c r="BD56" s="237" t="e">
        <f t="shared" si="24"/>
        <v>#N/A</v>
      </c>
      <c r="BE56" s="237" t="e">
        <f t="shared" si="24"/>
        <v>#N/A</v>
      </c>
      <c r="BF56" s="237" t="e">
        <f t="shared" si="24"/>
        <v>#N/A</v>
      </c>
      <c r="BG56" s="237" t="e">
        <f t="shared" si="25"/>
        <v>#N/A</v>
      </c>
      <c r="BH56" s="237" t="e">
        <f t="shared" si="25"/>
        <v>#N/A</v>
      </c>
      <c r="BI56" s="237" t="e">
        <f t="shared" si="25"/>
        <v>#N/A</v>
      </c>
      <c r="BJ56" s="237" t="e">
        <f t="shared" si="25"/>
        <v>#N/A</v>
      </c>
      <c r="BK56" s="237" t="e">
        <f t="shared" si="25"/>
        <v>#N/A</v>
      </c>
      <c r="BL56" s="56"/>
      <c r="BM56" s="56"/>
    </row>
    <row r="57" spans="1:65" ht="14.25" customHeight="1">
      <c r="A57" s="87"/>
      <c r="B57" s="48"/>
      <c r="C57" s="48"/>
      <c r="D57" s="40"/>
      <c r="E57" s="40"/>
      <c r="F57" s="40"/>
      <c r="G57" s="40"/>
      <c r="H57" s="40"/>
      <c r="I57" s="40"/>
      <c r="J57" s="1"/>
      <c r="K57" s="5"/>
      <c r="L57" s="5"/>
      <c r="M57" s="5"/>
      <c r="N57" s="5"/>
      <c r="O57" s="5"/>
      <c r="P57" s="5"/>
      <c r="Q57" s="5"/>
      <c r="R57" s="5"/>
      <c r="S57" s="5"/>
      <c r="T57" s="5"/>
      <c r="U57" s="86"/>
      <c r="V57" s="102"/>
      <c r="W57" s="218"/>
      <c r="AI57" s="361" t="b">
        <v>1</v>
      </c>
      <c r="AJ57" s="121" t="s">
        <v>71</v>
      </c>
      <c r="AK57" s="61" t="str">
        <f t="shared" si="15"/>
        <v>South East</v>
      </c>
      <c r="AL57" s="110">
        <f t="shared" si="21"/>
        <v>573.1402962992936</v>
      </c>
      <c r="AM57" s="110">
        <f t="shared" si="21"/>
        <v>568.79492793144152</v>
      </c>
      <c r="AN57" s="110">
        <f t="shared" si="21"/>
        <v>614.40432795232311</v>
      </c>
      <c r="AO57" s="110">
        <f t="shared" si="21"/>
        <v>613.82659284260785</v>
      </c>
      <c r="AP57" s="110">
        <f t="shared" si="21"/>
        <v>702.08623936802258</v>
      </c>
      <c r="AQ57" s="111">
        <f>Z30/Y30*100</f>
        <v>12.760581039440194</v>
      </c>
      <c r="AR57" s="237">
        <f t="shared" si="22"/>
        <v>0.17123745819397992</v>
      </c>
      <c r="AS57" s="237">
        <f t="shared" si="22"/>
        <v>0.22625418060200669</v>
      </c>
      <c r="AT57" s="237">
        <f t="shared" si="22"/>
        <v>0.14096989966555185</v>
      </c>
      <c r="AU57" s="237">
        <f t="shared" si="22"/>
        <v>0.32541806020066888</v>
      </c>
      <c r="AV57" s="237">
        <f t="shared" si="22"/>
        <v>0.13612040133779263</v>
      </c>
      <c r="AW57" s="237">
        <f t="shared" si="23"/>
        <v>0.85129876006878447</v>
      </c>
      <c r="AX57" s="237">
        <f t="shared" si="23"/>
        <v>0.88720933414827718</v>
      </c>
      <c r="AY57" s="237">
        <f t="shared" si="23"/>
        <v>0.85665041197242309</v>
      </c>
      <c r="AZ57" s="237">
        <f t="shared" si="23"/>
        <v>0.82964436707286748</v>
      </c>
      <c r="BA57" s="237">
        <f t="shared" si="23"/>
        <v>0.86387959866220732</v>
      </c>
      <c r="BB57" s="237" t="e">
        <f t="shared" si="24"/>
        <v>#N/A</v>
      </c>
      <c r="BC57" s="237" t="e">
        <f t="shared" si="24"/>
        <v>#N/A</v>
      </c>
      <c r="BD57" s="237" t="e">
        <f t="shared" si="24"/>
        <v>#N/A</v>
      </c>
      <c r="BE57" s="237" t="e">
        <f t="shared" si="24"/>
        <v>#N/A</v>
      </c>
      <c r="BF57" s="237" t="e">
        <f t="shared" si="24"/>
        <v>#N/A</v>
      </c>
      <c r="BG57" s="237" t="e">
        <f t="shared" si="25"/>
        <v>#N/A</v>
      </c>
      <c r="BH57" s="237" t="e">
        <f t="shared" si="25"/>
        <v>#N/A</v>
      </c>
      <c r="BI57" s="237" t="e">
        <f t="shared" si="25"/>
        <v>#N/A</v>
      </c>
      <c r="BJ57" s="237" t="e">
        <f t="shared" si="25"/>
        <v>#N/A</v>
      </c>
      <c r="BK57" s="237" t="e">
        <f t="shared" si="25"/>
        <v>#N/A</v>
      </c>
      <c r="BL57" s="56"/>
      <c r="BM57" s="56"/>
    </row>
    <row r="58" spans="1:65"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218"/>
      <c r="AI58" s="361" t="b">
        <v>1</v>
      </c>
      <c r="AJ58" s="121" t="s">
        <v>109</v>
      </c>
      <c r="AK58" s="61" t="str">
        <f t="shared" si="15"/>
        <v>England</v>
      </c>
      <c r="AL58" s="110">
        <f t="shared" si="21"/>
        <v>564.5735563876384</v>
      </c>
      <c r="AM58" s="110">
        <f t="shared" si="21"/>
        <v>531.02387096347297</v>
      </c>
      <c r="AN58" s="110">
        <f t="shared" si="21"/>
        <v>548.39470408517377</v>
      </c>
      <c r="AO58" s="110">
        <f t="shared" si="21"/>
        <v>551.5325907266232</v>
      </c>
      <c r="AP58" s="110">
        <f t="shared" si="21"/>
        <v>536.03548267029464</v>
      </c>
      <c r="AQ58" s="111">
        <f>VLOOKUP(AK58,IDACI!$B$8:$C$29,2,FALSE)</f>
        <v>17.084413405029373</v>
      </c>
      <c r="AR58" s="237">
        <f t="shared" si="22"/>
        <v>0.12951676099259904</v>
      </c>
      <c r="AS58" s="237">
        <f t="shared" si="22"/>
        <v>0.17250761863299957</v>
      </c>
      <c r="AT58" s="237">
        <f t="shared" si="22"/>
        <v>0.15952484607251693</v>
      </c>
      <c r="AU58" s="237">
        <f t="shared" si="22"/>
        <v>0.38304620934137695</v>
      </c>
      <c r="AV58" s="237">
        <f t="shared" si="22"/>
        <v>0.1554045649605075</v>
      </c>
      <c r="AW58" s="237">
        <f t="shared" si="23"/>
        <v>0.83848095180867688</v>
      </c>
      <c r="AX58" s="237">
        <f t="shared" si="23"/>
        <v>0.87573085402089523</v>
      </c>
      <c r="AY58" s="237">
        <f t="shared" si="23"/>
        <v>0.84490055342831005</v>
      </c>
      <c r="AZ58" s="237">
        <f t="shared" si="23"/>
        <v>0.82491038059644572</v>
      </c>
      <c r="BA58" s="237">
        <f t="shared" si="23"/>
        <v>0.84459543503949253</v>
      </c>
      <c r="BB58" s="237" t="e">
        <f t="shared" si="24"/>
        <v>#N/A</v>
      </c>
      <c r="BC58" s="237" t="e">
        <f t="shared" si="24"/>
        <v>#N/A</v>
      </c>
      <c r="BD58" s="237" t="e">
        <f t="shared" si="24"/>
        <v>#N/A</v>
      </c>
      <c r="BE58" s="237" t="e">
        <f t="shared" si="24"/>
        <v>#N/A</v>
      </c>
      <c r="BF58" s="237" t="e">
        <f t="shared" si="24"/>
        <v>#N/A</v>
      </c>
      <c r="BG58" s="237" t="e">
        <f t="shared" si="25"/>
        <v>#N/A</v>
      </c>
      <c r="BH58" s="237" t="e">
        <f t="shared" si="25"/>
        <v>#N/A</v>
      </c>
      <c r="BI58" s="237" t="e">
        <f t="shared" si="25"/>
        <v>#N/A</v>
      </c>
      <c r="BJ58" s="237" t="e">
        <f t="shared" si="25"/>
        <v>#N/A</v>
      </c>
      <c r="BK58" s="237" t="e">
        <f t="shared" si="25"/>
        <v>#N/A</v>
      </c>
    </row>
    <row r="59" spans="1:65" s="56" customFormat="1" ht="12.75" customHeight="1">
      <c r="A59" s="87"/>
      <c r="B59" s="48"/>
      <c r="C59" s="48"/>
      <c r="D59" s="40"/>
      <c r="E59" s="40"/>
      <c r="F59" s="40"/>
      <c r="G59" s="40"/>
      <c r="H59" s="40"/>
      <c r="I59" s="40"/>
      <c r="J59" s="1"/>
      <c r="K59" s="5"/>
      <c r="L59" s="5"/>
      <c r="M59" s="5"/>
      <c r="N59" s="5"/>
      <c r="O59" s="5"/>
      <c r="P59" s="5"/>
      <c r="Q59" s="5"/>
      <c r="R59" s="5"/>
      <c r="S59" s="5"/>
      <c r="T59" s="5"/>
      <c r="U59" s="86"/>
      <c r="V59" s="102"/>
      <c r="W59" s="218"/>
      <c r="AJ59" s="122"/>
      <c r="AK59" s="52" t="str">
        <f>Z4</f>
        <v>Selected LA- (none)</v>
      </c>
      <c r="AL59" s="112" t="e">
        <f>VLOOKUP($Y4,$B$11:$O$30,AL$34,FALSE)</f>
        <v>#N/A</v>
      </c>
      <c r="AM59" s="112" t="e">
        <f>VLOOKUP($Y4,$B$11:$O$30,AM$34,FALSE)</f>
        <v>#N/A</v>
      </c>
      <c r="AN59" s="112" t="e">
        <f>VLOOKUP($Y4,$B$11:$O$30,AN$34,FALSE)</f>
        <v>#N/A</v>
      </c>
      <c r="AO59" s="112" t="e">
        <f>VLOOKUP($Y4,$B$11:$O$30,AO$34,FALSE)</f>
        <v>#N/A</v>
      </c>
      <c r="AP59" s="112" t="e">
        <f>VLOOKUP($Y4,$B$11:$O$30,AP$34,FALSE)</f>
        <v>#N/A</v>
      </c>
      <c r="AQ59" s="111" t="e">
        <f>VLOOKUP(Y4,IDACI!$B$8:$C$29,2,FALSE)</f>
        <v>#N/A</v>
      </c>
      <c r="AR59" s="132" t="e">
        <f>VLOOKUP($Y$4,$B$141:$H$161,AR$34,FALSE)</f>
        <v>#N/A</v>
      </c>
      <c r="AS59" s="132" t="e">
        <f>VLOOKUP($Y$4,$B$141:$H$161,AS$34,FALSE)</f>
        <v>#N/A</v>
      </c>
      <c r="AT59" s="132" t="e">
        <f>VLOOKUP($Y$4,$B$141:$H$161,AT$34,FALSE)</f>
        <v>#N/A</v>
      </c>
      <c r="AU59" s="132" t="e">
        <f>VLOOKUP($Y$4,$B$141:$H$161,AU$34,FALSE)</f>
        <v>#N/A</v>
      </c>
      <c r="AV59" s="132" t="e">
        <f>VLOOKUP($Y$4,$B$141:$H$161,AV$34,FALSE)</f>
        <v>#N/A</v>
      </c>
      <c r="AW59" s="132" t="e">
        <f>VLOOKUP($Y$4,$B$109:$H$129,AW$34,FALSE)</f>
        <v>#N/A</v>
      </c>
      <c r="AX59" s="132" t="e">
        <f>VLOOKUP($Y$4,$B$109:$H$129,AX$34,FALSE)</f>
        <v>#N/A</v>
      </c>
      <c r="AY59" s="132" t="e">
        <f>VLOOKUP($Y$4,$B$109:$H$129,AY$34,FALSE)</f>
        <v>#N/A</v>
      </c>
      <c r="AZ59" s="132" t="e">
        <f>VLOOKUP($Y$4,$B$109:$H$129,AZ$34,FALSE)</f>
        <v>#N/A</v>
      </c>
      <c r="BA59" s="132" t="e">
        <f>VLOOKUP($Y$4,$B$109:$H$129,BA$34,FALSE)</f>
        <v>#N/A</v>
      </c>
      <c r="BB59" s="132" t="e">
        <f>VLOOKUP($Y$4,$B$173:$H$193,BB$34,FALSE)</f>
        <v>#N/A</v>
      </c>
      <c r="BC59" s="132" t="e">
        <f>VLOOKUP($Y$4,$B$173:$H$193,BC$34,FALSE)</f>
        <v>#N/A</v>
      </c>
      <c r="BD59" s="132" t="e">
        <f>VLOOKUP($Y$4,$B$173:$H$193,BD$34,FALSE)</f>
        <v>#N/A</v>
      </c>
      <c r="BE59" s="132" t="e">
        <f>VLOOKUP($Y$4,$B$173:$H$193,BE$34,FALSE)</f>
        <v>#N/A</v>
      </c>
      <c r="BF59" s="132" t="e">
        <f>VLOOKUP($Y$4,$B$173:$H$193,BF$34,FALSE)</f>
        <v>#N/A</v>
      </c>
      <c r="BG59" s="132" t="e">
        <f>VLOOKUP($Y$4,$B$206:$H$226,BG$34,FALSE)</f>
        <v>#N/A</v>
      </c>
      <c r="BH59" s="132" t="e">
        <f>VLOOKUP($Y$4,$B$206:$H$226,BH$34,FALSE)</f>
        <v>#N/A</v>
      </c>
      <c r="BI59" s="132" t="e">
        <f>VLOOKUP($Y$4,$B$206:$H$226,BI$34,FALSE)</f>
        <v>#N/A</v>
      </c>
      <c r="BJ59" s="132" t="e">
        <f>VLOOKUP($Y$4,$B$206:$H$226,BJ$34,FALSE)</f>
        <v>#N/A</v>
      </c>
      <c r="BK59" s="132" t="e">
        <f>VLOOKUP($Y$4,$B$206:$H$226,BK$34,FALSE)</f>
        <v>#N/A</v>
      </c>
    </row>
    <row r="60" spans="1:65" s="56" customFormat="1" ht="1.5" customHeight="1">
      <c r="A60" s="87"/>
      <c r="B60" s="48"/>
      <c r="C60" s="48"/>
      <c r="D60" s="40"/>
      <c r="E60" s="40"/>
      <c r="F60" s="40"/>
      <c r="G60" s="40"/>
      <c r="H60" s="40"/>
      <c r="I60" s="40"/>
      <c r="J60" s="1"/>
      <c r="K60" s="5"/>
      <c r="L60" s="5"/>
      <c r="M60" s="5"/>
      <c r="N60" s="5"/>
      <c r="O60" s="5"/>
      <c r="P60" s="5"/>
      <c r="Q60" s="5"/>
      <c r="R60" s="5"/>
      <c r="S60" s="5"/>
      <c r="T60" s="5"/>
      <c r="U60" s="86"/>
      <c r="V60" s="102"/>
      <c r="W60" s="218"/>
    </row>
    <row r="61" spans="1:65" s="56" customFormat="1" ht="14.25" customHeight="1">
      <c r="A61" s="87"/>
      <c r="B61" s="48"/>
      <c r="C61" s="48"/>
      <c r="D61" s="40"/>
      <c r="E61" s="40"/>
      <c r="F61" s="40"/>
      <c r="G61" s="40"/>
      <c r="H61" s="40"/>
      <c r="I61" s="40"/>
      <c r="J61" s="1"/>
      <c r="K61" s="79"/>
      <c r="L61" s="1882" t="s">
        <v>69</v>
      </c>
      <c r="M61" s="1882"/>
      <c r="N61" s="1882"/>
      <c r="O61" s="1882"/>
      <c r="P61" s="1171"/>
      <c r="Q61" s="1753" t="s">
        <v>93</v>
      </c>
      <c r="R61" s="1753"/>
      <c r="S61" s="1753"/>
      <c r="T61" s="1753"/>
      <c r="U61" s="86"/>
      <c r="V61" s="102"/>
      <c r="W61" s="218"/>
      <c r="AJ61" s="122"/>
    </row>
    <row r="62" spans="1:65" s="56" customFormat="1" ht="14.25" customHeight="1">
      <c r="A62" s="87"/>
      <c r="B62" s="48"/>
      <c r="C62" s="48"/>
      <c r="D62" s="40"/>
      <c r="E62" s="40"/>
      <c r="F62" s="40"/>
      <c r="G62" s="40"/>
      <c r="H62" s="40"/>
      <c r="I62" s="40"/>
      <c r="J62" s="1"/>
      <c r="K62" s="80"/>
      <c r="L62" s="1753" t="str">
        <f>Z4</f>
        <v>Selected LA- (none)</v>
      </c>
      <c r="M62" s="1753"/>
      <c r="N62" s="1753"/>
      <c r="O62" s="1753"/>
      <c r="P62" s="1172"/>
      <c r="Q62" s="1753" t="s">
        <v>167</v>
      </c>
      <c r="R62" s="1753"/>
      <c r="S62" s="1753"/>
      <c r="T62" s="1753"/>
      <c r="U62" s="86"/>
      <c r="V62" s="102"/>
      <c r="W62" s="114"/>
      <c r="AI62" s="61"/>
      <c r="AJ62" s="12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row>
    <row r="63" spans="1:65" s="56" customFormat="1" ht="46.5" customHeight="1">
      <c r="A63" s="87"/>
      <c r="B63" s="48"/>
      <c r="C63" s="48"/>
      <c r="D63" s="40"/>
      <c r="E63" s="40"/>
      <c r="F63" s="40"/>
      <c r="G63" s="40"/>
      <c r="H63" s="40"/>
      <c r="I63" s="40"/>
      <c r="J63" s="1"/>
      <c r="K63" s="5"/>
      <c r="L63" s="5"/>
      <c r="M63" s="5"/>
      <c r="N63" s="5"/>
      <c r="O63" s="5"/>
      <c r="P63" s="5"/>
      <c r="Q63" s="5"/>
      <c r="R63" s="5"/>
      <c r="S63" s="5"/>
      <c r="T63" s="5"/>
      <c r="U63" s="86"/>
      <c r="V63" s="102"/>
      <c r="W63" s="114"/>
      <c r="AI63" s="61"/>
      <c r="AJ63" s="12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row>
    <row r="64" spans="1:65" s="61" customFormat="1" ht="46.5" customHeight="1">
      <c r="A64" s="88"/>
      <c r="B64" s="78"/>
      <c r="C64" s="78"/>
      <c r="D64" s="78"/>
      <c r="E64" s="78"/>
      <c r="F64" s="78"/>
      <c r="G64" s="78"/>
      <c r="H64" s="78"/>
      <c r="I64" s="78"/>
      <c r="J64" s="68"/>
      <c r="K64" s="59"/>
      <c r="L64" s="59"/>
      <c r="M64" s="59"/>
      <c r="N64" s="59"/>
      <c r="O64" s="59"/>
      <c r="P64" s="59"/>
      <c r="Q64" s="59"/>
      <c r="R64" s="59"/>
      <c r="S64" s="59"/>
      <c r="T64" s="59"/>
      <c r="U64" s="89"/>
      <c r="V64" s="103"/>
      <c r="W64" s="115"/>
      <c r="AD64" s="141"/>
      <c r="AE64" s="141"/>
      <c r="AF64" s="141"/>
      <c r="AG64" s="141"/>
      <c r="AH64" s="141"/>
      <c r="AI64" s="52"/>
      <c r="AJ64" s="119"/>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row>
    <row r="65" spans="1:65" s="61" customFormat="1" ht="46.5" customHeight="1">
      <c r="A65" s="88"/>
      <c r="B65" s="78"/>
      <c r="C65" s="78"/>
      <c r="D65" s="78"/>
      <c r="E65" s="78"/>
      <c r="F65" s="78"/>
      <c r="G65" s="78"/>
      <c r="H65" s="78"/>
      <c r="I65" s="78"/>
      <c r="J65" s="68"/>
      <c r="K65" s="59"/>
      <c r="L65" s="59"/>
      <c r="M65" s="59"/>
      <c r="N65" s="59"/>
      <c r="O65" s="59"/>
      <c r="P65" s="59"/>
      <c r="Q65" s="59"/>
      <c r="R65" s="59"/>
      <c r="S65" s="59"/>
      <c r="T65" s="59"/>
      <c r="U65" s="89"/>
      <c r="V65" s="121"/>
      <c r="W65" s="115"/>
      <c r="AD65" s="141"/>
      <c r="AE65" s="141"/>
      <c r="AF65" s="141"/>
      <c r="AG65" s="141"/>
      <c r="AH65" s="141"/>
      <c r="AI65" s="52"/>
      <c r="AJ65" s="119"/>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row>
    <row r="66" spans="1:65" ht="7.5" customHeight="1">
      <c r="A66" s="87"/>
      <c r="B66" s="12"/>
      <c r="C66" s="12"/>
      <c r="D66" s="11"/>
      <c r="E66" s="11"/>
      <c r="F66" s="11"/>
      <c r="G66" s="11"/>
      <c r="H66" s="11"/>
      <c r="I66" s="11"/>
      <c r="J66" s="1"/>
      <c r="K66" s="13"/>
      <c r="L66" s="13"/>
      <c r="M66" s="13"/>
      <c r="N66" s="13"/>
      <c r="O66" s="13"/>
      <c r="P66" s="13"/>
      <c r="Q66" s="13"/>
      <c r="R66" s="13"/>
      <c r="S66" s="13"/>
      <c r="T66" s="14"/>
      <c r="U66" s="86"/>
      <c r="V66" s="185"/>
      <c r="W66" s="114"/>
      <c r="X66" s="61"/>
      <c r="Y66" s="61"/>
      <c r="Z66" s="61"/>
      <c r="AA66" s="61"/>
      <c r="AB66" s="61"/>
      <c r="AC66" s="61"/>
      <c r="AJ66" s="119"/>
    </row>
    <row r="67" spans="1:65" ht="15" customHeight="1">
      <c r="A67" s="1565"/>
      <c r="B67" s="1751"/>
      <c r="C67" s="1751"/>
      <c r="D67" s="1751"/>
      <c r="E67" s="1751"/>
      <c r="F67" s="1751"/>
      <c r="G67" s="1751"/>
      <c r="H67" s="1751"/>
      <c r="I67" s="1751"/>
      <c r="J67" s="1751"/>
      <c r="K67" s="1751"/>
      <c r="L67" s="1751"/>
      <c r="M67" s="1751"/>
      <c r="N67" s="1751"/>
      <c r="O67" s="1751"/>
      <c r="P67" s="1751"/>
      <c r="Q67" s="1751"/>
      <c r="R67" s="1751"/>
      <c r="S67" s="1751"/>
      <c r="T67" s="1751"/>
      <c r="U67" s="1752"/>
      <c r="V67" s="185"/>
      <c r="W67" s="114"/>
      <c r="X67" s="61"/>
      <c r="Y67" s="61"/>
      <c r="Z67" s="61"/>
      <c r="AA67" s="61"/>
      <c r="AB67" s="61"/>
      <c r="AC67" s="61"/>
      <c r="AJ67" s="119"/>
    </row>
    <row r="68" spans="1:65" ht="11.25" customHeight="1">
      <c r="A68" s="1739"/>
      <c r="B68" s="1740"/>
      <c r="C68" s="1740"/>
      <c r="D68" s="1740"/>
      <c r="E68" s="1740"/>
      <c r="F68" s="1740"/>
      <c r="G68" s="1740"/>
      <c r="H68" s="1740"/>
      <c r="I68" s="1741"/>
      <c r="J68" s="1740"/>
      <c r="K68" s="1740"/>
      <c r="L68" s="1740"/>
      <c r="M68" s="1740"/>
      <c r="N68" s="1740"/>
      <c r="O68" s="1740"/>
      <c r="P68" s="1742"/>
      <c r="Q68" s="1740"/>
      <c r="R68" s="1740"/>
      <c r="S68" s="1741"/>
      <c r="T68" s="1740"/>
      <c r="U68" s="1743"/>
      <c r="V68" s="185"/>
      <c r="W68" s="114"/>
      <c r="X68" s="61"/>
      <c r="Y68" s="61"/>
      <c r="Z68" s="61"/>
      <c r="AA68" s="61"/>
      <c r="AB68" s="61"/>
      <c r="AC68" s="61"/>
      <c r="AJ68" s="119"/>
    </row>
    <row r="69" spans="1:65" ht="11.25" customHeight="1">
      <c r="A69" s="81"/>
      <c r="B69" s="82"/>
      <c r="C69" s="82"/>
      <c r="D69" s="82"/>
      <c r="E69" s="82"/>
      <c r="F69" s="82"/>
      <c r="G69" s="82"/>
      <c r="H69" s="82"/>
      <c r="I69" s="82"/>
      <c r="J69" s="83"/>
      <c r="K69" s="82"/>
      <c r="L69" s="82"/>
      <c r="M69" s="82"/>
      <c r="N69" s="82"/>
      <c r="O69" s="82"/>
      <c r="P69" s="82"/>
      <c r="Q69" s="82"/>
      <c r="R69" s="82"/>
      <c r="S69" s="82"/>
      <c r="T69" s="82"/>
      <c r="U69" s="84"/>
      <c r="V69" s="102"/>
      <c r="W69" s="114"/>
      <c r="X69" s="52"/>
      <c r="Y69" s="52"/>
      <c r="Z69" s="52"/>
      <c r="AJ69" s="119"/>
    </row>
    <row r="70" spans="1:65" ht="15" customHeight="1">
      <c r="A70" s="87"/>
      <c r="B70" s="41"/>
      <c r="C70" s="47"/>
      <c r="D70" s="47"/>
      <c r="E70" s="47"/>
      <c r="F70" s="47"/>
      <c r="G70" s="47"/>
      <c r="H70" s="47"/>
      <c r="I70" s="47"/>
      <c r="J70" s="50"/>
      <c r="K70" s="41"/>
      <c r="M70" s="47"/>
      <c r="N70" s="47"/>
      <c r="O70" s="47"/>
      <c r="P70" s="47"/>
      <c r="Q70" s="47"/>
      <c r="R70" s="47"/>
      <c r="S70" s="50"/>
      <c r="T70" s="50"/>
      <c r="U70" s="86"/>
      <c r="V70" s="102"/>
      <c r="W70" s="114"/>
      <c r="X70" s="52"/>
      <c r="Y70" s="52"/>
      <c r="Z70" s="52"/>
      <c r="AA70" s="52"/>
      <c r="AB70" s="52"/>
      <c r="AC70" s="52"/>
      <c r="AD70" s="52"/>
      <c r="AE70" s="52"/>
      <c r="AF70" s="52"/>
      <c r="AG70" s="52"/>
      <c r="AH70" s="52"/>
      <c r="AI70" s="61"/>
      <c r="AJ70" s="12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row>
    <row r="71" spans="1:65" ht="13.5" customHeight="1">
      <c r="A71" s="87"/>
      <c r="B71" s="47"/>
      <c r="C71" s="47"/>
      <c r="D71" s="47"/>
      <c r="E71" s="47"/>
      <c r="F71" s="47"/>
      <c r="G71" s="47"/>
      <c r="H71" s="47"/>
      <c r="I71" s="47"/>
      <c r="J71" s="50"/>
      <c r="K71" s="50"/>
      <c r="L71" s="47"/>
      <c r="M71" s="47"/>
      <c r="N71" s="47"/>
      <c r="O71" s="47"/>
      <c r="P71" s="47"/>
      <c r="Q71" s="47"/>
      <c r="R71" s="47"/>
      <c r="S71" s="50"/>
      <c r="T71" s="50"/>
      <c r="U71" s="86"/>
      <c r="V71" s="102"/>
      <c r="W71" s="114"/>
      <c r="X71" s="52"/>
      <c r="Y71" s="52"/>
      <c r="Z71" s="146"/>
      <c r="AA71" s="146"/>
      <c r="AB71" s="147"/>
      <c r="AC71" s="147"/>
      <c r="AI71" s="61"/>
      <c r="AJ71" s="12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row>
    <row r="72" spans="1:65" s="61" customFormat="1" ht="24" customHeight="1">
      <c r="A72" s="88"/>
      <c r="B72" s="47"/>
      <c r="C72" s="47"/>
      <c r="D72" s="47"/>
      <c r="E72" s="47"/>
      <c r="F72" s="47"/>
      <c r="G72" s="47"/>
      <c r="H72" s="47"/>
      <c r="I72" s="68"/>
      <c r="J72" s="68"/>
      <c r="K72" s="120"/>
      <c r="L72" s="120"/>
      <c r="M72" s="120"/>
      <c r="N72" s="120"/>
      <c r="O72" s="120"/>
      <c r="P72" s="120"/>
      <c r="Q72" s="47"/>
      <c r="R72" s="47"/>
      <c r="S72" s="120"/>
      <c r="T72" s="226"/>
      <c r="U72" s="89"/>
      <c r="V72" s="103"/>
      <c r="W72" s="115"/>
      <c r="X72" s="52"/>
      <c r="Y72" s="1890" t="s">
        <v>112</v>
      </c>
      <c r="Z72" s="1890" t="s">
        <v>113</v>
      </c>
      <c r="AA72" s="148"/>
      <c r="AB72" s="146"/>
      <c r="AC72" s="52"/>
      <c r="AD72" s="149"/>
      <c r="AE72" s="141"/>
      <c r="AF72" s="141"/>
      <c r="AG72" s="141"/>
      <c r="AH72" s="141"/>
      <c r="AJ72" s="121"/>
    </row>
    <row r="73" spans="1:65" s="61" customFormat="1" ht="12" customHeight="1">
      <c r="A73" s="88"/>
      <c r="B73" s="47"/>
      <c r="C73" s="47"/>
      <c r="D73" s="47"/>
      <c r="E73" s="47"/>
      <c r="F73" s="47"/>
      <c r="G73" s="47"/>
      <c r="H73" s="47"/>
      <c r="I73" s="68"/>
      <c r="J73" s="68"/>
      <c r="K73" s="120"/>
      <c r="L73" s="120"/>
      <c r="M73" s="120"/>
      <c r="N73" s="120"/>
      <c r="O73" s="120"/>
      <c r="P73" s="120"/>
      <c r="Q73" s="47"/>
      <c r="R73" s="47"/>
      <c r="S73" s="120"/>
      <c r="T73" s="127"/>
      <c r="U73" s="89"/>
      <c r="V73" s="103"/>
      <c r="W73" s="115"/>
      <c r="Y73" s="1890"/>
      <c r="Z73" s="1890"/>
      <c r="AA73" s="143"/>
      <c r="AD73" s="149"/>
      <c r="AE73" s="141"/>
      <c r="AF73" s="141"/>
      <c r="AG73" s="141"/>
      <c r="AH73" s="141"/>
      <c r="AJ73" s="121"/>
    </row>
    <row r="74" spans="1:65" s="61" customFormat="1" ht="12.75" customHeight="1">
      <c r="A74" s="88"/>
      <c r="B74" s="47"/>
      <c r="C74" s="47"/>
      <c r="D74" s="47"/>
      <c r="E74" s="47"/>
      <c r="F74" s="47"/>
      <c r="G74" s="47"/>
      <c r="H74" s="47"/>
      <c r="I74" s="68"/>
      <c r="J74" s="68"/>
      <c r="K74" s="120"/>
      <c r="L74" s="120"/>
      <c r="M74" s="120"/>
      <c r="N74" s="120"/>
      <c r="O74" s="120"/>
      <c r="P74" s="120"/>
      <c r="Q74" s="47"/>
      <c r="R74" s="47"/>
      <c r="S74" s="120"/>
      <c r="T74" s="127"/>
      <c r="U74" s="89"/>
      <c r="V74" s="103"/>
      <c r="W74" s="115"/>
      <c r="X74" s="351" t="str">
        <f t="shared" ref="X74:X94" si="26">B11</f>
        <v>Bracknell Forest</v>
      </c>
      <c r="Y74" s="244" t="e">
        <f t="shared" ref="Y74:Y94" si="27">IF(X74=$Y$4,I11,#N/A)</f>
        <v>#N/A</v>
      </c>
      <c r="Z74" s="244" t="e">
        <f t="shared" ref="Z74:Z94" si="28">IF(X74=$Y$4,T11,#N/A)</f>
        <v>#N/A</v>
      </c>
      <c r="AA74" s="238"/>
      <c r="AD74" s="149"/>
      <c r="AE74" s="141"/>
      <c r="AF74" s="141"/>
      <c r="AG74" s="141"/>
      <c r="AH74" s="141"/>
      <c r="AJ74" s="121"/>
    </row>
    <row r="75" spans="1:65" s="61" customFormat="1" ht="12.75" customHeight="1">
      <c r="A75" s="88"/>
      <c r="B75" s="47"/>
      <c r="C75" s="47"/>
      <c r="D75" s="47"/>
      <c r="E75" s="47"/>
      <c r="F75" s="47"/>
      <c r="G75" s="47"/>
      <c r="H75" s="47"/>
      <c r="I75" s="68"/>
      <c r="J75" s="68"/>
      <c r="K75" s="120"/>
      <c r="L75" s="120"/>
      <c r="M75" s="120"/>
      <c r="N75" s="120"/>
      <c r="O75" s="120"/>
      <c r="P75" s="120"/>
      <c r="Q75" s="47"/>
      <c r="R75" s="47"/>
      <c r="S75" s="120"/>
      <c r="T75" s="127"/>
      <c r="U75" s="89"/>
      <c r="V75" s="103"/>
      <c r="W75" s="115"/>
      <c r="X75" s="351" t="str">
        <f t="shared" si="26"/>
        <v>Brighton &amp; Hove</v>
      </c>
      <c r="Y75" s="244" t="e">
        <f t="shared" si="27"/>
        <v>#N/A</v>
      </c>
      <c r="Z75" s="244" t="e">
        <f t="shared" si="28"/>
        <v>#N/A</v>
      </c>
      <c r="AA75" s="238"/>
      <c r="AD75" s="149"/>
      <c r="AE75" s="141"/>
      <c r="AF75" s="141"/>
      <c r="AG75" s="141"/>
      <c r="AH75" s="141"/>
      <c r="AJ75" s="121"/>
    </row>
    <row r="76" spans="1:65" s="61" customFormat="1" ht="12.75" customHeight="1">
      <c r="A76" s="88"/>
      <c r="B76" s="47"/>
      <c r="C76" s="47"/>
      <c r="D76" s="47"/>
      <c r="E76" s="47"/>
      <c r="F76" s="47"/>
      <c r="G76" s="47"/>
      <c r="H76" s="47"/>
      <c r="I76" s="68"/>
      <c r="J76" s="68"/>
      <c r="K76" s="120"/>
      <c r="L76" s="120"/>
      <c r="M76" s="120"/>
      <c r="N76" s="120"/>
      <c r="O76" s="120"/>
      <c r="P76" s="120"/>
      <c r="Q76" s="47"/>
      <c r="R76" s="47"/>
      <c r="S76" s="120"/>
      <c r="T76" s="127"/>
      <c r="U76" s="89"/>
      <c r="V76" s="103"/>
      <c r="W76" s="115"/>
      <c r="X76" s="351" t="str">
        <f t="shared" si="26"/>
        <v>Buckinghamshire</v>
      </c>
      <c r="Y76" s="244" t="e">
        <f t="shared" si="27"/>
        <v>#N/A</v>
      </c>
      <c r="Z76" s="244" t="e">
        <f t="shared" si="28"/>
        <v>#N/A</v>
      </c>
      <c r="AA76" s="238"/>
      <c r="AD76" s="149"/>
      <c r="AE76" s="141"/>
      <c r="AF76" s="141"/>
      <c r="AG76" s="141"/>
      <c r="AH76" s="141"/>
      <c r="AJ76" s="121"/>
      <c r="AR76" s="61" t="s">
        <v>95</v>
      </c>
    </row>
    <row r="77" spans="1:65" s="61" customFormat="1" ht="12.75" customHeight="1">
      <c r="A77" s="88"/>
      <c r="B77" s="47"/>
      <c r="C77" s="47"/>
      <c r="D77" s="47"/>
      <c r="E77" s="47"/>
      <c r="F77" s="47"/>
      <c r="G77" s="47"/>
      <c r="H77" s="47"/>
      <c r="I77" s="68"/>
      <c r="J77" s="68"/>
      <c r="K77" s="120"/>
      <c r="L77" s="120"/>
      <c r="M77" s="120"/>
      <c r="N77" s="120"/>
      <c r="O77" s="120"/>
      <c r="P77" s="120"/>
      <c r="Q77" s="47"/>
      <c r="R77" s="47"/>
      <c r="S77" s="120"/>
      <c r="T77" s="127"/>
      <c r="U77" s="89"/>
      <c r="V77" s="103"/>
      <c r="W77" s="115"/>
      <c r="X77" s="351" t="str">
        <f t="shared" si="26"/>
        <v>East Sussex</v>
      </c>
      <c r="Y77" s="244" t="e">
        <f t="shared" si="27"/>
        <v>#N/A</v>
      </c>
      <c r="Z77" s="244" t="e">
        <f t="shared" si="28"/>
        <v>#N/A</v>
      </c>
      <c r="AA77" s="238"/>
      <c r="AD77" s="149"/>
      <c r="AE77" s="141"/>
      <c r="AF77" s="141"/>
      <c r="AG77" s="141"/>
      <c r="AH77" s="141"/>
      <c r="AJ77" s="121"/>
    </row>
    <row r="78" spans="1:65" s="61" customFormat="1" ht="12.75" customHeight="1">
      <c r="A78" s="88"/>
      <c r="B78" s="47"/>
      <c r="C78" s="47"/>
      <c r="D78" s="47"/>
      <c r="E78" s="47"/>
      <c r="F78" s="47"/>
      <c r="G78" s="47"/>
      <c r="H78" s="47"/>
      <c r="I78" s="68"/>
      <c r="J78" s="68"/>
      <c r="K78" s="120"/>
      <c r="L78" s="120"/>
      <c r="M78" s="120"/>
      <c r="N78" s="120"/>
      <c r="O78" s="120"/>
      <c r="P78" s="120"/>
      <c r="Q78" s="47"/>
      <c r="R78" s="47"/>
      <c r="S78" s="120"/>
      <c r="T78" s="127"/>
      <c r="U78" s="89"/>
      <c r="V78" s="103"/>
      <c r="W78" s="115"/>
      <c r="X78" s="351" t="str">
        <f t="shared" si="26"/>
        <v>Hampshire</v>
      </c>
      <c r="Y78" s="244" t="e">
        <f t="shared" si="27"/>
        <v>#N/A</v>
      </c>
      <c r="Z78" s="244" t="e">
        <f t="shared" si="28"/>
        <v>#N/A</v>
      </c>
      <c r="AA78" s="238"/>
      <c r="AD78" s="149"/>
      <c r="AE78" s="141"/>
      <c r="AF78" s="141"/>
      <c r="AG78" s="141"/>
      <c r="AH78" s="141"/>
      <c r="AJ78" s="121"/>
    </row>
    <row r="79" spans="1:65" s="61" customFormat="1" ht="12.75" customHeight="1">
      <c r="A79" s="88"/>
      <c r="B79" s="47"/>
      <c r="C79" s="47"/>
      <c r="D79" s="47"/>
      <c r="E79" s="47"/>
      <c r="F79" s="47"/>
      <c r="G79" s="47"/>
      <c r="H79" s="47"/>
      <c r="I79" s="68"/>
      <c r="J79" s="68"/>
      <c r="K79" s="120"/>
      <c r="L79" s="120"/>
      <c r="M79" s="120"/>
      <c r="N79" s="120"/>
      <c r="O79" s="120"/>
      <c r="P79" s="120"/>
      <c r="Q79" s="47"/>
      <c r="R79" s="47"/>
      <c r="S79" s="120"/>
      <c r="T79" s="127"/>
      <c r="U79" s="89"/>
      <c r="V79" s="103"/>
      <c r="W79" s="115"/>
      <c r="X79" s="351" t="str">
        <f t="shared" si="26"/>
        <v>Isle of Wight</v>
      </c>
      <c r="Y79" s="244" t="e">
        <f t="shared" si="27"/>
        <v>#N/A</v>
      </c>
      <c r="Z79" s="244" t="e">
        <f t="shared" si="28"/>
        <v>#N/A</v>
      </c>
      <c r="AA79" s="238"/>
      <c r="AD79" s="149"/>
      <c r="AE79" s="141"/>
      <c r="AF79" s="141"/>
      <c r="AG79" s="141"/>
      <c r="AH79" s="141"/>
      <c r="AJ79" s="121"/>
    </row>
    <row r="80" spans="1:65" s="61" customFormat="1" ht="12.75" customHeight="1">
      <c r="A80" s="88"/>
      <c r="B80" s="47"/>
      <c r="C80" s="47"/>
      <c r="D80" s="47"/>
      <c r="E80" s="47"/>
      <c r="F80" s="47"/>
      <c r="G80" s="47"/>
      <c r="H80" s="47"/>
      <c r="I80" s="68"/>
      <c r="J80" s="68"/>
      <c r="K80" s="120"/>
      <c r="L80" s="120"/>
      <c r="M80" s="120"/>
      <c r="N80" s="120"/>
      <c r="O80" s="120"/>
      <c r="P80" s="120"/>
      <c r="Q80" s="47"/>
      <c r="R80" s="47"/>
      <c r="S80" s="120"/>
      <c r="T80" s="127"/>
      <c r="U80" s="89"/>
      <c r="V80" s="103"/>
      <c r="W80" s="115"/>
      <c r="X80" s="351" t="str">
        <f t="shared" si="26"/>
        <v>Kent</v>
      </c>
      <c r="Y80" s="244" t="e">
        <f t="shared" si="27"/>
        <v>#N/A</v>
      </c>
      <c r="Z80" s="244" t="e">
        <f t="shared" si="28"/>
        <v>#N/A</v>
      </c>
      <c r="AA80" s="238"/>
      <c r="AD80" s="149"/>
      <c r="AE80" s="141"/>
      <c r="AF80" s="141"/>
      <c r="AG80" s="141"/>
      <c r="AH80" s="141"/>
      <c r="AJ80" s="121"/>
    </row>
    <row r="81" spans="1:65" s="61" customFormat="1" ht="12.75" customHeight="1">
      <c r="A81" s="88"/>
      <c r="B81" s="47"/>
      <c r="C81" s="47"/>
      <c r="D81" s="47"/>
      <c r="E81" s="47"/>
      <c r="F81" s="47"/>
      <c r="G81" s="47"/>
      <c r="H81" s="47"/>
      <c r="I81" s="68"/>
      <c r="J81" s="68"/>
      <c r="K81" s="120"/>
      <c r="L81" s="120"/>
      <c r="M81" s="120"/>
      <c r="N81" s="120"/>
      <c r="O81" s="120"/>
      <c r="P81" s="120"/>
      <c r="Q81" s="47"/>
      <c r="R81" s="47"/>
      <c r="S81" s="120"/>
      <c r="T81" s="127"/>
      <c r="U81" s="89"/>
      <c r="V81" s="103"/>
      <c r="W81" s="115"/>
      <c r="X81" s="351" t="str">
        <f t="shared" si="26"/>
        <v>Medway</v>
      </c>
      <c r="Y81" s="244" t="e">
        <f t="shared" si="27"/>
        <v>#N/A</v>
      </c>
      <c r="Z81" s="244" t="e">
        <f t="shared" si="28"/>
        <v>#N/A</v>
      </c>
      <c r="AA81" s="238"/>
      <c r="AD81" s="149"/>
      <c r="AE81" s="141"/>
      <c r="AF81" s="141"/>
      <c r="AG81" s="141"/>
      <c r="AH81" s="141"/>
      <c r="AJ81" s="121"/>
    </row>
    <row r="82" spans="1:65" s="61" customFormat="1" ht="12.75" customHeight="1">
      <c r="A82" s="88"/>
      <c r="B82" s="47"/>
      <c r="C82" s="47"/>
      <c r="D82" s="47"/>
      <c r="E82" s="47"/>
      <c r="F82" s="47"/>
      <c r="G82" s="47"/>
      <c r="H82" s="47"/>
      <c r="I82" s="68"/>
      <c r="J82" s="68"/>
      <c r="K82" s="120"/>
      <c r="L82" s="120"/>
      <c r="M82" s="120"/>
      <c r="N82" s="120"/>
      <c r="O82" s="120"/>
      <c r="P82" s="120"/>
      <c r="Q82" s="47"/>
      <c r="R82" s="47"/>
      <c r="S82" s="120"/>
      <c r="T82" s="127"/>
      <c r="U82" s="89"/>
      <c r="V82" s="103"/>
      <c r="W82" s="115"/>
      <c r="X82" s="351" t="str">
        <f t="shared" si="26"/>
        <v>Milton Keynes</v>
      </c>
      <c r="Y82" s="244" t="e">
        <f t="shared" si="27"/>
        <v>#N/A</v>
      </c>
      <c r="Z82" s="244" t="e">
        <f t="shared" si="28"/>
        <v>#N/A</v>
      </c>
      <c r="AA82" s="238"/>
      <c r="AD82" s="149"/>
      <c r="AE82" s="141"/>
      <c r="AF82" s="141"/>
      <c r="AG82" s="141"/>
      <c r="AH82" s="141"/>
      <c r="AJ82" s="121"/>
    </row>
    <row r="83" spans="1:65" s="61" customFormat="1" ht="12.75" customHeight="1">
      <c r="A83" s="88"/>
      <c r="B83" s="47"/>
      <c r="C83" s="47"/>
      <c r="D83" s="47"/>
      <c r="E83" s="47"/>
      <c r="F83" s="47"/>
      <c r="G83" s="47"/>
      <c r="H83" s="47"/>
      <c r="I83" s="68"/>
      <c r="J83" s="68"/>
      <c r="K83" s="120"/>
      <c r="L83" s="120"/>
      <c r="M83" s="120"/>
      <c r="N83" s="120"/>
      <c r="O83" s="120"/>
      <c r="P83" s="120"/>
      <c r="Q83" s="47"/>
      <c r="R83" s="47"/>
      <c r="S83" s="120"/>
      <c r="T83" s="127"/>
      <c r="U83" s="89"/>
      <c r="V83" s="103"/>
      <c r="W83" s="115"/>
      <c r="X83" s="351" t="str">
        <f t="shared" si="26"/>
        <v>Oxfordshire</v>
      </c>
      <c r="Y83" s="244" t="e">
        <f t="shared" si="27"/>
        <v>#N/A</v>
      </c>
      <c r="Z83" s="244" t="e">
        <f t="shared" si="28"/>
        <v>#N/A</v>
      </c>
      <c r="AA83" s="238"/>
      <c r="AD83" s="149"/>
      <c r="AE83" s="141"/>
      <c r="AF83" s="141"/>
      <c r="AG83" s="141"/>
      <c r="AH83" s="141"/>
      <c r="AJ83" s="121"/>
    </row>
    <row r="84" spans="1:65" s="61" customFormat="1" ht="12.75" customHeight="1">
      <c r="A84" s="88"/>
      <c r="B84" s="47"/>
      <c r="C84" s="47"/>
      <c r="D84" s="47"/>
      <c r="E84" s="47"/>
      <c r="F84" s="47"/>
      <c r="G84" s="47"/>
      <c r="H84" s="47"/>
      <c r="I84" s="68"/>
      <c r="J84" s="68"/>
      <c r="K84" s="120"/>
      <c r="L84" s="120"/>
      <c r="M84" s="120"/>
      <c r="N84" s="120"/>
      <c r="O84" s="120"/>
      <c r="P84" s="120"/>
      <c r="Q84" s="47"/>
      <c r="R84" s="47"/>
      <c r="S84" s="120"/>
      <c r="T84" s="127"/>
      <c r="U84" s="89"/>
      <c r="V84" s="103"/>
      <c r="W84" s="115"/>
      <c r="X84" s="351" t="str">
        <f t="shared" si="26"/>
        <v>Portsmouth</v>
      </c>
      <c r="Y84" s="244" t="e">
        <f t="shared" si="27"/>
        <v>#N/A</v>
      </c>
      <c r="Z84" s="244" t="e">
        <f t="shared" si="28"/>
        <v>#N/A</v>
      </c>
      <c r="AA84" s="238"/>
      <c r="AD84" s="149"/>
      <c r="AE84" s="141"/>
      <c r="AF84" s="141"/>
      <c r="AG84" s="141"/>
      <c r="AH84" s="141"/>
      <c r="AJ84" s="121"/>
    </row>
    <row r="85" spans="1:65" s="61" customFormat="1" ht="12.75" customHeight="1">
      <c r="A85" s="88"/>
      <c r="B85" s="47"/>
      <c r="C85" s="47"/>
      <c r="D85" s="47"/>
      <c r="E85" s="47"/>
      <c r="F85" s="47"/>
      <c r="G85" s="47"/>
      <c r="H85" s="47"/>
      <c r="I85" s="68"/>
      <c r="J85" s="68"/>
      <c r="K85" s="120"/>
      <c r="L85" s="120"/>
      <c r="M85" s="120"/>
      <c r="N85" s="120"/>
      <c r="O85" s="120"/>
      <c r="P85" s="120"/>
      <c r="Q85" s="47"/>
      <c r="R85" s="47"/>
      <c r="S85" s="120"/>
      <c r="T85" s="127"/>
      <c r="U85" s="89"/>
      <c r="V85" s="103"/>
      <c r="W85" s="115"/>
      <c r="X85" s="351" t="str">
        <f t="shared" si="26"/>
        <v>Reading</v>
      </c>
      <c r="Y85" s="244" t="e">
        <f t="shared" si="27"/>
        <v>#N/A</v>
      </c>
      <c r="Z85" s="244" t="e">
        <f t="shared" si="28"/>
        <v>#N/A</v>
      </c>
      <c r="AA85" s="238"/>
      <c r="AD85" s="149"/>
      <c r="AE85" s="141"/>
      <c r="AF85" s="141"/>
      <c r="AG85" s="141"/>
      <c r="AH85" s="141"/>
      <c r="AJ85" s="121"/>
    </row>
    <row r="86" spans="1:65" s="61" customFormat="1" ht="12.75" customHeight="1">
      <c r="A86" s="88"/>
      <c r="B86" s="47"/>
      <c r="C86" s="47"/>
      <c r="D86" s="47"/>
      <c r="E86" s="47"/>
      <c r="F86" s="47"/>
      <c r="G86" s="47"/>
      <c r="H86" s="47"/>
      <c r="I86" s="68"/>
      <c r="J86" s="68"/>
      <c r="K86" s="120"/>
      <c r="L86" s="120"/>
      <c r="M86" s="120"/>
      <c r="N86" s="120"/>
      <c r="O86" s="120"/>
      <c r="P86" s="120"/>
      <c r="Q86" s="47"/>
      <c r="R86" s="47"/>
      <c r="S86" s="120"/>
      <c r="T86" s="127"/>
      <c r="U86" s="89"/>
      <c r="V86" s="103"/>
      <c r="W86" s="115"/>
      <c r="X86" s="351" t="str">
        <f t="shared" si="26"/>
        <v>Slough</v>
      </c>
      <c r="Y86" s="244" t="e">
        <f t="shared" si="27"/>
        <v>#N/A</v>
      </c>
      <c r="Z86" s="244" t="e">
        <f t="shared" si="28"/>
        <v>#N/A</v>
      </c>
      <c r="AA86" s="238"/>
      <c r="AD86" s="149"/>
      <c r="AE86" s="141"/>
      <c r="AF86" s="141"/>
      <c r="AG86" s="141"/>
      <c r="AH86" s="141"/>
      <c r="AJ86" s="121"/>
    </row>
    <row r="87" spans="1:65" s="61" customFormat="1" ht="12.75" customHeight="1">
      <c r="A87" s="88"/>
      <c r="B87" s="47"/>
      <c r="C87" s="47"/>
      <c r="D87" s="47"/>
      <c r="E87" s="47"/>
      <c r="F87" s="47"/>
      <c r="G87" s="47"/>
      <c r="H87" s="47"/>
      <c r="I87" s="68"/>
      <c r="J87" s="68"/>
      <c r="K87" s="120"/>
      <c r="L87" s="120"/>
      <c r="M87" s="120"/>
      <c r="N87" s="120"/>
      <c r="O87" s="120"/>
      <c r="P87" s="120"/>
      <c r="Q87" s="47"/>
      <c r="R87" s="47"/>
      <c r="S87" s="120"/>
      <c r="T87" s="127"/>
      <c r="U87" s="89"/>
      <c r="V87" s="103"/>
      <c r="W87" s="115"/>
      <c r="X87" s="351" t="str">
        <f t="shared" si="26"/>
        <v>Southampton</v>
      </c>
      <c r="Y87" s="244" t="e">
        <f t="shared" si="27"/>
        <v>#N/A</v>
      </c>
      <c r="Z87" s="244" t="e">
        <f t="shared" si="28"/>
        <v>#N/A</v>
      </c>
      <c r="AA87" s="238"/>
      <c r="AD87" s="149"/>
      <c r="AE87" s="141"/>
      <c r="AF87" s="141"/>
      <c r="AG87" s="141"/>
      <c r="AH87" s="141"/>
      <c r="AJ87" s="121"/>
    </row>
    <row r="88" spans="1:65" s="61" customFormat="1" ht="12.75" customHeight="1">
      <c r="A88" s="88"/>
      <c r="B88" s="47"/>
      <c r="C88" s="47"/>
      <c r="D88" s="47"/>
      <c r="E88" s="47"/>
      <c r="F88" s="47"/>
      <c r="G88" s="47"/>
      <c r="H88" s="47"/>
      <c r="I88" s="68"/>
      <c r="J88" s="68"/>
      <c r="K88" s="120"/>
      <c r="L88" s="120"/>
      <c r="M88" s="120"/>
      <c r="N88" s="120"/>
      <c r="O88" s="120"/>
      <c r="P88" s="120"/>
      <c r="Q88" s="47"/>
      <c r="R88" s="47"/>
      <c r="S88" s="120"/>
      <c r="T88" s="127"/>
      <c r="U88" s="89"/>
      <c r="V88" s="103"/>
      <c r="W88" s="115"/>
      <c r="X88" s="351" t="str">
        <f t="shared" si="26"/>
        <v>Surrey</v>
      </c>
      <c r="Y88" s="244" t="e">
        <f t="shared" si="27"/>
        <v>#N/A</v>
      </c>
      <c r="Z88" s="244" t="e">
        <f t="shared" si="28"/>
        <v>#N/A</v>
      </c>
      <c r="AA88" s="238"/>
      <c r="AD88" s="149"/>
      <c r="AE88" s="141"/>
      <c r="AF88" s="141"/>
      <c r="AG88" s="141"/>
      <c r="AH88" s="141"/>
      <c r="AJ88" s="121"/>
    </row>
    <row r="89" spans="1:65" s="61" customFormat="1" ht="12.75" customHeight="1">
      <c r="A89" s="217"/>
      <c r="B89" s="47"/>
      <c r="C89" s="47"/>
      <c r="D89" s="47"/>
      <c r="E89" s="47"/>
      <c r="F89" s="47"/>
      <c r="G89" s="47"/>
      <c r="H89" s="47"/>
      <c r="I89" s="68"/>
      <c r="J89" s="68"/>
      <c r="K89" s="120"/>
      <c r="L89" s="120"/>
      <c r="M89" s="120"/>
      <c r="N89" s="120"/>
      <c r="O89" s="120"/>
      <c r="P89" s="120"/>
      <c r="Q89" s="47"/>
      <c r="R89" s="47"/>
      <c r="S89" s="120"/>
      <c r="T89" s="127"/>
      <c r="U89" s="89"/>
      <c r="V89" s="103"/>
      <c r="W89" s="115"/>
      <c r="X89" s="351" t="str">
        <f t="shared" si="26"/>
        <v>West Berkshire</v>
      </c>
      <c r="Y89" s="244" t="e">
        <f t="shared" si="27"/>
        <v>#N/A</v>
      </c>
      <c r="Z89" s="244" t="e">
        <f t="shared" si="28"/>
        <v>#N/A</v>
      </c>
      <c r="AA89" s="238"/>
      <c r="AD89" s="149"/>
      <c r="AE89" s="141"/>
      <c r="AF89" s="141"/>
      <c r="AG89" s="141"/>
      <c r="AH89" s="141"/>
      <c r="AJ89" s="121"/>
    </row>
    <row r="90" spans="1:65" s="61" customFormat="1" ht="12.75" customHeight="1">
      <c r="A90" s="217"/>
      <c r="B90" s="47"/>
      <c r="C90" s="47"/>
      <c r="D90" s="47"/>
      <c r="E90" s="47"/>
      <c r="F90" s="47"/>
      <c r="G90" s="47"/>
      <c r="H90" s="47"/>
      <c r="I90" s="68"/>
      <c r="J90" s="68"/>
      <c r="K90" s="120"/>
      <c r="L90" s="120"/>
      <c r="M90" s="120"/>
      <c r="N90" s="120"/>
      <c r="O90" s="120"/>
      <c r="P90" s="120"/>
      <c r="Q90" s="47"/>
      <c r="R90" s="47"/>
      <c r="S90" s="120"/>
      <c r="T90" s="127"/>
      <c r="U90" s="89"/>
      <c r="V90" s="103"/>
      <c r="W90" s="115"/>
      <c r="X90" s="351" t="str">
        <f t="shared" si="26"/>
        <v>West Sussex</v>
      </c>
      <c r="Y90" s="244" t="e">
        <f t="shared" si="27"/>
        <v>#N/A</v>
      </c>
      <c r="Z90" s="244" t="e">
        <f t="shared" si="28"/>
        <v>#N/A</v>
      </c>
      <c r="AA90" s="238"/>
      <c r="AD90" s="149"/>
      <c r="AE90" s="141"/>
      <c r="AF90" s="141"/>
      <c r="AG90" s="141"/>
      <c r="AH90" s="141"/>
      <c r="AJ90" s="121"/>
    </row>
    <row r="91" spans="1:65" s="61" customFormat="1" ht="12.75" customHeight="1">
      <c r="A91" s="88"/>
      <c r="B91" s="47"/>
      <c r="C91" s="47"/>
      <c r="D91" s="47"/>
      <c r="E91" s="47"/>
      <c r="F91" s="47"/>
      <c r="G91" s="47"/>
      <c r="H91" s="47"/>
      <c r="I91" s="68"/>
      <c r="J91" s="68"/>
      <c r="K91" s="120"/>
      <c r="L91" s="120"/>
      <c r="M91" s="120"/>
      <c r="N91" s="120"/>
      <c r="O91" s="120"/>
      <c r="P91" s="120"/>
      <c r="Q91" s="47"/>
      <c r="R91" s="47"/>
      <c r="S91" s="120"/>
      <c r="T91" s="127"/>
      <c r="U91" s="89"/>
      <c r="V91" s="103"/>
      <c r="W91" s="115"/>
      <c r="X91" s="351" t="str">
        <f t="shared" si="26"/>
        <v>Windsor &amp; Maidenhead</v>
      </c>
      <c r="Y91" s="244" t="e">
        <f t="shared" si="27"/>
        <v>#N/A</v>
      </c>
      <c r="Z91" s="244" t="e">
        <f t="shared" si="28"/>
        <v>#N/A</v>
      </c>
      <c r="AA91" s="238"/>
      <c r="AD91" s="149"/>
      <c r="AF91" s="141"/>
      <c r="AG91" s="141"/>
      <c r="AH91" s="141"/>
      <c r="AJ91" s="121"/>
    </row>
    <row r="92" spans="1:65" s="61" customFormat="1" ht="12.75" customHeight="1">
      <c r="A92" s="88"/>
      <c r="B92" s="47"/>
      <c r="C92" s="47"/>
      <c r="D92" s="47"/>
      <c r="E92" s="47"/>
      <c r="F92" s="47"/>
      <c r="G92" s="47"/>
      <c r="H92" s="47"/>
      <c r="I92" s="68"/>
      <c r="J92" s="68"/>
      <c r="K92" s="120"/>
      <c r="L92" s="120"/>
      <c r="M92" s="120"/>
      <c r="N92" s="120"/>
      <c r="O92" s="120"/>
      <c r="P92" s="120"/>
      <c r="Q92" s="47"/>
      <c r="R92" s="47"/>
      <c r="S92" s="120"/>
      <c r="T92" s="127"/>
      <c r="U92" s="89"/>
      <c r="V92" s="103"/>
      <c r="W92" s="115"/>
      <c r="X92" s="351" t="str">
        <f t="shared" si="26"/>
        <v>Wokingham</v>
      </c>
      <c r="Y92" s="244" t="e">
        <f t="shared" si="27"/>
        <v>#N/A</v>
      </c>
      <c r="Z92" s="244" t="e">
        <f t="shared" si="28"/>
        <v>#N/A</v>
      </c>
      <c r="AA92" s="238"/>
      <c r="AD92" s="149"/>
      <c r="AF92" s="141"/>
      <c r="AG92" s="141"/>
      <c r="AH92" s="141"/>
      <c r="AJ92" s="121"/>
    </row>
    <row r="93" spans="1:65" s="61" customFormat="1" ht="12.75" customHeight="1">
      <c r="A93" s="88"/>
      <c r="B93" s="47"/>
      <c r="C93" s="47"/>
      <c r="D93" s="47"/>
      <c r="E93" s="47"/>
      <c r="F93" s="47"/>
      <c r="G93" s="47"/>
      <c r="H93" s="47"/>
      <c r="I93" s="68"/>
      <c r="J93" s="68"/>
      <c r="K93" s="120"/>
      <c r="L93" s="120"/>
      <c r="M93" s="120"/>
      <c r="N93" s="120"/>
      <c r="O93" s="120"/>
      <c r="P93" s="120"/>
      <c r="Q93" s="47"/>
      <c r="R93" s="47"/>
      <c r="S93" s="120"/>
      <c r="T93" s="127"/>
      <c r="U93" s="89"/>
      <c r="V93" s="103"/>
      <c r="W93" s="115"/>
      <c r="X93" s="351" t="str">
        <f t="shared" si="26"/>
        <v>South East</v>
      </c>
      <c r="Y93" s="244" t="e">
        <f t="shared" si="27"/>
        <v>#N/A</v>
      </c>
      <c r="Z93" s="244" t="e">
        <f t="shared" si="28"/>
        <v>#N/A</v>
      </c>
      <c r="AA93" s="238"/>
      <c r="AD93" s="149"/>
      <c r="AH93" s="141"/>
      <c r="AJ93" s="121"/>
    </row>
    <row r="94" spans="1:65" s="61" customFormat="1" ht="12.75" customHeight="1">
      <c r="A94" s="88"/>
      <c r="B94" s="47"/>
      <c r="C94" s="47"/>
      <c r="D94" s="47"/>
      <c r="E94" s="47"/>
      <c r="F94" s="47"/>
      <c r="G94" s="47"/>
      <c r="H94" s="47"/>
      <c r="I94" s="68"/>
      <c r="J94" s="68"/>
      <c r="K94" s="120"/>
      <c r="L94" s="120"/>
      <c r="M94" s="120"/>
      <c r="N94" s="120"/>
      <c r="O94" s="120"/>
      <c r="P94" s="120"/>
      <c r="Q94" s="47"/>
      <c r="R94" s="47"/>
      <c r="S94" s="120"/>
      <c r="T94" s="127"/>
      <c r="U94" s="89"/>
      <c r="V94" s="103"/>
      <c r="W94" s="115"/>
      <c r="X94" s="351" t="str">
        <f t="shared" si="26"/>
        <v>England</v>
      </c>
      <c r="Y94" s="244" t="e">
        <f t="shared" si="27"/>
        <v>#N/A</v>
      </c>
      <c r="Z94" s="244" t="e">
        <f t="shared" si="28"/>
        <v>#N/A</v>
      </c>
      <c r="AA94" s="238"/>
      <c r="AD94" s="149"/>
      <c r="AH94" s="141"/>
      <c r="AJ94" s="121"/>
    </row>
    <row r="95" spans="1:65" s="61" customFormat="1" ht="12.75" customHeight="1">
      <c r="A95" s="88"/>
      <c r="B95" s="47"/>
      <c r="C95" s="47"/>
      <c r="D95" s="47"/>
      <c r="E95" s="47"/>
      <c r="F95" s="47"/>
      <c r="G95" s="47"/>
      <c r="H95" s="47"/>
      <c r="I95" s="68"/>
      <c r="J95" s="68"/>
      <c r="K95" s="120"/>
      <c r="L95" s="120"/>
      <c r="M95" s="120"/>
      <c r="N95" s="120"/>
      <c r="O95" s="120"/>
      <c r="P95" s="120"/>
      <c r="Q95" s="47"/>
      <c r="R95" s="47"/>
      <c r="S95" s="120"/>
      <c r="T95" s="131"/>
      <c r="U95" s="89"/>
      <c r="V95" s="103"/>
      <c r="W95" s="115"/>
      <c r="AA95" s="238"/>
      <c r="AD95" s="149"/>
      <c r="AH95" s="141"/>
      <c r="AJ95" s="121"/>
    </row>
    <row r="96" spans="1:65" s="61" customFormat="1" ht="12.75" customHeight="1">
      <c r="A96" s="88"/>
      <c r="B96" s="47"/>
      <c r="C96" s="47"/>
      <c r="D96" s="47"/>
      <c r="E96" s="47"/>
      <c r="F96" s="47"/>
      <c r="G96" s="47"/>
      <c r="H96" s="47"/>
      <c r="I96" s="68"/>
      <c r="J96" s="68"/>
      <c r="K96" s="120"/>
      <c r="L96" s="120"/>
      <c r="M96" s="120"/>
      <c r="N96" s="120"/>
      <c r="O96" s="120"/>
      <c r="P96" s="120"/>
      <c r="Q96" s="47"/>
      <c r="R96" s="47"/>
      <c r="S96" s="120"/>
      <c r="T96" s="131"/>
      <c r="U96" s="89"/>
      <c r="V96" s="103"/>
      <c r="W96" s="115"/>
      <c r="X96" s="56"/>
      <c r="Y96" s="56"/>
      <c r="Z96" s="56"/>
      <c r="AA96" s="238"/>
      <c r="AD96" s="149"/>
      <c r="AH96" s="141"/>
      <c r="AI96" s="52"/>
      <c r="AJ96" s="122"/>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row>
    <row r="97" spans="1:65" s="61" customFormat="1" ht="11.1" customHeight="1">
      <c r="A97" s="217"/>
      <c r="B97" s="47"/>
      <c r="C97" s="47"/>
      <c r="D97" s="47"/>
      <c r="E97" s="47"/>
      <c r="F97" s="47"/>
      <c r="G97" s="47"/>
      <c r="H97" s="47"/>
      <c r="I97" s="68"/>
      <c r="J97" s="68"/>
      <c r="K97" s="129"/>
      <c r="L97" s="129"/>
      <c r="M97" s="120"/>
      <c r="N97" s="120"/>
      <c r="O97" s="120"/>
      <c r="P97" s="120"/>
      <c r="Q97" s="47"/>
      <c r="R97" s="47"/>
      <c r="S97" s="120"/>
      <c r="T97" s="131"/>
      <c r="U97" s="89"/>
      <c r="V97" s="103"/>
      <c r="W97" s="115"/>
      <c r="X97" s="56"/>
      <c r="Y97" s="141"/>
      <c r="Z97" s="56"/>
      <c r="AA97" s="238"/>
      <c r="AD97" s="149"/>
      <c r="AH97" s="141"/>
      <c r="AI97" s="52"/>
      <c r="AJ97" s="122"/>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row>
    <row r="98" spans="1:65" s="56" customFormat="1" ht="36" customHeight="1">
      <c r="A98" s="166"/>
      <c r="B98" s="47"/>
      <c r="C98" s="47"/>
      <c r="D98" s="47"/>
      <c r="E98" s="47"/>
      <c r="F98" s="47"/>
      <c r="G98" s="47"/>
      <c r="H98" s="47"/>
      <c r="I98" s="171"/>
      <c r="J98" s="133"/>
      <c r="K98" s="133"/>
      <c r="L98" s="133"/>
      <c r="M98" s="120"/>
      <c r="N98" s="120"/>
      <c r="O98" s="133"/>
      <c r="P98" s="133"/>
      <c r="Q98" s="133"/>
      <c r="R98" s="101"/>
      <c r="S98" s="133"/>
      <c r="T98" s="133"/>
      <c r="U98" s="86"/>
      <c r="V98" s="102"/>
      <c r="W98" s="114"/>
      <c r="Y98" s="141"/>
      <c r="AC98" s="147"/>
      <c r="AD98" s="149"/>
      <c r="AE98" s="52"/>
      <c r="AF98" s="52"/>
      <c r="AG98" s="52"/>
      <c r="AI98" s="52"/>
      <c r="AJ98" s="122"/>
    </row>
    <row r="99" spans="1:65" s="56" customFormat="1" ht="36" customHeight="1">
      <c r="A99" s="166"/>
      <c r="B99" s="47"/>
      <c r="C99" s="47"/>
      <c r="D99" s="47"/>
      <c r="E99" s="47"/>
      <c r="F99" s="47"/>
      <c r="G99" s="47"/>
      <c r="H99" s="47"/>
      <c r="I99" s="171"/>
      <c r="J99" s="133"/>
      <c r="K99" s="133"/>
      <c r="L99" s="133"/>
      <c r="M99" s="120"/>
      <c r="N99" s="120"/>
      <c r="O99" s="133"/>
      <c r="P99" s="133"/>
      <c r="Q99" s="133"/>
      <c r="R99" s="101"/>
      <c r="S99" s="133"/>
      <c r="T99" s="133"/>
      <c r="U99" s="86"/>
      <c r="V99" s="102"/>
      <c r="W99" s="114"/>
      <c r="Y99" s="141"/>
      <c r="AD99" s="149"/>
      <c r="AE99" s="52"/>
      <c r="AF99" s="52"/>
      <c r="AG99" s="52"/>
      <c r="AI99" s="52"/>
      <c r="AJ99" s="119"/>
      <c r="AK99" s="52"/>
      <c r="AL99" s="52"/>
      <c r="AM99" s="52"/>
      <c r="AN99" s="52"/>
      <c r="AO99" s="52"/>
      <c r="AP99" s="52"/>
      <c r="AQ99" s="52"/>
    </row>
    <row r="100" spans="1:65" s="56" customFormat="1" ht="45.75" customHeight="1">
      <c r="A100" s="166"/>
      <c r="B100" s="171"/>
      <c r="C100" s="171"/>
      <c r="D100" s="171"/>
      <c r="E100" s="171"/>
      <c r="F100" s="171"/>
      <c r="G100" s="171"/>
      <c r="H100" s="171"/>
      <c r="I100" s="171"/>
      <c r="J100" s="133"/>
      <c r="K100" s="133"/>
      <c r="L100" s="133"/>
      <c r="M100" s="133"/>
      <c r="N100" s="133"/>
      <c r="O100" s="133"/>
      <c r="P100" s="133"/>
      <c r="Q100" s="133"/>
      <c r="R100" s="101"/>
      <c r="S100" s="133"/>
      <c r="T100" s="133"/>
      <c r="U100" s="86"/>
      <c r="V100" s="121"/>
      <c r="W100" s="114"/>
      <c r="X100" s="52"/>
      <c r="Y100" s="52"/>
      <c r="AD100" s="149"/>
      <c r="AE100" s="52"/>
      <c r="AF100" s="52"/>
      <c r="AG100" s="52"/>
      <c r="AJ100" s="122"/>
      <c r="AS100" s="52"/>
    </row>
    <row r="101" spans="1:65" s="56" customFormat="1" ht="7.5" customHeight="1">
      <c r="A101" s="87"/>
      <c r="B101" s="12"/>
      <c r="C101" s="12"/>
      <c r="D101" s="11"/>
      <c r="E101" s="11"/>
      <c r="F101" s="11"/>
      <c r="G101" s="11"/>
      <c r="H101" s="11"/>
      <c r="I101" s="11"/>
      <c r="J101" s="1"/>
      <c r="K101" s="13"/>
      <c r="L101" s="13"/>
      <c r="M101" s="13"/>
      <c r="N101" s="13"/>
      <c r="O101" s="13"/>
      <c r="P101" s="13"/>
      <c r="Q101" s="13"/>
      <c r="R101" s="13"/>
      <c r="S101" s="13"/>
      <c r="T101" s="14"/>
      <c r="U101" s="86"/>
      <c r="V101" s="185"/>
      <c r="W101" s="114"/>
      <c r="X101" s="52"/>
      <c r="Y101" s="52"/>
      <c r="AI101" s="52"/>
      <c r="AJ101" s="121"/>
      <c r="AK101" s="61"/>
      <c r="AS101" s="52"/>
    </row>
    <row r="102" spans="1:65" s="56" customFormat="1" ht="15" customHeight="1">
      <c r="A102" s="1565"/>
      <c r="B102" s="1751"/>
      <c r="C102" s="1751"/>
      <c r="D102" s="1751"/>
      <c r="E102" s="1751"/>
      <c r="F102" s="1751"/>
      <c r="G102" s="1751"/>
      <c r="H102" s="1751"/>
      <c r="I102" s="1751"/>
      <c r="J102" s="1751"/>
      <c r="K102" s="1751"/>
      <c r="L102" s="1751"/>
      <c r="M102" s="1751"/>
      <c r="N102" s="1751"/>
      <c r="O102" s="1751"/>
      <c r="P102" s="1751"/>
      <c r="Q102" s="1751"/>
      <c r="R102" s="1751"/>
      <c r="S102" s="1751"/>
      <c r="T102" s="1751"/>
      <c r="U102" s="1752"/>
      <c r="V102" s="185"/>
      <c r="W102" s="114"/>
      <c r="X102" s="364"/>
      <c r="Y102" s="250"/>
      <c r="Z102" s="251"/>
      <c r="AI102" s="52"/>
      <c r="AJ102" s="119"/>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row>
    <row r="103" spans="1:65" s="56" customFormat="1" ht="11.1" customHeight="1">
      <c r="A103" s="1739"/>
      <c r="B103" s="1740"/>
      <c r="C103" s="1740"/>
      <c r="D103" s="1740"/>
      <c r="E103" s="1740"/>
      <c r="F103" s="1740"/>
      <c r="G103" s="1740"/>
      <c r="H103" s="1740"/>
      <c r="I103" s="1741"/>
      <c r="J103" s="1740"/>
      <c r="K103" s="1740"/>
      <c r="L103" s="1740"/>
      <c r="M103" s="1740"/>
      <c r="N103" s="1740"/>
      <c r="O103" s="1740"/>
      <c r="P103" s="1742"/>
      <c r="Q103" s="1740"/>
      <c r="R103" s="1740"/>
      <c r="S103" s="1741"/>
      <c r="T103" s="1740"/>
      <c r="U103" s="1743"/>
      <c r="V103" s="185"/>
      <c r="W103" s="114"/>
      <c r="X103" s="251"/>
      <c r="Y103" s="250"/>
      <c r="Z103" s="251"/>
      <c r="AI103" s="52"/>
      <c r="AJ103" s="119"/>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row>
    <row r="104" spans="1:65" ht="10.5" customHeight="1">
      <c r="A104" s="81"/>
      <c r="B104" s="82"/>
      <c r="C104" s="82"/>
      <c r="D104" s="82"/>
      <c r="E104" s="82"/>
      <c r="F104" s="82"/>
      <c r="G104" s="82"/>
      <c r="H104" s="82"/>
      <c r="I104" s="82"/>
      <c r="J104" s="83"/>
      <c r="K104" s="82"/>
      <c r="L104" s="82"/>
      <c r="M104" s="82"/>
      <c r="N104" s="82"/>
      <c r="O104" s="82"/>
      <c r="P104" s="82"/>
      <c r="Q104" s="82"/>
      <c r="R104" s="82"/>
      <c r="S104" s="82"/>
      <c r="T104" s="82"/>
      <c r="U104" s="84"/>
      <c r="V104" s="102"/>
      <c r="W104" s="114"/>
      <c r="X104" s="251"/>
      <c r="Y104" s="521" t="s">
        <v>461</v>
      </c>
      <c r="Z104" s="522"/>
      <c r="AA104" s="522"/>
      <c r="AB104" s="522"/>
      <c r="AC104" s="523"/>
      <c r="AD104" s="1888" t="s">
        <v>462</v>
      </c>
      <c r="AE104" s="1888"/>
      <c r="AF104" s="1888"/>
      <c r="AG104" s="1888"/>
      <c r="AH104" s="1889"/>
      <c r="AI104" s="56"/>
      <c r="AJ104" s="119"/>
    </row>
    <row r="105" spans="1:65" ht="18.75" customHeight="1">
      <c r="A105" s="87"/>
      <c r="B105" s="1887" t="s">
        <v>1229</v>
      </c>
      <c r="C105" s="1887"/>
      <c r="D105" s="1887"/>
      <c r="E105" s="1887"/>
      <c r="F105" s="1887"/>
      <c r="G105" s="1887"/>
      <c r="H105" s="1887"/>
      <c r="I105" s="1189"/>
      <c r="J105" s="50"/>
      <c r="K105" s="50"/>
      <c r="L105" s="50"/>
      <c r="M105" s="50"/>
      <c r="N105" s="50"/>
      <c r="O105" s="50"/>
      <c r="P105" s="50"/>
      <c r="Q105" s="50"/>
      <c r="R105" s="50"/>
      <c r="S105" s="50"/>
      <c r="T105" s="50"/>
      <c r="U105" s="86"/>
      <c r="V105" s="102"/>
      <c r="W105" s="114"/>
      <c r="X105" s="251"/>
      <c r="Y105" s="521" t="str">
        <f>IF(ReportData!$C$3="Annual","",ReportData!$D$28)</f>
        <v/>
      </c>
      <c r="Z105" s="522" t="str">
        <f>IF(ReportData!$C$3="Annual","",ReportData!$E$28)</f>
        <v/>
      </c>
      <c r="AA105" s="522" t="str">
        <f>IF(ReportData!$C$3="Annual","",ReportData!$F$28)</f>
        <v/>
      </c>
      <c r="AB105" s="522" t="str">
        <f>IF(ReportData!$C$3="Annual","",ReportData!$G$28)</f>
        <v/>
      </c>
      <c r="AC105" s="523" t="str">
        <f>IF(ReportData!$C$3="Annual","",ReportData!$H$28)</f>
        <v/>
      </c>
      <c r="AD105" s="522" t="str">
        <f>IF(ReportData!$C$3="Annual","",ReportData!$D$28)</f>
        <v/>
      </c>
      <c r="AE105" s="522" t="str">
        <f>IF(ReportData!$C$3="Annual","",ReportData!$E$28)</f>
        <v/>
      </c>
      <c r="AF105" s="522" t="str">
        <f>IF(ReportData!$C$3="Annual","",ReportData!$F$28)</f>
        <v/>
      </c>
      <c r="AG105" s="522" t="str">
        <f>IF(ReportData!$C$3="Annual","",ReportData!$G$28)</f>
        <v/>
      </c>
      <c r="AH105" s="524" t="str">
        <f>IF(ReportData!$C$3="Annual","",ReportData!$H$28)</f>
        <v/>
      </c>
      <c r="AI105" s="56"/>
      <c r="AJ105" s="119"/>
    </row>
    <row r="106" spans="1:65" ht="18.75" customHeight="1">
      <c r="A106" s="87"/>
      <c r="B106" s="1887"/>
      <c r="C106" s="1887"/>
      <c r="D106" s="1887"/>
      <c r="E106" s="1887"/>
      <c r="F106" s="1887"/>
      <c r="G106" s="1887"/>
      <c r="H106" s="1887"/>
      <c r="I106" s="1189"/>
      <c r="J106" s="50"/>
      <c r="K106" s="50"/>
      <c r="L106" s="50"/>
      <c r="M106" s="50"/>
      <c r="N106" s="50"/>
      <c r="O106" s="50"/>
      <c r="P106" s="50"/>
      <c r="Q106" s="50"/>
      <c r="R106" s="5"/>
      <c r="S106" s="50"/>
      <c r="T106" s="50"/>
      <c r="U106" s="86"/>
      <c r="V106" s="102"/>
      <c r="W106" s="114"/>
      <c r="X106" s="265"/>
      <c r="Y106" s="574" t="str">
        <f>ReportData!$D$27</f>
        <v>2019/20</v>
      </c>
      <c r="Z106" s="574" t="str">
        <f>ReportData!$E$27</f>
        <v>2020/21</v>
      </c>
      <c r="AA106" s="574" t="str">
        <f>ReportData!$F$27</f>
        <v>2021/22</v>
      </c>
      <c r="AB106" s="574" t="str">
        <f>ReportData!$G$27</f>
        <v>2022/23</v>
      </c>
      <c r="AC106" s="575" t="str">
        <f>ReportData!$H$27</f>
        <v>2023/24</v>
      </c>
      <c r="AD106" s="576" t="str">
        <f>ReportData!$D$27</f>
        <v>2019/20</v>
      </c>
      <c r="AE106" s="574" t="str">
        <f>ReportData!$E$27</f>
        <v>2020/21</v>
      </c>
      <c r="AF106" s="574" t="str">
        <f>ReportData!$F$27</f>
        <v>2021/22</v>
      </c>
      <c r="AG106" s="574" t="str">
        <f>ReportData!$G$27</f>
        <v>2022/23</v>
      </c>
      <c r="AH106" s="574" t="str">
        <f>ReportData!$H$27</f>
        <v>2023/24</v>
      </c>
      <c r="AI106" s="141"/>
      <c r="AJ106" s="12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row>
    <row r="107" spans="1:65" ht="18.75" customHeight="1">
      <c r="A107" s="208"/>
      <c r="B107" s="1749" t="s">
        <v>177</v>
      </c>
      <c r="C107" s="230"/>
      <c r="D107" s="1088" t="str">
        <f>ReportData!$D$27</f>
        <v>2019/20</v>
      </c>
      <c r="E107" s="1088" t="str">
        <f>ReportData!$E$27</f>
        <v>2020/21</v>
      </c>
      <c r="F107" s="1088" t="str">
        <f>ReportData!$F$27</f>
        <v>2021/22</v>
      </c>
      <c r="G107" s="1088" t="str">
        <f>ReportData!$G$27</f>
        <v>2022/23</v>
      </c>
      <c r="H107" s="1089" t="str">
        <f>ReportData!$H$27</f>
        <v>2023/24</v>
      </c>
      <c r="I107" s="230"/>
      <c r="J107" s="50"/>
      <c r="K107" s="50"/>
      <c r="L107" s="50"/>
      <c r="M107" s="50"/>
      <c r="N107" s="50"/>
      <c r="O107" s="50"/>
      <c r="P107" s="50"/>
      <c r="Q107" s="50"/>
      <c r="R107" s="5"/>
      <c r="S107" s="50"/>
      <c r="T107" s="50"/>
      <c r="U107" s="86"/>
      <c r="V107" s="102"/>
      <c r="W107" s="114"/>
      <c r="X107" s="265" t="str">
        <f t="shared" ref="X107:X127" si="29">B109</f>
        <v>Bracknell Forest</v>
      </c>
      <c r="Y107" s="248">
        <f>IF(Year1_Bracknell_Forest Year1_Assessments_within45days="","",Year1_Bracknell_Forest Year1_Assessments_within45days)</f>
        <v>1435</v>
      </c>
      <c r="Z107" s="248">
        <f>IF(Year2_Bracknell_Forest Year2_Assessments_within45days="","",Year2_Bracknell_Forest Year2_Assessments_within45days)</f>
        <v>1507</v>
      </c>
      <c r="AA107" s="248">
        <f>IF(Year3_Bracknell_Forest Year3_Assessments_within45days="","",Year3_Bracknell_Forest Year3_Assessments_within45days)</f>
        <v>1195</v>
      </c>
      <c r="AB107" s="248">
        <f>IF(Year4_Bracknell_Forest Year4_Assessments_within45days="","",Year4_Bracknell_Forest Year4_Assessments_within45days)</f>
        <v>1211</v>
      </c>
      <c r="AC107" s="352">
        <f>IF(Year5_Bracknell_Forest Year5_Assessments_within45days="","",Year5_Bracknell_Forest Year5_Assessments_within45days)</f>
        <v>1170</v>
      </c>
      <c r="AD107" s="355">
        <f>IF(Year1_Bracknell_Forest Year1_Continuous_assessments="","",Year1_Bracknell_Forest Year1_Continuous_assessments)</f>
        <v>1531</v>
      </c>
      <c r="AE107" s="307">
        <f>IF(Year2_Bracknell_Forest Year2_Continuous_assessments="","",Year2_Bracknell_Forest Year2_Continuous_assessments)</f>
        <v>1613</v>
      </c>
      <c r="AF107" s="307">
        <f>IF(Year3_Bracknell_Forest Year3_Continuous_assessments="","",Year3_Bracknell_Forest Year3_Continuous_assessments)</f>
        <v>1464</v>
      </c>
      <c r="AG107" s="307">
        <f>IF(Year4_Bracknell_Forest Year4_Continuous_assessments="","",Year4_Bracknell_Forest Year4_Continuous_assessments)</f>
        <v>1410</v>
      </c>
      <c r="AH107" s="307">
        <f>IF(Year5_Bracknell_Forest Year5_Continuous_assessments="","",Year5_Bracknell_Forest Year5_Continuous_assessments)</f>
        <v>1423</v>
      </c>
      <c r="AI107" s="141"/>
      <c r="AJ107" s="12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row>
    <row r="108" spans="1:65" s="61" customFormat="1" ht="16.5" customHeight="1">
      <c r="A108" s="88"/>
      <c r="B108" s="1750"/>
      <c r="C108" s="59"/>
      <c r="D108" s="897" t="e">
        <f>ReportData!$D$28</f>
        <v>#N/A</v>
      </c>
      <c r="E108" s="897" t="e">
        <f>ReportData!$E$28</f>
        <v>#N/A</v>
      </c>
      <c r="F108" s="897" t="e">
        <f>ReportData!$F$28</f>
        <v>#N/A</v>
      </c>
      <c r="G108" s="897" t="e">
        <f>ReportData!$G$28</f>
        <v>#N/A</v>
      </c>
      <c r="H108" s="920" t="e">
        <f>ReportData!$H$28</f>
        <v>#N/A</v>
      </c>
      <c r="I108" s="68"/>
      <c r="J108" s="68"/>
      <c r="K108" s="43"/>
      <c r="L108" s="43"/>
      <c r="M108" s="43"/>
      <c r="N108" s="43"/>
      <c r="O108" s="43"/>
      <c r="P108" s="43"/>
      <c r="Q108" s="225"/>
      <c r="R108" s="225"/>
      <c r="S108" s="120"/>
      <c r="T108" s="226"/>
      <c r="U108" s="89"/>
      <c r="V108" s="103"/>
      <c r="W108" s="115"/>
      <c r="X108" s="265" t="str">
        <f t="shared" si="29"/>
        <v>Brighton &amp; Hove</v>
      </c>
      <c r="Y108" s="248">
        <f>IF(Year1_Brighton_and_Hove Year1_Assessments_within45days="","",Year1_Brighton_and_Hove Year1_Assessments_within45days)</f>
        <v>2479</v>
      </c>
      <c r="Z108" s="248">
        <f>IF(Year2_Brighton_and_Hove Year2_Assessments_within45days="","",Year2_Brighton_and_Hove Year2_Assessments_within45days)</f>
        <v>1962</v>
      </c>
      <c r="AA108" s="248">
        <f>IF(Year3_Brighton_and_Hove Year3_Assessments_within45days="","",Year3_Brighton_and_Hove Year3_Assessments_within45days)</f>
        <v>2311</v>
      </c>
      <c r="AB108" s="248">
        <f>IF(Year4_Brighton_and_Hove Year4_Assessments_within45days="","",Year4_Brighton_and_Hove Year4_Assessments_within45days)</f>
        <v>2626</v>
      </c>
      <c r="AC108" s="352">
        <f>IF(Year5_Brighton_and_Hove Year5_Assessments_within45days="","",Year5_Brighton_and_Hove Year5_Assessments_within45days)</f>
        <v>2467</v>
      </c>
      <c r="AD108" s="355">
        <f>IF(Year1_Brighton_and_Hove Year1_Continuous_assessments="","",Year1_Brighton_and_Hove Year1_Continuous_assessments)</f>
        <v>2754</v>
      </c>
      <c r="AE108" s="307">
        <f>IF(Year2_Brighton_and_Hove Year2_Continuous_assessments="","",Year2_Brighton_and_Hove Year2_Continuous_assessments)</f>
        <v>2146</v>
      </c>
      <c r="AF108" s="307">
        <f>IF(Year3_Brighton_and_Hove Year3_Continuous_assessments="","",Year3_Brighton_and_Hove Year3_Continuous_assessments)</f>
        <v>2646</v>
      </c>
      <c r="AG108" s="307">
        <f>IF(Year4_Brighton_and_Hove Year4_Continuous_assessments="","",Year4_Brighton_and_Hove Year4_Continuous_assessments)</f>
        <v>3144</v>
      </c>
      <c r="AH108" s="307">
        <f>IF(Year5_Brighton_and_Hove Year5_Continuous_assessments="","",Year5_Brighton_and_Hove Year5_Continuous_assessments)</f>
        <v>2869</v>
      </c>
      <c r="AI108" s="141"/>
      <c r="AJ108" s="121"/>
    </row>
    <row r="109" spans="1:65" s="61" customFormat="1" ht="13.5" customHeight="1">
      <c r="A109" s="1103">
        <f>VLOOKUP(B109,ReportData!$AQ$4:$AR$25,2,FALSE)</f>
        <v>0</v>
      </c>
      <c r="B109" s="885" t="str">
        <f t="shared" ref="B109:B128" si="30">B11</f>
        <v>Bracknell Forest</v>
      </c>
      <c r="C109" s="896"/>
      <c r="D109" s="922">
        <f t="shared" ref="D109:D129" si="31">IF(AD107&gt;0,Y107/AD107,NA())</f>
        <v>0.93729588504245587</v>
      </c>
      <c r="E109" s="922">
        <f t="shared" ref="E109:E129" si="32">IF(AE107&gt;0,Z107/AE107,NA())</f>
        <v>0.93428394296342221</v>
      </c>
      <c r="F109" s="922">
        <f>IF(AF107&gt;0,AA107/AF107,NA())</f>
        <v>0.81625683060109289</v>
      </c>
      <c r="G109" s="922">
        <f>IF(AG107&gt;0,AB107/AG107,NA())</f>
        <v>0.85886524822695032</v>
      </c>
      <c r="H109" s="923">
        <f>IF(AH107&gt;0,AC107/AH107,NA())</f>
        <v>0.82220660576247362</v>
      </c>
      <c r="I109" s="68"/>
      <c r="J109" s="68"/>
      <c r="K109" s="127"/>
      <c r="L109" s="127"/>
      <c r="M109" s="127"/>
      <c r="N109" s="127"/>
      <c r="O109" s="127"/>
      <c r="P109" s="127"/>
      <c r="Q109" s="127"/>
      <c r="R109" s="128"/>
      <c r="S109" s="120"/>
      <c r="T109" s="127"/>
      <c r="U109" s="89"/>
      <c r="V109" s="103"/>
      <c r="W109" s="115"/>
      <c r="X109" s="265" t="str">
        <f t="shared" si="29"/>
        <v>Buckinghamshire</v>
      </c>
      <c r="Y109" s="248">
        <f>IF(Year1_Buckinghamshire Year1_Assessments_within45days="","",Year1_Buckinghamshire Year1_Assessments_within45days)</f>
        <v>7144</v>
      </c>
      <c r="Z109" s="248">
        <f>IF(Year2_Buckinghamshire Year2_Assessments_within45days="","",Year2_Buckinghamshire Year2_Assessments_within45days)</f>
        <v>6954</v>
      </c>
      <c r="AA109" s="248">
        <f>IF(Year3_Buckinghamshire Year3_Assessments_within45days="","",Year3_Buckinghamshire Year3_Assessments_within45days)</f>
        <v>8294</v>
      </c>
      <c r="AB109" s="248">
        <f>IF(Year4_Buckinghamshire Year4_Assessments_within45days="","",Year4_Buckinghamshire Year4_Assessments_within45days)</f>
        <v>7793</v>
      </c>
      <c r="AC109" s="352">
        <f>IF(Year5_Buckinghamshire Year5_Assessments_within45days="","",Year5_Buckinghamshire Year5_Assessments_within45days)</f>
        <v>6623</v>
      </c>
      <c r="AD109" s="355">
        <f>IF(Year1_Buckinghamshire Year1_Continuous_assessments="","",Year1_Buckinghamshire Year1_Continuous_assessments)</f>
        <v>8122</v>
      </c>
      <c r="AE109" s="307">
        <f>IF(Year2_Buckinghamshire Year2_Continuous_assessments="","",Year2_Buckinghamshire Year2_Continuous_assessments)</f>
        <v>8277</v>
      </c>
      <c r="AF109" s="307">
        <f>IF(Year3_Buckinghamshire Year3_Continuous_assessments="","",Year3_Buckinghamshire Year3_Continuous_assessments)</f>
        <v>10201</v>
      </c>
      <c r="AG109" s="307">
        <f>IF(Year4_Buckinghamshire Year4_Continuous_assessments="","",Year4_Buckinghamshire Year4_Continuous_assessments)</f>
        <v>8877</v>
      </c>
      <c r="AH109" s="307">
        <f>IF(Year5_Buckinghamshire Year5_Continuous_assessments="","",Year5_Buckinghamshire Year5_Continuous_assessments)</f>
        <v>8590</v>
      </c>
      <c r="AI109" s="141"/>
      <c r="AJ109" s="121"/>
    </row>
    <row r="110" spans="1:65" s="61" customFormat="1" ht="13.5" customHeight="1">
      <c r="A110" s="1103">
        <f>VLOOKUP(B110,ReportData!$AQ$4:$AR$25,2,FALSE)</f>
        <v>0</v>
      </c>
      <c r="B110" s="885" t="str">
        <f t="shared" si="30"/>
        <v>Brighton &amp; Hove</v>
      </c>
      <c r="C110" s="896"/>
      <c r="D110" s="922">
        <f t="shared" si="31"/>
        <v>0.90014524328249823</v>
      </c>
      <c r="E110" s="922">
        <f t="shared" si="32"/>
        <v>0.91425908667287981</v>
      </c>
      <c r="F110" s="922">
        <f t="shared" ref="F110:F121" si="33">IF(AF108&gt;0,AA108/AF108,NA())</f>
        <v>0.87339380196523053</v>
      </c>
      <c r="G110" s="922">
        <f t="shared" ref="G110:G121" si="34">IF(AG108&gt;0,AB108/AG108,NA())</f>
        <v>0.83524173027989823</v>
      </c>
      <c r="H110" s="923">
        <f t="shared" ref="H110:H121" si="35">IF(AH108&gt;0,AC108/AH108,NA())</f>
        <v>0.85988149180899265</v>
      </c>
      <c r="I110" s="68"/>
      <c r="J110" s="68"/>
      <c r="K110" s="127"/>
      <c r="L110" s="127"/>
      <c r="M110" s="127"/>
      <c r="N110" s="127"/>
      <c r="O110" s="127"/>
      <c r="P110" s="127"/>
      <c r="Q110" s="127"/>
      <c r="R110" s="128"/>
      <c r="S110" s="120"/>
      <c r="T110" s="127"/>
      <c r="U110" s="89"/>
      <c r="V110" s="103"/>
      <c r="W110" s="115"/>
      <c r="X110" s="265" t="str">
        <f t="shared" si="29"/>
        <v>East Sussex</v>
      </c>
      <c r="Y110" s="248">
        <f>IF(Year1_East_Sussex Year1_Assessments_within45days="","",Year1_East_Sussex Year1_Assessments_within45days)</f>
        <v>2117</v>
      </c>
      <c r="Z110" s="248">
        <f>IF(Year2_East_Sussex Year2_Assessments_within45days="","",Year2_East_Sussex Year2_Assessments_within45days)</f>
        <v>2086</v>
      </c>
      <c r="AA110" s="248">
        <f>IF(Year3_East_Sussex Year3_Assessments_within45days="","",Year3_East_Sussex Year3_Assessments_within45days)</f>
        <v>1963</v>
      </c>
      <c r="AB110" s="248">
        <f>IF(Year4_East_Sussex Year4_Assessments_within45days="","",Year4_East_Sussex Year4_Assessments_within45days)</f>
        <v>2239</v>
      </c>
      <c r="AC110" s="352">
        <f>IF(Year5_East_Sussex Year5_Assessments_within45days="","",Year5_East_Sussex Year5_Assessments_within45days)</f>
        <v>2797</v>
      </c>
      <c r="AD110" s="355">
        <f>IF(Year1_East_Sussex Year1_Continuous_assessments="","",Year1_East_Sussex Year1_Continuous_assessments)</f>
        <v>3470</v>
      </c>
      <c r="AE110" s="307">
        <f>IF(Year2_East_Sussex Year2_Continuous_assessments="","",Year2_East_Sussex Year2_Continuous_assessments)</f>
        <v>3184</v>
      </c>
      <c r="AF110" s="307">
        <f>IF(Year3_East_Sussex Year3_Continuous_assessments="","",Year3_East_Sussex Year3_Continuous_assessments)</f>
        <v>3236</v>
      </c>
      <c r="AG110" s="307">
        <f>IF(Year4_East_Sussex Year4_Continuous_assessments="","",Year4_East_Sussex Year4_Continuous_assessments)</f>
        <v>3712</v>
      </c>
      <c r="AH110" s="307">
        <f>IF(Year5_East_Sussex Year5_Continuous_assessments="","",Year5_East_Sussex Year5_Continuous_assessments)</f>
        <v>4223</v>
      </c>
      <c r="AI110" s="141"/>
      <c r="AJ110" s="121"/>
    </row>
    <row r="111" spans="1:65" s="61" customFormat="1" ht="13.5" customHeight="1">
      <c r="A111" s="1103">
        <f>VLOOKUP(B111,ReportData!$AQ$4:$AR$25,2,FALSE)</f>
        <v>0</v>
      </c>
      <c r="B111" s="885" t="str">
        <f t="shared" si="30"/>
        <v>Buckinghamshire</v>
      </c>
      <c r="C111" s="896"/>
      <c r="D111" s="922">
        <f t="shared" si="31"/>
        <v>0.87958630879093824</v>
      </c>
      <c r="E111" s="922">
        <f t="shared" si="32"/>
        <v>0.84015947807176516</v>
      </c>
      <c r="F111" s="922">
        <f t="shared" si="33"/>
        <v>0.81305754337810021</v>
      </c>
      <c r="G111" s="922">
        <f t="shared" si="34"/>
        <v>0.87788667342570692</v>
      </c>
      <c r="H111" s="923">
        <f t="shared" si="35"/>
        <v>0.77101280558789287</v>
      </c>
      <c r="I111" s="68"/>
      <c r="J111" s="68"/>
      <c r="K111" s="127"/>
      <c r="L111" s="127"/>
      <c r="M111" s="127"/>
      <c r="N111" s="127"/>
      <c r="O111" s="127"/>
      <c r="P111" s="127"/>
      <c r="Q111" s="127"/>
      <c r="R111" s="128"/>
      <c r="S111" s="120"/>
      <c r="T111" s="127"/>
      <c r="U111" s="89"/>
      <c r="V111" s="103"/>
      <c r="W111" s="115"/>
      <c r="X111" s="265" t="str">
        <f t="shared" si="29"/>
        <v>Hampshire</v>
      </c>
      <c r="Y111" s="248">
        <f>IF(Year1_Hampshire Year1_Assessments_within45days="","",Year1_Hampshire Year1_Assessments_within45days)</f>
        <v>18255</v>
      </c>
      <c r="Z111" s="248">
        <f>IF(Year2_Hampshire Year2_Assessments_within45days="","",Year2_Hampshire Year2_Assessments_within45days)</f>
        <v>21108</v>
      </c>
      <c r="AA111" s="248">
        <f>IF(Year3_Hampshire Year3_Assessments_within45days="","",Year3_Hampshire Year3_Assessments_within45days)</f>
        <v>26561</v>
      </c>
      <c r="AB111" s="248">
        <f>IF(Year4_Hampshire Year4_Assessments_within45days="","",Year4_Hampshire Year4_Assessments_within45days)</f>
        <v>27078</v>
      </c>
      <c r="AC111" s="352" t="str">
        <f>IF(Year5_Hampshire Year5_Assessments_within45days="","",Year5_Hampshire Year5_Assessments_within45days)</f>
        <v/>
      </c>
      <c r="AD111" s="355">
        <f>IF(Year1_Hampshire Year1_Continuous_assessments="","",Year1_Hampshire Year1_Continuous_assessments)</f>
        <v>19712</v>
      </c>
      <c r="AE111" s="307">
        <f>IF(Year2_Hampshire Year2_Continuous_assessments="","",Year2_Hampshire Year2_Continuous_assessments)</f>
        <v>22008</v>
      </c>
      <c r="AF111" s="307">
        <f>IF(Year3_Hampshire Year3_Continuous_assessments="","",Year3_Hampshire Year3_Continuous_assessments)</f>
        <v>27661</v>
      </c>
      <c r="AG111" s="307">
        <f>IF(Year4_Hampshire Year4_Continuous_assessments="","",Year4_Hampshire Year4_Continuous_assessments)</f>
        <v>28484</v>
      </c>
      <c r="AH111" s="307" t="str">
        <f>IF(Year5_Hampshire Year5_Continuous_assessments="","",Year5_Hampshire Year5_Continuous_assessments)</f>
        <v/>
      </c>
      <c r="AI111" s="141"/>
      <c r="AJ111" s="121"/>
    </row>
    <row r="112" spans="1:65" s="61" customFormat="1" ht="13.5" customHeight="1">
      <c r="A112" s="1103">
        <f>VLOOKUP(B112,ReportData!$AQ$4:$AR$25,2,FALSE)</f>
        <v>0</v>
      </c>
      <c r="B112" s="885" t="str">
        <f t="shared" si="30"/>
        <v>East Sussex</v>
      </c>
      <c r="C112" s="896"/>
      <c r="D112" s="922">
        <f t="shared" si="31"/>
        <v>0.61008645533141215</v>
      </c>
      <c r="E112" s="922">
        <f t="shared" si="32"/>
        <v>0.65515075376884424</v>
      </c>
      <c r="F112" s="922">
        <f t="shared" si="33"/>
        <v>0.60661310259579726</v>
      </c>
      <c r="G112" s="922">
        <f t="shared" si="34"/>
        <v>0.60317887931034486</v>
      </c>
      <c r="H112" s="923">
        <f t="shared" si="35"/>
        <v>0.6623253611176888</v>
      </c>
      <c r="I112" s="68"/>
      <c r="J112" s="68"/>
      <c r="K112" s="127"/>
      <c r="L112" s="127"/>
      <c r="M112" s="127"/>
      <c r="N112" s="127"/>
      <c r="O112" s="127"/>
      <c r="P112" s="127"/>
      <c r="Q112" s="127"/>
      <c r="R112" s="128"/>
      <c r="S112" s="120"/>
      <c r="T112" s="127"/>
      <c r="U112" s="89"/>
      <c r="V112" s="103"/>
      <c r="W112" s="115"/>
      <c r="X112" s="265" t="str">
        <f t="shared" si="29"/>
        <v>Isle of Wight</v>
      </c>
      <c r="Y112" s="248">
        <f>IF(Year1_Isle_of_Wight Year1_Assessments_within45days="","",Year1_Isle_of_Wight Year1_Assessments_within45days)</f>
        <v>2975</v>
      </c>
      <c r="Z112" s="248">
        <f>IF(Year2_Isle_of_Wight Year2_Assessments_within45days="","",Year2_Isle_of_Wight Year2_Assessments_within45days)</f>
        <v>3348</v>
      </c>
      <c r="AA112" s="248">
        <f>IF(Year3_Isle_of_Wight Year3_Assessments_within45days="","",Year3_Isle_of_Wight Year3_Assessments_within45days)</f>
        <v>4047</v>
      </c>
      <c r="AB112" s="248">
        <f>IF(Year4_Isle_of_Wight Year4_Assessments_within45days="","",Year4_Isle_of_Wight Year4_Assessments_within45days)</f>
        <v>3731</v>
      </c>
      <c r="AC112" s="352">
        <f>IF(Year5_Isle_of_Wight Year5_Assessments_within45days="","",Year5_Isle_of_Wight Year5_Assessments_within45days)</f>
        <v>3829</v>
      </c>
      <c r="AD112" s="355">
        <f>IF(Year1_Isle_of_Wight Year1_Continuous_assessments="","",Year1_Isle_of_Wight Year1_Continuous_assessments)</f>
        <v>3149</v>
      </c>
      <c r="AE112" s="307">
        <f>IF(Year2_Isle_of_Wight Year2_Continuous_assessments="","",Year2_Isle_of_Wight Year2_Continuous_assessments)</f>
        <v>3463</v>
      </c>
      <c r="AF112" s="307">
        <f>IF(Year3_Isle_of_Wight Year3_Continuous_assessments="","",Year3_Isle_of_Wight Year3_Continuous_assessments)</f>
        <v>4179</v>
      </c>
      <c r="AG112" s="307">
        <f>IF(Year4_Isle_of_Wight Year4_Continuous_assessments="","",Year4_Isle_of_Wight Year4_Continuous_assessments)</f>
        <v>3957</v>
      </c>
      <c r="AH112" s="307">
        <f>IF(Year5_Isle_of_Wight Year5_Continuous_assessments="","",Year5_Isle_of_Wight Year5_Continuous_assessments)</f>
        <v>3969</v>
      </c>
      <c r="AI112" s="141"/>
      <c r="AJ112" s="121"/>
      <c r="AS112" s="61" t="s">
        <v>95</v>
      </c>
    </row>
    <row r="113" spans="1:36" s="61" customFormat="1" ht="13.5" customHeight="1">
      <c r="A113" s="1103">
        <f>VLOOKUP(B113,ReportData!$AQ$4:$AR$25,2,FALSE)</f>
        <v>0</v>
      </c>
      <c r="B113" s="885" t="str">
        <f t="shared" si="30"/>
        <v>Hampshire</v>
      </c>
      <c r="C113" s="896"/>
      <c r="D113" s="922">
        <f t="shared" si="31"/>
        <v>0.92608563311688308</v>
      </c>
      <c r="E113" s="922">
        <f t="shared" si="32"/>
        <v>0.95910577971646671</v>
      </c>
      <c r="F113" s="922">
        <f t="shared" si="33"/>
        <v>0.96023281877010958</v>
      </c>
      <c r="G113" s="922">
        <f t="shared" si="34"/>
        <v>0.95063895520292097</v>
      </c>
      <c r="H113" s="923" t="e">
        <f t="shared" si="35"/>
        <v>#VALUE!</v>
      </c>
      <c r="I113" s="68"/>
      <c r="J113" s="68"/>
      <c r="K113" s="127"/>
      <c r="L113" s="127"/>
      <c r="M113" s="127"/>
      <c r="N113" s="127"/>
      <c r="O113" s="127"/>
      <c r="P113" s="127"/>
      <c r="Q113" s="127"/>
      <c r="R113" s="128"/>
      <c r="S113" s="120"/>
      <c r="T113" s="127"/>
      <c r="U113" s="89"/>
      <c r="V113" s="103"/>
      <c r="W113" s="115"/>
      <c r="X113" s="265" t="str">
        <f t="shared" si="29"/>
        <v>Kent</v>
      </c>
      <c r="Y113" s="248">
        <f>IF(Year1_Kent Year1_Assessments_within45days="","",Year1_Kent Year1_Assessments_within45days)</f>
        <v>18208</v>
      </c>
      <c r="Z113" s="248">
        <f>IF(Year2_Kent Year2_Assessments_within45days="","",Year2_Kent Year2_Assessments_within45days)</f>
        <v>16401</v>
      </c>
      <c r="AA113" s="248">
        <f>IF(Year3_Kent Year3_Assessments_within45days="","",Year3_Kent Year3_Assessments_within45days)</f>
        <v>14850</v>
      </c>
      <c r="AB113" s="248">
        <f>IF(Year4_Kent Year4_Assessments_within45days="","",Year4_Kent Year4_Assessments_within45days)</f>
        <v>15948</v>
      </c>
      <c r="AC113" s="352">
        <f>IF(Year5_Kent Year5_Assessments_within45days="","",Year5_Kent Year5_Assessments_within45days)</f>
        <v>18394</v>
      </c>
      <c r="AD113" s="355">
        <f>IF(Year1_Kent Year1_Continuous_assessments="","",Year1_Kent Year1_Continuous_assessments)</f>
        <v>20686</v>
      </c>
      <c r="AE113" s="307">
        <f>IF(Year2_Kent Year2_Continuous_assessments="","",Year2_Kent Year2_Continuous_assessments)</f>
        <v>18350</v>
      </c>
      <c r="AF113" s="307">
        <f>IF(Year3_Kent Year3_Continuous_assessments="","",Year3_Kent Year3_Continuous_assessments)</f>
        <v>18796</v>
      </c>
      <c r="AG113" s="307">
        <f>IF(Year4_Kent Year4_Continuous_assessments="","",Year4_Kent Year4_Continuous_assessments)</f>
        <v>20733</v>
      </c>
      <c r="AH113" s="307">
        <f>IF(Year5_Kent Year5_Continuous_assessments="","",Year5_Kent Year5_Continuous_assessments)</f>
        <v>21680</v>
      </c>
      <c r="AI113" s="141"/>
      <c r="AJ113" s="121"/>
    </row>
    <row r="114" spans="1:36" s="61" customFormat="1" ht="13.5" customHeight="1">
      <c r="A114" s="1103">
        <f>VLOOKUP(B114,ReportData!$AQ$4:$AR$25,2,FALSE)</f>
        <v>0</v>
      </c>
      <c r="B114" s="885" t="str">
        <f t="shared" si="30"/>
        <v>Isle of Wight</v>
      </c>
      <c r="C114" s="896"/>
      <c r="D114" s="922">
        <f t="shared" si="31"/>
        <v>0.94474436328993328</v>
      </c>
      <c r="E114" s="922">
        <f t="shared" si="32"/>
        <v>0.96679179901819234</v>
      </c>
      <c r="F114" s="922">
        <f t="shared" si="33"/>
        <v>0.96841349605168703</v>
      </c>
      <c r="G114" s="922">
        <f t="shared" si="34"/>
        <v>0.94288602476623706</v>
      </c>
      <c r="H114" s="923">
        <f t="shared" si="35"/>
        <v>0.96472663139329806</v>
      </c>
      <c r="I114" s="68"/>
      <c r="J114" s="68"/>
      <c r="K114" s="127"/>
      <c r="L114" s="127"/>
      <c r="M114" s="127"/>
      <c r="N114" s="127"/>
      <c r="O114" s="127"/>
      <c r="P114" s="127"/>
      <c r="Q114" s="127"/>
      <c r="R114" s="128"/>
      <c r="S114" s="120"/>
      <c r="T114" s="127"/>
      <c r="U114" s="89"/>
      <c r="V114" s="103"/>
      <c r="W114" s="115"/>
      <c r="X114" s="265" t="str">
        <f t="shared" si="29"/>
        <v>Medway</v>
      </c>
      <c r="Y114" s="248">
        <f>IF(Year1_Medway Year1_Assessments_within45days="","",Year1_Medway Year1_Assessments_within45days)</f>
        <v>4481</v>
      </c>
      <c r="Z114" s="248">
        <f>IF(Year2_Medway Year2_Assessments_within45days="","",Year2_Medway Year2_Assessments_within45days)</f>
        <v>3159</v>
      </c>
      <c r="AA114" s="248">
        <f>IF(Year3_Medway Year3_Assessments_within45days="","",Year3_Medway Year3_Assessments_within45days)</f>
        <v>3170</v>
      </c>
      <c r="AB114" s="248">
        <f>IF(Year4_Medway Year4_Assessments_within45days="","",Year4_Medway Year4_Assessments_within45days)</f>
        <v>2836</v>
      </c>
      <c r="AC114" s="352">
        <f>IF(Year5_Medway Year5_Assessments_within45days="","",Year5_Medway Year5_Assessments_within45days)</f>
        <v>4203</v>
      </c>
      <c r="AD114" s="355">
        <f>IF(Year1_Medway Year1_Continuous_assessments="","",Year1_Medway Year1_Continuous_assessments)</f>
        <v>4712</v>
      </c>
      <c r="AE114" s="307">
        <f>IF(Year2_Medway Year2_Continuous_assessments="","",Year2_Medway Year2_Continuous_assessments)</f>
        <v>3294</v>
      </c>
      <c r="AF114" s="307">
        <f>IF(Year3_Medway Year3_Continuous_assessments="","",Year3_Medway Year3_Continuous_assessments)</f>
        <v>3595</v>
      </c>
      <c r="AG114" s="307">
        <f>IF(Year4_Medway Year4_Continuous_assessments="","",Year4_Medway Year4_Continuous_assessments)</f>
        <v>4041</v>
      </c>
      <c r="AH114" s="307">
        <f>IF(Year5_Medway Year5_Continuous_assessments="","",Year5_Medway Year5_Continuous_assessments)</f>
        <v>5377</v>
      </c>
      <c r="AI114" s="141"/>
      <c r="AJ114" s="121"/>
    </row>
    <row r="115" spans="1:36" s="61" customFormat="1" ht="13.5" customHeight="1">
      <c r="A115" s="1103">
        <f>VLOOKUP(B115,ReportData!$AQ$4:$AR$25,2,FALSE)</f>
        <v>0</v>
      </c>
      <c r="B115" s="885" t="str">
        <f t="shared" si="30"/>
        <v>Kent</v>
      </c>
      <c r="C115" s="896"/>
      <c r="D115" s="922">
        <f t="shared" si="31"/>
        <v>0.88020883689451801</v>
      </c>
      <c r="E115" s="922">
        <f t="shared" si="32"/>
        <v>0.89378746594005454</v>
      </c>
      <c r="F115" s="922">
        <f t="shared" si="33"/>
        <v>0.79006171525856561</v>
      </c>
      <c r="G115" s="922">
        <f t="shared" si="34"/>
        <v>0.76920850817537256</v>
      </c>
      <c r="H115" s="923">
        <f t="shared" si="35"/>
        <v>0.8484317343173432</v>
      </c>
      <c r="I115" s="68"/>
      <c r="J115" s="68"/>
      <c r="K115" s="127"/>
      <c r="L115" s="127"/>
      <c r="M115" s="127"/>
      <c r="N115" s="127"/>
      <c r="O115" s="127"/>
      <c r="P115" s="127"/>
      <c r="Q115" s="127"/>
      <c r="R115" s="128"/>
      <c r="S115" s="120"/>
      <c r="T115" s="127"/>
      <c r="U115" s="89"/>
      <c r="V115" s="103"/>
      <c r="W115" s="115"/>
      <c r="X115" s="265" t="str">
        <f t="shared" si="29"/>
        <v>Milton Keynes</v>
      </c>
      <c r="Y115" s="248">
        <f>IF(Year1_Milton_Keynes Year1_Assessments_within45days="","",Year1_Milton_Keynes Year1_Assessments_within45days)</f>
        <v>2531</v>
      </c>
      <c r="Z115" s="248">
        <f>IF(Year2_Milton_Keynes Year2_Assessments_within45days="","",Year2_Milton_Keynes Year2_Assessments_within45days)</f>
        <v>3204</v>
      </c>
      <c r="AA115" s="248">
        <f>IF(Year3_Milton_Keynes Year3_Assessments_within45days="","",Year3_Milton_Keynes Year3_Assessments_within45days)</f>
        <v>3265</v>
      </c>
      <c r="AB115" s="248">
        <f>IF(Year4_Milton_Keynes Year4_Assessments_within45days="","",Year4_Milton_Keynes Year4_Assessments_within45days)</f>
        <v>3206</v>
      </c>
      <c r="AC115" s="352">
        <f>IF(Year5_Milton_Keynes Year5_Assessments_within45days="","",Year5_Milton_Keynes Year5_Assessments_within45days)</f>
        <v>2925</v>
      </c>
      <c r="AD115" s="355">
        <f>IF(Year1_Milton_Keynes Year1_Continuous_assessments="","",Year1_Milton_Keynes Year1_Continuous_assessments)</f>
        <v>3052</v>
      </c>
      <c r="AE115" s="307">
        <f>IF(Year2_Milton_Keynes Year2_Continuous_assessments="","",Year2_Milton_Keynes Year2_Continuous_assessments)</f>
        <v>3518</v>
      </c>
      <c r="AF115" s="307">
        <f>IF(Year3_Milton_Keynes Year3_Continuous_assessments="","",Year3_Milton_Keynes Year3_Continuous_assessments)</f>
        <v>3568</v>
      </c>
      <c r="AG115" s="307">
        <f>IF(Year4_Milton_Keynes Year4_Continuous_assessments="","",Year4_Milton_Keynes Year4_Continuous_assessments)</f>
        <v>4052</v>
      </c>
      <c r="AH115" s="307">
        <f>IF(Year5_Milton_Keynes Year5_Continuous_assessments="","",Year5_Milton_Keynes Year5_Continuous_assessments)</f>
        <v>3607</v>
      </c>
      <c r="AI115" s="141"/>
      <c r="AJ115" s="121"/>
    </row>
    <row r="116" spans="1:36" s="61" customFormat="1" ht="13.5" customHeight="1">
      <c r="A116" s="1103">
        <f>VLOOKUP(B116,ReportData!$AQ$4:$AR$25,2,FALSE)</f>
        <v>0</v>
      </c>
      <c r="B116" s="885" t="str">
        <f t="shared" si="30"/>
        <v>Medway</v>
      </c>
      <c r="C116" s="896"/>
      <c r="D116" s="922">
        <f t="shared" si="31"/>
        <v>0.95097623089983019</v>
      </c>
      <c r="E116" s="922">
        <f t="shared" si="32"/>
        <v>0.95901639344262291</v>
      </c>
      <c r="F116" s="922">
        <f t="shared" si="33"/>
        <v>0.88178025034770513</v>
      </c>
      <c r="G116" s="922">
        <f t="shared" si="34"/>
        <v>0.70180648354367736</v>
      </c>
      <c r="H116" s="923">
        <f t="shared" si="35"/>
        <v>0.78166263715826667</v>
      </c>
      <c r="I116" s="68"/>
      <c r="J116" s="68"/>
      <c r="K116" s="127"/>
      <c r="L116" s="127"/>
      <c r="M116" s="127"/>
      <c r="N116" s="127"/>
      <c r="O116" s="127"/>
      <c r="P116" s="127"/>
      <c r="Q116" s="127"/>
      <c r="R116" s="128"/>
      <c r="S116" s="120"/>
      <c r="T116" s="127"/>
      <c r="U116" s="89"/>
      <c r="V116" s="103"/>
      <c r="W116" s="115"/>
      <c r="X116" s="265" t="str">
        <f t="shared" si="29"/>
        <v>Oxfordshire</v>
      </c>
      <c r="Y116" s="248">
        <f>IF(Year1_Oxfordshire Year1_Assessments_within45days="","",Year1_Oxfordshire Year1_Assessments_within45days)</f>
        <v>4424</v>
      </c>
      <c r="Z116" s="248">
        <f>IF(Year2_Oxfordshire Year2_Assessments_within45days="","",Year2_Oxfordshire Year2_Assessments_within45days)</f>
        <v>4108</v>
      </c>
      <c r="AA116" s="248">
        <f>IF(Year3_Oxfordshire Year3_Assessments_within45days="","",Year3_Oxfordshire Year3_Assessments_within45days)</f>
        <v>4173</v>
      </c>
      <c r="AB116" s="248">
        <f>IF(Year4_Oxfordshire Year4_Assessments_within45days="","",Year4_Oxfordshire Year4_Assessments_within45days)</f>
        <v>3971</v>
      </c>
      <c r="AC116" s="352">
        <f>IF(Year5_Oxfordshire Year5_Assessments_within45days="","",Year5_Oxfordshire Year5_Assessments_within45days)</f>
        <v>4356</v>
      </c>
      <c r="AD116" s="355">
        <f>IF(Year1_Oxfordshire Year1_Continuous_assessments="","",Year1_Oxfordshire Year1_Continuous_assessments)</f>
        <v>7021</v>
      </c>
      <c r="AE116" s="307">
        <f>IF(Year2_Oxfordshire Year2_Continuous_assessments="","",Year2_Oxfordshire Year2_Continuous_assessments)</f>
        <v>5937</v>
      </c>
      <c r="AF116" s="307">
        <f>IF(Year3_Oxfordshire Year3_Continuous_assessments="","",Year3_Oxfordshire Year3_Continuous_assessments)</f>
        <v>5939</v>
      </c>
      <c r="AG116" s="307">
        <f>IF(Year4_Oxfordshire Year4_Continuous_assessments="","",Year4_Oxfordshire Year4_Continuous_assessments)</f>
        <v>5732</v>
      </c>
      <c r="AH116" s="307">
        <f>IF(Year5_Oxfordshire Year5_Continuous_assessments="","",Year5_Oxfordshire Year5_Continuous_assessments)</f>
        <v>5366</v>
      </c>
      <c r="AI116" s="141"/>
      <c r="AJ116" s="121"/>
    </row>
    <row r="117" spans="1:36" s="61" customFormat="1" ht="13.5" customHeight="1">
      <c r="A117" s="1103">
        <f>VLOOKUP(B117,ReportData!$AQ$4:$AR$25,2,FALSE)</f>
        <v>0</v>
      </c>
      <c r="B117" s="885" t="str">
        <f t="shared" si="30"/>
        <v>Milton Keynes</v>
      </c>
      <c r="C117" s="896"/>
      <c r="D117" s="922">
        <f t="shared" si="31"/>
        <v>0.82929226736566186</v>
      </c>
      <c r="E117" s="922">
        <f t="shared" si="32"/>
        <v>0.91074474133030126</v>
      </c>
      <c r="F117" s="922">
        <f t="shared" si="33"/>
        <v>0.91507847533632292</v>
      </c>
      <c r="G117" s="922">
        <f t="shared" si="34"/>
        <v>0.79121421520236923</v>
      </c>
      <c r="H117" s="923">
        <f t="shared" si="35"/>
        <v>0.81092320487940117</v>
      </c>
      <c r="I117" s="68"/>
      <c r="J117" s="68"/>
      <c r="K117" s="127"/>
      <c r="L117" s="127"/>
      <c r="M117" s="127"/>
      <c r="N117" s="127"/>
      <c r="O117" s="127"/>
      <c r="P117" s="127"/>
      <c r="Q117" s="127"/>
      <c r="R117" s="128"/>
      <c r="S117" s="120"/>
      <c r="T117" s="127"/>
      <c r="U117" s="89"/>
      <c r="V117" s="103"/>
      <c r="W117" s="115"/>
      <c r="X117" s="265" t="str">
        <f t="shared" si="29"/>
        <v>Portsmouth</v>
      </c>
      <c r="Y117" s="248">
        <f>IF(Year1_Portsmouth Year1_Assessments_within45days="","",Year1_Portsmouth Year1_Assessments_within45days)</f>
        <v>2538</v>
      </c>
      <c r="Z117" s="248">
        <f>IF(Year2_Portsmouth Year2_Assessments_within45days="","",Year2_Portsmouth Year2_Assessments_within45days)</f>
        <v>2578</v>
      </c>
      <c r="AA117" s="248">
        <f>IF(Year3_Portsmouth Year3_Assessments_within45days="","",Year3_Portsmouth Year3_Assessments_within45days)</f>
        <v>3391</v>
      </c>
      <c r="AB117" s="248">
        <f>IF(Year4_Portsmouth Year4_Assessments_within45days="","",Year4_Portsmouth Year4_Assessments_within45days)</f>
        <v>2780</v>
      </c>
      <c r="AC117" s="352">
        <f>IF(Year5_Portsmouth Year5_Assessments_within45days="","",Year5_Portsmouth Year5_Assessments_within45days)</f>
        <v>2701</v>
      </c>
      <c r="AD117" s="355">
        <f>IF(Year1_Portsmouth Year1_Continuous_assessments="","",Year1_Portsmouth Year1_Continuous_assessments)</f>
        <v>2590</v>
      </c>
      <c r="AE117" s="307">
        <f>IF(Year2_Portsmouth Year2_Continuous_assessments="","",Year2_Portsmouth Year2_Continuous_assessments)</f>
        <v>2624</v>
      </c>
      <c r="AF117" s="307">
        <f>IF(Year3_Portsmouth Year3_Continuous_assessments="","",Year3_Portsmouth Year3_Continuous_assessments)</f>
        <v>3478</v>
      </c>
      <c r="AG117" s="307">
        <f>IF(Year4_Portsmouth Year4_Continuous_assessments="","",Year4_Portsmouth Year4_Continuous_assessments)</f>
        <v>2830</v>
      </c>
      <c r="AH117" s="307">
        <f>IF(Year5_Portsmouth Year5_Continuous_assessments="","",Year5_Portsmouth Year5_Continuous_assessments)</f>
        <v>2701</v>
      </c>
      <c r="AI117" s="141"/>
      <c r="AJ117" s="121"/>
    </row>
    <row r="118" spans="1:36" s="61" customFormat="1" ht="13.5" customHeight="1">
      <c r="A118" s="1103">
        <f>VLOOKUP(B118,ReportData!$AQ$4:$AR$25,2,FALSE)</f>
        <v>0</v>
      </c>
      <c r="B118" s="885" t="str">
        <f t="shared" si="30"/>
        <v>Oxfordshire</v>
      </c>
      <c r="C118" s="896"/>
      <c r="D118" s="922">
        <f t="shared" si="31"/>
        <v>0.63010967098703885</v>
      </c>
      <c r="E118" s="922">
        <f t="shared" si="32"/>
        <v>0.69193195216439274</v>
      </c>
      <c r="F118" s="922">
        <f t="shared" si="33"/>
        <v>0.70264354268395357</v>
      </c>
      <c r="G118" s="922">
        <f t="shared" si="34"/>
        <v>0.69277739009071881</v>
      </c>
      <c r="H118" s="923">
        <f t="shared" si="35"/>
        <v>0.81177786060380175</v>
      </c>
      <c r="I118" s="68"/>
      <c r="J118" s="68"/>
      <c r="K118" s="127"/>
      <c r="L118" s="127"/>
      <c r="M118" s="127"/>
      <c r="N118" s="127"/>
      <c r="O118" s="127"/>
      <c r="P118" s="127"/>
      <c r="Q118" s="127"/>
      <c r="R118" s="128"/>
      <c r="S118" s="120"/>
      <c r="T118" s="127"/>
      <c r="U118" s="89"/>
      <c r="V118" s="103"/>
      <c r="W118" s="115"/>
      <c r="X118" s="265" t="str">
        <f t="shared" si="29"/>
        <v>Reading</v>
      </c>
      <c r="Y118" s="248">
        <f>IF(Year1_Reading Year1_Assessments_within45days="","",Year1_Reading Year1_Assessments_within45days)</f>
        <v>2151</v>
      </c>
      <c r="Z118" s="248">
        <f>IF(Year2_Reading Year2_Assessments_within45days="","",Year2_Reading Year2_Assessments_within45days)</f>
        <v>1795</v>
      </c>
      <c r="AA118" s="248">
        <f>IF(Year3_Reading Year3_Assessments_within45days="","",Year3_Reading Year3_Assessments_within45days)</f>
        <v>1824</v>
      </c>
      <c r="AB118" s="248">
        <f>IF(Year4_Reading Year4_Assessments_within45days="","",Year4_Reading Year4_Assessments_within45days)</f>
        <v>1662</v>
      </c>
      <c r="AC118" s="352">
        <f>IF(Year5_Reading Year5_Assessments_within45days="","",Year5_Reading Year5_Assessments_within45days)</f>
        <v>1719</v>
      </c>
      <c r="AD118" s="355">
        <f>IF(Year1_Reading Year1_Continuous_assessments="","",Year1_Reading Year1_Continuous_assessments)</f>
        <v>2689</v>
      </c>
      <c r="AE118" s="307">
        <f>IF(Year2_Reading Year2_Continuous_assessments="","",Year2_Reading Year2_Continuous_assessments)</f>
        <v>2120</v>
      </c>
      <c r="AF118" s="307">
        <f>IF(Year3_Reading Year3_Continuous_assessments="","",Year3_Reading Year3_Continuous_assessments)</f>
        <v>2268</v>
      </c>
      <c r="AG118" s="307">
        <f>IF(Year4_Reading Year4_Continuous_assessments="","",Year4_Reading Year4_Continuous_assessments)</f>
        <v>2680</v>
      </c>
      <c r="AH118" s="307">
        <f>IF(Year5_Reading Year5_Continuous_assessments="","",Year5_Reading Year5_Continuous_assessments)</f>
        <v>2767</v>
      </c>
      <c r="AI118" s="141"/>
      <c r="AJ118" s="121"/>
    </row>
    <row r="119" spans="1:36" s="61" customFormat="1" ht="13.5" customHeight="1">
      <c r="A119" s="1103">
        <f>VLOOKUP(B119,ReportData!$AQ$4:$AR$25,2,FALSE)</f>
        <v>0</v>
      </c>
      <c r="B119" s="885" t="str">
        <f t="shared" si="30"/>
        <v>Portsmouth</v>
      </c>
      <c r="C119" s="896"/>
      <c r="D119" s="922">
        <f t="shared" si="31"/>
        <v>0.97992277992277987</v>
      </c>
      <c r="E119" s="922">
        <f t="shared" si="32"/>
        <v>0.98246951219512191</v>
      </c>
      <c r="F119" s="922">
        <f t="shared" si="33"/>
        <v>0.97498562392179411</v>
      </c>
      <c r="G119" s="922">
        <f t="shared" si="34"/>
        <v>0.98233215547703179</v>
      </c>
      <c r="H119" s="923">
        <f t="shared" si="35"/>
        <v>1</v>
      </c>
      <c r="I119" s="68"/>
      <c r="J119" s="68"/>
      <c r="K119" s="127"/>
      <c r="L119" s="127"/>
      <c r="M119" s="127"/>
      <c r="N119" s="127"/>
      <c r="O119" s="127"/>
      <c r="P119" s="127"/>
      <c r="Q119" s="127"/>
      <c r="R119" s="128"/>
      <c r="S119" s="120"/>
      <c r="T119" s="127"/>
      <c r="U119" s="89"/>
      <c r="V119" s="103"/>
      <c r="W119" s="115"/>
      <c r="X119" s="265" t="str">
        <f t="shared" si="29"/>
        <v>Slough</v>
      </c>
      <c r="Y119" s="248">
        <f>IF(Year1_Slough Year1_Assessments_within45days="","",Year1_Slough Year1_Assessments_within45days)</f>
        <v>1787</v>
      </c>
      <c r="Z119" s="248">
        <f>IF(Year2_Slough Year2_Assessments_within45days="","",Year2_Slough Year2_Assessments_within45days)</f>
        <v>2946</v>
      </c>
      <c r="AA119" s="248">
        <f>IF(Year3_Slough Year3_Assessments_within45days="","",Year3_Slough Year3_Assessments_within45days)</f>
        <v>2894</v>
      </c>
      <c r="AB119" s="248">
        <f>IF(Year4_Slough Year4_Assessments_within45days="","",Year4_Slough Year4_Assessments_within45days)</f>
        <v>3208</v>
      </c>
      <c r="AC119" s="352">
        <f>IF(Year5_Slough Year5_Assessments_within45days="","",Year5_Slough Year5_Assessments_within45days)</f>
        <v>2950</v>
      </c>
      <c r="AD119" s="355">
        <f>IF(Year1_Slough Year1_Continuous_assessments="","",Year1_Slough Year1_Continuous_assessments)</f>
        <v>2418</v>
      </c>
      <c r="AE119" s="307">
        <f>IF(Year2_Slough Year2_Continuous_assessments="","",Year2_Slough Year2_Continuous_assessments)</f>
        <v>3649</v>
      </c>
      <c r="AF119" s="307">
        <f>IF(Year3_Slough Year3_Continuous_assessments="","",Year3_Slough Year3_Continuous_assessments)</f>
        <v>3512</v>
      </c>
      <c r="AG119" s="307">
        <f>IF(Year4_Slough Year4_Continuous_assessments="","",Year4_Slough Year4_Continuous_assessments)</f>
        <v>3610</v>
      </c>
      <c r="AH119" s="307">
        <f>IF(Year5_Slough Year5_Continuous_assessments="","",Year5_Slough Year5_Continuous_assessments)</f>
        <v>3413</v>
      </c>
      <c r="AI119" s="141"/>
      <c r="AJ119" s="121"/>
    </row>
    <row r="120" spans="1:36" s="61" customFormat="1" ht="13.5" customHeight="1">
      <c r="A120" s="1103">
        <f>VLOOKUP(B120,ReportData!$AQ$4:$AR$25,2,FALSE)</f>
        <v>0</v>
      </c>
      <c r="B120" s="885" t="str">
        <f t="shared" si="30"/>
        <v>Reading</v>
      </c>
      <c r="C120" s="896"/>
      <c r="D120" s="922">
        <f t="shared" si="31"/>
        <v>0.79992562290814428</v>
      </c>
      <c r="E120" s="922">
        <f t="shared" si="32"/>
        <v>0.84669811320754718</v>
      </c>
      <c r="F120" s="922">
        <f t="shared" si="33"/>
        <v>0.80423280423280419</v>
      </c>
      <c r="G120" s="922">
        <f t="shared" si="34"/>
        <v>0.62014925373134333</v>
      </c>
      <c r="H120" s="923">
        <f t="shared" si="35"/>
        <v>0.62125045175280091</v>
      </c>
      <c r="I120" s="68"/>
      <c r="J120" s="68"/>
      <c r="K120" s="127"/>
      <c r="L120" s="127"/>
      <c r="M120" s="127"/>
      <c r="N120" s="127"/>
      <c r="O120" s="127"/>
      <c r="P120" s="127"/>
      <c r="Q120" s="127"/>
      <c r="R120" s="128"/>
      <c r="S120" s="120"/>
      <c r="T120" s="127"/>
      <c r="U120" s="89"/>
      <c r="V120" s="103"/>
      <c r="W120" s="115"/>
      <c r="X120" s="265" t="str">
        <f t="shared" si="29"/>
        <v>Southampton</v>
      </c>
      <c r="Y120" s="248">
        <f>IF(Year1_Southampton Year1_Assessments_within45days="","",Year1_Southampton Year1_Assessments_within45days)</f>
        <v>3003</v>
      </c>
      <c r="Z120" s="248">
        <f>IF(Year2_Southampton Year2_Assessments_within45days="","",Year2_Southampton Year2_Assessments_within45days)</f>
        <v>2981</v>
      </c>
      <c r="AA120" s="248">
        <f>IF(Year3_Southampton Year3_Assessments_within45days="","",Year3_Southampton Year3_Assessments_within45days)</f>
        <v>3264</v>
      </c>
      <c r="AB120" s="248">
        <f>IF(Year4_Southampton Year4_Assessments_within45days="","",Year4_Southampton Year4_Assessments_within45days)</f>
        <v>3134</v>
      </c>
      <c r="AC120" s="352">
        <f>IF(Year5_Southampton Year5_Assessments_within45days="","",Year5_Southampton Year5_Assessments_within45days)</f>
        <v>2809</v>
      </c>
      <c r="AD120" s="355">
        <f>IF(Year1_Southampton Year1_Continuous_assessments="","",Year1_Southampton Year1_Continuous_assessments)</f>
        <v>4602</v>
      </c>
      <c r="AE120" s="307">
        <f>IF(Year2_Southampton Year2_Continuous_assessments="","",Year2_Southampton Year2_Continuous_assessments)</f>
        <v>3481</v>
      </c>
      <c r="AF120" s="307">
        <f>IF(Year3_Southampton Year3_Continuous_assessments="","",Year3_Southampton Year3_Continuous_assessments)</f>
        <v>3575</v>
      </c>
      <c r="AG120" s="307">
        <f>IF(Year4_Southampton Year4_Continuous_assessments="","",Year4_Southampton Year4_Continuous_assessments)</f>
        <v>3839</v>
      </c>
      <c r="AH120" s="307">
        <f>IF(Year5_Southampton Year5_Continuous_assessments="","",Year5_Southampton Year5_Continuous_assessments)</f>
        <v>3189</v>
      </c>
      <c r="AI120" s="141"/>
      <c r="AJ120" s="121"/>
    </row>
    <row r="121" spans="1:36" s="61" customFormat="1" ht="13.5" customHeight="1">
      <c r="A121" s="1103">
        <f>VLOOKUP(B121,ReportData!$AQ$4:$AR$25,2,FALSE)</f>
        <v>0</v>
      </c>
      <c r="B121" s="885" t="str">
        <f t="shared" si="30"/>
        <v>Slough</v>
      </c>
      <c r="C121" s="896"/>
      <c r="D121" s="922">
        <f t="shared" si="31"/>
        <v>0.73904052936311004</v>
      </c>
      <c r="E121" s="922">
        <f t="shared" si="32"/>
        <v>0.80734447793916142</v>
      </c>
      <c r="F121" s="922">
        <f t="shared" si="33"/>
        <v>0.82403189066059224</v>
      </c>
      <c r="G121" s="922">
        <f t="shared" si="34"/>
        <v>0.88864265927977837</v>
      </c>
      <c r="H121" s="923">
        <f t="shared" si="35"/>
        <v>0.86434222092001167</v>
      </c>
      <c r="I121" s="68"/>
      <c r="J121" s="68"/>
      <c r="K121" s="127"/>
      <c r="L121" s="127"/>
      <c r="M121" s="127"/>
      <c r="N121" s="127"/>
      <c r="O121" s="127"/>
      <c r="P121" s="127"/>
      <c r="Q121" s="127"/>
      <c r="R121" s="128"/>
      <c r="S121" s="120"/>
      <c r="T121" s="127"/>
      <c r="U121" s="89"/>
      <c r="V121" s="103"/>
      <c r="W121" s="115"/>
      <c r="X121" s="265" t="str">
        <f t="shared" si="29"/>
        <v>Surrey</v>
      </c>
      <c r="Y121" s="248">
        <f>IF(Year1_Surrey Year1_Assessments_within45days="","",Year1_Surrey Year1_Assessments_within45days)</f>
        <v>7137</v>
      </c>
      <c r="Z121" s="248">
        <f>IF(Year2_Surrey Year2_Assessments_within45days="","",Year2_Surrey Year2_Assessments_within45days)</f>
        <v>9774</v>
      </c>
      <c r="AA121" s="248">
        <f>IF(Year3_Surrey Year3_Assessments_within45days="","",Year3_Surrey Year3_Assessments_within45days)</f>
        <v>7923</v>
      </c>
      <c r="AB121" s="248">
        <f>IF(Year4_Surrey Year4_Assessments_within45days="","",Year4_Surrey Year4_Assessments_within45days)</f>
        <v>5443</v>
      </c>
      <c r="AC121" s="352">
        <f>IF(Year5_Surrey Year5_Assessments_within45days="","",Year5_Surrey Year5_Assessments_within45days)</f>
        <v>6486</v>
      </c>
      <c r="AD121" s="355">
        <f>IF(Year1_Surrey Year1_Continuous_assessments="","",Year1_Surrey Year1_Continuous_assessments)</f>
        <v>8724</v>
      </c>
      <c r="AE121" s="307">
        <f>IF(Year2_Surrey Year2_Continuous_assessments="","",Year2_Surrey Year2_Continuous_assessments)</f>
        <v>11079</v>
      </c>
      <c r="AF121" s="307">
        <f>IF(Year3_Surrey Year3_Continuous_assessments="","",Year3_Surrey Year3_Continuous_assessments)</f>
        <v>9379</v>
      </c>
      <c r="AG121" s="307">
        <f>IF(Year4_Surrey Year4_Continuous_assessments="","",Year4_Surrey Year4_Continuous_assessments)</f>
        <v>7491</v>
      </c>
      <c r="AH121" s="307">
        <f>IF(Year5_Surrey Year5_Continuous_assessments="","",Year5_Surrey Year5_Continuous_assessments)</f>
        <v>7611</v>
      </c>
      <c r="AI121" s="141"/>
      <c r="AJ121" s="121"/>
    </row>
    <row r="122" spans="1:36" s="61" customFormat="1" ht="13.5" customHeight="1">
      <c r="A122" s="1103">
        <f>VLOOKUP(B122,ReportData!$AQ$4:$AR$25,2,FALSE)</f>
        <v>0</v>
      </c>
      <c r="B122" s="885" t="str">
        <f t="shared" si="30"/>
        <v>Southampton</v>
      </c>
      <c r="C122" s="896"/>
      <c r="D122" s="922">
        <f t="shared" si="31"/>
        <v>0.65254237288135597</v>
      </c>
      <c r="E122" s="922">
        <f t="shared" si="32"/>
        <v>0.8563631140476875</v>
      </c>
      <c r="F122" s="922">
        <f t="shared" ref="F122:H129" si="36">IF(AF120&gt;0,AA120/AF120,NA())</f>
        <v>0.91300699300699306</v>
      </c>
      <c r="G122" s="922">
        <f t="shared" si="36"/>
        <v>0.81635842667361291</v>
      </c>
      <c r="H122" s="923">
        <f t="shared" si="36"/>
        <v>0.88084038883662585</v>
      </c>
      <c r="I122" s="68"/>
      <c r="J122" s="68"/>
      <c r="K122" s="127"/>
      <c r="L122" s="127"/>
      <c r="M122" s="127"/>
      <c r="N122" s="127"/>
      <c r="O122" s="127"/>
      <c r="P122" s="127"/>
      <c r="Q122" s="127"/>
      <c r="R122" s="128"/>
      <c r="S122" s="120"/>
      <c r="T122" s="127"/>
      <c r="U122" s="89"/>
      <c r="V122" s="103"/>
      <c r="W122" s="115"/>
      <c r="X122" s="265" t="str">
        <f t="shared" si="29"/>
        <v>West Berkshire</v>
      </c>
      <c r="Y122" s="248">
        <f>IF(Year1_West_Berkshire Year1_Assessments_within45days="","",Year1_West_Berkshire Year1_Assessments_within45days)</f>
        <v>1852</v>
      </c>
      <c r="Z122" s="248">
        <f>IF(Year2_West_Berkshire Year2_Assessments_within45days="","",Year2_West_Berkshire Year2_Assessments_within45days)</f>
        <v>1818</v>
      </c>
      <c r="AA122" s="248">
        <f>IF(Year3_West_Berkshire Year3_Assessments_within45days="","",Year3_West_Berkshire Year3_Assessments_within45days)</f>
        <v>2330</v>
      </c>
      <c r="AB122" s="248">
        <f>IF(Year4_West_Berkshire Year4_Assessments_within45days="","",Year4_West_Berkshire Year4_Assessments_within45days)</f>
        <v>2769</v>
      </c>
      <c r="AC122" s="352">
        <f>IF(Year5_West_Berkshire Year5_Assessments_within45days="","",Year5_West_Berkshire Year5_Assessments_within45days)</f>
        <v>2343</v>
      </c>
      <c r="AD122" s="355">
        <f>IF(Year1_West_Berkshire Year1_Continuous_assessments="","",Year1_West_Berkshire Year1_Continuous_assessments)</f>
        <v>1869</v>
      </c>
      <c r="AE122" s="307">
        <f>IF(Year2_West_Berkshire Year2_Continuous_assessments="","",Year2_West_Berkshire Year2_Continuous_assessments)</f>
        <v>1818</v>
      </c>
      <c r="AF122" s="307">
        <f>IF(Year3_West_Berkshire Year3_Continuous_assessments="","",Year3_West_Berkshire Year3_Continuous_assessments)</f>
        <v>2347</v>
      </c>
      <c r="AG122" s="307">
        <f>IF(Year4_West_Berkshire Year4_Continuous_assessments="","",Year4_West_Berkshire Year4_Continuous_assessments)</f>
        <v>2849</v>
      </c>
      <c r="AH122" s="307">
        <f>IF(Year5_West_Berkshire Year5_Continuous_assessments="","",Year5_West_Berkshire Year5_Continuous_assessments)</f>
        <v>2406</v>
      </c>
      <c r="AI122" s="141"/>
      <c r="AJ122" s="121"/>
    </row>
    <row r="123" spans="1:36" s="61" customFormat="1" ht="13.5" customHeight="1">
      <c r="A123" s="1103">
        <f>VLOOKUP(B123,ReportData!$AQ$4:$AR$25,2,FALSE)</f>
        <v>0</v>
      </c>
      <c r="B123" s="885" t="str">
        <f t="shared" si="30"/>
        <v>Surrey</v>
      </c>
      <c r="C123" s="896"/>
      <c r="D123" s="922">
        <f t="shared" si="31"/>
        <v>0.81808803301237965</v>
      </c>
      <c r="E123" s="922">
        <f t="shared" si="32"/>
        <v>0.88220958570268071</v>
      </c>
      <c r="F123" s="922">
        <f t="shared" si="36"/>
        <v>0.84475956925045315</v>
      </c>
      <c r="G123" s="922">
        <f t="shared" si="36"/>
        <v>0.72660525964490719</v>
      </c>
      <c r="H123" s="923">
        <f t="shared" si="36"/>
        <v>0.85218762317698071</v>
      </c>
      <c r="I123" s="68"/>
      <c r="J123" s="68"/>
      <c r="K123" s="127"/>
      <c r="L123" s="127"/>
      <c r="M123" s="127"/>
      <c r="N123" s="127"/>
      <c r="O123" s="127"/>
      <c r="P123" s="127"/>
      <c r="Q123" s="127"/>
      <c r="R123" s="128"/>
      <c r="S123" s="120"/>
      <c r="T123" s="127"/>
      <c r="U123" s="89"/>
      <c r="V123" s="103"/>
      <c r="W123" s="115"/>
      <c r="X123" s="265" t="str">
        <f t="shared" si="29"/>
        <v>West Sussex</v>
      </c>
      <c r="Y123" s="248">
        <f>IF(Year1_West_Sussex Year1_Assessments_within45days="","",Year1_West_Sussex Year1_Assessments_within45days)</f>
        <v>9180</v>
      </c>
      <c r="Z123" s="248">
        <f>IF(Year2_West_Sussex Year2_Assessments_within45days="","",Year2_West_Sussex Year2_Assessments_within45days)</f>
        <v>9114</v>
      </c>
      <c r="AA123" s="248">
        <f>IF(Year3_West_Sussex Year3_Assessments_within45days="","",Year3_West_Sussex Year3_Assessments_within45days)</f>
        <v>7978</v>
      </c>
      <c r="AB123" s="248">
        <f>IF(Year4_West_Sussex Year4_Assessments_within45days="","",Year4_West_Sussex Year4_Assessments_within45days)</f>
        <v>8190</v>
      </c>
      <c r="AC123" s="352">
        <f>IF(Year5_West_Sussex Year5_Assessments_within45days="","",Year5_West_Sussex Year5_Assessments_within45days)</f>
        <v>7668</v>
      </c>
      <c r="AD123" s="355">
        <f>IF(Year1_West_Sussex Year1_Continuous_assessments="","",Year1_West_Sussex Year1_Continuous_assessments)</f>
        <v>10458</v>
      </c>
      <c r="AE123" s="307">
        <f>IF(Year2_West_Sussex Year2_Continuous_assessments="","",Year2_West_Sussex Year2_Continuous_assessments)</f>
        <v>10238</v>
      </c>
      <c r="AF123" s="307">
        <f>IF(Year3_West_Sussex Year3_Continuous_assessments="","",Year3_West_Sussex Year3_Continuous_assessments)</f>
        <v>9963</v>
      </c>
      <c r="AG123" s="307">
        <f>IF(Year4_West_Sussex Year4_Continuous_assessments="","",Year4_West_Sussex Year4_Continuous_assessments)</f>
        <v>10060</v>
      </c>
      <c r="AH123" s="307">
        <f>IF(Year5_West_Sussex Year5_Continuous_assessments="","",Year5_West_Sussex Year5_Continuous_assessments)</f>
        <v>8562</v>
      </c>
      <c r="AI123" s="141"/>
      <c r="AJ123" s="121"/>
    </row>
    <row r="124" spans="1:36" s="61" customFormat="1" ht="13.5" customHeight="1">
      <c r="A124" s="1103">
        <f>VLOOKUP(B124,ReportData!$AQ$4:$AR$25,2,FALSE)</f>
        <v>0</v>
      </c>
      <c r="B124" s="885" t="str">
        <f t="shared" si="30"/>
        <v>West Berkshire</v>
      </c>
      <c r="C124" s="896"/>
      <c r="D124" s="922">
        <f t="shared" si="31"/>
        <v>0.99090422685928303</v>
      </c>
      <c r="E124" s="922">
        <f t="shared" si="32"/>
        <v>1</v>
      </c>
      <c r="F124" s="922">
        <f t="shared" si="36"/>
        <v>0.99275671069450366</v>
      </c>
      <c r="G124" s="922">
        <f t="shared" si="36"/>
        <v>0.97191997191997193</v>
      </c>
      <c r="H124" s="923">
        <f t="shared" si="36"/>
        <v>0.97381546134663344</v>
      </c>
      <c r="I124" s="68"/>
      <c r="J124" s="68"/>
      <c r="K124" s="127"/>
      <c r="L124" s="127"/>
      <c r="M124" s="127"/>
      <c r="N124" s="127"/>
      <c r="O124" s="127"/>
      <c r="P124" s="127"/>
      <c r="Q124" s="127"/>
      <c r="R124" s="128"/>
      <c r="S124" s="120"/>
      <c r="T124" s="127"/>
      <c r="U124" s="89"/>
      <c r="V124" s="103"/>
      <c r="W124" s="115"/>
      <c r="X124" s="265" t="str">
        <f t="shared" si="29"/>
        <v>Windsor &amp; Maidenhead</v>
      </c>
      <c r="Y124" s="248">
        <f>IF(Year1_Windsor_and_Maidenhead Year1_Assessments_within45days="","",Year1_Windsor_and_Maidenhead Year1_Assessments_within45days)</f>
        <v>1127</v>
      </c>
      <c r="Z124" s="248">
        <f>IF(Year2_Windsor_and_Maidenhead Year2_Assessments_within45days="","",Year2_Windsor_and_Maidenhead Year2_Assessments_within45days)</f>
        <v>1369</v>
      </c>
      <c r="AA124" s="248">
        <f>IF(Year3_Windsor_and_Maidenhead Year3_Assessments_within45days="","",Year3_Windsor_and_Maidenhead Year3_Assessments_within45days)</f>
        <v>1452</v>
      </c>
      <c r="AB124" s="248">
        <f>IF(Year4_Windsor_and_Maidenhead Year4_Assessments_within45days="","",Year4_Windsor_and_Maidenhead Year4_Assessments_within45days)</f>
        <v>1252</v>
      </c>
      <c r="AC124" s="352">
        <f>IF(Year5_Windsor_and_Maidenhead Year5_Assessments_within45days="","",Year5_Windsor_and_Maidenhead Year5_Assessments_within45days)</f>
        <v>1378</v>
      </c>
      <c r="AD124" s="355">
        <f>IF(Year1_Windsor_and_Maidenhead Year1_Continuous_assessments="","",Year1_Windsor_and_Maidenhead Year1_Continuous_assessments)</f>
        <v>1211</v>
      </c>
      <c r="AE124" s="307">
        <f>IF(Year2_Windsor_and_Maidenhead Year2_Continuous_assessments="","",Year2_Windsor_and_Maidenhead Year2_Continuous_assessments)</f>
        <v>1410</v>
      </c>
      <c r="AF124" s="307">
        <f>IF(Year3_Windsor_and_Maidenhead Year3_Continuous_assessments="","",Year3_Windsor_and_Maidenhead Year3_Continuous_assessments)</f>
        <v>1643</v>
      </c>
      <c r="AG124" s="307">
        <f>IF(Year4_Windsor_and_Maidenhead Year4_Continuous_assessments="","",Year4_Windsor_and_Maidenhead Year4_Continuous_assessments)</f>
        <v>1525</v>
      </c>
      <c r="AH124" s="307">
        <f>IF(Year5_Windsor_and_Maidenhead Year5_Continuous_assessments="","",Year5_Windsor_and_Maidenhead Year5_Continuous_assessments)</f>
        <v>1525</v>
      </c>
      <c r="AI124" s="141"/>
      <c r="AJ124" s="121"/>
    </row>
    <row r="125" spans="1:36" s="61" customFormat="1" ht="13.5" customHeight="1">
      <c r="A125" s="1103">
        <f>VLOOKUP(B125,ReportData!$AQ$4:$AR$25,2,FALSE)</f>
        <v>0</v>
      </c>
      <c r="B125" s="885" t="str">
        <f t="shared" si="30"/>
        <v>West Sussex</v>
      </c>
      <c r="C125" s="896"/>
      <c r="D125" s="922">
        <f t="shared" si="31"/>
        <v>0.87779690189328741</v>
      </c>
      <c r="E125" s="922">
        <f t="shared" si="32"/>
        <v>0.89021293221332287</v>
      </c>
      <c r="F125" s="922">
        <f t="shared" si="36"/>
        <v>0.8007628224430392</v>
      </c>
      <c r="G125" s="922">
        <f t="shared" si="36"/>
        <v>0.81411530815109345</v>
      </c>
      <c r="H125" s="923">
        <f t="shared" si="36"/>
        <v>0.89558514365802377</v>
      </c>
      <c r="I125" s="68"/>
      <c r="J125" s="68"/>
      <c r="K125" s="127"/>
      <c r="L125" s="127"/>
      <c r="M125" s="127"/>
      <c r="N125" s="127"/>
      <c r="O125" s="127"/>
      <c r="P125" s="127"/>
      <c r="Q125" s="127"/>
      <c r="R125" s="128"/>
      <c r="S125" s="120"/>
      <c r="T125" s="127"/>
      <c r="U125" s="89"/>
      <c r="V125" s="103"/>
      <c r="W125" s="115"/>
      <c r="X125" s="265" t="str">
        <f t="shared" si="29"/>
        <v>Wokingham</v>
      </c>
      <c r="Y125" s="248">
        <f>IF(Year1_Wokingham Year1_Assessments_within45days="","",Year1_Wokingham Year1_Assessments_within45days)</f>
        <v>1167</v>
      </c>
      <c r="Z125" s="248">
        <f>IF(Year2_Wokingham Year2_Assessments_within45days="","",Year2_Wokingham Year2_Assessments_within45days)</f>
        <v>1043</v>
      </c>
      <c r="AA125" s="248">
        <f>IF(Year3_Wokingham Year3_Assessments_within45days="","",Year3_Wokingham Year3_Assessments_within45days)</f>
        <v>912</v>
      </c>
      <c r="AB125" s="248">
        <f>IF(Year4_Wokingham Year4_Assessments_within45days="","",Year4_Wokingham Year4_Assessments_within45days)</f>
        <v>996</v>
      </c>
      <c r="AC125" s="352">
        <f>IF(Year5_Wokingham Year5_Assessments_within45days="","",Year5_Wokingham Year5_Assessments_within45days)</f>
        <v>1228</v>
      </c>
      <c r="AD125" s="355">
        <f>IF(Year1_Wokingham Year1_Continuous_assessments="","",Year1_Wokingham Year1_Continuous_assessments)</f>
        <v>1482</v>
      </c>
      <c r="AE125" s="307">
        <f>IF(Year2_Wokingham Year2_Continuous_assessments="","",Year2_Wokingham Year2_Continuous_assessments)</f>
        <v>1410</v>
      </c>
      <c r="AF125" s="307">
        <f>IF(Year3_Wokingham Year3_Continuous_assessments="","",Year3_Wokingham Year3_Continuous_assessments)</f>
        <v>1390</v>
      </c>
      <c r="AG125" s="307">
        <f>IF(Year4_Wokingham Year4_Continuous_assessments="","",Year4_Wokingham Year4_Continuous_assessments)</f>
        <v>1493</v>
      </c>
      <c r="AH125" s="307">
        <f>IF(Year5_Wokingham Year5_Continuous_assessments="","",Year5_Wokingham Year5_Continuous_assessments)</f>
        <v>1513</v>
      </c>
      <c r="AI125" s="141"/>
      <c r="AJ125" s="121"/>
    </row>
    <row r="126" spans="1:36" s="61" customFormat="1" ht="13.5" customHeight="1">
      <c r="A126" s="1103">
        <f>VLOOKUP(B126,ReportData!$AQ$4:$AR$25,2,FALSE)</f>
        <v>0</v>
      </c>
      <c r="B126" s="885" t="str">
        <f t="shared" si="30"/>
        <v>Windsor &amp; Maidenhead</v>
      </c>
      <c r="C126" s="896"/>
      <c r="D126" s="922">
        <f t="shared" si="31"/>
        <v>0.93063583815028905</v>
      </c>
      <c r="E126" s="922">
        <f t="shared" si="32"/>
        <v>0.97092198581560285</v>
      </c>
      <c r="F126" s="922">
        <f t="shared" si="36"/>
        <v>0.88374923919659165</v>
      </c>
      <c r="G126" s="922">
        <f t="shared" si="36"/>
        <v>0.82098360655737701</v>
      </c>
      <c r="H126" s="923">
        <f t="shared" si="36"/>
        <v>0.9036065573770492</v>
      </c>
      <c r="I126" s="68"/>
      <c r="J126" s="68"/>
      <c r="K126" s="127"/>
      <c r="L126" s="127"/>
      <c r="M126" s="127"/>
      <c r="N126" s="127"/>
      <c r="O126" s="127"/>
      <c r="P126" s="127"/>
      <c r="Q126" s="127"/>
      <c r="R126" s="128"/>
      <c r="S126" s="120"/>
      <c r="T126" s="127"/>
      <c r="U126" s="89"/>
      <c r="V126" s="103"/>
      <c r="W126" s="115"/>
      <c r="X126" s="265" t="str">
        <f t="shared" si="29"/>
        <v>South East</v>
      </c>
      <c r="Y126" s="307">
        <f>IF(Year1_South_East Year1_Assessments_within45days="","",Year1_South_East Year1_Assessments_within45days)</f>
        <v>94060</v>
      </c>
      <c r="Z126" s="307">
        <f>IF(Year2_South_East Year2_Assessments_within45days="","",Year2_South_East Year2_Assessments_within45days)</f>
        <v>97255</v>
      </c>
      <c r="AA126" s="307">
        <f>IF(Year3_South_East Year3_Assessments_within45days="","",Year3_South_East Year3_Assessments_within45days)</f>
        <v>101890</v>
      </c>
      <c r="AB126" s="307">
        <f>IF(Year4_South_East Year4_Assessments_within45days="","",Year4_South_East Year4_Assessments_within45days)</f>
        <v>100080</v>
      </c>
      <c r="AC126" s="353">
        <f>IF(Year5_South_East Year5_Assessments_within45days="","",Year5_South_East Year5_Assessments_within45days)</f>
        <v>103320</v>
      </c>
      <c r="AD126" s="355">
        <f>IF(Year1_South_East Year1_Continuous_assessments="","",Year1_South_East Year1_Continuous_assessments)</f>
        <v>110490</v>
      </c>
      <c r="AE126" s="307">
        <f>IF(Year2_South_East Year2_Continuous_assessments="","",Year2_South_East Year2_Continuous_assessments)</f>
        <v>109619</v>
      </c>
      <c r="AF126" s="307">
        <f>IF(Year3_South_East Year3_Continuous_assessments="","",Year3_South_East Year3_Continuous_assessments)</f>
        <v>118940</v>
      </c>
      <c r="AG126" s="307">
        <f>IF(Year4_South_East Year4_Continuous_assessments="","",Year4_South_East Year4_Continuous_assessments)</f>
        <v>120630</v>
      </c>
      <c r="AH126" s="307">
        <f>IF(Year5_South_East Year5_Continuous_assessments="","",Year5_South_East Year5_Continuous_assessments)</f>
        <v>119600</v>
      </c>
      <c r="AI126" s="141"/>
      <c r="AJ126" s="121"/>
    </row>
    <row r="127" spans="1:36" s="61" customFormat="1" ht="13.5" customHeight="1">
      <c r="A127" s="1103">
        <f>VLOOKUP(B127,ReportData!$AQ$4:$AR$25,2,FALSE)</f>
        <v>0</v>
      </c>
      <c r="B127" s="885" t="str">
        <f t="shared" si="30"/>
        <v>Wokingham</v>
      </c>
      <c r="C127" s="896"/>
      <c r="D127" s="922">
        <f t="shared" si="31"/>
        <v>0.78744939271255066</v>
      </c>
      <c r="E127" s="922">
        <f t="shared" si="32"/>
        <v>0.7397163120567376</v>
      </c>
      <c r="F127" s="922">
        <f t="shared" si="36"/>
        <v>0.65611510791366912</v>
      </c>
      <c r="G127" s="922">
        <f t="shared" si="36"/>
        <v>0.66711319490957799</v>
      </c>
      <c r="H127" s="923">
        <f t="shared" si="36"/>
        <v>0.81163251817580961</v>
      </c>
      <c r="I127" s="68"/>
      <c r="J127" s="68"/>
      <c r="K127" s="127"/>
      <c r="L127" s="127"/>
      <c r="M127" s="127"/>
      <c r="N127" s="127"/>
      <c r="O127" s="127"/>
      <c r="P127" s="127"/>
      <c r="Q127" s="127"/>
      <c r="R127" s="128"/>
      <c r="S127" s="120"/>
      <c r="T127" s="127"/>
      <c r="U127" s="89"/>
      <c r="V127" s="103"/>
      <c r="W127" s="115"/>
      <c r="X127" s="265" t="str">
        <f t="shared" si="29"/>
        <v>England</v>
      </c>
      <c r="Y127" s="248">
        <f>IF(Year1_England Year1_Assessments_within45days="","",Year1_England Year1_Assessments_within45days)</f>
        <v>558160</v>
      </c>
      <c r="Z127" s="248">
        <f>IF(Year2_England Year2_Assessments_within45days="","",Year2_England Year2_Assessments_within45days)</f>
        <v>548190</v>
      </c>
      <c r="AA127" s="248">
        <f>IF(Year3_England Year3_Assessments_within45days="","",Year3_England Year3_Assessments_within45days)</f>
        <v>545020</v>
      </c>
      <c r="AB127" s="248">
        <f>IF(Year4_England Year4_Assessments_within45days="","",Year4_England Year4_Assessments_within45days)</f>
        <v>540770</v>
      </c>
      <c r="AC127" s="352">
        <f>IF(Year5_England Year5_Assessments_within45days="","",Year5_England Year5_Assessments_within45days)</f>
        <v>543210</v>
      </c>
      <c r="AD127" s="355">
        <f>IF(Year1_England Year1_Continuous_assessments="","",Year1_England Year1_Continuous_assessments)</f>
        <v>665680</v>
      </c>
      <c r="AE127" s="307">
        <f>IF(Year2_England Year2_Continuous_assessments="","",Year2_England Year2_Continuous_assessments)</f>
        <v>625980</v>
      </c>
      <c r="AF127" s="307">
        <f>IF(Year3_England Year3_Continuous_assessments="","",Year3_England Year3_Continuous_assessments)</f>
        <v>645070</v>
      </c>
      <c r="AG127" s="307">
        <f>IF(Year4_England Year4_Continuous_assessments="","",Year4_England Year4_Continuous_assessments)</f>
        <v>655550</v>
      </c>
      <c r="AH127" s="307">
        <f>IF(Year5_England Year5_Continuous_assessments="","",Year5_England Year5_Continuous_assessments)</f>
        <v>643160</v>
      </c>
      <c r="AJ127" s="121"/>
    </row>
    <row r="128" spans="1:36" s="61" customFormat="1" ht="13.5" customHeight="1">
      <c r="A128" s="1103"/>
      <c r="B128" s="886" t="str">
        <f t="shared" si="30"/>
        <v>South East</v>
      </c>
      <c r="C128" s="896"/>
      <c r="D128" s="924">
        <f t="shared" si="31"/>
        <v>0.85129876006878447</v>
      </c>
      <c r="E128" s="924">
        <f t="shared" si="32"/>
        <v>0.88720933414827718</v>
      </c>
      <c r="F128" s="924">
        <f t="shared" si="36"/>
        <v>0.85665041197242309</v>
      </c>
      <c r="G128" s="924">
        <f t="shared" si="36"/>
        <v>0.82964436707286748</v>
      </c>
      <c r="H128" s="925">
        <f t="shared" si="36"/>
        <v>0.86387959866220732</v>
      </c>
      <c r="I128" s="68"/>
      <c r="J128" s="68"/>
      <c r="K128" s="129"/>
      <c r="L128" s="129"/>
      <c r="M128" s="129"/>
      <c r="N128" s="129"/>
      <c r="O128" s="129"/>
      <c r="P128" s="129"/>
      <c r="Q128" s="129"/>
      <c r="R128" s="130"/>
      <c r="S128" s="120"/>
      <c r="T128" s="131"/>
      <c r="U128" s="89"/>
      <c r="V128" s="103"/>
      <c r="W128" s="115"/>
      <c r="X128" s="56"/>
      <c r="Y128" s="56"/>
      <c r="Z128" s="146"/>
      <c r="AA128" s="251"/>
      <c r="AB128" s="251"/>
      <c r="AC128" s="56"/>
      <c r="AD128" s="56"/>
      <c r="AE128" s="56"/>
      <c r="AF128" s="56"/>
      <c r="AG128" s="56"/>
      <c r="AH128" s="56"/>
      <c r="AJ128" s="121"/>
    </row>
    <row r="129" spans="1:65" s="61" customFormat="1" ht="13.5" customHeight="1">
      <c r="A129" s="1103"/>
      <c r="B129" s="887" t="s">
        <v>109</v>
      </c>
      <c r="C129" s="896"/>
      <c r="D129" s="926">
        <f t="shared" si="31"/>
        <v>0.83848095180867688</v>
      </c>
      <c r="E129" s="926">
        <f t="shared" si="32"/>
        <v>0.87573085402089523</v>
      </c>
      <c r="F129" s="926">
        <f t="shared" si="36"/>
        <v>0.84490055342831005</v>
      </c>
      <c r="G129" s="926">
        <f t="shared" si="36"/>
        <v>0.82491038059644572</v>
      </c>
      <c r="H129" s="927">
        <f t="shared" si="36"/>
        <v>0.84459543503949253</v>
      </c>
      <c r="I129" s="68"/>
      <c r="J129" s="68"/>
      <c r="K129" s="129"/>
      <c r="L129" s="129"/>
      <c r="M129" s="129"/>
      <c r="N129" s="129"/>
      <c r="O129" s="129"/>
      <c r="P129" s="129"/>
      <c r="Q129" s="129"/>
      <c r="R129" s="130"/>
      <c r="S129" s="120"/>
      <c r="T129" s="131"/>
      <c r="U129" s="89"/>
      <c r="V129" s="103"/>
      <c r="W129" s="115"/>
      <c r="X129" s="56"/>
      <c r="Y129" s="56"/>
      <c r="Z129" s="56"/>
      <c r="AA129" s="251"/>
      <c r="AB129" s="251"/>
      <c r="AC129" s="56"/>
      <c r="AD129" s="56"/>
      <c r="AE129" s="52"/>
      <c r="AF129" s="52"/>
      <c r="AG129" s="52"/>
      <c r="AH129" s="52"/>
      <c r="AI129" s="52"/>
      <c r="AJ129" s="121"/>
    </row>
    <row r="130" spans="1:65" s="61" customFormat="1" ht="4.5" customHeight="1">
      <c r="A130" s="217"/>
      <c r="B130" s="68"/>
      <c r="C130" s="68"/>
      <c r="D130" s="68"/>
      <c r="E130" s="68"/>
      <c r="F130" s="68"/>
      <c r="G130" s="68"/>
      <c r="H130" s="68"/>
      <c r="I130" s="68"/>
      <c r="J130" s="68"/>
      <c r="K130" s="129"/>
      <c r="L130" s="129"/>
      <c r="M130" s="129"/>
      <c r="N130" s="129"/>
      <c r="O130" s="129"/>
      <c r="P130" s="129"/>
      <c r="Q130" s="129"/>
      <c r="R130" s="130"/>
      <c r="S130" s="120"/>
      <c r="T130" s="131"/>
      <c r="U130" s="89"/>
      <c r="V130" s="103"/>
      <c r="W130" s="115"/>
      <c r="X130" s="56"/>
      <c r="Y130" s="141"/>
      <c r="Z130" s="56"/>
      <c r="AA130" s="146"/>
      <c r="AB130" s="147"/>
      <c r="AC130" s="147"/>
      <c r="AD130" s="149"/>
      <c r="AH130" s="141"/>
      <c r="AI130" s="52"/>
      <c r="AJ130" s="121"/>
    </row>
    <row r="131" spans="1:65" s="61" customFormat="1" ht="42" customHeight="1">
      <c r="A131" s="166"/>
      <c r="B131" s="171"/>
      <c r="C131" s="171"/>
      <c r="D131" s="171"/>
      <c r="E131" s="171"/>
      <c r="F131" s="171"/>
      <c r="G131" s="171"/>
      <c r="H131" s="171"/>
      <c r="I131" s="171"/>
      <c r="J131" s="133"/>
      <c r="K131" s="133"/>
      <c r="L131" s="133"/>
      <c r="M131" s="133"/>
      <c r="N131" s="133"/>
      <c r="O131" s="133"/>
      <c r="P131" s="133"/>
      <c r="Q131" s="133"/>
      <c r="R131" s="101"/>
      <c r="S131" s="133"/>
      <c r="T131" s="133"/>
      <c r="U131" s="86"/>
      <c r="V131" s="102"/>
      <c r="W131" s="114"/>
      <c r="X131" s="56"/>
      <c r="Y131" s="141"/>
      <c r="Z131" s="56"/>
      <c r="AA131" s="56"/>
      <c r="AB131" s="56"/>
      <c r="AC131" s="56"/>
      <c r="AD131" s="149"/>
      <c r="AE131" s="52"/>
      <c r="AF131" s="52"/>
      <c r="AG131" s="52"/>
      <c r="AH131" s="56"/>
      <c r="AI131" s="52"/>
      <c r="AJ131" s="122"/>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row>
    <row r="132" spans="1:65" s="56" customFormat="1" ht="42" customHeight="1">
      <c r="A132" s="166"/>
      <c r="B132" s="171"/>
      <c r="C132" s="171"/>
      <c r="D132" s="171"/>
      <c r="E132" s="171"/>
      <c r="F132" s="171"/>
      <c r="G132" s="171"/>
      <c r="H132" s="171"/>
      <c r="I132" s="171"/>
      <c r="J132" s="133"/>
      <c r="K132" s="133"/>
      <c r="L132" s="133"/>
      <c r="M132" s="133"/>
      <c r="N132" s="133"/>
      <c r="O132" s="133"/>
      <c r="P132" s="133"/>
      <c r="Q132" s="133"/>
      <c r="R132" s="101"/>
      <c r="S132" s="133"/>
      <c r="T132" s="133"/>
      <c r="U132" s="86"/>
      <c r="V132" s="102"/>
      <c r="W132" s="114"/>
      <c r="AD132" s="149"/>
      <c r="AE132" s="52"/>
      <c r="AF132" s="52"/>
      <c r="AG132" s="52"/>
      <c r="AJ132" s="122"/>
    </row>
    <row r="133" spans="1:65" s="56" customFormat="1" ht="42" customHeight="1">
      <c r="A133" s="87"/>
      <c r="B133" s="12"/>
      <c r="C133" s="12"/>
      <c r="D133" s="11"/>
      <c r="E133" s="11"/>
      <c r="F133" s="11"/>
      <c r="G133" s="11"/>
      <c r="H133" s="11"/>
      <c r="I133" s="11"/>
      <c r="J133" s="1"/>
      <c r="K133" s="13"/>
      <c r="L133" s="13"/>
      <c r="M133" s="13"/>
      <c r="N133" s="13"/>
      <c r="O133" s="13"/>
      <c r="P133" s="13"/>
      <c r="Q133" s="13"/>
      <c r="R133" s="13"/>
      <c r="S133" s="13"/>
      <c r="T133" s="14"/>
      <c r="U133" s="86"/>
      <c r="V133" s="121"/>
      <c r="W133" s="114"/>
      <c r="AI133" s="52"/>
      <c r="AJ133" s="119"/>
      <c r="AL133" s="52"/>
      <c r="AM133" s="52"/>
      <c r="AN133" s="52"/>
      <c r="AO133" s="52"/>
      <c r="AP133" s="52"/>
      <c r="AQ133" s="52"/>
    </row>
    <row r="134" spans="1:65" s="56" customFormat="1" ht="7.5" customHeight="1">
      <c r="A134" s="1565"/>
      <c r="B134" s="1751"/>
      <c r="C134" s="1751"/>
      <c r="D134" s="1751"/>
      <c r="E134" s="1751"/>
      <c r="F134" s="1751"/>
      <c r="G134" s="1751"/>
      <c r="H134" s="1751"/>
      <c r="I134" s="1751"/>
      <c r="J134" s="1751"/>
      <c r="K134" s="1751"/>
      <c r="L134" s="1751"/>
      <c r="M134" s="1751"/>
      <c r="N134" s="1751"/>
      <c r="O134" s="1751"/>
      <c r="P134" s="1751"/>
      <c r="Q134" s="1751"/>
      <c r="R134" s="1751"/>
      <c r="S134" s="1751"/>
      <c r="T134" s="1751"/>
      <c r="U134" s="1752"/>
      <c r="V134" s="185"/>
      <c r="W134" s="114"/>
      <c r="X134" s="364"/>
      <c r="Y134" s="250"/>
      <c r="Z134" s="251"/>
      <c r="AI134" s="52"/>
      <c r="AJ134" s="122"/>
      <c r="AS134" s="52"/>
    </row>
    <row r="135" spans="1:65" s="56" customFormat="1" ht="15" customHeight="1">
      <c r="A135" s="213"/>
      <c r="B135" s="47"/>
      <c r="C135" s="47"/>
      <c r="D135" s="47"/>
      <c r="E135" s="47"/>
      <c r="F135" s="47"/>
      <c r="G135" s="47"/>
      <c r="H135" s="47"/>
      <c r="I135" s="47"/>
      <c r="J135" s="47"/>
      <c r="K135" s="47"/>
      <c r="L135" s="47"/>
      <c r="M135" s="47"/>
      <c r="N135" s="47"/>
      <c r="O135" s="47"/>
      <c r="P135" s="47"/>
      <c r="Q135" s="47"/>
      <c r="R135" s="47"/>
      <c r="S135" s="47"/>
      <c r="T135" s="47"/>
      <c r="U135" s="328"/>
      <c r="V135" s="185"/>
      <c r="W135" s="114"/>
      <c r="X135" s="364"/>
      <c r="Y135" s="250"/>
      <c r="Z135" s="251"/>
      <c r="AI135" s="52"/>
      <c r="AJ135" s="122"/>
      <c r="AS135" s="52"/>
    </row>
    <row r="136" spans="1:65" s="56" customFormat="1" ht="11.25" customHeight="1">
      <c r="A136" s="1808"/>
      <c r="B136" s="1893"/>
      <c r="C136" s="1893"/>
      <c r="D136" s="1893"/>
      <c r="E136" s="1893"/>
      <c r="F136" s="1893"/>
      <c r="G136" s="1893"/>
      <c r="H136" s="1893"/>
      <c r="I136" s="1893"/>
      <c r="J136" s="1893"/>
      <c r="K136" s="1893"/>
      <c r="L136" s="1893"/>
      <c r="M136" s="1893"/>
      <c r="N136" s="1893"/>
      <c r="O136" s="1893"/>
      <c r="P136" s="1893"/>
      <c r="Q136" s="1893"/>
      <c r="R136" s="1893"/>
      <c r="S136" s="1893"/>
      <c r="T136" s="1893"/>
      <c r="U136" s="1746"/>
      <c r="V136" s="185"/>
      <c r="W136" s="114"/>
      <c r="X136" s="251"/>
      <c r="Y136" s="250"/>
      <c r="Z136" s="251"/>
      <c r="AI136" s="52"/>
      <c r="AJ136" s="121"/>
      <c r="AL136" s="61"/>
      <c r="AS136" s="52"/>
    </row>
    <row r="137" spans="1:65" s="56" customFormat="1" ht="10.5" customHeight="1">
      <c r="A137" s="81"/>
      <c r="B137" s="82"/>
      <c r="C137" s="82"/>
      <c r="D137" s="82"/>
      <c r="E137" s="82"/>
      <c r="F137" s="82"/>
      <c r="G137" s="82"/>
      <c r="H137" s="82"/>
      <c r="I137" s="82"/>
      <c r="J137" s="83"/>
      <c r="K137" s="82"/>
      <c r="L137" s="82"/>
      <c r="M137" s="82"/>
      <c r="N137" s="82"/>
      <c r="O137" s="82"/>
      <c r="P137" s="82"/>
      <c r="Q137" s="82"/>
      <c r="R137" s="82"/>
      <c r="S137" s="82"/>
      <c r="T137" s="82"/>
      <c r="U137" s="84"/>
      <c r="V137" s="102"/>
      <c r="W137" s="114"/>
      <c r="X137" s="251"/>
      <c r="AA137" s="251"/>
      <c r="AB137" s="251"/>
      <c r="AJ137" s="119"/>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row>
    <row r="138" spans="1:65" s="56" customFormat="1" ht="18.75" customHeight="1">
      <c r="A138" s="87"/>
      <c r="B138" s="1887" t="str">
        <f>"Proportion of Single Assessments completed within each time band ("&amp;ReportData!$E$3&amp;") [SCB17-21]"</f>
        <v>Proportion of Single Assessments completed within each time band (2023-24) [SCB17-21]</v>
      </c>
      <c r="C138" s="1887"/>
      <c r="D138" s="1887"/>
      <c r="E138" s="1887"/>
      <c r="F138" s="1887"/>
      <c r="G138" s="1887"/>
      <c r="H138" s="1887"/>
      <c r="I138" s="1887"/>
      <c r="J138" s="50"/>
      <c r="K138" s="50"/>
      <c r="L138" s="50"/>
      <c r="M138" s="50"/>
      <c r="N138" s="224"/>
      <c r="O138" s="50"/>
      <c r="P138" s="50"/>
      <c r="Q138" s="50"/>
      <c r="R138" s="50"/>
      <c r="S138" s="50"/>
      <c r="T138" s="50"/>
      <c r="U138" s="86"/>
      <c r="V138" s="102"/>
      <c r="W138" s="114"/>
      <c r="AG138" s="52"/>
      <c r="AH138" s="52"/>
      <c r="AI138" s="141"/>
      <c r="AJ138" s="119"/>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row>
    <row r="139" spans="1:65" ht="18.75" customHeight="1">
      <c r="A139" s="87"/>
      <c r="B139" s="1887"/>
      <c r="C139" s="1887"/>
      <c r="D139" s="1887"/>
      <c r="E139" s="1887"/>
      <c r="F139" s="1887"/>
      <c r="G139" s="1887"/>
      <c r="H139" s="1887"/>
      <c r="I139" s="1887"/>
      <c r="J139" s="50"/>
      <c r="K139" s="50"/>
      <c r="L139" s="50"/>
      <c r="M139" s="50"/>
      <c r="N139" s="224"/>
      <c r="O139" s="50"/>
      <c r="P139" s="50"/>
      <c r="Q139" s="50"/>
      <c r="R139" s="5"/>
      <c r="S139" s="50"/>
      <c r="T139" s="50"/>
      <c r="U139" s="86"/>
      <c r="V139" s="102"/>
      <c r="W139" s="114"/>
      <c r="AI139" s="141"/>
      <c r="AJ139" s="119"/>
    </row>
    <row r="140" spans="1:65" ht="35.25" customHeight="1">
      <c r="A140" s="88"/>
      <c r="B140" s="1296" t="s">
        <v>177</v>
      </c>
      <c r="C140" s="59"/>
      <c r="D140" s="928" t="s">
        <v>114</v>
      </c>
      <c r="E140" s="928" t="s">
        <v>544</v>
      </c>
      <c r="F140" s="928" t="s">
        <v>545</v>
      </c>
      <c r="G140" s="928" t="s">
        <v>546</v>
      </c>
      <c r="H140" s="929" t="s">
        <v>118</v>
      </c>
      <c r="I140" s="68"/>
      <c r="J140" s="68"/>
      <c r="K140" s="43"/>
      <c r="L140" s="43"/>
      <c r="M140" s="43"/>
      <c r="N140" s="43"/>
      <c r="O140" s="43"/>
      <c r="P140" s="43"/>
      <c r="Q140" s="225"/>
      <c r="R140" s="225"/>
      <c r="S140" s="120"/>
      <c r="T140" s="226"/>
      <c r="U140" s="89"/>
      <c r="V140" s="103"/>
      <c r="W140" s="115"/>
      <c r="X140" s="248"/>
      <c r="Y140" s="365" t="str">
        <f>D140</f>
        <v>Within 10 Days</v>
      </c>
      <c r="Z140" s="365" t="str">
        <f>E140</f>
        <v>11-20 Days</v>
      </c>
      <c r="AA140" s="365" t="str">
        <f>F140</f>
        <v>21-30 Days</v>
      </c>
      <c r="AB140" s="365" t="str">
        <f>G140</f>
        <v>31-45 Days</v>
      </c>
      <c r="AC140" s="365" t="str">
        <f>H140</f>
        <v>Over 45 Days</v>
      </c>
      <c r="AD140" s="366" t="s">
        <v>82</v>
      </c>
      <c r="AE140" s="362" t="s">
        <v>101</v>
      </c>
      <c r="AF140" s="141" t="s">
        <v>175</v>
      </c>
      <c r="AG140" s="141"/>
      <c r="AH140" s="141"/>
      <c r="AI140" s="141"/>
      <c r="AJ140" s="12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row>
    <row r="141" spans="1:65" ht="15.75" customHeight="1">
      <c r="A141" s="1103">
        <f>VLOOKUP(B141,ReportData!$AQ$4:$AR$25,2,FALSE)</f>
        <v>0</v>
      </c>
      <c r="B141" s="885" t="str">
        <f t="shared" ref="B141:B160" si="37">B11</f>
        <v>Bracknell Forest</v>
      </c>
      <c r="C141" s="59"/>
      <c r="D141" s="922">
        <f t="shared" ref="D141:D161" si="38">IF(AND(ISNUMBER(Y141),$AD141&gt;0),Y141/$AD141,NA())</f>
        <v>0.23190442726633873</v>
      </c>
      <c r="E141" s="922">
        <f t="shared" ref="E141:E161" si="39">IF(AND(ISNUMBER(Z141),$AD141&gt;0),Z141/$AD141,NA())</f>
        <v>0.26563598032326069</v>
      </c>
      <c r="F141" s="922">
        <f t="shared" ref="F141:F161" si="40">IF(AND(ISNUMBER(AA141),$AD141&gt;0),AA141/$AD141,NA())</f>
        <v>0.14968376669009137</v>
      </c>
      <c r="G141" s="922">
        <f t="shared" ref="G141:G161" si="41">IF(AND(ISNUMBER(AB141),$AD141&gt;0),AB141/$AD141,NA())</f>
        <v>0.17498243148278286</v>
      </c>
      <c r="H141" s="923">
        <f t="shared" ref="H141:H161" si="42">IF(AND(ISNUMBER(AC141),$AD141&gt;0),AC141/$AD141,NA())</f>
        <v>0.17779339423752635</v>
      </c>
      <c r="I141" s="68"/>
      <c r="J141" s="68"/>
      <c r="K141" s="127"/>
      <c r="L141" s="127"/>
      <c r="M141" s="127"/>
      <c r="N141" s="127"/>
      <c r="O141" s="127"/>
      <c r="P141" s="127"/>
      <c r="Q141" s="127"/>
      <c r="R141" s="128"/>
      <c r="S141" s="120"/>
      <c r="T141" s="127"/>
      <c r="U141" s="89"/>
      <c r="V141" s="103"/>
      <c r="W141" s="115"/>
      <c r="X141" s="265" t="str">
        <f t="shared" ref="X141:X161" si="43">B141</f>
        <v>Bracknell Forest</v>
      </c>
      <c r="Y141" s="307">
        <f>IF(Year5_Bracknell_Forest Year5_Assessments_10days="","",Year5_Bracknell_Forest Year5_Assessments_10days)</f>
        <v>330</v>
      </c>
      <c r="Z141" s="248">
        <f>IF(Year5_Bracknell_Forest Year5_Assessments_11_20days="","",Year5_Bracknell_Forest Year5_Assessments_11_20days)</f>
        <v>378</v>
      </c>
      <c r="AA141" s="248">
        <f>IF(Year5_Bracknell_Forest Year5_Assessments_21_30days="","",Year5_Bracknell_Forest Year5_Assessments_21_30days)</f>
        <v>213</v>
      </c>
      <c r="AB141" s="248">
        <f>IF(Year5_Bracknell_Forest Year5_Assessments_31_45days="","",Year5_Bracknell_Forest Year5_Assessments_31_45days)</f>
        <v>249</v>
      </c>
      <c r="AC141" s="248">
        <f>IF(Year5_Bracknell_Forest Year5_Assessments_over_45days="","",Year5_Bracknell_Forest Year5_Assessments_over_45days)</f>
        <v>253</v>
      </c>
      <c r="AD141" s="367">
        <f t="shared" ref="AD141:AD161" si="44">SUM(Y141:AC141)</f>
        <v>1423</v>
      </c>
      <c r="AE141" s="368">
        <f>SUM(Z141:AB141)/AD141</f>
        <v>0.59030217849613498</v>
      </c>
      <c r="AF141" s="141" t="b">
        <f t="shared" ref="AF141:AF161" si="45">IF(X141=$Y$4,1)</f>
        <v>0</v>
      </c>
      <c r="AG141" s="141"/>
      <c r="AH141" s="141"/>
      <c r="AI141" s="141"/>
      <c r="AJ141" s="12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row>
    <row r="142" spans="1:65" s="61" customFormat="1" ht="15.75" customHeight="1">
      <c r="A142" s="1103">
        <f>VLOOKUP(B142,ReportData!$AQ$4:$AR$25,2,FALSE)</f>
        <v>0</v>
      </c>
      <c r="B142" s="885" t="str">
        <f t="shared" si="37"/>
        <v>Brighton &amp; Hove</v>
      </c>
      <c r="C142" s="59"/>
      <c r="D142" s="922">
        <f t="shared" si="38"/>
        <v>0.15684907633321715</v>
      </c>
      <c r="E142" s="922">
        <f t="shared" si="39"/>
        <v>0.12896479609620076</v>
      </c>
      <c r="F142" s="922">
        <f t="shared" si="40"/>
        <v>0.15580341582432902</v>
      </c>
      <c r="G142" s="922">
        <f t="shared" si="41"/>
        <v>0.41826420355524574</v>
      </c>
      <c r="H142" s="923">
        <f t="shared" si="42"/>
        <v>0.14011850819100732</v>
      </c>
      <c r="I142" s="68"/>
      <c r="J142" s="68"/>
      <c r="K142" s="127"/>
      <c r="L142" s="127"/>
      <c r="M142" s="127"/>
      <c r="N142" s="127"/>
      <c r="O142" s="127"/>
      <c r="P142" s="127"/>
      <c r="Q142" s="127"/>
      <c r="R142" s="128"/>
      <c r="S142" s="120"/>
      <c r="T142" s="127"/>
      <c r="U142" s="89"/>
      <c r="V142" s="103"/>
      <c r="W142" s="115"/>
      <c r="X142" s="265" t="str">
        <f t="shared" si="43"/>
        <v>Brighton &amp; Hove</v>
      </c>
      <c r="Y142" s="307">
        <f>IF(Year5_Brighton_and_Hove Year5_Assessments_10days="","",Year5_Brighton_and_Hove Year5_Assessments_10days)</f>
        <v>450</v>
      </c>
      <c r="Z142" s="248">
        <f>IF(Year5_Brighton_and_Hove Year5_Assessments_11_20days="","",Year5_Brighton_and_Hove Year5_Assessments_11_20days)</f>
        <v>370</v>
      </c>
      <c r="AA142" s="248">
        <f>IF(Year5_Brighton_and_Hove Year5_Assessments_21_30days="","",Year5_Brighton_and_Hove Year5_Assessments_21_30days)</f>
        <v>447</v>
      </c>
      <c r="AB142" s="248">
        <f>IF(Year5_Brighton_and_Hove Year5_Assessments_31_45days="","",Year5_Brighton_and_Hove Year5_Assessments_31_45days)</f>
        <v>1200</v>
      </c>
      <c r="AC142" s="248">
        <f>IF(Year5_Brighton_and_Hove Year5_Assessments_over_45days="","",Year5_Brighton_and_Hove Year5_Assessments_over_45days)</f>
        <v>402</v>
      </c>
      <c r="AD142" s="367">
        <f t="shared" si="44"/>
        <v>2869</v>
      </c>
      <c r="AE142" s="368">
        <f t="shared" ref="AE142:AE161" si="46">SUM(Z142:AB142)/AD142</f>
        <v>0.70303241547577555</v>
      </c>
      <c r="AF142" s="141" t="b">
        <f t="shared" si="45"/>
        <v>0</v>
      </c>
      <c r="AG142" s="141"/>
      <c r="AH142" s="141"/>
      <c r="AI142" s="141"/>
      <c r="AJ142" s="121"/>
    </row>
    <row r="143" spans="1:65" s="61" customFormat="1" ht="15.75" customHeight="1">
      <c r="A143" s="1103">
        <f>VLOOKUP(B143,ReportData!$AQ$4:$AR$25,2,FALSE)</f>
        <v>0</v>
      </c>
      <c r="B143" s="885" t="str">
        <f t="shared" si="37"/>
        <v>Buckinghamshire</v>
      </c>
      <c r="C143" s="59"/>
      <c r="D143" s="922">
        <f t="shared" si="38"/>
        <v>0.2048894062863795</v>
      </c>
      <c r="E143" s="922">
        <f t="shared" si="39"/>
        <v>0.11036088474970897</v>
      </c>
      <c r="F143" s="922">
        <f t="shared" si="40"/>
        <v>0.15552968568102446</v>
      </c>
      <c r="G143" s="922">
        <f t="shared" si="41"/>
        <v>0.30023282887077996</v>
      </c>
      <c r="H143" s="923">
        <f t="shared" si="42"/>
        <v>0.2289871944121071</v>
      </c>
      <c r="I143" s="68"/>
      <c r="J143" s="68"/>
      <c r="K143" s="127"/>
      <c r="L143" s="127"/>
      <c r="M143" s="127"/>
      <c r="N143" s="127"/>
      <c r="O143" s="127"/>
      <c r="P143" s="127"/>
      <c r="Q143" s="127"/>
      <c r="R143" s="128"/>
      <c r="S143" s="120"/>
      <c r="T143" s="127"/>
      <c r="U143" s="89"/>
      <c r="V143" s="103"/>
      <c r="W143" s="115"/>
      <c r="X143" s="265" t="str">
        <f t="shared" si="43"/>
        <v>Buckinghamshire</v>
      </c>
      <c r="Y143" s="307">
        <f>IF(Year5_Buckinghamshire Year5_Assessments_10days="","",Year5_Buckinghamshire Year5_Assessments_10days)</f>
        <v>1760</v>
      </c>
      <c r="Z143" s="248">
        <f>IF(Year5_Buckinghamshire Year5_Assessments_11_20days="","",Year5_Buckinghamshire Year5_Assessments_11_20days)</f>
        <v>948</v>
      </c>
      <c r="AA143" s="248">
        <f>IF(Year5_Buckinghamshire Year5_Assessments_21_30days="","",Year5_Buckinghamshire Year5_Assessments_21_30days)</f>
        <v>1336</v>
      </c>
      <c r="AB143" s="248">
        <f>IF(Year5_Buckinghamshire Year5_Assessments_31_45days="","",Year5_Buckinghamshire Year5_Assessments_31_45days)</f>
        <v>2579</v>
      </c>
      <c r="AC143" s="248">
        <f>IF(Year5_Buckinghamshire Year5_Assessments_over_45days="","",Year5_Buckinghamshire Year5_Assessments_over_45days)</f>
        <v>1967</v>
      </c>
      <c r="AD143" s="367">
        <f t="shared" si="44"/>
        <v>8590</v>
      </c>
      <c r="AE143" s="368">
        <f t="shared" si="46"/>
        <v>0.56612339930151334</v>
      </c>
      <c r="AF143" s="141" t="b">
        <f t="shared" si="45"/>
        <v>0</v>
      </c>
      <c r="AG143" s="141"/>
      <c r="AH143" s="141"/>
      <c r="AI143" s="141"/>
      <c r="AJ143" s="121"/>
    </row>
    <row r="144" spans="1:65" s="61" customFormat="1" ht="15.75" customHeight="1">
      <c r="A144" s="1103">
        <f>VLOOKUP(B144,ReportData!$AQ$4:$AR$25,2,FALSE)</f>
        <v>0</v>
      </c>
      <c r="B144" s="885" t="str">
        <f t="shared" si="37"/>
        <v>East Sussex</v>
      </c>
      <c r="C144" s="59"/>
      <c r="D144" s="922">
        <f t="shared" si="38"/>
        <v>8.264267108690504E-2</v>
      </c>
      <c r="E144" s="922">
        <f t="shared" si="39"/>
        <v>0.13876391191096377</v>
      </c>
      <c r="F144" s="922">
        <f t="shared" si="40"/>
        <v>0.14255268766279897</v>
      </c>
      <c r="G144" s="922">
        <f t="shared" si="41"/>
        <v>0.29836609045702106</v>
      </c>
      <c r="H144" s="923">
        <f t="shared" si="42"/>
        <v>0.33767463888231114</v>
      </c>
      <c r="I144" s="68"/>
      <c r="J144" s="68"/>
      <c r="K144" s="127"/>
      <c r="L144" s="127"/>
      <c r="M144" s="127"/>
      <c r="N144" s="127"/>
      <c r="O144" s="127"/>
      <c r="P144" s="127"/>
      <c r="Q144" s="127"/>
      <c r="R144" s="128"/>
      <c r="S144" s="120"/>
      <c r="T144" s="127"/>
      <c r="U144" s="89"/>
      <c r="V144" s="103"/>
      <c r="W144" s="115"/>
      <c r="X144" s="265" t="str">
        <f t="shared" si="43"/>
        <v>East Sussex</v>
      </c>
      <c r="Y144" s="369">
        <f>IF(Year5_East_Sussex Year5_Assessments_10days="","",Year5_East_Sussex Year5_Assessments_10days)</f>
        <v>349</v>
      </c>
      <c r="Z144" s="248">
        <f>IF(Year5_East_Sussex Year5_Assessments_11_20days="","",Year5_East_Sussex Year5_Assessments_11_20days)</f>
        <v>586</v>
      </c>
      <c r="AA144" s="248">
        <f>IF(Year5_East_Sussex Year5_Assessments_21_30days="","",Year5_East_Sussex Year5_Assessments_21_30days)</f>
        <v>602</v>
      </c>
      <c r="AB144" s="248">
        <f>IF(Year5_East_Sussex Year5_Assessments_31_45days="","",Year5_East_Sussex Year5_Assessments_31_45days)</f>
        <v>1260</v>
      </c>
      <c r="AC144" s="248">
        <f>IF(Year5_East_Sussex Year5_Assessments_over_45days="","",Year5_East_Sussex Year5_Assessments_over_45days)</f>
        <v>1426</v>
      </c>
      <c r="AD144" s="367">
        <f t="shared" si="44"/>
        <v>4223</v>
      </c>
      <c r="AE144" s="368">
        <f t="shared" si="46"/>
        <v>0.57968269003078376</v>
      </c>
      <c r="AF144" s="141" t="b">
        <f t="shared" si="45"/>
        <v>0</v>
      </c>
      <c r="AG144" s="141"/>
      <c r="AH144" s="141"/>
      <c r="AI144" s="141"/>
      <c r="AJ144" s="121"/>
    </row>
    <row r="145" spans="1:45" s="61" customFormat="1" ht="15.75" customHeight="1">
      <c r="A145" s="1103">
        <f>VLOOKUP(B145,ReportData!$AQ$4:$AR$25,2,FALSE)</f>
        <v>0</v>
      </c>
      <c r="B145" s="885" t="str">
        <f t="shared" si="37"/>
        <v>Hampshire</v>
      </c>
      <c r="C145" s="59"/>
      <c r="D145" s="922" t="e">
        <f t="shared" si="38"/>
        <v>#N/A</v>
      </c>
      <c r="E145" s="922" t="e">
        <f t="shared" si="39"/>
        <v>#N/A</v>
      </c>
      <c r="F145" s="922" t="e">
        <f t="shared" si="40"/>
        <v>#N/A</v>
      </c>
      <c r="G145" s="922" t="e">
        <f t="shared" si="41"/>
        <v>#N/A</v>
      </c>
      <c r="H145" s="923" t="e">
        <f t="shared" si="42"/>
        <v>#N/A</v>
      </c>
      <c r="I145" s="68"/>
      <c r="J145" s="68"/>
      <c r="K145" s="127"/>
      <c r="L145" s="127"/>
      <c r="M145" s="127"/>
      <c r="N145" s="127"/>
      <c r="O145" s="127"/>
      <c r="P145" s="127"/>
      <c r="Q145" s="127"/>
      <c r="R145" s="128"/>
      <c r="S145" s="120"/>
      <c r="T145" s="127"/>
      <c r="U145" s="89"/>
      <c r="V145" s="103"/>
      <c r="W145" s="115"/>
      <c r="X145" s="265" t="str">
        <f t="shared" si="43"/>
        <v>Hampshire</v>
      </c>
      <c r="Y145" s="307" t="str">
        <f>IF(Year5_Hampshire Year5_Assessments_10days="","",Year5_Hampshire Year5_Assessments_10days)</f>
        <v>u</v>
      </c>
      <c r="Z145" s="248" t="str">
        <f>IF(Year5_Hampshire Year5_Assessments_11_20days="","",Year5_Hampshire Year5_Assessments_11_20days)</f>
        <v>u</v>
      </c>
      <c r="AA145" s="248" t="str">
        <f>IF(Year5_Hampshire Year5_Assessments_21_30days="","",Year5_Hampshire Year5_Assessments_21_30days)</f>
        <v>u</v>
      </c>
      <c r="AB145" s="248" t="str">
        <f>IF(Year5_Hampshire Year5_Assessments_31_45days="","",Year5_Hampshire Year5_Assessments_31_45days)</f>
        <v>u</v>
      </c>
      <c r="AC145" s="248" t="str">
        <f>IF(Year5_Hampshire Year5_Assessments_over_45days="","",Year5_Hampshire Year5_Assessments_over_45days)</f>
        <v>u</v>
      </c>
      <c r="AD145" s="367">
        <f t="shared" si="44"/>
        <v>0</v>
      </c>
      <c r="AE145" s="368" t="e">
        <f t="shared" si="46"/>
        <v>#DIV/0!</v>
      </c>
      <c r="AF145" s="141" t="b">
        <f t="shared" si="45"/>
        <v>0</v>
      </c>
      <c r="AG145" s="141"/>
      <c r="AH145" s="141"/>
      <c r="AI145" s="141"/>
      <c r="AJ145" s="121"/>
    </row>
    <row r="146" spans="1:45" s="61" customFormat="1" ht="15.75" customHeight="1">
      <c r="A146" s="1103">
        <f>VLOOKUP(B146,ReportData!$AQ$4:$AR$25,2,FALSE)</f>
        <v>0</v>
      </c>
      <c r="B146" s="885" t="str">
        <f t="shared" si="37"/>
        <v>Isle of Wight</v>
      </c>
      <c r="C146" s="59"/>
      <c r="D146" s="922">
        <f t="shared" si="38"/>
        <v>0.4494834971025447</v>
      </c>
      <c r="E146" s="922">
        <f t="shared" si="39"/>
        <v>0.32023179642227262</v>
      </c>
      <c r="F146" s="922">
        <f t="shared" si="40"/>
        <v>8.1632653061224483E-2</v>
      </c>
      <c r="G146" s="922">
        <f t="shared" si="41"/>
        <v>0.11337868480725624</v>
      </c>
      <c r="H146" s="923">
        <f t="shared" si="42"/>
        <v>3.5273368606701938E-2</v>
      </c>
      <c r="I146" s="68"/>
      <c r="J146" s="68"/>
      <c r="K146" s="127"/>
      <c r="L146" s="127"/>
      <c r="M146" s="127"/>
      <c r="N146" s="127"/>
      <c r="O146" s="127"/>
      <c r="P146" s="127"/>
      <c r="Q146" s="127"/>
      <c r="R146" s="128"/>
      <c r="S146" s="120"/>
      <c r="T146" s="127"/>
      <c r="U146" s="89"/>
      <c r="V146" s="103"/>
      <c r="W146" s="115"/>
      <c r="X146" s="265" t="str">
        <f t="shared" si="43"/>
        <v>Isle of Wight</v>
      </c>
      <c r="Y146" s="307">
        <f>IF(Year5_Isle_of_Wight Year5_Assessments_10days="","",Year5_Isle_of_Wight Year5_Assessments_10days)</f>
        <v>1784</v>
      </c>
      <c r="Z146" s="248">
        <f>IF(Year5_Isle_of_Wight Year5_Assessments_11_20days="","",Year5_Isle_of_Wight Year5_Assessments_11_20days)</f>
        <v>1271</v>
      </c>
      <c r="AA146" s="248">
        <f>IF(Year5_Isle_of_Wight Year5_Assessments_21_30days="","",Year5_Isle_of_Wight Year5_Assessments_21_30days)</f>
        <v>324</v>
      </c>
      <c r="AB146" s="248">
        <f>IF(Year5_Isle_of_Wight Year5_Assessments_31_45days="","",Year5_Isle_of_Wight Year5_Assessments_31_45days)</f>
        <v>450</v>
      </c>
      <c r="AC146" s="248">
        <f>IF(Year5_Isle_of_Wight Year5_Assessments_over_45days="","",Year5_Isle_of_Wight Year5_Assessments_over_45days)</f>
        <v>140</v>
      </c>
      <c r="AD146" s="367">
        <f t="shared" si="44"/>
        <v>3969</v>
      </c>
      <c r="AE146" s="368">
        <f t="shared" si="46"/>
        <v>0.5152431342907533</v>
      </c>
      <c r="AF146" s="141" t="b">
        <f t="shared" si="45"/>
        <v>0</v>
      </c>
      <c r="AG146" s="141"/>
      <c r="AH146" s="141"/>
      <c r="AI146" s="141"/>
      <c r="AJ146" s="121"/>
      <c r="AS146" s="61" t="s">
        <v>95</v>
      </c>
    </row>
    <row r="147" spans="1:45" s="61" customFormat="1" ht="15.75" customHeight="1">
      <c r="A147" s="1103">
        <f>VLOOKUP(B147,ReportData!$AQ$4:$AR$25,2,FALSE)</f>
        <v>0</v>
      </c>
      <c r="B147" s="885" t="str">
        <f t="shared" si="37"/>
        <v>Kent</v>
      </c>
      <c r="C147" s="59"/>
      <c r="D147" s="922">
        <f t="shared" si="38"/>
        <v>0.13464022140221402</v>
      </c>
      <c r="E147" s="922">
        <f t="shared" si="39"/>
        <v>8.9898523985239856E-2</v>
      </c>
      <c r="F147" s="922">
        <f t="shared" si="40"/>
        <v>0.17375461254612545</v>
      </c>
      <c r="G147" s="922">
        <f t="shared" si="41"/>
        <v>0.45013837638376386</v>
      </c>
      <c r="H147" s="923">
        <f t="shared" si="42"/>
        <v>0.15156826568265683</v>
      </c>
      <c r="I147" s="68"/>
      <c r="J147" s="68"/>
      <c r="K147" s="127"/>
      <c r="L147" s="127"/>
      <c r="M147" s="127"/>
      <c r="N147" s="127"/>
      <c r="O147" s="127"/>
      <c r="P147" s="127"/>
      <c r="Q147" s="127"/>
      <c r="R147" s="128"/>
      <c r="S147" s="120"/>
      <c r="T147" s="127"/>
      <c r="U147" s="89"/>
      <c r="V147" s="103"/>
      <c r="W147" s="115"/>
      <c r="X147" s="265" t="str">
        <f t="shared" si="43"/>
        <v>Kent</v>
      </c>
      <c r="Y147" s="369">
        <f>IF(Year5_Kent Year5_Assessments_10days="","",Year5_Kent Year5_Assessments_10days)</f>
        <v>2919</v>
      </c>
      <c r="Z147" s="370">
        <f>IF(Year5_Kent Year5_Assessments_11_20days="","",Year5_Kent Year5_Assessments_11_20days)</f>
        <v>1949</v>
      </c>
      <c r="AA147" s="370">
        <f>IF(Year5_Kent Year5_Assessments_21_30days="","",Year5_Kent Year5_Assessments_21_30days)</f>
        <v>3767</v>
      </c>
      <c r="AB147" s="370">
        <f>IF(Year5_Kent Year5_Assessments_31_45days="","",Year5_Kent Year5_Assessments_31_45days)</f>
        <v>9759</v>
      </c>
      <c r="AC147" s="370">
        <f>IF(Year5_Kent Year5_Assessments_over_45days="","",Year5_Kent Year5_Assessments_over_45days)</f>
        <v>3286</v>
      </c>
      <c r="AD147" s="367">
        <f t="shared" si="44"/>
        <v>21680</v>
      </c>
      <c r="AE147" s="368">
        <f t="shared" si="46"/>
        <v>0.7137915129151291</v>
      </c>
      <c r="AF147" s="141" t="b">
        <f t="shared" si="45"/>
        <v>0</v>
      </c>
      <c r="AG147" s="141"/>
      <c r="AH147" s="141"/>
      <c r="AI147" s="141"/>
      <c r="AJ147" s="121"/>
    </row>
    <row r="148" spans="1:45" s="61" customFormat="1" ht="15.75" customHeight="1">
      <c r="A148" s="1103">
        <f>VLOOKUP(B148,ReportData!$AQ$4:$AR$25,2,FALSE)</f>
        <v>0</v>
      </c>
      <c r="B148" s="885" t="str">
        <f t="shared" si="37"/>
        <v>Medway</v>
      </c>
      <c r="C148" s="59"/>
      <c r="D148" s="922">
        <f t="shared" si="38"/>
        <v>5.4491352055049284E-2</v>
      </c>
      <c r="E148" s="922">
        <f t="shared" si="39"/>
        <v>7.9040357076436668E-2</v>
      </c>
      <c r="F148" s="922">
        <f t="shared" si="40"/>
        <v>0.12032732006695183</v>
      </c>
      <c r="G148" s="922">
        <f t="shared" si="41"/>
        <v>0.52780360795982895</v>
      </c>
      <c r="H148" s="923">
        <f t="shared" si="42"/>
        <v>0.2183373628417333</v>
      </c>
      <c r="I148" s="68"/>
      <c r="J148" s="68"/>
      <c r="K148" s="127"/>
      <c r="L148" s="127"/>
      <c r="M148" s="127"/>
      <c r="N148" s="127"/>
      <c r="O148" s="127"/>
      <c r="P148" s="127"/>
      <c r="Q148" s="127"/>
      <c r="R148" s="128"/>
      <c r="S148" s="120"/>
      <c r="T148" s="127"/>
      <c r="U148" s="89"/>
      <c r="V148" s="103"/>
      <c r="W148" s="115"/>
      <c r="X148" s="265" t="str">
        <f t="shared" si="43"/>
        <v>Medway</v>
      </c>
      <c r="Y148" s="369">
        <f>IF(Year5_Medway Year5_Assessments_10days="","",Year5_Medway Year5_Assessments_10days)</f>
        <v>293</v>
      </c>
      <c r="Z148" s="370">
        <f>IF(Year5_Medway Year5_Assessments_11_20days="","",Year5_Medway Year5_Assessments_11_20days)</f>
        <v>425</v>
      </c>
      <c r="AA148" s="370">
        <f>IF(Year5_Medway Year5_Assessments_21_30days="","",Year5_Medway Year5_Assessments_21_30days)</f>
        <v>647</v>
      </c>
      <c r="AB148" s="370">
        <f>IF(Year5_Medway Year5_Assessments_31_45days="","",Year5_Medway Year5_Assessments_31_45days)</f>
        <v>2838</v>
      </c>
      <c r="AC148" s="370">
        <f>IF(Year5_Medway Year5_Assessments_over_45days="","",Year5_Medway Year5_Assessments_over_45days)</f>
        <v>1174</v>
      </c>
      <c r="AD148" s="367">
        <f t="shared" si="44"/>
        <v>5377</v>
      </c>
      <c r="AE148" s="368">
        <f t="shared" si="46"/>
        <v>0.72717128510321738</v>
      </c>
      <c r="AF148" s="141" t="b">
        <f t="shared" si="45"/>
        <v>0</v>
      </c>
      <c r="AG148" s="141"/>
      <c r="AH148" s="141"/>
      <c r="AI148" s="141"/>
      <c r="AJ148" s="121"/>
    </row>
    <row r="149" spans="1:45" s="61" customFormat="1" ht="15.75" customHeight="1">
      <c r="A149" s="1103">
        <f>VLOOKUP(B149,ReportData!$AQ$4:$AR$25,2,FALSE)</f>
        <v>0</v>
      </c>
      <c r="B149" s="885" t="str">
        <f t="shared" si="37"/>
        <v>Milton Keynes</v>
      </c>
      <c r="C149" s="59"/>
      <c r="D149" s="922">
        <f t="shared" si="38"/>
        <v>9.3706681452730797E-2</v>
      </c>
      <c r="E149" s="922">
        <f t="shared" si="39"/>
        <v>0.17798724701968394</v>
      </c>
      <c r="F149" s="922">
        <f t="shared" si="40"/>
        <v>0.2173551427779318</v>
      </c>
      <c r="G149" s="922">
        <f t="shared" si="41"/>
        <v>0.32187413362905459</v>
      </c>
      <c r="H149" s="923">
        <f t="shared" si="42"/>
        <v>0.18907679512059883</v>
      </c>
      <c r="I149" s="68"/>
      <c r="J149" s="68"/>
      <c r="K149" s="127"/>
      <c r="L149" s="127"/>
      <c r="M149" s="127"/>
      <c r="N149" s="127"/>
      <c r="O149" s="127"/>
      <c r="P149" s="127"/>
      <c r="Q149" s="127"/>
      <c r="R149" s="128"/>
      <c r="S149" s="120"/>
      <c r="T149" s="127"/>
      <c r="U149" s="89"/>
      <c r="V149" s="103"/>
      <c r="W149" s="115"/>
      <c r="X149" s="265" t="str">
        <f t="shared" si="43"/>
        <v>Milton Keynes</v>
      </c>
      <c r="Y149" s="369">
        <f>IF(Year5_Milton_Keynes Year5_Assessments_10days="","",Year5_Milton_Keynes Year5_Assessments_10days)</f>
        <v>338</v>
      </c>
      <c r="Z149" s="370">
        <f>IF(Year5_Milton_Keynes Year5_Assessments_11_20days="","",Year5_Milton_Keynes Year5_Assessments_11_20days)</f>
        <v>642</v>
      </c>
      <c r="AA149" s="370">
        <f>IF(Year5_Milton_Keynes Year5_Assessments_21_30days="","",Year5_Milton_Keynes Year5_Assessments_21_30days)</f>
        <v>784</v>
      </c>
      <c r="AB149" s="370">
        <f>IF(Year5_Milton_Keynes Year5_Assessments_31_45days="","",Year5_Milton_Keynes Year5_Assessments_31_45days)</f>
        <v>1161</v>
      </c>
      <c r="AC149" s="370">
        <f>IF(Year5_Milton_Keynes Year5_Assessments_over_45days="","",Year5_Milton_Keynes Year5_Assessments_over_45days)</f>
        <v>682</v>
      </c>
      <c r="AD149" s="367">
        <f t="shared" si="44"/>
        <v>3607</v>
      </c>
      <c r="AE149" s="368">
        <f t="shared" si="46"/>
        <v>0.71721652342667042</v>
      </c>
      <c r="AF149" s="141" t="b">
        <f t="shared" si="45"/>
        <v>0</v>
      </c>
      <c r="AG149" s="141"/>
      <c r="AH149" s="141"/>
      <c r="AI149" s="141"/>
      <c r="AJ149" s="121"/>
    </row>
    <row r="150" spans="1:45" s="61" customFormat="1" ht="15.75" customHeight="1">
      <c r="A150" s="1103">
        <f>VLOOKUP(B150,ReportData!$AQ$4:$AR$25,2,FALSE)</f>
        <v>0</v>
      </c>
      <c r="B150" s="885" t="str">
        <f t="shared" si="37"/>
        <v>Oxfordshire</v>
      </c>
      <c r="C150" s="59"/>
      <c r="D150" s="922">
        <f t="shared" si="38"/>
        <v>8.6656727543794262E-2</v>
      </c>
      <c r="E150" s="922">
        <f t="shared" si="39"/>
        <v>0.15001863585538577</v>
      </c>
      <c r="F150" s="922">
        <f t="shared" si="40"/>
        <v>0.1738725307491614</v>
      </c>
      <c r="G150" s="922">
        <f t="shared" si="41"/>
        <v>0.40122996645546033</v>
      </c>
      <c r="H150" s="923">
        <f t="shared" si="42"/>
        <v>0.18822213939619828</v>
      </c>
      <c r="I150" s="68"/>
      <c r="J150" s="68"/>
      <c r="K150" s="127"/>
      <c r="L150" s="127"/>
      <c r="M150" s="127"/>
      <c r="N150" s="127"/>
      <c r="O150" s="127"/>
      <c r="P150" s="127"/>
      <c r="Q150" s="127"/>
      <c r="R150" s="128"/>
      <c r="S150" s="120"/>
      <c r="T150" s="127"/>
      <c r="U150" s="89"/>
      <c r="V150" s="103"/>
      <c r="W150" s="115"/>
      <c r="X150" s="265" t="str">
        <f t="shared" si="43"/>
        <v>Oxfordshire</v>
      </c>
      <c r="Y150" s="307">
        <f>IF(Year5_Oxfordshire Year5_Assessments_10days="","",Year5_Oxfordshire Year5_Assessments_10days)</f>
        <v>465</v>
      </c>
      <c r="Z150" s="248">
        <f>IF(Year5_Oxfordshire Year5_Assessments_11_20days="","",Year5_Oxfordshire Year5_Assessments_11_20days)</f>
        <v>805</v>
      </c>
      <c r="AA150" s="248">
        <f>IF(Year5_Oxfordshire Year5_Assessments_21_30days="","",Year5_Oxfordshire Year5_Assessments_21_30days)</f>
        <v>933</v>
      </c>
      <c r="AB150" s="248">
        <f>IF(Year5_Oxfordshire Year5_Assessments_31_45days="","",Year5_Oxfordshire Year5_Assessments_31_45days)</f>
        <v>2153</v>
      </c>
      <c r="AC150" s="248">
        <f>IF(Year5_Oxfordshire Year5_Assessments_over_45days="","",Year5_Oxfordshire Year5_Assessments_over_45days)</f>
        <v>1010</v>
      </c>
      <c r="AD150" s="367">
        <f t="shared" si="44"/>
        <v>5366</v>
      </c>
      <c r="AE150" s="368">
        <f t="shared" si="46"/>
        <v>0.72512113306000747</v>
      </c>
      <c r="AF150" s="141" t="b">
        <f t="shared" si="45"/>
        <v>0</v>
      </c>
      <c r="AG150" s="141"/>
      <c r="AH150" s="141"/>
      <c r="AI150" s="141"/>
      <c r="AJ150" s="121"/>
    </row>
    <row r="151" spans="1:45" s="61" customFormat="1" ht="15.75" customHeight="1">
      <c r="A151" s="1103">
        <f>VLOOKUP(B151,ReportData!$AQ$4:$AR$25,2,FALSE)</f>
        <v>0</v>
      </c>
      <c r="B151" s="885" t="str">
        <f t="shared" si="37"/>
        <v>Portsmouth</v>
      </c>
      <c r="C151" s="59"/>
      <c r="D151" s="922">
        <f t="shared" si="38"/>
        <v>0.19252128841169938</v>
      </c>
      <c r="E151" s="922">
        <f t="shared" si="39"/>
        <v>0.30729359496482783</v>
      </c>
      <c r="F151" s="922">
        <f t="shared" si="40"/>
        <v>0.24879674194742687</v>
      </c>
      <c r="G151" s="922">
        <f t="shared" si="41"/>
        <v>0.25138837467604591</v>
      </c>
      <c r="H151" s="923" t="e">
        <f t="shared" si="42"/>
        <v>#N/A</v>
      </c>
      <c r="I151" s="68"/>
      <c r="J151" s="68"/>
      <c r="K151" s="127"/>
      <c r="L151" s="127"/>
      <c r="M151" s="127"/>
      <c r="N151" s="127"/>
      <c r="O151" s="127"/>
      <c r="P151" s="127"/>
      <c r="Q151" s="127"/>
      <c r="R151" s="128"/>
      <c r="S151" s="120"/>
      <c r="T151" s="127"/>
      <c r="U151" s="89"/>
      <c r="V151" s="103"/>
      <c r="W151" s="115"/>
      <c r="X151" s="265" t="str">
        <f t="shared" si="43"/>
        <v>Portsmouth</v>
      </c>
      <c r="Y151" s="307">
        <f>IF(Year5_Portsmouth Year5_Assessments_10days="","",Year5_Portsmouth Year5_Assessments_10days)</f>
        <v>520</v>
      </c>
      <c r="Z151" s="248">
        <f>IF(Year5_Portsmouth Year5_Assessments_11_20days="","",Year5_Portsmouth Year5_Assessments_11_20days)</f>
        <v>830</v>
      </c>
      <c r="AA151" s="248">
        <f>IF(Year5_Portsmouth Year5_Assessments_21_30days="","",Year5_Portsmouth Year5_Assessments_21_30days)</f>
        <v>672</v>
      </c>
      <c r="AB151" s="248">
        <f>IF(Year5_Portsmouth Year5_Assessments_31_45days="","",Year5_Portsmouth Year5_Assessments_31_45days)</f>
        <v>679</v>
      </c>
      <c r="AC151" s="248" t="str">
        <f>IF(Year5_Portsmouth Year5_Assessments_over_45days="","",Year5_Portsmouth Year5_Assessments_over_45days)</f>
        <v>c</v>
      </c>
      <c r="AD151" s="367">
        <f t="shared" si="44"/>
        <v>2701</v>
      </c>
      <c r="AE151" s="368">
        <f t="shared" si="46"/>
        <v>0.80747871158830065</v>
      </c>
      <c r="AF151" s="141" t="b">
        <f t="shared" si="45"/>
        <v>0</v>
      </c>
      <c r="AG151" s="141"/>
      <c r="AH151" s="141"/>
      <c r="AI151" s="141"/>
      <c r="AJ151" s="121"/>
    </row>
    <row r="152" spans="1:45" s="61" customFormat="1" ht="15.75" customHeight="1">
      <c r="A152" s="1103">
        <f>VLOOKUP(B152,ReportData!$AQ$4:$AR$25,2,FALSE)</f>
        <v>0</v>
      </c>
      <c r="B152" s="885" t="str">
        <f t="shared" si="37"/>
        <v>Reading</v>
      </c>
      <c r="C152" s="59"/>
      <c r="D152" s="922">
        <f t="shared" si="38"/>
        <v>4.6982291290206001E-2</v>
      </c>
      <c r="E152" s="922">
        <f t="shared" si="39"/>
        <v>0.11601011926273942</v>
      </c>
      <c r="F152" s="922">
        <f t="shared" si="40"/>
        <v>0.14889772316588362</v>
      </c>
      <c r="G152" s="922">
        <f t="shared" si="41"/>
        <v>0.30936031803397179</v>
      </c>
      <c r="H152" s="923">
        <f t="shared" si="42"/>
        <v>0.37874954824719914</v>
      </c>
      <c r="I152" s="68"/>
      <c r="J152" s="68"/>
      <c r="K152" s="127"/>
      <c r="L152" s="127"/>
      <c r="M152" s="127"/>
      <c r="N152" s="127"/>
      <c r="O152" s="127"/>
      <c r="P152" s="127"/>
      <c r="Q152" s="127"/>
      <c r="R152" s="128"/>
      <c r="S152" s="120"/>
      <c r="T152" s="127"/>
      <c r="U152" s="89"/>
      <c r="V152" s="103"/>
      <c r="W152" s="115"/>
      <c r="X152" s="265" t="str">
        <f t="shared" si="43"/>
        <v>Reading</v>
      </c>
      <c r="Y152" s="307">
        <f>IF(Year5_Reading Year5_Assessments_10days="","",Year5_Reading Year5_Assessments_10days)</f>
        <v>130</v>
      </c>
      <c r="Z152" s="248">
        <f>IF(Year5_Reading Year5_Assessments_11_20days="","",Year5_Reading Year5_Assessments_11_20days)</f>
        <v>321</v>
      </c>
      <c r="AA152" s="248">
        <f>IF(Year5_Reading Year5_Assessments_21_30days="","",Year5_Reading Year5_Assessments_21_30days)</f>
        <v>412</v>
      </c>
      <c r="AB152" s="248">
        <f>IF(Year5_Reading Year5_Assessments_31_45days="","",Year5_Reading Year5_Assessments_31_45days)</f>
        <v>856</v>
      </c>
      <c r="AC152" s="248">
        <f>IF(Year5_Reading Year5_Assessments_over_45days="","",Year5_Reading Year5_Assessments_over_45days)</f>
        <v>1048</v>
      </c>
      <c r="AD152" s="367">
        <f>SUM(Y152:AC152)</f>
        <v>2767</v>
      </c>
      <c r="AE152" s="368">
        <f t="shared" si="46"/>
        <v>0.57426816046259488</v>
      </c>
      <c r="AF152" s="141" t="b">
        <f t="shared" si="45"/>
        <v>0</v>
      </c>
      <c r="AG152" s="141"/>
      <c r="AH152" s="141"/>
      <c r="AI152" s="141"/>
      <c r="AJ152" s="121"/>
    </row>
    <row r="153" spans="1:45" s="61" customFormat="1" ht="15.75" customHeight="1">
      <c r="A153" s="1103">
        <f>VLOOKUP(B153,ReportData!$AQ$4:$AR$25,2,FALSE)</f>
        <v>0</v>
      </c>
      <c r="B153" s="885" t="str">
        <f t="shared" si="37"/>
        <v>Slough</v>
      </c>
      <c r="C153" s="59"/>
      <c r="D153" s="922" t="e">
        <f t="shared" si="38"/>
        <v>#N/A</v>
      </c>
      <c r="E153" s="922">
        <f t="shared" si="39"/>
        <v>0.11456196894227952</v>
      </c>
      <c r="F153" s="922">
        <f t="shared" si="40"/>
        <v>0.27160855552300028</v>
      </c>
      <c r="G153" s="922">
        <f t="shared" si="41"/>
        <v>0.4781716964547319</v>
      </c>
      <c r="H153" s="923">
        <f t="shared" si="42"/>
        <v>0.13565777907998827</v>
      </c>
      <c r="I153" s="68"/>
      <c r="J153" s="68"/>
      <c r="K153" s="127"/>
      <c r="L153" s="127"/>
      <c r="M153" s="127"/>
      <c r="N153" s="127"/>
      <c r="O153" s="127"/>
      <c r="P153" s="127"/>
      <c r="Q153" s="127"/>
      <c r="R153" s="128"/>
      <c r="S153" s="120"/>
      <c r="T153" s="127"/>
      <c r="U153" s="89"/>
      <c r="V153" s="103"/>
      <c r="W153" s="115"/>
      <c r="X153" s="265" t="str">
        <f t="shared" si="43"/>
        <v>Slough</v>
      </c>
      <c r="Y153" s="307" t="str">
        <f>IF(Year5_Slough Year5_Assessments_10days="","",Year5_Slough Year5_Assessments_10days)</f>
        <v>c</v>
      </c>
      <c r="Z153" s="248">
        <f>IF(Year5_Slough Year5_Assessments_11_20days="","",Year5_Slough Year5_Assessments_11_20days)</f>
        <v>391</v>
      </c>
      <c r="AA153" s="248">
        <f>IF(Year5_Slough Year5_Assessments_21_30days="","",Year5_Slough Year5_Assessments_21_30days)</f>
        <v>927</v>
      </c>
      <c r="AB153" s="248">
        <f>IF(Year5_Slough Year5_Assessments_31_45days="","",Year5_Slough Year5_Assessments_31_45days)</f>
        <v>1632</v>
      </c>
      <c r="AC153" s="248">
        <f>IF(Year5_Slough Year5_Assessments_over_45days="","",Year5_Slough Year5_Assessments_over_45days)</f>
        <v>463</v>
      </c>
      <c r="AD153" s="367">
        <f t="shared" si="44"/>
        <v>3413</v>
      </c>
      <c r="AE153" s="368">
        <f t="shared" si="46"/>
        <v>0.86434222092001167</v>
      </c>
      <c r="AF153" s="141" t="b">
        <f t="shared" si="45"/>
        <v>0</v>
      </c>
      <c r="AG153" s="141"/>
      <c r="AH153" s="141"/>
      <c r="AI153" s="141"/>
      <c r="AJ153" s="121"/>
    </row>
    <row r="154" spans="1:45" s="61" customFormat="1" ht="15.75" customHeight="1">
      <c r="A154" s="1103">
        <f>VLOOKUP(B154,ReportData!$AQ$4:$AR$25,2,FALSE)</f>
        <v>0</v>
      </c>
      <c r="B154" s="885" t="str">
        <f t="shared" si="37"/>
        <v>Southampton</v>
      </c>
      <c r="C154" s="59"/>
      <c r="D154" s="922">
        <f t="shared" si="38"/>
        <v>0.13609281906553777</v>
      </c>
      <c r="E154" s="922">
        <f t="shared" si="39"/>
        <v>0.13577924114142365</v>
      </c>
      <c r="F154" s="922">
        <f t="shared" si="40"/>
        <v>0.16023831922232676</v>
      </c>
      <c r="G154" s="922">
        <f t="shared" si="41"/>
        <v>0.4487300094073377</v>
      </c>
      <c r="H154" s="923">
        <f t="shared" si="42"/>
        <v>0.1191596111633741</v>
      </c>
      <c r="I154" s="68"/>
      <c r="J154" s="68"/>
      <c r="K154" s="127"/>
      <c r="L154" s="127"/>
      <c r="M154" s="127"/>
      <c r="N154" s="127"/>
      <c r="O154" s="127"/>
      <c r="P154" s="127"/>
      <c r="Q154" s="127"/>
      <c r="R154" s="128"/>
      <c r="S154" s="120"/>
      <c r="T154" s="127"/>
      <c r="U154" s="89"/>
      <c r="V154" s="103"/>
      <c r="W154" s="115"/>
      <c r="X154" s="265" t="str">
        <f t="shared" si="43"/>
        <v>Southampton</v>
      </c>
      <c r="Y154" s="307">
        <f>IF(Year5_Southampton Year5_Assessments_10days="","",Year5_Southampton Year5_Assessments_10days)</f>
        <v>434</v>
      </c>
      <c r="Z154" s="248">
        <f>IF(Year5_Southampton Year5_Assessments_11_20days="","",Year5_Southampton Year5_Assessments_11_20days)</f>
        <v>433</v>
      </c>
      <c r="AA154" s="248">
        <f>IF(Year5_Southampton Year5_Assessments_21_30days="","",Year5_Southampton Year5_Assessments_21_30days)</f>
        <v>511</v>
      </c>
      <c r="AB154" s="248">
        <f>IF(Year5_Southampton Year5_Assessments_31_45days="","",Year5_Southampton Year5_Assessments_31_45days)</f>
        <v>1431</v>
      </c>
      <c r="AC154" s="248">
        <f>IF(Year5_Southampton Year5_Assessments_over_45days="","",Year5_Southampton Year5_Assessments_over_45days)</f>
        <v>380</v>
      </c>
      <c r="AD154" s="367">
        <f t="shared" si="44"/>
        <v>3189</v>
      </c>
      <c r="AE154" s="368">
        <f t="shared" si="46"/>
        <v>0.74474756977108814</v>
      </c>
      <c r="AF154" s="141" t="b">
        <f t="shared" si="45"/>
        <v>0</v>
      </c>
      <c r="AG154" s="141"/>
      <c r="AH154" s="141"/>
      <c r="AI154" s="141"/>
      <c r="AJ154" s="121"/>
    </row>
    <row r="155" spans="1:45" s="61" customFormat="1" ht="15.75" customHeight="1">
      <c r="A155" s="1103">
        <f>VLOOKUP(B155,ReportData!$AQ$4:$AR$25,2,FALSE)</f>
        <v>0</v>
      </c>
      <c r="B155" s="885" t="str">
        <f t="shared" si="37"/>
        <v>Surrey</v>
      </c>
      <c r="C155" s="59"/>
      <c r="D155" s="922">
        <f t="shared" si="38"/>
        <v>6.3592169228747872E-2</v>
      </c>
      <c r="E155" s="922">
        <f t="shared" si="39"/>
        <v>0.11141768492970701</v>
      </c>
      <c r="F155" s="922">
        <f t="shared" si="40"/>
        <v>0.10800157666535277</v>
      </c>
      <c r="G155" s="922">
        <f t="shared" si="41"/>
        <v>0.56917619235317307</v>
      </c>
      <c r="H155" s="923">
        <f t="shared" si="42"/>
        <v>0.14781237682301931</v>
      </c>
      <c r="I155" s="68"/>
      <c r="J155" s="68"/>
      <c r="K155" s="127"/>
      <c r="L155" s="127"/>
      <c r="M155" s="127"/>
      <c r="N155" s="127"/>
      <c r="O155" s="127"/>
      <c r="P155" s="127"/>
      <c r="Q155" s="127"/>
      <c r="R155" s="128"/>
      <c r="S155" s="120"/>
      <c r="T155" s="127"/>
      <c r="U155" s="89"/>
      <c r="V155" s="103"/>
      <c r="W155" s="115"/>
      <c r="X155" s="265" t="str">
        <f t="shared" si="43"/>
        <v>Surrey</v>
      </c>
      <c r="Y155" s="307">
        <f>IF(Year5_Surrey Year5_Assessments_10days="","",Year5_Surrey Year5_Assessments_10days)</f>
        <v>484</v>
      </c>
      <c r="Z155" s="248">
        <f>IF(Year5_Surrey Year5_Assessments_11_20days="","",Year5_Surrey Year5_Assessments_11_20days)</f>
        <v>848</v>
      </c>
      <c r="AA155" s="248">
        <f>IF(Year5_Surrey Year5_Assessments_21_30days="","",Year5_Surrey Year5_Assessments_21_30days)</f>
        <v>822</v>
      </c>
      <c r="AB155" s="248">
        <f>IF(Year5_Surrey Year5_Assessments_31_45days="","",Year5_Surrey Year5_Assessments_31_45days)</f>
        <v>4332</v>
      </c>
      <c r="AC155" s="248">
        <f>IF(Year5_Surrey Year5_Assessments_over_45days="","",Year5_Surrey Year5_Assessments_over_45days)</f>
        <v>1125</v>
      </c>
      <c r="AD155" s="367">
        <f t="shared" si="44"/>
        <v>7611</v>
      </c>
      <c r="AE155" s="368">
        <f t="shared" si="46"/>
        <v>0.78859545394823283</v>
      </c>
      <c r="AF155" s="141" t="b">
        <f t="shared" si="45"/>
        <v>0</v>
      </c>
      <c r="AG155" s="141"/>
      <c r="AH155" s="141"/>
      <c r="AI155" s="141"/>
      <c r="AJ155" s="121"/>
    </row>
    <row r="156" spans="1:45" s="61" customFormat="1" ht="15.75" customHeight="1">
      <c r="A156" s="1103">
        <f>VLOOKUP(B156,ReportData!$AQ$4:$AR$25,2,FALSE)</f>
        <v>0</v>
      </c>
      <c r="B156" s="885" t="str">
        <f t="shared" si="37"/>
        <v>West Berkshire</v>
      </c>
      <c r="C156" s="59"/>
      <c r="D156" s="922">
        <f t="shared" si="38"/>
        <v>0.36159600997506236</v>
      </c>
      <c r="E156" s="922">
        <f t="shared" si="39"/>
        <v>0.16209476309226933</v>
      </c>
      <c r="F156" s="922">
        <f t="shared" si="40"/>
        <v>0.14256026600166252</v>
      </c>
      <c r="G156" s="922">
        <f t="shared" si="41"/>
        <v>0.30756442227763925</v>
      </c>
      <c r="H156" s="923">
        <f t="shared" si="42"/>
        <v>2.6184538653366583E-2</v>
      </c>
      <c r="I156" s="68"/>
      <c r="J156" s="68"/>
      <c r="K156" s="127"/>
      <c r="L156" s="127"/>
      <c r="M156" s="127"/>
      <c r="N156" s="127"/>
      <c r="O156" s="127"/>
      <c r="P156" s="127"/>
      <c r="Q156" s="127"/>
      <c r="R156" s="128"/>
      <c r="S156" s="120"/>
      <c r="T156" s="127"/>
      <c r="U156" s="89"/>
      <c r="V156" s="103"/>
      <c r="W156" s="115"/>
      <c r="X156" s="265" t="str">
        <f t="shared" si="43"/>
        <v>West Berkshire</v>
      </c>
      <c r="Y156" s="307">
        <f>IF(Year5_West_Berkshire Year5_Assessments_10days="","",Year5_West_Berkshire Year5_Assessments_10days)</f>
        <v>870</v>
      </c>
      <c r="Z156" s="248">
        <f>IF(Year5_West_Berkshire Year5_Assessments_11_20days="","",Year5_West_Berkshire Year5_Assessments_11_20days)</f>
        <v>390</v>
      </c>
      <c r="AA156" s="248">
        <f>IF(Year5_West_Berkshire Year5_Assessments_21_30days="","",Year5_West_Berkshire Year5_Assessments_21_30days)</f>
        <v>343</v>
      </c>
      <c r="AB156" s="248">
        <f>IF(Year5_West_Berkshire Year5_Assessments_31_45days="","",Year5_West_Berkshire Year5_Assessments_31_45days)</f>
        <v>740</v>
      </c>
      <c r="AC156" s="248">
        <f>IF(Year5_West_Berkshire Year5_Assessments_over_45days="","",Year5_West_Berkshire Year5_Assessments_over_45days)</f>
        <v>63</v>
      </c>
      <c r="AD156" s="367">
        <f t="shared" si="44"/>
        <v>2406</v>
      </c>
      <c r="AE156" s="368">
        <f t="shared" si="46"/>
        <v>0.61221945137157108</v>
      </c>
      <c r="AF156" s="141" t="b">
        <f t="shared" si="45"/>
        <v>0</v>
      </c>
      <c r="AG156" s="141"/>
      <c r="AH156" s="141"/>
      <c r="AI156" s="141"/>
      <c r="AJ156" s="121"/>
    </row>
    <row r="157" spans="1:45" s="61" customFormat="1" ht="15.75" customHeight="1">
      <c r="A157" s="1103">
        <f>VLOOKUP(B157,ReportData!$AQ$4:$AR$25,2,FALSE)</f>
        <v>0</v>
      </c>
      <c r="B157" s="885" t="str">
        <f t="shared" si="37"/>
        <v>West Sussex</v>
      </c>
      <c r="C157" s="59"/>
      <c r="D157" s="922">
        <f t="shared" si="38"/>
        <v>6.8792338238729267E-2</v>
      </c>
      <c r="E157" s="922">
        <f t="shared" si="39"/>
        <v>0.16398037841625787</v>
      </c>
      <c r="F157" s="922">
        <f t="shared" si="40"/>
        <v>0.16748423265592152</v>
      </c>
      <c r="G157" s="922">
        <f t="shared" si="41"/>
        <v>0.49532819434711517</v>
      </c>
      <c r="H157" s="923">
        <f t="shared" si="42"/>
        <v>0.10441485634197617</v>
      </c>
      <c r="I157" s="68"/>
      <c r="J157" s="68"/>
      <c r="K157" s="127"/>
      <c r="L157" s="127"/>
      <c r="M157" s="127"/>
      <c r="N157" s="127"/>
      <c r="O157" s="127"/>
      <c r="P157" s="127"/>
      <c r="Q157" s="127"/>
      <c r="R157" s="128"/>
      <c r="S157" s="120"/>
      <c r="T157" s="127"/>
      <c r="U157" s="89"/>
      <c r="V157" s="103"/>
      <c r="W157" s="115"/>
      <c r="X157" s="265" t="str">
        <f t="shared" si="43"/>
        <v>West Sussex</v>
      </c>
      <c r="Y157" s="307">
        <f>IF(Year5_West_Sussex Year5_Assessments_10days="","",Year5_West_Sussex Year5_Assessments_10days)</f>
        <v>589</v>
      </c>
      <c r="Z157" s="248">
        <f>IF(Year5_West_Sussex Year5_Assessments_11_20days="","",Year5_West_Sussex Year5_Assessments_11_20days)</f>
        <v>1404</v>
      </c>
      <c r="AA157" s="248">
        <f>IF(Year5_West_Sussex Year5_Assessments_21_30days="","",Year5_West_Sussex Year5_Assessments_21_30days)</f>
        <v>1434</v>
      </c>
      <c r="AB157" s="248">
        <f>IF(Year5_West_Sussex Year5_Assessments_31_45days="","",Year5_West_Sussex Year5_Assessments_31_45days)</f>
        <v>4241</v>
      </c>
      <c r="AC157" s="248">
        <f>IF(Year5_West_Sussex Year5_Assessments_over_45days="","",Year5_West_Sussex Year5_Assessments_over_45days)</f>
        <v>894</v>
      </c>
      <c r="AD157" s="367">
        <f t="shared" si="44"/>
        <v>8562</v>
      </c>
      <c r="AE157" s="368">
        <f t="shared" si="46"/>
        <v>0.82679280541929456</v>
      </c>
      <c r="AF157" s="141" t="b">
        <f t="shared" si="45"/>
        <v>0</v>
      </c>
      <c r="AG157" s="141"/>
      <c r="AH157" s="141"/>
      <c r="AI157" s="141"/>
      <c r="AJ157" s="121"/>
    </row>
    <row r="158" spans="1:45" s="61" customFormat="1" ht="15.75" customHeight="1">
      <c r="A158" s="1103">
        <f>VLOOKUP(B158,ReportData!$AQ$4:$AR$25,2,FALSE)</f>
        <v>0</v>
      </c>
      <c r="B158" s="885" t="str">
        <f t="shared" si="37"/>
        <v>Windsor &amp; Maidenhead</v>
      </c>
      <c r="C158" s="59"/>
      <c r="D158" s="922">
        <f t="shared" si="38"/>
        <v>0.13836065573770492</v>
      </c>
      <c r="E158" s="922">
        <f t="shared" si="39"/>
        <v>0.23540983606557378</v>
      </c>
      <c r="F158" s="922">
        <f t="shared" si="40"/>
        <v>0.19409836065573771</v>
      </c>
      <c r="G158" s="922">
        <f t="shared" si="41"/>
        <v>0.33573770491803279</v>
      </c>
      <c r="H158" s="923">
        <f t="shared" si="42"/>
        <v>9.6393442622950826E-2</v>
      </c>
      <c r="I158" s="68"/>
      <c r="J158" s="68"/>
      <c r="K158" s="127"/>
      <c r="L158" s="127"/>
      <c r="M158" s="127"/>
      <c r="N158" s="127"/>
      <c r="O158" s="127"/>
      <c r="P158" s="127"/>
      <c r="Q158" s="127"/>
      <c r="R158" s="128"/>
      <c r="S158" s="120"/>
      <c r="T158" s="127"/>
      <c r="U158" s="89"/>
      <c r="V158" s="103"/>
      <c r="W158" s="115"/>
      <c r="X158" s="265" t="str">
        <f t="shared" si="43"/>
        <v>Windsor &amp; Maidenhead</v>
      </c>
      <c r="Y158" s="307">
        <f>IF(Year5_Windsor_and_Maidenhead Year5_Assessments_10days="","",Year5_Windsor_and_Maidenhead Year5_Assessments_10days)</f>
        <v>211</v>
      </c>
      <c r="Z158" s="248">
        <f>IF(Year5_Windsor_and_Maidenhead Year5_Assessments_11_20days="","",Year5_Windsor_and_Maidenhead Year5_Assessments_11_20days)</f>
        <v>359</v>
      </c>
      <c r="AA158" s="248">
        <f>IF(Year5_Windsor_and_Maidenhead Year5_Assessments_21_30days="","",Year5_Windsor_and_Maidenhead Year5_Assessments_21_30days)</f>
        <v>296</v>
      </c>
      <c r="AB158" s="248">
        <f>IF(Year5_Windsor_and_Maidenhead Year5_Assessments_31_45days="","",Year5_Windsor_and_Maidenhead Year5_Assessments_31_45days)</f>
        <v>512</v>
      </c>
      <c r="AC158" s="248">
        <f>IF(Year5_Windsor_and_Maidenhead Year5_Assessments_over_45days="","",Year5_Windsor_and_Maidenhead Year5_Assessments_over_45days)</f>
        <v>147</v>
      </c>
      <c r="AD158" s="367">
        <f t="shared" si="44"/>
        <v>1525</v>
      </c>
      <c r="AE158" s="368">
        <f t="shared" si="46"/>
        <v>0.76524590163934425</v>
      </c>
      <c r="AF158" s="141" t="b">
        <f t="shared" si="45"/>
        <v>0</v>
      </c>
      <c r="AG158" s="141"/>
      <c r="AH158" s="141"/>
      <c r="AI158" s="141"/>
      <c r="AJ158" s="121"/>
    </row>
    <row r="159" spans="1:45" s="61" customFormat="1" ht="15.75" customHeight="1">
      <c r="A159" s="1103">
        <f>VLOOKUP(B159,ReportData!$AQ$4:$AR$25,2,FALSE)</f>
        <v>0</v>
      </c>
      <c r="B159" s="885" t="str">
        <f t="shared" si="37"/>
        <v>Wokingham</v>
      </c>
      <c r="C159" s="59"/>
      <c r="D159" s="922" t="e">
        <f t="shared" si="38"/>
        <v>#N/A</v>
      </c>
      <c r="E159" s="922">
        <f t="shared" si="39"/>
        <v>9.4514210178453406E-2</v>
      </c>
      <c r="F159" s="922">
        <f t="shared" si="40"/>
        <v>0.10508922670191673</v>
      </c>
      <c r="G159" s="922">
        <f t="shared" si="41"/>
        <v>0.61202908129543954</v>
      </c>
      <c r="H159" s="923">
        <f t="shared" si="42"/>
        <v>0.18836748182419036</v>
      </c>
      <c r="I159" s="68"/>
      <c r="J159" s="68"/>
      <c r="K159" s="127"/>
      <c r="L159" s="127"/>
      <c r="M159" s="127"/>
      <c r="N159" s="127"/>
      <c r="O159" s="127"/>
      <c r="P159" s="127"/>
      <c r="Q159" s="127"/>
      <c r="R159" s="128"/>
      <c r="S159" s="120"/>
      <c r="T159" s="127"/>
      <c r="U159" s="89"/>
      <c r="V159" s="103"/>
      <c r="W159" s="115"/>
      <c r="X159" s="265" t="str">
        <f t="shared" si="43"/>
        <v>Wokingham</v>
      </c>
      <c r="Y159" s="307" t="str">
        <f>IF(Year5_Wokingham Year5_Assessments_10days="","",Year5_Wokingham Year5_Assessments_10days)</f>
        <v>c</v>
      </c>
      <c r="Z159" s="248">
        <f>IF(Year5_Wokingham Year5_Assessments_11_20days="","",Year5_Wokingham Year5_Assessments_11_20days)</f>
        <v>143</v>
      </c>
      <c r="AA159" s="248">
        <f>IF(Year5_Wokingham Year5_Assessments_21_30days="","",Year5_Wokingham Year5_Assessments_21_30days)</f>
        <v>159</v>
      </c>
      <c r="AB159" s="248">
        <f>IF(Year5_Wokingham Year5_Assessments_31_45days="","",Year5_Wokingham Year5_Assessments_31_45days)</f>
        <v>926</v>
      </c>
      <c r="AC159" s="248">
        <f>IF(Year5_Wokingham Year5_Assessments_over_45days="","",Year5_Wokingham Year5_Assessments_over_45days)</f>
        <v>285</v>
      </c>
      <c r="AD159" s="367">
        <f t="shared" si="44"/>
        <v>1513</v>
      </c>
      <c r="AE159" s="368">
        <f t="shared" si="46"/>
        <v>0.81163251817580961</v>
      </c>
      <c r="AF159" s="141" t="b">
        <f t="shared" si="45"/>
        <v>0</v>
      </c>
      <c r="AG159" s="141"/>
      <c r="AH159" s="141"/>
      <c r="AI159" s="141"/>
      <c r="AJ159" s="121"/>
    </row>
    <row r="160" spans="1:45" s="61" customFormat="1" ht="15.75" customHeight="1">
      <c r="A160" s="1103"/>
      <c r="B160" s="886" t="str">
        <f t="shared" si="37"/>
        <v>South East</v>
      </c>
      <c r="C160" s="59"/>
      <c r="D160" s="924">
        <f t="shared" si="38"/>
        <v>0.17123745819397992</v>
      </c>
      <c r="E160" s="924">
        <f t="shared" si="39"/>
        <v>0.22625418060200669</v>
      </c>
      <c r="F160" s="924">
        <f t="shared" si="40"/>
        <v>0.14096989966555185</v>
      </c>
      <c r="G160" s="924">
        <f t="shared" si="41"/>
        <v>0.32541806020066888</v>
      </c>
      <c r="H160" s="925">
        <f t="shared" si="42"/>
        <v>0.13612040133779263</v>
      </c>
      <c r="I160" s="68"/>
      <c r="J160" s="68"/>
      <c r="K160" s="127"/>
      <c r="L160" s="127"/>
      <c r="M160" s="127"/>
      <c r="N160" s="127"/>
      <c r="O160" s="127"/>
      <c r="P160" s="127"/>
      <c r="Q160" s="127"/>
      <c r="R160" s="128"/>
      <c r="S160" s="120"/>
      <c r="T160" s="127"/>
      <c r="U160" s="89"/>
      <c r="V160" s="103"/>
      <c r="W160" s="115"/>
      <c r="X160" s="265" t="str">
        <f t="shared" si="43"/>
        <v>South East</v>
      </c>
      <c r="Y160" s="248">
        <f>IF(Year5_South_East Year5_Assessments_10days="","",Year5_South_East Year5_Assessments_10days)</f>
        <v>20480</v>
      </c>
      <c r="Z160" s="248">
        <f>IF(Year5_South_East Year5_Assessments_11_20days="","",Year5_South_East Year5_Assessments_11_20days)</f>
        <v>27060</v>
      </c>
      <c r="AA160" s="248">
        <f>IF(Year5_South_East Year5_Assessments_21_30days="","",Year5_South_East Year5_Assessments_21_30days)</f>
        <v>16860</v>
      </c>
      <c r="AB160" s="248">
        <f>IF(Year5_South_East Year5_Assessments_31_45days="","",Year5_South_East Year5_Assessments_31_45days)</f>
        <v>38920</v>
      </c>
      <c r="AC160" s="248">
        <f>IF(Year5_South_East Year5_Assessments_over_45days="","",Year5_South_East Year5_Assessments_over_45days)</f>
        <v>16280</v>
      </c>
      <c r="AD160" s="367">
        <f t="shared" si="44"/>
        <v>119600</v>
      </c>
      <c r="AE160" s="368">
        <f t="shared" si="46"/>
        <v>0.69264214046822747</v>
      </c>
      <c r="AF160" s="141" t="b">
        <f t="shared" si="45"/>
        <v>0</v>
      </c>
      <c r="AG160" s="141"/>
      <c r="AH160" s="141"/>
      <c r="AI160" s="141"/>
      <c r="AJ160" s="121"/>
    </row>
    <row r="161" spans="1:65" s="61" customFormat="1" ht="15.75" customHeight="1">
      <c r="A161" s="1103"/>
      <c r="B161" s="887" t="s">
        <v>109</v>
      </c>
      <c r="C161" s="59"/>
      <c r="D161" s="926">
        <f t="shared" si="38"/>
        <v>0.12951676099259904</v>
      </c>
      <c r="E161" s="926">
        <f t="shared" si="39"/>
        <v>0.17250761863299957</v>
      </c>
      <c r="F161" s="926">
        <f t="shared" si="40"/>
        <v>0.15952484607251693</v>
      </c>
      <c r="G161" s="926">
        <f t="shared" si="41"/>
        <v>0.38304620934137695</v>
      </c>
      <c r="H161" s="927">
        <f t="shared" si="42"/>
        <v>0.1554045649605075</v>
      </c>
      <c r="I161" s="68"/>
      <c r="J161" s="68"/>
      <c r="K161" s="129"/>
      <c r="L161" s="129"/>
      <c r="M161" s="129"/>
      <c r="N161" s="129"/>
      <c r="O161" s="129"/>
      <c r="P161" s="129"/>
      <c r="Q161" s="129"/>
      <c r="R161" s="130"/>
      <c r="S161" s="120"/>
      <c r="T161" s="131"/>
      <c r="U161" s="89"/>
      <c r="V161" s="103"/>
      <c r="W161" s="114"/>
      <c r="X161" s="265" t="str">
        <f t="shared" si="43"/>
        <v>England</v>
      </c>
      <c r="Y161" s="248">
        <f>IF(Year5_England Year5_Assessments_10days="","",Year5_England Year5_Assessments_10days)</f>
        <v>83300</v>
      </c>
      <c r="Z161" s="248">
        <f>IF(Year5_England Year5_Assessments_11_20days="","",Year5_England Year5_Assessments_11_20days)</f>
        <v>110950</v>
      </c>
      <c r="AA161" s="248">
        <f>IF(Year5_England Year5_Assessments_21_30days="","",Year5_England Year5_Assessments_21_30days)</f>
        <v>102600</v>
      </c>
      <c r="AB161" s="248">
        <f>IF(Year5_England Year5_Assessments_31_45days="","",Year5_England Year5_Assessments_31_45days)</f>
        <v>246360</v>
      </c>
      <c r="AC161" s="248">
        <f>IF(Year5_England Year5_Assessments_over_45days="","",Year5_England Year5_Assessments_over_45days)</f>
        <v>99950</v>
      </c>
      <c r="AD161" s="367">
        <f t="shared" si="44"/>
        <v>643160</v>
      </c>
      <c r="AE161" s="368">
        <f t="shared" si="46"/>
        <v>0.71507867404689351</v>
      </c>
      <c r="AF161" s="141" t="b">
        <f t="shared" si="45"/>
        <v>0</v>
      </c>
      <c r="AI161" s="141"/>
      <c r="AJ161" s="121"/>
    </row>
    <row r="162" spans="1:65" s="61" customFormat="1" ht="12.75" customHeight="1">
      <c r="A162" s="217"/>
      <c r="B162" s="68"/>
      <c r="C162" s="68"/>
      <c r="D162" s="896"/>
      <c r="E162" s="896"/>
      <c r="F162" s="896"/>
      <c r="G162" s="896"/>
      <c r="H162" s="896"/>
      <c r="I162" s="68"/>
      <c r="J162" s="68"/>
      <c r="K162" s="129"/>
      <c r="L162" s="129"/>
      <c r="M162" s="129"/>
      <c r="N162" s="129"/>
      <c r="O162" s="129"/>
      <c r="P162" s="129"/>
      <c r="Q162" s="129"/>
      <c r="R162" s="130"/>
      <c r="S162" s="120"/>
      <c r="T162" s="131"/>
      <c r="U162" s="89"/>
      <c r="V162" s="103"/>
      <c r="W162" s="114"/>
      <c r="X162" s="56"/>
      <c r="Y162" s="141"/>
      <c r="Z162" s="56"/>
      <c r="AA162" s="56"/>
      <c r="AB162" s="56"/>
      <c r="AC162" s="56"/>
      <c r="AD162" s="56"/>
      <c r="AE162" s="56"/>
      <c r="AF162" s="56"/>
      <c r="AJ162" s="121"/>
    </row>
    <row r="163" spans="1:65" s="61" customFormat="1" ht="12.75" customHeight="1">
      <c r="A163" s="166"/>
      <c r="B163" s="1891"/>
      <c r="C163" s="1891"/>
      <c r="D163" s="1891"/>
      <c r="E163" s="1891"/>
      <c r="F163" s="1891"/>
      <c r="G163" s="1891"/>
      <c r="H163" s="1891"/>
      <c r="I163" s="171"/>
      <c r="J163" s="133"/>
      <c r="K163" s="133"/>
      <c r="L163" s="133"/>
      <c r="M163" s="133"/>
      <c r="N163" s="133"/>
      <c r="O163" s="133"/>
      <c r="P163" s="133"/>
      <c r="Q163" s="133"/>
      <c r="R163" s="101"/>
      <c r="S163" s="133"/>
      <c r="T163" s="133"/>
      <c r="U163" s="86"/>
      <c r="V163" s="102"/>
      <c r="W163" s="114"/>
      <c r="X163" s="56"/>
      <c r="Y163" s="141"/>
      <c r="Z163" s="56"/>
      <c r="AA163" s="56"/>
      <c r="AB163" s="56"/>
      <c r="AC163" s="147"/>
      <c r="AD163" s="149"/>
      <c r="AE163" s="52"/>
      <c r="AF163" s="52"/>
      <c r="AI163" s="52"/>
      <c r="AJ163" s="121"/>
    </row>
    <row r="164" spans="1:65" s="61" customFormat="1" ht="12.75" customHeight="1">
      <c r="A164" s="166"/>
      <c r="B164" s="171"/>
      <c r="C164" s="171"/>
      <c r="D164" s="171"/>
      <c r="E164" s="171"/>
      <c r="F164" s="171"/>
      <c r="G164" s="171"/>
      <c r="H164" s="171"/>
      <c r="I164" s="171"/>
      <c r="J164" s="133"/>
      <c r="K164" s="133"/>
      <c r="L164" s="133"/>
      <c r="M164" s="133"/>
      <c r="N164" s="133"/>
      <c r="O164" s="133"/>
      <c r="P164" s="133"/>
      <c r="Q164" s="133"/>
      <c r="R164" s="101"/>
      <c r="S164" s="133"/>
      <c r="T164" s="133"/>
      <c r="U164" s="86"/>
      <c r="V164" s="121"/>
      <c r="W164" s="114"/>
      <c r="X164" s="56"/>
      <c r="Y164" s="141"/>
      <c r="Z164" s="56"/>
      <c r="AA164" s="56"/>
      <c r="AB164" s="56"/>
      <c r="AC164" s="56"/>
      <c r="AD164" s="149"/>
      <c r="AE164" s="52"/>
      <c r="AF164" s="52"/>
      <c r="AH164" s="141"/>
      <c r="AI164" s="52"/>
      <c r="AJ164" s="121"/>
    </row>
    <row r="165" spans="1:65" s="61" customFormat="1" ht="17.25" customHeight="1">
      <c r="A165" s="166"/>
      <c r="B165" s="171"/>
      <c r="C165" s="171"/>
      <c r="D165" s="171"/>
      <c r="E165" s="171"/>
      <c r="F165" s="171"/>
      <c r="G165" s="171"/>
      <c r="H165" s="171"/>
      <c r="I165" s="171"/>
      <c r="J165" s="133"/>
      <c r="K165" s="133"/>
      <c r="L165" s="133"/>
      <c r="M165" s="133"/>
      <c r="N165" s="133"/>
      <c r="O165" s="133"/>
      <c r="P165" s="133"/>
      <c r="Q165" s="133"/>
      <c r="R165" s="101"/>
      <c r="S165" s="133"/>
      <c r="T165" s="133"/>
      <c r="U165" s="86"/>
      <c r="V165" s="185"/>
      <c r="W165" s="114"/>
      <c r="X165" s="56"/>
      <c r="Y165" s="56"/>
      <c r="Z165" s="56"/>
      <c r="AA165" s="56"/>
      <c r="AB165" s="56"/>
      <c r="AC165" s="56"/>
      <c r="AD165" s="149"/>
      <c r="AE165" s="52"/>
      <c r="AF165" s="52"/>
      <c r="AG165" s="52"/>
      <c r="AH165" s="56"/>
      <c r="AI165" s="52"/>
      <c r="AJ165" s="122"/>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row>
    <row r="166" spans="1:65" s="61" customFormat="1" ht="28.5" customHeight="1">
      <c r="A166" s="87"/>
      <c r="B166" s="12"/>
      <c r="C166" s="12"/>
      <c r="D166" s="11"/>
      <c r="E166" s="11"/>
      <c r="F166" s="11"/>
      <c r="G166" s="11"/>
      <c r="H166" s="11"/>
      <c r="I166" s="11"/>
      <c r="J166" s="1"/>
      <c r="K166" s="13"/>
      <c r="L166" s="13"/>
      <c r="M166" s="13"/>
      <c r="N166" s="13"/>
      <c r="O166" s="13"/>
      <c r="P166" s="13"/>
      <c r="Q166" s="13"/>
      <c r="R166" s="13"/>
      <c r="S166" s="13"/>
      <c r="T166" s="14"/>
      <c r="U166" s="86"/>
      <c r="V166" s="185"/>
      <c r="W166" s="114"/>
      <c r="X166" s="56"/>
      <c r="Y166" s="56"/>
      <c r="Z166" s="56"/>
      <c r="AA166" s="56"/>
      <c r="AB166" s="56"/>
      <c r="AC166" s="56"/>
      <c r="AD166" s="56"/>
      <c r="AE166" s="56"/>
      <c r="AF166" s="56"/>
      <c r="AG166" s="52"/>
      <c r="AH166" s="56"/>
      <c r="AI166" s="52"/>
      <c r="AJ166" s="122"/>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row>
    <row r="167" spans="1:65" s="56" customFormat="1" ht="33.75" customHeight="1">
      <c r="A167" s="1118"/>
      <c r="B167" s="1180"/>
      <c r="C167" s="1180"/>
      <c r="D167" s="1181"/>
      <c r="E167" s="1181"/>
      <c r="F167" s="1181"/>
      <c r="G167" s="1181"/>
      <c r="H167" s="1181"/>
      <c r="I167" s="1181"/>
      <c r="J167" s="1120"/>
      <c r="K167" s="1182"/>
      <c r="L167" s="1182"/>
      <c r="M167" s="1182"/>
      <c r="N167" s="1182"/>
      <c r="O167" s="1182"/>
      <c r="P167" s="1182"/>
      <c r="Q167" s="1182"/>
      <c r="R167" s="1182"/>
      <c r="S167" s="1182"/>
      <c r="T167" s="1183"/>
      <c r="U167" s="599"/>
      <c r="V167" s="185"/>
      <c r="W167" s="114"/>
      <c r="AG167" s="52"/>
      <c r="AJ167" s="122"/>
    </row>
    <row r="168" spans="1:65" s="56" customFormat="1" ht="10.5" hidden="1" customHeight="1">
      <c r="A168" s="81"/>
      <c r="B168" s="82"/>
      <c r="C168" s="82"/>
      <c r="D168" s="82"/>
      <c r="E168" s="82"/>
      <c r="F168" s="82"/>
      <c r="G168" s="82"/>
      <c r="H168" s="82"/>
      <c r="I168" s="82"/>
      <c r="J168" s="83"/>
      <c r="K168" s="82"/>
      <c r="L168" s="82"/>
      <c r="M168" s="82"/>
      <c r="N168" s="167"/>
      <c r="O168" s="82"/>
      <c r="P168" s="82"/>
      <c r="Q168" s="82"/>
      <c r="R168" s="82"/>
      <c r="S168" s="82"/>
      <c r="T168" s="82"/>
      <c r="U168" s="84"/>
      <c r="V168" s="102"/>
      <c r="W168" s="115"/>
      <c r="AA168" s="52"/>
      <c r="AB168" s="52"/>
      <c r="AC168" s="52"/>
      <c r="AD168" s="52"/>
      <c r="AE168" s="52"/>
      <c r="AF168" s="52"/>
      <c r="AI168" s="52"/>
      <c r="AJ168" s="121"/>
      <c r="AL168" s="61"/>
      <c r="AS168" s="52"/>
    </row>
    <row r="169" spans="1:65" s="56" customFormat="1" ht="18" hidden="1" customHeight="1">
      <c r="A169" s="87"/>
      <c r="B169" s="1886" t="s">
        <v>1060</v>
      </c>
      <c r="C169" s="1886"/>
      <c r="D169" s="1886"/>
      <c r="E169" s="1886"/>
      <c r="F169" s="1886"/>
      <c r="G169" s="1886"/>
      <c r="H169" s="1886"/>
      <c r="I169" s="1176"/>
      <c r="J169" s="50"/>
      <c r="K169" s="50"/>
      <c r="L169" s="50"/>
      <c r="M169" s="50"/>
      <c r="N169" s="50"/>
      <c r="O169" s="50"/>
      <c r="P169" s="50"/>
      <c r="Q169" s="50"/>
      <c r="R169" s="50"/>
      <c r="S169" s="50"/>
      <c r="T169" s="50"/>
      <c r="U169" s="86"/>
      <c r="V169" s="102"/>
      <c r="W169" s="115"/>
      <c r="X169" s="52"/>
      <c r="Y169" s="163" t="s">
        <v>119</v>
      </c>
      <c r="Z169" s="163"/>
      <c r="AA169" s="163"/>
      <c r="AB169" s="163"/>
      <c r="AC169" s="163"/>
      <c r="AD169" s="163" t="s">
        <v>120</v>
      </c>
      <c r="AE169" s="163"/>
      <c r="AF169" s="163"/>
      <c r="AG169" s="163"/>
      <c r="AH169" s="163"/>
      <c r="AI169" s="52"/>
      <c r="AJ169" s="119"/>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row>
    <row r="170" spans="1:65" s="56" customFormat="1" ht="21" hidden="1" customHeight="1">
      <c r="A170" s="87"/>
      <c r="B170" s="1886"/>
      <c r="C170" s="1886"/>
      <c r="D170" s="1886"/>
      <c r="E170" s="1886"/>
      <c r="F170" s="1886"/>
      <c r="G170" s="1886"/>
      <c r="H170" s="1886"/>
      <c r="I170" s="1176"/>
      <c r="J170" s="50"/>
      <c r="K170" s="50"/>
      <c r="L170" s="50"/>
      <c r="M170" s="50"/>
      <c r="N170" s="50"/>
      <c r="O170" s="50"/>
      <c r="P170" s="50"/>
      <c r="Q170" s="50"/>
      <c r="R170" s="5"/>
      <c r="S170" s="50"/>
      <c r="T170" s="50"/>
      <c r="U170" s="86"/>
      <c r="V170" s="103"/>
      <c r="W170" s="115"/>
      <c r="X170" s="52"/>
      <c r="Y170" s="307" t="e">
        <f>D10</f>
        <v>#N/A</v>
      </c>
      <c r="Z170" s="307" t="e">
        <f>E10</f>
        <v>#N/A</v>
      </c>
      <c r="AA170" s="307" t="e">
        <f>F10</f>
        <v>#N/A</v>
      </c>
      <c r="AB170" s="307" t="e">
        <f>G10</f>
        <v>#N/A</v>
      </c>
      <c r="AC170" s="353" t="e">
        <f>H10</f>
        <v>#N/A</v>
      </c>
      <c r="AD170" s="307" t="e">
        <f>Y170</f>
        <v>#N/A</v>
      </c>
      <c r="AE170" s="307" t="e">
        <f>Z170</f>
        <v>#N/A</v>
      </c>
      <c r="AF170" s="307" t="e">
        <f>AA170</f>
        <v>#N/A</v>
      </c>
      <c r="AG170" s="307" t="e">
        <f>AB170</f>
        <v>#N/A</v>
      </c>
      <c r="AH170" s="353" t="e">
        <f>AC170</f>
        <v>#N/A</v>
      </c>
      <c r="AI170" s="52"/>
      <c r="AJ170" s="119"/>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row>
    <row r="171" spans="1:65" ht="16.5" hidden="1" customHeight="1">
      <c r="A171" s="208"/>
      <c r="B171" s="1884" t="s">
        <v>177</v>
      </c>
      <c r="C171" s="1175"/>
      <c r="D171" s="1088" t="str">
        <f>ReportData!$D$27</f>
        <v>2019/20</v>
      </c>
      <c r="E171" s="1088" t="str">
        <f>ReportData!$E$27</f>
        <v>2020/21</v>
      </c>
      <c r="F171" s="1088" t="str">
        <f>ReportData!$F$27</f>
        <v>2021/22</v>
      </c>
      <c r="G171" s="1088" t="str">
        <f>ReportData!$G$27</f>
        <v>2022/23</v>
      </c>
      <c r="H171" s="1089" t="str">
        <f>ReportData!$H$27</f>
        <v>2023/24</v>
      </c>
      <c r="I171" s="230"/>
      <c r="J171" s="50"/>
      <c r="K171" s="50"/>
      <c r="L171" s="50"/>
      <c r="M171" s="50"/>
      <c r="N171" s="224"/>
      <c r="O171" s="50"/>
      <c r="P171" s="50"/>
      <c r="Q171" s="50"/>
      <c r="R171" s="5"/>
      <c r="S171" s="50"/>
      <c r="T171" s="50"/>
      <c r="U171" s="86"/>
      <c r="V171" s="103"/>
      <c r="W171" s="115"/>
      <c r="X171" s="52"/>
      <c r="Y171" s="307"/>
      <c r="Z171" s="307"/>
      <c r="AA171" s="307"/>
      <c r="AB171" s="307"/>
      <c r="AC171" s="353"/>
      <c r="AD171" s="307"/>
      <c r="AE171" s="307"/>
      <c r="AF171" s="307"/>
      <c r="AG171" s="307"/>
      <c r="AH171" s="577"/>
      <c r="AJ171" s="119"/>
    </row>
    <row r="172" spans="1:65" ht="15.75" hidden="1" customHeight="1">
      <c r="A172" s="208"/>
      <c r="B172" s="1885"/>
      <c r="C172" s="896"/>
      <c r="D172" s="897" t="e">
        <f>ReportData!$D$28</f>
        <v>#N/A</v>
      </c>
      <c r="E172" s="897" t="e">
        <f>ReportData!$E$28</f>
        <v>#N/A</v>
      </c>
      <c r="F172" s="897" t="e">
        <f>ReportData!$F$28</f>
        <v>#N/A</v>
      </c>
      <c r="G172" s="897" t="e">
        <f>ReportData!$G$28</f>
        <v>#N/A</v>
      </c>
      <c r="H172" s="920" t="e">
        <f>ReportData!$H$28</f>
        <v>#N/A</v>
      </c>
      <c r="I172" s="230"/>
      <c r="J172" s="50"/>
      <c r="K172" s="50"/>
      <c r="L172" s="50"/>
      <c r="M172" s="50"/>
      <c r="N172" s="224"/>
      <c r="O172" s="50"/>
      <c r="P172" s="50"/>
      <c r="Q172" s="50"/>
      <c r="R172" s="5"/>
      <c r="S172" s="50"/>
      <c r="T172" s="50"/>
      <c r="U172" s="86"/>
      <c r="V172" s="103"/>
      <c r="W172" s="115"/>
      <c r="X172" s="352" t="str">
        <f t="shared" ref="X172:X192" si="47">B206</f>
        <v>Bracknell Forest</v>
      </c>
      <c r="Y172" s="248" t="str">
        <f>IF(Year1_Bracknell_Forest Year1_Assessments_step_down="","",Year1_Bracknell_Forest Year1_Assessments_step_down)</f>
        <v/>
      </c>
      <c r="Z172" s="248" t="str">
        <f>IF(Year2_Bracknell_Forest Year2_Assessments_step_down="","",Year2_Bracknell_Forest Year2_Assessments_step_down)</f>
        <v/>
      </c>
      <c r="AA172" s="248" t="str">
        <f>IF(Year3_Bracknell_Forest Year3_Assessments_step_down="","",Year3_Bracknell_Forest Year3_Assessments_step_down)</f>
        <v/>
      </c>
      <c r="AB172" s="248" t="str">
        <f>IF(Year4_Bracknell_Forest Year4_Assessments_step_down="","",Year4_Bracknell_Forest Year4_Assessments_step_down)</f>
        <v/>
      </c>
      <c r="AC172" s="352" t="str">
        <f>IF(Year5_Bracknell_Forest Year5_Assessments_step_down="","",Year5_Bracknell_Forest Year5_Assessments_step_down)</f>
        <v/>
      </c>
      <c r="AD172" s="307">
        <f t="shared" ref="AD172:AD192" si="48">IF(Y172&gt;0,D11,0)</f>
        <v>1531</v>
      </c>
      <c r="AE172" s="307">
        <f t="shared" ref="AE172:AE192" si="49">IF(Z172&gt;0,E11,0)</f>
        <v>1613</v>
      </c>
      <c r="AF172" s="307">
        <f t="shared" ref="AF172:AF192" si="50">IF(AA172&gt;0,F11,0)</f>
        <v>1464</v>
      </c>
      <c r="AG172" s="307">
        <f t="shared" ref="AG172:AG192" si="51">IF(AB172&gt;0,G11,0)</f>
        <v>1410</v>
      </c>
      <c r="AH172" s="307">
        <f t="shared" ref="AH172:AH192" si="52">IF(AC172&gt;0,H11,0)</f>
        <v>1423</v>
      </c>
      <c r="AJ172" s="12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row>
    <row r="173" spans="1:65" ht="13.5" hidden="1" customHeight="1">
      <c r="A173" s="1103">
        <f>VLOOKUP(B173,ReportData!$AQ$4:$AR$25,2,FALSE)</f>
        <v>0</v>
      </c>
      <c r="B173" s="885" t="str">
        <f t="shared" ref="B173:B193" si="53">B109</f>
        <v>Bracknell Forest</v>
      </c>
      <c r="C173" s="896"/>
      <c r="D173" s="922" t="e">
        <f t="shared" ref="D173:D193" si="54">IF(ISNUMBER(Y172),Y172/AD172,NA())</f>
        <v>#N/A</v>
      </c>
      <c r="E173" s="922" t="e">
        <f t="shared" ref="E173:E193" si="55">IF(ISNUMBER(Z172),Z172/AE172,NA())</f>
        <v>#N/A</v>
      </c>
      <c r="F173" s="922" t="e">
        <f t="shared" ref="F173:F193" si="56">IF(ISNUMBER(AA172),AA172/AF172,NA())</f>
        <v>#N/A</v>
      </c>
      <c r="G173" s="922" t="e">
        <f t="shared" ref="G173:G193" si="57">IF(ISNUMBER(AB172),AB172/AG172,NA())</f>
        <v>#N/A</v>
      </c>
      <c r="H173" s="923" t="e">
        <f t="shared" ref="H173:H193" si="58">IF(ISNUMBER(AC172),AC172/AH172,NA())</f>
        <v>#N/A</v>
      </c>
      <c r="I173" s="230"/>
      <c r="J173" s="68"/>
      <c r="K173" s="127"/>
      <c r="L173" s="127"/>
      <c r="M173" s="127"/>
      <c r="N173" s="127"/>
      <c r="O173" s="127"/>
      <c r="P173" s="127"/>
      <c r="Q173" s="127"/>
      <c r="R173" s="128"/>
      <c r="S173" s="120"/>
      <c r="T173" s="127"/>
      <c r="U173" s="89"/>
      <c r="V173" s="103"/>
      <c r="W173" s="115"/>
      <c r="X173" s="352" t="str">
        <f t="shared" si="47"/>
        <v>Brighton &amp; Hove</v>
      </c>
      <c r="Y173" s="248" t="str">
        <f>IF(Year1_Brighton_and_Hove Year1_Assessments_step_down="","",Year1_Brighton_and_Hove Year1_Assessments_step_down)</f>
        <v/>
      </c>
      <c r="Z173" s="248" t="str">
        <f>IF(Year2_Brighton_and_Hove Year2_Assessments_step_down="","",Year2_Brighton_and_Hove Year2_Assessments_step_down)</f>
        <v/>
      </c>
      <c r="AA173" s="248" t="str">
        <f>IF(Year3_Brighton_and_Hove Year3_Assessments_step_down="","",Year3_Brighton_and_Hove Year3_Assessments_step_down)</f>
        <v/>
      </c>
      <c r="AB173" s="248" t="str">
        <f>IF(Year4_Brighton_and_Hove Year4_Assessments_step_down="","",Year4_Brighton_and_Hove Year4_Assessments_step_down)</f>
        <v/>
      </c>
      <c r="AC173" s="352" t="str">
        <f>IF(Year5_Brighton_and_Hove Year5_Assessments_step_down="","",Year5_Brighton_and_Hove Year5_Assessments_step_down)</f>
        <v/>
      </c>
      <c r="AD173" s="307">
        <f t="shared" si="48"/>
        <v>2754</v>
      </c>
      <c r="AE173" s="307">
        <f t="shared" si="49"/>
        <v>2146</v>
      </c>
      <c r="AF173" s="307">
        <f t="shared" si="50"/>
        <v>2646</v>
      </c>
      <c r="AG173" s="307">
        <f t="shared" si="51"/>
        <v>3144</v>
      </c>
      <c r="AH173" s="353">
        <f t="shared" si="52"/>
        <v>2869</v>
      </c>
      <c r="AJ173" s="12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row>
    <row r="174" spans="1:65" s="61" customFormat="1" ht="13.5" hidden="1" customHeight="1">
      <c r="A174" s="1103">
        <f>VLOOKUP(B174,ReportData!$AQ$4:$AR$25,2,FALSE)</f>
        <v>0</v>
      </c>
      <c r="B174" s="885" t="str">
        <f t="shared" si="53"/>
        <v>Brighton &amp; Hove</v>
      </c>
      <c r="C174" s="896"/>
      <c r="D174" s="922" t="e">
        <f t="shared" si="54"/>
        <v>#N/A</v>
      </c>
      <c r="E174" s="922" t="e">
        <f t="shared" si="55"/>
        <v>#N/A</v>
      </c>
      <c r="F174" s="922" t="e">
        <f t="shared" si="56"/>
        <v>#N/A</v>
      </c>
      <c r="G174" s="922" t="e">
        <f t="shared" si="57"/>
        <v>#N/A</v>
      </c>
      <c r="H174" s="923" t="e">
        <f t="shared" si="58"/>
        <v>#N/A</v>
      </c>
      <c r="I174" s="230"/>
      <c r="J174" s="68"/>
      <c r="K174" s="127"/>
      <c r="L174" s="127"/>
      <c r="M174" s="127"/>
      <c r="N174" s="127"/>
      <c r="O174" s="127"/>
      <c r="P174" s="127"/>
      <c r="Q174" s="127"/>
      <c r="R174" s="128"/>
      <c r="S174" s="120"/>
      <c r="T174" s="127"/>
      <c r="U174" s="89"/>
      <c r="V174" s="103"/>
      <c r="W174" s="115"/>
      <c r="X174" s="352" t="str">
        <f t="shared" si="47"/>
        <v>Buckinghamshire</v>
      </c>
      <c r="Y174" s="248" t="str">
        <f>IF(Year1_Buckinghamshire Year1_Assessments_step_down="","",Year1_Buckinghamshire Year1_Assessments_step_down)</f>
        <v/>
      </c>
      <c r="Z174" s="248" t="str">
        <f>IF(Year2_Buckinghamshire Year2_Assessments_step_down="","",Year2_Buckinghamshire Year2_Assessments_step_down)</f>
        <v/>
      </c>
      <c r="AA174" s="248" t="str">
        <f>IF(Year3_Buckinghamshire Year3_Assessments_step_down="","",Year3_Buckinghamshire Year3_Assessments_step_down)</f>
        <v/>
      </c>
      <c r="AB174" s="248" t="str">
        <f>IF(Year4_Buckinghamshire Year4_Assessments_step_down="","",Year4_Buckinghamshire Year4_Assessments_step_down)</f>
        <v/>
      </c>
      <c r="AC174" s="352" t="str">
        <f>IF(Year5_Buckinghamshire Year5_Assessments_step_down="","",Year5_Buckinghamshire Year5_Assessments_step_down)</f>
        <v/>
      </c>
      <c r="AD174" s="307">
        <f t="shared" si="48"/>
        <v>8122</v>
      </c>
      <c r="AE174" s="307">
        <f t="shared" si="49"/>
        <v>8277</v>
      </c>
      <c r="AF174" s="307">
        <f t="shared" si="50"/>
        <v>10201</v>
      </c>
      <c r="AG174" s="307">
        <f t="shared" si="51"/>
        <v>8877</v>
      </c>
      <c r="AH174" s="353">
        <f t="shared" si="52"/>
        <v>8590</v>
      </c>
      <c r="AI174" s="52"/>
      <c r="AJ174" s="121"/>
    </row>
    <row r="175" spans="1:65" s="61" customFormat="1" ht="13.5" hidden="1" customHeight="1">
      <c r="A175" s="1103">
        <f>VLOOKUP(B175,ReportData!$AQ$4:$AR$25,2,FALSE)</f>
        <v>0</v>
      </c>
      <c r="B175" s="885" t="str">
        <f t="shared" si="53"/>
        <v>Buckinghamshire</v>
      </c>
      <c r="C175" s="896"/>
      <c r="D175" s="922" t="e">
        <f t="shared" si="54"/>
        <v>#N/A</v>
      </c>
      <c r="E175" s="922" t="e">
        <f t="shared" si="55"/>
        <v>#N/A</v>
      </c>
      <c r="F175" s="922" t="e">
        <f t="shared" si="56"/>
        <v>#N/A</v>
      </c>
      <c r="G175" s="922" t="e">
        <f t="shared" si="57"/>
        <v>#N/A</v>
      </c>
      <c r="H175" s="923" t="e">
        <f t="shared" si="58"/>
        <v>#N/A</v>
      </c>
      <c r="I175" s="230"/>
      <c r="J175" s="68"/>
      <c r="K175" s="127"/>
      <c r="L175" s="127"/>
      <c r="M175" s="127"/>
      <c r="N175" s="127"/>
      <c r="O175" s="127"/>
      <c r="P175" s="127"/>
      <c r="Q175" s="127"/>
      <c r="R175" s="128"/>
      <c r="S175" s="120"/>
      <c r="T175" s="127"/>
      <c r="U175" s="89"/>
      <c r="V175" s="103"/>
      <c r="W175" s="115"/>
      <c r="X175" s="352" t="str">
        <f t="shared" si="47"/>
        <v>East Sussex</v>
      </c>
      <c r="Y175" s="248" t="str">
        <f>IF(Year1_East_Sussex Year1_Assessments_step_down="","",Year1_East_Sussex Year1_Assessments_step_down)</f>
        <v/>
      </c>
      <c r="Z175" s="248" t="str">
        <f>IF(Year2_East_Sussex Year2_Assessments_step_down="","",Year2_East_Sussex Year2_Assessments_step_down)</f>
        <v/>
      </c>
      <c r="AA175" s="248" t="str">
        <f>IF(Year3_East_Sussex Year3_Assessments_step_down="","",Year3_East_Sussex Year3_Assessments_step_down)</f>
        <v/>
      </c>
      <c r="AB175" s="248" t="str">
        <f>IF(Year4_East_Sussex Year4_Assessments_step_down="","",Year4_East_Sussex Year4_Assessments_step_down)</f>
        <v/>
      </c>
      <c r="AC175" s="352" t="str">
        <f>IF(Year5_East_Sussex Year5_Assessments_step_down="","",Year5_East_Sussex Year5_Assessments_step_down)</f>
        <v/>
      </c>
      <c r="AD175" s="307">
        <f t="shared" si="48"/>
        <v>3470</v>
      </c>
      <c r="AE175" s="307">
        <f t="shared" si="49"/>
        <v>3184</v>
      </c>
      <c r="AF175" s="307">
        <f t="shared" si="50"/>
        <v>3236</v>
      </c>
      <c r="AG175" s="307">
        <f t="shared" si="51"/>
        <v>3712</v>
      </c>
      <c r="AH175" s="353">
        <f t="shared" si="52"/>
        <v>4223</v>
      </c>
      <c r="AI175" s="52"/>
      <c r="AJ175" s="121"/>
    </row>
    <row r="176" spans="1:65" s="61" customFormat="1" ht="13.5" hidden="1" customHeight="1">
      <c r="A176" s="1103">
        <f>VLOOKUP(B176,ReportData!$AQ$4:$AR$25,2,FALSE)</f>
        <v>0</v>
      </c>
      <c r="B176" s="885" t="str">
        <f t="shared" si="53"/>
        <v>East Sussex</v>
      </c>
      <c r="C176" s="896"/>
      <c r="D176" s="922" t="e">
        <f t="shared" si="54"/>
        <v>#N/A</v>
      </c>
      <c r="E176" s="922" t="e">
        <f t="shared" si="55"/>
        <v>#N/A</v>
      </c>
      <c r="F176" s="922" t="e">
        <f t="shared" si="56"/>
        <v>#N/A</v>
      </c>
      <c r="G176" s="922" t="e">
        <f t="shared" si="57"/>
        <v>#N/A</v>
      </c>
      <c r="H176" s="923" t="e">
        <f t="shared" si="58"/>
        <v>#N/A</v>
      </c>
      <c r="I176" s="230"/>
      <c r="J176" s="68"/>
      <c r="K176" s="127"/>
      <c r="L176" s="127"/>
      <c r="M176" s="127"/>
      <c r="N176" s="127"/>
      <c r="O176" s="127"/>
      <c r="P176" s="127"/>
      <c r="Q176" s="127"/>
      <c r="R176" s="128"/>
      <c r="S176" s="120"/>
      <c r="T176" s="127"/>
      <c r="U176" s="89"/>
      <c r="V176" s="103"/>
      <c r="W176" s="115"/>
      <c r="X176" s="352" t="str">
        <f t="shared" si="47"/>
        <v>Hampshire</v>
      </c>
      <c r="Y176" s="248" t="str">
        <f>IF(Year1_Hampshire Year1_Assessments_step_down="","",Year1_Hampshire Year1_Assessments_step_down)</f>
        <v/>
      </c>
      <c r="Z176" s="248" t="str">
        <f>IF(Year2_Hampshire Year2_Assessments_step_down="","",Year2_Hampshire Year2_Assessments_step_down)</f>
        <v/>
      </c>
      <c r="AA176" s="248" t="str">
        <f>IF(Year3_Hampshire Year3_Assessments_step_down="","",Year3_Hampshire Year3_Assessments_step_down)</f>
        <v/>
      </c>
      <c r="AB176" s="248" t="str">
        <f>IF(Year4_Hampshire Year4_Assessments_step_down="","",Year4_Hampshire Year4_Assessments_step_down)</f>
        <v/>
      </c>
      <c r="AC176" s="352" t="str">
        <f>IF(Year5_Hampshire Year5_Assessments_step_down="","",Year5_Hampshire Year5_Assessments_step_down)</f>
        <v/>
      </c>
      <c r="AD176" s="307">
        <f t="shared" si="48"/>
        <v>19712</v>
      </c>
      <c r="AE176" s="307">
        <f t="shared" si="49"/>
        <v>22008</v>
      </c>
      <c r="AF176" s="307">
        <f t="shared" si="50"/>
        <v>27661</v>
      </c>
      <c r="AG176" s="307">
        <f t="shared" si="51"/>
        <v>28484</v>
      </c>
      <c r="AH176" s="353" t="str">
        <f t="shared" si="52"/>
        <v>u</v>
      </c>
      <c r="AI176" s="52"/>
      <c r="AJ176" s="121"/>
    </row>
    <row r="177" spans="1:45" s="61" customFormat="1" ht="13.5" hidden="1" customHeight="1">
      <c r="A177" s="1103">
        <f>VLOOKUP(B177,ReportData!$AQ$4:$AR$25,2,FALSE)</f>
        <v>0</v>
      </c>
      <c r="B177" s="885" t="str">
        <f t="shared" si="53"/>
        <v>Hampshire</v>
      </c>
      <c r="C177" s="896"/>
      <c r="D177" s="922" t="e">
        <f t="shared" si="54"/>
        <v>#N/A</v>
      </c>
      <c r="E177" s="922" t="e">
        <f t="shared" si="55"/>
        <v>#N/A</v>
      </c>
      <c r="F177" s="922" t="e">
        <f t="shared" si="56"/>
        <v>#N/A</v>
      </c>
      <c r="G177" s="922" t="e">
        <f t="shared" si="57"/>
        <v>#N/A</v>
      </c>
      <c r="H177" s="923" t="e">
        <f t="shared" si="58"/>
        <v>#N/A</v>
      </c>
      <c r="I177" s="230"/>
      <c r="J177" s="68"/>
      <c r="K177" s="127"/>
      <c r="L177" s="127"/>
      <c r="M177" s="127"/>
      <c r="N177" s="127"/>
      <c r="O177" s="127"/>
      <c r="P177" s="127"/>
      <c r="Q177" s="127"/>
      <c r="R177" s="128"/>
      <c r="S177" s="120"/>
      <c r="T177" s="127"/>
      <c r="U177" s="89"/>
      <c r="V177" s="103"/>
      <c r="W177" s="115"/>
      <c r="X177" s="352" t="str">
        <f t="shared" si="47"/>
        <v>Isle of Wight</v>
      </c>
      <c r="Y177" s="248" t="str">
        <f>IF(Year1_Isle_of_Wight Year1_Assessments_step_down="","",Year1_Isle_of_Wight Year1_Assessments_step_down)</f>
        <v/>
      </c>
      <c r="Z177" s="248" t="str">
        <f>IF(Year2_Isle_of_Wight Year2_Assessments_step_down="","",Year2_Isle_of_Wight Year2_Assessments_step_down)</f>
        <v/>
      </c>
      <c r="AA177" s="248" t="str">
        <f>IF(Year3_Isle_of_Wight Year3_Assessments_step_down="","",Year3_Isle_of_Wight Year3_Assessments_step_down)</f>
        <v/>
      </c>
      <c r="AB177" s="248" t="str">
        <f>IF(Year4_Isle_of_Wight Year4_Assessments_step_down="","",Year4_Isle_of_Wight Year4_Assessments_step_down)</f>
        <v/>
      </c>
      <c r="AC177" s="352" t="str">
        <f>IF(Year5_Isle_of_Wight Year5_Assessments_step_down="","",Year5_Isle_of_Wight Year5_Assessments_step_down)</f>
        <v/>
      </c>
      <c r="AD177" s="307">
        <f t="shared" si="48"/>
        <v>3149</v>
      </c>
      <c r="AE177" s="307">
        <f t="shared" si="49"/>
        <v>3463</v>
      </c>
      <c r="AF177" s="307">
        <f t="shared" si="50"/>
        <v>4179</v>
      </c>
      <c r="AG177" s="307">
        <f t="shared" si="51"/>
        <v>3957</v>
      </c>
      <c r="AH177" s="353">
        <f t="shared" si="52"/>
        <v>3969</v>
      </c>
      <c r="AI177" s="52"/>
      <c r="AJ177" s="121"/>
      <c r="AS177" s="61" t="s">
        <v>95</v>
      </c>
    </row>
    <row r="178" spans="1:45" s="61" customFormat="1" ht="13.5" hidden="1" customHeight="1">
      <c r="A178" s="1103">
        <f>VLOOKUP(B178,ReportData!$AQ$4:$AR$25,2,FALSE)</f>
        <v>0</v>
      </c>
      <c r="B178" s="885" t="str">
        <f t="shared" si="53"/>
        <v>Isle of Wight</v>
      </c>
      <c r="C178" s="896"/>
      <c r="D178" s="922" t="e">
        <f t="shared" si="54"/>
        <v>#N/A</v>
      </c>
      <c r="E178" s="922" t="e">
        <f t="shared" si="55"/>
        <v>#N/A</v>
      </c>
      <c r="F178" s="922" t="e">
        <f t="shared" si="56"/>
        <v>#N/A</v>
      </c>
      <c r="G178" s="922" t="e">
        <f t="shared" si="57"/>
        <v>#N/A</v>
      </c>
      <c r="H178" s="923" t="e">
        <f t="shared" si="58"/>
        <v>#N/A</v>
      </c>
      <c r="I178" s="230"/>
      <c r="J178" s="68"/>
      <c r="K178" s="127"/>
      <c r="L178" s="127"/>
      <c r="M178" s="127"/>
      <c r="N178" s="127"/>
      <c r="O178" s="127"/>
      <c r="P178" s="127"/>
      <c r="Q178" s="127"/>
      <c r="R178" s="128"/>
      <c r="S178" s="120"/>
      <c r="T178" s="127"/>
      <c r="U178" s="89"/>
      <c r="V178" s="103"/>
      <c r="W178" s="115"/>
      <c r="X178" s="352" t="str">
        <f t="shared" si="47"/>
        <v>Kent</v>
      </c>
      <c r="Y178" s="248" t="str">
        <f>IF(Year1_Kent Year1_Assessments_step_down="","",Year1_Kent Year1_Assessments_step_down)</f>
        <v/>
      </c>
      <c r="Z178" s="248" t="str">
        <f>IF(Year2_Kent Year2_Assessments_step_down="","",Year2_Kent Year2_Assessments_step_down)</f>
        <v/>
      </c>
      <c r="AA178" s="248" t="str">
        <f>IF(Year3_Kent Year3_Assessments_step_down="","",Year3_Kent Year3_Assessments_step_down)</f>
        <v/>
      </c>
      <c r="AB178" s="248" t="str">
        <f>IF(Year4_Kent Year4_Assessments_step_down="","",Year4_Kent Year4_Assessments_step_down)</f>
        <v/>
      </c>
      <c r="AC178" s="352" t="str">
        <f>IF(Year5_Kent Year5_Assessments_step_down="","",Year5_Kent Year5_Assessments_step_down)</f>
        <v/>
      </c>
      <c r="AD178" s="307">
        <f t="shared" si="48"/>
        <v>20686</v>
      </c>
      <c r="AE178" s="307">
        <f t="shared" si="49"/>
        <v>18350</v>
      </c>
      <c r="AF178" s="307">
        <f t="shared" si="50"/>
        <v>18796</v>
      </c>
      <c r="AG178" s="307">
        <f t="shared" si="51"/>
        <v>20733</v>
      </c>
      <c r="AH178" s="353">
        <f t="shared" si="52"/>
        <v>21680</v>
      </c>
      <c r="AI178" s="52"/>
      <c r="AJ178" s="121"/>
    </row>
    <row r="179" spans="1:45" s="61" customFormat="1" ht="13.5" hidden="1" customHeight="1">
      <c r="A179" s="1103">
        <f>VLOOKUP(B179,ReportData!$AQ$4:$AR$25,2,FALSE)</f>
        <v>0</v>
      </c>
      <c r="B179" s="885" t="str">
        <f t="shared" si="53"/>
        <v>Kent</v>
      </c>
      <c r="C179" s="896"/>
      <c r="D179" s="922" t="e">
        <f t="shared" si="54"/>
        <v>#N/A</v>
      </c>
      <c r="E179" s="922" t="e">
        <f t="shared" si="55"/>
        <v>#N/A</v>
      </c>
      <c r="F179" s="922" t="e">
        <f t="shared" si="56"/>
        <v>#N/A</v>
      </c>
      <c r="G179" s="922" t="e">
        <f t="shared" si="57"/>
        <v>#N/A</v>
      </c>
      <c r="H179" s="923" t="e">
        <f t="shared" si="58"/>
        <v>#N/A</v>
      </c>
      <c r="I179" s="230"/>
      <c r="J179" s="68"/>
      <c r="K179" s="127"/>
      <c r="L179" s="127"/>
      <c r="M179" s="127"/>
      <c r="N179" s="127"/>
      <c r="O179" s="127"/>
      <c r="P179" s="127"/>
      <c r="Q179" s="127"/>
      <c r="R179" s="128"/>
      <c r="S179" s="120"/>
      <c r="T179" s="127"/>
      <c r="U179" s="89"/>
      <c r="V179" s="103"/>
      <c r="W179" s="115"/>
      <c r="X179" s="352" t="str">
        <f t="shared" si="47"/>
        <v>Medway</v>
      </c>
      <c r="Y179" s="248" t="str">
        <f>IF(Year1_Medway Year1_Assessments_step_down="","",Year1_Medway Year1_Assessments_step_down)</f>
        <v/>
      </c>
      <c r="Z179" s="248" t="str">
        <f>IF(Year2_Medway Year2_Assessments_step_down="","",Year2_Medway Year2_Assessments_step_down)</f>
        <v/>
      </c>
      <c r="AA179" s="248" t="str">
        <f>IF(Year3_Medway Year3_Assessments_step_down="","",Year3_Medway Year3_Assessments_step_down)</f>
        <v/>
      </c>
      <c r="AB179" s="248" t="str">
        <f>IF(Year4_Medway Year4_Assessments_step_down="","",Year4_Medway Year4_Assessments_step_down)</f>
        <v/>
      </c>
      <c r="AC179" s="352" t="str">
        <f>IF(Year5_Medway Year5_Assessments_step_down="","",Year5_Medway Year5_Assessments_step_down)</f>
        <v/>
      </c>
      <c r="AD179" s="307">
        <f t="shared" si="48"/>
        <v>4769</v>
      </c>
      <c r="AE179" s="307">
        <f t="shared" si="49"/>
        <v>3294</v>
      </c>
      <c r="AF179" s="307">
        <f t="shared" si="50"/>
        <v>3595</v>
      </c>
      <c r="AG179" s="307">
        <f t="shared" si="51"/>
        <v>4041</v>
      </c>
      <c r="AH179" s="353">
        <f t="shared" si="52"/>
        <v>5377</v>
      </c>
      <c r="AI179" s="52"/>
      <c r="AJ179" s="121"/>
    </row>
    <row r="180" spans="1:45" s="61" customFormat="1" ht="13.5" hidden="1" customHeight="1">
      <c r="A180" s="1103">
        <f>VLOOKUP(B180,ReportData!$AQ$4:$AR$25,2,FALSE)</f>
        <v>0</v>
      </c>
      <c r="B180" s="885" t="str">
        <f t="shared" si="53"/>
        <v>Medway</v>
      </c>
      <c r="C180" s="896"/>
      <c r="D180" s="922" t="e">
        <f t="shared" si="54"/>
        <v>#N/A</v>
      </c>
      <c r="E180" s="922" t="e">
        <f t="shared" si="55"/>
        <v>#N/A</v>
      </c>
      <c r="F180" s="922" t="e">
        <f t="shared" si="56"/>
        <v>#N/A</v>
      </c>
      <c r="G180" s="922" t="e">
        <f t="shared" si="57"/>
        <v>#N/A</v>
      </c>
      <c r="H180" s="923" t="e">
        <f t="shared" si="58"/>
        <v>#N/A</v>
      </c>
      <c r="I180" s="230"/>
      <c r="J180" s="68"/>
      <c r="K180" s="127"/>
      <c r="L180" s="127"/>
      <c r="M180" s="127"/>
      <c r="N180" s="127"/>
      <c r="O180" s="127"/>
      <c r="P180" s="127"/>
      <c r="Q180" s="127"/>
      <c r="R180" s="128"/>
      <c r="S180" s="120"/>
      <c r="T180" s="127"/>
      <c r="U180" s="89"/>
      <c r="V180" s="103"/>
      <c r="W180" s="115"/>
      <c r="X180" s="352" t="str">
        <f t="shared" si="47"/>
        <v>Milton Keynes</v>
      </c>
      <c r="Y180" s="248" t="str">
        <f>IF(Year1_Milton_Keynes Year1_Assessments_step_down="","",Year1_Milton_Keynes Year1_Assessments_step_down)</f>
        <v/>
      </c>
      <c r="Z180" s="248" t="str">
        <f>IF(Year2_Milton_Keynes Year2_Assessments_step_down="","",Year2_Milton_Keynes Year2_Assessments_step_down)</f>
        <v/>
      </c>
      <c r="AA180" s="248" t="str">
        <f>IF(Year3_Milton_Keynes Year3_Assessments_step_down="","",Year3_Milton_Keynes Year3_Assessments_step_down)</f>
        <v/>
      </c>
      <c r="AB180" s="248" t="str">
        <f>IF(Year4_Milton_Keynes Year4_Assessments_step_down="","",Year4_Milton_Keynes Year4_Assessments_step_down)</f>
        <v/>
      </c>
      <c r="AC180" s="352" t="str">
        <f>IF(Year5_Milton_Keynes Year5_Assessments_step_down="","",Year5_Milton_Keynes Year5_Assessments_step_down)</f>
        <v/>
      </c>
      <c r="AD180" s="307">
        <f t="shared" si="48"/>
        <v>3052</v>
      </c>
      <c r="AE180" s="307">
        <f t="shared" si="49"/>
        <v>3518</v>
      </c>
      <c r="AF180" s="307">
        <f t="shared" si="50"/>
        <v>3568</v>
      </c>
      <c r="AG180" s="307">
        <f t="shared" si="51"/>
        <v>4052</v>
      </c>
      <c r="AH180" s="353">
        <f t="shared" si="52"/>
        <v>3607</v>
      </c>
      <c r="AI180" s="52"/>
      <c r="AJ180" s="121"/>
    </row>
    <row r="181" spans="1:45" s="61" customFormat="1" ht="13.5" hidden="1" customHeight="1">
      <c r="A181" s="1103">
        <f>VLOOKUP(B181,ReportData!$AQ$4:$AR$25,2,FALSE)</f>
        <v>0</v>
      </c>
      <c r="B181" s="885" t="str">
        <f t="shared" si="53"/>
        <v>Milton Keynes</v>
      </c>
      <c r="C181" s="896"/>
      <c r="D181" s="922" t="e">
        <f t="shared" si="54"/>
        <v>#N/A</v>
      </c>
      <c r="E181" s="922" t="e">
        <f t="shared" si="55"/>
        <v>#N/A</v>
      </c>
      <c r="F181" s="922" t="e">
        <f t="shared" si="56"/>
        <v>#N/A</v>
      </c>
      <c r="G181" s="922" t="e">
        <f t="shared" si="57"/>
        <v>#N/A</v>
      </c>
      <c r="H181" s="923" t="e">
        <f t="shared" si="58"/>
        <v>#N/A</v>
      </c>
      <c r="I181" s="230"/>
      <c r="J181" s="68"/>
      <c r="K181" s="127"/>
      <c r="L181" s="127"/>
      <c r="M181" s="127"/>
      <c r="N181" s="127"/>
      <c r="O181" s="127"/>
      <c r="P181" s="127"/>
      <c r="Q181" s="127"/>
      <c r="R181" s="128"/>
      <c r="S181" s="120"/>
      <c r="T181" s="127"/>
      <c r="U181" s="89"/>
      <c r="V181" s="103"/>
      <c r="W181" s="115"/>
      <c r="X181" s="352" t="str">
        <f t="shared" si="47"/>
        <v>Oxfordshire</v>
      </c>
      <c r="Y181" s="248" t="str">
        <f>IF(Year1_Oxfordshire Year1_Assessments_step_down="","",Year1_Oxfordshire Year1_Assessments_step_down)</f>
        <v/>
      </c>
      <c r="Z181" s="248" t="str">
        <f>IF(Year2_Oxfordshire Year2_Assessments_step_down="","",Year2_Oxfordshire Year2_Assessments_step_down)</f>
        <v/>
      </c>
      <c r="AA181" s="248" t="str">
        <f>IF(Year3_Oxfordshire Year3_Assessments_step_down="","",Year3_Oxfordshire Year3_Assessments_step_down)</f>
        <v/>
      </c>
      <c r="AB181" s="248" t="str">
        <f>IF(Year4_Oxfordshire Year4_Assessments_step_down="","",Year4_Oxfordshire Year4_Assessments_step_down)</f>
        <v/>
      </c>
      <c r="AC181" s="352" t="str">
        <f>IF(Year5_Oxfordshire Year5_Assessments_step_down="","",Year5_Oxfordshire Year5_Assessments_step_down)</f>
        <v/>
      </c>
      <c r="AD181" s="307">
        <f t="shared" si="48"/>
        <v>7021</v>
      </c>
      <c r="AE181" s="307">
        <f t="shared" si="49"/>
        <v>5937</v>
      </c>
      <c r="AF181" s="307">
        <f t="shared" si="50"/>
        <v>5939</v>
      </c>
      <c r="AG181" s="307">
        <f t="shared" si="51"/>
        <v>5732</v>
      </c>
      <c r="AH181" s="353">
        <f t="shared" si="52"/>
        <v>5366</v>
      </c>
      <c r="AI181" s="52"/>
      <c r="AJ181" s="121"/>
    </row>
    <row r="182" spans="1:45" s="61" customFormat="1" ht="13.5" hidden="1" customHeight="1">
      <c r="A182" s="1103">
        <f>VLOOKUP(B182,ReportData!$AQ$4:$AR$25,2,FALSE)</f>
        <v>0</v>
      </c>
      <c r="B182" s="885" t="str">
        <f t="shared" si="53"/>
        <v>Oxfordshire</v>
      </c>
      <c r="C182" s="896"/>
      <c r="D182" s="922" t="e">
        <f t="shared" si="54"/>
        <v>#N/A</v>
      </c>
      <c r="E182" s="922" t="e">
        <f t="shared" si="55"/>
        <v>#N/A</v>
      </c>
      <c r="F182" s="922" t="e">
        <f t="shared" si="56"/>
        <v>#N/A</v>
      </c>
      <c r="G182" s="922" t="e">
        <f t="shared" si="57"/>
        <v>#N/A</v>
      </c>
      <c r="H182" s="923" t="e">
        <f t="shared" si="58"/>
        <v>#N/A</v>
      </c>
      <c r="I182" s="230"/>
      <c r="J182" s="68"/>
      <c r="K182" s="127"/>
      <c r="L182" s="127"/>
      <c r="M182" s="127"/>
      <c r="N182" s="127"/>
      <c r="O182" s="127"/>
      <c r="P182" s="127"/>
      <c r="Q182" s="127"/>
      <c r="R182" s="128"/>
      <c r="S182" s="120"/>
      <c r="T182" s="127"/>
      <c r="U182" s="89"/>
      <c r="V182" s="103"/>
      <c r="W182" s="115"/>
      <c r="X182" s="352" t="str">
        <f t="shared" si="47"/>
        <v>Portsmouth</v>
      </c>
      <c r="Y182" s="248" t="str">
        <f>IF(Year1_Portsmouth Year1_Assessments_step_down="","",Year1_Portsmouth Year1_Assessments_step_down)</f>
        <v/>
      </c>
      <c r="Z182" s="248" t="str">
        <f>IF(Year2_Portsmouth Year2_Assessments_step_down="","",Year2_Portsmouth Year2_Assessments_step_down)</f>
        <v/>
      </c>
      <c r="AA182" s="248" t="str">
        <f>IF(Year3_Portsmouth Year3_Assessments_step_down="","",Year3_Portsmouth Year3_Assessments_step_down)</f>
        <v/>
      </c>
      <c r="AB182" s="248" t="str">
        <f>IF(Year4_Portsmouth Year4_Assessments_step_down="","",Year4_Portsmouth Year4_Assessments_step_down)</f>
        <v/>
      </c>
      <c r="AC182" s="352" t="str">
        <f>IF(Year5_Portsmouth Year5_Assessments_step_down="","",Year5_Portsmouth Year5_Assessments_step_down)</f>
        <v/>
      </c>
      <c r="AD182" s="307">
        <f t="shared" si="48"/>
        <v>2590</v>
      </c>
      <c r="AE182" s="307">
        <f t="shared" si="49"/>
        <v>2624</v>
      </c>
      <c r="AF182" s="307">
        <f t="shared" si="50"/>
        <v>3478</v>
      </c>
      <c r="AG182" s="307">
        <f t="shared" si="51"/>
        <v>2830</v>
      </c>
      <c r="AH182" s="353">
        <f t="shared" si="52"/>
        <v>2792</v>
      </c>
      <c r="AI182" s="52"/>
      <c r="AJ182" s="121"/>
    </row>
    <row r="183" spans="1:45" s="61" customFormat="1" ht="13.5" hidden="1" customHeight="1">
      <c r="A183" s="1103">
        <f>VLOOKUP(B183,ReportData!$AQ$4:$AR$25,2,FALSE)</f>
        <v>0</v>
      </c>
      <c r="B183" s="885" t="str">
        <f t="shared" si="53"/>
        <v>Portsmouth</v>
      </c>
      <c r="C183" s="896"/>
      <c r="D183" s="922" t="e">
        <f t="shared" si="54"/>
        <v>#N/A</v>
      </c>
      <c r="E183" s="922" t="e">
        <f t="shared" si="55"/>
        <v>#N/A</v>
      </c>
      <c r="F183" s="922" t="e">
        <f t="shared" si="56"/>
        <v>#N/A</v>
      </c>
      <c r="G183" s="922" t="e">
        <f t="shared" si="57"/>
        <v>#N/A</v>
      </c>
      <c r="H183" s="923" t="e">
        <f t="shared" si="58"/>
        <v>#N/A</v>
      </c>
      <c r="I183" s="230"/>
      <c r="J183" s="68"/>
      <c r="K183" s="127"/>
      <c r="L183" s="127"/>
      <c r="M183" s="127"/>
      <c r="N183" s="127"/>
      <c r="O183" s="127"/>
      <c r="P183" s="127"/>
      <c r="Q183" s="127"/>
      <c r="R183" s="128"/>
      <c r="S183" s="120"/>
      <c r="T183" s="127"/>
      <c r="U183" s="89"/>
      <c r="V183" s="103"/>
      <c r="W183" s="115"/>
      <c r="X183" s="352" t="str">
        <f t="shared" si="47"/>
        <v>Reading</v>
      </c>
      <c r="Y183" s="248" t="str">
        <f>IF(Year1_Reading Year1_Assessments_step_down="","",Year1_Reading Year1_Assessments_step_down)</f>
        <v/>
      </c>
      <c r="Z183" s="248" t="str">
        <f>IF(Year2_Reading Year2_Assessments_step_down="","",Year2_Reading Year2_Assessments_step_down)</f>
        <v/>
      </c>
      <c r="AA183" s="248" t="str">
        <f>IF(Year3_Reading Year3_Assessments_step_down="","",Year3_Reading Year3_Assessments_step_down)</f>
        <v/>
      </c>
      <c r="AB183" s="248" t="str">
        <f>IF(Year4_Reading Year4_Assessments_step_down="","",Year4_Reading Year4_Assessments_step_down)</f>
        <v/>
      </c>
      <c r="AC183" s="352" t="str">
        <f>IF(Year5_Reading Year5_Assessments_step_down="","",Year5_Reading Year5_Assessments_step_down)</f>
        <v/>
      </c>
      <c r="AD183" s="307">
        <f t="shared" si="48"/>
        <v>2689</v>
      </c>
      <c r="AE183" s="307">
        <f t="shared" si="49"/>
        <v>2186</v>
      </c>
      <c r="AF183" s="307">
        <f t="shared" si="50"/>
        <v>2268</v>
      </c>
      <c r="AG183" s="307">
        <f t="shared" si="51"/>
        <v>2680</v>
      </c>
      <c r="AH183" s="353">
        <f t="shared" si="52"/>
        <v>2767</v>
      </c>
      <c r="AI183" s="52"/>
      <c r="AJ183" s="121"/>
    </row>
    <row r="184" spans="1:45" s="61" customFormat="1" ht="13.5" hidden="1" customHeight="1">
      <c r="A184" s="1103">
        <f>VLOOKUP(B184,ReportData!$AQ$4:$AR$25,2,FALSE)</f>
        <v>0</v>
      </c>
      <c r="B184" s="885" t="str">
        <f t="shared" si="53"/>
        <v>Reading</v>
      </c>
      <c r="C184" s="896"/>
      <c r="D184" s="922" t="e">
        <f t="shared" si="54"/>
        <v>#N/A</v>
      </c>
      <c r="E184" s="922" t="e">
        <f t="shared" si="55"/>
        <v>#N/A</v>
      </c>
      <c r="F184" s="922" t="e">
        <f t="shared" si="56"/>
        <v>#N/A</v>
      </c>
      <c r="G184" s="922" t="e">
        <f t="shared" si="57"/>
        <v>#N/A</v>
      </c>
      <c r="H184" s="923" t="e">
        <f t="shared" si="58"/>
        <v>#N/A</v>
      </c>
      <c r="I184" s="230"/>
      <c r="J184" s="68"/>
      <c r="K184" s="127"/>
      <c r="L184" s="127"/>
      <c r="M184" s="127"/>
      <c r="N184" s="127"/>
      <c r="O184" s="127"/>
      <c r="P184" s="127"/>
      <c r="Q184" s="127"/>
      <c r="R184" s="128"/>
      <c r="S184" s="120"/>
      <c r="T184" s="127"/>
      <c r="U184" s="89"/>
      <c r="V184" s="103"/>
      <c r="W184" s="115"/>
      <c r="X184" s="352" t="str">
        <f t="shared" si="47"/>
        <v>Slough</v>
      </c>
      <c r="Y184" s="248" t="str">
        <f>IF(Year1_Slough Year1_Assessments_step_down="","",Year1_Slough Year1_Assessments_step_down)</f>
        <v/>
      </c>
      <c r="Z184" s="248" t="str">
        <f>IF(Year2_Slough Year2_Assessments_step_down="","",Year2_Slough Year2_Assessments_step_down)</f>
        <v/>
      </c>
      <c r="AA184" s="248" t="str">
        <f>IF(Year3_Slough Year3_Assessments_step_down="","",Year3_Slough Year3_Assessments_step_down)</f>
        <v/>
      </c>
      <c r="AB184" s="248" t="str">
        <f>IF(Year4_Slough Year4_Assessments_step_down="","",Year4_Slough Year4_Assessments_step_down)</f>
        <v/>
      </c>
      <c r="AC184" s="352" t="str">
        <f>IF(Year5_Slough Year5_Assessments_step_down="","",Year5_Slough Year5_Assessments_step_down)</f>
        <v/>
      </c>
      <c r="AD184" s="307">
        <f t="shared" si="48"/>
        <v>2484</v>
      </c>
      <c r="AE184" s="307">
        <f t="shared" si="49"/>
        <v>3775</v>
      </c>
      <c r="AF184" s="307">
        <f t="shared" si="50"/>
        <v>3512</v>
      </c>
      <c r="AG184" s="307">
        <f t="shared" si="51"/>
        <v>3716</v>
      </c>
      <c r="AH184" s="353">
        <f t="shared" si="52"/>
        <v>3576</v>
      </c>
      <c r="AI184" s="52"/>
      <c r="AJ184" s="121"/>
    </row>
    <row r="185" spans="1:45" s="61" customFormat="1" ht="13.5" hidden="1" customHeight="1">
      <c r="A185" s="1103">
        <f>VLOOKUP(B185,ReportData!$AQ$4:$AR$25,2,FALSE)</f>
        <v>0</v>
      </c>
      <c r="B185" s="885" t="str">
        <f t="shared" si="53"/>
        <v>Slough</v>
      </c>
      <c r="C185" s="896"/>
      <c r="D185" s="922" t="e">
        <f t="shared" si="54"/>
        <v>#N/A</v>
      </c>
      <c r="E185" s="922" t="e">
        <f t="shared" si="55"/>
        <v>#N/A</v>
      </c>
      <c r="F185" s="922" t="e">
        <f t="shared" si="56"/>
        <v>#N/A</v>
      </c>
      <c r="G185" s="922" t="e">
        <f t="shared" si="57"/>
        <v>#N/A</v>
      </c>
      <c r="H185" s="923" t="e">
        <f t="shared" si="58"/>
        <v>#N/A</v>
      </c>
      <c r="I185" s="230"/>
      <c r="J185" s="68"/>
      <c r="K185" s="127"/>
      <c r="L185" s="127"/>
      <c r="M185" s="127"/>
      <c r="N185" s="127"/>
      <c r="O185" s="127"/>
      <c r="P185" s="127"/>
      <c r="Q185" s="127"/>
      <c r="R185" s="128"/>
      <c r="S185" s="120"/>
      <c r="T185" s="127"/>
      <c r="U185" s="89"/>
      <c r="V185" s="103"/>
      <c r="W185" s="115"/>
      <c r="X185" s="352" t="str">
        <f t="shared" si="47"/>
        <v>Southampton</v>
      </c>
      <c r="Y185" s="248" t="str">
        <f>IF(Year1_Southampton Year1_Assessments_step_down="","",Year1_Southampton Year1_Assessments_step_down)</f>
        <v/>
      </c>
      <c r="Z185" s="248" t="str">
        <f>IF(Year2_Southampton Year2_Assessments_step_down="","",Year2_Southampton Year2_Assessments_step_down)</f>
        <v/>
      </c>
      <c r="AA185" s="248" t="str">
        <f>IF(Year3_Southampton Year3_Assessments_step_down="","",Year3_Southampton Year3_Assessments_step_down)</f>
        <v/>
      </c>
      <c r="AB185" s="248" t="str">
        <f>IF(Year4_Southampton Year4_Assessments_step_down="","",Year4_Southampton Year4_Assessments_step_down)</f>
        <v/>
      </c>
      <c r="AC185" s="352" t="str">
        <f>IF(Year5_Southampton Year5_Assessments_step_down="","",Year5_Southampton Year5_Assessments_step_down)</f>
        <v/>
      </c>
      <c r="AD185" s="307">
        <f t="shared" si="48"/>
        <v>4602</v>
      </c>
      <c r="AE185" s="307">
        <f t="shared" si="49"/>
        <v>3481</v>
      </c>
      <c r="AF185" s="307">
        <f t="shared" si="50"/>
        <v>3575</v>
      </c>
      <c r="AG185" s="307">
        <f t="shared" si="51"/>
        <v>3839</v>
      </c>
      <c r="AH185" s="353">
        <f t="shared" si="52"/>
        <v>3189</v>
      </c>
      <c r="AI185" s="52"/>
      <c r="AJ185" s="121"/>
    </row>
    <row r="186" spans="1:45" s="61" customFormat="1" ht="13.5" hidden="1" customHeight="1">
      <c r="A186" s="1103">
        <f>VLOOKUP(B186,ReportData!$AQ$4:$AR$25,2,FALSE)</f>
        <v>0</v>
      </c>
      <c r="B186" s="885" t="str">
        <f t="shared" si="53"/>
        <v>Southampton</v>
      </c>
      <c r="C186" s="896"/>
      <c r="D186" s="922" t="e">
        <f t="shared" si="54"/>
        <v>#N/A</v>
      </c>
      <c r="E186" s="922" t="e">
        <f t="shared" si="55"/>
        <v>#N/A</v>
      </c>
      <c r="F186" s="922" t="e">
        <f t="shared" si="56"/>
        <v>#N/A</v>
      </c>
      <c r="G186" s="922" t="e">
        <f t="shared" si="57"/>
        <v>#N/A</v>
      </c>
      <c r="H186" s="923" t="e">
        <f t="shared" si="58"/>
        <v>#N/A</v>
      </c>
      <c r="I186" s="230"/>
      <c r="J186" s="68"/>
      <c r="K186" s="127"/>
      <c r="L186" s="127"/>
      <c r="M186" s="127"/>
      <c r="N186" s="127"/>
      <c r="O186" s="127"/>
      <c r="P186" s="127"/>
      <c r="Q186" s="127"/>
      <c r="R186" s="128"/>
      <c r="S186" s="120"/>
      <c r="T186" s="127"/>
      <c r="U186" s="89"/>
      <c r="V186" s="103"/>
      <c r="W186" s="115"/>
      <c r="X186" s="352" t="str">
        <f t="shared" si="47"/>
        <v>Surrey</v>
      </c>
      <c r="Y186" s="248" t="str">
        <f>IF(Year1_Surrey Year1_Assessments_step_down="","",Year1_Surrey Year1_Assessments_step_down)</f>
        <v/>
      </c>
      <c r="Z186" s="248" t="str">
        <f>IF(Year2_Surrey Year2_Assessments_step_down="","",Year2_Surrey Year2_Assessments_step_down)</f>
        <v/>
      </c>
      <c r="AA186" s="248" t="str">
        <f>IF(Year3_Surrey Year3_Assessments_step_down="","",Year3_Surrey Year3_Assessments_step_down)</f>
        <v/>
      </c>
      <c r="AB186" s="248" t="str">
        <f>IF(Year4_Surrey Year4_Assessments_step_down="","",Year4_Surrey Year4_Assessments_step_down)</f>
        <v/>
      </c>
      <c r="AC186" s="352" t="str">
        <f>IF(Year5_Surrey Year5_Assessments_step_down="","",Year5_Surrey Year5_Assessments_step_down)</f>
        <v/>
      </c>
      <c r="AD186" s="307">
        <f t="shared" si="48"/>
        <v>8724</v>
      </c>
      <c r="AE186" s="307">
        <f t="shared" si="49"/>
        <v>11079</v>
      </c>
      <c r="AF186" s="307">
        <f t="shared" si="50"/>
        <v>9379</v>
      </c>
      <c r="AG186" s="307">
        <f t="shared" si="51"/>
        <v>7491</v>
      </c>
      <c r="AH186" s="353">
        <f t="shared" si="52"/>
        <v>7611</v>
      </c>
      <c r="AI186" s="52"/>
      <c r="AJ186" s="121"/>
    </row>
    <row r="187" spans="1:45" s="61" customFormat="1" ht="13.5" hidden="1" customHeight="1">
      <c r="A187" s="1103">
        <f>VLOOKUP(B187,ReportData!$AQ$4:$AR$25,2,FALSE)</f>
        <v>0</v>
      </c>
      <c r="B187" s="885" t="str">
        <f t="shared" si="53"/>
        <v>Surrey</v>
      </c>
      <c r="C187" s="896"/>
      <c r="D187" s="922" t="e">
        <f t="shared" si="54"/>
        <v>#N/A</v>
      </c>
      <c r="E187" s="922" t="e">
        <f t="shared" si="55"/>
        <v>#N/A</v>
      </c>
      <c r="F187" s="922" t="e">
        <f t="shared" si="56"/>
        <v>#N/A</v>
      </c>
      <c r="G187" s="922" t="e">
        <f t="shared" si="57"/>
        <v>#N/A</v>
      </c>
      <c r="H187" s="923" t="e">
        <f t="shared" si="58"/>
        <v>#N/A</v>
      </c>
      <c r="I187" s="230"/>
      <c r="J187" s="68"/>
      <c r="K187" s="127"/>
      <c r="L187" s="127"/>
      <c r="M187" s="127"/>
      <c r="N187" s="127"/>
      <c r="O187" s="127"/>
      <c r="P187" s="127"/>
      <c r="Q187" s="127"/>
      <c r="R187" s="128"/>
      <c r="S187" s="120"/>
      <c r="T187" s="127"/>
      <c r="U187" s="89"/>
      <c r="V187" s="103"/>
      <c r="W187" s="115"/>
      <c r="X187" s="352" t="str">
        <f t="shared" si="47"/>
        <v>West Berkshire</v>
      </c>
      <c r="Y187" s="248" t="str">
        <f>IF(Year1_West_Berkshire Year1_Assessments_step_down="","",Year1_West_Berkshire Year1_Assessments_step_down)</f>
        <v/>
      </c>
      <c r="Z187" s="248" t="str">
        <f>IF(Year2_West_Berkshire Year2_Assessments_step_down="","",Year2_West_Berkshire Year2_Assessments_step_down)</f>
        <v/>
      </c>
      <c r="AA187" s="248" t="str">
        <f>IF(Year3_West_Berkshire Year3_Assessments_step_down="","",Year3_West_Berkshire Year3_Assessments_step_down)</f>
        <v/>
      </c>
      <c r="AB187" s="248" t="str">
        <f>IF(Year4_West_Berkshire Year4_Assessments_step_down="","",Year4_West_Berkshire Year4_Assessments_step_down)</f>
        <v/>
      </c>
      <c r="AC187" s="352" t="str">
        <f>IF(Year5_West_Berkshire Year5_Assessments_step_down="","",Year5_West_Berkshire Year5_Assessments_step_down)</f>
        <v/>
      </c>
      <c r="AD187" s="307">
        <f t="shared" si="48"/>
        <v>1878</v>
      </c>
      <c r="AE187" s="307">
        <f t="shared" si="49"/>
        <v>1826</v>
      </c>
      <c r="AF187" s="307">
        <f t="shared" si="50"/>
        <v>2356</v>
      </c>
      <c r="AG187" s="307">
        <f t="shared" si="51"/>
        <v>2849</v>
      </c>
      <c r="AH187" s="353">
        <f t="shared" si="52"/>
        <v>2406</v>
      </c>
      <c r="AI187" s="52"/>
      <c r="AJ187" s="121"/>
    </row>
    <row r="188" spans="1:45" s="61" customFormat="1" ht="13.5" hidden="1" customHeight="1">
      <c r="A188" s="1103">
        <f>VLOOKUP(B188,ReportData!$AQ$4:$AR$25,2,FALSE)</f>
        <v>0</v>
      </c>
      <c r="B188" s="885" t="str">
        <f t="shared" si="53"/>
        <v>West Berkshire</v>
      </c>
      <c r="C188" s="896"/>
      <c r="D188" s="922" t="e">
        <f t="shared" si="54"/>
        <v>#N/A</v>
      </c>
      <c r="E188" s="922" t="e">
        <f t="shared" si="55"/>
        <v>#N/A</v>
      </c>
      <c r="F188" s="922" t="e">
        <f t="shared" si="56"/>
        <v>#N/A</v>
      </c>
      <c r="G188" s="922" t="e">
        <f t="shared" si="57"/>
        <v>#N/A</v>
      </c>
      <c r="H188" s="923" t="e">
        <f t="shared" si="58"/>
        <v>#N/A</v>
      </c>
      <c r="I188" s="230"/>
      <c r="J188" s="68"/>
      <c r="K188" s="127"/>
      <c r="L188" s="127"/>
      <c r="M188" s="127"/>
      <c r="N188" s="127"/>
      <c r="O188" s="127"/>
      <c r="P188" s="127"/>
      <c r="Q188" s="127"/>
      <c r="R188" s="128"/>
      <c r="S188" s="120"/>
      <c r="T188" s="127"/>
      <c r="U188" s="89"/>
      <c r="V188" s="103"/>
      <c r="W188" s="114"/>
      <c r="X188" s="352" t="str">
        <f t="shared" si="47"/>
        <v>West Sussex</v>
      </c>
      <c r="Y188" s="248" t="str">
        <f>IF(Year1_West_Sussex Year1_Assessments_step_down="","",Year1_West_Sussex Year1_Assessments_step_down)</f>
        <v/>
      </c>
      <c r="Z188" s="248" t="str">
        <f>IF(Year2_West_Sussex Year2_Assessments_step_down="","",Year2_West_Sussex Year2_Assessments_step_down)</f>
        <v/>
      </c>
      <c r="AA188" s="248" t="str">
        <f>IF(Year3_West_Sussex Year3_Assessments_step_down="","",Year3_West_Sussex Year3_Assessments_step_down)</f>
        <v/>
      </c>
      <c r="AB188" s="248" t="str">
        <f>IF(Year4_West_Sussex Year4_Assessments_step_down="","",Year4_West_Sussex Year4_Assessments_step_down)</f>
        <v/>
      </c>
      <c r="AC188" s="352" t="str">
        <f>IF(Year5_West_Sussex Year5_Assessments_step_down="","",Year5_West_Sussex Year5_Assessments_step_down)</f>
        <v/>
      </c>
      <c r="AD188" s="307">
        <f t="shared" si="48"/>
        <v>10458</v>
      </c>
      <c r="AE188" s="307">
        <f t="shared" si="49"/>
        <v>10238</v>
      </c>
      <c r="AF188" s="307">
        <f t="shared" si="50"/>
        <v>9963</v>
      </c>
      <c r="AG188" s="307">
        <f t="shared" si="51"/>
        <v>10060</v>
      </c>
      <c r="AH188" s="353">
        <f t="shared" si="52"/>
        <v>8562</v>
      </c>
      <c r="AI188" s="52"/>
      <c r="AJ188" s="121"/>
    </row>
    <row r="189" spans="1:45" s="61" customFormat="1" ht="13.5" hidden="1" customHeight="1">
      <c r="A189" s="1103">
        <f>VLOOKUP(B189,ReportData!$AQ$4:$AR$25,2,FALSE)</f>
        <v>0</v>
      </c>
      <c r="B189" s="885" t="str">
        <f t="shared" si="53"/>
        <v>West Sussex</v>
      </c>
      <c r="C189" s="896"/>
      <c r="D189" s="922" t="e">
        <f t="shared" si="54"/>
        <v>#N/A</v>
      </c>
      <c r="E189" s="922" t="e">
        <f t="shared" si="55"/>
        <v>#N/A</v>
      </c>
      <c r="F189" s="922" t="e">
        <f t="shared" si="56"/>
        <v>#N/A</v>
      </c>
      <c r="G189" s="922" t="e">
        <f t="shared" si="57"/>
        <v>#N/A</v>
      </c>
      <c r="H189" s="923" t="e">
        <f t="shared" si="58"/>
        <v>#N/A</v>
      </c>
      <c r="I189" s="230"/>
      <c r="J189" s="68"/>
      <c r="K189" s="127"/>
      <c r="L189" s="127"/>
      <c r="M189" s="127"/>
      <c r="N189" s="127"/>
      <c r="O189" s="127"/>
      <c r="P189" s="127"/>
      <c r="Q189" s="127"/>
      <c r="R189" s="128"/>
      <c r="S189" s="120"/>
      <c r="T189" s="127"/>
      <c r="U189" s="89"/>
      <c r="V189" s="103"/>
      <c r="W189" s="114"/>
      <c r="X189" s="352" t="str">
        <f t="shared" si="47"/>
        <v>Windsor &amp; Maidenhead</v>
      </c>
      <c r="Y189" s="248" t="str">
        <f>IF(Year1_Windsor_and_Maidenhead Year1_Assessments_step_down="","",Year1_Windsor_and_Maidenhead Year1_Assessments_step_down)</f>
        <v/>
      </c>
      <c r="Z189" s="248" t="str">
        <f>IF(Year2_Windsor_and_Maidenhead Year2_Assessments_step_down="","",Year2_Windsor_and_Maidenhead Year2_Assessments_step_down)</f>
        <v/>
      </c>
      <c r="AA189" s="248" t="str">
        <f>IF(Year3_Windsor_and_Maidenhead Year3_Assessments_step_down="","",Year3_Windsor_and_Maidenhead Year3_Assessments_step_down)</f>
        <v/>
      </c>
      <c r="AB189" s="248" t="str">
        <f>IF(Year4_Windsor_and_Maidenhead Year4_Assessments_step_down="","",Year4_Windsor_and_Maidenhead Year4_Assessments_step_down)</f>
        <v/>
      </c>
      <c r="AC189" s="352" t="str">
        <f>IF(Year5_Windsor_and_Maidenhead Year5_Assessments_step_down="","",Year5_Windsor_and_Maidenhead Year5_Assessments_step_down)</f>
        <v/>
      </c>
      <c r="AD189" s="307">
        <f t="shared" si="48"/>
        <v>1211</v>
      </c>
      <c r="AE189" s="307">
        <f t="shared" si="49"/>
        <v>1410</v>
      </c>
      <c r="AF189" s="307">
        <f t="shared" si="50"/>
        <v>1643</v>
      </c>
      <c r="AG189" s="307">
        <f t="shared" si="51"/>
        <v>1525</v>
      </c>
      <c r="AH189" s="353">
        <f t="shared" si="52"/>
        <v>1525</v>
      </c>
      <c r="AI189" s="52"/>
      <c r="AJ189" s="121"/>
    </row>
    <row r="190" spans="1:45" s="61" customFormat="1" ht="13.5" hidden="1" customHeight="1">
      <c r="A190" s="1103">
        <f>VLOOKUP(B190,ReportData!$AQ$4:$AR$25,2,FALSE)</f>
        <v>0</v>
      </c>
      <c r="B190" s="885" t="str">
        <f t="shared" si="53"/>
        <v>Windsor &amp; Maidenhead</v>
      </c>
      <c r="C190" s="896"/>
      <c r="D190" s="922" t="e">
        <f t="shared" si="54"/>
        <v>#N/A</v>
      </c>
      <c r="E190" s="922" t="e">
        <f t="shared" si="55"/>
        <v>#N/A</v>
      </c>
      <c r="F190" s="922" t="e">
        <f t="shared" si="56"/>
        <v>#N/A</v>
      </c>
      <c r="G190" s="922" t="e">
        <f t="shared" si="57"/>
        <v>#N/A</v>
      </c>
      <c r="H190" s="923" t="e">
        <f t="shared" si="58"/>
        <v>#N/A</v>
      </c>
      <c r="I190" s="230"/>
      <c r="J190" s="68"/>
      <c r="K190" s="127"/>
      <c r="L190" s="127"/>
      <c r="M190" s="127"/>
      <c r="N190" s="127"/>
      <c r="O190" s="127"/>
      <c r="P190" s="127"/>
      <c r="Q190" s="127"/>
      <c r="R190" s="128"/>
      <c r="S190" s="120"/>
      <c r="T190" s="127"/>
      <c r="U190" s="89"/>
      <c r="V190" s="103"/>
      <c r="W190" s="114"/>
      <c r="X190" s="352" t="str">
        <f t="shared" si="47"/>
        <v>Wokingham</v>
      </c>
      <c r="Y190" s="248" t="str">
        <f>IF(Year1_Wokingham Year1_Assessments_step_down="","",Year1_Wokingham Year1_Assessments_step_down)</f>
        <v/>
      </c>
      <c r="Z190" s="248" t="str">
        <f>IF(Year2_Wokingham Year2_Assessments_step_down="","",Year2_Wokingham Year2_Assessments_step_down)</f>
        <v/>
      </c>
      <c r="AA190" s="248" t="str">
        <f>IF(Year3_Wokingham Year3_Assessments_step_down="","",Year3_Wokingham Year3_Assessments_step_down)</f>
        <v/>
      </c>
      <c r="AB190" s="248" t="str">
        <f>IF(Year4_Wokingham Year4_Assessments_step_down="","",Year4_Wokingham Year4_Assessments_step_down)</f>
        <v/>
      </c>
      <c r="AC190" s="352" t="str">
        <f>IF(Year5_Wokingham Year5_Assessments_step_down="","",Year5_Wokingham Year5_Assessments_step_down)</f>
        <v/>
      </c>
      <c r="AD190" s="307">
        <f t="shared" si="48"/>
        <v>1583</v>
      </c>
      <c r="AE190" s="307">
        <f t="shared" si="49"/>
        <v>1410</v>
      </c>
      <c r="AF190" s="307">
        <f t="shared" si="50"/>
        <v>1470</v>
      </c>
      <c r="AG190" s="307">
        <f t="shared" si="51"/>
        <v>1493</v>
      </c>
      <c r="AH190" s="353">
        <f t="shared" si="52"/>
        <v>1576</v>
      </c>
      <c r="AI190" s="52"/>
      <c r="AJ190" s="121"/>
    </row>
    <row r="191" spans="1:45" s="61" customFormat="1" ht="13.5" hidden="1" customHeight="1">
      <c r="A191" s="1103">
        <f>VLOOKUP(B191,ReportData!$AQ$4:$AR$25,2,FALSE)</f>
        <v>0</v>
      </c>
      <c r="B191" s="885" t="str">
        <f t="shared" si="53"/>
        <v>Wokingham</v>
      </c>
      <c r="C191" s="896"/>
      <c r="D191" s="922" t="e">
        <f t="shared" si="54"/>
        <v>#N/A</v>
      </c>
      <c r="E191" s="922" t="e">
        <f t="shared" si="55"/>
        <v>#N/A</v>
      </c>
      <c r="F191" s="922" t="e">
        <f t="shared" si="56"/>
        <v>#N/A</v>
      </c>
      <c r="G191" s="922" t="e">
        <f t="shared" si="57"/>
        <v>#N/A</v>
      </c>
      <c r="H191" s="923" t="e">
        <f t="shared" si="58"/>
        <v>#N/A</v>
      </c>
      <c r="I191" s="230"/>
      <c r="J191" s="68"/>
      <c r="K191" s="129"/>
      <c r="L191" s="129"/>
      <c r="M191" s="129"/>
      <c r="N191" s="129"/>
      <c r="O191" s="129"/>
      <c r="P191" s="129"/>
      <c r="Q191" s="129"/>
      <c r="R191" s="130"/>
      <c r="S191" s="120"/>
      <c r="T191" s="131"/>
      <c r="U191" s="89"/>
      <c r="V191" s="103"/>
      <c r="W191" s="114"/>
      <c r="X191" s="352" t="str">
        <f t="shared" si="47"/>
        <v>South East</v>
      </c>
      <c r="Y191" s="307" t="e">
        <f>IF(Year1_South_East Year1_Assessments_step_down=0,NA(),Year1_South_East Year1_Assessments_step_down)</f>
        <v>#N/A</v>
      </c>
      <c r="Z191" s="307" t="e">
        <f>IF(Year2_South_East Year2_Assessments_step_down=0,NA(),Year2_South_East Year2_Assessments_step_down)</f>
        <v>#N/A</v>
      </c>
      <c r="AA191" s="307" t="e">
        <f>IF(Year3_South_East Year3_Assessments_step_down=0,NA(),Year3_South_East Year3_Assessments_step_down)</f>
        <v>#N/A</v>
      </c>
      <c r="AB191" s="307" t="e">
        <f>IF(Year4_South_East Year4_Assessments_step_down=0,NA(),Year4_South_East Year4_Assessments_step_down)</f>
        <v>#N/A</v>
      </c>
      <c r="AC191" s="353" t="e">
        <f>IF(Year5_South_East Year5_Assessments_step_down=0,NA(),Year5_South_East Year5_Assessments_step_down)</f>
        <v>#N/A</v>
      </c>
      <c r="AD191" s="307" t="e">
        <f t="shared" si="48"/>
        <v>#N/A</v>
      </c>
      <c r="AE191" s="307" t="e">
        <f t="shared" si="49"/>
        <v>#N/A</v>
      </c>
      <c r="AF191" s="307" t="e">
        <f t="shared" si="50"/>
        <v>#N/A</v>
      </c>
      <c r="AG191" s="307" t="e">
        <f t="shared" si="51"/>
        <v>#N/A</v>
      </c>
      <c r="AH191" s="307" t="e">
        <f t="shared" si="52"/>
        <v>#N/A</v>
      </c>
      <c r="AI191" s="52"/>
      <c r="AJ191" s="121"/>
    </row>
    <row r="192" spans="1:45" s="61" customFormat="1" ht="13.5" hidden="1" customHeight="1">
      <c r="A192" s="1148"/>
      <c r="B192" s="886" t="str">
        <f t="shared" si="53"/>
        <v>South East</v>
      </c>
      <c r="C192" s="896"/>
      <c r="D192" s="924" t="e">
        <f t="shared" si="54"/>
        <v>#N/A</v>
      </c>
      <c r="E192" s="924" t="e">
        <f t="shared" si="55"/>
        <v>#N/A</v>
      </c>
      <c r="F192" s="924" t="e">
        <f t="shared" si="56"/>
        <v>#N/A</v>
      </c>
      <c r="G192" s="924" t="e">
        <f t="shared" si="57"/>
        <v>#N/A</v>
      </c>
      <c r="H192" s="925" t="e">
        <f t="shared" si="58"/>
        <v>#N/A</v>
      </c>
      <c r="I192" s="230"/>
      <c r="J192" s="68"/>
      <c r="K192" s="129"/>
      <c r="L192" s="129"/>
      <c r="M192" s="129"/>
      <c r="N192" s="129"/>
      <c r="O192" s="129"/>
      <c r="P192" s="129"/>
      <c r="Q192" s="129"/>
      <c r="R192" s="130"/>
      <c r="S192" s="120"/>
      <c r="T192" s="131"/>
      <c r="U192" s="89"/>
      <c r="V192" s="102"/>
      <c r="W192" s="114"/>
      <c r="X192" s="352" t="str">
        <f t="shared" si="47"/>
        <v>England</v>
      </c>
      <c r="Y192" s="248" t="str">
        <f>IF(Year1_England Year1_Assessments_step_down="","",Year1_England Year1_Assessments_step_down)</f>
        <v/>
      </c>
      <c r="Z192" s="248" t="str">
        <f>IF(Year2_England Year2_Assessments_step_down="","",Year2_England Year2_Assessments_step_down)</f>
        <v/>
      </c>
      <c r="AA192" s="248" t="str">
        <f>IF(Year3_England Year3_Assessments_step_down="","",Year3_England Year3_Assessments_step_down)</f>
        <v/>
      </c>
      <c r="AB192" s="248" t="str">
        <f>IF(Year4_England Year4_Assessments_step_down="","",Year4_England Year4_Assessments_step_down)</f>
        <v/>
      </c>
      <c r="AC192" s="352" t="str">
        <f>IF(Year5_England Year5_Assessments_step_down="","",Year5_England Year5_Assessments_step_down)</f>
        <v/>
      </c>
      <c r="AD192" s="307">
        <f t="shared" si="48"/>
        <v>665660</v>
      </c>
      <c r="AE192" s="307">
        <f t="shared" si="49"/>
        <v>625960</v>
      </c>
      <c r="AF192" s="307">
        <f t="shared" si="50"/>
        <v>645070</v>
      </c>
      <c r="AG192" s="307">
        <f t="shared" si="51"/>
        <v>655540</v>
      </c>
      <c r="AH192" s="353">
        <f t="shared" si="52"/>
        <v>643170</v>
      </c>
      <c r="AI192" s="52"/>
      <c r="AJ192" s="121"/>
    </row>
    <row r="193" spans="1:65" s="61" customFormat="1" ht="13.5" hidden="1" customHeight="1">
      <c r="A193" s="1097"/>
      <c r="B193" s="887" t="str">
        <f t="shared" si="53"/>
        <v>England</v>
      </c>
      <c r="C193" s="896"/>
      <c r="D193" s="926" t="e">
        <f t="shared" si="54"/>
        <v>#N/A</v>
      </c>
      <c r="E193" s="926" t="e">
        <f t="shared" si="55"/>
        <v>#N/A</v>
      </c>
      <c r="F193" s="926" t="e">
        <f t="shared" si="56"/>
        <v>#N/A</v>
      </c>
      <c r="G193" s="926" t="e">
        <f t="shared" si="57"/>
        <v>#N/A</v>
      </c>
      <c r="H193" s="927" t="e">
        <f t="shared" si="58"/>
        <v>#N/A</v>
      </c>
      <c r="I193" s="230"/>
      <c r="J193" s="68"/>
      <c r="K193" s="129"/>
      <c r="L193" s="129"/>
      <c r="M193" s="129"/>
      <c r="N193" s="129"/>
      <c r="O193" s="129"/>
      <c r="P193" s="129"/>
      <c r="Q193" s="129"/>
      <c r="R193" s="130"/>
      <c r="S193" s="120"/>
      <c r="T193" s="131"/>
      <c r="U193" s="89"/>
      <c r="V193" s="102"/>
      <c r="W193" s="114"/>
      <c r="X193" s="56"/>
      <c r="Y193" s="52"/>
      <c r="Z193" s="52"/>
      <c r="AA193" s="52"/>
      <c r="AB193" s="52"/>
      <c r="AC193" s="52"/>
      <c r="AD193" s="52"/>
      <c r="AE193" s="52"/>
      <c r="AF193" s="52"/>
      <c r="AG193" s="52"/>
      <c r="AH193" s="56"/>
      <c r="AI193" s="52"/>
      <c r="AJ193" s="121"/>
    </row>
    <row r="194" spans="1:65" s="61" customFormat="1" ht="4.5" hidden="1" customHeight="1">
      <c r="A194" s="1178"/>
      <c r="B194" s="171"/>
      <c r="C194" s="171"/>
      <c r="D194" s="227"/>
      <c r="E194" s="227"/>
      <c r="F194" s="227"/>
      <c r="G194" s="227"/>
      <c r="H194" s="227"/>
      <c r="I194" s="171"/>
      <c r="J194" s="133"/>
      <c r="K194" s="133"/>
      <c r="L194" s="133"/>
      <c r="M194" s="133"/>
      <c r="N194" s="133"/>
      <c r="O194" s="133"/>
      <c r="P194" s="133"/>
      <c r="Q194" s="133"/>
      <c r="R194" s="101"/>
      <c r="S194" s="133"/>
      <c r="T194" s="133"/>
      <c r="U194" s="86"/>
      <c r="V194" s="102"/>
      <c r="W194" s="114"/>
      <c r="X194" s="56"/>
      <c r="Y194" s="141"/>
      <c r="Z194" s="56"/>
      <c r="AA194" s="52"/>
      <c r="AB194" s="52"/>
      <c r="AC194" s="52"/>
      <c r="AD194" s="52"/>
      <c r="AE194" s="52"/>
      <c r="AF194" s="52"/>
      <c r="AG194" s="52"/>
      <c r="AH194" s="56"/>
      <c r="AI194" s="52"/>
      <c r="AJ194" s="121"/>
    </row>
    <row r="195" spans="1:65" s="56" customFormat="1" ht="42.75" hidden="1" customHeight="1">
      <c r="A195" s="1179"/>
      <c r="B195" s="171"/>
      <c r="C195" s="171"/>
      <c r="D195" s="171"/>
      <c r="E195" s="171"/>
      <c r="F195" s="171"/>
      <c r="G195" s="171"/>
      <c r="H195" s="171"/>
      <c r="I195" s="171"/>
      <c r="J195" s="133"/>
      <c r="K195" s="133"/>
      <c r="L195" s="133"/>
      <c r="M195" s="133"/>
      <c r="N195" s="133"/>
      <c r="O195" s="133"/>
      <c r="P195" s="133"/>
      <c r="Q195" s="133"/>
      <c r="R195" s="101"/>
      <c r="S195" s="133"/>
      <c r="T195" s="133"/>
      <c r="U195" s="86"/>
      <c r="V195" s="102"/>
      <c r="W195" s="114"/>
      <c r="AJ195" s="121"/>
      <c r="AK195" s="61"/>
    </row>
    <row r="196" spans="1:65" s="56" customFormat="1" ht="42.75" hidden="1" customHeight="1">
      <c r="A196" s="87"/>
      <c r="B196" s="12"/>
      <c r="C196" s="12"/>
      <c r="D196" s="11"/>
      <c r="E196" s="11"/>
      <c r="F196" s="11"/>
      <c r="G196" s="11"/>
      <c r="H196" s="11"/>
      <c r="I196" s="11"/>
      <c r="J196" s="1"/>
      <c r="K196" s="13"/>
      <c r="L196" s="13"/>
      <c r="M196" s="13"/>
      <c r="N196" s="13"/>
      <c r="O196" s="13"/>
      <c r="P196" s="13"/>
      <c r="Q196" s="13"/>
      <c r="R196" s="13"/>
      <c r="S196" s="13"/>
      <c r="T196" s="14"/>
      <c r="U196" s="86"/>
      <c r="V196" s="102"/>
      <c r="W196" s="115"/>
      <c r="AE196" s="57"/>
      <c r="AH196" s="52"/>
      <c r="AI196" s="52"/>
      <c r="AJ196" s="121"/>
      <c r="AK196" s="61"/>
    </row>
    <row r="197" spans="1:65" s="56" customFormat="1" ht="42.75" hidden="1" customHeight="1">
      <c r="A197" s="208"/>
      <c r="B197" s="12"/>
      <c r="C197" s="12"/>
      <c r="D197" s="11"/>
      <c r="E197" s="11"/>
      <c r="F197" s="11"/>
      <c r="G197" s="11"/>
      <c r="H197" s="11"/>
      <c r="I197" s="11"/>
      <c r="J197" s="1"/>
      <c r="K197" s="13"/>
      <c r="L197" s="13"/>
      <c r="M197" s="13"/>
      <c r="N197" s="13"/>
      <c r="O197" s="13"/>
      <c r="P197" s="13"/>
      <c r="Q197" s="13"/>
      <c r="R197" s="13"/>
      <c r="S197" s="13"/>
      <c r="T197" s="14"/>
      <c r="U197" s="86"/>
      <c r="V197" s="102"/>
      <c r="W197" s="115"/>
      <c r="AI197" s="52"/>
      <c r="AJ197" s="122"/>
    </row>
    <row r="198" spans="1:65" s="56" customFormat="1" ht="7.5" hidden="1" customHeight="1">
      <c r="A198" s="208"/>
      <c r="B198" s="12"/>
      <c r="C198" s="12"/>
      <c r="D198" s="11"/>
      <c r="E198" s="11"/>
      <c r="F198" s="11"/>
      <c r="G198" s="11"/>
      <c r="H198" s="11"/>
      <c r="I198" s="11"/>
      <c r="J198" s="1"/>
      <c r="K198" s="13"/>
      <c r="L198" s="13"/>
      <c r="M198" s="13"/>
      <c r="N198" s="13"/>
      <c r="O198" s="13"/>
      <c r="P198" s="13"/>
      <c r="Q198" s="13"/>
      <c r="R198" s="13"/>
      <c r="S198" s="13"/>
      <c r="T198" s="14"/>
      <c r="U198" s="86"/>
      <c r="V198" s="102"/>
      <c r="W198" s="115"/>
      <c r="AI198" s="52"/>
      <c r="AJ198" s="122"/>
    </row>
    <row r="199" spans="1:65" s="56" customFormat="1" ht="15" hidden="1" customHeight="1">
      <c r="A199" s="208"/>
      <c r="B199" s="12"/>
      <c r="C199" s="12"/>
      <c r="D199" s="11"/>
      <c r="E199" s="11"/>
      <c r="F199" s="11"/>
      <c r="G199" s="11"/>
      <c r="H199" s="11"/>
      <c r="I199" s="11"/>
      <c r="J199" s="1"/>
      <c r="K199" s="13"/>
      <c r="L199" s="13"/>
      <c r="M199" s="13"/>
      <c r="N199" s="13"/>
      <c r="O199" s="13"/>
      <c r="P199" s="13"/>
      <c r="Q199" s="13"/>
      <c r="R199" s="13"/>
      <c r="S199" s="13"/>
      <c r="T199" s="14"/>
      <c r="U199" s="86"/>
      <c r="V199" s="102"/>
      <c r="W199" s="115"/>
      <c r="AI199" s="52"/>
      <c r="AJ199" s="122"/>
    </row>
    <row r="200" spans="1:65" s="56" customFormat="1" ht="11.25" hidden="1" customHeight="1">
      <c r="A200" s="1739"/>
      <c r="B200" s="1740"/>
      <c r="C200" s="1740"/>
      <c r="D200" s="1740"/>
      <c r="E200" s="1740"/>
      <c r="F200" s="1740"/>
      <c r="G200" s="1740"/>
      <c r="H200" s="1740"/>
      <c r="I200" s="1741"/>
      <c r="J200" s="1740"/>
      <c r="K200" s="1740"/>
      <c r="L200" s="1740"/>
      <c r="M200" s="1740"/>
      <c r="N200" s="1740"/>
      <c r="O200" s="1740"/>
      <c r="P200" s="1742"/>
      <c r="Q200" s="1740"/>
      <c r="R200" s="1740"/>
      <c r="S200" s="1741"/>
      <c r="T200" s="1740"/>
      <c r="U200" s="1743"/>
      <c r="V200" s="102"/>
      <c r="W200" s="115"/>
      <c r="X200" s="52"/>
      <c r="Y200" s="52"/>
      <c r="Z200" s="52"/>
      <c r="AA200" s="52"/>
      <c r="AB200" s="52"/>
      <c r="AC200" s="52"/>
      <c r="AD200" s="52"/>
      <c r="AE200" s="52"/>
      <c r="AF200" s="52"/>
      <c r="AG200" s="52"/>
      <c r="AH200" s="52"/>
      <c r="AI200" s="52"/>
      <c r="AJ200" s="119"/>
      <c r="AK200" s="52"/>
      <c r="AL200" s="52"/>
      <c r="AM200" s="52"/>
      <c r="AN200" s="52"/>
      <c r="AO200" s="52"/>
      <c r="AP200" s="52"/>
      <c r="AQ200" s="52"/>
    </row>
    <row r="201" spans="1:65" s="56" customFormat="1" ht="10.5" hidden="1" customHeight="1">
      <c r="A201" s="81"/>
      <c r="B201" s="82"/>
      <c r="C201" s="82"/>
      <c r="D201" s="82"/>
      <c r="E201" s="82"/>
      <c r="F201" s="82"/>
      <c r="G201" s="82"/>
      <c r="H201" s="82"/>
      <c r="I201" s="82"/>
      <c r="J201" s="83"/>
      <c r="K201" s="82"/>
      <c r="L201" s="82"/>
      <c r="M201" s="82"/>
      <c r="N201" s="167"/>
      <c r="O201" s="82"/>
      <c r="P201" s="82"/>
      <c r="Q201" s="82"/>
      <c r="R201" s="82"/>
      <c r="S201" s="82"/>
      <c r="T201" s="82"/>
      <c r="U201" s="84"/>
      <c r="V201" s="102"/>
      <c r="W201" s="115"/>
      <c r="X201" s="52"/>
      <c r="Y201" s="52"/>
      <c r="Z201" s="52"/>
      <c r="AA201" s="52"/>
      <c r="AB201" s="52"/>
      <c r="AC201" s="52"/>
      <c r="AD201" s="52"/>
      <c r="AE201" s="52"/>
      <c r="AF201" s="52"/>
      <c r="AG201" s="52"/>
      <c r="AH201" s="52"/>
      <c r="AI201" s="52"/>
      <c r="AJ201" s="119"/>
      <c r="AK201" s="52"/>
      <c r="AL201" s="52"/>
      <c r="AM201" s="52"/>
      <c r="AN201" s="52"/>
      <c r="AO201" s="52"/>
      <c r="AP201" s="52"/>
      <c r="AQ201" s="52"/>
    </row>
    <row r="202" spans="1:65" s="56" customFormat="1" ht="18" hidden="1" customHeight="1">
      <c r="A202" s="87"/>
      <c r="B202" s="1886" t="s">
        <v>207</v>
      </c>
      <c r="C202" s="1886"/>
      <c r="D202" s="1886"/>
      <c r="E202" s="1886"/>
      <c r="F202" s="1886"/>
      <c r="G202" s="1886"/>
      <c r="H202" s="1886"/>
      <c r="I202" s="1177"/>
      <c r="J202" s="50"/>
      <c r="K202" s="50"/>
      <c r="L202" s="50"/>
      <c r="M202" s="50"/>
      <c r="N202" s="50"/>
      <c r="O202" s="50"/>
      <c r="P202" s="50"/>
      <c r="Q202" s="50"/>
      <c r="R202" s="50"/>
      <c r="S202" s="50"/>
      <c r="T202" s="50"/>
      <c r="U202" s="86"/>
      <c r="V202" s="102"/>
      <c r="W202" s="115"/>
      <c r="X202" s="52"/>
      <c r="Y202" s="884" t="s">
        <v>83</v>
      </c>
      <c r="Z202" s="882"/>
      <c r="AA202" s="882"/>
      <c r="AB202" s="882"/>
      <c r="AC202" s="883"/>
      <c r="AD202" s="881" t="s">
        <v>120</v>
      </c>
      <c r="AE202" s="882"/>
      <c r="AF202" s="882"/>
      <c r="AG202" s="882"/>
      <c r="AH202" s="883"/>
      <c r="AI202" s="52"/>
      <c r="AJ202" s="122"/>
      <c r="AS202" s="52"/>
    </row>
    <row r="203" spans="1:65" s="56" customFormat="1" ht="21" hidden="1" customHeight="1">
      <c r="A203" s="87"/>
      <c r="B203" s="1886"/>
      <c r="C203" s="1886"/>
      <c r="D203" s="1886"/>
      <c r="E203" s="1886"/>
      <c r="F203" s="1886"/>
      <c r="G203" s="1886"/>
      <c r="H203" s="1886"/>
      <c r="I203" s="1177"/>
      <c r="J203" s="50"/>
      <c r="K203" s="50"/>
      <c r="L203" s="50"/>
      <c r="M203" s="50"/>
      <c r="N203" s="50"/>
      <c r="O203" s="50"/>
      <c r="P203" s="50"/>
      <c r="Q203" s="50"/>
      <c r="R203" s="5"/>
      <c r="S203" s="50"/>
      <c r="T203" s="50"/>
      <c r="U203" s="86"/>
      <c r="V203" s="103"/>
      <c r="W203" s="115"/>
      <c r="X203" s="52"/>
      <c r="Y203" s="307" t="str">
        <f>D204</f>
        <v>2019/20</v>
      </c>
      <c r="Z203" s="307" t="str">
        <f>E204</f>
        <v>2020/21</v>
      </c>
      <c r="AA203" s="307" t="str">
        <f>F204</f>
        <v>2021/22</v>
      </c>
      <c r="AB203" s="307" t="str">
        <f>G204</f>
        <v>2022/23</v>
      </c>
      <c r="AC203" s="353" t="str">
        <f>H204</f>
        <v>2023/24</v>
      </c>
      <c r="AD203" s="307" t="str">
        <f>Y203</f>
        <v>2019/20</v>
      </c>
      <c r="AE203" s="307" t="str">
        <f>Z203</f>
        <v>2020/21</v>
      </c>
      <c r="AF203" s="307" t="str">
        <f>AA203</f>
        <v>2021/22</v>
      </c>
      <c r="AG203" s="307" t="str">
        <f>AB203</f>
        <v>2022/23</v>
      </c>
      <c r="AH203" s="307" t="str">
        <f>AC203</f>
        <v>2023/24</v>
      </c>
      <c r="AI203" s="61"/>
      <c r="AJ203" s="119"/>
      <c r="AK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row>
    <row r="204" spans="1:65" s="56" customFormat="1" ht="16.5" hidden="1" customHeight="1">
      <c r="A204" s="208"/>
      <c r="B204" s="1884" t="s">
        <v>177</v>
      </c>
      <c r="C204" s="230"/>
      <c r="D204" s="1088" t="str">
        <f>ReportData!$D$27</f>
        <v>2019/20</v>
      </c>
      <c r="E204" s="1088" t="str">
        <f>ReportData!$E$27</f>
        <v>2020/21</v>
      </c>
      <c r="F204" s="1088" t="str">
        <f>ReportData!$F$27</f>
        <v>2021/22</v>
      </c>
      <c r="G204" s="1088" t="str">
        <f>ReportData!$G$27</f>
        <v>2022/23</v>
      </c>
      <c r="H204" s="1089" t="str">
        <f>ReportData!$H$27</f>
        <v>2023/24</v>
      </c>
      <c r="I204" s="230"/>
      <c r="J204" s="50"/>
      <c r="K204" s="50"/>
      <c r="L204" s="50"/>
      <c r="M204" s="50"/>
      <c r="N204" s="224"/>
      <c r="O204" s="50"/>
      <c r="P204" s="50"/>
      <c r="Q204" s="50"/>
      <c r="R204" s="5"/>
      <c r="S204" s="50"/>
      <c r="T204" s="50"/>
      <c r="U204" s="86"/>
      <c r="V204" s="103"/>
      <c r="W204" s="115"/>
      <c r="X204" s="52"/>
      <c r="Y204" s="307"/>
      <c r="Z204" s="307"/>
      <c r="AA204" s="307"/>
      <c r="AB204" s="307"/>
      <c r="AC204" s="353"/>
      <c r="AD204" s="307"/>
      <c r="AE204" s="307"/>
      <c r="AF204" s="307"/>
      <c r="AG204" s="307"/>
      <c r="AH204" s="577"/>
      <c r="AI204" s="61"/>
      <c r="AJ204" s="119"/>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row>
    <row r="205" spans="1:65" ht="15.75" hidden="1" customHeight="1">
      <c r="A205" s="208"/>
      <c r="B205" s="1885"/>
      <c r="C205" s="59"/>
      <c r="D205" s="459" t="e">
        <f>ReportData!$D$28</f>
        <v>#N/A</v>
      </c>
      <c r="E205" s="459" t="e">
        <f>ReportData!$E$28</f>
        <v>#N/A</v>
      </c>
      <c r="F205" s="459" t="e">
        <f>ReportData!$F$28</f>
        <v>#N/A</v>
      </c>
      <c r="G205" s="459" t="e">
        <f>ReportData!$G$28</f>
        <v>#N/A</v>
      </c>
      <c r="H205" s="460" t="e">
        <f>ReportData!$H$28</f>
        <v>#N/A</v>
      </c>
      <c r="I205" s="230"/>
      <c r="J205" s="50"/>
      <c r="K205" s="50"/>
      <c r="L205" s="50"/>
      <c r="M205" s="50"/>
      <c r="N205" s="224"/>
      <c r="O205" s="50"/>
      <c r="P205" s="50"/>
      <c r="Q205" s="50"/>
      <c r="R205" s="5"/>
      <c r="S205" s="50"/>
      <c r="T205" s="50"/>
      <c r="U205" s="86"/>
      <c r="V205" s="103"/>
      <c r="W205" s="115"/>
      <c r="X205" s="352" t="str">
        <f t="shared" ref="X205:X225" si="59">X172</f>
        <v>Bracknell Forest</v>
      </c>
      <c r="Y205" s="248" t="str">
        <f>IF(Year1_Bracknell_Forest Year1_Assessments_No_further_action="","",Year1_Bracknell_Forest Year1_Assessments_No_further_action)</f>
        <v/>
      </c>
      <c r="Z205" s="248" t="str">
        <f>IF(Year2_Bracknell_Forest Year2_Assessments_No_further_action="","",Year2_Bracknell_Forest Year2_Assessments_No_further_action)</f>
        <v/>
      </c>
      <c r="AA205" s="248" t="str">
        <f>IF(Year3_Bracknell_Forest Year3_Assessments_No_further_action="","",Year3_Bracknell_Forest Year3_Assessments_No_further_action)</f>
        <v/>
      </c>
      <c r="AB205" s="248" t="str">
        <f>IF(Year4_Bracknell_Forest Year4_Assessments_No_further_action="","",Year4_Bracknell_Forest Year4_Assessments_No_further_action)</f>
        <v/>
      </c>
      <c r="AC205" s="352" t="str">
        <f>IF(Year5_Bracknell_Forest Year5_Assessments_No_further_action="","",Year5_Bracknell_Forest Year5_Assessments_No_further_action)</f>
        <v/>
      </c>
      <c r="AD205" s="307">
        <f t="shared" ref="AD205:AD225" si="60">IF(Y205&gt;0,D11,0)</f>
        <v>1531</v>
      </c>
      <c r="AE205" s="307">
        <f t="shared" ref="AE205:AE225" si="61">IF(Z205&gt;0,E11,0)</f>
        <v>1613</v>
      </c>
      <c r="AF205" s="307">
        <f t="shared" ref="AF205:AF225" si="62">IF(AA205&gt;0,F11,0)</f>
        <v>1464</v>
      </c>
      <c r="AG205" s="307">
        <f t="shared" ref="AG205:AG225" si="63">IF(AB205&gt;0,G11,0)</f>
        <v>1410</v>
      </c>
      <c r="AH205" s="353">
        <f t="shared" ref="AH205:AH225" si="64">IF(AC205&gt;0,H11,0)</f>
        <v>1423</v>
      </c>
      <c r="AI205" s="61"/>
      <c r="AJ205" s="119"/>
    </row>
    <row r="206" spans="1:65" ht="13.5" hidden="1" customHeight="1">
      <c r="A206" s="1103">
        <f>VLOOKUP(B206,ReportData!$AQ$4:$AR$25,2,FALSE)</f>
        <v>0</v>
      </c>
      <c r="B206" s="885" t="str">
        <f t="shared" ref="B206:B220" si="65">B141</f>
        <v>Bracknell Forest</v>
      </c>
      <c r="C206" s="896"/>
      <c r="D206" s="922" t="e">
        <f t="shared" ref="D206:D226" si="66">IF(ISNUMBER(Y205),Y205/AD205,NA())</f>
        <v>#N/A</v>
      </c>
      <c r="E206" s="922" t="e">
        <f t="shared" ref="E206:E226" si="67">IF(ISNUMBER(Z205),Z205/AE205,NA())</f>
        <v>#N/A</v>
      </c>
      <c r="F206" s="922" t="e">
        <f t="shared" ref="F206:F226" si="68">IF(ISNUMBER(AA205),AA205/AF205,NA())</f>
        <v>#N/A</v>
      </c>
      <c r="G206" s="922" t="e">
        <f t="shared" ref="G206:G226" si="69">IF(ISNUMBER(AB205),AB205/AG205,NA())</f>
        <v>#N/A</v>
      </c>
      <c r="H206" s="923" t="e">
        <f t="shared" ref="H206:H226" si="70">IF(ISNUMBER(AC205),AC205/AH205,NA())</f>
        <v>#N/A</v>
      </c>
      <c r="I206" s="230"/>
      <c r="J206" s="68"/>
      <c r="K206" s="127"/>
      <c r="L206" s="127"/>
      <c r="M206" s="127"/>
      <c r="N206" s="127"/>
      <c r="O206" s="127"/>
      <c r="P206" s="127"/>
      <c r="Q206" s="127"/>
      <c r="R206" s="128"/>
      <c r="S206" s="120"/>
      <c r="T206" s="127"/>
      <c r="U206" s="89"/>
      <c r="V206" s="103"/>
      <c r="W206" s="115"/>
      <c r="X206" s="352" t="str">
        <f t="shared" si="59"/>
        <v>Brighton &amp; Hove</v>
      </c>
      <c r="Y206" s="248" t="str">
        <f>IF(Year1_Brighton_and_Hove Year1_Assessments_No_further_action="","",Year1_Brighton_and_Hove Year1_Assessments_No_further_action)</f>
        <v/>
      </c>
      <c r="Z206" s="248" t="str">
        <f>IF(Year2_Brighton_and_Hove Year2_Assessments_No_further_action="","",Year2_Brighton_and_Hove Year2_Assessments_No_further_action)</f>
        <v/>
      </c>
      <c r="AA206" s="248" t="str">
        <f>IF(Year3_Brighton_and_Hove Year3_Assessments_No_further_action="","",Year3_Brighton_and_Hove Year3_Assessments_No_further_action)</f>
        <v/>
      </c>
      <c r="AB206" s="248" t="str">
        <f>IF(Year4_Brighton_and_Hove Year4_Assessments_No_further_action="","",Year4_Brighton_and_Hove Year4_Assessments_No_further_action)</f>
        <v/>
      </c>
      <c r="AC206" s="352" t="str">
        <f>IF(Year5_Brighton_and_Hove Year5_Assessments_No_further_action="","",Year5_Brighton_and_Hove Year5_Assessments_No_further_action)</f>
        <v/>
      </c>
      <c r="AD206" s="307">
        <f t="shared" si="60"/>
        <v>2754</v>
      </c>
      <c r="AE206" s="307">
        <f t="shared" si="61"/>
        <v>2146</v>
      </c>
      <c r="AF206" s="307">
        <f t="shared" si="62"/>
        <v>2646</v>
      </c>
      <c r="AG206" s="307">
        <f t="shared" si="63"/>
        <v>3144</v>
      </c>
      <c r="AH206" s="353">
        <f t="shared" si="64"/>
        <v>2869</v>
      </c>
      <c r="AI206" s="61"/>
      <c r="AJ206" s="119"/>
    </row>
    <row r="207" spans="1:65" ht="13.5" hidden="1" customHeight="1">
      <c r="A207" s="1103">
        <f>VLOOKUP(B207,ReportData!$AQ$4:$AR$25,2,FALSE)</f>
        <v>0</v>
      </c>
      <c r="B207" s="885" t="str">
        <f t="shared" si="65"/>
        <v>Brighton &amp; Hove</v>
      </c>
      <c r="C207" s="896"/>
      <c r="D207" s="922" t="e">
        <f t="shared" si="66"/>
        <v>#N/A</v>
      </c>
      <c r="E207" s="922" t="e">
        <f t="shared" si="67"/>
        <v>#N/A</v>
      </c>
      <c r="F207" s="922" t="e">
        <f t="shared" si="68"/>
        <v>#N/A</v>
      </c>
      <c r="G207" s="922" t="e">
        <f t="shared" si="69"/>
        <v>#N/A</v>
      </c>
      <c r="H207" s="923" t="e">
        <f t="shared" si="70"/>
        <v>#N/A</v>
      </c>
      <c r="I207" s="230"/>
      <c r="J207" s="68"/>
      <c r="K207" s="127"/>
      <c r="L207" s="127"/>
      <c r="M207" s="127"/>
      <c r="N207" s="127"/>
      <c r="O207" s="127"/>
      <c r="P207" s="127"/>
      <c r="Q207" s="127"/>
      <c r="R207" s="128"/>
      <c r="S207" s="120"/>
      <c r="T207" s="127"/>
      <c r="U207" s="89"/>
      <c r="V207" s="103"/>
      <c r="W207" s="115"/>
      <c r="X207" s="352" t="str">
        <f t="shared" si="59"/>
        <v>Buckinghamshire</v>
      </c>
      <c r="Y207" s="248" t="str">
        <f>IF(Year1_Buckinghamshire Year1_Assessments_No_further_action="","",Year1_Buckinghamshire Year1_Assessments_No_further_action)</f>
        <v/>
      </c>
      <c r="Z207" s="248" t="str">
        <f>IF(Year2_Buckinghamshire Year2_Assessments_No_further_action="","",Year2_Buckinghamshire Year2_Assessments_No_further_action)</f>
        <v/>
      </c>
      <c r="AA207" s="248" t="str">
        <f>IF(Year3_Buckinghamshire Year3_Assessments_No_further_action="","",Year3_Buckinghamshire Year3_Assessments_No_further_action)</f>
        <v/>
      </c>
      <c r="AB207" s="248" t="str">
        <f>IF(Year4_Buckinghamshire Year4_Assessments_No_further_action="","",Year4_Buckinghamshire Year4_Assessments_No_further_action)</f>
        <v/>
      </c>
      <c r="AC207" s="352" t="str">
        <f>IF(Year5_Buckinghamshire Year5_Assessments_No_further_action="","",Year5_Buckinghamshire Year5_Assessments_No_further_action)</f>
        <v/>
      </c>
      <c r="AD207" s="307">
        <f t="shared" si="60"/>
        <v>8122</v>
      </c>
      <c r="AE207" s="307">
        <f t="shared" si="61"/>
        <v>8277</v>
      </c>
      <c r="AF207" s="307">
        <f t="shared" si="62"/>
        <v>10201</v>
      </c>
      <c r="AG207" s="307">
        <f t="shared" si="63"/>
        <v>8877</v>
      </c>
      <c r="AH207" s="353">
        <f t="shared" si="64"/>
        <v>8590</v>
      </c>
      <c r="AI207" s="61"/>
      <c r="AJ207" s="119"/>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row>
    <row r="208" spans="1:65" ht="13.5" hidden="1" customHeight="1">
      <c r="A208" s="1103">
        <f>VLOOKUP(B208,ReportData!$AQ$4:$AR$25,2,FALSE)</f>
        <v>0</v>
      </c>
      <c r="B208" s="885" t="str">
        <f t="shared" si="65"/>
        <v>Buckinghamshire</v>
      </c>
      <c r="C208" s="896"/>
      <c r="D208" s="922" t="e">
        <f t="shared" si="66"/>
        <v>#N/A</v>
      </c>
      <c r="E208" s="922" t="e">
        <f t="shared" si="67"/>
        <v>#N/A</v>
      </c>
      <c r="F208" s="922" t="e">
        <f t="shared" si="68"/>
        <v>#N/A</v>
      </c>
      <c r="G208" s="922" t="e">
        <f t="shared" si="69"/>
        <v>#N/A</v>
      </c>
      <c r="H208" s="923" t="e">
        <f t="shared" si="70"/>
        <v>#N/A</v>
      </c>
      <c r="I208" s="230"/>
      <c r="J208" s="68"/>
      <c r="K208" s="127"/>
      <c r="L208" s="127"/>
      <c r="M208" s="127"/>
      <c r="N208" s="127"/>
      <c r="O208" s="127"/>
      <c r="P208" s="127"/>
      <c r="Q208" s="127"/>
      <c r="R208" s="128"/>
      <c r="S208" s="120"/>
      <c r="T208" s="127"/>
      <c r="U208" s="89"/>
      <c r="V208" s="103"/>
      <c r="W208" s="115"/>
      <c r="X208" s="352" t="str">
        <f t="shared" si="59"/>
        <v>East Sussex</v>
      </c>
      <c r="Y208" s="248" t="str">
        <f>IF(Year1_East_Sussex Year1_Assessments_No_further_action="","",Year1_East_Sussex Year1_Assessments_No_further_action)</f>
        <v/>
      </c>
      <c r="Z208" s="248" t="str">
        <f>IF(Year2_East_Sussex Year2_Assessments_No_further_action="","",Year2_East_Sussex Year2_Assessments_No_further_action)</f>
        <v/>
      </c>
      <c r="AA208" s="248" t="str">
        <f>IF(Year3_East_Sussex Year3_Assessments_No_further_action="","",Year3_East_Sussex Year3_Assessments_No_further_action)</f>
        <v/>
      </c>
      <c r="AB208" s="248" t="str">
        <f>IF(Year4_East_Sussex Year4_Assessments_No_further_action="","",Year4_East_Sussex Year4_Assessments_No_further_action)</f>
        <v/>
      </c>
      <c r="AC208" s="352" t="str">
        <f>IF(Year5_East_Sussex Year5_Assessments_No_further_action="","",Year5_East_Sussex Year5_Assessments_No_further_action)</f>
        <v/>
      </c>
      <c r="AD208" s="307">
        <f t="shared" si="60"/>
        <v>3470</v>
      </c>
      <c r="AE208" s="307">
        <f t="shared" si="61"/>
        <v>3184</v>
      </c>
      <c r="AF208" s="307">
        <f t="shared" si="62"/>
        <v>3236</v>
      </c>
      <c r="AG208" s="307">
        <f t="shared" si="63"/>
        <v>3712</v>
      </c>
      <c r="AH208" s="353">
        <f t="shared" si="64"/>
        <v>4223</v>
      </c>
      <c r="AI208" s="61"/>
      <c r="AJ208" s="119"/>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row>
    <row r="209" spans="1:45" s="61" customFormat="1" ht="13.5" hidden="1" customHeight="1">
      <c r="A209" s="1103">
        <f>VLOOKUP(B209,ReportData!$AQ$4:$AR$25,2,FALSE)</f>
        <v>0</v>
      </c>
      <c r="B209" s="885" t="str">
        <f t="shared" si="65"/>
        <v>East Sussex</v>
      </c>
      <c r="C209" s="896"/>
      <c r="D209" s="922" t="e">
        <f t="shared" si="66"/>
        <v>#N/A</v>
      </c>
      <c r="E209" s="922" t="e">
        <f t="shared" si="67"/>
        <v>#N/A</v>
      </c>
      <c r="F209" s="922" t="e">
        <f t="shared" si="68"/>
        <v>#N/A</v>
      </c>
      <c r="G209" s="922" t="e">
        <f t="shared" si="69"/>
        <v>#N/A</v>
      </c>
      <c r="H209" s="923" t="e">
        <f t="shared" si="70"/>
        <v>#N/A</v>
      </c>
      <c r="I209" s="230"/>
      <c r="J209" s="68"/>
      <c r="K209" s="127"/>
      <c r="L209" s="127"/>
      <c r="M209" s="127"/>
      <c r="N209" s="127"/>
      <c r="O209" s="127"/>
      <c r="P209" s="127"/>
      <c r="Q209" s="127"/>
      <c r="R209" s="128"/>
      <c r="S209" s="120"/>
      <c r="T209" s="127"/>
      <c r="U209" s="89"/>
      <c r="V209" s="103"/>
      <c r="W209" s="115"/>
      <c r="X209" s="352" t="str">
        <f t="shared" si="59"/>
        <v>Hampshire</v>
      </c>
      <c r="Y209" s="248" t="str">
        <f>IF(Year1_Hampshire Year1_Assessments_No_further_action="","",Year1_Hampshire Year1_Assessments_No_further_action)</f>
        <v/>
      </c>
      <c r="Z209" s="248" t="str">
        <f>IF(Year2_Hampshire Year2_Assessments_No_further_action="","",Year2_Hampshire Year2_Assessments_No_further_action)</f>
        <v/>
      </c>
      <c r="AA209" s="248" t="str">
        <f>IF(Year3_Hampshire Year3_Assessments_No_further_action="","",Year3_Hampshire Year3_Assessments_No_further_action)</f>
        <v/>
      </c>
      <c r="AB209" s="248" t="str">
        <f>IF(Year4_Hampshire Year4_Assessments_No_further_action="","",Year4_Hampshire Year4_Assessments_No_further_action)</f>
        <v/>
      </c>
      <c r="AC209" s="352" t="str">
        <f>IF(Year5_Hampshire Year5_Assessments_No_further_action="","",Year5_Hampshire Year5_Assessments_No_further_action)</f>
        <v/>
      </c>
      <c r="AD209" s="307">
        <f t="shared" si="60"/>
        <v>19712</v>
      </c>
      <c r="AE209" s="307">
        <f t="shared" si="61"/>
        <v>22008</v>
      </c>
      <c r="AF209" s="307">
        <f t="shared" si="62"/>
        <v>27661</v>
      </c>
      <c r="AG209" s="307">
        <f t="shared" si="63"/>
        <v>28484</v>
      </c>
      <c r="AH209" s="353" t="str">
        <f t="shared" si="64"/>
        <v>u</v>
      </c>
      <c r="AJ209" s="119"/>
      <c r="AK209" s="52"/>
    </row>
    <row r="210" spans="1:45" s="61" customFormat="1" ht="13.5" hidden="1" customHeight="1">
      <c r="A210" s="1103">
        <f>VLOOKUP(B210,ReportData!$AQ$4:$AR$25,2,FALSE)</f>
        <v>0</v>
      </c>
      <c r="B210" s="885" t="str">
        <f t="shared" si="65"/>
        <v>Hampshire</v>
      </c>
      <c r="C210" s="896"/>
      <c r="D210" s="922" t="e">
        <f t="shared" si="66"/>
        <v>#N/A</v>
      </c>
      <c r="E210" s="922" t="e">
        <f t="shared" si="67"/>
        <v>#N/A</v>
      </c>
      <c r="F210" s="922" t="e">
        <f t="shared" si="68"/>
        <v>#N/A</v>
      </c>
      <c r="G210" s="922" t="e">
        <f t="shared" si="69"/>
        <v>#N/A</v>
      </c>
      <c r="H210" s="923" t="e">
        <f t="shared" si="70"/>
        <v>#N/A</v>
      </c>
      <c r="I210" s="230"/>
      <c r="J210" s="68"/>
      <c r="K210" s="127"/>
      <c r="L210" s="127"/>
      <c r="M210" s="127"/>
      <c r="N210" s="127"/>
      <c r="O210" s="127"/>
      <c r="P210" s="127"/>
      <c r="Q210" s="127"/>
      <c r="R210" s="128"/>
      <c r="S210" s="120"/>
      <c r="T210" s="127"/>
      <c r="U210" s="89"/>
      <c r="V210" s="103"/>
      <c r="W210" s="115"/>
      <c r="X210" s="352" t="str">
        <f t="shared" si="59"/>
        <v>Isle of Wight</v>
      </c>
      <c r="Y210" s="248" t="str">
        <f>IF(Year1_Isle_of_Wight Year1_Assessments_No_further_action="","",Year1_Isle_of_Wight Year1_Assessments_No_further_action)</f>
        <v/>
      </c>
      <c r="Z210" s="248" t="str">
        <f>IF(Year2_Isle_of_Wight Year2_Assessments_No_further_action="","",Year2_Isle_of_Wight Year2_Assessments_No_further_action)</f>
        <v/>
      </c>
      <c r="AA210" s="248" t="str">
        <f>IF(Year3_Isle_of_Wight Year3_Assessments_No_further_action="","",Year3_Isle_of_Wight Year3_Assessments_No_further_action)</f>
        <v/>
      </c>
      <c r="AB210" s="248" t="str">
        <f>IF(Year4_Isle_of_Wight Year4_Assessments_No_further_action="","",Year4_Isle_of_Wight Year4_Assessments_No_further_action)</f>
        <v/>
      </c>
      <c r="AC210" s="352" t="str">
        <f>IF(Year5_Isle_of_Wight Year5_Assessments_No_further_action="","",Year5_Isle_of_Wight Year5_Assessments_No_further_action)</f>
        <v/>
      </c>
      <c r="AD210" s="307">
        <f t="shared" si="60"/>
        <v>3149</v>
      </c>
      <c r="AE210" s="307">
        <f t="shared" si="61"/>
        <v>3463</v>
      </c>
      <c r="AF210" s="307">
        <f t="shared" si="62"/>
        <v>4179</v>
      </c>
      <c r="AG210" s="307">
        <f t="shared" si="63"/>
        <v>3957</v>
      </c>
      <c r="AH210" s="353">
        <f t="shared" si="64"/>
        <v>3969</v>
      </c>
      <c r="AJ210" s="119"/>
      <c r="AK210" s="52"/>
    </row>
    <row r="211" spans="1:45" s="61" customFormat="1" ht="13.5" hidden="1" customHeight="1">
      <c r="A211" s="1103">
        <f>VLOOKUP(B211,ReportData!$AQ$4:$AR$25,2,FALSE)</f>
        <v>0</v>
      </c>
      <c r="B211" s="885" t="str">
        <f t="shared" si="65"/>
        <v>Isle of Wight</v>
      </c>
      <c r="C211" s="896"/>
      <c r="D211" s="922" t="e">
        <f t="shared" si="66"/>
        <v>#N/A</v>
      </c>
      <c r="E211" s="922" t="e">
        <f t="shared" si="67"/>
        <v>#N/A</v>
      </c>
      <c r="F211" s="922" t="e">
        <f t="shared" si="68"/>
        <v>#N/A</v>
      </c>
      <c r="G211" s="922" t="e">
        <f t="shared" si="69"/>
        <v>#N/A</v>
      </c>
      <c r="H211" s="923" t="e">
        <f t="shared" si="70"/>
        <v>#N/A</v>
      </c>
      <c r="I211" s="230"/>
      <c r="J211" s="68"/>
      <c r="K211" s="127"/>
      <c r="L211" s="127"/>
      <c r="M211" s="127"/>
      <c r="N211" s="127"/>
      <c r="O211" s="127"/>
      <c r="P211" s="127"/>
      <c r="Q211" s="127"/>
      <c r="R211" s="128"/>
      <c r="S211" s="120"/>
      <c r="T211" s="127"/>
      <c r="U211" s="89"/>
      <c r="V211" s="103"/>
      <c r="W211" s="115"/>
      <c r="X211" s="352" t="str">
        <f t="shared" si="59"/>
        <v>Kent</v>
      </c>
      <c r="Y211" s="248" t="str">
        <f>IF(Year1_Kent Year1_Assessments_No_further_action="","",Year1_Kent Year1_Assessments_No_further_action)</f>
        <v/>
      </c>
      <c r="Z211" s="248" t="str">
        <f>IF(Year2_Kent Year2_Assessments_No_further_action="","",Year2_Kent Year2_Assessments_No_further_action)</f>
        <v/>
      </c>
      <c r="AA211" s="248" t="str">
        <f>IF(Year3_Kent Year3_Assessments_No_further_action="","",Year3_Kent Year3_Assessments_No_further_action)</f>
        <v/>
      </c>
      <c r="AB211" s="248" t="str">
        <f>IF(Year4_Kent Year4_Assessments_No_further_action="","",Year4_Kent Year4_Assessments_No_further_action)</f>
        <v/>
      </c>
      <c r="AC211" s="352" t="str">
        <f>IF(Year5_Kent Year5_Assessments_No_further_action="","",Year5_Kent Year5_Assessments_No_further_action)</f>
        <v/>
      </c>
      <c r="AD211" s="307">
        <f t="shared" si="60"/>
        <v>20686</v>
      </c>
      <c r="AE211" s="307">
        <f t="shared" si="61"/>
        <v>18350</v>
      </c>
      <c r="AF211" s="307">
        <f t="shared" si="62"/>
        <v>18796</v>
      </c>
      <c r="AG211" s="307">
        <f t="shared" si="63"/>
        <v>20733</v>
      </c>
      <c r="AH211" s="353">
        <f t="shared" si="64"/>
        <v>21680</v>
      </c>
      <c r="AJ211" s="119"/>
      <c r="AK211" s="52"/>
    </row>
    <row r="212" spans="1:45" s="61" customFormat="1" ht="13.5" hidden="1" customHeight="1">
      <c r="A212" s="1103">
        <f>VLOOKUP(B212,ReportData!$AQ$4:$AR$25,2,FALSE)</f>
        <v>0</v>
      </c>
      <c r="B212" s="885" t="str">
        <f t="shared" si="65"/>
        <v>Kent</v>
      </c>
      <c r="C212" s="896"/>
      <c r="D212" s="922" t="e">
        <f t="shared" si="66"/>
        <v>#N/A</v>
      </c>
      <c r="E212" s="922" t="e">
        <f t="shared" si="67"/>
        <v>#N/A</v>
      </c>
      <c r="F212" s="922" t="e">
        <f t="shared" si="68"/>
        <v>#N/A</v>
      </c>
      <c r="G212" s="922" t="e">
        <f t="shared" si="69"/>
        <v>#N/A</v>
      </c>
      <c r="H212" s="923" t="e">
        <f t="shared" si="70"/>
        <v>#N/A</v>
      </c>
      <c r="I212" s="230"/>
      <c r="J212" s="68"/>
      <c r="K212" s="127"/>
      <c r="L212" s="127"/>
      <c r="M212" s="127"/>
      <c r="N212" s="127"/>
      <c r="O212" s="127"/>
      <c r="P212" s="127"/>
      <c r="Q212" s="127"/>
      <c r="R212" s="128"/>
      <c r="S212" s="120"/>
      <c r="T212" s="127"/>
      <c r="U212" s="89"/>
      <c r="V212" s="103"/>
      <c r="W212" s="115"/>
      <c r="X212" s="352" t="str">
        <f t="shared" si="59"/>
        <v>Medway</v>
      </c>
      <c r="Y212" s="248" t="str">
        <f>IF(Year1_Medway Year1_Assessments_No_further_action="","",Year1_Medway Year1_Assessments_No_further_action)</f>
        <v/>
      </c>
      <c r="Z212" s="248" t="str">
        <f>IF(Year2_Medway Year2_Assessments_No_further_action="","",Year2_Medway Year2_Assessments_No_further_action)</f>
        <v/>
      </c>
      <c r="AA212" s="248" t="str">
        <f>IF(Year3_Medway Year3_Assessments_No_further_action="","",Year3_Medway Year3_Assessments_No_further_action)</f>
        <v/>
      </c>
      <c r="AB212" s="248" t="str">
        <f>IF(Year4_Medway Year4_Assessments_No_further_action="","",Year4_Medway Year4_Assessments_No_further_action)</f>
        <v/>
      </c>
      <c r="AC212" s="352" t="str">
        <f>IF(Year5_Medway Year5_Assessments_No_further_action="","",Year5_Medway Year5_Assessments_No_further_action)</f>
        <v/>
      </c>
      <c r="AD212" s="307">
        <f t="shared" si="60"/>
        <v>4769</v>
      </c>
      <c r="AE212" s="307">
        <f t="shared" si="61"/>
        <v>3294</v>
      </c>
      <c r="AF212" s="307">
        <f t="shared" si="62"/>
        <v>3595</v>
      </c>
      <c r="AG212" s="307">
        <f t="shared" si="63"/>
        <v>4041</v>
      </c>
      <c r="AH212" s="353">
        <f t="shared" si="64"/>
        <v>5377</v>
      </c>
      <c r="AJ212" s="119"/>
      <c r="AK212" s="52"/>
      <c r="AS212" s="61" t="s">
        <v>95</v>
      </c>
    </row>
    <row r="213" spans="1:45" s="61" customFormat="1" ht="13.5" hidden="1" customHeight="1">
      <c r="A213" s="1103">
        <f>VLOOKUP(B213,ReportData!$AQ$4:$AR$25,2,FALSE)</f>
        <v>0</v>
      </c>
      <c r="B213" s="885" t="str">
        <f t="shared" si="65"/>
        <v>Medway</v>
      </c>
      <c r="C213" s="896"/>
      <c r="D213" s="922" t="e">
        <f t="shared" si="66"/>
        <v>#N/A</v>
      </c>
      <c r="E213" s="922" t="e">
        <f t="shared" si="67"/>
        <v>#N/A</v>
      </c>
      <c r="F213" s="922" t="e">
        <f t="shared" si="68"/>
        <v>#N/A</v>
      </c>
      <c r="G213" s="922" t="e">
        <f t="shared" si="69"/>
        <v>#N/A</v>
      </c>
      <c r="H213" s="923" t="e">
        <f t="shared" si="70"/>
        <v>#N/A</v>
      </c>
      <c r="I213" s="230"/>
      <c r="J213" s="68"/>
      <c r="K213" s="127"/>
      <c r="L213" s="127"/>
      <c r="M213" s="127"/>
      <c r="N213" s="127"/>
      <c r="O213" s="127"/>
      <c r="P213" s="127"/>
      <c r="Q213" s="127"/>
      <c r="R213" s="128"/>
      <c r="S213" s="120"/>
      <c r="T213" s="127"/>
      <c r="U213" s="89"/>
      <c r="V213" s="103"/>
      <c r="W213" s="115"/>
      <c r="X213" s="352" t="str">
        <f t="shared" si="59"/>
        <v>Milton Keynes</v>
      </c>
      <c r="Y213" s="248" t="str">
        <f>IF(Year1_Milton_Keynes Year1_Assessments_No_further_action="","",Year1_Milton_Keynes Year1_Assessments_No_further_action)</f>
        <v/>
      </c>
      <c r="Z213" s="248" t="str">
        <f>IF(Year2_Milton_Keynes Year2_Assessments_No_further_action="","",Year2_Milton_Keynes Year2_Assessments_No_further_action)</f>
        <v/>
      </c>
      <c r="AA213" s="248" t="str">
        <f>IF(Year3_Milton_Keynes Year3_Assessments_No_further_action="","",Year3_Milton_Keynes Year3_Assessments_No_further_action)</f>
        <v/>
      </c>
      <c r="AB213" s="248" t="str">
        <f>IF(Year4_Milton_Keynes Year4_Assessments_No_further_action="","",Year4_Milton_Keynes Year4_Assessments_No_further_action)</f>
        <v/>
      </c>
      <c r="AC213" s="352" t="str">
        <f>IF(Year5_Milton_Keynes Year5_Assessments_No_further_action="","",Year5_Milton_Keynes Year5_Assessments_No_further_action)</f>
        <v/>
      </c>
      <c r="AD213" s="307">
        <f t="shared" si="60"/>
        <v>3052</v>
      </c>
      <c r="AE213" s="307">
        <f t="shared" si="61"/>
        <v>3518</v>
      </c>
      <c r="AF213" s="307">
        <f t="shared" si="62"/>
        <v>3568</v>
      </c>
      <c r="AG213" s="307">
        <f t="shared" si="63"/>
        <v>4052</v>
      </c>
      <c r="AH213" s="353">
        <f t="shared" si="64"/>
        <v>3607</v>
      </c>
      <c r="AJ213" s="119"/>
      <c r="AK213" s="52"/>
    </row>
    <row r="214" spans="1:45" s="61" customFormat="1" ht="13.5" hidden="1" customHeight="1">
      <c r="A214" s="1103">
        <f>VLOOKUP(B214,ReportData!$AQ$4:$AR$25,2,FALSE)</f>
        <v>0</v>
      </c>
      <c r="B214" s="885" t="str">
        <f t="shared" si="65"/>
        <v>Milton Keynes</v>
      </c>
      <c r="C214" s="896"/>
      <c r="D214" s="922" t="e">
        <f t="shared" si="66"/>
        <v>#N/A</v>
      </c>
      <c r="E214" s="922" t="e">
        <f t="shared" si="67"/>
        <v>#N/A</v>
      </c>
      <c r="F214" s="922" t="e">
        <f t="shared" si="68"/>
        <v>#N/A</v>
      </c>
      <c r="G214" s="922" t="e">
        <f t="shared" si="69"/>
        <v>#N/A</v>
      </c>
      <c r="H214" s="923" t="e">
        <f t="shared" si="70"/>
        <v>#N/A</v>
      </c>
      <c r="I214" s="230"/>
      <c r="J214" s="68"/>
      <c r="K214" s="127"/>
      <c r="L214" s="127"/>
      <c r="M214" s="127"/>
      <c r="N214" s="127"/>
      <c r="O214" s="127"/>
      <c r="P214" s="127"/>
      <c r="Q214" s="127"/>
      <c r="R214" s="128"/>
      <c r="S214" s="120"/>
      <c r="T214" s="127"/>
      <c r="U214" s="89"/>
      <c r="V214" s="103"/>
      <c r="W214" s="115"/>
      <c r="X214" s="352" t="str">
        <f t="shared" si="59"/>
        <v>Oxfordshire</v>
      </c>
      <c r="Y214" s="248" t="str">
        <f>IF(Year1_Oxfordshire Year1_Assessments_No_further_action="","",Year1_Oxfordshire Year1_Assessments_No_further_action)</f>
        <v/>
      </c>
      <c r="Z214" s="248" t="str">
        <f>IF(Year2_Oxfordshire Year2_Assessments_No_further_action="","",Year2_Oxfordshire Year2_Assessments_No_further_action)</f>
        <v/>
      </c>
      <c r="AA214" s="248" t="str">
        <f>IF(Year3_Oxfordshire Year3_Assessments_No_further_action="","",Year3_Oxfordshire Year3_Assessments_No_further_action)</f>
        <v/>
      </c>
      <c r="AB214" s="248" t="str">
        <f>IF(Year4_Oxfordshire Year4_Assessments_No_further_action="","",Year4_Oxfordshire Year4_Assessments_No_further_action)</f>
        <v/>
      </c>
      <c r="AC214" s="352" t="str">
        <f>IF(Year5_Oxfordshire Year5_Assessments_No_further_action="","",Year5_Oxfordshire Year5_Assessments_No_further_action)</f>
        <v/>
      </c>
      <c r="AD214" s="307">
        <f t="shared" si="60"/>
        <v>7021</v>
      </c>
      <c r="AE214" s="307">
        <f t="shared" si="61"/>
        <v>5937</v>
      </c>
      <c r="AF214" s="307">
        <f t="shared" si="62"/>
        <v>5939</v>
      </c>
      <c r="AG214" s="307">
        <f t="shared" si="63"/>
        <v>5732</v>
      </c>
      <c r="AH214" s="353">
        <f t="shared" si="64"/>
        <v>5366</v>
      </c>
      <c r="AJ214" s="119"/>
      <c r="AK214" s="52"/>
    </row>
    <row r="215" spans="1:45" s="61" customFormat="1" ht="13.5" hidden="1" customHeight="1">
      <c r="A215" s="1103">
        <f>VLOOKUP(B215,ReportData!$AQ$4:$AR$25,2,FALSE)</f>
        <v>0</v>
      </c>
      <c r="B215" s="885" t="str">
        <f t="shared" si="65"/>
        <v>Oxfordshire</v>
      </c>
      <c r="C215" s="896"/>
      <c r="D215" s="922" t="e">
        <f t="shared" si="66"/>
        <v>#N/A</v>
      </c>
      <c r="E215" s="922" t="e">
        <f t="shared" si="67"/>
        <v>#N/A</v>
      </c>
      <c r="F215" s="922" t="e">
        <f t="shared" si="68"/>
        <v>#N/A</v>
      </c>
      <c r="G215" s="922" t="e">
        <f t="shared" si="69"/>
        <v>#N/A</v>
      </c>
      <c r="H215" s="923" t="e">
        <f t="shared" si="70"/>
        <v>#N/A</v>
      </c>
      <c r="I215" s="230"/>
      <c r="J215" s="68"/>
      <c r="K215" s="127"/>
      <c r="L215" s="127"/>
      <c r="M215" s="127"/>
      <c r="N215" s="127"/>
      <c r="O215" s="127"/>
      <c r="P215" s="127"/>
      <c r="Q215" s="127"/>
      <c r="R215" s="128"/>
      <c r="S215" s="120"/>
      <c r="T215" s="127"/>
      <c r="U215" s="89"/>
      <c r="V215" s="103"/>
      <c r="W215" s="115"/>
      <c r="X215" s="352" t="str">
        <f t="shared" si="59"/>
        <v>Portsmouth</v>
      </c>
      <c r="Y215" s="248" t="str">
        <f>IF(Year1_Portsmouth Year1_Assessments_No_further_action="","",Year1_Portsmouth Year1_Assessments_No_further_action)</f>
        <v/>
      </c>
      <c r="Z215" s="248" t="str">
        <f>IF(Year2_Portsmouth Year2_Assessments_No_further_action="","",Year2_Portsmouth Year2_Assessments_No_further_action)</f>
        <v/>
      </c>
      <c r="AA215" s="248" t="str">
        <f>IF(Year3_Portsmouth Year3_Assessments_No_further_action="","",Year3_Portsmouth Year3_Assessments_No_further_action)</f>
        <v/>
      </c>
      <c r="AB215" s="248" t="str">
        <f>IF(Year4_Portsmouth Year4_Assessments_No_further_action="","",Year4_Portsmouth Year4_Assessments_No_further_action)</f>
        <v/>
      </c>
      <c r="AC215" s="352" t="str">
        <f>IF(Year5_Portsmouth Year5_Assessments_No_further_action="","",Year5_Portsmouth Year5_Assessments_No_further_action)</f>
        <v/>
      </c>
      <c r="AD215" s="307">
        <f t="shared" si="60"/>
        <v>2590</v>
      </c>
      <c r="AE215" s="307">
        <f t="shared" si="61"/>
        <v>2624</v>
      </c>
      <c r="AF215" s="307">
        <f t="shared" si="62"/>
        <v>3478</v>
      </c>
      <c r="AG215" s="307">
        <f t="shared" si="63"/>
        <v>2830</v>
      </c>
      <c r="AH215" s="353">
        <f t="shared" si="64"/>
        <v>2792</v>
      </c>
      <c r="AJ215" s="119"/>
      <c r="AK215" s="52"/>
    </row>
    <row r="216" spans="1:45" s="61" customFormat="1" ht="13.5" hidden="1" customHeight="1">
      <c r="A216" s="1103">
        <f>VLOOKUP(B216,ReportData!$AQ$4:$AR$25,2,FALSE)</f>
        <v>0</v>
      </c>
      <c r="B216" s="885" t="str">
        <f t="shared" si="65"/>
        <v>Portsmouth</v>
      </c>
      <c r="C216" s="896"/>
      <c r="D216" s="922" t="e">
        <f t="shared" si="66"/>
        <v>#N/A</v>
      </c>
      <c r="E216" s="922" t="e">
        <f t="shared" si="67"/>
        <v>#N/A</v>
      </c>
      <c r="F216" s="922" t="e">
        <f t="shared" si="68"/>
        <v>#N/A</v>
      </c>
      <c r="G216" s="922" t="e">
        <f t="shared" si="69"/>
        <v>#N/A</v>
      </c>
      <c r="H216" s="923" t="e">
        <f t="shared" si="70"/>
        <v>#N/A</v>
      </c>
      <c r="I216" s="230"/>
      <c r="J216" s="68"/>
      <c r="K216" s="127"/>
      <c r="L216" s="127"/>
      <c r="M216" s="127"/>
      <c r="N216" s="127"/>
      <c r="O216" s="127"/>
      <c r="P216" s="127"/>
      <c r="Q216" s="127"/>
      <c r="R216" s="128"/>
      <c r="S216" s="120"/>
      <c r="T216" s="127"/>
      <c r="U216" s="89"/>
      <c r="V216" s="103"/>
      <c r="W216" s="115"/>
      <c r="X216" s="352" t="str">
        <f t="shared" si="59"/>
        <v>Reading</v>
      </c>
      <c r="Y216" s="248" t="str">
        <f>IF(Year1_Reading Year1_Assessments_No_further_action="","",Year1_Reading Year1_Assessments_No_further_action)</f>
        <v/>
      </c>
      <c r="Z216" s="248" t="str">
        <f>IF(Year2_Reading Year2_Assessments_No_further_action="","",Year2_Reading Year2_Assessments_No_further_action)</f>
        <v/>
      </c>
      <c r="AA216" s="248" t="str">
        <f>IF(Year3_Reading Year3_Assessments_No_further_action="","",Year3_Reading Year3_Assessments_No_further_action)</f>
        <v/>
      </c>
      <c r="AB216" s="248" t="str">
        <f>IF(Year4_Reading Year4_Assessments_No_further_action="","",Year4_Reading Year4_Assessments_No_further_action)</f>
        <v/>
      </c>
      <c r="AC216" s="352" t="str">
        <f>IF(Year5_Reading Year5_Assessments_No_further_action="","",Year5_Reading Year5_Assessments_No_further_action)</f>
        <v/>
      </c>
      <c r="AD216" s="307">
        <f t="shared" si="60"/>
        <v>2689</v>
      </c>
      <c r="AE216" s="307">
        <f t="shared" si="61"/>
        <v>2186</v>
      </c>
      <c r="AF216" s="307">
        <f t="shared" si="62"/>
        <v>2268</v>
      </c>
      <c r="AG216" s="307">
        <f t="shared" si="63"/>
        <v>2680</v>
      </c>
      <c r="AH216" s="353">
        <f t="shared" si="64"/>
        <v>2767</v>
      </c>
      <c r="AJ216" s="119"/>
      <c r="AK216" s="52"/>
    </row>
    <row r="217" spans="1:45" s="61" customFormat="1" ht="13.5" hidden="1" customHeight="1">
      <c r="A217" s="1103">
        <f>VLOOKUP(B217,ReportData!$AQ$4:$AR$25,2,FALSE)</f>
        <v>0</v>
      </c>
      <c r="B217" s="885" t="str">
        <f t="shared" si="65"/>
        <v>Reading</v>
      </c>
      <c r="C217" s="896"/>
      <c r="D217" s="922" t="e">
        <f t="shared" si="66"/>
        <v>#N/A</v>
      </c>
      <c r="E217" s="922" t="e">
        <f t="shared" si="67"/>
        <v>#N/A</v>
      </c>
      <c r="F217" s="922" t="e">
        <f t="shared" si="68"/>
        <v>#N/A</v>
      </c>
      <c r="G217" s="922" t="e">
        <f t="shared" si="69"/>
        <v>#N/A</v>
      </c>
      <c r="H217" s="923" t="e">
        <f t="shared" si="70"/>
        <v>#N/A</v>
      </c>
      <c r="I217" s="230"/>
      <c r="J217" s="68"/>
      <c r="K217" s="127"/>
      <c r="L217" s="127"/>
      <c r="M217" s="127"/>
      <c r="N217" s="127"/>
      <c r="O217" s="127"/>
      <c r="P217" s="127"/>
      <c r="Q217" s="127"/>
      <c r="R217" s="128"/>
      <c r="S217" s="120"/>
      <c r="T217" s="127"/>
      <c r="U217" s="89"/>
      <c r="V217" s="103"/>
      <c r="W217" s="115"/>
      <c r="X217" s="352" t="str">
        <f t="shared" si="59"/>
        <v>Slough</v>
      </c>
      <c r="Y217" s="248" t="str">
        <f>IF(Year1_Slough Year1_Assessments_No_further_action="","",Year1_Slough Year1_Assessments_No_further_action)</f>
        <v/>
      </c>
      <c r="Z217" s="248" t="str">
        <f>IF(Year2_Slough Year2_Assessments_No_further_action="","",Year2_Slough Year2_Assessments_No_further_action)</f>
        <v/>
      </c>
      <c r="AA217" s="248" t="str">
        <f>IF(Year3_Slough Year3_Assessments_No_further_action="","",Year3_Slough Year3_Assessments_No_further_action)</f>
        <v/>
      </c>
      <c r="AB217" s="248" t="str">
        <f>IF(Year4_Slough Year4_Assessments_No_further_action="","",Year4_Slough Year4_Assessments_No_further_action)</f>
        <v/>
      </c>
      <c r="AC217" s="352" t="str">
        <f>IF(Year5_Slough Year5_Assessments_No_further_action="","",Year5_Slough Year5_Assessments_No_further_action)</f>
        <v/>
      </c>
      <c r="AD217" s="307">
        <f t="shared" si="60"/>
        <v>2484</v>
      </c>
      <c r="AE217" s="307">
        <f t="shared" si="61"/>
        <v>3775</v>
      </c>
      <c r="AF217" s="307">
        <f t="shared" si="62"/>
        <v>3512</v>
      </c>
      <c r="AG217" s="307">
        <f t="shared" si="63"/>
        <v>3716</v>
      </c>
      <c r="AH217" s="353">
        <f t="shared" si="64"/>
        <v>3576</v>
      </c>
      <c r="AJ217" s="119"/>
      <c r="AK217" s="52"/>
    </row>
    <row r="218" spans="1:45" s="61" customFormat="1" ht="13.5" hidden="1" customHeight="1">
      <c r="A218" s="1103">
        <f>VLOOKUP(B218,ReportData!$AQ$4:$AR$25,2,FALSE)</f>
        <v>0</v>
      </c>
      <c r="B218" s="885" t="str">
        <f t="shared" si="65"/>
        <v>Slough</v>
      </c>
      <c r="C218" s="896"/>
      <c r="D218" s="922" t="e">
        <f t="shared" si="66"/>
        <v>#N/A</v>
      </c>
      <c r="E218" s="922" t="e">
        <f t="shared" si="67"/>
        <v>#N/A</v>
      </c>
      <c r="F218" s="922" t="e">
        <f t="shared" si="68"/>
        <v>#N/A</v>
      </c>
      <c r="G218" s="922" t="e">
        <f t="shared" si="69"/>
        <v>#N/A</v>
      </c>
      <c r="H218" s="923" t="e">
        <f t="shared" si="70"/>
        <v>#N/A</v>
      </c>
      <c r="I218" s="230"/>
      <c r="J218" s="68"/>
      <c r="K218" s="127"/>
      <c r="L218" s="127"/>
      <c r="M218" s="127"/>
      <c r="N218" s="127"/>
      <c r="O218" s="127"/>
      <c r="P218" s="127"/>
      <c r="Q218" s="127"/>
      <c r="R218" s="128"/>
      <c r="S218" s="120"/>
      <c r="T218" s="127"/>
      <c r="U218" s="89"/>
      <c r="V218" s="103"/>
      <c r="W218" s="115"/>
      <c r="X218" s="352" t="str">
        <f t="shared" si="59"/>
        <v>Southampton</v>
      </c>
      <c r="Y218" s="248" t="str">
        <f>IF(Year1_Southampton Year1_Assessments_No_further_action="","",Year1_Southampton Year1_Assessments_No_further_action)</f>
        <v/>
      </c>
      <c r="Z218" s="248" t="str">
        <f>IF(Year2_Southampton Year2_Assessments_No_further_action="","",Year2_Southampton Year2_Assessments_No_further_action)</f>
        <v/>
      </c>
      <c r="AA218" s="248" t="str">
        <f>IF(Year3_Southampton Year3_Assessments_No_further_action="","",Year3_Southampton Year3_Assessments_No_further_action)</f>
        <v/>
      </c>
      <c r="AB218" s="248" t="str">
        <f>IF(Year4_Southampton Year4_Assessments_No_further_action="","",Year4_Southampton Year4_Assessments_No_further_action)</f>
        <v/>
      </c>
      <c r="AC218" s="352" t="str">
        <f>IF(Year5_Southampton Year5_Assessments_No_further_action="","",Year5_Southampton Year5_Assessments_No_further_action)</f>
        <v/>
      </c>
      <c r="AD218" s="307">
        <f t="shared" si="60"/>
        <v>4602</v>
      </c>
      <c r="AE218" s="307">
        <f t="shared" si="61"/>
        <v>3481</v>
      </c>
      <c r="AF218" s="307">
        <f t="shared" si="62"/>
        <v>3575</v>
      </c>
      <c r="AG218" s="307">
        <f t="shared" si="63"/>
        <v>3839</v>
      </c>
      <c r="AH218" s="353">
        <f t="shared" si="64"/>
        <v>3189</v>
      </c>
      <c r="AJ218" s="119"/>
      <c r="AK218" s="52"/>
    </row>
    <row r="219" spans="1:45" s="61" customFormat="1" ht="13.5" hidden="1" customHeight="1">
      <c r="A219" s="1103">
        <f>VLOOKUP(B219,ReportData!$AQ$4:$AR$25,2,FALSE)</f>
        <v>0</v>
      </c>
      <c r="B219" s="885" t="str">
        <f t="shared" si="65"/>
        <v>Southampton</v>
      </c>
      <c r="C219" s="896"/>
      <c r="D219" s="922" t="e">
        <f t="shared" si="66"/>
        <v>#N/A</v>
      </c>
      <c r="E219" s="922" t="e">
        <f t="shared" si="67"/>
        <v>#N/A</v>
      </c>
      <c r="F219" s="922" t="e">
        <f t="shared" si="68"/>
        <v>#N/A</v>
      </c>
      <c r="G219" s="922" t="e">
        <f t="shared" si="69"/>
        <v>#N/A</v>
      </c>
      <c r="H219" s="923" t="e">
        <f t="shared" si="70"/>
        <v>#N/A</v>
      </c>
      <c r="I219" s="230"/>
      <c r="J219" s="68"/>
      <c r="K219" s="127"/>
      <c r="L219" s="127"/>
      <c r="M219" s="127"/>
      <c r="N219" s="127"/>
      <c r="O219" s="127"/>
      <c r="P219" s="127"/>
      <c r="Q219" s="127"/>
      <c r="R219" s="128"/>
      <c r="S219" s="120"/>
      <c r="T219" s="127"/>
      <c r="U219" s="89"/>
      <c r="V219" s="103"/>
      <c r="W219" s="115"/>
      <c r="X219" s="352" t="str">
        <f t="shared" si="59"/>
        <v>Surrey</v>
      </c>
      <c r="Y219" s="248" t="str">
        <f>IF(Year1_Surrey Year1_Assessments_No_further_action="","",Year1_Surrey Year1_Assessments_No_further_action)</f>
        <v/>
      </c>
      <c r="Z219" s="248" t="str">
        <f>IF(Year2_Surrey Year2_Assessments_No_further_action="","",Year2_Surrey Year2_Assessments_No_further_action)</f>
        <v/>
      </c>
      <c r="AA219" s="248" t="str">
        <f>IF(Year3_Surrey Year3_Assessments_No_further_action="","",Year3_Surrey Year3_Assessments_No_further_action)</f>
        <v/>
      </c>
      <c r="AB219" s="248" t="str">
        <f>IF(Year4_Surrey Year4_Assessments_No_further_action="","",Year4_Surrey Year4_Assessments_No_further_action)</f>
        <v/>
      </c>
      <c r="AC219" s="352" t="str">
        <f>IF(Year5_Surrey Year5_Assessments_No_further_action="","",Year5_Surrey Year5_Assessments_No_further_action)</f>
        <v/>
      </c>
      <c r="AD219" s="307">
        <f t="shared" si="60"/>
        <v>8724</v>
      </c>
      <c r="AE219" s="307">
        <f t="shared" si="61"/>
        <v>11079</v>
      </c>
      <c r="AF219" s="307">
        <f t="shared" si="62"/>
        <v>9379</v>
      </c>
      <c r="AG219" s="307">
        <f t="shared" si="63"/>
        <v>7491</v>
      </c>
      <c r="AH219" s="353">
        <f t="shared" si="64"/>
        <v>7611</v>
      </c>
      <c r="AJ219" s="119"/>
      <c r="AK219" s="52"/>
    </row>
    <row r="220" spans="1:45" s="61" customFormat="1" ht="13.5" hidden="1" customHeight="1">
      <c r="A220" s="1103">
        <f>VLOOKUP(B220,ReportData!$AQ$4:$AR$25,2,FALSE)</f>
        <v>0</v>
      </c>
      <c r="B220" s="885" t="str">
        <f t="shared" si="65"/>
        <v>Surrey</v>
      </c>
      <c r="C220" s="896"/>
      <c r="D220" s="922" t="e">
        <f t="shared" si="66"/>
        <v>#N/A</v>
      </c>
      <c r="E220" s="922" t="e">
        <f t="shared" si="67"/>
        <v>#N/A</v>
      </c>
      <c r="F220" s="922" t="e">
        <f t="shared" si="68"/>
        <v>#N/A</v>
      </c>
      <c r="G220" s="922" t="e">
        <f t="shared" si="69"/>
        <v>#N/A</v>
      </c>
      <c r="H220" s="923" t="e">
        <f t="shared" si="70"/>
        <v>#N/A</v>
      </c>
      <c r="I220" s="230"/>
      <c r="J220" s="68"/>
      <c r="K220" s="127"/>
      <c r="L220" s="127"/>
      <c r="M220" s="127"/>
      <c r="N220" s="127"/>
      <c r="O220" s="127"/>
      <c r="P220" s="127"/>
      <c r="Q220" s="127"/>
      <c r="R220" s="128"/>
      <c r="S220" s="120"/>
      <c r="T220" s="127"/>
      <c r="U220" s="89"/>
      <c r="V220" s="103"/>
      <c r="W220" s="115"/>
      <c r="X220" s="352" t="str">
        <f t="shared" si="59"/>
        <v>West Berkshire</v>
      </c>
      <c r="Y220" s="248" t="str">
        <f>IF(Year1_West_Berkshire Year1_Assessments_No_further_action="","",Year1_West_Berkshire Year1_Assessments_No_further_action)</f>
        <v/>
      </c>
      <c r="Z220" s="248" t="str">
        <f>IF(Year2_West_Berkshire Year2_Assessments_No_further_action="","",Year2_West_Berkshire Year2_Assessments_No_further_action)</f>
        <v/>
      </c>
      <c r="AA220" s="248" t="str">
        <f>IF(Year3_West_Berkshire Year3_Assessments_No_further_action="","",Year3_West_Berkshire Year3_Assessments_No_further_action)</f>
        <v/>
      </c>
      <c r="AB220" s="248" t="str">
        <f>IF(Year4_West_Berkshire Year4_Assessments_No_further_action="","",Year4_West_Berkshire Year4_Assessments_No_further_action)</f>
        <v/>
      </c>
      <c r="AC220" s="352" t="str">
        <f>IF(Year5_West_Berkshire Year5_Assessments_No_further_action="","",Year5_West_Berkshire Year5_Assessments_No_further_action)</f>
        <v/>
      </c>
      <c r="AD220" s="307">
        <f t="shared" si="60"/>
        <v>1878</v>
      </c>
      <c r="AE220" s="307">
        <f t="shared" si="61"/>
        <v>1826</v>
      </c>
      <c r="AF220" s="307">
        <f t="shared" si="62"/>
        <v>2356</v>
      </c>
      <c r="AG220" s="307">
        <f t="shared" si="63"/>
        <v>2849</v>
      </c>
      <c r="AH220" s="353">
        <f t="shared" si="64"/>
        <v>2406</v>
      </c>
      <c r="AJ220" s="119"/>
      <c r="AK220" s="52"/>
    </row>
    <row r="221" spans="1:45" s="61" customFormat="1" ht="13.5" hidden="1" customHeight="1">
      <c r="A221" s="1103">
        <f>VLOOKUP(B221,ReportData!$AQ$4:$AR$25,2,FALSE)</f>
        <v>0</v>
      </c>
      <c r="B221" s="885" t="str">
        <f t="shared" ref="B221:B226" si="71">B156</f>
        <v>West Berkshire</v>
      </c>
      <c r="C221" s="896"/>
      <c r="D221" s="922" t="e">
        <f t="shared" si="66"/>
        <v>#N/A</v>
      </c>
      <c r="E221" s="922" t="e">
        <f t="shared" si="67"/>
        <v>#N/A</v>
      </c>
      <c r="F221" s="922" t="e">
        <f t="shared" si="68"/>
        <v>#N/A</v>
      </c>
      <c r="G221" s="922" t="e">
        <f t="shared" si="69"/>
        <v>#N/A</v>
      </c>
      <c r="H221" s="923" t="e">
        <f t="shared" si="70"/>
        <v>#N/A</v>
      </c>
      <c r="I221" s="230"/>
      <c r="J221" s="68"/>
      <c r="K221" s="127"/>
      <c r="L221" s="127"/>
      <c r="M221" s="127"/>
      <c r="N221" s="127"/>
      <c r="O221" s="127"/>
      <c r="P221" s="127"/>
      <c r="Q221" s="127"/>
      <c r="R221" s="128"/>
      <c r="S221" s="120"/>
      <c r="T221" s="127"/>
      <c r="U221" s="89"/>
      <c r="V221" s="103"/>
      <c r="W221" s="115"/>
      <c r="X221" s="352" t="str">
        <f t="shared" si="59"/>
        <v>West Sussex</v>
      </c>
      <c r="Y221" s="248" t="str">
        <f>IF(Year1_West_Sussex Year1_Assessments_No_further_action="","",Year1_West_Sussex Year1_Assessments_No_further_action)</f>
        <v/>
      </c>
      <c r="Z221" s="248" t="str">
        <f>IF(Year2_West_Sussex Year2_Assessments_No_further_action="","",Year2_West_Sussex Year2_Assessments_No_further_action)</f>
        <v/>
      </c>
      <c r="AA221" s="248" t="str">
        <f>IF(Year3_West_Sussex Year3_Assessments_No_further_action="","",Year3_West_Sussex Year3_Assessments_No_further_action)</f>
        <v/>
      </c>
      <c r="AB221" s="248" t="str">
        <f>IF(Year4_West_Sussex Year4_Assessments_No_further_action="","",Year4_West_Sussex Year4_Assessments_No_further_action)</f>
        <v/>
      </c>
      <c r="AC221" s="352" t="str">
        <f>IF(Year5_West_Sussex Year5_Assessments_No_further_action="","",Year5_West_Sussex Year5_Assessments_No_further_action)</f>
        <v/>
      </c>
      <c r="AD221" s="307">
        <f t="shared" si="60"/>
        <v>10458</v>
      </c>
      <c r="AE221" s="307">
        <f t="shared" si="61"/>
        <v>10238</v>
      </c>
      <c r="AF221" s="307">
        <f t="shared" si="62"/>
        <v>9963</v>
      </c>
      <c r="AG221" s="307">
        <f t="shared" si="63"/>
        <v>10060</v>
      </c>
      <c r="AH221" s="353">
        <f t="shared" si="64"/>
        <v>8562</v>
      </c>
      <c r="AJ221" s="119"/>
      <c r="AK221" s="52"/>
    </row>
    <row r="222" spans="1:45" s="61" customFormat="1" ht="13.5" hidden="1" customHeight="1">
      <c r="A222" s="1103">
        <f>VLOOKUP(B222,ReportData!$AQ$4:$AR$25,2,FALSE)</f>
        <v>0</v>
      </c>
      <c r="B222" s="885" t="str">
        <f t="shared" si="71"/>
        <v>West Sussex</v>
      </c>
      <c r="C222" s="896"/>
      <c r="D222" s="922" t="e">
        <f t="shared" si="66"/>
        <v>#N/A</v>
      </c>
      <c r="E222" s="922" t="e">
        <f t="shared" si="67"/>
        <v>#N/A</v>
      </c>
      <c r="F222" s="922" t="e">
        <f t="shared" si="68"/>
        <v>#N/A</v>
      </c>
      <c r="G222" s="922" t="e">
        <f t="shared" si="69"/>
        <v>#N/A</v>
      </c>
      <c r="H222" s="923" t="e">
        <f t="shared" si="70"/>
        <v>#N/A</v>
      </c>
      <c r="I222" s="230"/>
      <c r="J222" s="68"/>
      <c r="K222" s="127"/>
      <c r="L222" s="127"/>
      <c r="M222" s="127"/>
      <c r="N222" s="127"/>
      <c r="O222" s="127"/>
      <c r="P222" s="127"/>
      <c r="Q222" s="127"/>
      <c r="R222" s="128"/>
      <c r="S222" s="120"/>
      <c r="T222" s="127"/>
      <c r="U222" s="89"/>
      <c r="V222" s="103"/>
      <c r="W222" s="115"/>
      <c r="X222" s="352" t="str">
        <f t="shared" si="59"/>
        <v>Windsor &amp; Maidenhead</v>
      </c>
      <c r="Y222" s="248" t="str">
        <f>IF(Year1_Windsor_and_Maidenhead Year1_Assessments_No_further_action="","",Year1_Windsor_and_Maidenhead Year1_Assessments_No_further_action)</f>
        <v/>
      </c>
      <c r="Z222" s="248" t="str">
        <f>IF(Year2_Windsor_and_Maidenhead Year2_Assessments_No_further_action="","",Year2_Windsor_and_Maidenhead Year2_Assessments_No_further_action)</f>
        <v/>
      </c>
      <c r="AA222" s="248" t="str">
        <f>IF(Year3_Windsor_and_Maidenhead Year3_Assessments_No_further_action="","",Year3_Windsor_and_Maidenhead Year3_Assessments_No_further_action)</f>
        <v/>
      </c>
      <c r="AB222" s="248" t="str">
        <f>IF(Year4_Windsor_and_Maidenhead Year4_Assessments_No_further_action="","",Year4_Windsor_and_Maidenhead Year4_Assessments_No_further_action)</f>
        <v/>
      </c>
      <c r="AC222" s="352" t="str">
        <f>IF(Year5_Windsor_and_Maidenhead Year5_Assessments_No_further_action="","",Year5_Windsor_and_Maidenhead Year5_Assessments_No_further_action)</f>
        <v/>
      </c>
      <c r="AD222" s="307">
        <f t="shared" si="60"/>
        <v>1211</v>
      </c>
      <c r="AE222" s="307">
        <f t="shared" si="61"/>
        <v>1410</v>
      </c>
      <c r="AF222" s="307">
        <f t="shared" si="62"/>
        <v>1643</v>
      </c>
      <c r="AG222" s="307">
        <f t="shared" si="63"/>
        <v>1525</v>
      </c>
      <c r="AH222" s="353">
        <f t="shared" si="64"/>
        <v>1525</v>
      </c>
      <c r="AJ222" s="119"/>
      <c r="AK222" s="52"/>
    </row>
    <row r="223" spans="1:45" s="61" customFormat="1" ht="13.5" hidden="1" customHeight="1">
      <c r="A223" s="1103">
        <f>VLOOKUP(B223,ReportData!$AQ$4:$AR$25,2,FALSE)</f>
        <v>0</v>
      </c>
      <c r="B223" s="885" t="str">
        <f t="shared" si="71"/>
        <v>Windsor &amp; Maidenhead</v>
      </c>
      <c r="C223" s="896"/>
      <c r="D223" s="922" t="e">
        <f t="shared" si="66"/>
        <v>#N/A</v>
      </c>
      <c r="E223" s="922" t="e">
        <f t="shared" si="67"/>
        <v>#N/A</v>
      </c>
      <c r="F223" s="922" t="e">
        <f t="shared" si="68"/>
        <v>#N/A</v>
      </c>
      <c r="G223" s="922" t="e">
        <f t="shared" si="69"/>
        <v>#N/A</v>
      </c>
      <c r="H223" s="923" t="e">
        <f t="shared" si="70"/>
        <v>#N/A</v>
      </c>
      <c r="I223" s="230"/>
      <c r="J223" s="68"/>
      <c r="K223" s="127"/>
      <c r="L223" s="127"/>
      <c r="M223" s="127"/>
      <c r="N223" s="127"/>
      <c r="O223" s="127"/>
      <c r="P223" s="127"/>
      <c r="Q223" s="127"/>
      <c r="R223" s="128"/>
      <c r="S223" s="120"/>
      <c r="T223" s="127"/>
      <c r="U223" s="89"/>
      <c r="V223" s="103"/>
      <c r="W223" s="114"/>
      <c r="X223" s="352" t="str">
        <f t="shared" si="59"/>
        <v>Wokingham</v>
      </c>
      <c r="Y223" s="248" t="str">
        <f>IF(Year1_Wokingham Year1_Assessments_No_further_action="","",Year1_Wokingham Year1_Assessments_No_further_action)</f>
        <v/>
      </c>
      <c r="Z223" s="248" t="str">
        <f>IF(Year2_Wokingham Year2_Assessments_No_further_action="","",Year2_Wokingham Year2_Assessments_No_further_action)</f>
        <v/>
      </c>
      <c r="AA223" s="248" t="str">
        <f>IF(Year3_Wokingham Year3_Assessments_No_further_action="","",Year3_Wokingham Year3_Assessments_No_further_action)</f>
        <v/>
      </c>
      <c r="AB223" s="248" t="str">
        <f>IF(Year4_Wokingham Year4_Assessments_No_further_action="","",Year4_Wokingham Year4_Assessments_No_further_action)</f>
        <v/>
      </c>
      <c r="AC223" s="352" t="str">
        <f>IF(Year5_Wokingham Year5_Assessments_No_further_action="","",Year5_Wokingham Year5_Assessments_No_further_action)</f>
        <v/>
      </c>
      <c r="AD223" s="307">
        <f t="shared" si="60"/>
        <v>1583</v>
      </c>
      <c r="AE223" s="307">
        <f t="shared" si="61"/>
        <v>1410</v>
      </c>
      <c r="AF223" s="307">
        <f t="shared" si="62"/>
        <v>1470</v>
      </c>
      <c r="AG223" s="307">
        <f t="shared" si="63"/>
        <v>1493</v>
      </c>
      <c r="AH223" s="353">
        <f t="shared" si="64"/>
        <v>1576</v>
      </c>
      <c r="AJ223" s="119"/>
      <c r="AK223" s="52"/>
    </row>
    <row r="224" spans="1:45" s="61" customFormat="1" ht="13.5" hidden="1" customHeight="1">
      <c r="A224" s="1103">
        <f>VLOOKUP(B224,ReportData!$AQ$4:$AR$25,2,FALSE)</f>
        <v>0</v>
      </c>
      <c r="B224" s="885" t="str">
        <f t="shared" si="71"/>
        <v>Wokingham</v>
      </c>
      <c r="C224" s="896"/>
      <c r="D224" s="922" t="e">
        <f t="shared" si="66"/>
        <v>#N/A</v>
      </c>
      <c r="E224" s="922" t="e">
        <f t="shared" si="67"/>
        <v>#N/A</v>
      </c>
      <c r="F224" s="922" t="e">
        <f t="shared" si="68"/>
        <v>#N/A</v>
      </c>
      <c r="G224" s="922" t="e">
        <f t="shared" si="69"/>
        <v>#N/A</v>
      </c>
      <c r="H224" s="923" t="e">
        <f t="shared" si="70"/>
        <v>#N/A</v>
      </c>
      <c r="I224" s="230"/>
      <c r="J224" s="68"/>
      <c r="K224" s="129"/>
      <c r="L224" s="129"/>
      <c r="M224" s="129"/>
      <c r="N224" s="129"/>
      <c r="O224" s="129"/>
      <c r="P224" s="129"/>
      <c r="Q224" s="129"/>
      <c r="R224" s="130"/>
      <c r="S224" s="120"/>
      <c r="T224" s="131"/>
      <c r="U224" s="89"/>
      <c r="V224" s="103"/>
      <c r="W224" s="114"/>
      <c r="X224" s="352" t="str">
        <f t="shared" si="59"/>
        <v>South East</v>
      </c>
      <c r="Y224" s="307" t="e">
        <f>IF(Year1_South_East Year1_Assessments_No_further_action=0,NA(),Year1_South_East Year1_Assessments_No_further_action)</f>
        <v>#N/A</v>
      </c>
      <c r="Z224" s="307" t="e">
        <f>IF(Year2_South_East Year2_Assessments_No_further_action=0,NA(),Year2_South_East Year2_Assessments_No_further_action)</f>
        <v>#N/A</v>
      </c>
      <c r="AA224" s="307" t="e">
        <f>IF(Year3_South_East Year3_Assessments_No_further_action=0,NA(),Year3_South_East Year3_Assessments_No_further_action)</f>
        <v>#N/A</v>
      </c>
      <c r="AB224" s="307" t="e">
        <f>IF(Year4_South_East Year4_Assessments_No_further_action=0,NA(),Year4_South_East Year4_Assessments_No_further_action)</f>
        <v>#N/A</v>
      </c>
      <c r="AC224" s="353" t="e">
        <f>IF(Year5_South_East Year5_Assessments_No_further_action=0,NA(),Year5_South_East Year5_Assessments_No_further_action)</f>
        <v>#N/A</v>
      </c>
      <c r="AD224" s="307" t="e">
        <f t="shared" si="60"/>
        <v>#N/A</v>
      </c>
      <c r="AE224" s="307" t="e">
        <f t="shared" si="61"/>
        <v>#N/A</v>
      </c>
      <c r="AF224" s="307" t="e">
        <f t="shared" si="62"/>
        <v>#N/A</v>
      </c>
      <c r="AG224" s="307" t="e">
        <f t="shared" si="63"/>
        <v>#N/A</v>
      </c>
      <c r="AH224" s="307" t="e">
        <f t="shared" si="64"/>
        <v>#N/A</v>
      </c>
      <c r="AJ224" s="119"/>
      <c r="AK224" s="52"/>
    </row>
    <row r="225" spans="1:65" s="61" customFormat="1" ht="13.5" hidden="1" customHeight="1">
      <c r="A225" s="1148"/>
      <c r="B225" s="886" t="str">
        <f t="shared" si="71"/>
        <v>South East</v>
      </c>
      <c r="C225" s="896"/>
      <c r="D225" s="924" t="e">
        <f t="shared" si="66"/>
        <v>#N/A</v>
      </c>
      <c r="E225" s="924" t="e">
        <f t="shared" si="67"/>
        <v>#N/A</v>
      </c>
      <c r="F225" s="924" t="e">
        <f t="shared" si="68"/>
        <v>#N/A</v>
      </c>
      <c r="G225" s="924" t="e">
        <f t="shared" si="69"/>
        <v>#N/A</v>
      </c>
      <c r="H225" s="925" t="e">
        <f t="shared" si="70"/>
        <v>#N/A</v>
      </c>
      <c r="I225" s="230"/>
      <c r="J225" s="68"/>
      <c r="K225" s="129"/>
      <c r="L225" s="129"/>
      <c r="M225" s="129"/>
      <c r="N225" s="129"/>
      <c r="O225" s="129"/>
      <c r="P225" s="129"/>
      <c r="Q225" s="129"/>
      <c r="R225" s="130"/>
      <c r="S225" s="120"/>
      <c r="T225" s="131"/>
      <c r="U225" s="89"/>
      <c r="V225" s="102"/>
      <c r="W225" s="114"/>
      <c r="X225" s="352" t="str">
        <f t="shared" si="59"/>
        <v>England</v>
      </c>
      <c r="Y225" s="248" t="str">
        <f>IF(Year1_England Year1_Assessments_No_further_action="","",Year1_England Year1_Assessments_No_further_action)</f>
        <v/>
      </c>
      <c r="Z225" s="248" t="str">
        <f>IF(Year2_England Year2_Assessments_No_further_action="","",Year2_England Year2_Assessments_No_further_action)</f>
        <v/>
      </c>
      <c r="AA225" s="248" t="str">
        <f>IF(Year3_England Year3_Assessments_No_further_action="","",Year3_England Year3_Assessments_No_further_action)</f>
        <v/>
      </c>
      <c r="AB225" s="248" t="str">
        <f>IF(Year4_England Year4_Assessments_No_further_action="","",Year4_England Year4_Assessments_No_further_action)</f>
        <v/>
      </c>
      <c r="AC225" s="352" t="str">
        <f>IF(Year5_England Year5_Assessments_No_further_action="","",Year5_England Year5_Assessments_No_further_action)</f>
        <v/>
      </c>
      <c r="AD225" s="307">
        <f t="shared" si="60"/>
        <v>665660</v>
      </c>
      <c r="AE225" s="307">
        <f t="shared" si="61"/>
        <v>625960</v>
      </c>
      <c r="AF225" s="307">
        <f t="shared" si="62"/>
        <v>645070</v>
      </c>
      <c r="AG225" s="307">
        <f t="shared" si="63"/>
        <v>655540</v>
      </c>
      <c r="AH225" s="353">
        <f t="shared" si="64"/>
        <v>643170</v>
      </c>
      <c r="AJ225" s="119"/>
      <c r="AK225" s="52"/>
    </row>
    <row r="226" spans="1:65" s="61" customFormat="1" ht="13.5" hidden="1" customHeight="1">
      <c r="A226" s="1097"/>
      <c r="B226" s="887" t="str">
        <f t="shared" si="71"/>
        <v>England</v>
      </c>
      <c r="C226" s="896"/>
      <c r="D226" s="926" t="e">
        <f t="shared" si="66"/>
        <v>#N/A</v>
      </c>
      <c r="E226" s="926" t="e">
        <f t="shared" si="67"/>
        <v>#N/A</v>
      </c>
      <c r="F226" s="926" t="e">
        <f t="shared" si="68"/>
        <v>#N/A</v>
      </c>
      <c r="G226" s="926" t="e">
        <f t="shared" si="69"/>
        <v>#N/A</v>
      </c>
      <c r="H226" s="927" t="e">
        <f t="shared" si="70"/>
        <v>#N/A</v>
      </c>
      <c r="I226" s="230"/>
      <c r="J226" s="68"/>
      <c r="K226" s="129"/>
      <c r="L226" s="129"/>
      <c r="M226" s="129"/>
      <c r="N226" s="129"/>
      <c r="O226" s="129"/>
      <c r="P226" s="129"/>
      <c r="Q226" s="129"/>
      <c r="R226" s="130"/>
      <c r="S226" s="120"/>
      <c r="T226" s="131"/>
      <c r="U226" s="89"/>
      <c r="V226" s="102"/>
      <c r="W226" s="114"/>
      <c r="X226" s="56"/>
      <c r="Y226" s="141"/>
      <c r="Z226" s="56"/>
      <c r="AA226" s="52"/>
      <c r="AB226" s="52"/>
      <c r="AC226" s="52"/>
      <c r="AD226" s="52"/>
      <c r="AE226" s="52"/>
      <c r="AF226" s="52"/>
      <c r="AG226" s="52"/>
      <c r="AH226" s="56"/>
      <c r="AI226" s="52"/>
      <c r="AJ226" s="119"/>
      <c r="AK226" s="52"/>
    </row>
    <row r="227" spans="1:65" s="61" customFormat="1" ht="4.5" hidden="1" customHeight="1">
      <c r="A227" s="166"/>
      <c r="B227" s="171"/>
      <c r="C227" s="171"/>
      <c r="D227" s="227"/>
      <c r="E227" s="227"/>
      <c r="F227" s="227"/>
      <c r="G227" s="227"/>
      <c r="H227" s="227"/>
      <c r="I227" s="171"/>
      <c r="J227" s="133"/>
      <c r="K227" s="133"/>
      <c r="L227" s="133"/>
      <c r="M227" s="133"/>
      <c r="N227" s="133"/>
      <c r="O227" s="133"/>
      <c r="P227" s="133"/>
      <c r="Q227" s="133"/>
      <c r="R227" s="101"/>
      <c r="S227" s="133"/>
      <c r="T227" s="133"/>
      <c r="U227" s="86"/>
      <c r="V227" s="102"/>
      <c r="W227" s="114"/>
      <c r="X227" s="56"/>
      <c r="Y227" s="56"/>
      <c r="Z227" s="56"/>
      <c r="AA227" s="56"/>
      <c r="AB227" s="56"/>
      <c r="AC227" s="56"/>
      <c r="AD227" s="149"/>
      <c r="AE227" s="52"/>
      <c r="AF227" s="52"/>
      <c r="AG227" s="52"/>
      <c r="AH227" s="56"/>
      <c r="AI227" s="52"/>
      <c r="AJ227" s="119"/>
      <c r="AK227" s="52"/>
    </row>
    <row r="228" spans="1:65" s="61" customFormat="1" ht="42.75" hidden="1" customHeight="1">
      <c r="A228" s="166"/>
      <c r="B228" s="171"/>
      <c r="C228" s="171"/>
      <c r="D228" s="171"/>
      <c r="E228" s="171"/>
      <c r="F228" s="171"/>
      <c r="G228" s="171"/>
      <c r="H228" s="171"/>
      <c r="I228" s="171"/>
      <c r="J228" s="133"/>
      <c r="K228" s="133"/>
      <c r="L228" s="133"/>
      <c r="M228" s="133"/>
      <c r="N228" s="133"/>
      <c r="O228" s="133"/>
      <c r="P228" s="133"/>
      <c r="Q228" s="133"/>
      <c r="R228" s="101"/>
      <c r="S228" s="133"/>
      <c r="T228" s="133"/>
      <c r="U228" s="86"/>
      <c r="V228" s="102"/>
      <c r="W228" s="114"/>
      <c r="X228" s="56"/>
      <c r="Y228" s="56"/>
      <c r="Z228" s="56"/>
      <c r="AA228" s="56"/>
      <c r="AB228" s="56"/>
      <c r="AC228" s="56"/>
      <c r="AD228" s="56"/>
      <c r="AE228" s="56"/>
      <c r="AF228" s="56"/>
      <c r="AG228" s="56"/>
      <c r="AH228" s="56"/>
      <c r="AI228" s="52"/>
      <c r="AJ228" s="119"/>
      <c r="AK228" s="52"/>
    </row>
    <row r="229" spans="1:65" s="61" customFormat="1" ht="42.75" hidden="1" customHeight="1">
      <c r="A229" s="166"/>
      <c r="B229" s="171"/>
      <c r="C229" s="171"/>
      <c r="D229" s="171"/>
      <c r="E229" s="171"/>
      <c r="F229" s="171"/>
      <c r="G229" s="171"/>
      <c r="H229" s="171"/>
      <c r="I229" s="171"/>
      <c r="J229" s="133"/>
      <c r="K229" s="133"/>
      <c r="L229" s="133"/>
      <c r="M229" s="133"/>
      <c r="N229" s="133"/>
      <c r="O229" s="133"/>
      <c r="P229" s="133"/>
      <c r="Q229" s="133"/>
      <c r="R229" s="101"/>
      <c r="S229" s="133"/>
      <c r="T229" s="133"/>
      <c r="U229" s="86"/>
      <c r="V229" s="102"/>
      <c r="W229" s="114"/>
      <c r="X229" s="56"/>
      <c r="Y229" s="56"/>
      <c r="Z229" s="56"/>
      <c r="AA229" s="56"/>
      <c r="AB229" s="56"/>
      <c r="AC229" s="56"/>
      <c r="AD229" s="56"/>
      <c r="AE229" s="56"/>
      <c r="AF229" s="56"/>
      <c r="AG229" s="56"/>
      <c r="AH229" s="56"/>
      <c r="AI229" s="56"/>
      <c r="AJ229" s="119"/>
      <c r="AK229" s="52"/>
    </row>
    <row r="230" spans="1:65" s="61" customFormat="1" ht="42.75" hidden="1" customHeight="1">
      <c r="A230" s="87"/>
      <c r="B230" s="12"/>
      <c r="C230" s="12"/>
      <c r="D230" s="11"/>
      <c r="E230" s="11"/>
      <c r="F230" s="11"/>
      <c r="G230" s="11"/>
      <c r="H230" s="11"/>
      <c r="I230" s="11"/>
      <c r="J230" s="1"/>
      <c r="K230" s="13"/>
      <c r="L230" s="13"/>
      <c r="M230" s="13"/>
      <c r="N230" s="13"/>
      <c r="O230" s="13"/>
      <c r="P230" s="13"/>
      <c r="Q230" s="13"/>
      <c r="R230" s="13"/>
      <c r="S230" s="13"/>
      <c r="T230" s="14"/>
      <c r="U230" s="86"/>
      <c r="V230" s="102"/>
      <c r="W230" s="114"/>
      <c r="X230" s="56"/>
      <c r="Y230" s="56"/>
      <c r="Z230" s="56"/>
      <c r="AA230" s="56"/>
      <c r="AB230" s="56"/>
      <c r="AC230" s="56"/>
      <c r="AD230" s="56"/>
      <c r="AE230" s="56"/>
      <c r="AF230" s="56"/>
      <c r="AG230" s="56"/>
      <c r="AH230" s="56"/>
      <c r="AI230" s="56"/>
      <c r="AJ230" s="121"/>
    </row>
    <row r="231" spans="1:65" s="61" customFormat="1" ht="7.5" hidden="1" customHeight="1">
      <c r="A231" s="208"/>
      <c r="B231" s="12"/>
      <c r="C231" s="12"/>
      <c r="D231" s="11"/>
      <c r="E231" s="11"/>
      <c r="F231" s="11"/>
      <c r="G231" s="11"/>
      <c r="H231" s="11"/>
      <c r="I231" s="11"/>
      <c r="J231" s="1"/>
      <c r="K231" s="13"/>
      <c r="L231" s="13"/>
      <c r="M231" s="13"/>
      <c r="N231" s="13"/>
      <c r="O231" s="13"/>
      <c r="P231" s="13"/>
      <c r="Q231" s="13"/>
      <c r="R231" s="13"/>
      <c r="S231" s="13"/>
      <c r="T231" s="14"/>
      <c r="U231" s="86"/>
      <c r="V231" s="102"/>
      <c r="W231" s="114"/>
      <c r="X231" s="56"/>
      <c r="Y231" s="56"/>
      <c r="Z231" s="56"/>
      <c r="AA231" s="56"/>
      <c r="AB231" s="56"/>
      <c r="AC231" s="56"/>
      <c r="AD231" s="56"/>
      <c r="AE231" s="56"/>
      <c r="AF231" s="56"/>
      <c r="AG231" s="56"/>
      <c r="AH231" s="56"/>
      <c r="AI231" s="52"/>
      <c r="AJ231" s="121"/>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row>
    <row r="232" spans="1:65" s="61" customFormat="1" ht="15" hidden="1" customHeight="1">
      <c r="A232" s="1565"/>
      <c r="B232" s="1751"/>
      <c r="C232" s="1751"/>
      <c r="D232" s="1751"/>
      <c r="E232" s="1751"/>
      <c r="F232" s="1751"/>
      <c r="G232" s="1751"/>
      <c r="H232" s="1751"/>
      <c r="I232" s="1751"/>
      <c r="J232" s="1751"/>
      <c r="K232" s="1751"/>
      <c r="L232" s="1751"/>
      <c r="M232" s="1751"/>
      <c r="N232" s="1751"/>
      <c r="O232" s="1751"/>
      <c r="P232" s="1751"/>
      <c r="Q232" s="1751"/>
      <c r="R232" s="1751"/>
      <c r="S232" s="1751"/>
      <c r="T232" s="1751"/>
      <c r="U232" s="1752"/>
      <c r="V232" s="102"/>
      <c r="W232" s="114"/>
      <c r="X232" s="56"/>
      <c r="Y232" s="56"/>
      <c r="Z232" s="56"/>
      <c r="AA232" s="56"/>
      <c r="AB232" s="56"/>
      <c r="AC232" s="56"/>
      <c r="AD232" s="56"/>
      <c r="AE232" s="57"/>
      <c r="AF232" s="56"/>
      <c r="AG232" s="56"/>
      <c r="AH232" s="52"/>
      <c r="AI232" s="52"/>
      <c r="AJ232" s="121"/>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row>
    <row r="233" spans="1:65" s="56" customFormat="1" ht="11.25" hidden="1" customHeight="1">
      <c r="A233" s="1739"/>
      <c r="B233" s="1740"/>
      <c r="C233" s="1740"/>
      <c r="D233" s="1740"/>
      <c r="E233" s="1740"/>
      <c r="F233" s="1740"/>
      <c r="G233" s="1740"/>
      <c r="H233" s="1740"/>
      <c r="I233" s="1741"/>
      <c r="J233" s="1740"/>
      <c r="K233" s="1740"/>
      <c r="L233" s="1740"/>
      <c r="M233" s="1740"/>
      <c r="N233" s="1740"/>
      <c r="O233" s="1740"/>
      <c r="P233" s="1742"/>
      <c r="Q233" s="1740"/>
      <c r="R233" s="1740"/>
      <c r="S233" s="1741"/>
      <c r="T233" s="1740"/>
      <c r="U233" s="1743"/>
      <c r="V233" s="119"/>
      <c r="W233" s="114"/>
      <c r="AE233" s="57"/>
      <c r="AH233" s="52"/>
      <c r="AI233" s="52"/>
      <c r="AJ233" s="122"/>
    </row>
    <row r="234" spans="1:65" s="56" customFormat="1" ht="11.25" customHeight="1">
      <c r="A234" s="106"/>
      <c r="B234" s="705"/>
      <c r="C234" s="5"/>
      <c r="D234" s="5"/>
      <c r="E234" s="9"/>
      <c r="F234" s="5"/>
      <c r="G234" s="40"/>
      <c r="H234" s="554"/>
      <c r="I234" s="40"/>
      <c r="J234" s="40"/>
      <c r="K234" s="40"/>
      <c r="L234" s="40"/>
      <c r="M234" s="40"/>
      <c r="N234" s="40"/>
      <c r="O234" s="40"/>
      <c r="P234" s="40"/>
      <c r="Q234" s="40"/>
      <c r="R234" s="40"/>
      <c r="S234" s="40"/>
      <c r="T234" s="40"/>
      <c r="U234" s="40"/>
      <c r="V234" s="119"/>
      <c r="W234" s="114"/>
      <c r="AE234" s="57"/>
      <c r="AH234" s="52"/>
      <c r="AI234" s="52"/>
      <c r="AJ234" s="119"/>
      <c r="AK234" s="52"/>
      <c r="AL234" s="52"/>
      <c r="AM234" s="52"/>
      <c r="AN234" s="52"/>
      <c r="AO234" s="52"/>
      <c r="AP234" s="52"/>
      <c r="AQ234" s="52"/>
    </row>
    <row r="235" spans="1:65" s="56" customFormat="1" ht="11.25" customHeight="1">
      <c r="A235" s="106"/>
      <c r="B235" s="705"/>
      <c r="C235" s="5"/>
      <c r="D235" s="5"/>
      <c r="E235" s="9"/>
      <c r="F235" s="5"/>
      <c r="G235" s="40"/>
      <c r="H235" s="554"/>
      <c r="I235" s="40"/>
      <c r="J235" s="40"/>
      <c r="K235" s="40"/>
      <c r="L235" s="40"/>
      <c r="M235" s="40"/>
      <c r="N235" s="40"/>
      <c r="O235" s="40"/>
      <c r="P235" s="40"/>
      <c r="Q235" s="40"/>
      <c r="R235" s="40"/>
      <c r="S235" s="40"/>
      <c r="T235" s="40"/>
      <c r="U235" s="40"/>
      <c r="V235" s="119"/>
      <c r="W235" s="114"/>
      <c r="AE235" s="57"/>
      <c r="AH235" s="52"/>
      <c r="AI235" s="52"/>
      <c r="AJ235" s="122"/>
      <c r="AS235" s="52"/>
    </row>
    <row r="236" spans="1:65" s="56" customFormat="1" ht="11.25" customHeight="1">
      <c r="A236" s="106"/>
      <c r="B236" s="1317"/>
      <c r="C236" s="5"/>
      <c r="D236" s="5"/>
      <c r="E236" s="9"/>
      <c r="F236" s="5"/>
      <c r="G236" s="40"/>
      <c r="H236" s="554"/>
      <c r="I236" s="40"/>
      <c r="J236" s="40"/>
      <c r="K236" s="40"/>
      <c r="L236" s="40"/>
      <c r="M236" s="40"/>
      <c r="N236" s="40"/>
      <c r="O236" s="40"/>
      <c r="P236" s="40"/>
      <c r="Q236" s="40"/>
      <c r="R236" s="40"/>
      <c r="S236" s="40"/>
      <c r="T236" s="40"/>
      <c r="U236" s="40"/>
      <c r="V236" s="119"/>
      <c r="W236" s="116"/>
      <c r="AE236" s="57"/>
      <c r="AH236" s="52"/>
      <c r="AI236" s="52"/>
      <c r="AJ236" s="122"/>
      <c r="AS236" s="52"/>
    </row>
    <row r="237" spans="1:65" s="56" customFormat="1" ht="11.25" customHeight="1">
      <c r="A237" s="106"/>
      <c r="B237" s="1318"/>
      <c r="C237" s="5"/>
      <c r="D237" s="5"/>
      <c r="E237" s="9"/>
      <c r="F237" s="2"/>
      <c r="G237" s="554"/>
      <c r="H237" s="554"/>
      <c r="I237" s="40"/>
      <c r="J237" s="40"/>
      <c r="K237" s="40"/>
      <c r="L237" s="40"/>
      <c r="M237" s="40"/>
      <c r="N237" s="40"/>
      <c r="O237" s="40"/>
      <c r="P237" s="40"/>
      <c r="Q237" s="40"/>
      <c r="R237" s="40"/>
      <c r="S237" s="40"/>
      <c r="T237" s="40"/>
      <c r="U237" s="40"/>
      <c r="V237" s="119"/>
      <c r="W237" s="114"/>
      <c r="AE237" s="57"/>
      <c r="AH237" s="52"/>
      <c r="AI237" s="52"/>
      <c r="AJ237" s="121"/>
      <c r="AK237" s="61"/>
      <c r="AS237" s="52"/>
    </row>
    <row r="238" spans="1:65" s="56" customFormat="1" ht="11.25" customHeight="1">
      <c r="A238" s="106"/>
      <c r="B238" s="420"/>
      <c r="C238" s="420"/>
      <c r="D238" s="420"/>
      <c r="E238" s="420"/>
      <c r="F238" s="420"/>
      <c r="G238" s="420"/>
      <c r="H238" s="554"/>
      <c r="I238" s="40"/>
      <c r="J238" s="40"/>
      <c r="K238" s="40"/>
      <c r="L238" s="40"/>
      <c r="M238" s="40"/>
      <c r="N238" s="40"/>
      <c r="O238" s="40"/>
      <c r="P238" s="40"/>
      <c r="Q238" s="40"/>
      <c r="R238" s="40"/>
      <c r="S238" s="40"/>
      <c r="T238" s="40"/>
      <c r="U238" s="40"/>
      <c r="V238" s="119"/>
      <c r="W238" s="114"/>
      <c r="AE238" s="57"/>
      <c r="AH238" s="52"/>
      <c r="AI238" s="52"/>
      <c r="AJ238" s="119"/>
      <c r="AK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row>
    <row r="239" spans="1:65" s="56" customFormat="1" ht="11.25" customHeight="1">
      <c r="A239" s="106"/>
      <c r="B239" s="420"/>
      <c r="C239" s="420"/>
      <c r="D239" s="420"/>
      <c r="E239" s="420"/>
      <c r="F239" s="420"/>
      <c r="G239" s="420"/>
      <c r="H239" s="554"/>
      <c r="I239" s="40"/>
      <c r="J239" s="40"/>
      <c r="K239" s="40"/>
      <c r="L239" s="40"/>
      <c r="M239" s="40"/>
      <c r="N239" s="40"/>
      <c r="O239" s="40"/>
      <c r="P239" s="40"/>
      <c r="Q239" s="40"/>
      <c r="R239" s="40"/>
      <c r="S239" s="40"/>
      <c r="T239" s="40"/>
      <c r="U239" s="40"/>
      <c r="V239" s="119"/>
      <c r="W239" s="114"/>
      <c r="AE239" s="57"/>
      <c r="AH239" s="52"/>
      <c r="AI239" s="52"/>
      <c r="AJ239" s="119"/>
      <c r="AK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row>
    <row r="240" spans="1:65" ht="11.25" customHeight="1">
      <c r="A240" s="106"/>
      <c r="B240" s="420"/>
      <c r="C240" s="420"/>
      <c r="D240" s="420"/>
      <c r="E240" s="420"/>
      <c r="F240" s="420"/>
      <c r="G240" s="420"/>
      <c r="H240" s="554"/>
      <c r="I240" s="40"/>
      <c r="J240" s="40"/>
      <c r="K240" s="40"/>
      <c r="L240" s="40"/>
      <c r="M240" s="40"/>
      <c r="N240" s="40"/>
      <c r="O240" s="40"/>
      <c r="P240" s="40"/>
      <c r="Q240" s="40"/>
      <c r="R240" s="40"/>
      <c r="S240" s="40"/>
      <c r="T240" s="40"/>
      <c r="U240" s="40"/>
      <c r="V240" s="119"/>
      <c r="W240" s="114"/>
      <c r="Z240" s="52"/>
      <c r="AE240" s="57"/>
      <c r="AH240" s="52"/>
      <c r="AJ240" s="119"/>
      <c r="AL240" s="56"/>
      <c r="AM240" s="56"/>
      <c r="AN240" s="56"/>
      <c r="AO240" s="56"/>
      <c r="AP240" s="56"/>
      <c r="AQ240" s="56"/>
    </row>
    <row r="241" spans="1:36" ht="11.25" customHeight="1">
      <c r="A241" s="106"/>
      <c r="B241" s="420"/>
      <c r="C241" s="420"/>
      <c r="D241" s="420"/>
      <c r="E241" s="420"/>
      <c r="F241" s="420"/>
      <c r="G241" s="420"/>
      <c r="H241" s="554"/>
      <c r="I241" s="40"/>
      <c r="J241" s="40"/>
      <c r="K241" s="40"/>
      <c r="L241" s="40"/>
      <c r="M241" s="40"/>
      <c r="N241" s="40"/>
      <c r="O241" s="40"/>
      <c r="P241" s="40"/>
      <c r="Q241" s="40"/>
      <c r="R241" s="40"/>
      <c r="S241" s="40"/>
      <c r="T241" s="40"/>
      <c r="U241" s="40"/>
      <c r="V241" s="119"/>
      <c r="W241" s="114"/>
      <c r="Z241" s="52"/>
      <c r="AE241" s="57"/>
      <c r="AH241" s="52"/>
      <c r="AJ241" s="119"/>
    </row>
    <row r="242" spans="1:36" ht="11.25" customHeight="1">
      <c r="A242" s="106"/>
      <c r="B242" s="420"/>
      <c r="C242" s="420"/>
      <c r="D242" s="420"/>
      <c r="E242" s="420"/>
      <c r="F242" s="420"/>
      <c r="G242" s="420"/>
      <c r="H242" s="554"/>
      <c r="I242" s="40"/>
      <c r="J242" s="40"/>
      <c r="K242" s="40"/>
      <c r="L242" s="40"/>
      <c r="M242" s="40"/>
      <c r="N242" s="40"/>
      <c r="O242" s="40"/>
      <c r="P242" s="40"/>
      <c r="Q242" s="40"/>
      <c r="R242" s="40"/>
      <c r="S242" s="40"/>
      <c r="T242" s="40"/>
      <c r="U242" s="40"/>
      <c r="V242" s="119"/>
      <c r="W242" s="114"/>
      <c r="Z242" s="52"/>
      <c r="AA242" s="52"/>
      <c r="AE242" s="57"/>
      <c r="AH242" s="52"/>
      <c r="AJ242" s="119"/>
    </row>
    <row r="243" spans="1:36" ht="11.25" customHeight="1">
      <c r="A243" s="106"/>
      <c r="B243" s="420"/>
      <c r="C243" s="420"/>
      <c r="D243" s="420"/>
      <c r="E243" s="420"/>
      <c r="F243" s="420"/>
      <c r="G243" s="420"/>
      <c r="H243" s="554"/>
      <c r="I243" s="40"/>
      <c r="J243" s="40"/>
      <c r="K243" s="40"/>
      <c r="L243" s="40"/>
      <c r="M243" s="40"/>
      <c r="N243" s="40"/>
      <c r="O243" s="40"/>
      <c r="P243" s="40"/>
      <c r="Q243" s="40"/>
      <c r="R243" s="40"/>
      <c r="S243" s="40"/>
      <c r="T243" s="40"/>
      <c r="U243" s="40"/>
      <c r="V243" s="119"/>
      <c r="W243" s="114"/>
      <c r="Z243" s="52"/>
      <c r="AA243" s="52"/>
      <c r="AE243" s="57"/>
      <c r="AH243" s="52"/>
      <c r="AJ243" s="119"/>
    </row>
    <row r="244" spans="1:36" ht="11.25" customHeight="1">
      <c r="A244" s="106"/>
      <c r="B244" s="420"/>
      <c r="C244" s="420"/>
      <c r="D244" s="420"/>
      <c r="E244" s="420"/>
      <c r="F244" s="420"/>
      <c r="G244" s="420"/>
      <c r="H244" s="554"/>
      <c r="I244" s="40"/>
      <c r="J244" s="40"/>
      <c r="K244" s="40"/>
      <c r="L244" s="40"/>
      <c r="M244" s="40"/>
      <c r="N244" s="40"/>
      <c r="O244" s="40"/>
      <c r="P244" s="40"/>
      <c r="Q244" s="40"/>
      <c r="R244" s="40"/>
      <c r="S244" s="40"/>
      <c r="T244" s="40"/>
      <c r="U244" s="40"/>
      <c r="V244" s="119"/>
      <c r="W244" s="114"/>
      <c r="Z244" s="52"/>
      <c r="AA244" s="52"/>
      <c r="AE244" s="57"/>
      <c r="AH244" s="52"/>
      <c r="AJ244" s="119"/>
    </row>
    <row r="245" spans="1:36" ht="11.25" customHeight="1">
      <c r="A245" s="106"/>
      <c r="B245" s="420"/>
      <c r="C245" s="420"/>
      <c r="D245" s="420"/>
      <c r="E245" s="420"/>
      <c r="F245" s="420"/>
      <c r="G245" s="420"/>
      <c r="H245" s="554"/>
      <c r="I245" s="40"/>
      <c r="J245" s="40"/>
      <c r="K245" s="40"/>
      <c r="L245" s="40"/>
      <c r="M245" s="40"/>
      <c r="N245" s="40"/>
      <c r="O245" s="40"/>
      <c r="P245" s="40"/>
      <c r="Q245" s="40"/>
      <c r="R245" s="40"/>
      <c r="S245" s="40"/>
      <c r="T245" s="40"/>
      <c r="U245" s="40"/>
      <c r="V245" s="119"/>
      <c r="W245" s="114"/>
      <c r="Z245" s="52"/>
      <c r="AA245" s="52"/>
      <c r="AE245" s="57"/>
      <c r="AH245" s="52"/>
      <c r="AJ245" s="119"/>
    </row>
    <row r="246" spans="1:36" ht="11.25" customHeight="1">
      <c r="A246" s="106"/>
      <c r="B246" s="420"/>
      <c r="C246" s="420"/>
      <c r="D246" s="420"/>
      <c r="E246" s="420"/>
      <c r="F246" s="420"/>
      <c r="G246" s="420"/>
      <c r="H246" s="554"/>
      <c r="I246" s="40"/>
      <c r="J246" s="40"/>
      <c r="K246" s="40"/>
      <c r="L246" s="40"/>
      <c r="M246" s="40"/>
      <c r="N246" s="40"/>
      <c r="O246" s="40"/>
      <c r="P246" s="40"/>
      <c r="Q246" s="40"/>
      <c r="R246" s="40"/>
      <c r="S246" s="40"/>
      <c r="T246" s="40"/>
      <c r="U246" s="40"/>
      <c r="V246" s="119"/>
      <c r="W246" s="114"/>
      <c r="AA246" s="52"/>
      <c r="AE246" s="57"/>
      <c r="AH246" s="52"/>
      <c r="AJ246" s="119"/>
    </row>
    <row r="247" spans="1:36" ht="11.25" customHeight="1">
      <c r="A247" s="106"/>
      <c r="B247" s="420"/>
      <c r="C247" s="420"/>
      <c r="D247" s="420"/>
      <c r="E247" s="420"/>
      <c r="F247" s="420"/>
      <c r="G247" s="420"/>
      <c r="H247" s="554"/>
      <c r="I247" s="40"/>
      <c r="J247" s="40"/>
      <c r="K247" s="40"/>
      <c r="L247" s="40"/>
      <c r="M247" s="40"/>
      <c r="N247" s="40"/>
      <c r="O247" s="40"/>
      <c r="P247" s="40"/>
      <c r="Q247" s="40"/>
      <c r="R247" s="40"/>
      <c r="S247" s="40"/>
      <c r="T247" s="40"/>
      <c r="U247" s="40"/>
      <c r="V247" s="119"/>
      <c r="W247" s="114"/>
      <c r="AA247" s="52"/>
      <c r="AE247" s="57"/>
      <c r="AH247" s="52"/>
      <c r="AJ247" s="119"/>
    </row>
    <row r="248" spans="1:36" ht="11.25" customHeight="1">
      <c r="A248" s="106"/>
      <c r="B248" s="420"/>
      <c r="C248" s="420"/>
      <c r="D248" s="420"/>
      <c r="E248" s="420"/>
      <c r="F248" s="420"/>
      <c r="G248" s="420"/>
      <c r="H248" s="554"/>
      <c r="I248" s="40"/>
      <c r="J248" s="40"/>
      <c r="K248" s="40"/>
      <c r="L248" s="40"/>
      <c r="M248" s="40"/>
      <c r="N248" s="40"/>
      <c r="O248" s="40"/>
      <c r="P248" s="40"/>
      <c r="Q248" s="40"/>
      <c r="R248" s="40"/>
      <c r="S248" s="40"/>
      <c r="T248" s="40"/>
      <c r="U248" s="40"/>
      <c r="V248" s="119"/>
      <c r="W248" s="114"/>
      <c r="AE248" s="57"/>
      <c r="AH248" s="52"/>
      <c r="AJ248" s="119"/>
    </row>
    <row r="249" spans="1:36" ht="11.25" customHeight="1">
      <c r="A249" s="106"/>
      <c r="B249" s="420"/>
      <c r="C249" s="420"/>
      <c r="D249" s="420"/>
      <c r="E249" s="420"/>
      <c r="F249" s="420"/>
      <c r="G249" s="420"/>
      <c r="H249" s="554"/>
      <c r="I249" s="40"/>
      <c r="J249" s="40"/>
      <c r="K249" s="40"/>
      <c r="L249" s="40"/>
      <c r="M249" s="40"/>
      <c r="N249" s="40"/>
      <c r="O249" s="40"/>
      <c r="P249" s="40"/>
      <c r="Q249" s="40"/>
      <c r="R249" s="40"/>
      <c r="S249" s="40"/>
      <c r="T249" s="40"/>
      <c r="U249" s="40"/>
      <c r="V249" s="119"/>
      <c r="W249" s="114"/>
      <c r="AE249" s="57"/>
      <c r="AH249" s="52"/>
      <c r="AJ249" s="119"/>
    </row>
    <row r="250" spans="1:36" ht="11.25" customHeight="1">
      <c r="A250" s="106"/>
      <c r="B250" s="420"/>
      <c r="C250" s="420"/>
      <c r="D250" s="420"/>
      <c r="E250" s="420"/>
      <c r="F250" s="420"/>
      <c r="G250" s="420"/>
      <c r="H250" s="554"/>
      <c r="I250" s="40"/>
      <c r="J250" s="40"/>
      <c r="K250" s="40"/>
      <c r="L250" s="40"/>
      <c r="M250" s="40"/>
      <c r="N250" s="40"/>
      <c r="O250" s="40"/>
      <c r="P250" s="40"/>
      <c r="Q250" s="40"/>
      <c r="R250" s="40"/>
      <c r="S250" s="40"/>
      <c r="T250" s="40"/>
      <c r="U250" s="40"/>
      <c r="V250" s="119"/>
      <c r="W250" s="114"/>
      <c r="AE250" s="57"/>
      <c r="AH250" s="52"/>
      <c r="AJ250" s="119"/>
    </row>
    <row r="251" spans="1:36" ht="11.25" customHeight="1">
      <c r="A251" s="106"/>
      <c r="B251" s="420"/>
      <c r="C251" s="420"/>
      <c r="D251" s="420"/>
      <c r="E251" s="420"/>
      <c r="F251" s="420"/>
      <c r="G251" s="420"/>
      <c r="H251" s="554"/>
      <c r="I251" s="40"/>
      <c r="J251" s="40"/>
      <c r="K251" s="40"/>
      <c r="L251" s="40"/>
      <c r="M251" s="40"/>
      <c r="N251" s="40"/>
      <c r="O251" s="40"/>
      <c r="P251" s="40"/>
      <c r="Q251" s="40"/>
      <c r="R251" s="40"/>
      <c r="S251" s="40"/>
      <c r="T251" s="40"/>
      <c r="U251" s="40"/>
      <c r="V251" s="119"/>
      <c r="W251" s="114"/>
      <c r="AE251" s="57"/>
      <c r="AH251" s="52"/>
      <c r="AJ251" s="119"/>
    </row>
    <row r="252" spans="1:36" ht="11.25" customHeight="1">
      <c r="A252" s="106"/>
      <c r="B252" s="420"/>
      <c r="C252" s="420"/>
      <c r="D252" s="420"/>
      <c r="E252" s="420"/>
      <c r="F252" s="420"/>
      <c r="G252" s="420"/>
      <c r="H252" s="554"/>
      <c r="I252" s="40"/>
      <c r="J252" s="40"/>
      <c r="K252" s="40"/>
      <c r="L252" s="40"/>
      <c r="M252" s="40"/>
      <c r="N252" s="40"/>
      <c r="O252" s="40"/>
      <c r="P252" s="40"/>
      <c r="Q252" s="40"/>
      <c r="R252" s="40"/>
      <c r="S252" s="40"/>
      <c r="T252" s="40"/>
      <c r="U252" s="40"/>
      <c r="V252" s="119"/>
      <c r="W252" s="114"/>
      <c r="AE252" s="57"/>
      <c r="AH252" s="52"/>
      <c r="AJ252" s="119"/>
    </row>
    <row r="253" spans="1:36" ht="11.25" customHeight="1">
      <c r="A253" s="106"/>
      <c r="B253" s="420"/>
      <c r="C253" s="420"/>
      <c r="D253" s="420"/>
      <c r="E253" s="420"/>
      <c r="F253" s="420"/>
      <c r="G253" s="420"/>
      <c r="H253" s="554"/>
      <c r="I253" s="40"/>
      <c r="J253" s="40"/>
      <c r="K253" s="40"/>
      <c r="L253" s="40"/>
      <c r="M253" s="40"/>
      <c r="N253" s="40"/>
      <c r="O253" s="40"/>
      <c r="P253" s="40"/>
      <c r="Q253" s="40"/>
      <c r="R253" s="40"/>
      <c r="S253" s="40"/>
      <c r="T253" s="40"/>
      <c r="U253" s="40"/>
      <c r="V253" s="119"/>
      <c r="W253" s="114"/>
      <c r="AE253" s="57"/>
      <c r="AH253" s="52"/>
      <c r="AJ253" s="119"/>
    </row>
    <row r="254" spans="1:36" ht="11.25" customHeight="1">
      <c r="A254" s="106"/>
      <c r="B254" s="420"/>
      <c r="C254" s="420"/>
      <c r="D254" s="420"/>
      <c r="E254" s="420"/>
      <c r="F254" s="420"/>
      <c r="G254" s="420"/>
      <c r="H254" s="554"/>
      <c r="I254" s="40"/>
      <c r="J254" s="40"/>
      <c r="K254" s="40"/>
      <c r="L254" s="40"/>
      <c r="M254" s="40"/>
      <c r="N254" s="40"/>
      <c r="O254" s="40"/>
      <c r="P254" s="40"/>
      <c r="Q254" s="40"/>
      <c r="R254" s="40"/>
      <c r="S254" s="40"/>
      <c r="T254" s="40"/>
      <c r="U254" s="40"/>
      <c r="V254" s="119"/>
      <c r="W254" s="114"/>
      <c r="AE254" s="57"/>
      <c r="AH254" s="52"/>
      <c r="AJ254" s="119"/>
    </row>
    <row r="255" spans="1:36" ht="11.25" customHeight="1">
      <c r="A255" s="106"/>
      <c r="B255" s="420"/>
      <c r="C255" s="420"/>
      <c r="D255" s="420"/>
      <c r="E255" s="420"/>
      <c r="F255" s="420"/>
      <c r="G255" s="420"/>
      <c r="H255" s="554"/>
      <c r="I255" s="40"/>
      <c r="J255" s="40"/>
      <c r="K255" s="40"/>
      <c r="L255" s="40"/>
      <c r="M255" s="40"/>
      <c r="N255" s="40"/>
      <c r="O255" s="40"/>
      <c r="P255" s="40"/>
      <c r="Q255" s="40"/>
      <c r="R255" s="40"/>
      <c r="S255" s="40"/>
      <c r="T255" s="40"/>
      <c r="U255" s="40"/>
      <c r="V255" s="119"/>
      <c r="W255" s="114"/>
      <c r="AE255" s="57"/>
      <c r="AH255" s="52"/>
      <c r="AJ255" s="119"/>
    </row>
    <row r="256" spans="1:36" ht="11.25" customHeight="1">
      <c r="A256" s="106"/>
      <c r="B256" s="420"/>
      <c r="C256" s="420"/>
      <c r="D256" s="420"/>
      <c r="E256" s="420"/>
      <c r="F256" s="420"/>
      <c r="G256" s="420"/>
      <c r="H256" s="554"/>
      <c r="I256" s="40"/>
      <c r="J256" s="40"/>
      <c r="K256" s="40"/>
      <c r="L256" s="40"/>
      <c r="M256" s="40"/>
      <c r="N256" s="40"/>
      <c r="O256" s="40"/>
      <c r="P256" s="40"/>
      <c r="Q256" s="40"/>
      <c r="R256" s="40"/>
      <c r="S256" s="40"/>
      <c r="T256" s="40"/>
      <c r="U256" s="40"/>
      <c r="V256" s="119"/>
      <c r="W256" s="114"/>
      <c r="AE256" s="57"/>
      <c r="AH256" s="52"/>
      <c r="AJ256" s="119"/>
    </row>
    <row r="257" spans="1:36" ht="11.25" customHeight="1">
      <c r="A257" s="106"/>
      <c r="B257" s="420"/>
      <c r="C257" s="420"/>
      <c r="D257" s="420"/>
      <c r="E257" s="420"/>
      <c r="F257" s="420"/>
      <c r="G257" s="420"/>
      <c r="H257" s="554"/>
      <c r="I257" s="40"/>
      <c r="J257" s="40"/>
      <c r="K257" s="40"/>
      <c r="L257" s="40"/>
      <c r="M257" s="40"/>
      <c r="N257" s="40"/>
      <c r="O257" s="40"/>
      <c r="P257" s="40"/>
      <c r="Q257" s="40"/>
      <c r="R257" s="40"/>
      <c r="S257" s="40"/>
      <c r="T257" s="40"/>
      <c r="U257" s="40"/>
      <c r="V257" s="119"/>
      <c r="W257" s="114"/>
      <c r="AE257" s="57"/>
      <c r="AH257" s="52"/>
      <c r="AJ257" s="119"/>
    </row>
    <row r="258" spans="1:36" ht="11.25" customHeight="1">
      <c r="A258" s="106"/>
      <c r="B258" s="420"/>
      <c r="C258" s="420"/>
      <c r="D258" s="420"/>
      <c r="E258" s="420"/>
      <c r="F258" s="420"/>
      <c r="G258" s="420"/>
      <c r="H258" s="554"/>
      <c r="I258" s="40"/>
      <c r="J258" s="40"/>
      <c r="K258" s="40"/>
      <c r="L258" s="40"/>
      <c r="M258" s="40"/>
      <c r="N258" s="40"/>
      <c r="O258" s="40"/>
      <c r="P258" s="40"/>
      <c r="Q258" s="40"/>
      <c r="R258" s="40"/>
      <c r="S258" s="40"/>
      <c r="T258" s="40"/>
      <c r="U258" s="40"/>
      <c r="V258" s="119"/>
      <c r="W258" s="114"/>
      <c r="AE258" s="57"/>
      <c r="AH258" s="52"/>
      <c r="AJ258" s="119"/>
    </row>
    <row r="259" spans="1:36" ht="11.25" customHeight="1">
      <c r="A259" s="106"/>
      <c r="B259" s="420"/>
      <c r="C259" s="420"/>
      <c r="D259" s="420"/>
      <c r="E259" s="420"/>
      <c r="F259" s="420"/>
      <c r="G259" s="420"/>
      <c r="H259" s="554"/>
      <c r="I259" s="40"/>
      <c r="J259" s="40"/>
      <c r="K259" s="40"/>
      <c r="L259" s="40"/>
      <c r="M259" s="40"/>
      <c r="N259" s="40"/>
      <c r="O259" s="40"/>
      <c r="P259" s="40"/>
      <c r="Q259" s="40"/>
      <c r="R259" s="40"/>
      <c r="S259" s="40"/>
      <c r="T259" s="40"/>
      <c r="U259" s="40"/>
      <c r="V259" s="119"/>
      <c r="W259" s="114"/>
      <c r="AE259" s="57"/>
      <c r="AH259" s="52"/>
      <c r="AJ259" s="119"/>
    </row>
    <row r="260" spans="1:36" ht="11.25" customHeight="1">
      <c r="A260" s="106"/>
      <c r="B260" s="420"/>
      <c r="C260" s="420"/>
      <c r="D260" s="420"/>
      <c r="E260" s="420"/>
      <c r="F260" s="420"/>
      <c r="G260" s="420"/>
      <c r="H260" s="554"/>
      <c r="I260" s="40"/>
      <c r="J260" s="40"/>
      <c r="K260" s="40"/>
      <c r="L260" s="40"/>
      <c r="M260" s="40"/>
      <c r="N260" s="40"/>
      <c r="O260" s="40"/>
      <c r="P260" s="40"/>
      <c r="Q260" s="40"/>
      <c r="R260" s="40"/>
      <c r="S260" s="40"/>
      <c r="T260" s="40"/>
      <c r="U260" s="40"/>
      <c r="V260" s="119"/>
      <c r="W260" s="114"/>
      <c r="AE260" s="57"/>
      <c r="AH260" s="52"/>
      <c r="AJ260" s="119"/>
    </row>
    <row r="261" spans="1:36" ht="11.25" customHeight="1">
      <c r="A261" s="106"/>
      <c r="B261" s="420"/>
      <c r="C261" s="420"/>
      <c r="D261" s="420"/>
      <c r="E261" s="420"/>
      <c r="F261" s="420"/>
      <c r="G261" s="420"/>
      <c r="H261" s="554"/>
      <c r="I261" s="40"/>
      <c r="J261" s="40"/>
      <c r="K261" s="40"/>
      <c r="L261" s="40"/>
      <c r="M261" s="40"/>
      <c r="N261" s="40"/>
      <c r="O261" s="40"/>
      <c r="P261" s="40"/>
      <c r="Q261" s="40"/>
      <c r="R261" s="40"/>
      <c r="S261" s="40"/>
      <c r="T261" s="40"/>
      <c r="U261" s="40"/>
      <c r="V261" s="119"/>
      <c r="W261" s="114"/>
      <c r="AE261" s="57"/>
      <c r="AH261" s="52"/>
      <c r="AJ261" s="119"/>
    </row>
    <row r="262" spans="1:36" ht="11.25" customHeight="1">
      <c r="A262" s="106"/>
      <c r="B262" s="420"/>
      <c r="C262" s="420"/>
      <c r="D262" s="420"/>
      <c r="E262" s="420"/>
      <c r="F262" s="420"/>
      <c r="G262" s="420"/>
      <c r="H262" s="554"/>
      <c r="I262" s="40"/>
      <c r="J262" s="40"/>
      <c r="K262" s="40"/>
      <c r="L262" s="40"/>
      <c r="M262" s="40"/>
      <c r="N262" s="40"/>
      <c r="O262" s="40"/>
      <c r="P262" s="40"/>
      <c r="Q262" s="40"/>
      <c r="R262" s="40"/>
      <c r="S262" s="40"/>
      <c r="T262" s="40"/>
      <c r="U262" s="40"/>
      <c r="V262" s="119"/>
      <c r="W262" s="114"/>
      <c r="AE262" s="57"/>
      <c r="AH262" s="52"/>
      <c r="AJ262" s="119"/>
    </row>
    <row r="263" spans="1:36" ht="11.25" customHeight="1">
      <c r="A263" s="106"/>
      <c r="B263" s="420"/>
      <c r="C263" s="420"/>
      <c r="D263" s="420"/>
      <c r="E263" s="420"/>
      <c r="F263" s="420"/>
      <c r="G263" s="420"/>
      <c r="H263" s="554"/>
      <c r="I263" s="40"/>
      <c r="J263" s="40"/>
      <c r="K263" s="40"/>
      <c r="L263" s="40"/>
      <c r="M263" s="40"/>
      <c r="N263" s="40"/>
      <c r="O263" s="40"/>
      <c r="P263" s="40"/>
      <c r="Q263" s="40"/>
      <c r="R263" s="40"/>
      <c r="S263" s="40"/>
      <c r="T263" s="40"/>
      <c r="U263" s="40"/>
      <c r="V263" s="119"/>
      <c r="W263" s="114"/>
      <c r="AE263" s="57"/>
      <c r="AH263" s="52"/>
      <c r="AJ263" s="119"/>
    </row>
    <row r="264" spans="1:36" ht="11.25" customHeight="1">
      <c r="A264" s="106"/>
      <c r="B264" s="420"/>
      <c r="C264" s="420"/>
      <c r="D264" s="420"/>
      <c r="E264" s="420"/>
      <c r="F264" s="420"/>
      <c r="G264" s="420"/>
      <c r="H264" s="554"/>
      <c r="I264" s="40"/>
      <c r="J264" s="40"/>
      <c r="K264" s="40"/>
      <c r="L264" s="40"/>
      <c r="M264" s="40"/>
      <c r="N264" s="40"/>
      <c r="O264" s="40"/>
      <c r="P264" s="40"/>
      <c r="Q264" s="40"/>
      <c r="R264" s="40"/>
      <c r="S264" s="40"/>
      <c r="T264" s="40"/>
      <c r="U264" s="40"/>
      <c r="V264" s="119"/>
      <c r="W264" s="114"/>
      <c r="AE264" s="57"/>
      <c r="AH264" s="52"/>
      <c r="AJ264" s="119"/>
    </row>
    <row r="265" spans="1:36" ht="11.25" customHeight="1">
      <c r="A265" s="106"/>
      <c r="B265" s="420"/>
      <c r="C265" s="420"/>
      <c r="D265" s="420"/>
      <c r="E265" s="420"/>
      <c r="F265" s="420"/>
      <c r="G265" s="420"/>
      <c r="H265" s="554"/>
      <c r="I265" s="40"/>
      <c r="J265" s="40"/>
      <c r="K265" s="40"/>
      <c r="L265" s="40"/>
      <c r="M265" s="40"/>
      <c r="N265" s="40"/>
      <c r="O265" s="40"/>
      <c r="P265" s="40"/>
      <c r="Q265" s="40"/>
      <c r="R265" s="40"/>
      <c r="S265" s="40"/>
      <c r="T265" s="40"/>
      <c r="U265" s="40"/>
      <c r="V265" s="119"/>
      <c r="W265" s="114"/>
      <c r="AE265" s="57"/>
      <c r="AH265" s="52"/>
      <c r="AJ265" s="119"/>
    </row>
    <row r="266" spans="1:36" ht="11.25" customHeight="1">
      <c r="A266" s="106"/>
      <c r="B266" s="420"/>
      <c r="C266" s="420"/>
      <c r="D266" s="420"/>
      <c r="E266" s="420"/>
      <c r="F266" s="420"/>
      <c r="G266" s="420"/>
      <c r="H266" s="554"/>
      <c r="I266" s="40"/>
      <c r="J266" s="40"/>
      <c r="K266" s="40"/>
      <c r="L266" s="40"/>
      <c r="M266" s="40"/>
      <c r="N266" s="40"/>
      <c r="O266" s="40"/>
      <c r="P266" s="40"/>
      <c r="Q266" s="40"/>
      <c r="R266" s="40"/>
      <c r="S266" s="40"/>
      <c r="T266" s="40"/>
      <c r="U266" s="40"/>
      <c r="V266" s="119"/>
      <c r="W266" s="114"/>
      <c r="AE266" s="57"/>
      <c r="AH266" s="52"/>
      <c r="AJ266" s="119"/>
    </row>
    <row r="267" spans="1:36" ht="11.25" customHeight="1">
      <c r="A267" s="106"/>
      <c r="B267" s="420"/>
      <c r="C267" s="420"/>
      <c r="D267" s="420"/>
      <c r="E267" s="420"/>
      <c r="F267" s="420"/>
      <c r="G267" s="420"/>
      <c r="H267" s="554"/>
      <c r="I267" s="40"/>
      <c r="J267" s="40"/>
      <c r="K267" s="40"/>
      <c r="L267" s="40"/>
      <c r="M267" s="40"/>
      <c r="N267" s="40"/>
      <c r="O267" s="40"/>
      <c r="P267" s="40"/>
      <c r="Q267" s="40"/>
      <c r="R267" s="40"/>
      <c r="S267" s="40"/>
      <c r="T267" s="40"/>
      <c r="U267" s="40"/>
      <c r="V267" s="119"/>
      <c r="W267" s="114"/>
      <c r="AE267" s="57"/>
      <c r="AH267" s="52"/>
      <c r="AJ267" s="119"/>
    </row>
    <row r="268" spans="1:36" ht="11.25" customHeight="1">
      <c r="A268" s="106"/>
      <c r="B268" s="420"/>
      <c r="C268" s="420"/>
      <c r="D268" s="420"/>
      <c r="E268" s="420"/>
      <c r="F268" s="420"/>
      <c r="G268" s="420"/>
      <c r="H268" s="554"/>
      <c r="I268" s="40"/>
      <c r="J268" s="40"/>
      <c r="K268" s="40"/>
      <c r="L268" s="40"/>
      <c r="M268" s="40"/>
      <c r="N268" s="40"/>
      <c r="O268" s="40"/>
      <c r="P268" s="40"/>
      <c r="Q268" s="40"/>
      <c r="R268" s="40"/>
      <c r="S268" s="40"/>
      <c r="T268" s="40"/>
      <c r="U268" s="40"/>
      <c r="V268" s="119"/>
      <c r="W268" s="114"/>
      <c r="AE268" s="57"/>
      <c r="AH268" s="52"/>
      <c r="AJ268" s="119"/>
    </row>
    <row r="269" spans="1:36" ht="11.25" customHeight="1">
      <c r="A269" s="106"/>
      <c r="B269" s="420"/>
      <c r="C269" s="420"/>
      <c r="D269" s="420"/>
      <c r="E269" s="420"/>
      <c r="F269" s="420"/>
      <c r="G269" s="420"/>
      <c r="H269" s="554"/>
      <c r="I269" s="40"/>
      <c r="J269" s="40"/>
      <c r="K269" s="40"/>
      <c r="L269" s="40"/>
      <c r="M269" s="40"/>
      <c r="N269" s="40"/>
      <c r="O269" s="40"/>
      <c r="P269" s="40"/>
      <c r="Q269" s="40"/>
      <c r="R269" s="40"/>
      <c r="S269" s="40"/>
      <c r="T269" s="40"/>
      <c r="U269" s="40"/>
      <c r="V269" s="119"/>
      <c r="W269" s="114"/>
      <c r="AE269" s="57"/>
      <c r="AH269" s="52"/>
      <c r="AJ269" s="119"/>
    </row>
    <row r="270" spans="1:36" ht="11.25" customHeight="1">
      <c r="A270" s="106"/>
      <c r="B270" s="420"/>
      <c r="C270" s="420"/>
      <c r="D270" s="420"/>
      <c r="E270" s="420"/>
      <c r="F270" s="420"/>
      <c r="G270" s="420"/>
      <c r="H270" s="554"/>
      <c r="I270" s="40"/>
      <c r="J270" s="40"/>
      <c r="K270" s="40"/>
      <c r="L270" s="40"/>
      <c r="M270" s="40"/>
      <c r="N270" s="40"/>
      <c r="O270" s="40"/>
      <c r="P270" s="40"/>
      <c r="Q270" s="40"/>
      <c r="R270" s="40"/>
      <c r="S270" s="40"/>
      <c r="T270" s="40"/>
      <c r="U270" s="40"/>
      <c r="V270" s="119"/>
      <c r="W270" s="114"/>
      <c r="AE270" s="57"/>
      <c r="AH270" s="52"/>
      <c r="AJ270" s="119"/>
    </row>
    <row r="271" spans="1:36" ht="11.25" customHeight="1">
      <c r="A271" s="711"/>
      <c r="B271" s="712"/>
      <c r="C271" s="713"/>
      <c r="D271" s="713"/>
      <c r="E271" s="713"/>
      <c r="F271" s="152"/>
      <c r="G271" s="152"/>
      <c r="H271" s="714"/>
      <c r="I271" s="152"/>
      <c r="J271" s="152"/>
      <c r="K271" s="152"/>
      <c r="L271" s="152"/>
      <c r="M271" s="152"/>
      <c r="N271" s="152"/>
      <c r="O271" s="152"/>
      <c r="P271" s="152"/>
      <c r="Q271" s="152"/>
      <c r="R271" s="152"/>
      <c r="S271" s="859"/>
      <c r="T271" s="151"/>
      <c r="U271" s="151"/>
      <c r="V271" s="865"/>
      <c r="W271" s="114"/>
      <c r="AA271" s="135"/>
      <c r="AB271" s="135"/>
      <c r="AC271" s="135"/>
      <c r="AD271" s="135"/>
      <c r="AE271" s="868"/>
      <c r="AF271" s="135"/>
      <c r="AG271" s="135"/>
      <c r="AH271" s="136"/>
      <c r="AI271" s="136"/>
      <c r="AJ271" s="1333"/>
    </row>
    <row r="272" spans="1:36" ht="11.25" customHeight="1">
      <c r="J272" s="52"/>
      <c r="V272" s="52"/>
      <c r="W272" s="869"/>
      <c r="X272" s="135"/>
      <c r="Y272" s="135"/>
      <c r="Z272" s="135"/>
      <c r="AE272" s="57"/>
      <c r="AH272" s="52"/>
    </row>
    <row r="273" spans="1:65" ht="11.25" customHeight="1">
      <c r="J273" s="52"/>
      <c r="V273" s="52"/>
      <c r="AE273" s="57"/>
      <c r="AH273" s="52"/>
    </row>
    <row r="274" spans="1:65" ht="11.25" customHeight="1">
      <c r="J274" s="52"/>
      <c r="V274" s="52"/>
      <c r="AE274" s="57"/>
      <c r="AH274" s="52"/>
    </row>
    <row r="275" spans="1:65" ht="11.25" customHeight="1">
      <c r="J275" s="52"/>
      <c r="V275" s="52"/>
      <c r="AE275" s="57"/>
      <c r="AH275" s="52"/>
    </row>
    <row r="276" spans="1:65" s="55" customFormat="1" ht="11.2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X276" s="56"/>
      <c r="Y276" s="56"/>
      <c r="Z276" s="56"/>
      <c r="AA276" s="56"/>
      <c r="AB276" s="56"/>
      <c r="AC276" s="56"/>
      <c r="AD276" s="56"/>
      <c r="AE276" s="57"/>
      <c r="AF276" s="56"/>
      <c r="AG276" s="56"/>
      <c r="AH276" s="52"/>
      <c r="AI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c r="BM276" s="52"/>
    </row>
    <row r="277" spans="1:65" ht="11.25" customHeight="1">
      <c r="J277" s="52"/>
      <c r="V277" s="52"/>
      <c r="AE277" s="57"/>
      <c r="AH277" s="52"/>
    </row>
    <row r="278" spans="1:65" ht="11.25" customHeight="1">
      <c r="J278" s="52"/>
      <c r="V278" s="52"/>
      <c r="AE278" s="57"/>
      <c r="AH278" s="52"/>
    </row>
    <row r="279" spans="1:65" ht="11.25" customHeight="1">
      <c r="J279" s="52"/>
      <c r="V279" s="52"/>
      <c r="AE279" s="57"/>
      <c r="AH279" s="52"/>
    </row>
    <row r="280" spans="1:65" ht="11.25" customHeight="1">
      <c r="J280" s="52"/>
      <c r="V280" s="52"/>
      <c r="AE280" s="57"/>
      <c r="AH280" s="52"/>
    </row>
    <row r="281" spans="1:65" ht="11.25" customHeight="1">
      <c r="J281" s="52"/>
      <c r="V281" s="52"/>
      <c r="AE281" s="57"/>
      <c r="AH281" s="52"/>
    </row>
    <row r="282" spans="1:65" ht="11.25" customHeight="1">
      <c r="J282" s="52"/>
      <c r="V282" s="52"/>
      <c r="AE282" s="57"/>
      <c r="AH282" s="52"/>
    </row>
    <row r="283" spans="1:65" ht="11.25" customHeight="1">
      <c r="J283" s="52"/>
    </row>
    <row r="398" spans="37:37" ht="11.25" customHeight="1">
      <c r="AK398" s="52" t="b">
        <v>1</v>
      </c>
    </row>
  </sheetData>
  <sheetProtection sheet="1" objects="1" scenarios="1"/>
  <mergeCells count="50">
    <mergeCell ref="BG35:BK35"/>
    <mergeCell ref="A134:U134"/>
    <mergeCell ref="A136:U136"/>
    <mergeCell ref="BB35:BF35"/>
    <mergeCell ref="Y8:Y10"/>
    <mergeCell ref="Z8:Z10"/>
    <mergeCell ref="Q7:Q10"/>
    <mergeCell ref="B7:B10"/>
    <mergeCell ref="K7:P7"/>
    <mergeCell ref="O10:P10"/>
    <mergeCell ref="S7:T9"/>
    <mergeCell ref="G8:G9"/>
    <mergeCell ref="F8:F9"/>
    <mergeCell ref="E8:E9"/>
    <mergeCell ref="D8:D9"/>
    <mergeCell ref="O8:P9"/>
    <mergeCell ref="A233:U233"/>
    <mergeCell ref="B138:I139"/>
    <mergeCell ref="B107:B108"/>
    <mergeCell ref="AQ35:AQ37"/>
    <mergeCell ref="AD104:AH104"/>
    <mergeCell ref="Z72:Z73"/>
    <mergeCell ref="Q62:T62"/>
    <mergeCell ref="Y72:Y73"/>
    <mergeCell ref="AL35:AP35"/>
    <mergeCell ref="B202:H203"/>
    <mergeCell ref="L62:O62"/>
    <mergeCell ref="A67:U67"/>
    <mergeCell ref="A68:U68"/>
    <mergeCell ref="B163:H163"/>
    <mergeCell ref="A232:U232"/>
    <mergeCell ref="B105:H106"/>
    <mergeCell ref="N8:N9"/>
    <mergeCell ref="M8:M9"/>
    <mergeCell ref="B5:N6"/>
    <mergeCell ref="D7:H7"/>
    <mergeCell ref="I7:I10"/>
    <mergeCell ref="L8:L9"/>
    <mergeCell ref="K8:K9"/>
    <mergeCell ref="H8:H9"/>
    <mergeCell ref="A34:U34"/>
    <mergeCell ref="A35:U35"/>
    <mergeCell ref="A200:U200"/>
    <mergeCell ref="B171:B172"/>
    <mergeCell ref="B204:B205"/>
    <mergeCell ref="A102:U102"/>
    <mergeCell ref="A103:U103"/>
    <mergeCell ref="Q61:T61"/>
    <mergeCell ref="B169:H170"/>
    <mergeCell ref="L61:O61"/>
  </mergeCells>
  <conditionalFormatting sqref="A1:A233">
    <cfRule type="containsErrors" dxfId="542" priority="2">
      <formula>ISERROR(A1)</formula>
    </cfRule>
  </conditionalFormatting>
  <conditionalFormatting sqref="A11:A31">
    <cfRule type="cellIs" dxfId="541" priority="5" operator="equal">
      <formula>0</formula>
    </cfRule>
  </conditionalFormatting>
  <conditionalFormatting sqref="A35">
    <cfRule type="cellIs" dxfId="540" priority="58" operator="equal">
      <formula>0</formula>
    </cfRule>
  </conditionalFormatting>
  <conditionalFormatting sqref="A68">
    <cfRule type="cellIs" dxfId="539" priority="56" operator="equal">
      <formula>0</formula>
    </cfRule>
  </conditionalFormatting>
  <conditionalFormatting sqref="A103">
    <cfRule type="cellIs" dxfId="538" priority="54" operator="equal">
      <formula>0</formula>
    </cfRule>
  </conditionalFormatting>
  <conditionalFormatting sqref="A109:A129">
    <cfRule type="cellIs" dxfId="537" priority="3" operator="equal">
      <formula>0</formula>
    </cfRule>
  </conditionalFormatting>
  <conditionalFormatting sqref="A136">
    <cfRule type="cellIs" dxfId="536" priority="52" operator="equal">
      <formula>0</formula>
    </cfRule>
  </conditionalFormatting>
  <conditionalFormatting sqref="A141:A161">
    <cfRule type="cellIs" dxfId="535" priority="1" operator="equal">
      <formula>0</formula>
    </cfRule>
  </conditionalFormatting>
  <conditionalFormatting sqref="A173:A191 A206:A224">
    <cfRule type="cellIs" dxfId="534" priority="89" operator="equal">
      <formula>0</formula>
    </cfRule>
  </conditionalFormatting>
  <conditionalFormatting sqref="A200">
    <cfRule type="cellIs" dxfId="533" priority="48" operator="equal">
      <formula>0</formula>
    </cfRule>
  </conditionalFormatting>
  <conditionalFormatting sqref="A233">
    <cfRule type="cellIs" dxfId="532" priority="46" operator="equal">
      <formula>0</formula>
    </cfRule>
  </conditionalFormatting>
  <conditionalFormatting sqref="B11:B29 D11:H29 K11:O29 S11:T29 AF11:AG29 B48:C63 B109:B127 D109:H127 B141:B159 D141:H159 B173:B191 D173:H191 B206:B224 D206:H224 A284:A1048576">
    <cfRule type="containsErrors" dxfId="531" priority="1053">
      <formula>ISERROR(A11)</formula>
    </cfRule>
  </conditionalFormatting>
  <conditionalFormatting sqref="B11:B29 D11:I29 K11:O29 Q11:Q29 S11:T29 P11:P31 B48:C63 B109:B127 D109:H127 B141:B159 D141:H159 B173:B191 D173:H191 B206:B224 D206:H224">
    <cfRule type="expression" dxfId="530" priority="3759">
      <formula>$B11=$Y$4</formula>
    </cfRule>
  </conditionalFormatting>
  <conditionalFormatting sqref="D8:H8">
    <cfRule type="containsErrors" dxfId="529" priority="28">
      <formula>ISERROR(D8)</formula>
    </cfRule>
  </conditionalFormatting>
  <conditionalFormatting sqref="D10:H10">
    <cfRule type="containsErrors" dxfId="528" priority="30">
      <formula>ISERROR(D10)</formula>
    </cfRule>
  </conditionalFormatting>
  <conditionalFormatting sqref="D107:H107">
    <cfRule type="containsErrors" dxfId="527" priority="38">
      <formula>ISERROR(D107)</formula>
    </cfRule>
  </conditionalFormatting>
  <conditionalFormatting sqref="D108:H108">
    <cfRule type="containsErrors" dxfId="526" priority="39">
      <formula>ISERROR(D108)</formula>
    </cfRule>
  </conditionalFormatting>
  <conditionalFormatting sqref="D128:H128">
    <cfRule type="containsErrors" dxfId="525" priority="60">
      <formula>ISERROR(D128)</formula>
    </cfRule>
  </conditionalFormatting>
  <conditionalFormatting sqref="D129:H129">
    <cfRule type="containsErrors" dxfId="524" priority="61">
      <formula>ISERROR(D129)</formula>
    </cfRule>
  </conditionalFormatting>
  <conditionalFormatting sqref="D171:H171">
    <cfRule type="containsErrors" dxfId="523" priority="20">
      <formula>ISERROR(D171)</formula>
    </cfRule>
  </conditionalFormatting>
  <conditionalFormatting sqref="D172:H172">
    <cfRule type="containsErrors" dxfId="522" priority="21">
      <formula>ISERROR(D172)</formula>
    </cfRule>
  </conditionalFormatting>
  <conditionalFormatting sqref="D204:H204">
    <cfRule type="containsErrors" dxfId="521" priority="18">
      <formula>ISERROR(D204)</formula>
    </cfRule>
  </conditionalFormatting>
  <conditionalFormatting sqref="D205:H205">
    <cfRule type="containsErrors" dxfId="520" priority="19">
      <formula>ISERROR(D205)</formula>
    </cfRule>
  </conditionalFormatting>
  <conditionalFormatting sqref="D30:I30 K30:O30 Q30 D160:H160 D192:H192 D225:H225">
    <cfRule type="containsErrors" dxfId="519" priority="64">
      <formula>ISERROR(D30)</formula>
    </cfRule>
  </conditionalFormatting>
  <conditionalFormatting sqref="D31:I31 K31:O31 Q31 D161:H161 D193:H193 D226:H226">
    <cfRule type="containsErrors" dxfId="518" priority="65">
      <formula>ISERROR(D31)</formula>
    </cfRule>
  </conditionalFormatting>
  <conditionalFormatting sqref="G109:G121">
    <cfRule type="expression" dxfId="517" priority="3775">
      <formula>$K73=$Y$4</formula>
    </cfRule>
  </conditionalFormatting>
  <conditionalFormatting sqref="G122:G123">
    <cfRule type="expression" dxfId="516" priority="3796">
      <formula>$K87=$Y$4</formula>
    </cfRule>
  </conditionalFormatting>
  <conditionalFormatting sqref="G124:G127">
    <cfRule type="expression" dxfId="515" priority="3776">
      <formula>$K91=$Y$4</formula>
    </cfRule>
  </conditionalFormatting>
  <conditionalFormatting sqref="I11:I29 Q11:Q29">
    <cfRule type="containsErrors" dxfId="514" priority="1051">
      <formula>ISERROR(I11)</formula>
    </cfRule>
  </conditionalFormatting>
  <conditionalFormatting sqref="K8:O8">
    <cfRule type="containsErrors" dxfId="513" priority="27">
      <formula>ISERROR(K8)</formula>
    </cfRule>
  </conditionalFormatting>
  <conditionalFormatting sqref="K10:O10">
    <cfRule type="containsErrors" dxfId="512" priority="1054">
      <formula>ISERROR(K10)</formula>
    </cfRule>
  </conditionalFormatting>
  <conditionalFormatting sqref="P11:P31">
    <cfRule type="dataBar" priority="3758">
      <dataBar showValue="0">
        <cfvo type="min"/>
        <cfvo type="max"/>
        <color theme="9"/>
      </dataBar>
      <extLst>
        <ext xmlns:x14="http://schemas.microsoft.com/office/spreadsheetml/2009/9/main" uri="{B025F937-C7B1-47D3-B67F-A62EFF666E3E}">
          <x14:id>{DC9F9637-D530-4B01-9362-B2D66A9D2E91}</x14:id>
        </ext>
      </extLst>
    </cfRule>
    <cfRule type="containsErrors" dxfId="511" priority="3757">
      <formula>ISERROR(P11)</formula>
    </cfRule>
  </conditionalFormatting>
  <conditionalFormatting sqref="P30:P31">
    <cfRule type="containsErrors" dxfId="510" priority="33">
      <formula>ISERROR(P30)</formula>
    </cfRule>
  </conditionalFormatting>
  <conditionalFormatting sqref="S30:T30">
    <cfRule type="containsErrors" dxfId="509" priority="10">
      <formula>ISERROR(S30)</formula>
    </cfRule>
  </conditionalFormatting>
  <conditionalFormatting sqref="S31:T31">
    <cfRule type="containsErrors" dxfId="508" priority="9">
      <formula>ISERROR(S31)</formula>
    </cfRule>
  </conditionalFormatting>
  <conditionalFormatting sqref="X2:AC3">
    <cfRule type="containsErrors" dxfId="507" priority="7">
      <formula>ISERROR(X2)</formula>
    </cfRule>
  </conditionalFormatting>
  <conditionalFormatting sqref="AA10:AE10">
    <cfRule type="cellIs" dxfId="506" priority="22" stopIfTrue="1" operator="equal">
      <formula>0</formula>
    </cfRule>
  </conditionalFormatting>
  <conditionalFormatting sqref="AF11:AG22 AG12:AG23">
    <cfRule type="expression" dxfId="505" priority="73">
      <formula>$B11=$W$4</formula>
    </cfRule>
  </conditionalFormatting>
  <conditionalFormatting sqref="AG24">
    <cfRule type="expression" dxfId="504" priority="3755">
      <formula>#REF!=$W$4</formula>
    </cfRule>
  </conditionalFormatting>
  <conditionalFormatting sqref="AG25:AG27">
    <cfRule type="expression" dxfId="503" priority="3662">
      <formula>$B24=$W$4</formula>
    </cfRule>
  </conditionalFormatting>
  <conditionalFormatting sqref="AG28">
    <cfRule type="expression" dxfId="502" priority="1889">
      <formula>#REF!=$W$4</formula>
    </cfRule>
  </conditionalFormatting>
  <conditionalFormatting sqref="AG29">
    <cfRule type="expression" dxfId="501" priority="1888">
      <formula>$B26=$W$4</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5" manualBreakCount="5">
    <brk id="35" max="20" man="1"/>
    <brk id="68" max="20" man="1"/>
    <brk id="103" max="20" man="1"/>
    <brk id="136" max="20" man="1"/>
    <brk id="200" max="20" man="1"/>
  </rowBreaks>
  <ignoredErrors>
    <ignoredError sqref="A206:A218 A221:A225 A219:A22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macro="[0]!CheckBox1_Click" altText="">
                <anchor>
                  <from>
                    <xdr:col>22</xdr:col>
                    <xdr:colOff>104775</xdr:colOff>
                    <xdr:row>36</xdr:row>
                    <xdr:rowOff>19050</xdr:rowOff>
                  </from>
                  <to>
                    <xdr:col>35</xdr:col>
                    <xdr:colOff>76200</xdr:colOff>
                    <xdr:row>38</xdr:row>
                    <xdr:rowOff>0</xdr:rowOff>
                  </to>
                </anchor>
              </controlPr>
            </control>
          </mc:Choice>
        </mc:AlternateContent>
        <mc:AlternateContent xmlns:mc="http://schemas.openxmlformats.org/markup-compatibility/2006">
          <mc:Choice Requires="x14">
            <control shapeId="87042" r:id="rId5" name="Check Box 2">
              <controlPr defaultSize="0" autoFill="0" autoLine="0" autoPict="0" macro="[0]!CheckBox1_Click" altText="">
                <anchor>
                  <from>
                    <xdr:col>22</xdr:col>
                    <xdr:colOff>104775</xdr:colOff>
                    <xdr:row>37</xdr:row>
                    <xdr:rowOff>142875</xdr:rowOff>
                  </from>
                  <to>
                    <xdr:col>35</xdr:col>
                    <xdr:colOff>76200</xdr:colOff>
                    <xdr:row>39</xdr:row>
                    <xdr:rowOff>0</xdr:rowOff>
                  </to>
                </anchor>
              </controlPr>
            </control>
          </mc:Choice>
        </mc:AlternateContent>
        <mc:AlternateContent xmlns:mc="http://schemas.openxmlformats.org/markup-compatibility/2006">
          <mc:Choice Requires="x14">
            <control shapeId="87043" r:id="rId6" name="Check Box 3">
              <controlPr defaultSize="0" autoFill="0" autoLine="0" autoPict="0" macro="[0]!CheckBox1_Click" altText="">
                <anchor>
                  <from>
                    <xdr:col>22</xdr:col>
                    <xdr:colOff>104775</xdr:colOff>
                    <xdr:row>38</xdr:row>
                    <xdr:rowOff>142875</xdr:rowOff>
                  </from>
                  <to>
                    <xdr:col>35</xdr:col>
                    <xdr:colOff>76200</xdr:colOff>
                    <xdr:row>40</xdr:row>
                    <xdr:rowOff>0</xdr:rowOff>
                  </to>
                </anchor>
              </controlPr>
            </control>
          </mc:Choice>
        </mc:AlternateContent>
        <mc:AlternateContent xmlns:mc="http://schemas.openxmlformats.org/markup-compatibility/2006">
          <mc:Choice Requires="x14">
            <control shapeId="87044" r:id="rId7" name="Check Box 4">
              <controlPr defaultSize="0" autoFill="0" autoLine="0" autoPict="0" macro="[0]!CheckBox1_Click" altText="">
                <anchor>
                  <from>
                    <xdr:col>22</xdr:col>
                    <xdr:colOff>104775</xdr:colOff>
                    <xdr:row>39</xdr:row>
                    <xdr:rowOff>142875</xdr:rowOff>
                  </from>
                  <to>
                    <xdr:col>35</xdr:col>
                    <xdr:colOff>76200</xdr:colOff>
                    <xdr:row>41</xdr:row>
                    <xdr:rowOff>0</xdr:rowOff>
                  </to>
                </anchor>
              </controlPr>
            </control>
          </mc:Choice>
        </mc:AlternateContent>
        <mc:AlternateContent xmlns:mc="http://schemas.openxmlformats.org/markup-compatibility/2006">
          <mc:Choice Requires="x14">
            <control shapeId="87045" r:id="rId8" name="Check Box 5">
              <controlPr defaultSize="0" autoFill="0" autoLine="0" autoPict="0" macro="[0]!CheckBox1_Click" altText="">
                <anchor>
                  <from>
                    <xdr:col>22</xdr:col>
                    <xdr:colOff>104775</xdr:colOff>
                    <xdr:row>40</xdr:row>
                    <xdr:rowOff>142875</xdr:rowOff>
                  </from>
                  <to>
                    <xdr:col>35</xdr:col>
                    <xdr:colOff>76200</xdr:colOff>
                    <xdr:row>42</xdr:row>
                    <xdr:rowOff>0</xdr:rowOff>
                  </to>
                </anchor>
              </controlPr>
            </control>
          </mc:Choice>
        </mc:AlternateContent>
        <mc:AlternateContent xmlns:mc="http://schemas.openxmlformats.org/markup-compatibility/2006">
          <mc:Choice Requires="x14">
            <control shapeId="87046" r:id="rId9" name="Check Box 6">
              <controlPr defaultSize="0" autoFill="0" autoLine="0" autoPict="0" macro="[0]!CheckBox1_Click" altText="">
                <anchor>
                  <from>
                    <xdr:col>22</xdr:col>
                    <xdr:colOff>104775</xdr:colOff>
                    <xdr:row>41</xdr:row>
                    <xdr:rowOff>142875</xdr:rowOff>
                  </from>
                  <to>
                    <xdr:col>35</xdr:col>
                    <xdr:colOff>76200</xdr:colOff>
                    <xdr:row>43</xdr:row>
                    <xdr:rowOff>0</xdr:rowOff>
                  </to>
                </anchor>
              </controlPr>
            </control>
          </mc:Choice>
        </mc:AlternateContent>
        <mc:AlternateContent xmlns:mc="http://schemas.openxmlformats.org/markup-compatibility/2006">
          <mc:Choice Requires="x14">
            <control shapeId="87047" r:id="rId10" name="Check Box 7">
              <controlPr defaultSize="0" autoFill="0" autoLine="0" autoPict="0" macro="[0]!CheckBox1_Click" altText="">
                <anchor>
                  <from>
                    <xdr:col>22</xdr:col>
                    <xdr:colOff>104775</xdr:colOff>
                    <xdr:row>42</xdr:row>
                    <xdr:rowOff>142875</xdr:rowOff>
                  </from>
                  <to>
                    <xdr:col>35</xdr:col>
                    <xdr:colOff>76200</xdr:colOff>
                    <xdr:row>44</xdr:row>
                    <xdr:rowOff>0</xdr:rowOff>
                  </to>
                </anchor>
              </controlPr>
            </control>
          </mc:Choice>
        </mc:AlternateContent>
        <mc:AlternateContent xmlns:mc="http://schemas.openxmlformats.org/markup-compatibility/2006">
          <mc:Choice Requires="x14">
            <control shapeId="87048" r:id="rId11" name="Check Box 8">
              <controlPr defaultSize="0" autoFill="0" autoLine="0" autoPict="0" macro="[0]!CheckBox1_Click" altText="">
                <anchor>
                  <from>
                    <xdr:col>22</xdr:col>
                    <xdr:colOff>104775</xdr:colOff>
                    <xdr:row>43</xdr:row>
                    <xdr:rowOff>142875</xdr:rowOff>
                  </from>
                  <to>
                    <xdr:col>35</xdr:col>
                    <xdr:colOff>76200</xdr:colOff>
                    <xdr:row>45</xdr:row>
                    <xdr:rowOff>0</xdr:rowOff>
                  </to>
                </anchor>
              </controlPr>
            </control>
          </mc:Choice>
        </mc:AlternateContent>
        <mc:AlternateContent xmlns:mc="http://schemas.openxmlformats.org/markup-compatibility/2006">
          <mc:Choice Requires="x14">
            <control shapeId="87049" r:id="rId12" name="Check Box 9">
              <controlPr defaultSize="0" autoFill="0" autoLine="0" autoPict="0" macro="[0]!CheckBox1_Click" altText="">
                <anchor>
                  <from>
                    <xdr:col>22</xdr:col>
                    <xdr:colOff>104775</xdr:colOff>
                    <xdr:row>44</xdr:row>
                    <xdr:rowOff>142875</xdr:rowOff>
                  </from>
                  <to>
                    <xdr:col>35</xdr:col>
                    <xdr:colOff>76200</xdr:colOff>
                    <xdr:row>46</xdr:row>
                    <xdr:rowOff>0</xdr:rowOff>
                  </to>
                </anchor>
              </controlPr>
            </control>
          </mc:Choice>
        </mc:AlternateContent>
        <mc:AlternateContent xmlns:mc="http://schemas.openxmlformats.org/markup-compatibility/2006">
          <mc:Choice Requires="x14">
            <control shapeId="87050" r:id="rId13" name="Check Box 10">
              <controlPr defaultSize="0" autoFill="0" autoLine="0" autoPict="0" macro="[0]!CheckBox1_Click" altText="">
                <anchor>
                  <from>
                    <xdr:col>22</xdr:col>
                    <xdr:colOff>104775</xdr:colOff>
                    <xdr:row>45</xdr:row>
                    <xdr:rowOff>142875</xdr:rowOff>
                  </from>
                  <to>
                    <xdr:col>35</xdr:col>
                    <xdr:colOff>76200</xdr:colOff>
                    <xdr:row>47</xdr:row>
                    <xdr:rowOff>0</xdr:rowOff>
                  </to>
                </anchor>
              </controlPr>
            </control>
          </mc:Choice>
        </mc:AlternateContent>
        <mc:AlternateContent xmlns:mc="http://schemas.openxmlformats.org/markup-compatibility/2006">
          <mc:Choice Requires="x14">
            <control shapeId="87051" r:id="rId14" name="Check Box 11">
              <controlPr defaultSize="0" autoFill="0" autoLine="0" autoPict="0" macro="[0]!CheckBox1_Click" altText="">
                <anchor>
                  <from>
                    <xdr:col>22</xdr:col>
                    <xdr:colOff>104775</xdr:colOff>
                    <xdr:row>46</xdr:row>
                    <xdr:rowOff>142875</xdr:rowOff>
                  </from>
                  <to>
                    <xdr:col>35</xdr:col>
                    <xdr:colOff>76200</xdr:colOff>
                    <xdr:row>48</xdr:row>
                    <xdr:rowOff>0</xdr:rowOff>
                  </to>
                </anchor>
              </controlPr>
            </control>
          </mc:Choice>
        </mc:AlternateContent>
        <mc:AlternateContent xmlns:mc="http://schemas.openxmlformats.org/markup-compatibility/2006">
          <mc:Choice Requires="x14">
            <control shapeId="87052" r:id="rId15" name="Check Box 12">
              <controlPr defaultSize="0" autoFill="0" autoLine="0" autoPict="0" macro="[0]!CheckBox1_Click" altText="">
                <anchor>
                  <from>
                    <xdr:col>22</xdr:col>
                    <xdr:colOff>104775</xdr:colOff>
                    <xdr:row>47</xdr:row>
                    <xdr:rowOff>142875</xdr:rowOff>
                  </from>
                  <to>
                    <xdr:col>35</xdr:col>
                    <xdr:colOff>76200</xdr:colOff>
                    <xdr:row>49</xdr:row>
                    <xdr:rowOff>0</xdr:rowOff>
                  </to>
                </anchor>
              </controlPr>
            </control>
          </mc:Choice>
        </mc:AlternateContent>
        <mc:AlternateContent xmlns:mc="http://schemas.openxmlformats.org/markup-compatibility/2006">
          <mc:Choice Requires="x14">
            <control shapeId="87053" r:id="rId16" name="Check Box 13">
              <controlPr defaultSize="0" autoFill="0" autoLine="0" autoPict="0" macro="[0]!CheckBox1_Click" altText="">
                <anchor>
                  <from>
                    <xdr:col>22</xdr:col>
                    <xdr:colOff>104775</xdr:colOff>
                    <xdr:row>48</xdr:row>
                    <xdr:rowOff>142875</xdr:rowOff>
                  </from>
                  <to>
                    <xdr:col>35</xdr:col>
                    <xdr:colOff>76200</xdr:colOff>
                    <xdr:row>50</xdr:row>
                    <xdr:rowOff>0</xdr:rowOff>
                  </to>
                </anchor>
              </controlPr>
            </control>
          </mc:Choice>
        </mc:AlternateContent>
        <mc:AlternateContent xmlns:mc="http://schemas.openxmlformats.org/markup-compatibility/2006">
          <mc:Choice Requires="x14">
            <control shapeId="87055" r:id="rId17" name="Check Box 15">
              <controlPr defaultSize="0" autoFill="0" autoLine="0" autoPict="0" macro="[0]!CheckBox1_Click" altText="">
                <anchor>
                  <from>
                    <xdr:col>22</xdr:col>
                    <xdr:colOff>104775</xdr:colOff>
                    <xdr:row>49</xdr:row>
                    <xdr:rowOff>142875</xdr:rowOff>
                  </from>
                  <to>
                    <xdr:col>35</xdr:col>
                    <xdr:colOff>76200</xdr:colOff>
                    <xdr:row>51</xdr:row>
                    <xdr:rowOff>0</xdr:rowOff>
                  </to>
                </anchor>
              </controlPr>
            </control>
          </mc:Choice>
        </mc:AlternateContent>
        <mc:AlternateContent xmlns:mc="http://schemas.openxmlformats.org/markup-compatibility/2006">
          <mc:Choice Requires="x14">
            <control shapeId="87056" r:id="rId18" name="Check Box 16">
              <controlPr defaultSize="0" autoFill="0" autoLine="0" autoPict="0" macro="[0]!CheckBox1_Click" altText="">
                <anchor>
                  <from>
                    <xdr:col>22</xdr:col>
                    <xdr:colOff>104775</xdr:colOff>
                    <xdr:row>50</xdr:row>
                    <xdr:rowOff>142875</xdr:rowOff>
                  </from>
                  <to>
                    <xdr:col>35</xdr:col>
                    <xdr:colOff>76200</xdr:colOff>
                    <xdr:row>52</xdr:row>
                    <xdr:rowOff>0</xdr:rowOff>
                  </to>
                </anchor>
              </controlPr>
            </control>
          </mc:Choice>
        </mc:AlternateContent>
        <mc:AlternateContent xmlns:mc="http://schemas.openxmlformats.org/markup-compatibility/2006">
          <mc:Choice Requires="x14">
            <control shapeId="87057" r:id="rId19" name="Check Box 17">
              <controlPr defaultSize="0" autoFill="0" autoLine="0" autoPict="0" macro="[0]!CheckBox1_Click" altText="">
                <anchor>
                  <from>
                    <xdr:col>22</xdr:col>
                    <xdr:colOff>104775</xdr:colOff>
                    <xdr:row>51</xdr:row>
                    <xdr:rowOff>142875</xdr:rowOff>
                  </from>
                  <to>
                    <xdr:col>35</xdr:col>
                    <xdr:colOff>76200</xdr:colOff>
                    <xdr:row>53</xdr:row>
                    <xdr:rowOff>0</xdr:rowOff>
                  </to>
                </anchor>
              </controlPr>
            </control>
          </mc:Choice>
        </mc:AlternateContent>
        <mc:AlternateContent xmlns:mc="http://schemas.openxmlformats.org/markup-compatibility/2006">
          <mc:Choice Requires="x14">
            <control shapeId="87058" r:id="rId20" name="Check Box 18">
              <controlPr defaultSize="0" autoFill="0" autoLine="0" autoPict="0" macro="[0]!CheckBox1_Click" altText="">
                <anchor>
                  <from>
                    <xdr:col>22</xdr:col>
                    <xdr:colOff>104775</xdr:colOff>
                    <xdr:row>52</xdr:row>
                    <xdr:rowOff>152400</xdr:rowOff>
                  </from>
                  <to>
                    <xdr:col>35</xdr:col>
                    <xdr:colOff>76200</xdr:colOff>
                    <xdr:row>54</xdr:row>
                    <xdr:rowOff>9525</xdr:rowOff>
                  </to>
                </anchor>
              </controlPr>
            </control>
          </mc:Choice>
        </mc:AlternateContent>
        <mc:AlternateContent xmlns:mc="http://schemas.openxmlformats.org/markup-compatibility/2006">
          <mc:Choice Requires="x14">
            <control shapeId="87059" r:id="rId21" name="Check Box 19">
              <controlPr defaultSize="0" autoFill="0" autoLine="0" autoPict="0" macro="[0]!CheckBox1_Click" altText="">
                <anchor>
                  <from>
                    <xdr:col>22</xdr:col>
                    <xdr:colOff>104775</xdr:colOff>
                    <xdr:row>53</xdr:row>
                    <xdr:rowOff>152400</xdr:rowOff>
                  </from>
                  <to>
                    <xdr:col>35</xdr:col>
                    <xdr:colOff>76200</xdr:colOff>
                    <xdr:row>55</xdr:row>
                    <xdr:rowOff>9525</xdr:rowOff>
                  </to>
                </anchor>
              </controlPr>
            </control>
          </mc:Choice>
        </mc:AlternateContent>
        <mc:AlternateContent xmlns:mc="http://schemas.openxmlformats.org/markup-compatibility/2006">
          <mc:Choice Requires="x14">
            <control shapeId="87060" r:id="rId22" name="Check Box 20">
              <controlPr defaultSize="0" autoFill="0" autoLine="0" autoPict="0" macro="[0]!CheckBox1_Click" altText="">
                <anchor>
                  <from>
                    <xdr:col>22</xdr:col>
                    <xdr:colOff>104775</xdr:colOff>
                    <xdr:row>54</xdr:row>
                    <xdr:rowOff>152400</xdr:rowOff>
                  </from>
                  <to>
                    <xdr:col>35</xdr:col>
                    <xdr:colOff>76200</xdr:colOff>
                    <xdr:row>56</xdr:row>
                    <xdr:rowOff>9525</xdr:rowOff>
                  </to>
                </anchor>
              </controlPr>
            </control>
          </mc:Choice>
        </mc:AlternateContent>
        <mc:AlternateContent xmlns:mc="http://schemas.openxmlformats.org/markup-compatibility/2006">
          <mc:Choice Requires="x14">
            <control shapeId="87061" r:id="rId23" name="Check Box 21">
              <controlPr defaultSize="0" autoFill="0" autoLine="0" autoPict="0" macro="[0]!CheckBox1_Click" altText="">
                <anchor>
                  <from>
                    <xdr:col>22</xdr:col>
                    <xdr:colOff>104775</xdr:colOff>
                    <xdr:row>55</xdr:row>
                    <xdr:rowOff>152400</xdr:rowOff>
                  </from>
                  <to>
                    <xdr:col>35</xdr:col>
                    <xdr:colOff>76200</xdr:colOff>
                    <xdr:row>57</xdr:row>
                    <xdr:rowOff>9525</xdr:rowOff>
                  </to>
                </anchor>
              </controlPr>
            </control>
          </mc:Choice>
        </mc:AlternateContent>
        <mc:AlternateContent xmlns:mc="http://schemas.openxmlformats.org/markup-compatibility/2006">
          <mc:Choice Requires="x14">
            <control shapeId="87064" r:id="rId24" name="Check Box 24">
              <controlPr defaultSize="0" autoFill="0" autoLine="0" autoPict="0" macro="[0]!CheckBox1_Click" altText="">
                <anchor>
                  <from>
                    <xdr:col>22</xdr:col>
                    <xdr:colOff>104775</xdr:colOff>
                    <xdr:row>56</xdr:row>
                    <xdr:rowOff>152400</xdr:rowOff>
                  </from>
                  <to>
                    <xdr:col>35</xdr:col>
                    <xdr:colOff>76200</xdr:colOff>
                    <xdr:row>58</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DC9F9637-D530-4B01-9362-B2D66A9D2E91}">
            <x14:dataBar minLength="0" maxLength="100" gradient="0" negativeBarColorSameAsPositive="1">
              <x14:cfvo type="autoMin"/>
              <x14:cfvo type="autoMax"/>
              <x14:axisColor rgb="FF000000"/>
            </x14:dataBar>
          </x14:cfRule>
          <xm:sqref>P11:P31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66FFCC"/>
    <pageSetUpPr fitToPage="1"/>
  </sheetPr>
  <dimension ref="A1:X116"/>
  <sheetViews>
    <sheetView workbookViewId="0">
      <selection activeCell="B23" sqref="B23"/>
    </sheetView>
  </sheetViews>
  <sheetFormatPr defaultColWidth="9.140625" defaultRowHeight="12.75"/>
  <cols>
    <col min="1" max="1" width="8.28515625" style="290" bestFit="1" customWidth="1"/>
    <col min="2" max="2" width="40.42578125" style="332" customWidth="1"/>
    <col min="3" max="21" width="5.42578125" style="290" customWidth="1"/>
    <col min="22" max="22" width="6.140625" style="478" bestFit="1" customWidth="1"/>
    <col min="23" max="23" width="7" style="290" bestFit="1" customWidth="1"/>
    <col min="24" max="16384" width="9.140625" style="290"/>
  </cols>
  <sheetData>
    <row r="1" spans="1:23" ht="67.5">
      <c r="A1" s="472" t="str">
        <f>IF(ReportData!$C$3="Quarterly",ReportData!$E$24&amp;" "&amp;ReportData!$E$25,ReportData!$E$22)</f>
        <v>2020/21</v>
      </c>
      <c r="B1" s="472"/>
      <c r="C1" s="772" t="s">
        <v>792</v>
      </c>
      <c r="D1" s="772" t="s">
        <v>1034</v>
      </c>
      <c r="E1" s="772" t="s">
        <v>793</v>
      </c>
      <c r="F1" s="772" t="s">
        <v>794</v>
      </c>
      <c r="G1" s="772" t="s">
        <v>795</v>
      </c>
      <c r="H1" s="772" t="s">
        <v>796</v>
      </c>
      <c r="I1" s="772" t="s">
        <v>797</v>
      </c>
      <c r="J1" s="772" t="s">
        <v>798</v>
      </c>
      <c r="K1" s="772" t="s">
        <v>799</v>
      </c>
      <c r="L1" s="772" t="s">
        <v>800</v>
      </c>
      <c r="M1" s="772" t="s">
        <v>801</v>
      </c>
      <c r="N1" s="772" t="s">
        <v>802</v>
      </c>
      <c r="O1" s="772" t="s">
        <v>803</v>
      </c>
      <c r="P1" s="772" t="s">
        <v>804</v>
      </c>
      <c r="Q1" s="772" t="s">
        <v>805</v>
      </c>
      <c r="R1" s="772" t="s">
        <v>806</v>
      </c>
      <c r="S1" s="772" t="s">
        <v>807</v>
      </c>
      <c r="T1" s="772" t="s">
        <v>1035</v>
      </c>
      <c r="U1" s="772" t="s">
        <v>808</v>
      </c>
      <c r="V1" s="379" t="s">
        <v>1072</v>
      </c>
      <c r="W1" s="380" t="s">
        <v>809</v>
      </c>
    </row>
    <row r="2" spans="1:23" s="331" customFormat="1" ht="13.5">
      <c r="A2" s="803">
        <v>1</v>
      </c>
      <c r="B2" s="473" t="s">
        <v>474</v>
      </c>
      <c r="C2" s="817"/>
      <c r="D2" s="817"/>
      <c r="E2" s="817"/>
      <c r="F2" s="817"/>
      <c r="G2" s="817"/>
      <c r="H2" s="817"/>
      <c r="I2" s="817"/>
      <c r="J2" s="817"/>
      <c r="K2" s="817"/>
      <c r="L2" s="817"/>
      <c r="M2" s="817"/>
      <c r="N2" s="817"/>
      <c r="O2" s="817"/>
      <c r="P2" s="817"/>
      <c r="Q2" s="817"/>
      <c r="R2" s="817"/>
      <c r="S2" s="817"/>
      <c r="T2" s="381"/>
      <c r="U2" s="381"/>
      <c r="V2" s="818"/>
      <c r="W2" s="820"/>
    </row>
    <row r="3" spans="1:23" s="331" customFormat="1" ht="13.5">
      <c r="A3" s="803">
        <v>2</v>
      </c>
      <c r="B3" s="473" t="s">
        <v>212</v>
      </c>
      <c r="C3" s="817"/>
      <c r="D3" s="817"/>
      <c r="E3" s="817"/>
      <c r="F3" s="817"/>
      <c r="G3" s="817"/>
      <c r="H3" s="817"/>
      <c r="I3" s="817"/>
      <c r="J3" s="817"/>
      <c r="K3" s="817"/>
      <c r="L3" s="817"/>
      <c r="M3" s="817"/>
      <c r="N3" s="817"/>
      <c r="O3" s="817"/>
      <c r="P3" s="817"/>
      <c r="Q3" s="817"/>
      <c r="R3" s="817"/>
      <c r="S3" s="817"/>
      <c r="T3" s="817"/>
      <c r="U3" s="817"/>
      <c r="V3" s="818"/>
      <c r="W3" s="381"/>
    </row>
    <row r="4" spans="1:23" s="331" customFormat="1" ht="13.5">
      <c r="A4" s="803">
        <v>3</v>
      </c>
      <c r="B4" s="473" t="s">
        <v>213</v>
      </c>
      <c r="C4" s="817"/>
      <c r="D4" s="817"/>
      <c r="E4" s="817"/>
      <c r="F4" s="817"/>
      <c r="G4" s="817"/>
      <c r="H4" s="817"/>
      <c r="I4" s="817"/>
      <c r="J4" s="817"/>
      <c r="K4" s="817"/>
      <c r="L4" s="817"/>
      <c r="M4" s="817"/>
      <c r="N4" s="817"/>
      <c r="O4" s="817"/>
      <c r="P4" s="817"/>
      <c r="Q4" s="817"/>
      <c r="R4" s="817"/>
      <c r="S4" s="817"/>
      <c r="T4" s="817"/>
      <c r="U4" s="817"/>
      <c r="V4" s="818"/>
      <c r="W4" s="381"/>
    </row>
    <row r="5" spans="1:23" s="331" customFormat="1" ht="13.5">
      <c r="A5" s="803">
        <v>4</v>
      </c>
      <c r="B5" s="473" t="s">
        <v>214</v>
      </c>
      <c r="C5" s="817"/>
      <c r="D5" s="817"/>
      <c r="E5" s="817"/>
      <c r="F5" s="817"/>
      <c r="G5" s="817"/>
      <c r="H5" s="817"/>
      <c r="I5" s="817"/>
      <c r="J5" s="817"/>
      <c r="K5" s="817"/>
      <c r="L5" s="817"/>
      <c r="M5" s="817"/>
      <c r="N5" s="382"/>
      <c r="O5" s="817"/>
      <c r="P5" s="817"/>
      <c r="Q5" s="817"/>
      <c r="R5" s="383"/>
      <c r="S5" s="817"/>
      <c r="T5" s="817"/>
      <c r="U5" s="817"/>
      <c r="V5" s="818"/>
      <c r="W5" s="381"/>
    </row>
    <row r="6" spans="1:23" s="331" customFormat="1" ht="13.5">
      <c r="A6" s="803">
        <v>5</v>
      </c>
      <c r="B6" s="473" t="s">
        <v>215</v>
      </c>
      <c r="C6" s="817"/>
      <c r="D6" s="817"/>
      <c r="E6" s="817"/>
      <c r="F6" s="817"/>
      <c r="G6" s="817"/>
      <c r="H6" s="817"/>
      <c r="I6" s="817"/>
      <c r="J6" s="817"/>
      <c r="K6" s="817"/>
      <c r="L6" s="817"/>
      <c r="M6" s="817"/>
      <c r="N6" s="382"/>
      <c r="O6" s="817"/>
      <c r="P6" s="817"/>
      <c r="Q6" s="817"/>
      <c r="R6" s="383"/>
      <c r="S6" s="817"/>
      <c r="T6" s="817"/>
      <c r="U6" s="817"/>
      <c r="V6" s="818"/>
      <c r="W6" s="381"/>
    </row>
    <row r="7" spans="1:23" s="331" customFormat="1">
      <c r="A7" s="804">
        <v>6</v>
      </c>
      <c r="B7" s="475" t="s">
        <v>216</v>
      </c>
      <c r="C7" s="817"/>
      <c r="D7" s="817"/>
      <c r="E7" s="817"/>
      <c r="F7" s="817"/>
      <c r="G7" s="817"/>
      <c r="H7" s="817"/>
      <c r="I7" s="817"/>
      <c r="J7" s="817"/>
      <c r="K7" s="817"/>
      <c r="L7" s="817"/>
      <c r="M7" s="817"/>
      <c r="N7" s="382"/>
      <c r="O7" s="817"/>
      <c r="P7" s="817"/>
      <c r="Q7" s="817"/>
      <c r="R7" s="383"/>
      <c r="S7" s="817"/>
      <c r="T7" s="817"/>
      <c r="U7" s="817"/>
      <c r="V7" s="818"/>
      <c r="W7" s="381"/>
    </row>
    <row r="8" spans="1:23" s="331" customFormat="1" ht="13.5">
      <c r="A8" s="803">
        <v>7</v>
      </c>
      <c r="B8" s="473" t="s">
        <v>217</v>
      </c>
      <c r="C8" s="817"/>
      <c r="D8" s="817"/>
      <c r="E8" s="817"/>
      <c r="F8" s="817"/>
      <c r="G8" s="817"/>
      <c r="H8" s="817"/>
      <c r="I8" s="817"/>
      <c r="J8" s="817"/>
      <c r="K8" s="817"/>
      <c r="L8" s="817"/>
      <c r="M8" s="817"/>
      <c r="N8" s="382"/>
      <c r="O8" s="817"/>
      <c r="P8" s="817"/>
      <c r="Q8" s="817"/>
      <c r="R8" s="383"/>
      <c r="S8" s="817"/>
      <c r="T8" s="817"/>
      <c r="U8" s="817"/>
      <c r="V8" s="818"/>
      <c r="W8" s="381"/>
    </row>
    <row r="9" spans="1:23" s="331" customFormat="1" ht="13.5">
      <c r="A9" s="1544" t="s">
        <v>1109</v>
      </c>
      <c r="B9" s="838" t="s">
        <v>218</v>
      </c>
      <c r="C9" s="835">
        <v>1669</v>
      </c>
      <c r="D9" s="835">
        <v>2939</v>
      </c>
      <c r="E9" s="835">
        <v>10774</v>
      </c>
      <c r="F9" s="835">
        <v>3824</v>
      </c>
      <c r="G9" s="835">
        <v>21331</v>
      </c>
      <c r="H9" s="835">
        <v>2619</v>
      </c>
      <c r="I9" s="835">
        <v>18942</v>
      </c>
      <c r="J9" s="835">
        <v>3259</v>
      </c>
      <c r="K9" s="835">
        <v>2856</v>
      </c>
      <c r="L9" s="835">
        <v>6503</v>
      </c>
      <c r="M9" s="835">
        <v>2832</v>
      </c>
      <c r="N9" s="835">
        <v>2266</v>
      </c>
      <c r="O9" s="835">
        <v>3375</v>
      </c>
      <c r="P9" s="835">
        <v>4092</v>
      </c>
      <c r="Q9" s="835">
        <v>10428</v>
      </c>
      <c r="R9" s="835">
        <v>1451</v>
      </c>
      <c r="S9" s="835">
        <v>9152</v>
      </c>
      <c r="T9" s="835">
        <v>1481</v>
      </c>
      <c r="U9" s="835">
        <v>1348</v>
      </c>
      <c r="V9" s="834">
        <v>111141</v>
      </c>
      <c r="W9" s="836">
        <v>597760</v>
      </c>
    </row>
    <row r="10" spans="1:23" s="331" customFormat="1" ht="13.5">
      <c r="A10" s="1544" t="s">
        <v>1299</v>
      </c>
      <c r="B10" s="473" t="s">
        <v>219</v>
      </c>
      <c r="C10" s="817"/>
      <c r="D10" s="817"/>
      <c r="E10" s="817"/>
      <c r="F10" s="817"/>
      <c r="G10" s="817"/>
      <c r="H10" s="817"/>
      <c r="I10" s="817"/>
      <c r="J10" s="817"/>
      <c r="K10" s="817"/>
      <c r="L10" s="817"/>
      <c r="M10" s="817"/>
      <c r="N10" s="817"/>
      <c r="O10" s="817"/>
      <c r="P10" s="817"/>
      <c r="Q10" s="817"/>
      <c r="R10" s="817"/>
      <c r="S10" s="817"/>
      <c r="T10" s="817"/>
      <c r="U10" s="817"/>
      <c r="V10" s="818"/>
      <c r="W10" s="381"/>
    </row>
    <row r="11" spans="1:23" s="331" customFormat="1" ht="13.5">
      <c r="A11" s="1544" t="s">
        <v>1172</v>
      </c>
      <c r="B11" s="838" t="s">
        <v>942</v>
      </c>
      <c r="C11" s="835">
        <v>1549</v>
      </c>
      <c r="D11" s="835">
        <v>2505</v>
      </c>
      <c r="E11" s="835">
        <v>7733</v>
      </c>
      <c r="F11" s="835">
        <v>3748</v>
      </c>
      <c r="G11" s="835">
        <v>18240</v>
      </c>
      <c r="H11" s="835">
        <v>2348</v>
      </c>
      <c r="I11" s="835">
        <v>18888</v>
      </c>
      <c r="J11" s="835">
        <v>2889</v>
      </c>
      <c r="K11" s="835">
        <v>2654</v>
      </c>
      <c r="L11" s="835">
        <v>5727</v>
      </c>
      <c r="M11" s="835">
        <v>2832</v>
      </c>
      <c r="N11" s="835">
        <v>2247</v>
      </c>
      <c r="O11" s="835">
        <v>3338</v>
      </c>
      <c r="P11" s="835">
        <v>3360</v>
      </c>
      <c r="Q11" s="835">
        <v>9807</v>
      </c>
      <c r="R11" s="835">
        <v>1451</v>
      </c>
      <c r="S11" s="835">
        <v>9152</v>
      </c>
      <c r="T11" s="835">
        <v>1418</v>
      </c>
      <c r="U11" s="835">
        <v>1311</v>
      </c>
      <c r="V11" s="834">
        <v>101197</v>
      </c>
      <c r="W11" s="836">
        <v>562140</v>
      </c>
    </row>
    <row r="12" spans="1:23" s="331" customFormat="1" ht="13.5">
      <c r="A12" s="727"/>
      <c r="B12" s="474" t="s">
        <v>210</v>
      </c>
      <c r="C12" s="819"/>
      <c r="D12" s="819"/>
      <c r="E12" s="819"/>
      <c r="F12" s="819"/>
      <c r="G12" s="819"/>
      <c r="H12" s="819"/>
      <c r="I12" s="819"/>
      <c r="J12" s="819"/>
      <c r="K12" s="819"/>
      <c r="L12" s="819"/>
      <c r="M12" s="819"/>
      <c r="N12" s="819"/>
      <c r="O12" s="819"/>
      <c r="P12" s="819"/>
      <c r="Q12" s="819"/>
      <c r="R12" s="819"/>
      <c r="S12" s="819"/>
      <c r="T12" s="819"/>
      <c r="U12" s="819"/>
      <c r="V12" s="819"/>
      <c r="W12" s="725"/>
    </row>
    <row r="13" spans="1:23" s="331" customFormat="1" ht="13.5">
      <c r="A13" s="1544" t="s">
        <v>1158</v>
      </c>
      <c r="B13" s="838" t="s">
        <v>220</v>
      </c>
      <c r="C13" s="826">
        <v>142</v>
      </c>
      <c r="D13" s="835">
        <v>140</v>
      </c>
      <c r="E13" s="835">
        <v>931</v>
      </c>
      <c r="F13" s="835">
        <v>378</v>
      </c>
      <c r="G13" s="835">
        <v>2444</v>
      </c>
      <c r="H13" s="835">
        <v>261</v>
      </c>
      <c r="I13" s="835">
        <v>1815</v>
      </c>
      <c r="J13" s="835">
        <v>263</v>
      </c>
      <c r="K13" s="835">
        <v>269</v>
      </c>
      <c r="L13" s="835">
        <v>424</v>
      </c>
      <c r="M13" s="835">
        <v>211</v>
      </c>
      <c r="N13" s="835">
        <v>118</v>
      </c>
      <c r="O13" s="835">
        <v>88</v>
      </c>
      <c r="P13" s="835">
        <v>133</v>
      </c>
      <c r="Q13" s="835">
        <v>844</v>
      </c>
      <c r="R13" s="835">
        <v>130</v>
      </c>
      <c r="S13" s="835">
        <v>901</v>
      </c>
      <c r="T13" s="835">
        <v>53</v>
      </c>
      <c r="U13" s="840">
        <v>84</v>
      </c>
      <c r="V13" s="834">
        <v>9629</v>
      </c>
      <c r="W13" s="836">
        <v>50940</v>
      </c>
    </row>
    <row r="14" spans="1:23" s="331" customFormat="1" ht="13.5">
      <c r="A14" s="1544" t="s">
        <v>1159</v>
      </c>
      <c r="B14" s="476" t="s">
        <v>221</v>
      </c>
      <c r="C14" s="383"/>
      <c r="D14" s="817"/>
      <c r="E14" s="817"/>
      <c r="F14" s="817"/>
      <c r="G14" s="817"/>
      <c r="H14" s="817"/>
      <c r="I14" s="817"/>
      <c r="J14" s="817"/>
      <c r="K14" s="817"/>
      <c r="L14" s="817"/>
      <c r="M14" s="817"/>
      <c r="N14" s="385"/>
      <c r="O14" s="817"/>
      <c r="P14" s="817"/>
      <c r="Q14" s="817"/>
      <c r="R14" s="384"/>
      <c r="S14" s="817"/>
      <c r="T14" s="817"/>
      <c r="U14" s="817"/>
      <c r="V14" s="818"/>
      <c r="W14" s="381"/>
    </row>
    <row r="15" spans="1:23" s="331" customFormat="1" ht="13.5">
      <c r="A15" s="1544" t="s">
        <v>1160</v>
      </c>
      <c r="B15" s="476" t="s">
        <v>222</v>
      </c>
      <c r="C15" s="383"/>
      <c r="D15" s="817"/>
      <c r="E15" s="817"/>
      <c r="F15" s="817"/>
      <c r="G15" s="817"/>
      <c r="H15" s="817"/>
      <c r="I15" s="817"/>
      <c r="J15" s="817"/>
      <c r="K15" s="817"/>
      <c r="L15" s="817"/>
      <c r="M15" s="817"/>
      <c r="N15" s="385"/>
      <c r="O15" s="817"/>
      <c r="P15" s="817"/>
      <c r="Q15" s="817"/>
      <c r="R15" s="384"/>
      <c r="S15" s="817"/>
      <c r="T15" s="817"/>
      <c r="U15" s="817"/>
      <c r="V15" s="818"/>
      <c r="W15" s="381"/>
    </row>
    <row r="16" spans="1:23" s="331" customFormat="1" ht="13.5">
      <c r="A16" s="1544" t="s">
        <v>1161</v>
      </c>
      <c r="B16" s="476" t="s">
        <v>223</v>
      </c>
      <c r="C16" s="384"/>
      <c r="D16" s="817"/>
      <c r="E16" s="817"/>
      <c r="F16" s="817"/>
      <c r="G16" s="817"/>
      <c r="H16" s="817"/>
      <c r="I16" s="817"/>
      <c r="J16" s="817"/>
      <c r="K16" s="817"/>
      <c r="L16" s="817"/>
      <c r="M16" s="817"/>
      <c r="N16" s="385"/>
      <c r="O16" s="817"/>
      <c r="P16" s="817"/>
      <c r="Q16" s="817"/>
      <c r="R16" s="384"/>
      <c r="S16" s="817"/>
      <c r="T16" s="817"/>
      <c r="U16" s="817"/>
      <c r="V16" s="818"/>
      <c r="W16" s="381"/>
    </row>
    <row r="17" spans="1:23" s="331" customFormat="1" ht="13.5">
      <c r="A17" s="1544" t="s">
        <v>1114</v>
      </c>
      <c r="B17" s="838" t="s">
        <v>224</v>
      </c>
      <c r="C17" s="826">
        <v>260</v>
      </c>
      <c r="D17" s="835">
        <v>255</v>
      </c>
      <c r="E17" s="835">
        <v>1704</v>
      </c>
      <c r="F17" s="835">
        <v>365</v>
      </c>
      <c r="G17" s="835">
        <v>4135</v>
      </c>
      <c r="H17" s="835">
        <v>699</v>
      </c>
      <c r="I17" s="835">
        <v>2783</v>
      </c>
      <c r="J17" s="835">
        <v>532</v>
      </c>
      <c r="K17" s="835">
        <v>398</v>
      </c>
      <c r="L17" s="835">
        <v>323</v>
      </c>
      <c r="M17" s="835">
        <v>522</v>
      </c>
      <c r="N17" s="827">
        <v>313</v>
      </c>
      <c r="O17" s="835">
        <v>536</v>
      </c>
      <c r="P17" s="835">
        <v>666</v>
      </c>
      <c r="Q17" s="835">
        <v>1374</v>
      </c>
      <c r="R17" s="826">
        <v>195</v>
      </c>
      <c r="S17" s="835">
        <v>1268</v>
      </c>
      <c r="T17" s="835">
        <v>193</v>
      </c>
      <c r="U17" s="840">
        <v>222</v>
      </c>
      <c r="V17" s="834">
        <v>16743</v>
      </c>
      <c r="W17" s="836">
        <v>81180</v>
      </c>
    </row>
    <row r="18" spans="1:23" s="331" customFormat="1" ht="13.5">
      <c r="A18" s="1544" t="s">
        <v>1115</v>
      </c>
      <c r="B18" s="838" t="s">
        <v>225</v>
      </c>
      <c r="C18" s="826">
        <v>13</v>
      </c>
      <c r="D18" s="835">
        <v>87</v>
      </c>
      <c r="E18" s="835">
        <v>46</v>
      </c>
      <c r="F18" s="835">
        <v>118</v>
      </c>
      <c r="G18" s="835">
        <v>0</v>
      </c>
      <c r="H18" s="835">
        <v>7</v>
      </c>
      <c r="I18" s="835">
        <v>54</v>
      </c>
      <c r="J18" s="835">
        <v>19</v>
      </c>
      <c r="K18" s="835">
        <v>39</v>
      </c>
      <c r="L18" s="835">
        <v>714</v>
      </c>
      <c r="M18" s="835">
        <v>0</v>
      </c>
      <c r="N18" s="827">
        <v>57</v>
      </c>
      <c r="O18" s="835">
        <v>32</v>
      </c>
      <c r="P18" s="835">
        <v>0</v>
      </c>
      <c r="Q18" s="835">
        <v>70</v>
      </c>
      <c r="R18" s="826">
        <v>28</v>
      </c>
      <c r="S18" s="835">
        <v>0</v>
      </c>
      <c r="T18" s="835">
        <v>0</v>
      </c>
      <c r="U18" s="840">
        <v>6</v>
      </c>
      <c r="V18" s="834">
        <v>1290</v>
      </c>
      <c r="W18" s="836">
        <v>8490</v>
      </c>
    </row>
    <row r="19" spans="1:23" s="331" customFormat="1" ht="13.5">
      <c r="A19" s="1544" t="s">
        <v>1162</v>
      </c>
      <c r="B19" s="838" t="s">
        <v>226</v>
      </c>
      <c r="C19" s="826">
        <v>277</v>
      </c>
      <c r="D19" s="835">
        <v>373</v>
      </c>
      <c r="E19" s="835">
        <v>2007</v>
      </c>
      <c r="F19" s="835">
        <v>432</v>
      </c>
      <c r="G19" s="835">
        <v>4213</v>
      </c>
      <c r="H19" s="835">
        <v>347</v>
      </c>
      <c r="I19" s="835">
        <v>2713</v>
      </c>
      <c r="J19" s="835">
        <v>382</v>
      </c>
      <c r="K19" s="835">
        <v>461</v>
      </c>
      <c r="L19" s="835">
        <v>786</v>
      </c>
      <c r="M19" s="835">
        <v>473</v>
      </c>
      <c r="N19" s="827">
        <v>412</v>
      </c>
      <c r="O19" s="835">
        <v>653</v>
      </c>
      <c r="P19" s="835">
        <v>564</v>
      </c>
      <c r="Q19" s="835">
        <v>1882</v>
      </c>
      <c r="R19" s="826">
        <v>213</v>
      </c>
      <c r="S19" s="835">
        <v>1188</v>
      </c>
      <c r="T19" s="835">
        <v>134</v>
      </c>
      <c r="U19" s="840">
        <v>223</v>
      </c>
      <c r="V19" s="834">
        <v>17733</v>
      </c>
      <c r="W19" s="836">
        <v>95670</v>
      </c>
    </row>
    <row r="20" spans="1:23" s="331" customFormat="1" ht="13.5">
      <c r="A20" s="1544" t="s">
        <v>1163</v>
      </c>
      <c r="B20" s="476" t="s">
        <v>227</v>
      </c>
      <c r="C20" s="383"/>
      <c r="D20" s="817"/>
      <c r="E20" s="817"/>
      <c r="F20" s="817"/>
      <c r="G20" s="817"/>
      <c r="H20" s="817"/>
      <c r="I20" s="817"/>
      <c r="J20" s="817"/>
      <c r="K20" s="817"/>
      <c r="L20" s="817"/>
      <c r="M20" s="817"/>
      <c r="N20" s="385"/>
      <c r="O20" s="817"/>
      <c r="P20" s="817"/>
      <c r="Q20" s="817"/>
      <c r="R20" s="384"/>
      <c r="S20" s="817"/>
      <c r="T20" s="817"/>
      <c r="U20" s="817"/>
      <c r="V20" s="818"/>
      <c r="W20" s="381"/>
    </row>
    <row r="21" spans="1:23" s="331" customFormat="1" ht="13.5">
      <c r="A21" s="1544" t="s">
        <v>1164</v>
      </c>
      <c r="B21" s="476" t="s">
        <v>228</v>
      </c>
      <c r="C21" s="384"/>
      <c r="D21" s="817"/>
      <c r="E21" s="817"/>
      <c r="F21" s="817"/>
      <c r="G21" s="817"/>
      <c r="H21" s="817"/>
      <c r="I21" s="817"/>
      <c r="J21" s="817"/>
      <c r="K21" s="817"/>
      <c r="L21" s="817"/>
      <c r="M21" s="817"/>
      <c r="N21" s="385"/>
      <c r="O21" s="817"/>
      <c r="P21" s="817"/>
      <c r="Q21" s="817"/>
      <c r="R21" s="384"/>
      <c r="S21" s="817"/>
      <c r="T21" s="817"/>
      <c r="U21" s="817"/>
      <c r="V21" s="818"/>
      <c r="W21" s="381"/>
    </row>
    <row r="22" spans="1:23" s="331" customFormat="1" ht="13.5">
      <c r="A22" s="1544" t="s">
        <v>1165</v>
      </c>
      <c r="B22" s="476" t="s">
        <v>229</v>
      </c>
      <c r="C22" s="383"/>
      <c r="D22" s="817"/>
      <c r="E22" s="817"/>
      <c r="F22" s="817"/>
      <c r="G22" s="817"/>
      <c r="H22" s="817"/>
      <c r="I22" s="817"/>
      <c r="J22" s="817"/>
      <c r="K22" s="817"/>
      <c r="L22" s="817"/>
      <c r="M22" s="817"/>
      <c r="N22" s="385"/>
      <c r="O22" s="817"/>
      <c r="P22" s="817"/>
      <c r="Q22" s="817"/>
      <c r="R22" s="384"/>
      <c r="S22" s="817"/>
      <c r="T22" s="817"/>
      <c r="U22" s="817"/>
      <c r="V22" s="818"/>
      <c r="W22" s="381"/>
    </row>
    <row r="23" spans="1:23" s="331" customFormat="1" ht="13.5">
      <c r="A23" s="1544" t="s">
        <v>1166</v>
      </c>
      <c r="B23" s="476" t="s">
        <v>230</v>
      </c>
      <c r="C23" s="383"/>
      <c r="D23" s="817"/>
      <c r="E23" s="817"/>
      <c r="F23" s="817"/>
      <c r="G23" s="817"/>
      <c r="H23" s="817"/>
      <c r="I23" s="817"/>
      <c r="J23" s="817"/>
      <c r="K23" s="817"/>
      <c r="L23" s="817"/>
      <c r="M23" s="817"/>
      <c r="N23" s="385"/>
      <c r="O23" s="817"/>
      <c r="P23" s="817"/>
      <c r="Q23" s="817"/>
      <c r="R23" s="384"/>
      <c r="S23" s="817"/>
      <c r="T23" s="817"/>
      <c r="U23" s="817"/>
      <c r="V23" s="818"/>
      <c r="W23" s="381"/>
    </row>
    <row r="24" spans="1:23" s="331" customFormat="1" ht="13.5">
      <c r="A24" s="1544" t="s">
        <v>1167</v>
      </c>
      <c r="B24" s="476" t="s">
        <v>231</v>
      </c>
      <c r="C24" s="384"/>
      <c r="D24" s="817"/>
      <c r="E24" s="817"/>
      <c r="F24" s="817"/>
      <c r="G24" s="817"/>
      <c r="H24" s="817"/>
      <c r="I24" s="817"/>
      <c r="J24" s="817"/>
      <c r="K24" s="817"/>
      <c r="L24" s="817"/>
      <c r="M24" s="817"/>
      <c r="N24" s="385"/>
      <c r="O24" s="817"/>
      <c r="P24" s="817"/>
      <c r="Q24" s="817"/>
      <c r="R24" s="384"/>
      <c r="S24" s="817"/>
      <c r="T24" s="817"/>
      <c r="U24" s="817"/>
      <c r="V24" s="818"/>
      <c r="W24" s="381"/>
    </row>
    <row r="25" spans="1:23" s="331" customFormat="1" ht="13.5">
      <c r="A25" s="1544" t="s">
        <v>1117</v>
      </c>
      <c r="B25" s="838" t="s">
        <v>232</v>
      </c>
      <c r="C25" s="826">
        <v>25</v>
      </c>
      <c r="D25" s="835">
        <v>34</v>
      </c>
      <c r="E25" s="835">
        <v>102</v>
      </c>
      <c r="F25" s="835">
        <v>63</v>
      </c>
      <c r="G25" s="835">
        <v>176</v>
      </c>
      <c r="H25" s="835">
        <v>32</v>
      </c>
      <c r="I25" s="835">
        <v>351</v>
      </c>
      <c r="J25" s="835">
        <v>17</v>
      </c>
      <c r="K25" s="835">
        <v>0</v>
      </c>
      <c r="L25" s="835">
        <v>44</v>
      </c>
      <c r="M25" s="835">
        <v>50</v>
      </c>
      <c r="N25" s="827">
        <v>42</v>
      </c>
      <c r="O25" s="835">
        <v>13</v>
      </c>
      <c r="P25" s="835">
        <v>0</v>
      </c>
      <c r="Q25" s="835">
        <v>62</v>
      </c>
      <c r="R25" s="826">
        <v>13</v>
      </c>
      <c r="S25" s="835">
        <v>104</v>
      </c>
      <c r="T25" s="835">
        <v>0</v>
      </c>
      <c r="U25" s="840">
        <v>13</v>
      </c>
      <c r="V25" s="834">
        <v>1141</v>
      </c>
      <c r="W25" s="836">
        <v>6550</v>
      </c>
    </row>
    <row r="26" spans="1:23" s="331" customFormat="1" ht="13.5">
      <c r="A26" s="1544" t="s">
        <v>1168</v>
      </c>
      <c r="B26" s="838" t="s">
        <v>233</v>
      </c>
      <c r="C26" s="826">
        <v>304</v>
      </c>
      <c r="D26" s="835">
        <v>460</v>
      </c>
      <c r="E26" s="835">
        <v>1122</v>
      </c>
      <c r="F26" s="835">
        <v>758</v>
      </c>
      <c r="G26" s="835">
        <v>1780</v>
      </c>
      <c r="H26" s="835">
        <v>248</v>
      </c>
      <c r="I26" s="835">
        <v>2584</v>
      </c>
      <c r="J26" s="835">
        <v>499</v>
      </c>
      <c r="K26" s="835">
        <v>372</v>
      </c>
      <c r="L26" s="835">
        <v>1444</v>
      </c>
      <c r="M26" s="835">
        <v>455</v>
      </c>
      <c r="N26" s="827">
        <v>301</v>
      </c>
      <c r="O26" s="835">
        <v>456</v>
      </c>
      <c r="P26" s="835">
        <v>925</v>
      </c>
      <c r="Q26" s="835">
        <v>1057</v>
      </c>
      <c r="R26" s="826">
        <v>298</v>
      </c>
      <c r="S26" s="835">
        <v>2163</v>
      </c>
      <c r="T26" s="835">
        <v>590</v>
      </c>
      <c r="U26" s="840">
        <v>166</v>
      </c>
      <c r="V26" s="834">
        <v>15982</v>
      </c>
      <c r="W26" s="836">
        <v>87260</v>
      </c>
    </row>
    <row r="27" spans="1:23" s="331" customFormat="1" ht="13.5">
      <c r="A27" s="1544" t="s">
        <v>1169</v>
      </c>
      <c r="B27" s="476" t="s">
        <v>234</v>
      </c>
      <c r="C27" s="383"/>
      <c r="D27" s="817"/>
      <c r="E27" s="817"/>
      <c r="F27" s="817"/>
      <c r="G27" s="817"/>
      <c r="H27" s="817"/>
      <c r="I27" s="817"/>
      <c r="J27" s="817"/>
      <c r="K27" s="817"/>
      <c r="L27" s="817"/>
      <c r="M27" s="817"/>
      <c r="N27" s="385"/>
      <c r="O27" s="817"/>
      <c r="P27" s="817"/>
      <c r="Q27" s="817"/>
      <c r="R27" s="384"/>
      <c r="S27" s="817"/>
      <c r="T27" s="817"/>
      <c r="U27" s="817"/>
      <c r="V27" s="818"/>
      <c r="W27" s="381"/>
    </row>
    <row r="28" spans="1:23" s="331" customFormat="1" ht="13.5">
      <c r="A28" s="1544" t="s">
        <v>1170</v>
      </c>
      <c r="B28" s="476" t="s">
        <v>235</v>
      </c>
      <c r="C28" s="383"/>
      <c r="D28" s="817"/>
      <c r="E28" s="817"/>
      <c r="F28" s="817"/>
      <c r="G28" s="817"/>
      <c r="H28" s="817"/>
      <c r="I28" s="817"/>
      <c r="J28" s="817"/>
      <c r="K28" s="817"/>
      <c r="L28" s="817"/>
      <c r="M28" s="817"/>
      <c r="N28" s="385"/>
      <c r="O28" s="817"/>
      <c r="P28" s="817"/>
      <c r="Q28" s="817"/>
      <c r="R28" s="384"/>
      <c r="S28" s="817"/>
      <c r="T28" s="817"/>
      <c r="U28" s="817"/>
      <c r="V28" s="818"/>
      <c r="W28" s="381"/>
    </row>
    <row r="29" spans="1:23" s="331" customFormat="1" ht="13.5">
      <c r="A29" s="1544" t="s">
        <v>1171</v>
      </c>
      <c r="B29" s="476" t="s">
        <v>1326</v>
      </c>
      <c r="C29" s="384"/>
      <c r="D29" s="817"/>
      <c r="E29" s="817"/>
      <c r="F29" s="817"/>
      <c r="G29" s="817"/>
      <c r="H29" s="817"/>
      <c r="I29" s="817"/>
      <c r="J29" s="817"/>
      <c r="K29" s="817"/>
      <c r="L29" s="817"/>
      <c r="M29" s="817"/>
      <c r="N29" s="385"/>
      <c r="O29" s="817"/>
      <c r="P29" s="817"/>
      <c r="Q29" s="817"/>
      <c r="R29" s="384"/>
      <c r="S29" s="817"/>
      <c r="T29" s="817"/>
      <c r="U29" s="817"/>
      <c r="V29" s="818"/>
      <c r="W29" s="381"/>
    </row>
    <row r="30" spans="1:23" s="331" customFormat="1" ht="13.5">
      <c r="A30" s="1544" t="s">
        <v>1119</v>
      </c>
      <c r="B30" s="838" t="s">
        <v>236</v>
      </c>
      <c r="C30" s="826">
        <v>508</v>
      </c>
      <c r="D30" s="835">
        <v>1093</v>
      </c>
      <c r="E30" s="835">
        <v>3820</v>
      </c>
      <c r="F30" s="835">
        <v>1226</v>
      </c>
      <c r="G30" s="835">
        <v>5698</v>
      </c>
      <c r="H30" s="835">
        <v>599</v>
      </c>
      <c r="I30" s="835">
        <v>5821</v>
      </c>
      <c r="J30" s="835">
        <v>1206</v>
      </c>
      <c r="K30" s="835">
        <v>1064</v>
      </c>
      <c r="L30" s="835">
        <v>2194</v>
      </c>
      <c r="M30" s="835">
        <v>792</v>
      </c>
      <c r="N30" s="827">
        <v>836</v>
      </c>
      <c r="O30" s="835">
        <v>1244</v>
      </c>
      <c r="P30" s="835">
        <v>1394</v>
      </c>
      <c r="Q30" s="835">
        <v>3924</v>
      </c>
      <c r="R30" s="826">
        <v>478</v>
      </c>
      <c r="S30" s="835">
        <v>2559</v>
      </c>
      <c r="T30" s="835">
        <v>425</v>
      </c>
      <c r="U30" s="840">
        <v>492</v>
      </c>
      <c r="V30" s="834">
        <v>35373</v>
      </c>
      <c r="W30" s="836">
        <v>195270</v>
      </c>
    </row>
    <row r="31" spans="1:23" s="331" customFormat="1" ht="13.5">
      <c r="A31" s="1544" t="s">
        <v>1120</v>
      </c>
      <c r="B31" s="838" t="s">
        <v>237</v>
      </c>
      <c r="C31" s="826">
        <v>59</v>
      </c>
      <c r="D31" s="835">
        <v>66</v>
      </c>
      <c r="E31" s="835">
        <v>261</v>
      </c>
      <c r="F31" s="835">
        <v>158</v>
      </c>
      <c r="G31" s="835">
        <v>849</v>
      </c>
      <c r="H31" s="835">
        <v>55</v>
      </c>
      <c r="I31" s="835">
        <v>1274</v>
      </c>
      <c r="J31" s="835">
        <v>123</v>
      </c>
      <c r="K31" s="835">
        <v>78</v>
      </c>
      <c r="L31" s="835">
        <v>230</v>
      </c>
      <c r="M31" s="835">
        <v>151</v>
      </c>
      <c r="N31" s="827">
        <v>75</v>
      </c>
      <c r="O31" s="835">
        <v>77</v>
      </c>
      <c r="P31" s="835">
        <v>44</v>
      </c>
      <c r="Q31" s="835">
        <v>348</v>
      </c>
      <c r="R31" s="826">
        <v>31</v>
      </c>
      <c r="S31" s="835">
        <v>46</v>
      </c>
      <c r="T31" s="835">
        <v>20</v>
      </c>
      <c r="U31" s="840">
        <v>53</v>
      </c>
      <c r="V31" s="834">
        <v>3998</v>
      </c>
      <c r="W31" s="836">
        <v>23910</v>
      </c>
    </row>
    <row r="32" spans="1:23" s="331" customFormat="1" ht="13.5">
      <c r="A32" s="1544" t="s">
        <v>1121</v>
      </c>
      <c r="B32" s="838" t="s">
        <v>238</v>
      </c>
      <c r="C32" s="826">
        <v>60</v>
      </c>
      <c r="D32" s="835">
        <v>142</v>
      </c>
      <c r="E32" s="835">
        <v>440</v>
      </c>
      <c r="F32" s="835">
        <v>174</v>
      </c>
      <c r="G32" s="835">
        <v>1155</v>
      </c>
      <c r="H32" s="835">
        <v>281</v>
      </c>
      <c r="I32" s="835">
        <v>724</v>
      </c>
      <c r="J32" s="835">
        <v>140</v>
      </c>
      <c r="K32" s="835">
        <v>80</v>
      </c>
      <c r="L32" s="835">
        <v>211</v>
      </c>
      <c r="M32" s="835">
        <v>132</v>
      </c>
      <c r="N32" s="827">
        <v>79</v>
      </c>
      <c r="O32" s="835">
        <v>240</v>
      </c>
      <c r="P32" s="835">
        <v>219</v>
      </c>
      <c r="Q32" s="835">
        <v>622</v>
      </c>
      <c r="R32" s="826">
        <v>15</v>
      </c>
      <c r="S32" s="835">
        <v>738</v>
      </c>
      <c r="T32" s="835">
        <v>50</v>
      </c>
      <c r="U32" s="840">
        <v>38</v>
      </c>
      <c r="V32" s="834">
        <v>5540</v>
      </c>
      <c r="W32" s="836">
        <v>29180</v>
      </c>
    </row>
    <row r="33" spans="1:23" s="331" customFormat="1" ht="13.5">
      <c r="A33" s="1544" t="s">
        <v>1122</v>
      </c>
      <c r="B33" s="838" t="s">
        <v>239</v>
      </c>
      <c r="C33" s="826">
        <v>21</v>
      </c>
      <c r="D33" s="835">
        <v>48</v>
      </c>
      <c r="E33" s="835">
        <v>326</v>
      </c>
      <c r="F33" s="835">
        <v>77</v>
      </c>
      <c r="G33" s="835">
        <v>635</v>
      </c>
      <c r="H33" s="835">
        <v>0</v>
      </c>
      <c r="I33" s="835">
        <v>225</v>
      </c>
      <c r="J33" s="835">
        <v>68</v>
      </c>
      <c r="K33" s="835">
        <v>76</v>
      </c>
      <c r="L33" s="835">
        <v>119</v>
      </c>
      <c r="M33" s="835">
        <v>25</v>
      </c>
      <c r="N33" s="827">
        <v>33</v>
      </c>
      <c r="O33" s="835">
        <v>36</v>
      </c>
      <c r="P33" s="835">
        <v>117</v>
      </c>
      <c r="Q33" s="835">
        <v>245</v>
      </c>
      <c r="R33" s="826">
        <v>15</v>
      </c>
      <c r="S33" s="835">
        <v>0</v>
      </c>
      <c r="T33" s="835">
        <v>9</v>
      </c>
      <c r="U33" s="840">
        <v>40</v>
      </c>
      <c r="V33" s="834">
        <v>2115</v>
      </c>
      <c r="W33" s="836">
        <v>13430</v>
      </c>
    </row>
    <row r="34" spans="1:23" s="331" customFormat="1" ht="13.5">
      <c r="A34" s="1544" t="s">
        <v>1123</v>
      </c>
      <c r="B34" s="838" t="s">
        <v>240</v>
      </c>
      <c r="C34" s="826">
        <v>0</v>
      </c>
      <c r="D34" s="835">
        <v>241</v>
      </c>
      <c r="E34" s="835">
        <v>15</v>
      </c>
      <c r="F34" s="835">
        <v>75</v>
      </c>
      <c r="G34" s="835">
        <v>246</v>
      </c>
      <c r="H34" s="835">
        <v>90</v>
      </c>
      <c r="I34" s="835">
        <v>598</v>
      </c>
      <c r="J34" s="835">
        <v>10</v>
      </c>
      <c r="K34" s="835">
        <v>0</v>
      </c>
      <c r="L34" s="835">
        <v>14</v>
      </c>
      <c r="M34" s="835">
        <v>0</v>
      </c>
      <c r="N34" s="827">
        <v>0</v>
      </c>
      <c r="O34" s="840">
        <v>0</v>
      </c>
      <c r="P34" s="835">
        <v>18</v>
      </c>
      <c r="Q34" s="835">
        <v>0</v>
      </c>
      <c r="R34" s="840">
        <v>35</v>
      </c>
      <c r="S34" s="835">
        <v>185</v>
      </c>
      <c r="T34" s="835">
        <v>0</v>
      </c>
      <c r="U34" s="840">
        <v>11</v>
      </c>
      <c r="V34" s="825">
        <v>1538</v>
      </c>
      <c r="W34" s="836">
        <v>5890</v>
      </c>
    </row>
    <row r="35" spans="1:23" s="331" customFormat="1" ht="13.5">
      <c r="A35" s="1544" t="s">
        <v>1134</v>
      </c>
      <c r="B35" s="838" t="s">
        <v>241</v>
      </c>
      <c r="C35" s="826">
        <v>333</v>
      </c>
      <c r="D35" s="835">
        <v>802</v>
      </c>
      <c r="E35" s="835">
        <v>3558</v>
      </c>
      <c r="F35" s="835">
        <v>788</v>
      </c>
      <c r="G35" s="835">
        <v>7353</v>
      </c>
      <c r="H35" s="835">
        <v>932</v>
      </c>
      <c r="I35" s="835">
        <v>5320</v>
      </c>
      <c r="J35" s="835">
        <v>817</v>
      </c>
      <c r="K35" s="835">
        <v>577</v>
      </c>
      <c r="L35" s="835">
        <v>1797</v>
      </c>
      <c r="M35" s="835">
        <v>599</v>
      </c>
      <c r="N35" s="827">
        <v>416</v>
      </c>
      <c r="O35" s="835">
        <v>583</v>
      </c>
      <c r="P35" s="835">
        <v>1144</v>
      </c>
      <c r="Q35" s="835">
        <v>2359</v>
      </c>
      <c r="R35" s="826">
        <v>340</v>
      </c>
      <c r="S35" s="835">
        <v>2440</v>
      </c>
      <c r="T35" s="835">
        <v>328</v>
      </c>
      <c r="U35" s="840">
        <v>259</v>
      </c>
      <c r="V35" s="834">
        <v>30745</v>
      </c>
      <c r="W35" s="836">
        <v>135850</v>
      </c>
    </row>
    <row r="36" spans="1:23" s="331" customFormat="1" ht="13.5">
      <c r="A36" s="1544" t="s">
        <v>1300</v>
      </c>
      <c r="B36" s="838" t="s">
        <v>242</v>
      </c>
      <c r="C36" s="826">
        <v>1613</v>
      </c>
      <c r="D36" s="835">
        <v>2146</v>
      </c>
      <c r="E36" s="835">
        <v>8277</v>
      </c>
      <c r="F36" s="835">
        <v>3184</v>
      </c>
      <c r="G36" s="835">
        <v>22008</v>
      </c>
      <c r="H36" s="835">
        <v>3463</v>
      </c>
      <c r="I36" s="835">
        <v>18350</v>
      </c>
      <c r="J36" s="835">
        <v>3294</v>
      </c>
      <c r="K36" s="835">
        <v>3518</v>
      </c>
      <c r="L36" s="835">
        <v>5937</v>
      </c>
      <c r="M36" s="835">
        <v>2624</v>
      </c>
      <c r="N36" s="827">
        <v>2186</v>
      </c>
      <c r="O36" s="835">
        <v>3775</v>
      </c>
      <c r="P36" s="835">
        <v>3481</v>
      </c>
      <c r="Q36" s="835">
        <v>11079</v>
      </c>
      <c r="R36" s="826">
        <v>1826</v>
      </c>
      <c r="S36" s="835">
        <v>10238</v>
      </c>
      <c r="T36" s="835">
        <v>1410</v>
      </c>
      <c r="U36" s="840">
        <v>1410</v>
      </c>
      <c r="V36" s="834">
        <v>109819</v>
      </c>
      <c r="W36" s="836">
        <v>625960</v>
      </c>
    </row>
    <row r="37" spans="1:23" s="331" customFormat="1" ht="22.5">
      <c r="A37" s="727"/>
      <c r="B37" s="474" t="s">
        <v>211</v>
      </c>
      <c r="C37" s="819"/>
      <c r="D37" s="819"/>
      <c r="E37" s="819"/>
      <c r="F37" s="819"/>
      <c r="G37" s="819"/>
      <c r="H37" s="819"/>
      <c r="I37" s="819"/>
      <c r="J37" s="819"/>
      <c r="K37" s="819"/>
      <c r="L37" s="819"/>
      <c r="M37" s="819"/>
      <c r="N37" s="819"/>
      <c r="O37" s="819"/>
      <c r="P37" s="819"/>
      <c r="Q37" s="819"/>
      <c r="R37" s="819"/>
      <c r="S37" s="819"/>
      <c r="T37" s="819"/>
      <c r="U37" s="819"/>
      <c r="V37" s="819"/>
      <c r="W37" s="725"/>
    </row>
    <row r="38" spans="1:23" s="331" customFormat="1" ht="13.5">
      <c r="A38" s="1544" t="s">
        <v>1173</v>
      </c>
      <c r="B38" s="838" t="s">
        <v>243</v>
      </c>
      <c r="C38" s="826">
        <v>327</v>
      </c>
      <c r="D38" s="835">
        <v>353</v>
      </c>
      <c r="E38" s="835">
        <v>1877</v>
      </c>
      <c r="F38" s="835">
        <v>279</v>
      </c>
      <c r="G38" s="835">
        <v>6595</v>
      </c>
      <c r="H38" s="835">
        <v>1102</v>
      </c>
      <c r="I38" s="835">
        <v>1359</v>
      </c>
      <c r="J38" s="835">
        <v>118</v>
      </c>
      <c r="K38" s="835">
        <v>714</v>
      </c>
      <c r="L38" s="835">
        <v>397</v>
      </c>
      <c r="M38" s="835">
        <v>1082</v>
      </c>
      <c r="N38" s="827">
        <v>188</v>
      </c>
      <c r="O38" s="835">
        <v>0</v>
      </c>
      <c r="P38" s="835">
        <v>420</v>
      </c>
      <c r="Q38" s="835">
        <v>729</v>
      </c>
      <c r="R38" s="826">
        <v>431</v>
      </c>
      <c r="S38" s="835">
        <v>1140</v>
      </c>
      <c r="T38" s="835">
        <v>201</v>
      </c>
      <c r="U38" s="835">
        <v>85</v>
      </c>
      <c r="V38" s="834">
        <v>17397</v>
      </c>
      <c r="W38" s="836">
        <v>89100</v>
      </c>
    </row>
    <row r="39" spans="1:23" s="331" customFormat="1" ht="13.5">
      <c r="A39" s="1544" t="s">
        <v>1174</v>
      </c>
      <c r="B39" s="838" t="s">
        <v>568</v>
      </c>
      <c r="C39" s="826">
        <v>593</v>
      </c>
      <c r="D39" s="835">
        <v>238</v>
      </c>
      <c r="E39" s="835">
        <v>1079</v>
      </c>
      <c r="F39" s="835">
        <v>436</v>
      </c>
      <c r="G39" s="835">
        <v>11661</v>
      </c>
      <c r="H39" s="835">
        <v>1368</v>
      </c>
      <c r="I39" s="835">
        <v>2302</v>
      </c>
      <c r="J39" s="835">
        <v>649</v>
      </c>
      <c r="K39" s="835">
        <v>981</v>
      </c>
      <c r="L39" s="835">
        <v>615</v>
      </c>
      <c r="M39" s="835">
        <v>669</v>
      </c>
      <c r="N39" s="827">
        <v>367</v>
      </c>
      <c r="O39" s="835">
        <v>604</v>
      </c>
      <c r="P39" s="835">
        <v>921</v>
      </c>
      <c r="Q39" s="835">
        <v>2134</v>
      </c>
      <c r="R39" s="826">
        <v>341</v>
      </c>
      <c r="S39" s="835">
        <v>1732</v>
      </c>
      <c r="T39" s="835">
        <v>379</v>
      </c>
      <c r="U39" s="835">
        <v>147</v>
      </c>
      <c r="V39" s="834">
        <v>27216</v>
      </c>
      <c r="W39" s="836">
        <v>120900</v>
      </c>
    </row>
    <row r="40" spans="1:23" s="331" customFormat="1" ht="13.5">
      <c r="A40" s="1544" t="s">
        <v>1175</v>
      </c>
      <c r="B40" s="838" t="s">
        <v>569</v>
      </c>
      <c r="C40" s="826">
        <v>332</v>
      </c>
      <c r="D40" s="835">
        <v>541</v>
      </c>
      <c r="E40" s="835">
        <v>1578</v>
      </c>
      <c r="F40" s="835">
        <v>454</v>
      </c>
      <c r="G40" s="835">
        <v>1405</v>
      </c>
      <c r="H40" s="835">
        <v>256</v>
      </c>
      <c r="I40" s="835">
        <v>4489</v>
      </c>
      <c r="J40" s="835">
        <v>1080</v>
      </c>
      <c r="K40" s="835">
        <v>811</v>
      </c>
      <c r="L40" s="835">
        <v>822</v>
      </c>
      <c r="M40" s="835">
        <v>458</v>
      </c>
      <c r="N40" s="827">
        <v>362</v>
      </c>
      <c r="O40" s="835">
        <v>1034</v>
      </c>
      <c r="P40" s="835">
        <v>617</v>
      </c>
      <c r="Q40" s="835">
        <v>2905</v>
      </c>
      <c r="R40" s="826">
        <v>302</v>
      </c>
      <c r="S40" s="835">
        <v>1953</v>
      </c>
      <c r="T40" s="835">
        <v>299</v>
      </c>
      <c r="U40" s="835">
        <v>369</v>
      </c>
      <c r="V40" s="834">
        <v>20067</v>
      </c>
      <c r="W40" s="836">
        <v>112630</v>
      </c>
    </row>
    <row r="41" spans="1:23" s="331" customFormat="1" ht="13.5">
      <c r="A41" s="1544" t="s">
        <v>1176</v>
      </c>
      <c r="B41" s="838" t="s">
        <v>570</v>
      </c>
      <c r="C41" s="826">
        <v>255</v>
      </c>
      <c r="D41" s="835">
        <v>830</v>
      </c>
      <c r="E41" s="835">
        <v>2420</v>
      </c>
      <c r="F41" s="835">
        <v>917</v>
      </c>
      <c r="G41" s="835">
        <v>1447</v>
      </c>
      <c r="H41" s="835">
        <v>622</v>
      </c>
      <c r="I41" s="835">
        <v>8251</v>
      </c>
      <c r="J41" s="835">
        <v>1312</v>
      </c>
      <c r="K41" s="835">
        <v>698</v>
      </c>
      <c r="L41" s="835">
        <v>2274</v>
      </c>
      <c r="M41" s="835">
        <v>369</v>
      </c>
      <c r="N41" s="827">
        <v>878</v>
      </c>
      <c r="O41" s="835">
        <v>1308</v>
      </c>
      <c r="P41" s="824">
        <v>1023</v>
      </c>
      <c r="Q41" s="835">
        <v>4006</v>
      </c>
      <c r="R41" s="826">
        <v>744</v>
      </c>
      <c r="S41" s="835">
        <v>4289</v>
      </c>
      <c r="T41" s="835">
        <v>490</v>
      </c>
      <c r="U41" s="835">
        <v>442</v>
      </c>
      <c r="V41" s="834">
        <v>32575</v>
      </c>
      <c r="W41" s="836">
        <v>225560</v>
      </c>
    </row>
    <row r="42" spans="1:23" s="331" customFormat="1" ht="13.5">
      <c r="A42" s="1544" t="s">
        <v>1177</v>
      </c>
      <c r="B42" s="838" t="s">
        <v>244</v>
      </c>
      <c r="C42" s="826">
        <v>106</v>
      </c>
      <c r="D42" s="835">
        <v>184</v>
      </c>
      <c r="E42" s="835">
        <v>1323</v>
      </c>
      <c r="F42" s="835">
        <v>1098</v>
      </c>
      <c r="G42" s="835">
        <v>900</v>
      </c>
      <c r="H42" s="835">
        <v>115</v>
      </c>
      <c r="I42" s="835">
        <v>1949</v>
      </c>
      <c r="J42" s="835">
        <v>135</v>
      </c>
      <c r="K42" s="835">
        <v>314</v>
      </c>
      <c r="L42" s="835">
        <v>1829</v>
      </c>
      <c r="M42" s="835">
        <v>46</v>
      </c>
      <c r="N42" s="827">
        <v>325</v>
      </c>
      <c r="O42" s="835">
        <v>703</v>
      </c>
      <c r="P42" s="824">
        <v>500</v>
      </c>
      <c r="Q42" s="835">
        <v>1305</v>
      </c>
      <c r="R42" s="826">
        <v>0</v>
      </c>
      <c r="S42" s="835">
        <v>1124</v>
      </c>
      <c r="T42" s="835">
        <v>41</v>
      </c>
      <c r="U42" s="835">
        <v>367</v>
      </c>
      <c r="V42" s="834">
        <v>12364</v>
      </c>
      <c r="W42" s="836">
        <v>77790</v>
      </c>
    </row>
    <row r="43" spans="1:23" s="331" customFormat="1" ht="13.5">
      <c r="A43" s="1547"/>
      <c r="B43" s="828" t="s">
        <v>899</v>
      </c>
      <c r="C43" s="826">
        <v>11</v>
      </c>
      <c r="D43" s="835">
        <v>18</v>
      </c>
      <c r="E43" s="835">
        <v>12</v>
      </c>
      <c r="F43" s="835">
        <v>22</v>
      </c>
      <c r="G43" s="835">
        <v>9</v>
      </c>
      <c r="H43" s="835">
        <v>8</v>
      </c>
      <c r="I43" s="835">
        <v>23</v>
      </c>
      <c r="J43" s="835">
        <v>21</v>
      </c>
      <c r="K43" s="835">
        <v>12</v>
      </c>
      <c r="L43" s="835">
        <v>26</v>
      </c>
      <c r="M43" s="835">
        <v>8</v>
      </c>
      <c r="N43" s="827">
        <v>20</v>
      </c>
      <c r="O43" s="835">
        <v>22</v>
      </c>
      <c r="P43" s="824">
        <v>16</v>
      </c>
      <c r="Q43" s="835">
        <v>20</v>
      </c>
      <c r="R43" s="826">
        <v>11</v>
      </c>
      <c r="S43" s="835">
        <v>19</v>
      </c>
      <c r="T43" s="835">
        <v>14</v>
      </c>
      <c r="U43" s="835">
        <v>24</v>
      </c>
      <c r="V43" s="834">
        <v>14</v>
      </c>
      <c r="W43" s="836">
        <v>16</v>
      </c>
    </row>
    <row r="44" spans="1:23" s="331" customFormat="1" ht="13.5">
      <c r="A44" s="1547"/>
      <c r="B44" s="828" t="s">
        <v>900</v>
      </c>
      <c r="C44" s="826">
        <v>18</v>
      </c>
      <c r="D44" s="835">
        <v>30</v>
      </c>
      <c r="E44" s="835">
        <v>29</v>
      </c>
      <c r="F44" s="835">
        <v>38</v>
      </c>
      <c r="G44" s="835">
        <v>13</v>
      </c>
      <c r="H44" s="835">
        <v>14</v>
      </c>
      <c r="I44" s="835">
        <v>33</v>
      </c>
      <c r="J44" s="835">
        <v>28</v>
      </c>
      <c r="K44" s="835">
        <v>21</v>
      </c>
      <c r="L44" s="835">
        <v>41</v>
      </c>
      <c r="M44" s="835">
        <v>14</v>
      </c>
      <c r="N44" s="827">
        <v>34</v>
      </c>
      <c r="O44" s="835">
        <v>31</v>
      </c>
      <c r="P44" s="824">
        <v>27</v>
      </c>
      <c r="Q44" s="835">
        <v>30</v>
      </c>
      <c r="R44" s="826">
        <v>26</v>
      </c>
      <c r="S44" s="835">
        <v>32</v>
      </c>
      <c r="T44" s="835">
        <v>24</v>
      </c>
      <c r="U44" s="835">
        <v>36</v>
      </c>
      <c r="V44" s="834">
        <v>25</v>
      </c>
      <c r="W44" s="836">
        <v>30</v>
      </c>
    </row>
    <row r="45" spans="1:23" s="331" customFormat="1" ht="13.5">
      <c r="A45" s="1547"/>
      <c r="B45" s="828" t="s">
        <v>901</v>
      </c>
      <c r="C45" s="826">
        <v>29</v>
      </c>
      <c r="D45" s="835">
        <v>38</v>
      </c>
      <c r="E45" s="835">
        <v>39</v>
      </c>
      <c r="F45" s="835">
        <v>50</v>
      </c>
      <c r="G45" s="835">
        <v>16</v>
      </c>
      <c r="H45" s="835">
        <v>25</v>
      </c>
      <c r="I45" s="835">
        <v>42</v>
      </c>
      <c r="J45" s="835">
        <v>39</v>
      </c>
      <c r="K45" s="835">
        <v>33</v>
      </c>
      <c r="L45" s="835">
        <v>48</v>
      </c>
      <c r="M45" s="835">
        <v>24</v>
      </c>
      <c r="N45" s="827">
        <v>43</v>
      </c>
      <c r="O45" s="835">
        <v>42</v>
      </c>
      <c r="P45" s="824">
        <v>40</v>
      </c>
      <c r="Q45" s="835">
        <v>42</v>
      </c>
      <c r="R45" s="826">
        <v>38</v>
      </c>
      <c r="S45" s="835">
        <v>43</v>
      </c>
      <c r="T45" s="835">
        <v>35</v>
      </c>
      <c r="U45" s="835">
        <v>46</v>
      </c>
      <c r="V45" s="834">
        <v>40</v>
      </c>
      <c r="W45" s="836">
        <v>42</v>
      </c>
    </row>
    <row r="46" spans="1:23" s="331" customFormat="1" ht="13.5">
      <c r="A46" s="1544" t="s">
        <v>1302</v>
      </c>
      <c r="B46" s="476" t="s">
        <v>245</v>
      </c>
      <c r="C46" s="383"/>
      <c r="D46" s="817"/>
      <c r="E46" s="817"/>
      <c r="F46" s="817"/>
      <c r="G46" s="817"/>
      <c r="H46" s="817"/>
      <c r="I46" s="817"/>
      <c r="J46" s="817"/>
      <c r="K46" s="817"/>
      <c r="L46" s="817"/>
      <c r="M46" s="817"/>
      <c r="N46" s="385"/>
      <c r="O46" s="817"/>
      <c r="P46" s="817"/>
      <c r="Q46" s="817"/>
      <c r="R46" s="384"/>
      <c r="S46" s="817"/>
      <c r="T46" s="817"/>
      <c r="U46" s="817"/>
      <c r="V46" s="818"/>
      <c r="W46" s="381"/>
    </row>
    <row r="47" spans="1:23" s="331" customFormat="1" ht="13.5">
      <c r="A47" s="1544" t="s">
        <v>1303</v>
      </c>
      <c r="B47" s="476" t="s">
        <v>246</v>
      </c>
      <c r="C47" s="384"/>
      <c r="D47" s="817"/>
      <c r="E47" s="817"/>
      <c r="F47" s="817"/>
      <c r="G47" s="817"/>
      <c r="H47" s="817"/>
      <c r="I47" s="817"/>
      <c r="J47" s="817"/>
      <c r="K47" s="817"/>
      <c r="L47" s="817"/>
      <c r="M47" s="817"/>
      <c r="N47" s="385"/>
      <c r="O47" s="817"/>
      <c r="P47" s="817"/>
      <c r="Q47" s="817"/>
      <c r="R47" s="384"/>
      <c r="S47" s="817"/>
      <c r="T47" s="817"/>
      <c r="U47" s="817"/>
      <c r="V47" s="818"/>
      <c r="W47" s="381"/>
    </row>
    <row r="48" spans="1:23" s="331" customFormat="1" ht="13.5">
      <c r="A48" s="1544" t="s">
        <v>1211</v>
      </c>
      <c r="B48" s="838" t="s">
        <v>247</v>
      </c>
      <c r="C48" s="826">
        <v>954</v>
      </c>
      <c r="D48" s="835">
        <v>1920</v>
      </c>
      <c r="E48" s="835">
        <v>3453</v>
      </c>
      <c r="F48" s="835">
        <v>3128</v>
      </c>
      <c r="G48" s="835">
        <v>8561</v>
      </c>
      <c r="H48" s="835">
        <v>1283</v>
      </c>
      <c r="I48" s="835">
        <v>10853</v>
      </c>
      <c r="J48" s="835">
        <v>1793</v>
      </c>
      <c r="K48" s="835">
        <v>2323</v>
      </c>
      <c r="L48" s="835">
        <v>4280</v>
      </c>
      <c r="M48" s="835">
        <v>1633</v>
      </c>
      <c r="N48" s="827">
        <v>1562</v>
      </c>
      <c r="O48" s="835">
        <v>1634</v>
      </c>
      <c r="P48" s="835">
        <v>2210</v>
      </c>
      <c r="Q48" s="835">
        <v>5777</v>
      </c>
      <c r="R48" s="826">
        <v>864</v>
      </c>
      <c r="S48" s="835">
        <v>5853</v>
      </c>
      <c r="T48" s="835">
        <v>839</v>
      </c>
      <c r="U48" s="835">
        <v>930</v>
      </c>
      <c r="V48" s="834">
        <v>59850</v>
      </c>
      <c r="W48" s="836">
        <v>388490</v>
      </c>
    </row>
    <row r="49" spans="1:23" s="331" customFormat="1" ht="13.5">
      <c r="A49" s="1544" t="s">
        <v>1212</v>
      </c>
      <c r="B49" s="838" t="s">
        <v>248</v>
      </c>
      <c r="C49" s="826">
        <v>871</v>
      </c>
      <c r="D49" s="835">
        <v>776</v>
      </c>
      <c r="E49" s="835">
        <v>2454</v>
      </c>
      <c r="F49" s="835">
        <v>1684</v>
      </c>
      <c r="G49" s="835">
        <v>6048</v>
      </c>
      <c r="H49" s="835">
        <v>889</v>
      </c>
      <c r="I49" s="835">
        <v>5764</v>
      </c>
      <c r="J49" s="835">
        <v>1282</v>
      </c>
      <c r="K49" s="835">
        <v>1031</v>
      </c>
      <c r="L49" s="835">
        <v>1758</v>
      </c>
      <c r="M49" s="835">
        <v>1118</v>
      </c>
      <c r="N49" s="827">
        <v>917</v>
      </c>
      <c r="O49" s="835">
        <v>1713</v>
      </c>
      <c r="P49" s="835">
        <v>1655</v>
      </c>
      <c r="Q49" s="835">
        <v>3424</v>
      </c>
      <c r="R49" s="826">
        <v>541</v>
      </c>
      <c r="S49" s="835">
        <v>3349</v>
      </c>
      <c r="T49" s="835">
        <v>643</v>
      </c>
      <c r="U49" s="835">
        <v>647</v>
      </c>
      <c r="V49" s="834">
        <v>36564</v>
      </c>
      <c r="W49" s="836">
        <v>198790</v>
      </c>
    </row>
    <row r="50" spans="1:23" s="331" customFormat="1" ht="13.5">
      <c r="A50" s="1544" t="s">
        <v>1213</v>
      </c>
      <c r="B50" s="838" t="s">
        <v>249</v>
      </c>
      <c r="C50" s="826">
        <v>265</v>
      </c>
      <c r="D50" s="835">
        <v>378</v>
      </c>
      <c r="E50" s="835">
        <v>686</v>
      </c>
      <c r="F50" s="835">
        <v>751</v>
      </c>
      <c r="G50" s="835">
        <v>1705</v>
      </c>
      <c r="H50" s="835">
        <v>257</v>
      </c>
      <c r="I50" s="835">
        <v>1498</v>
      </c>
      <c r="J50" s="835">
        <v>267</v>
      </c>
      <c r="K50" s="835">
        <v>268</v>
      </c>
      <c r="L50" s="835">
        <v>774</v>
      </c>
      <c r="M50" s="835">
        <v>357</v>
      </c>
      <c r="N50" s="827">
        <v>384</v>
      </c>
      <c r="O50" s="835">
        <v>447</v>
      </c>
      <c r="P50" s="835">
        <v>531</v>
      </c>
      <c r="Q50" s="835">
        <v>1156</v>
      </c>
      <c r="R50" s="826">
        <v>258</v>
      </c>
      <c r="S50" s="835">
        <v>1406</v>
      </c>
      <c r="T50" s="835">
        <v>250</v>
      </c>
      <c r="U50" s="835">
        <v>183</v>
      </c>
      <c r="V50" s="834">
        <v>11821</v>
      </c>
      <c r="W50" s="836">
        <v>72580</v>
      </c>
    </row>
    <row r="51" spans="1:23" s="331" customFormat="1" ht="13.5">
      <c r="A51" s="1544" t="s">
        <v>1214</v>
      </c>
      <c r="B51" s="838" t="s">
        <v>250</v>
      </c>
      <c r="C51" s="826">
        <v>211</v>
      </c>
      <c r="D51" s="835">
        <v>341</v>
      </c>
      <c r="E51" s="835">
        <v>577</v>
      </c>
      <c r="F51" s="835">
        <v>595</v>
      </c>
      <c r="G51" s="835">
        <v>1485</v>
      </c>
      <c r="H51" s="835">
        <v>195</v>
      </c>
      <c r="I51" s="835">
        <v>1326</v>
      </c>
      <c r="J51" s="835">
        <v>227</v>
      </c>
      <c r="K51" s="835">
        <v>248</v>
      </c>
      <c r="L51" s="835">
        <v>624</v>
      </c>
      <c r="M51" s="835">
        <v>178</v>
      </c>
      <c r="N51" s="827">
        <v>305</v>
      </c>
      <c r="O51" s="835">
        <v>292</v>
      </c>
      <c r="P51" s="835">
        <v>382</v>
      </c>
      <c r="Q51" s="835">
        <v>1029</v>
      </c>
      <c r="R51" s="826">
        <v>249</v>
      </c>
      <c r="S51" s="835">
        <v>1054</v>
      </c>
      <c r="T51" s="835">
        <v>214</v>
      </c>
      <c r="U51" s="835">
        <v>154</v>
      </c>
      <c r="V51" s="834">
        <v>9686</v>
      </c>
      <c r="W51" s="836">
        <v>60270</v>
      </c>
    </row>
    <row r="52" spans="1:23" s="331" customFormat="1" ht="13.5">
      <c r="A52" s="1544" t="s">
        <v>1215</v>
      </c>
      <c r="B52" s="838" t="s">
        <v>251</v>
      </c>
      <c r="C52" s="826">
        <v>158</v>
      </c>
      <c r="D52" s="835">
        <v>273</v>
      </c>
      <c r="E52" s="835">
        <v>518</v>
      </c>
      <c r="F52" s="835">
        <v>524</v>
      </c>
      <c r="G52" s="835">
        <v>1000</v>
      </c>
      <c r="H52" s="835">
        <v>186</v>
      </c>
      <c r="I52" s="835">
        <v>1188</v>
      </c>
      <c r="J52" s="835">
        <v>134</v>
      </c>
      <c r="K52" s="835">
        <v>183</v>
      </c>
      <c r="L52" s="835">
        <v>451</v>
      </c>
      <c r="M52" s="835">
        <v>255</v>
      </c>
      <c r="N52" s="827">
        <v>227</v>
      </c>
      <c r="O52" s="835">
        <v>301</v>
      </c>
      <c r="P52" s="835">
        <v>310</v>
      </c>
      <c r="Q52" s="835">
        <v>894</v>
      </c>
      <c r="R52" s="826">
        <v>141</v>
      </c>
      <c r="S52" s="835">
        <v>954</v>
      </c>
      <c r="T52" s="835">
        <v>127</v>
      </c>
      <c r="U52" s="835">
        <v>149</v>
      </c>
      <c r="V52" s="834">
        <v>7973</v>
      </c>
      <c r="W52" s="836">
        <v>50010</v>
      </c>
    </row>
    <row r="53" spans="1:23" s="331" customFormat="1" ht="13.5">
      <c r="A53" s="1544" t="s">
        <v>1304</v>
      </c>
      <c r="B53" s="838" t="s">
        <v>252</v>
      </c>
      <c r="C53" s="826">
        <v>106</v>
      </c>
      <c r="D53" s="835">
        <v>193</v>
      </c>
      <c r="E53" s="835">
        <v>345</v>
      </c>
      <c r="F53" s="835">
        <v>390</v>
      </c>
      <c r="G53" s="835">
        <v>702</v>
      </c>
      <c r="H53" s="835">
        <v>115</v>
      </c>
      <c r="I53" s="835">
        <v>833</v>
      </c>
      <c r="J53" s="835">
        <v>103</v>
      </c>
      <c r="K53" s="835">
        <v>135</v>
      </c>
      <c r="L53" s="835">
        <v>320</v>
      </c>
      <c r="M53" s="835">
        <v>194</v>
      </c>
      <c r="N53" s="827">
        <v>174</v>
      </c>
      <c r="O53" s="835">
        <v>217</v>
      </c>
      <c r="P53" s="835">
        <v>207</v>
      </c>
      <c r="Q53" s="835">
        <v>611</v>
      </c>
      <c r="R53" s="826">
        <v>81</v>
      </c>
      <c r="S53" s="835">
        <v>699</v>
      </c>
      <c r="T53" s="835">
        <v>84</v>
      </c>
      <c r="U53" s="835">
        <v>110</v>
      </c>
      <c r="V53" s="834">
        <v>5619</v>
      </c>
      <c r="W53" s="836">
        <v>35450</v>
      </c>
    </row>
    <row r="54" spans="1:23" s="331" customFormat="1" ht="13.5">
      <c r="A54" s="1544" t="s">
        <v>1178</v>
      </c>
      <c r="B54" s="838" t="s">
        <v>253</v>
      </c>
      <c r="C54" s="826">
        <v>106</v>
      </c>
      <c r="D54" s="835">
        <v>192</v>
      </c>
      <c r="E54" s="835">
        <v>340</v>
      </c>
      <c r="F54" s="835">
        <v>355</v>
      </c>
      <c r="G54" s="835">
        <v>623</v>
      </c>
      <c r="H54" s="835">
        <v>113</v>
      </c>
      <c r="I54" s="835">
        <v>831</v>
      </c>
      <c r="J54" s="835">
        <v>97</v>
      </c>
      <c r="K54" s="835">
        <v>124</v>
      </c>
      <c r="L54" s="835">
        <v>287</v>
      </c>
      <c r="M54" s="835">
        <v>194</v>
      </c>
      <c r="N54" s="827">
        <v>159</v>
      </c>
      <c r="O54" s="835">
        <v>182</v>
      </c>
      <c r="P54" s="835">
        <v>131</v>
      </c>
      <c r="Q54" s="835">
        <v>601</v>
      </c>
      <c r="R54" s="826">
        <v>81</v>
      </c>
      <c r="S54" s="835">
        <v>613</v>
      </c>
      <c r="T54" s="835">
        <v>75</v>
      </c>
      <c r="U54" s="835">
        <v>107</v>
      </c>
      <c r="V54" s="834">
        <v>5211</v>
      </c>
      <c r="W54" s="836">
        <v>33050</v>
      </c>
    </row>
    <row r="55" spans="1:23" s="331" customFormat="1" ht="13.5">
      <c r="A55" s="1544" t="s">
        <v>1305</v>
      </c>
      <c r="B55" s="473" t="s">
        <v>473</v>
      </c>
      <c r="C55" s="384"/>
      <c r="D55" s="817"/>
      <c r="E55" s="817"/>
      <c r="F55" s="817"/>
      <c r="G55" s="817"/>
      <c r="H55" s="817"/>
      <c r="I55" s="817"/>
      <c r="J55" s="817"/>
      <c r="K55" s="817"/>
      <c r="L55" s="817"/>
      <c r="M55" s="817"/>
      <c r="N55" s="385"/>
      <c r="O55" s="817"/>
      <c r="P55" s="817"/>
      <c r="Q55" s="817"/>
      <c r="R55" s="384"/>
      <c r="S55" s="817"/>
      <c r="T55" s="817"/>
      <c r="U55" s="817"/>
      <c r="V55" s="818"/>
      <c r="W55" s="381"/>
    </row>
    <row r="56" spans="1:23" s="331" customFormat="1" ht="13.5">
      <c r="A56" s="1544" t="s">
        <v>1179</v>
      </c>
      <c r="B56" s="838" t="s">
        <v>615</v>
      </c>
      <c r="C56" s="826" t="s">
        <v>70</v>
      </c>
      <c r="D56" s="842">
        <v>12</v>
      </c>
      <c r="E56" s="842">
        <v>8</v>
      </c>
      <c r="F56" s="842">
        <v>20</v>
      </c>
      <c r="G56" s="842">
        <v>7</v>
      </c>
      <c r="H56" s="842" t="s">
        <v>70</v>
      </c>
      <c r="I56" s="842">
        <v>30</v>
      </c>
      <c r="J56" s="842" t="s">
        <v>70</v>
      </c>
      <c r="K56" s="842">
        <v>0</v>
      </c>
      <c r="L56" s="842">
        <v>10</v>
      </c>
      <c r="M56" s="842" t="s">
        <v>70</v>
      </c>
      <c r="N56" s="827" t="s">
        <v>70</v>
      </c>
      <c r="O56" s="842" t="s">
        <v>70</v>
      </c>
      <c r="P56" s="842" t="s">
        <v>70</v>
      </c>
      <c r="Q56" s="842">
        <v>30</v>
      </c>
      <c r="R56" s="826">
        <v>0</v>
      </c>
      <c r="S56" s="842">
        <v>9</v>
      </c>
      <c r="T56" s="842">
        <v>0</v>
      </c>
      <c r="U56" s="842">
        <v>9</v>
      </c>
      <c r="V56" s="825">
        <v>160</v>
      </c>
      <c r="W56" s="1546">
        <v>1020</v>
      </c>
    </row>
    <row r="57" spans="1:23" s="331" customFormat="1" ht="13.5">
      <c r="A57" s="1544" t="s">
        <v>1216</v>
      </c>
      <c r="B57" s="838" t="s">
        <v>254</v>
      </c>
      <c r="C57" s="826">
        <v>177</v>
      </c>
      <c r="D57" s="835">
        <v>382</v>
      </c>
      <c r="E57" s="835">
        <v>696</v>
      </c>
      <c r="F57" s="835">
        <v>674</v>
      </c>
      <c r="G57" s="835">
        <v>1400</v>
      </c>
      <c r="H57" s="835">
        <v>157</v>
      </c>
      <c r="I57" s="835">
        <v>1445</v>
      </c>
      <c r="J57" s="835">
        <v>546</v>
      </c>
      <c r="K57" s="835">
        <v>192</v>
      </c>
      <c r="L57" s="835">
        <v>785</v>
      </c>
      <c r="M57" s="835">
        <v>251</v>
      </c>
      <c r="N57" s="827">
        <v>344</v>
      </c>
      <c r="O57" s="835">
        <v>375</v>
      </c>
      <c r="P57" s="835">
        <v>525</v>
      </c>
      <c r="Q57" s="835">
        <v>785</v>
      </c>
      <c r="R57" s="826">
        <v>190</v>
      </c>
      <c r="S57" s="835">
        <v>1048</v>
      </c>
      <c r="T57" s="835">
        <v>225</v>
      </c>
      <c r="U57" s="835">
        <v>151</v>
      </c>
      <c r="V57" s="834">
        <v>10348</v>
      </c>
      <c r="W57" s="836">
        <v>65200</v>
      </c>
    </row>
    <row r="58" spans="1:23" s="331" customFormat="1" ht="13.5">
      <c r="A58" s="1544" t="s">
        <v>1180</v>
      </c>
      <c r="B58" s="838" t="s">
        <v>255</v>
      </c>
      <c r="C58" s="826" t="s">
        <v>70</v>
      </c>
      <c r="D58" s="835">
        <v>26</v>
      </c>
      <c r="E58" s="835">
        <v>40</v>
      </c>
      <c r="F58" s="835">
        <v>54</v>
      </c>
      <c r="G58" s="835">
        <v>41</v>
      </c>
      <c r="H58" s="835">
        <v>6</v>
      </c>
      <c r="I58" s="835">
        <v>86</v>
      </c>
      <c r="J58" s="835">
        <v>23</v>
      </c>
      <c r="K58" s="835" t="s">
        <v>70</v>
      </c>
      <c r="L58" s="835">
        <v>25</v>
      </c>
      <c r="M58" s="835">
        <v>10</v>
      </c>
      <c r="N58" s="827">
        <v>15</v>
      </c>
      <c r="O58" s="835">
        <v>13</v>
      </c>
      <c r="P58" s="835">
        <v>28</v>
      </c>
      <c r="Q58" s="835">
        <v>47</v>
      </c>
      <c r="R58" s="826" t="s">
        <v>70</v>
      </c>
      <c r="S58" s="835">
        <v>10</v>
      </c>
      <c r="T58" s="835" t="s">
        <v>70</v>
      </c>
      <c r="U58" s="835" t="s">
        <v>70</v>
      </c>
      <c r="V58" s="834">
        <v>440</v>
      </c>
      <c r="W58" s="836">
        <v>2410</v>
      </c>
    </row>
    <row r="59" spans="1:23" s="331" customFormat="1" ht="13.5">
      <c r="A59" s="1544" t="s">
        <v>1217</v>
      </c>
      <c r="B59" s="838" t="s">
        <v>256</v>
      </c>
      <c r="C59" s="826">
        <v>213</v>
      </c>
      <c r="D59" s="835">
        <v>320</v>
      </c>
      <c r="E59" s="835">
        <v>637</v>
      </c>
      <c r="F59" s="835">
        <v>659</v>
      </c>
      <c r="G59" s="835">
        <v>1460</v>
      </c>
      <c r="H59" s="835">
        <v>218</v>
      </c>
      <c r="I59" s="835">
        <v>1305</v>
      </c>
      <c r="J59" s="835">
        <v>217</v>
      </c>
      <c r="K59" s="835">
        <v>243</v>
      </c>
      <c r="L59" s="835">
        <v>694</v>
      </c>
      <c r="M59" s="835">
        <v>303</v>
      </c>
      <c r="N59" s="827">
        <v>348</v>
      </c>
      <c r="O59" s="835">
        <v>375</v>
      </c>
      <c r="P59" s="835">
        <v>473</v>
      </c>
      <c r="Q59" s="835">
        <v>987</v>
      </c>
      <c r="R59" s="826">
        <v>225</v>
      </c>
      <c r="S59" s="835">
        <v>1187</v>
      </c>
      <c r="T59" s="835">
        <v>228</v>
      </c>
      <c r="U59" s="835">
        <v>158</v>
      </c>
      <c r="V59" s="834">
        <v>10250</v>
      </c>
      <c r="W59" s="836">
        <v>63830</v>
      </c>
    </row>
    <row r="60" spans="1:23" s="331" customFormat="1" ht="13.5">
      <c r="A60" s="1544" t="s">
        <v>1218</v>
      </c>
      <c r="B60" s="838" t="s">
        <v>257</v>
      </c>
      <c r="C60" s="826">
        <v>41</v>
      </c>
      <c r="D60" s="835">
        <v>78</v>
      </c>
      <c r="E60" s="835">
        <v>155</v>
      </c>
      <c r="F60" s="835">
        <v>171</v>
      </c>
      <c r="G60" s="835">
        <v>371</v>
      </c>
      <c r="H60" s="835">
        <v>48</v>
      </c>
      <c r="I60" s="835">
        <v>292</v>
      </c>
      <c r="J60" s="835">
        <v>35</v>
      </c>
      <c r="K60" s="835">
        <v>33</v>
      </c>
      <c r="L60" s="835">
        <v>148</v>
      </c>
      <c r="M60" s="835">
        <v>67</v>
      </c>
      <c r="N60" s="827">
        <v>101</v>
      </c>
      <c r="O60" s="835">
        <v>51</v>
      </c>
      <c r="P60" s="835">
        <v>109</v>
      </c>
      <c r="Q60" s="835">
        <v>256</v>
      </c>
      <c r="R60" s="826">
        <v>51</v>
      </c>
      <c r="S60" s="835">
        <v>312</v>
      </c>
      <c r="T60" s="835">
        <v>59</v>
      </c>
      <c r="U60" s="835">
        <v>29</v>
      </c>
      <c r="V60" s="834">
        <v>2407</v>
      </c>
      <c r="W60" s="836">
        <v>14090</v>
      </c>
    </row>
    <row r="61" spans="1:23" s="331" customFormat="1" ht="13.5">
      <c r="A61" s="1544" t="s">
        <v>1306</v>
      </c>
      <c r="B61" s="838" t="s">
        <v>258</v>
      </c>
      <c r="C61" s="826"/>
      <c r="D61" s="835"/>
      <c r="E61" s="835"/>
      <c r="F61" s="835"/>
      <c r="G61" s="835"/>
      <c r="H61" s="835"/>
      <c r="I61" s="835"/>
      <c r="J61" s="835"/>
      <c r="K61" s="835"/>
      <c r="L61" s="835"/>
      <c r="M61" s="835"/>
      <c r="N61" s="827"/>
      <c r="O61" s="835"/>
      <c r="P61" s="835"/>
      <c r="Q61" s="835"/>
      <c r="R61" s="826"/>
      <c r="S61" s="835"/>
      <c r="T61" s="835"/>
      <c r="U61" s="835"/>
      <c r="V61" s="834"/>
      <c r="W61" s="836"/>
    </row>
    <row r="62" spans="1:23" s="331" customFormat="1" ht="13.5">
      <c r="A62" s="1544" t="s">
        <v>1219</v>
      </c>
      <c r="B62" s="838" t="s">
        <v>259</v>
      </c>
      <c r="C62" s="826">
        <v>146</v>
      </c>
      <c r="D62" s="835">
        <v>373</v>
      </c>
      <c r="E62" s="835">
        <v>510</v>
      </c>
      <c r="F62" s="835">
        <v>611</v>
      </c>
      <c r="G62" s="835">
        <v>1661</v>
      </c>
      <c r="H62" s="835">
        <v>270</v>
      </c>
      <c r="I62" s="835">
        <v>1662</v>
      </c>
      <c r="J62" s="835">
        <v>440</v>
      </c>
      <c r="K62" s="835">
        <v>395</v>
      </c>
      <c r="L62" s="835">
        <v>784</v>
      </c>
      <c r="M62" s="835">
        <v>378</v>
      </c>
      <c r="N62" s="827">
        <v>270</v>
      </c>
      <c r="O62" s="835">
        <v>223</v>
      </c>
      <c r="P62" s="835">
        <v>497</v>
      </c>
      <c r="Q62" s="835">
        <v>996</v>
      </c>
      <c r="R62" s="826">
        <v>146</v>
      </c>
      <c r="S62" s="835">
        <v>891</v>
      </c>
      <c r="T62" s="835">
        <v>130</v>
      </c>
      <c r="U62" s="835">
        <v>101</v>
      </c>
      <c r="V62" s="834">
        <v>10484</v>
      </c>
      <c r="W62" s="836">
        <v>80852</v>
      </c>
    </row>
    <row r="63" spans="1:23" s="331" customFormat="1" ht="13.5">
      <c r="A63" s="1544"/>
      <c r="B63" s="726" t="s">
        <v>742</v>
      </c>
      <c r="C63" s="821"/>
      <c r="D63" s="822"/>
      <c r="E63" s="822"/>
      <c r="F63" s="822"/>
      <c r="G63" s="822"/>
      <c r="H63" s="822"/>
      <c r="I63" s="822"/>
      <c r="J63" s="822"/>
      <c r="K63" s="822"/>
      <c r="L63" s="822"/>
      <c r="M63" s="822"/>
      <c r="N63" s="823"/>
      <c r="O63" s="822"/>
      <c r="P63" s="822"/>
      <c r="Q63" s="822"/>
      <c r="R63" s="821"/>
      <c r="S63" s="822"/>
      <c r="T63" s="822"/>
      <c r="U63" s="822"/>
      <c r="V63" s="819"/>
      <c r="W63" s="725"/>
    </row>
    <row r="64" spans="1:23" s="331" customFormat="1" ht="13.5">
      <c r="A64" s="1544" t="s">
        <v>1205</v>
      </c>
      <c r="B64" s="838" t="s">
        <v>510</v>
      </c>
      <c r="C64" s="826" t="s">
        <v>70</v>
      </c>
      <c r="D64" s="835">
        <v>15</v>
      </c>
      <c r="E64" s="835">
        <v>27</v>
      </c>
      <c r="F64" s="835">
        <v>23</v>
      </c>
      <c r="G64" s="835">
        <v>49</v>
      </c>
      <c r="H64" s="835">
        <v>6</v>
      </c>
      <c r="I64" s="835">
        <v>69</v>
      </c>
      <c r="J64" s="835">
        <v>23</v>
      </c>
      <c r="K64" s="835">
        <v>26</v>
      </c>
      <c r="L64" s="835">
        <v>34</v>
      </c>
      <c r="M64" s="835">
        <v>24</v>
      </c>
      <c r="N64" s="827">
        <v>12</v>
      </c>
      <c r="O64" s="835">
        <v>13</v>
      </c>
      <c r="P64" s="835">
        <v>30</v>
      </c>
      <c r="Q64" s="835">
        <v>45</v>
      </c>
      <c r="R64" s="826" t="s">
        <v>70</v>
      </c>
      <c r="S64" s="835">
        <v>45</v>
      </c>
      <c r="T64" s="835">
        <v>8</v>
      </c>
      <c r="U64" s="835" t="s">
        <v>70</v>
      </c>
      <c r="V64" s="834">
        <v>449</v>
      </c>
      <c r="W64" s="836">
        <v>3869</v>
      </c>
    </row>
    <row r="65" spans="1:23" s="331" customFormat="1" ht="13.5">
      <c r="A65" s="1544" t="s">
        <v>1182</v>
      </c>
      <c r="B65" s="838" t="s">
        <v>511</v>
      </c>
      <c r="C65" s="826" t="s">
        <v>70</v>
      </c>
      <c r="D65" s="835">
        <v>43</v>
      </c>
      <c r="E65" s="835">
        <v>54</v>
      </c>
      <c r="F65" s="835">
        <v>78</v>
      </c>
      <c r="G65" s="835">
        <v>173</v>
      </c>
      <c r="H65" s="835">
        <v>47</v>
      </c>
      <c r="I65" s="835">
        <v>150</v>
      </c>
      <c r="J65" s="835">
        <v>57</v>
      </c>
      <c r="K65" s="835">
        <v>61</v>
      </c>
      <c r="L65" s="835">
        <v>84</v>
      </c>
      <c r="M65" s="835">
        <v>34</v>
      </c>
      <c r="N65" s="827">
        <v>30</v>
      </c>
      <c r="O65" s="835">
        <v>31</v>
      </c>
      <c r="P65" s="835">
        <v>51</v>
      </c>
      <c r="Q65" s="835">
        <v>100</v>
      </c>
      <c r="R65" s="826" t="s">
        <v>70</v>
      </c>
      <c r="S65" s="835">
        <v>138</v>
      </c>
      <c r="T65" s="835">
        <v>17</v>
      </c>
      <c r="U65" s="835" t="s">
        <v>70</v>
      </c>
      <c r="V65" s="834">
        <v>1148</v>
      </c>
      <c r="W65" s="836">
        <v>11480</v>
      </c>
    </row>
    <row r="66" spans="1:23" s="331" customFormat="1" ht="13.5">
      <c r="A66" s="1544" t="s">
        <v>1183</v>
      </c>
      <c r="B66" s="838" t="s">
        <v>512</v>
      </c>
      <c r="C66" s="826">
        <v>19</v>
      </c>
      <c r="D66" s="835">
        <v>55</v>
      </c>
      <c r="E66" s="835">
        <v>74</v>
      </c>
      <c r="F66" s="835">
        <v>104</v>
      </c>
      <c r="G66" s="835">
        <v>353</v>
      </c>
      <c r="H66" s="835">
        <v>64</v>
      </c>
      <c r="I66" s="835">
        <v>188</v>
      </c>
      <c r="J66" s="835">
        <v>84</v>
      </c>
      <c r="K66" s="835">
        <v>77</v>
      </c>
      <c r="L66" s="835">
        <v>144</v>
      </c>
      <c r="M66" s="835">
        <v>56</v>
      </c>
      <c r="N66" s="827">
        <v>56</v>
      </c>
      <c r="O66" s="835">
        <v>35</v>
      </c>
      <c r="P66" s="835">
        <v>86</v>
      </c>
      <c r="Q66" s="835">
        <v>182</v>
      </c>
      <c r="R66" s="826">
        <v>20</v>
      </c>
      <c r="S66" s="835">
        <v>146</v>
      </c>
      <c r="T66" s="835">
        <v>21</v>
      </c>
      <c r="U66" s="835">
        <v>17</v>
      </c>
      <c r="V66" s="834">
        <v>1781</v>
      </c>
      <c r="W66" s="836">
        <v>15001</v>
      </c>
    </row>
    <row r="67" spans="1:23" s="331" customFormat="1" ht="13.5">
      <c r="A67" s="1544" t="s">
        <v>1184</v>
      </c>
      <c r="B67" s="838" t="s">
        <v>513</v>
      </c>
      <c r="C67" s="826">
        <v>65</v>
      </c>
      <c r="D67" s="835">
        <v>148</v>
      </c>
      <c r="E67" s="835">
        <v>221</v>
      </c>
      <c r="F67" s="835">
        <v>250</v>
      </c>
      <c r="G67" s="835">
        <v>708</v>
      </c>
      <c r="H67" s="835">
        <v>103</v>
      </c>
      <c r="I67" s="835">
        <v>655</v>
      </c>
      <c r="J67" s="835">
        <v>182</v>
      </c>
      <c r="K67" s="835">
        <v>139</v>
      </c>
      <c r="L67" s="835">
        <v>338</v>
      </c>
      <c r="M67" s="835">
        <v>160</v>
      </c>
      <c r="N67" s="827">
        <v>98</v>
      </c>
      <c r="O67" s="835">
        <v>82</v>
      </c>
      <c r="P67" s="835">
        <v>223</v>
      </c>
      <c r="Q67" s="835">
        <v>388</v>
      </c>
      <c r="R67" s="826">
        <v>61</v>
      </c>
      <c r="S67" s="835">
        <v>304</v>
      </c>
      <c r="T67" s="835">
        <v>52</v>
      </c>
      <c r="U67" s="835">
        <v>33</v>
      </c>
      <c r="V67" s="834">
        <v>4210</v>
      </c>
      <c r="W67" s="836">
        <v>31324</v>
      </c>
    </row>
    <row r="68" spans="1:23" s="331" customFormat="1" ht="13.5">
      <c r="A68" s="1544" t="s">
        <v>1185</v>
      </c>
      <c r="B68" s="838" t="s">
        <v>514</v>
      </c>
      <c r="C68" s="826">
        <v>43</v>
      </c>
      <c r="D68" s="835">
        <v>112</v>
      </c>
      <c r="E68" s="835">
        <v>134</v>
      </c>
      <c r="F68" s="835">
        <v>156</v>
      </c>
      <c r="G68" s="835">
        <v>378</v>
      </c>
      <c r="H68" s="835">
        <v>50</v>
      </c>
      <c r="I68" s="835">
        <v>600</v>
      </c>
      <c r="J68" s="835">
        <v>94</v>
      </c>
      <c r="K68" s="835">
        <v>92</v>
      </c>
      <c r="L68" s="835">
        <v>184</v>
      </c>
      <c r="M68" s="835">
        <v>104</v>
      </c>
      <c r="N68" s="827">
        <v>74</v>
      </c>
      <c r="O68" s="835">
        <v>62</v>
      </c>
      <c r="P68" s="835">
        <v>107</v>
      </c>
      <c r="Q68" s="835">
        <v>281</v>
      </c>
      <c r="R68" s="826">
        <v>47</v>
      </c>
      <c r="S68" s="835">
        <v>258</v>
      </c>
      <c r="T68" s="835">
        <v>32</v>
      </c>
      <c r="U68" s="835">
        <v>30</v>
      </c>
      <c r="V68" s="834">
        <v>2838</v>
      </c>
      <c r="W68" s="836">
        <v>18902</v>
      </c>
    </row>
    <row r="69" spans="1:23" s="331" customFormat="1" ht="13.5">
      <c r="A69" s="1544" t="s">
        <v>1186</v>
      </c>
      <c r="B69" s="838" t="s">
        <v>260</v>
      </c>
      <c r="C69" s="826">
        <v>103</v>
      </c>
      <c r="D69" s="826">
        <v>261</v>
      </c>
      <c r="E69" s="826">
        <v>376</v>
      </c>
      <c r="F69" s="826">
        <v>455</v>
      </c>
      <c r="G69" s="826">
        <v>1283</v>
      </c>
      <c r="H69" s="826">
        <v>220</v>
      </c>
      <c r="I69" s="826">
        <v>1062</v>
      </c>
      <c r="J69" s="826">
        <v>346</v>
      </c>
      <c r="K69" s="826">
        <v>303</v>
      </c>
      <c r="L69" s="826">
        <v>600</v>
      </c>
      <c r="M69" s="826">
        <v>274</v>
      </c>
      <c r="N69" s="826">
        <v>196</v>
      </c>
      <c r="O69" s="826">
        <v>161</v>
      </c>
      <c r="P69" s="826">
        <v>390</v>
      </c>
      <c r="Q69" s="826">
        <v>715</v>
      </c>
      <c r="R69" s="826">
        <v>99</v>
      </c>
      <c r="S69" s="826">
        <v>633</v>
      </c>
      <c r="T69" s="826">
        <v>98</v>
      </c>
      <c r="U69" s="826">
        <v>71</v>
      </c>
      <c r="V69" s="834">
        <v>7646</v>
      </c>
      <c r="W69" s="826">
        <v>61674</v>
      </c>
    </row>
    <row r="70" spans="1:23" s="331" customFormat="1" ht="13.5">
      <c r="A70" s="1544" t="s">
        <v>1187</v>
      </c>
      <c r="B70" s="838" t="s">
        <v>261</v>
      </c>
      <c r="C70" s="826">
        <v>53</v>
      </c>
      <c r="D70" s="835">
        <v>113</v>
      </c>
      <c r="E70" s="835">
        <v>159</v>
      </c>
      <c r="F70" s="835">
        <v>251</v>
      </c>
      <c r="G70" s="835">
        <v>620</v>
      </c>
      <c r="H70" s="835">
        <v>121</v>
      </c>
      <c r="I70" s="835">
        <v>493</v>
      </c>
      <c r="J70" s="835">
        <v>155</v>
      </c>
      <c r="K70" s="835">
        <v>143</v>
      </c>
      <c r="L70" s="835">
        <v>255</v>
      </c>
      <c r="M70" s="835">
        <v>158</v>
      </c>
      <c r="N70" s="827">
        <v>98</v>
      </c>
      <c r="O70" s="835">
        <v>54</v>
      </c>
      <c r="P70" s="835">
        <v>195</v>
      </c>
      <c r="Q70" s="835">
        <v>325</v>
      </c>
      <c r="R70" s="826">
        <v>45</v>
      </c>
      <c r="S70" s="835">
        <v>192</v>
      </c>
      <c r="T70" s="835">
        <v>30</v>
      </c>
      <c r="U70" s="835">
        <v>17</v>
      </c>
      <c r="V70" s="834">
        <v>3477</v>
      </c>
      <c r="W70" s="836">
        <v>28650</v>
      </c>
    </row>
    <row r="71" spans="1:23" s="331" customFormat="1" ht="13.5">
      <c r="A71" s="1544" t="s">
        <v>1188</v>
      </c>
      <c r="B71" s="838" t="s">
        <v>262</v>
      </c>
      <c r="C71" s="826">
        <v>24</v>
      </c>
      <c r="D71" s="835">
        <v>72</v>
      </c>
      <c r="E71" s="835">
        <v>121</v>
      </c>
      <c r="F71" s="835">
        <v>160</v>
      </c>
      <c r="G71" s="835">
        <v>434</v>
      </c>
      <c r="H71" s="835">
        <v>84</v>
      </c>
      <c r="I71" s="835">
        <v>330</v>
      </c>
      <c r="J71" s="835">
        <v>104</v>
      </c>
      <c r="K71" s="835">
        <v>95</v>
      </c>
      <c r="L71" s="835">
        <v>173</v>
      </c>
      <c r="M71" s="835">
        <v>99</v>
      </c>
      <c r="N71" s="827">
        <v>74</v>
      </c>
      <c r="O71" s="835">
        <v>46</v>
      </c>
      <c r="P71" s="835">
        <v>142</v>
      </c>
      <c r="Q71" s="835">
        <v>230</v>
      </c>
      <c r="R71" s="826">
        <v>27</v>
      </c>
      <c r="S71" s="835">
        <v>105</v>
      </c>
      <c r="T71" s="835">
        <v>20</v>
      </c>
      <c r="U71" s="835">
        <v>9</v>
      </c>
      <c r="V71" s="834">
        <v>2349</v>
      </c>
      <c r="W71" s="836">
        <v>20130</v>
      </c>
    </row>
    <row r="72" spans="1:23" s="331" customFormat="1" ht="13.5">
      <c r="A72" s="1544" t="s">
        <v>1220</v>
      </c>
      <c r="B72" s="838" t="s">
        <v>507</v>
      </c>
      <c r="C72" s="826" t="s">
        <v>70</v>
      </c>
      <c r="D72" s="835">
        <v>37</v>
      </c>
      <c r="E72" s="835">
        <v>21</v>
      </c>
      <c r="F72" s="835">
        <v>56</v>
      </c>
      <c r="G72" s="835">
        <v>69</v>
      </c>
      <c r="H72" s="835">
        <v>7</v>
      </c>
      <c r="I72" s="835">
        <v>291</v>
      </c>
      <c r="J72" s="835" t="s">
        <v>70</v>
      </c>
      <c r="K72" s="835">
        <v>23</v>
      </c>
      <c r="L72" s="835">
        <v>41</v>
      </c>
      <c r="M72" s="835">
        <v>35</v>
      </c>
      <c r="N72" s="827">
        <v>19</v>
      </c>
      <c r="O72" s="835">
        <v>10</v>
      </c>
      <c r="P72" s="835">
        <v>20</v>
      </c>
      <c r="Q72" s="835">
        <v>78</v>
      </c>
      <c r="R72" s="826">
        <v>11</v>
      </c>
      <c r="S72" s="835">
        <v>80</v>
      </c>
      <c r="T72" s="835">
        <v>6</v>
      </c>
      <c r="U72" s="835">
        <v>6</v>
      </c>
      <c r="V72" s="834">
        <v>810</v>
      </c>
      <c r="W72" s="836">
        <v>4070</v>
      </c>
    </row>
    <row r="73" spans="1:23" s="331" customFormat="1" ht="13.5">
      <c r="A73" s="1544" t="s">
        <v>1189</v>
      </c>
      <c r="B73" s="838" t="s">
        <v>469</v>
      </c>
      <c r="C73" s="826">
        <v>17</v>
      </c>
      <c r="D73" s="835">
        <v>38</v>
      </c>
      <c r="E73" s="835">
        <v>46</v>
      </c>
      <c r="F73" s="835">
        <v>81</v>
      </c>
      <c r="G73" s="835">
        <v>222</v>
      </c>
      <c r="H73" s="835">
        <v>34</v>
      </c>
      <c r="I73" s="835">
        <v>205</v>
      </c>
      <c r="J73" s="835">
        <v>50</v>
      </c>
      <c r="K73" s="835">
        <v>48</v>
      </c>
      <c r="L73" s="835">
        <v>71</v>
      </c>
      <c r="M73" s="835">
        <v>24</v>
      </c>
      <c r="N73" s="827">
        <v>21</v>
      </c>
      <c r="O73" s="835">
        <v>23</v>
      </c>
      <c r="P73" s="835">
        <v>69</v>
      </c>
      <c r="Q73" s="835">
        <v>85</v>
      </c>
      <c r="R73" s="826">
        <v>17</v>
      </c>
      <c r="S73" s="835">
        <v>126</v>
      </c>
      <c r="T73" s="835">
        <v>7</v>
      </c>
      <c r="U73" s="835">
        <v>9</v>
      </c>
      <c r="V73" s="834">
        <v>1193</v>
      </c>
      <c r="W73" s="836">
        <v>7230</v>
      </c>
    </row>
    <row r="74" spans="1:23" s="331" customFormat="1" ht="13.5">
      <c r="A74" s="1544" t="s">
        <v>1307</v>
      </c>
      <c r="B74" s="473" t="s">
        <v>499</v>
      </c>
      <c r="C74" s="384"/>
      <c r="D74" s="817"/>
      <c r="E74" s="817"/>
      <c r="F74" s="817"/>
      <c r="G74" s="817"/>
      <c r="H74" s="817"/>
      <c r="I74" s="817"/>
      <c r="J74" s="817"/>
      <c r="K74" s="817"/>
      <c r="L74" s="817"/>
      <c r="M74" s="817"/>
      <c r="N74" s="385"/>
      <c r="O74" s="817"/>
      <c r="P74" s="817"/>
      <c r="Q74" s="817"/>
      <c r="R74" s="384"/>
      <c r="S74" s="817"/>
      <c r="T74" s="817"/>
      <c r="U74" s="817"/>
      <c r="V74" s="818"/>
      <c r="W74" s="381"/>
    </row>
    <row r="75" spans="1:23" s="331" customFormat="1" ht="13.5">
      <c r="A75" s="1544" t="s">
        <v>1308</v>
      </c>
      <c r="B75" s="473" t="s">
        <v>500</v>
      </c>
      <c r="C75" s="384"/>
      <c r="D75" s="817"/>
      <c r="E75" s="817"/>
      <c r="F75" s="817"/>
      <c r="G75" s="817"/>
      <c r="H75" s="817"/>
      <c r="I75" s="817"/>
      <c r="J75" s="817"/>
      <c r="K75" s="817"/>
      <c r="L75" s="817"/>
      <c r="M75" s="817"/>
      <c r="N75" s="385"/>
      <c r="O75" s="817"/>
      <c r="P75" s="817"/>
      <c r="Q75" s="817"/>
      <c r="R75" s="384"/>
      <c r="S75" s="817"/>
      <c r="T75" s="817"/>
      <c r="U75" s="817"/>
      <c r="V75" s="330"/>
      <c r="W75" s="381"/>
    </row>
    <row r="76" spans="1:23" s="331" customFormat="1" ht="13.5">
      <c r="A76" s="1544" t="s">
        <v>1221</v>
      </c>
      <c r="B76" s="838" t="s">
        <v>470</v>
      </c>
      <c r="C76" s="826">
        <v>41</v>
      </c>
      <c r="D76" s="835">
        <v>151</v>
      </c>
      <c r="E76" s="835">
        <v>205</v>
      </c>
      <c r="F76" s="835">
        <v>203</v>
      </c>
      <c r="G76" s="835">
        <v>614</v>
      </c>
      <c r="H76" s="835">
        <v>71</v>
      </c>
      <c r="I76" s="835">
        <v>976</v>
      </c>
      <c r="J76" s="835">
        <v>149</v>
      </c>
      <c r="K76" s="835">
        <v>161</v>
      </c>
      <c r="L76" s="835">
        <v>288</v>
      </c>
      <c r="M76" s="835">
        <v>126</v>
      </c>
      <c r="N76" s="827">
        <v>94</v>
      </c>
      <c r="O76" s="835">
        <v>129</v>
      </c>
      <c r="P76" s="835">
        <v>192</v>
      </c>
      <c r="Q76" s="835">
        <v>419</v>
      </c>
      <c r="R76" s="826">
        <v>48</v>
      </c>
      <c r="S76" s="835">
        <v>455</v>
      </c>
      <c r="T76" s="835">
        <v>51</v>
      </c>
      <c r="U76" s="835">
        <v>51</v>
      </c>
      <c r="V76" s="834">
        <v>4424</v>
      </c>
      <c r="W76" s="836">
        <v>28440</v>
      </c>
    </row>
    <row r="77" spans="1:23" s="331" customFormat="1" ht="13.5">
      <c r="A77" s="1544" t="s">
        <v>1309</v>
      </c>
      <c r="B77" s="473" t="s">
        <v>471</v>
      </c>
      <c r="C77" s="384"/>
      <c r="D77" s="817"/>
      <c r="E77" s="817"/>
      <c r="F77" s="817"/>
      <c r="G77" s="817"/>
      <c r="H77" s="817"/>
      <c r="I77" s="817"/>
      <c r="J77" s="817"/>
      <c r="K77" s="817"/>
      <c r="L77" s="817"/>
      <c r="M77" s="817"/>
      <c r="N77" s="385"/>
      <c r="O77" s="817"/>
      <c r="P77" s="817"/>
      <c r="Q77" s="817"/>
      <c r="R77" s="384"/>
      <c r="S77" s="817"/>
      <c r="T77" s="817"/>
      <c r="U77" s="817"/>
      <c r="V77" s="818"/>
      <c r="W77" s="381"/>
    </row>
    <row r="78" spans="1:23" s="331" customFormat="1" ht="13.5">
      <c r="A78" s="1544" t="s">
        <v>1190</v>
      </c>
      <c r="B78" s="838" t="s">
        <v>472</v>
      </c>
      <c r="C78" s="826">
        <v>0</v>
      </c>
      <c r="D78" s="835" t="s">
        <v>70</v>
      </c>
      <c r="E78" s="835" t="s">
        <v>70</v>
      </c>
      <c r="F78" s="835" t="s">
        <v>70</v>
      </c>
      <c r="G78" s="835">
        <v>6</v>
      </c>
      <c r="H78" s="835" t="s">
        <v>70</v>
      </c>
      <c r="I78" s="835">
        <v>9</v>
      </c>
      <c r="J78" s="835" t="s">
        <v>70</v>
      </c>
      <c r="K78" s="835" t="s">
        <v>70</v>
      </c>
      <c r="L78" s="835" t="s">
        <v>70</v>
      </c>
      <c r="M78" s="835">
        <v>0</v>
      </c>
      <c r="N78" s="827" t="s">
        <v>70</v>
      </c>
      <c r="O78" s="835" t="s">
        <v>70</v>
      </c>
      <c r="P78" s="835" t="s">
        <v>70</v>
      </c>
      <c r="Q78" s="835" t="s">
        <v>70</v>
      </c>
      <c r="R78" s="826">
        <v>0</v>
      </c>
      <c r="S78" s="835" t="s">
        <v>70</v>
      </c>
      <c r="T78" s="835">
        <v>0</v>
      </c>
      <c r="U78" s="835" t="s">
        <v>70</v>
      </c>
      <c r="V78" s="834">
        <v>40</v>
      </c>
      <c r="W78" s="836">
        <v>530</v>
      </c>
    </row>
    <row r="79" spans="1:23" s="331" customFormat="1" ht="13.5">
      <c r="A79" s="1544" t="s">
        <v>1191</v>
      </c>
      <c r="B79" s="838" t="s">
        <v>531</v>
      </c>
      <c r="C79" s="826" t="s">
        <v>70</v>
      </c>
      <c r="D79" s="835">
        <v>7</v>
      </c>
      <c r="E79" s="835">
        <v>13</v>
      </c>
      <c r="F79" s="835">
        <v>23</v>
      </c>
      <c r="G79" s="835">
        <v>36</v>
      </c>
      <c r="H79" s="835">
        <v>8</v>
      </c>
      <c r="I79" s="835">
        <v>55</v>
      </c>
      <c r="J79" s="835">
        <v>17</v>
      </c>
      <c r="K79" s="835">
        <v>20</v>
      </c>
      <c r="L79" s="835">
        <v>30</v>
      </c>
      <c r="M79" s="835">
        <v>10</v>
      </c>
      <c r="N79" s="827">
        <v>9</v>
      </c>
      <c r="O79" s="835">
        <v>8</v>
      </c>
      <c r="P79" s="835">
        <v>11</v>
      </c>
      <c r="Q79" s="835">
        <v>10</v>
      </c>
      <c r="R79" s="826" t="s">
        <v>70</v>
      </c>
      <c r="S79" s="835">
        <v>26</v>
      </c>
      <c r="T79" s="835" t="s">
        <v>70</v>
      </c>
      <c r="U79" s="835" t="s">
        <v>70</v>
      </c>
      <c r="V79" s="834">
        <v>300</v>
      </c>
      <c r="W79" s="836">
        <v>2270</v>
      </c>
    </row>
    <row r="80" spans="1:23" s="331" customFormat="1" ht="13.5">
      <c r="A80" s="1544" t="s">
        <v>1222</v>
      </c>
      <c r="B80" s="838" t="s">
        <v>263</v>
      </c>
      <c r="C80" s="826">
        <v>37</v>
      </c>
      <c r="D80" s="835">
        <v>153</v>
      </c>
      <c r="E80" s="835">
        <v>184</v>
      </c>
      <c r="F80" s="835">
        <v>176</v>
      </c>
      <c r="G80" s="835">
        <v>573</v>
      </c>
      <c r="H80" s="835">
        <v>65</v>
      </c>
      <c r="I80" s="835">
        <v>1137</v>
      </c>
      <c r="J80" s="835">
        <v>135</v>
      </c>
      <c r="K80" s="835">
        <v>168</v>
      </c>
      <c r="L80" s="835">
        <v>278</v>
      </c>
      <c r="M80" s="835">
        <v>216</v>
      </c>
      <c r="N80" s="827">
        <v>101</v>
      </c>
      <c r="O80" s="835">
        <v>103</v>
      </c>
      <c r="P80" s="835">
        <v>183</v>
      </c>
      <c r="Q80" s="835">
        <v>409</v>
      </c>
      <c r="R80" s="826">
        <v>58</v>
      </c>
      <c r="S80" s="835">
        <v>386</v>
      </c>
      <c r="T80" s="835">
        <v>39</v>
      </c>
      <c r="U80" s="835">
        <v>49</v>
      </c>
      <c r="V80" s="834">
        <v>4450</v>
      </c>
      <c r="W80" s="836">
        <v>28010</v>
      </c>
    </row>
    <row r="81" spans="1:23" s="331" customFormat="1" ht="13.5">
      <c r="A81" s="1544" t="s">
        <v>1310</v>
      </c>
      <c r="B81" s="838" t="s">
        <v>874</v>
      </c>
      <c r="C81" s="826">
        <v>18</v>
      </c>
      <c r="D81" s="835">
        <v>69</v>
      </c>
      <c r="E81" s="835">
        <v>96</v>
      </c>
      <c r="F81" s="835">
        <v>62</v>
      </c>
      <c r="G81" s="835">
        <v>251</v>
      </c>
      <c r="H81" s="835">
        <v>23</v>
      </c>
      <c r="I81" s="835">
        <v>798</v>
      </c>
      <c r="J81" s="835">
        <v>51</v>
      </c>
      <c r="K81" s="835">
        <v>48</v>
      </c>
      <c r="L81" s="835">
        <v>140</v>
      </c>
      <c r="M81" s="835">
        <v>136</v>
      </c>
      <c r="N81" s="827">
        <v>34</v>
      </c>
      <c r="O81" s="835">
        <v>38</v>
      </c>
      <c r="P81" s="835">
        <v>45</v>
      </c>
      <c r="Q81" s="835">
        <v>228</v>
      </c>
      <c r="R81" s="826">
        <v>34</v>
      </c>
      <c r="S81" s="835">
        <v>165</v>
      </c>
      <c r="T81" s="835">
        <v>24</v>
      </c>
      <c r="U81" s="835">
        <v>17</v>
      </c>
      <c r="V81" s="834">
        <v>2350</v>
      </c>
      <c r="W81" s="836">
        <v>13350</v>
      </c>
    </row>
    <row r="82" spans="1:23" s="331" customFormat="1" ht="13.5">
      <c r="A82" s="1544" t="s">
        <v>1311</v>
      </c>
      <c r="B82" s="838" t="s">
        <v>875</v>
      </c>
      <c r="C82" s="826">
        <v>18</v>
      </c>
      <c r="D82" s="835">
        <v>69</v>
      </c>
      <c r="E82" s="835">
        <v>80</v>
      </c>
      <c r="F82" s="835">
        <v>62</v>
      </c>
      <c r="G82" s="835">
        <v>198</v>
      </c>
      <c r="H82" s="835">
        <v>23</v>
      </c>
      <c r="I82" s="835">
        <v>459</v>
      </c>
      <c r="J82" s="835">
        <v>51</v>
      </c>
      <c r="K82" s="835">
        <v>48</v>
      </c>
      <c r="L82" s="835">
        <v>121</v>
      </c>
      <c r="M82" s="835">
        <v>97</v>
      </c>
      <c r="N82" s="827">
        <v>27</v>
      </c>
      <c r="O82" s="835">
        <v>22</v>
      </c>
      <c r="P82" s="835">
        <v>45</v>
      </c>
      <c r="Q82" s="835">
        <v>191</v>
      </c>
      <c r="R82" s="826">
        <v>34</v>
      </c>
      <c r="S82" s="835">
        <v>126</v>
      </c>
      <c r="T82" s="835">
        <v>24</v>
      </c>
      <c r="U82" s="835">
        <v>17</v>
      </c>
      <c r="V82" s="834">
        <v>1712</v>
      </c>
      <c r="W82" s="836">
        <v>10810</v>
      </c>
    </row>
    <row r="83" spans="1:23" s="331" customFormat="1" ht="13.5">
      <c r="A83" s="1544" t="s">
        <v>1193</v>
      </c>
      <c r="B83" s="838" t="s">
        <v>264</v>
      </c>
      <c r="C83" s="826" t="s">
        <v>70</v>
      </c>
      <c r="D83" s="835">
        <v>11</v>
      </c>
      <c r="E83" s="835">
        <v>26</v>
      </c>
      <c r="F83" s="835">
        <v>27</v>
      </c>
      <c r="G83" s="835">
        <v>51</v>
      </c>
      <c r="H83" s="835" t="s">
        <v>70</v>
      </c>
      <c r="I83" s="835">
        <v>44</v>
      </c>
      <c r="J83" s="835">
        <v>14</v>
      </c>
      <c r="K83" s="835">
        <v>20</v>
      </c>
      <c r="L83" s="835">
        <v>26</v>
      </c>
      <c r="M83" s="835">
        <v>17</v>
      </c>
      <c r="N83" s="827">
        <v>11</v>
      </c>
      <c r="O83" s="835">
        <v>10</v>
      </c>
      <c r="P83" s="835">
        <v>32</v>
      </c>
      <c r="Q83" s="835">
        <v>30</v>
      </c>
      <c r="R83" s="826">
        <v>6</v>
      </c>
      <c r="S83" s="835">
        <v>36</v>
      </c>
      <c r="T83" s="835" t="s">
        <v>70</v>
      </c>
      <c r="U83" s="835" t="s">
        <v>70</v>
      </c>
      <c r="V83" s="825">
        <v>370</v>
      </c>
      <c r="W83" s="836">
        <v>2870</v>
      </c>
    </row>
    <row r="84" spans="1:23" s="331" customFormat="1" ht="13.5">
      <c r="A84" s="1544" t="s">
        <v>1312</v>
      </c>
      <c r="B84" s="838" t="s">
        <v>265</v>
      </c>
      <c r="C84" s="842">
        <v>460</v>
      </c>
      <c r="D84" s="842">
        <v>3092</v>
      </c>
      <c r="E84" s="842" t="s">
        <v>70</v>
      </c>
      <c r="F84" s="842">
        <v>11341</v>
      </c>
      <c r="G84" s="842">
        <v>17689</v>
      </c>
      <c r="H84" s="842" t="s">
        <v>70</v>
      </c>
      <c r="I84" s="842">
        <v>11521</v>
      </c>
      <c r="J84" s="842">
        <v>5684</v>
      </c>
      <c r="K84" s="842">
        <v>7613</v>
      </c>
      <c r="L84" s="842">
        <v>11790</v>
      </c>
      <c r="M84" s="842">
        <v>10027</v>
      </c>
      <c r="N84" s="842">
        <v>4107</v>
      </c>
      <c r="O84" s="842">
        <v>5361</v>
      </c>
      <c r="P84" s="842">
        <v>11610</v>
      </c>
      <c r="Q84" s="842">
        <v>15136</v>
      </c>
      <c r="R84" s="842">
        <v>2950</v>
      </c>
      <c r="S84" s="842">
        <v>17460</v>
      </c>
      <c r="T84" s="842" t="s">
        <v>70</v>
      </c>
      <c r="U84" s="842">
        <v>1197</v>
      </c>
      <c r="V84" s="825">
        <v>137038</v>
      </c>
      <c r="W84" s="836">
        <v>1199992.2088495565</v>
      </c>
    </row>
    <row r="85" spans="1:23" s="331" customFormat="1" ht="22.5">
      <c r="A85" s="1544" t="s">
        <v>1313</v>
      </c>
      <c r="B85" s="473" t="s">
        <v>266</v>
      </c>
      <c r="C85" s="817"/>
      <c r="D85" s="817"/>
      <c r="E85" s="817"/>
      <c r="F85" s="817"/>
      <c r="G85" s="817"/>
      <c r="H85" s="817"/>
      <c r="I85" s="817"/>
      <c r="J85" s="817"/>
      <c r="K85" s="817"/>
      <c r="L85" s="817"/>
      <c r="M85" s="817"/>
      <c r="N85" s="817"/>
      <c r="O85" s="817"/>
      <c r="P85" s="817"/>
      <c r="Q85" s="817"/>
      <c r="R85" s="817"/>
      <c r="S85" s="817"/>
      <c r="T85" s="817"/>
      <c r="U85" s="817"/>
      <c r="V85" s="818"/>
      <c r="W85" s="381"/>
    </row>
    <row r="86" spans="1:23" s="331" customFormat="1" ht="13.5">
      <c r="A86" s="1544" t="s">
        <v>1194</v>
      </c>
      <c r="B86" s="838" t="s">
        <v>876</v>
      </c>
      <c r="C86" s="835" t="s">
        <v>70</v>
      </c>
      <c r="D86" s="835">
        <v>21</v>
      </c>
      <c r="E86" s="835">
        <v>16</v>
      </c>
      <c r="F86" s="835">
        <v>10</v>
      </c>
      <c r="G86" s="835">
        <v>0</v>
      </c>
      <c r="H86" s="835">
        <v>0</v>
      </c>
      <c r="I86" s="835">
        <v>56</v>
      </c>
      <c r="J86" s="835">
        <v>10</v>
      </c>
      <c r="K86" s="835" t="s">
        <v>70</v>
      </c>
      <c r="L86" s="835">
        <v>19</v>
      </c>
      <c r="M86" s="835">
        <v>7</v>
      </c>
      <c r="N86" s="835" t="s">
        <v>70</v>
      </c>
      <c r="O86" s="835">
        <v>9</v>
      </c>
      <c r="P86" s="835">
        <v>10</v>
      </c>
      <c r="Q86" s="835">
        <v>21</v>
      </c>
      <c r="R86" s="835">
        <v>9</v>
      </c>
      <c r="S86" s="835">
        <v>44</v>
      </c>
      <c r="T86" s="835" t="s">
        <v>70</v>
      </c>
      <c r="U86" s="835">
        <v>10</v>
      </c>
      <c r="V86" s="834">
        <v>260</v>
      </c>
      <c r="W86" s="1545">
        <v>2050</v>
      </c>
    </row>
    <row r="87" spans="1:23" s="331" customFormat="1" ht="13.5">
      <c r="A87" s="1544" t="s">
        <v>1314</v>
      </c>
      <c r="B87" s="838" t="s">
        <v>890</v>
      </c>
      <c r="C87" s="842">
        <v>9</v>
      </c>
      <c r="D87" s="842">
        <v>60</v>
      </c>
      <c r="E87" s="842">
        <v>39</v>
      </c>
      <c r="F87" s="842">
        <v>66</v>
      </c>
      <c r="G87" s="842">
        <v>173</v>
      </c>
      <c r="H87" s="842">
        <v>19</v>
      </c>
      <c r="I87" s="842">
        <v>208</v>
      </c>
      <c r="J87" s="842">
        <v>32</v>
      </c>
      <c r="K87" s="842">
        <v>22</v>
      </c>
      <c r="L87" s="842">
        <v>67</v>
      </c>
      <c r="M87" s="842">
        <v>66</v>
      </c>
      <c r="N87" s="842">
        <v>11</v>
      </c>
      <c r="O87" s="842">
        <v>19</v>
      </c>
      <c r="P87" s="842">
        <v>37</v>
      </c>
      <c r="Q87" s="842">
        <v>118</v>
      </c>
      <c r="R87" s="842">
        <v>17</v>
      </c>
      <c r="S87" s="842">
        <v>84</v>
      </c>
      <c r="T87" s="842">
        <v>18</v>
      </c>
      <c r="U87" s="842">
        <v>17</v>
      </c>
      <c r="V87" s="825">
        <v>1082</v>
      </c>
      <c r="W87" s="844">
        <v>6880</v>
      </c>
    </row>
    <row r="88" spans="1:23" s="331" customFormat="1" ht="13.5">
      <c r="A88" s="1544" t="s">
        <v>1195</v>
      </c>
      <c r="B88" s="838" t="s">
        <v>465</v>
      </c>
      <c r="C88" s="842">
        <v>60</v>
      </c>
      <c r="D88" s="842">
        <v>221</v>
      </c>
      <c r="E88" s="842">
        <v>207</v>
      </c>
      <c r="F88" s="842">
        <v>216</v>
      </c>
      <c r="G88" s="842">
        <v>623</v>
      </c>
      <c r="H88" s="842">
        <v>83</v>
      </c>
      <c r="I88" s="842">
        <v>1175</v>
      </c>
      <c r="J88" s="842">
        <v>133</v>
      </c>
      <c r="K88" s="842">
        <v>153</v>
      </c>
      <c r="L88" s="842">
        <v>301</v>
      </c>
      <c r="M88" s="842">
        <v>211</v>
      </c>
      <c r="N88" s="842">
        <v>100</v>
      </c>
      <c r="O88" s="842">
        <v>100</v>
      </c>
      <c r="P88" s="842">
        <v>142</v>
      </c>
      <c r="Q88" s="842">
        <v>532</v>
      </c>
      <c r="R88" s="842">
        <v>83</v>
      </c>
      <c r="S88" s="842">
        <v>384</v>
      </c>
      <c r="T88" s="842">
        <v>60</v>
      </c>
      <c r="U88" s="842">
        <v>59</v>
      </c>
      <c r="V88" s="825">
        <v>4843</v>
      </c>
      <c r="W88" s="844">
        <v>32504</v>
      </c>
    </row>
    <row r="89" spans="1:23" s="331" customFormat="1" ht="13.5">
      <c r="A89" s="1544" t="s">
        <v>1196</v>
      </c>
      <c r="B89" s="838" t="s">
        <v>466</v>
      </c>
      <c r="C89" s="842">
        <v>54</v>
      </c>
      <c r="D89" s="842">
        <v>207</v>
      </c>
      <c r="E89" s="842">
        <v>203</v>
      </c>
      <c r="F89" s="842">
        <v>186</v>
      </c>
      <c r="G89" s="842">
        <v>495</v>
      </c>
      <c r="H89" s="842">
        <v>79</v>
      </c>
      <c r="I89" s="842">
        <v>1045</v>
      </c>
      <c r="J89" s="842">
        <v>128</v>
      </c>
      <c r="K89" s="842">
        <v>136</v>
      </c>
      <c r="L89" s="842">
        <v>266</v>
      </c>
      <c r="M89" s="842">
        <v>164</v>
      </c>
      <c r="N89" s="842">
        <v>98</v>
      </c>
      <c r="O89" s="842">
        <v>79</v>
      </c>
      <c r="P89" s="842">
        <v>127</v>
      </c>
      <c r="Q89" s="842">
        <v>457</v>
      </c>
      <c r="R89" s="842">
        <v>75</v>
      </c>
      <c r="S89" s="842">
        <v>335</v>
      </c>
      <c r="T89" s="842">
        <v>60</v>
      </c>
      <c r="U89" s="842">
        <v>51</v>
      </c>
      <c r="V89" s="825">
        <v>4245</v>
      </c>
      <c r="W89" s="844">
        <v>29710</v>
      </c>
    </row>
    <row r="90" spans="1:23" s="331" customFormat="1" ht="13.5">
      <c r="A90" s="1544" t="s">
        <v>1197</v>
      </c>
      <c r="B90" s="838" t="s">
        <v>467</v>
      </c>
      <c r="C90" s="842">
        <v>49</v>
      </c>
      <c r="D90" s="842">
        <v>196</v>
      </c>
      <c r="E90" s="842">
        <v>195</v>
      </c>
      <c r="F90" s="842">
        <v>187</v>
      </c>
      <c r="G90" s="842">
        <v>476</v>
      </c>
      <c r="H90" s="842">
        <v>80</v>
      </c>
      <c r="I90" s="842">
        <v>949</v>
      </c>
      <c r="J90" s="842">
        <v>118</v>
      </c>
      <c r="K90" s="842">
        <v>132</v>
      </c>
      <c r="L90" s="842">
        <v>260</v>
      </c>
      <c r="M90" s="842">
        <v>151</v>
      </c>
      <c r="N90" s="842">
        <v>92</v>
      </c>
      <c r="O90" s="842">
        <v>80</v>
      </c>
      <c r="P90" s="842">
        <v>114</v>
      </c>
      <c r="Q90" s="842">
        <v>457</v>
      </c>
      <c r="R90" s="842">
        <v>77</v>
      </c>
      <c r="S90" s="842">
        <v>352</v>
      </c>
      <c r="T90" s="842">
        <v>54</v>
      </c>
      <c r="U90" s="842">
        <v>47</v>
      </c>
      <c r="V90" s="825">
        <v>4066</v>
      </c>
      <c r="W90" s="844">
        <v>28270</v>
      </c>
    </row>
    <row r="91" spans="1:23" s="331" customFormat="1" ht="13.5">
      <c r="A91" s="1544" t="s">
        <v>1198</v>
      </c>
      <c r="B91" s="838" t="s">
        <v>468</v>
      </c>
      <c r="C91" s="842">
        <v>25</v>
      </c>
      <c r="D91" s="842">
        <v>142</v>
      </c>
      <c r="E91" s="842">
        <v>111</v>
      </c>
      <c r="F91" s="842">
        <v>100</v>
      </c>
      <c r="G91" s="842">
        <v>330</v>
      </c>
      <c r="H91" s="842">
        <v>55</v>
      </c>
      <c r="I91" s="842">
        <v>588</v>
      </c>
      <c r="J91" s="842">
        <v>60</v>
      </c>
      <c r="K91" s="842">
        <v>70</v>
      </c>
      <c r="L91" s="842">
        <v>141</v>
      </c>
      <c r="M91" s="842">
        <v>98</v>
      </c>
      <c r="N91" s="842">
        <v>40</v>
      </c>
      <c r="O91" s="842">
        <v>49</v>
      </c>
      <c r="P91" s="842">
        <v>51</v>
      </c>
      <c r="Q91" s="842">
        <v>278</v>
      </c>
      <c r="R91" s="842">
        <v>59</v>
      </c>
      <c r="S91" s="842">
        <v>207</v>
      </c>
      <c r="T91" s="842">
        <v>35</v>
      </c>
      <c r="U91" s="842">
        <v>34</v>
      </c>
      <c r="V91" s="825">
        <v>2473</v>
      </c>
      <c r="W91" s="844">
        <v>16900</v>
      </c>
    </row>
    <row r="92" spans="1:23" s="331" customFormat="1" ht="13.5">
      <c r="A92" s="1544" t="s">
        <v>1206</v>
      </c>
      <c r="B92" s="838" t="s">
        <v>541</v>
      </c>
      <c r="C92" s="835" t="s">
        <v>70</v>
      </c>
      <c r="D92" s="835" t="s">
        <v>70</v>
      </c>
      <c r="E92" s="835" t="s">
        <v>70</v>
      </c>
      <c r="F92" s="835">
        <v>7</v>
      </c>
      <c r="G92" s="835">
        <v>17</v>
      </c>
      <c r="H92" s="835">
        <v>6</v>
      </c>
      <c r="I92" s="835" t="s">
        <v>70</v>
      </c>
      <c r="J92" s="835">
        <v>0</v>
      </c>
      <c r="K92" s="835" t="s">
        <v>70</v>
      </c>
      <c r="L92" s="835">
        <v>28</v>
      </c>
      <c r="M92" s="835">
        <v>12</v>
      </c>
      <c r="N92" s="835">
        <v>0</v>
      </c>
      <c r="O92" s="835">
        <v>0</v>
      </c>
      <c r="P92" s="835">
        <v>12</v>
      </c>
      <c r="Q92" s="835" t="s">
        <v>70</v>
      </c>
      <c r="R92" s="835">
        <v>0</v>
      </c>
      <c r="S92" s="835">
        <v>17</v>
      </c>
      <c r="T92" s="835" t="s">
        <v>70</v>
      </c>
      <c r="U92" s="835" t="s">
        <v>70</v>
      </c>
      <c r="V92" s="834">
        <v>120</v>
      </c>
      <c r="W92" s="1545">
        <v>1060</v>
      </c>
    </row>
    <row r="93" spans="1:23" s="331" customFormat="1" ht="13.5">
      <c r="A93" s="1544" t="s">
        <v>1241</v>
      </c>
      <c r="B93" s="838" t="s">
        <v>542</v>
      </c>
      <c r="C93" s="835" t="s">
        <v>70</v>
      </c>
      <c r="D93" s="835">
        <v>30</v>
      </c>
      <c r="E93" s="835">
        <v>16</v>
      </c>
      <c r="F93" s="835">
        <v>29</v>
      </c>
      <c r="G93" s="835">
        <v>77</v>
      </c>
      <c r="H93" s="835" t="s">
        <v>70</v>
      </c>
      <c r="I93" s="835">
        <v>36</v>
      </c>
      <c r="J93" s="835">
        <v>12</v>
      </c>
      <c r="K93" s="835">
        <v>43</v>
      </c>
      <c r="L93" s="835">
        <v>15</v>
      </c>
      <c r="M93" s="835">
        <v>12</v>
      </c>
      <c r="N93" s="835">
        <v>23</v>
      </c>
      <c r="O93" s="835">
        <v>11</v>
      </c>
      <c r="P93" s="835">
        <v>33</v>
      </c>
      <c r="Q93" s="835">
        <v>44</v>
      </c>
      <c r="R93" s="835">
        <v>8</v>
      </c>
      <c r="S93" s="835">
        <v>63</v>
      </c>
      <c r="T93" s="835" t="s">
        <v>70</v>
      </c>
      <c r="U93" s="835">
        <v>9</v>
      </c>
      <c r="V93" s="834">
        <v>470</v>
      </c>
      <c r="W93" s="1545">
        <v>3800</v>
      </c>
    </row>
    <row r="94" spans="1:23" s="331" customFormat="1" ht="13.5">
      <c r="A94" s="1544" t="s">
        <v>1315</v>
      </c>
      <c r="B94" s="477" t="s">
        <v>267</v>
      </c>
      <c r="C94" s="817"/>
      <c r="D94" s="817"/>
      <c r="E94" s="817"/>
      <c r="F94" s="817"/>
      <c r="G94" s="817"/>
      <c r="H94" s="817"/>
      <c r="I94" s="817"/>
      <c r="J94" s="817"/>
      <c r="K94" s="817"/>
      <c r="L94" s="817"/>
      <c r="M94" s="817"/>
      <c r="N94" s="817"/>
      <c r="O94" s="817"/>
      <c r="P94" s="817"/>
      <c r="Q94" s="817"/>
      <c r="R94" s="817"/>
      <c r="S94" s="817"/>
      <c r="T94" s="817"/>
      <c r="U94" s="817"/>
      <c r="V94" s="818"/>
      <c r="W94" s="820"/>
    </row>
    <row r="95" spans="1:23" s="331" customFormat="1" ht="13.5">
      <c r="A95" s="1544" t="s">
        <v>1316</v>
      </c>
      <c r="B95" s="477" t="s">
        <v>268</v>
      </c>
      <c r="C95" s="817"/>
      <c r="D95" s="817"/>
      <c r="E95" s="817"/>
      <c r="F95" s="817"/>
      <c r="G95" s="817"/>
      <c r="H95" s="817"/>
      <c r="I95" s="817"/>
      <c r="J95" s="817"/>
      <c r="K95" s="817"/>
      <c r="L95" s="817"/>
      <c r="M95" s="817"/>
      <c r="N95" s="817"/>
      <c r="O95" s="817"/>
      <c r="P95" s="817"/>
      <c r="Q95" s="817"/>
      <c r="R95" s="817"/>
      <c r="S95" s="817"/>
      <c r="T95" s="817"/>
      <c r="U95" s="817"/>
      <c r="V95" s="818"/>
      <c r="W95" s="820"/>
    </row>
    <row r="96" spans="1:23" s="331" customFormat="1" ht="13.5">
      <c r="A96" s="1544" t="s">
        <v>1223</v>
      </c>
      <c r="B96" s="838" t="s">
        <v>463</v>
      </c>
      <c r="C96" s="842">
        <v>15.05</v>
      </c>
      <c r="D96" s="842">
        <v>39.020000000000003</v>
      </c>
      <c r="E96" s="842">
        <v>82.01</v>
      </c>
      <c r="F96" s="842">
        <v>84.98</v>
      </c>
      <c r="G96" s="842">
        <v>197.69</v>
      </c>
      <c r="H96" s="842">
        <v>28.4</v>
      </c>
      <c r="I96" s="842">
        <v>246.51</v>
      </c>
      <c r="J96" s="842">
        <v>27.53</v>
      </c>
      <c r="K96" s="842">
        <v>41.88</v>
      </c>
      <c r="L96" s="842">
        <v>148.28</v>
      </c>
      <c r="M96" s="842">
        <v>53.25</v>
      </c>
      <c r="N96" s="842">
        <v>33.869999999999997</v>
      </c>
      <c r="O96" s="842">
        <v>33.93</v>
      </c>
      <c r="P96" s="842">
        <v>63.4</v>
      </c>
      <c r="Q96" s="842">
        <v>116.76</v>
      </c>
      <c r="R96" s="842">
        <v>28.11</v>
      </c>
      <c r="S96" s="842">
        <v>58.28</v>
      </c>
      <c r="T96" s="842">
        <v>22.12</v>
      </c>
      <c r="U96" s="842">
        <v>23.21</v>
      </c>
      <c r="V96" s="825">
        <v>1344.27</v>
      </c>
      <c r="W96" s="844">
        <v>8535.82</v>
      </c>
    </row>
    <row r="97" spans="1:24" s="331" customFormat="1" ht="13.5">
      <c r="A97" s="1544" t="s">
        <v>1317</v>
      </c>
      <c r="B97" s="473" t="s">
        <v>464</v>
      </c>
      <c r="C97" s="602"/>
      <c r="D97" s="602"/>
      <c r="E97" s="602"/>
      <c r="F97" s="602"/>
      <c r="G97" s="602"/>
      <c r="H97" s="602"/>
      <c r="I97" s="602"/>
      <c r="J97" s="602"/>
      <c r="K97" s="602"/>
      <c r="L97" s="602"/>
      <c r="M97" s="602"/>
      <c r="N97" s="602"/>
      <c r="O97" s="602"/>
      <c r="P97" s="602"/>
      <c r="Q97" s="602"/>
      <c r="R97" s="602"/>
      <c r="S97" s="602"/>
      <c r="T97" s="602"/>
      <c r="U97" s="602"/>
      <c r="V97" s="330"/>
      <c r="W97" s="603"/>
    </row>
    <row r="98" spans="1:24" s="331" customFormat="1" ht="13.5">
      <c r="A98" s="1544" t="s">
        <v>1318</v>
      </c>
      <c r="B98" s="473" t="s">
        <v>1066</v>
      </c>
      <c r="C98" s="602"/>
      <c r="D98" s="602"/>
      <c r="E98" s="602"/>
      <c r="F98" s="602"/>
      <c r="G98" s="602"/>
      <c r="H98" s="602"/>
      <c r="I98" s="602"/>
      <c r="J98" s="602"/>
      <c r="K98" s="602"/>
      <c r="L98" s="602"/>
      <c r="M98" s="602"/>
      <c r="N98" s="602"/>
      <c r="O98" s="602"/>
      <c r="P98" s="602"/>
      <c r="Q98" s="602"/>
      <c r="R98" s="602"/>
      <c r="S98" s="602"/>
      <c r="T98" s="602"/>
      <c r="U98" s="602"/>
      <c r="V98" s="330"/>
      <c r="W98" s="603"/>
    </row>
    <row r="99" spans="1:24" s="331" customFormat="1" ht="13.5">
      <c r="A99" s="1544" t="s">
        <v>1204</v>
      </c>
      <c r="B99" s="838" t="s">
        <v>766</v>
      </c>
      <c r="C99" s="842">
        <v>19</v>
      </c>
      <c r="D99" s="842">
        <v>63</v>
      </c>
      <c r="E99" s="842">
        <v>103</v>
      </c>
      <c r="F99" s="842">
        <v>83</v>
      </c>
      <c r="G99" s="842">
        <v>249</v>
      </c>
      <c r="H99" s="842">
        <v>32</v>
      </c>
      <c r="I99" s="842">
        <v>236</v>
      </c>
      <c r="J99" s="842">
        <v>71</v>
      </c>
      <c r="K99" s="842">
        <v>72</v>
      </c>
      <c r="L99" s="842">
        <v>140</v>
      </c>
      <c r="M99" s="842">
        <v>49</v>
      </c>
      <c r="N99" s="842">
        <v>39</v>
      </c>
      <c r="O99" s="842">
        <v>64</v>
      </c>
      <c r="P99" s="842">
        <v>98</v>
      </c>
      <c r="Q99" s="842">
        <v>195</v>
      </c>
      <c r="R99" s="842">
        <v>18</v>
      </c>
      <c r="S99" s="842">
        <v>229</v>
      </c>
      <c r="T99" s="842">
        <v>23</v>
      </c>
      <c r="U99" s="842">
        <v>27</v>
      </c>
      <c r="V99" s="825">
        <v>1810</v>
      </c>
      <c r="W99" s="844">
        <v>12786</v>
      </c>
    </row>
    <row r="100" spans="1:24" s="331" customFormat="1" ht="13.5">
      <c r="A100" s="1544" t="s">
        <v>1181</v>
      </c>
      <c r="B100" s="838" t="s">
        <v>767</v>
      </c>
      <c r="C100" s="842">
        <v>24</v>
      </c>
      <c r="D100" s="842">
        <v>90</v>
      </c>
      <c r="E100" s="842">
        <v>150</v>
      </c>
      <c r="F100" s="842">
        <v>134</v>
      </c>
      <c r="G100" s="842">
        <v>435</v>
      </c>
      <c r="H100" s="842">
        <v>56</v>
      </c>
      <c r="I100" s="842">
        <v>375</v>
      </c>
      <c r="J100" s="842">
        <v>126</v>
      </c>
      <c r="K100" s="842">
        <v>131</v>
      </c>
      <c r="L100" s="842">
        <v>230</v>
      </c>
      <c r="M100" s="842">
        <v>71</v>
      </c>
      <c r="N100" s="842">
        <v>67</v>
      </c>
      <c r="O100" s="842">
        <v>103</v>
      </c>
      <c r="P100" s="842">
        <v>153</v>
      </c>
      <c r="Q100" s="842">
        <v>337</v>
      </c>
      <c r="R100" s="842">
        <v>27</v>
      </c>
      <c r="S100" s="842">
        <v>389</v>
      </c>
      <c r="T100" s="842">
        <v>36</v>
      </c>
      <c r="U100" s="842">
        <v>48</v>
      </c>
      <c r="V100" s="825">
        <v>2982</v>
      </c>
      <c r="W100" s="844">
        <v>20737</v>
      </c>
    </row>
    <row r="101" spans="1:24" s="331" customFormat="1" ht="13.5">
      <c r="A101" s="1544" t="s">
        <v>1207</v>
      </c>
      <c r="B101" s="838" t="s">
        <v>1089</v>
      </c>
      <c r="C101" s="835">
        <v>2017.1745027124773</v>
      </c>
      <c r="D101" s="835">
        <v>4375.834731543624</v>
      </c>
      <c r="E101" s="835">
        <v>10767.915639084957</v>
      </c>
      <c r="F101" s="835">
        <v>9311.4048629872632</v>
      </c>
      <c r="G101" s="835">
        <v>25659.292009825171</v>
      </c>
      <c r="H101" s="835">
        <v>2363.1413612565443</v>
      </c>
      <c r="I101" s="835">
        <v>28842.425969520504</v>
      </c>
      <c r="J101" s="835">
        <v>5495</v>
      </c>
      <c r="K101" s="835">
        <v>5690.7315511445495</v>
      </c>
      <c r="L101" s="835">
        <v>12123.108719388551</v>
      </c>
      <c r="M101" s="835">
        <v>3615.3573225968798</v>
      </c>
      <c r="N101" s="835">
        <v>2707.1036080767958</v>
      </c>
      <c r="O101" s="835">
        <v>3625.7748276742404</v>
      </c>
      <c r="P101" s="835">
        <v>3947.798541476755</v>
      </c>
      <c r="Q101" s="839">
        <v>20349.860984086336</v>
      </c>
      <c r="R101" s="835">
        <v>3164</v>
      </c>
      <c r="S101" s="835">
        <v>14568.629716555335</v>
      </c>
      <c r="T101" s="835">
        <v>2772.1518987341769</v>
      </c>
      <c r="U101" s="840">
        <v>3248.8888888888887</v>
      </c>
      <c r="V101" s="834">
        <v>164654.91262006771</v>
      </c>
      <c r="W101" s="841">
        <v>1060640.2964853686</v>
      </c>
    </row>
    <row r="102" spans="1:24" s="331" customFormat="1" ht="13.5">
      <c r="A102" s="1544" t="s">
        <v>1208</v>
      </c>
      <c r="B102" s="838" t="s">
        <v>1088</v>
      </c>
      <c r="C102" s="842">
        <v>50.643750942258407</v>
      </c>
      <c r="D102" s="842">
        <v>186.41149328859061</v>
      </c>
      <c r="E102" s="842">
        <v>98.672260332218386</v>
      </c>
      <c r="F102" s="842">
        <v>451.62303159115066</v>
      </c>
      <c r="G102" s="842">
        <v>481.00579036704426</v>
      </c>
      <c r="H102" s="842">
        <v>42.64373992477163</v>
      </c>
      <c r="I102" s="842">
        <v>1061.2675386936126</v>
      </c>
      <c r="J102" s="842">
        <v>185.81413820492455</v>
      </c>
      <c r="K102" s="842">
        <v>203.71026436904637</v>
      </c>
      <c r="L102" s="842">
        <v>199.4063759618908</v>
      </c>
      <c r="M102" s="842">
        <v>166.45849009280161</v>
      </c>
      <c r="N102" s="842">
        <v>48.661277820839331</v>
      </c>
      <c r="O102" s="842">
        <v>125.01068467390375</v>
      </c>
      <c r="P102" s="842">
        <v>183.69456257594169</v>
      </c>
      <c r="Q102" s="842">
        <v>326.9449081803005</v>
      </c>
      <c r="R102" s="842">
        <v>53.693221177634832</v>
      </c>
      <c r="S102" s="842">
        <v>379.90100795543356</v>
      </c>
      <c r="T102" s="842">
        <v>42.598586733530887</v>
      </c>
      <c r="U102" s="843">
        <v>54.010559249120064</v>
      </c>
      <c r="V102" s="825">
        <v>4342.0481994582833</v>
      </c>
      <c r="W102" s="844">
        <v>30708.306466923474</v>
      </c>
    </row>
    <row r="103" spans="1:24" s="331" customFormat="1" ht="13.5">
      <c r="A103" s="1544" t="s">
        <v>1209</v>
      </c>
      <c r="B103" s="838" t="s">
        <v>1090</v>
      </c>
      <c r="C103" s="842">
        <v>50.976933514246944</v>
      </c>
      <c r="D103" s="842">
        <v>50.020973154362416</v>
      </c>
      <c r="E103" s="842">
        <v>1104.7292930438234</v>
      </c>
      <c r="F103" s="842">
        <v>131.98724760892668</v>
      </c>
      <c r="G103" s="842">
        <v>557.00670526911358</v>
      </c>
      <c r="H103" s="842">
        <v>16.324556689951638</v>
      </c>
      <c r="I103" s="842">
        <v>1421.2452214163204</v>
      </c>
      <c r="J103" s="842">
        <v>569.78554408260527</v>
      </c>
      <c r="K103" s="842">
        <v>150.69891897677405</v>
      </c>
      <c r="L103" s="842">
        <v>268.09820447050203</v>
      </c>
      <c r="M103" s="842">
        <v>33.6919989967394</v>
      </c>
      <c r="N103" s="842">
        <v>399.95570811648764</v>
      </c>
      <c r="O103" s="842">
        <v>39.336695444055046</v>
      </c>
      <c r="P103" s="842">
        <v>93.014125151883363</v>
      </c>
      <c r="Q103" s="842">
        <v>493.58349542816012</v>
      </c>
      <c r="R103" s="842">
        <v>31.015338941118259</v>
      </c>
      <c r="S103" s="842">
        <v>1612.2465583231467</v>
      </c>
      <c r="T103" s="842">
        <v>140.44221563710963</v>
      </c>
      <c r="U103" s="843">
        <v>98.685960109503313</v>
      </c>
      <c r="V103" s="825">
        <v>7263.0806247502333</v>
      </c>
      <c r="W103" s="844">
        <v>31638.305653275893</v>
      </c>
    </row>
    <row r="104" spans="1:24" s="331" customFormat="1" ht="13.5">
      <c r="A104" s="1544" t="s">
        <v>1319</v>
      </c>
      <c r="B104" s="838" t="s">
        <v>1099</v>
      </c>
      <c r="C104" s="842">
        <v>35</v>
      </c>
      <c r="D104" s="842">
        <v>61</v>
      </c>
      <c r="E104" s="842">
        <v>219</v>
      </c>
      <c r="F104" s="842">
        <v>142</v>
      </c>
      <c r="G104" s="842">
        <v>470</v>
      </c>
      <c r="H104" s="842">
        <v>101</v>
      </c>
      <c r="I104" s="842">
        <v>494</v>
      </c>
      <c r="J104" s="842">
        <v>145</v>
      </c>
      <c r="K104" s="842">
        <v>149</v>
      </c>
      <c r="L104" s="842">
        <v>234</v>
      </c>
      <c r="M104" s="842">
        <v>213</v>
      </c>
      <c r="N104" s="842">
        <v>81</v>
      </c>
      <c r="O104" s="842">
        <v>98</v>
      </c>
      <c r="P104" s="842">
        <v>172</v>
      </c>
      <c r="Q104" s="842">
        <v>202</v>
      </c>
      <c r="R104" s="842">
        <v>76</v>
      </c>
      <c r="S104" s="842">
        <v>211</v>
      </c>
      <c r="T104" s="842">
        <v>44</v>
      </c>
      <c r="U104" s="842">
        <v>53</v>
      </c>
      <c r="V104" s="825">
        <v>3200</v>
      </c>
      <c r="W104" s="844">
        <v>28393</v>
      </c>
    </row>
    <row r="105" spans="1:24" s="331" customFormat="1" ht="13.5">
      <c r="A105" s="1544" t="s">
        <v>1199</v>
      </c>
      <c r="B105" s="838" t="s">
        <v>1100</v>
      </c>
      <c r="C105" s="842">
        <v>7</v>
      </c>
      <c r="D105" s="842">
        <v>27</v>
      </c>
      <c r="E105" s="842">
        <v>63</v>
      </c>
      <c r="F105" s="842">
        <v>40</v>
      </c>
      <c r="G105" s="842">
        <v>162</v>
      </c>
      <c r="H105" s="842">
        <v>46</v>
      </c>
      <c r="I105" s="842">
        <v>172</v>
      </c>
      <c r="J105" s="842">
        <v>52</v>
      </c>
      <c r="K105" s="842">
        <v>61</v>
      </c>
      <c r="L105" s="842">
        <v>70</v>
      </c>
      <c r="M105" s="842">
        <v>127</v>
      </c>
      <c r="N105" s="842">
        <v>25</v>
      </c>
      <c r="O105" s="842">
        <v>50</v>
      </c>
      <c r="P105" s="842">
        <v>66</v>
      </c>
      <c r="Q105" s="842">
        <v>75</v>
      </c>
      <c r="R105" s="842">
        <v>25</v>
      </c>
      <c r="S105" s="842">
        <v>81</v>
      </c>
      <c r="T105" s="842">
        <v>13</v>
      </c>
      <c r="U105" s="842">
        <v>16</v>
      </c>
      <c r="V105" s="825">
        <v>1178</v>
      </c>
      <c r="W105" s="844">
        <v>10906</v>
      </c>
    </row>
    <row r="106" spans="1:24" s="418" customFormat="1" ht="13.5">
      <c r="A106" s="1548" t="s">
        <v>1320</v>
      </c>
      <c r="B106" s="1549" t="s">
        <v>1029</v>
      </c>
      <c r="C106" s="1550" t="s">
        <v>920</v>
      </c>
      <c r="D106" s="1550" t="s">
        <v>920</v>
      </c>
      <c r="E106" s="1550">
        <v>281.30769230769198</v>
      </c>
      <c r="F106" s="1550">
        <v>420.03703703703701</v>
      </c>
      <c r="G106" s="1550">
        <v>302.41509433962267</v>
      </c>
      <c r="H106" s="1550" t="s">
        <v>920</v>
      </c>
      <c r="I106" s="1550">
        <v>274.3095238095238</v>
      </c>
      <c r="J106" s="1550">
        <v>394</v>
      </c>
      <c r="K106" s="1550">
        <v>401.58823529411762</v>
      </c>
      <c r="L106" s="1550">
        <v>469.04</v>
      </c>
      <c r="M106" s="1550">
        <v>321.11111111111109</v>
      </c>
      <c r="N106" s="1550">
        <v>315.72727272727275</v>
      </c>
      <c r="O106" s="1550" t="s">
        <v>920</v>
      </c>
      <c r="P106" s="1550">
        <v>374.51612903225805</v>
      </c>
      <c r="Q106" s="1550">
        <v>493.23333333333335</v>
      </c>
      <c r="R106" s="1550" t="s">
        <v>920</v>
      </c>
      <c r="S106" s="1550">
        <v>485</v>
      </c>
      <c r="T106" s="1550" t="s">
        <v>920</v>
      </c>
      <c r="U106" s="1550" t="s">
        <v>920</v>
      </c>
      <c r="V106" s="1551">
        <v>372.44324324324299</v>
      </c>
      <c r="W106" s="1552">
        <v>418.115752212389</v>
      </c>
    </row>
    <row r="107" spans="1:24" s="312" customFormat="1" ht="13.5">
      <c r="A107" s="1548" t="s">
        <v>1321</v>
      </c>
      <c r="B107" s="1549" t="s">
        <v>1350</v>
      </c>
      <c r="C107" s="1550"/>
      <c r="D107" s="1550"/>
      <c r="E107" s="1550"/>
      <c r="F107" s="1550"/>
      <c r="G107" s="1550"/>
      <c r="H107" s="1550"/>
      <c r="I107" s="1550"/>
      <c r="J107" s="1550"/>
      <c r="K107" s="1550"/>
      <c r="L107" s="1550"/>
      <c r="M107" s="1550"/>
      <c r="N107" s="1550"/>
      <c r="O107" s="1550"/>
      <c r="P107" s="1550"/>
      <c r="Q107" s="1550"/>
      <c r="R107" s="1550"/>
      <c r="S107" s="1550"/>
      <c r="T107" s="1550"/>
      <c r="U107" s="1550"/>
      <c r="V107" s="1551"/>
      <c r="W107" s="1552"/>
    </row>
    <row r="108" spans="1:24" s="312" customFormat="1" ht="13.5">
      <c r="A108" s="1548" t="s">
        <v>1322</v>
      </c>
      <c r="B108" s="1549" t="s">
        <v>1351</v>
      </c>
      <c r="C108" s="1553"/>
      <c r="D108" s="1553"/>
      <c r="E108" s="1553"/>
      <c r="F108" s="1553"/>
      <c r="G108" s="1553"/>
      <c r="H108" s="1553"/>
      <c r="I108" s="1553"/>
      <c r="J108" s="1553"/>
      <c r="K108" s="1553"/>
      <c r="L108" s="1553"/>
      <c r="M108" s="1553"/>
      <c r="N108" s="1553"/>
      <c r="O108" s="1553"/>
      <c r="P108" s="1553"/>
      <c r="Q108" s="1553"/>
      <c r="R108" s="1553"/>
      <c r="S108" s="1553"/>
      <c r="T108" s="1553"/>
      <c r="U108" s="1553"/>
      <c r="V108" s="1554"/>
      <c r="W108" s="1555"/>
    </row>
    <row r="109" spans="1:24" s="312" customFormat="1" ht="13.5">
      <c r="A109" s="1548" t="s">
        <v>1323</v>
      </c>
      <c r="B109" s="1549" t="s">
        <v>1352</v>
      </c>
      <c r="C109" s="1553"/>
      <c r="D109" s="1553"/>
      <c r="E109" s="1553"/>
      <c r="F109" s="1553"/>
      <c r="G109" s="1553"/>
      <c r="H109" s="1553"/>
      <c r="I109" s="1553"/>
      <c r="J109" s="1553"/>
      <c r="K109" s="1553"/>
      <c r="L109" s="1553"/>
      <c r="M109" s="1553"/>
      <c r="N109" s="1553"/>
      <c r="O109" s="1553"/>
      <c r="P109" s="1553"/>
      <c r="Q109" s="1553"/>
      <c r="R109" s="1553"/>
      <c r="S109" s="1553"/>
      <c r="T109" s="1553"/>
      <c r="U109" s="1553"/>
      <c r="V109" s="1554"/>
      <c r="W109" s="1555"/>
    </row>
    <row r="110" spans="1:24" ht="13.5">
      <c r="A110" s="1548" t="s">
        <v>1324</v>
      </c>
      <c r="B110" s="1549" t="s">
        <v>1353</v>
      </c>
      <c r="C110" s="1553"/>
      <c r="D110" s="1553"/>
      <c r="E110" s="1553"/>
      <c r="F110" s="1553"/>
      <c r="G110" s="1553"/>
      <c r="H110" s="1553"/>
      <c r="I110" s="1553"/>
      <c r="J110" s="1553"/>
      <c r="K110" s="1553"/>
      <c r="L110" s="1553"/>
      <c r="M110" s="1553"/>
      <c r="N110" s="1553"/>
      <c r="O110" s="1553"/>
      <c r="P110" s="1553"/>
      <c r="Q110" s="1553"/>
      <c r="R110" s="1553"/>
      <c r="S110" s="1553"/>
      <c r="T110" s="1553"/>
      <c r="U110" s="1553"/>
      <c r="V110" s="1554"/>
      <c r="W110" s="1555"/>
    </row>
    <row r="111" spans="1:24" ht="13.5">
      <c r="A111" s="1548" t="s">
        <v>1331</v>
      </c>
      <c r="B111" s="1549" t="s">
        <v>1354</v>
      </c>
      <c r="C111" s="1550">
        <v>2231</v>
      </c>
      <c r="D111" s="1550">
        <v>4824</v>
      </c>
      <c r="E111" s="1550">
        <v>11747</v>
      </c>
      <c r="F111" s="1550">
        <v>10388</v>
      </c>
      <c r="G111" s="1550">
        <v>27663</v>
      </c>
      <c r="H111" s="1550">
        <v>2484</v>
      </c>
      <c r="I111" s="1550">
        <v>32720</v>
      </c>
      <c r="J111" s="1550">
        <v>6282</v>
      </c>
      <c r="K111" s="1550">
        <v>6231</v>
      </c>
      <c r="L111" s="1550">
        <v>12805</v>
      </c>
      <c r="M111" s="1550">
        <v>3972</v>
      </c>
      <c r="N111" s="1550">
        <v>3053</v>
      </c>
      <c r="O111" s="1550">
        <v>3884</v>
      </c>
      <c r="P111" s="1550">
        <v>4386</v>
      </c>
      <c r="Q111" s="1550">
        <v>21854</v>
      </c>
      <c r="R111" s="1550">
        <v>3358</v>
      </c>
      <c r="S111" s="1550">
        <v>16526</v>
      </c>
      <c r="T111" s="1550">
        <v>2925</v>
      </c>
      <c r="U111" s="1550">
        <v>3489</v>
      </c>
      <c r="V111" s="1551">
        <v>180822</v>
      </c>
      <c r="W111" s="1552">
        <v>1145619</v>
      </c>
    </row>
    <row r="112" spans="1:24">
      <c r="A112" s="535" t="s">
        <v>1301</v>
      </c>
      <c r="B112" s="774" t="s">
        <v>269</v>
      </c>
      <c r="C112" s="724">
        <f t="shared" ref="C112:W112" si="0">IF(SUM(C38:C41)&gt;0,SUM(C38:C41),NA())</f>
        <v>1507</v>
      </c>
      <c r="D112" s="724">
        <f t="shared" si="0"/>
        <v>1962</v>
      </c>
      <c r="E112" s="724">
        <f t="shared" si="0"/>
        <v>6954</v>
      </c>
      <c r="F112" s="724">
        <f t="shared" si="0"/>
        <v>2086</v>
      </c>
      <c r="G112" s="724">
        <f t="shared" si="0"/>
        <v>21108</v>
      </c>
      <c r="H112" s="724">
        <f t="shared" si="0"/>
        <v>3348</v>
      </c>
      <c r="I112" s="724">
        <f t="shared" si="0"/>
        <v>16401</v>
      </c>
      <c r="J112" s="724">
        <f t="shared" si="0"/>
        <v>3159</v>
      </c>
      <c r="K112" s="724">
        <f t="shared" si="0"/>
        <v>3204</v>
      </c>
      <c r="L112" s="724">
        <f t="shared" si="0"/>
        <v>4108</v>
      </c>
      <c r="M112" s="724">
        <f t="shared" si="0"/>
        <v>2578</v>
      </c>
      <c r="N112" s="724">
        <f t="shared" si="0"/>
        <v>1795</v>
      </c>
      <c r="O112" s="724">
        <f t="shared" si="0"/>
        <v>2946</v>
      </c>
      <c r="P112" s="724">
        <f t="shared" si="0"/>
        <v>2981</v>
      </c>
      <c r="Q112" s="724">
        <f t="shared" si="0"/>
        <v>9774</v>
      </c>
      <c r="R112" s="724">
        <f t="shared" si="0"/>
        <v>1818</v>
      </c>
      <c r="S112" s="724">
        <f t="shared" si="0"/>
        <v>9114</v>
      </c>
      <c r="T112" s="724">
        <f t="shared" si="0"/>
        <v>1369</v>
      </c>
      <c r="U112" s="724">
        <f t="shared" si="0"/>
        <v>1043</v>
      </c>
      <c r="V112" s="724">
        <f t="shared" si="0"/>
        <v>97255</v>
      </c>
      <c r="W112" s="724">
        <f t="shared" si="0"/>
        <v>548190</v>
      </c>
      <c r="X112" s="331"/>
    </row>
    <row r="113" spans="1:23">
      <c r="A113" s="535" t="s">
        <v>1325</v>
      </c>
      <c r="B113" s="774" t="s">
        <v>270</v>
      </c>
      <c r="C113" s="724">
        <f t="shared" ref="C113:W113" si="1">SUM(C38:C42)</f>
        <v>1613</v>
      </c>
      <c r="D113" s="724">
        <f t="shared" si="1"/>
        <v>2146</v>
      </c>
      <c r="E113" s="724">
        <f t="shared" si="1"/>
        <v>8277</v>
      </c>
      <c r="F113" s="724">
        <f t="shared" si="1"/>
        <v>3184</v>
      </c>
      <c r="G113" s="724">
        <f t="shared" si="1"/>
        <v>22008</v>
      </c>
      <c r="H113" s="724">
        <f t="shared" si="1"/>
        <v>3463</v>
      </c>
      <c r="I113" s="724">
        <f t="shared" si="1"/>
        <v>18350</v>
      </c>
      <c r="J113" s="724">
        <f t="shared" si="1"/>
        <v>3294</v>
      </c>
      <c r="K113" s="724">
        <f t="shared" si="1"/>
        <v>3518</v>
      </c>
      <c r="L113" s="724">
        <f t="shared" si="1"/>
        <v>5937</v>
      </c>
      <c r="M113" s="724">
        <f t="shared" si="1"/>
        <v>2624</v>
      </c>
      <c r="N113" s="724">
        <f t="shared" si="1"/>
        <v>2120</v>
      </c>
      <c r="O113" s="724">
        <f t="shared" si="1"/>
        <v>3649</v>
      </c>
      <c r="P113" s="724">
        <f t="shared" si="1"/>
        <v>3481</v>
      </c>
      <c r="Q113" s="724">
        <f t="shared" si="1"/>
        <v>11079</v>
      </c>
      <c r="R113" s="724">
        <f t="shared" si="1"/>
        <v>1818</v>
      </c>
      <c r="S113" s="724">
        <f t="shared" si="1"/>
        <v>10238</v>
      </c>
      <c r="T113" s="724">
        <f t="shared" si="1"/>
        <v>1410</v>
      </c>
      <c r="U113" s="724">
        <f t="shared" si="1"/>
        <v>1410</v>
      </c>
      <c r="V113" s="724">
        <f t="shared" si="1"/>
        <v>109619</v>
      </c>
      <c r="W113" s="724">
        <f t="shared" si="1"/>
        <v>625980</v>
      </c>
    </row>
    <row r="114" spans="1:23">
      <c r="V114" s="290"/>
    </row>
    <row r="115" spans="1:23">
      <c r="V115" s="290"/>
    </row>
    <row r="116" spans="1:23">
      <c r="V116" s="290"/>
    </row>
  </sheetData>
  <conditionalFormatting sqref="C1:U1">
    <cfRule type="expression" dxfId="675" priority="3">
      <formula>SUM(C$2:C$98)=0</formula>
    </cfRule>
    <cfRule type="containsErrors" dxfId="674" priority="4">
      <formula>ISERROR(C1)</formula>
    </cfRule>
  </conditionalFormatting>
  <conditionalFormatting sqref="P41:P45">
    <cfRule type="containsErrors" dxfId="673" priority="1">
      <formula>ISERROR(P41)</formula>
    </cfRule>
  </conditionalFormatting>
  <pageMargins left="0.70866141732283472" right="0.70866141732283472" top="0.35433070866141736" bottom="0.35433070866141736" header="0.31496062992125984" footer="0.31496062992125984"/>
  <pageSetup scale="51" orientation="portrait" r:id="rId1"/>
  <extLst>
    <ext xmlns:x14="http://schemas.microsoft.com/office/spreadsheetml/2009/9/main" uri="{78C0D931-6437-407d-A8EE-F0AAD7539E65}">
      <x14:conditionalFormattings>
        <x14:conditionalFormatting xmlns:xm="http://schemas.microsoft.com/office/excel/2006/main">
          <x14:cfRule type="expression" priority="2" id="{A710092D-C226-46CE-9934-78A2C7ABBAD6}">
            <xm:f>C$1=ReportData!$AR$3</xm:f>
            <x14:dxf>
              <fill>
                <patternFill>
                  <bgColor rgb="FF66FF99"/>
                </patternFill>
              </fill>
            </x14:dxf>
          </x14:cfRule>
          <xm:sqref>C1:U1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FFC000"/>
  </sheetPr>
  <dimension ref="A1:AW262"/>
  <sheetViews>
    <sheetView showGridLines="0" showRowColHeaders="0" workbookViewId="0"/>
  </sheetViews>
  <sheetFormatPr defaultColWidth="9.140625" defaultRowHeight="11.25" customHeight="1"/>
  <cols>
    <col min="1" max="1" width="1.7109375" style="52" customWidth="1"/>
    <col min="2" max="2" width="19.42578125" style="52" customWidth="1"/>
    <col min="3" max="3" width="1.140625" style="52" customWidth="1"/>
    <col min="4" max="8" width="7.42578125" style="52" customWidth="1"/>
    <col min="9" max="9" width="8" style="52" customWidth="1"/>
    <col min="10" max="10" width="1.140625" customWidth="1"/>
    <col min="11" max="14" width="7.42578125" style="52" customWidth="1"/>
    <col min="15" max="15" width="7.28515625" style="52" customWidth="1"/>
    <col min="16" max="16" width="6" style="52" customWidth="1"/>
    <col min="17" max="17" width="6.42578125" style="52" customWidth="1"/>
    <col min="18" max="18" width="1.140625" style="52" customWidth="1"/>
    <col min="19" max="19" width="8.7109375" style="52" customWidth="1"/>
    <col min="20" max="20" width="8.28515625" style="52" customWidth="1"/>
    <col min="21" max="21" width="1.7109375" style="52" customWidth="1"/>
    <col min="22" max="22" width="6.42578125" style="55" customWidth="1"/>
    <col min="23" max="23" width="4.85546875" style="55" customWidth="1"/>
    <col min="24" max="24" width="17.85546875" style="56" hidden="1" customWidth="1"/>
    <col min="25" max="25" width="19.42578125" style="56" hidden="1" customWidth="1"/>
    <col min="26" max="26" width="11" style="56" hidden="1" customWidth="1"/>
    <col min="27" max="28" width="16.5703125" style="56" hidden="1" customWidth="1"/>
    <col min="29" max="30" width="8.5703125" style="56" hidden="1" customWidth="1"/>
    <col min="31" max="31" width="7" style="56" hidden="1" customWidth="1"/>
    <col min="32" max="32" width="17" style="56" hidden="1" customWidth="1"/>
    <col min="33" max="33" width="5.5703125" style="56" hidden="1" customWidth="1"/>
    <col min="34" max="34" width="4.85546875" style="56" hidden="1" customWidth="1"/>
    <col min="35" max="35" width="5.5703125" style="52" hidden="1" customWidth="1"/>
    <col min="36" max="36" width="31.5703125" style="52" customWidth="1"/>
    <col min="37" max="37" width="17" style="52" hidden="1" customWidth="1"/>
    <col min="38" max="42" width="13.5703125" style="52" hidden="1" customWidth="1"/>
    <col min="43" max="45" width="9.140625" style="52" hidden="1" customWidth="1"/>
    <col min="46" max="52" width="9.140625" style="52" customWidth="1"/>
    <col min="53" max="16384" width="9.140625" style="52"/>
  </cols>
  <sheetData>
    <row r="1" spans="1:49" ht="18.75" customHeight="1" thickBot="1">
      <c r="A1" s="81"/>
      <c r="B1" s="82"/>
      <c r="C1" s="82"/>
      <c r="D1" s="82"/>
      <c r="E1" s="82"/>
      <c r="F1" s="82"/>
      <c r="G1" s="82"/>
      <c r="H1" s="82"/>
      <c r="I1" s="82"/>
      <c r="J1" s="83"/>
      <c r="K1" s="82"/>
      <c r="L1" s="82"/>
      <c r="M1" s="82"/>
      <c r="N1" s="82"/>
      <c r="O1" s="82"/>
      <c r="P1" s="82"/>
      <c r="Q1" s="82"/>
      <c r="R1" s="82"/>
      <c r="S1" s="82"/>
      <c r="T1" s="82"/>
      <c r="U1" s="84"/>
      <c r="V1" s="207"/>
      <c r="W1" s="117"/>
      <c r="X1" s="135"/>
      <c r="Y1" s="534" t="str">
        <f>IF(ReportData!$C$3="Annual"," at 31st March"," at last day in quarter")</f>
        <v xml:space="preserve"> at 31st March</v>
      </c>
      <c r="Z1" s="135"/>
      <c r="AA1" s="135"/>
      <c r="AB1" s="135"/>
      <c r="AC1" s="135"/>
      <c r="AD1" s="135"/>
      <c r="AE1" s="135"/>
      <c r="AF1" s="135"/>
      <c r="AG1" s="135"/>
      <c r="AH1" s="135"/>
      <c r="AI1" s="136"/>
      <c r="AJ1" s="118"/>
    </row>
    <row r="2" spans="1:49" ht="18.75" customHeight="1">
      <c r="A2" s="87"/>
      <c r="B2" s="888" t="s">
        <v>25</v>
      </c>
      <c r="C2" s="5"/>
      <c r="D2" s="5"/>
      <c r="E2" s="5"/>
      <c r="F2" s="5"/>
      <c r="G2" s="5"/>
      <c r="H2" s="5"/>
      <c r="I2" s="5"/>
      <c r="J2" s="1"/>
      <c r="K2" s="5"/>
      <c r="L2" s="5"/>
      <c r="M2" s="5"/>
      <c r="N2" s="5"/>
      <c r="O2" s="5"/>
      <c r="P2" s="5"/>
      <c r="Q2" s="5"/>
      <c r="R2" s="5"/>
      <c r="S2" s="5"/>
      <c r="T2" s="5"/>
      <c r="U2" s="86"/>
      <c r="V2" s="122"/>
      <c r="W2" s="114"/>
      <c r="X2" s="578">
        <v>1</v>
      </c>
      <c r="Y2" s="461" t="str">
        <f>IF(ReportData!$C$3="Annual","",ReportData!$D$28)</f>
        <v/>
      </c>
      <c r="Z2" s="462" t="str">
        <f>IF(ReportData!$C$3="Annual","",ReportData!$E$28)</f>
        <v/>
      </c>
      <c r="AA2" s="462" t="str">
        <f>IF(ReportData!$C$3="Annual","",ReportData!$F$28)</f>
        <v/>
      </c>
      <c r="AB2" s="462" t="str">
        <f>IF(ReportData!$C$3="Annual","",ReportData!$G$28)</f>
        <v/>
      </c>
      <c r="AC2" s="463" t="str">
        <f>IF(ReportData!$C$3="Annual","",ReportData!$H$28)</f>
        <v/>
      </c>
      <c r="AJ2" s="119"/>
    </row>
    <row r="3" spans="1:49" ht="18.75" customHeight="1" thickBot="1">
      <c r="A3" s="91"/>
      <c r="B3" s="92"/>
      <c r="C3" s="92"/>
      <c r="D3" s="92"/>
      <c r="E3" s="92"/>
      <c r="F3" s="92"/>
      <c r="G3" s="92"/>
      <c r="H3" s="92"/>
      <c r="I3" s="200"/>
      <c r="J3" s="93"/>
      <c r="K3" s="92"/>
      <c r="L3" s="92"/>
      <c r="M3" s="92"/>
      <c r="N3" s="92"/>
      <c r="O3" s="92"/>
      <c r="P3" s="329"/>
      <c r="Q3" s="92"/>
      <c r="R3" s="92"/>
      <c r="S3" s="200"/>
      <c r="T3" s="92"/>
      <c r="U3" s="94"/>
      <c r="V3" s="122"/>
      <c r="W3" s="114"/>
      <c r="X3" s="464"/>
      <c r="Y3" s="464" t="str">
        <f>ReportData!$D$27</f>
        <v>2019/20</v>
      </c>
      <c r="Z3" s="465" t="str">
        <f>ReportData!$E$27</f>
        <v>2020/21</v>
      </c>
      <c r="AA3" s="465" t="str">
        <f>ReportData!$F$27</f>
        <v>2021/22</v>
      </c>
      <c r="AB3" s="465" t="str">
        <f>ReportData!$G$27</f>
        <v>2022/23</v>
      </c>
      <c r="AC3" s="466" t="str">
        <f>ReportData!$H$27</f>
        <v>2023/24</v>
      </c>
      <c r="AJ3" s="119"/>
    </row>
    <row r="4" spans="1:49" ht="11.25" customHeight="1">
      <c r="A4" s="81"/>
      <c r="B4" s="82"/>
      <c r="C4" s="82"/>
      <c r="D4" s="82"/>
      <c r="E4" s="82"/>
      <c r="F4" s="82"/>
      <c r="G4" s="82"/>
      <c r="H4" s="82"/>
      <c r="I4" s="82"/>
      <c r="J4" s="83"/>
      <c r="K4" s="82"/>
      <c r="L4" s="82"/>
      <c r="M4" s="82"/>
      <c r="N4" s="82"/>
      <c r="O4" s="82"/>
      <c r="P4" s="82"/>
      <c r="Q4" s="82"/>
      <c r="R4" s="82"/>
      <c r="S4" s="82"/>
      <c r="T4" s="82"/>
      <c r="U4" s="84"/>
      <c r="V4" s="119"/>
      <c r="W4" s="114"/>
      <c r="X4" s="140"/>
      <c r="Y4" s="140" t="str">
        <f>Home!$D$5</f>
        <v>(none)</v>
      </c>
      <c r="Z4" s="25" t="str">
        <f>"Selected LA- "&amp;Y4</f>
        <v>Selected LA- (none)</v>
      </c>
      <c r="AJ4" s="119"/>
    </row>
    <row r="5" spans="1:49" ht="18.75" customHeight="1">
      <c r="A5" s="87"/>
      <c r="B5" s="1775" t="str">
        <f>"Children in Need in"&amp;Y1&amp;" [RIIA207]"</f>
        <v>Children in Need in at 31st March [RIIA207]</v>
      </c>
      <c r="C5" s="1776"/>
      <c r="D5" s="1776"/>
      <c r="E5" s="1776"/>
      <c r="F5" s="1776"/>
      <c r="G5" s="1776"/>
      <c r="H5" s="1776"/>
      <c r="I5" s="1776"/>
      <c r="J5" s="1776"/>
      <c r="K5" s="1776"/>
      <c r="L5" s="1776"/>
      <c r="M5" s="1776"/>
      <c r="N5" s="1776"/>
      <c r="O5" s="50"/>
      <c r="P5" s="50"/>
      <c r="Q5" s="50"/>
      <c r="R5" s="50"/>
      <c r="S5" s="50"/>
      <c r="T5" s="50"/>
      <c r="U5" s="86"/>
      <c r="V5" s="119"/>
      <c r="W5" s="114"/>
      <c r="X5" s="52"/>
      <c r="Y5" s="52"/>
      <c r="Z5" s="52"/>
      <c r="AA5" s="52"/>
      <c r="AB5" s="52"/>
      <c r="AC5" s="52"/>
      <c r="AD5" s="52"/>
      <c r="AE5" s="52"/>
      <c r="AF5" s="52"/>
      <c r="AG5" s="52"/>
      <c r="AH5" s="52"/>
      <c r="AJ5" s="119"/>
      <c r="AK5" s="52" t="str">
        <f>CONCATENATE($I$7,"in Number of "&amp;$B2)</f>
        <v>Average Annual Change in Number of Children in Need</v>
      </c>
      <c r="AQ5" s="530"/>
    </row>
    <row r="6" spans="1:49" ht="18.75" customHeight="1">
      <c r="A6" s="87"/>
      <c r="B6" s="1776"/>
      <c r="C6" s="1776"/>
      <c r="D6" s="1776"/>
      <c r="E6" s="1776"/>
      <c r="F6" s="1776"/>
      <c r="G6" s="1776"/>
      <c r="H6" s="1776"/>
      <c r="I6" s="1776"/>
      <c r="J6" s="1776"/>
      <c r="K6" s="1776"/>
      <c r="L6" s="1776"/>
      <c r="M6" s="1776"/>
      <c r="N6" s="1776"/>
      <c r="O6" s="50"/>
      <c r="P6" s="50"/>
      <c r="Q6" s="50"/>
      <c r="R6" s="50"/>
      <c r="S6" s="50"/>
      <c r="T6" s="50"/>
      <c r="U6" s="86"/>
      <c r="V6" s="119"/>
      <c r="W6" s="114"/>
      <c r="Y6" s="141"/>
      <c r="AJ6" s="119"/>
    </row>
    <row r="7" spans="1:49" ht="13.5" customHeight="1">
      <c r="A7" s="208"/>
      <c r="B7" s="1749" t="s">
        <v>177</v>
      </c>
      <c r="C7" s="896"/>
      <c r="D7" s="1777" t="s">
        <v>84</v>
      </c>
      <c r="E7" s="1777"/>
      <c r="F7" s="1777"/>
      <c r="G7" s="1777"/>
      <c r="H7" s="1778"/>
      <c r="I7" s="1761" t="str">
        <f>"Average "&amp;ReportData!C3&amp;" Change "</f>
        <v xml:space="preserve">Average Annual Change </v>
      </c>
      <c r="J7" s="896"/>
      <c r="K7" s="1765" t="s">
        <v>85</v>
      </c>
      <c r="L7" s="1766"/>
      <c r="M7" s="1766"/>
      <c r="N7" s="1766"/>
      <c r="O7" s="1766"/>
      <c r="P7" s="1767"/>
      <c r="Q7" s="1761" t="str">
        <f>IF(ISNA(O8),"Rank "&amp;O10,"Rank "&amp;LEFT(O8,5)&amp;" "&amp;RIGHT(O8,2))</f>
        <v>Rank 2023/ 24</v>
      </c>
      <c r="R7" s="64"/>
      <c r="S7" s="1783" t="str">
        <f>"Distance from "&amp;ReportData!$B$8&amp;" Expected Rate based on IDACI"</f>
        <v>Distance from 2024 Expected Rate based on IDACI</v>
      </c>
      <c r="T7" s="1784"/>
      <c r="U7" s="86"/>
      <c r="V7" s="186"/>
      <c r="W7" s="114"/>
      <c r="Y7" s="141"/>
      <c r="AA7" s="153" t="s">
        <v>76</v>
      </c>
      <c r="AB7" s="141"/>
      <c r="AC7" s="141"/>
      <c r="AD7" s="149"/>
      <c r="AE7" s="149"/>
      <c r="AJ7" s="119"/>
      <c r="AK7" s="350"/>
      <c r="AL7" s="350"/>
      <c r="AM7" s="350"/>
      <c r="AN7" s="350"/>
      <c r="AO7" s="350"/>
      <c r="AQ7" s="61"/>
      <c r="AR7" s="61"/>
      <c r="AS7" s="61"/>
      <c r="AT7" s="61"/>
      <c r="AU7" s="61"/>
      <c r="AV7" s="61"/>
      <c r="AW7" s="61"/>
    </row>
    <row r="8" spans="1:49" s="61" customFormat="1" ht="13.5" customHeight="1">
      <c r="A8" s="88"/>
      <c r="B8" s="1749"/>
      <c r="C8" s="896"/>
      <c r="D8" s="1770" t="str">
        <f>ReportData!$D$27</f>
        <v>2019/20</v>
      </c>
      <c r="E8" s="1770" t="str">
        <f>ReportData!$E$27</f>
        <v>2020/21</v>
      </c>
      <c r="F8" s="1770" t="str">
        <f>ReportData!$F$27</f>
        <v>2021/22</v>
      </c>
      <c r="G8" s="1770" t="str">
        <f>ReportData!$G$27</f>
        <v>2022/23</v>
      </c>
      <c r="H8" s="1781" t="str">
        <f>ReportData!$H$27</f>
        <v>2023/24</v>
      </c>
      <c r="I8" s="1762"/>
      <c r="J8" s="896"/>
      <c r="K8" s="1770" t="str">
        <f>ReportData!$D$27</f>
        <v>2019/20</v>
      </c>
      <c r="L8" s="1770" t="str">
        <f>ReportData!$E$27</f>
        <v>2020/21</v>
      </c>
      <c r="M8" s="1770" t="str">
        <f>ReportData!$F$27</f>
        <v>2021/22</v>
      </c>
      <c r="N8" s="1770" t="str">
        <f>ReportData!$G$27</f>
        <v>2022/23</v>
      </c>
      <c r="O8" s="1789" t="str">
        <f>ReportData!$H$27</f>
        <v>2023/24</v>
      </c>
      <c r="P8" s="1790"/>
      <c r="Q8" s="1762"/>
      <c r="R8" s="64"/>
      <c r="S8" s="1785"/>
      <c r="T8" s="1786"/>
      <c r="U8" s="89"/>
      <c r="V8" s="103"/>
      <c r="W8" s="115"/>
      <c r="Y8" s="1772" t="s">
        <v>73</v>
      </c>
      <c r="Z8" s="1772" t="s">
        <v>74</v>
      </c>
      <c r="AA8" s="444" t="str">
        <f>ReportData!$D$27</f>
        <v>2019/20</v>
      </c>
      <c r="AB8" s="444" t="str">
        <f>ReportData!$E$27</f>
        <v>2020/21</v>
      </c>
      <c r="AC8" s="444" t="str">
        <f>ReportData!$F$27</f>
        <v>2021/22</v>
      </c>
      <c r="AD8" s="444" t="str">
        <f>ReportData!$G$27</f>
        <v>2022/23</v>
      </c>
      <c r="AE8" s="444" t="str">
        <f>ReportData!$H$27</f>
        <v>2023/24</v>
      </c>
      <c r="AF8" s="154" t="s">
        <v>88</v>
      </c>
      <c r="AG8" s="141"/>
      <c r="AH8" s="141"/>
      <c r="AJ8" s="121"/>
      <c r="AK8" s="109"/>
      <c r="AL8" s="109"/>
      <c r="AM8" s="109"/>
      <c r="AN8" s="109"/>
      <c r="AO8" s="109"/>
    </row>
    <row r="9" spans="1:49" s="61" customFormat="1" ht="9" customHeight="1">
      <c r="A9" s="217"/>
      <c r="B9" s="1749"/>
      <c r="C9" s="896"/>
      <c r="D9" s="1771"/>
      <c r="E9" s="1771"/>
      <c r="F9" s="1771"/>
      <c r="G9" s="1771"/>
      <c r="H9" s="1782"/>
      <c r="I9" s="1762"/>
      <c r="J9" s="896"/>
      <c r="K9" s="1771"/>
      <c r="L9" s="1771"/>
      <c r="M9" s="1771"/>
      <c r="N9" s="1771"/>
      <c r="O9" s="1791"/>
      <c r="P9" s="1792"/>
      <c r="Q9" s="1762"/>
      <c r="R9" s="64"/>
      <c r="S9" s="1787"/>
      <c r="T9" s="1788"/>
      <c r="U9" s="89"/>
      <c r="V9" s="103"/>
      <c r="W9" s="918"/>
      <c r="Y9" s="1773"/>
      <c r="Z9" s="1773"/>
      <c r="AA9" s="444"/>
      <c r="AB9" s="444"/>
      <c r="AC9" s="444"/>
      <c r="AD9" s="444"/>
      <c r="AE9" s="444"/>
      <c r="AF9" s="154"/>
      <c r="AG9" s="141"/>
      <c r="AH9" s="141"/>
      <c r="AJ9" s="121"/>
      <c r="AK9" s="109"/>
      <c r="AL9" s="109"/>
      <c r="AM9" s="109"/>
      <c r="AN9" s="109"/>
      <c r="AO9" s="109"/>
    </row>
    <row r="10" spans="1:49" s="61" customFormat="1" ht="13.5" customHeight="1">
      <c r="A10" s="88"/>
      <c r="B10" s="1764"/>
      <c r="C10" s="896"/>
      <c r="D10" s="897" t="e">
        <f>ReportData!$D$28</f>
        <v>#N/A</v>
      </c>
      <c r="E10" s="897" t="e">
        <f>ReportData!$E$28</f>
        <v>#N/A</v>
      </c>
      <c r="F10" s="897" t="e">
        <f>ReportData!$F$28</f>
        <v>#N/A</v>
      </c>
      <c r="G10" s="897" t="e">
        <f>ReportData!$G$28</f>
        <v>#N/A</v>
      </c>
      <c r="H10" s="920" t="e">
        <f>ReportData!$H$28</f>
        <v>#N/A</v>
      </c>
      <c r="I10" s="1763"/>
      <c r="J10" s="896"/>
      <c r="K10" s="897" t="e">
        <f>ReportData!$D$28</f>
        <v>#N/A</v>
      </c>
      <c r="L10" s="897" t="e">
        <f>ReportData!$E$28</f>
        <v>#N/A</v>
      </c>
      <c r="M10" s="897" t="e">
        <f>ReportData!$F$28</f>
        <v>#N/A</v>
      </c>
      <c r="N10" s="897" t="e">
        <f>ReportData!$G$28</f>
        <v>#N/A</v>
      </c>
      <c r="O10" s="1779" t="e">
        <f>ReportData!$H$28</f>
        <v>#N/A</v>
      </c>
      <c r="P10" s="1780"/>
      <c r="Q10" s="1763"/>
      <c r="R10" s="64"/>
      <c r="S10" s="898" t="s">
        <v>110</v>
      </c>
      <c r="T10" s="899" t="s">
        <v>111</v>
      </c>
      <c r="U10" s="89"/>
      <c r="V10" s="103"/>
      <c r="W10" s="115"/>
      <c r="Y10" s="1774"/>
      <c r="Z10" s="1774"/>
      <c r="AA10" s="444" t="e">
        <f>ReportData!$D$28</f>
        <v>#N/A</v>
      </c>
      <c r="AB10" s="444" t="e">
        <f>ReportData!$E$28</f>
        <v>#N/A</v>
      </c>
      <c r="AC10" s="444" t="e">
        <f>ReportData!$F$28</f>
        <v>#N/A</v>
      </c>
      <c r="AD10" s="444" t="e">
        <f>ReportData!$G$28</f>
        <v>#N/A</v>
      </c>
      <c r="AE10" s="444" t="e">
        <f>ReportData!$H$28</f>
        <v>#N/A</v>
      </c>
      <c r="AF10" s="141"/>
      <c r="AG10" s="141">
        <f>COLUMNS($B$4:O$4)</f>
        <v>14</v>
      </c>
      <c r="AH10" s="141"/>
      <c r="AJ10" s="121"/>
      <c r="AK10" s="479" t="s">
        <v>598</v>
      </c>
      <c r="AL10" s="479" t="s">
        <v>599</v>
      </c>
      <c r="AM10" s="479" t="s">
        <v>600</v>
      </c>
      <c r="AN10" s="479" t="s">
        <v>601</v>
      </c>
      <c r="AO10" s="479" t="s">
        <v>602</v>
      </c>
      <c r="AQ10" s="579"/>
      <c r="AR10" s="579"/>
      <c r="AS10" s="579"/>
      <c r="AT10" s="579"/>
      <c r="AU10" s="580"/>
      <c r="AV10" s="580"/>
      <c r="AW10" s="580"/>
    </row>
    <row r="11" spans="1:49" s="61" customFormat="1" ht="15.75" customHeight="1">
      <c r="A11" s="1103">
        <f>VLOOKUP(B11,ReportData!$AQ$4:$AR$25,2,FALSE)</f>
        <v>0</v>
      </c>
      <c r="B11" s="885" t="str">
        <f>ReportData!$K$4</f>
        <v>Bracknell Forest</v>
      </c>
      <c r="C11" s="896"/>
      <c r="D11" s="889">
        <f>IF(Year1_Bracknell_Forest Year1_CIN="","",Year1_Bracknell_Forest Year1_CIN)</f>
        <v>879</v>
      </c>
      <c r="E11" s="889">
        <f>IF(Year2_Bracknell_Forest Year2_CIN="","",Year2_Bracknell_Forest Year2_CIN)</f>
        <v>954</v>
      </c>
      <c r="F11" s="889">
        <f>IF(Year3_Bracknell_Forest Year3_CIN="","",Year3_Bracknell_Forest Year3_CIN)</f>
        <v>965</v>
      </c>
      <c r="G11" s="889">
        <f>IF(Year4_Bracknell_Forest Year4_CIN="","",Year4_Bracknell_Forest Year4_CIN)</f>
        <v>1091</v>
      </c>
      <c r="H11" s="890">
        <f>IF(Year5_Bracknell_Forest Year5_CIN="","",Year5_Bracknell_Forest Year5_CIN)</f>
        <v>924</v>
      </c>
      <c r="I11" s="900">
        <f t="shared" ref="I11:I25" si="0">AO11</f>
        <v>1.8588500284852975E-2</v>
      </c>
      <c r="J11" s="896"/>
      <c r="K11" s="901">
        <f>IF(ISNUMBER(D11),D11/Population!D11*10000,NA())</f>
        <v>322.00161183969516</v>
      </c>
      <c r="L11" s="901">
        <f>IF(ISNUMBER(E11),E11/Population!E11*10000,NA())</f>
        <v>345.72733202870188</v>
      </c>
      <c r="M11" s="901">
        <f>IF(ISNUMBER(F11),F11/Population!F11*10000,NA())</f>
        <v>346.83535204686768</v>
      </c>
      <c r="N11" s="901">
        <f>IF(ISNUMBER(G11),G11/Population!G11*10000,NA())</f>
        <v>385.104129897635</v>
      </c>
      <c r="O11" s="1138">
        <f>IF(ISNUMBER(H11),H11/Population!H11*10000,NA())</f>
        <v>322.54686354592104</v>
      </c>
      <c r="P11" s="903">
        <f>IF(ISNUMBER(O11),O11,"")</f>
        <v>322.54686354592104</v>
      </c>
      <c r="Q11" s="1139">
        <f t="shared" ref="Q11:Q31" si="1">IF(ISNA(VLOOKUP(B11,$AF$11:$AH$29,3,FALSE)),"--",IF(ISNUMBER(H11),VLOOKUP(B11,$AF$11:$AH$29,3,FALSE),NA()))</f>
        <v>7</v>
      </c>
      <c r="R11" s="64"/>
      <c r="S11" s="905">
        <f>(AQ38*$Y$41)+$Z$41</f>
        <v>266.96646267421102</v>
      </c>
      <c r="T11" s="906">
        <f t="shared" ref="T11:T31" si="2">O11-S11</f>
        <v>55.580400871710026</v>
      </c>
      <c r="U11" s="89"/>
      <c r="V11" s="103"/>
      <c r="W11" s="115"/>
      <c r="X11" s="51" t="str">
        <f t="shared" ref="X11:X31" si="3">B11</f>
        <v>Bracknell Forest</v>
      </c>
      <c r="Y11" s="27">
        <f>IF(ISNUMBER($H11),IDACI!D9,0)</f>
        <v>24849</v>
      </c>
      <c r="Z11" s="27">
        <f>IF(ISNUMBER($H11),IDACI!E9,0)</f>
        <v>2211.5610000000001</v>
      </c>
      <c r="AA11" s="155">
        <f>IF(ISNUMBER(D11),Population!D11,"")</f>
        <v>27298</v>
      </c>
      <c r="AB11" s="155">
        <f>IF(ISNUMBER(E11),Population!E11,"")</f>
        <v>27594</v>
      </c>
      <c r="AC11" s="155">
        <f>IF(ISNUMBER(F11),Population!F11,"")</f>
        <v>27823</v>
      </c>
      <c r="AD11" s="155">
        <f>IF(ISNUMBER(G11),Population!G11,"")</f>
        <v>28330</v>
      </c>
      <c r="AE11" s="155">
        <f>IF(ISNUMBER(H11),Population!H11,"")</f>
        <v>28647</v>
      </c>
      <c r="AF11" s="65" t="str">
        <f>B11</f>
        <v>Bracknell Forest</v>
      </c>
      <c r="AG11" s="70">
        <f t="shared" ref="AG11:AG29" si="4">IFERROR(VLOOKUP(AF11,$B$11:$O$29,$AG$10,FALSE),"")</f>
        <v>322.54686354592104</v>
      </c>
      <c r="AH11" s="156">
        <f t="shared" ref="AH11:AH29" si="5">RANK(AG11,$AG$11:$AG$29,1)</f>
        <v>7</v>
      </c>
      <c r="AJ11" s="121"/>
      <c r="AK11" s="480">
        <f t="shared" ref="AK11:AK29" si="6">IF(ISERROR((E11-D11)/D11),"x",(E11-D11)/D11)</f>
        <v>8.5324232081911269E-2</v>
      </c>
      <c r="AL11" s="480">
        <f t="shared" ref="AL11:AL29" si="7">IF(ISERROR((F11-E11)/E11),"x",(F11-E11)/E11)</f>
        <v>1.1530398322851153E-2</v>
      </c>
      <c r="AM11" s="480">
        <f t="shared" ref="AM11:AM29" si="8">IF(ISERROR((G11-F11)/F11),"x",(G11-F11)/F11)</f>
        <v>0.13056994818652851</v>
      </c>
      <c r="AN11" s="480">
        <f t="shared" ref="AN11:AN29" si="9">IF(ISERROR((H11-G11)/G11),"x",(H11-G11)/G11)</f>
        <v>-0.15307057745187902</v>
      </c>
      <c r="AO11" s="480">
        <f>AVERAGE(AK11:AN11)</f>
        <v>1.8588500284852975E-2</v>
      </c>
      <c r="AQ11" s="110"/>
      <c r="AR11" s="110"/>
      <c r="AS11" s="110"/>
      <c r="AT11" s="110"/>
      <c r="AU11" s="110"/>
      <c r="AW11" s="110"/>
    </row>
    <row r="12" spans="1:49" s="61" customFormat="1" ht="15.75" customHeight="1">
      <c r="A12" s="1103">
        <f>VLOOKUP(B12,ReportData!$AQ$4:$AR$25,2,FALSE)</f>
        <v>0</v>
      </c>
      <c r="B12" s="885" t="str">
        <f>ReportData!$K$5</f>
        <v>Brighton &amp; Hove</v>
      </c>
      <c r="C12" s="896"/>
      <c r="D12" s="889">
        <f>IF(Year1_Brighton_and_Hove Year1_CIN="","",Year1_Brighton_and_Hove Year1_CIN)</f>
        <v>1815</v>
      </c>
      <c r="E12" s="889">
        <f>IF(Year2_Brighton_and_Hove Year2_CIN="","",Year2_Brighton_and_Hove Year2_CIN)</f>
        <v>1920</v>
      </c>
      <c r="F12" s="889">
        <f>IF(Year3_Brighton_and_Hove Year3_CIN="","",Year3_Brighton_and_Hove Year3_CIN)</f>
        <v>2378</v>
      </c>
      <c r="G12" s="889">
        <f>IF(Year4_Brighton_and_Hove Year4_CIN="","",Year4_Brighton_and_Hove Year4_CIN)</f>
        <v>2180</v>
      </c>
      <c r="H12" s="890">
        <f>IF(Year5_Brighton_and_Hove Year5_CIN="","",Year5_Brighton_and_Hove Year5_CIN)</f>
        <v>1991</v>
      </c>
      <c r="I12" s="900">
        <f t="shared" si="0"/>
        <v>3.1608103051024614E-2</v>
      </c>
      <c r="J12" s="896"/>
      <c r="K12" s="901">
        <f>IF(ISNUMBER(D12),D12/Population!D12*10000,NA())</f>
        <v>374.98450477253004</v>
      </c>
      <c r="L12" s="901">
        <f>IF(ISNUMBER(E12),E12/Population!E12*10000,NA())</f>
        <v>400.30022516887664</v>
      </c>
      <c r="M12" s="901">
        <f>IF(ISNUMBER(F12),F12/Population!F12*10000,NA())</f>
        <v>504.61538461538458</v>
      </c>
      <c r="N12" s="901">
        <f>IF(ISNUMBER(G12),G12/Population!G12*10000,NA())</f>
        <v>462.4522698345354</v>
      </c>
      <c r="O12" s="902">
        <f>IF(ISNUMBER(H12),H12/Population!H12*10000,NA())</f>
        <v>426.64895212788753</v>
      </c>
      <c r="P12" s="903">
        <f t="shared" ref="P12:P25" si="10">IF(ISNUMBER(O12),O12,"")</f>
        <v>426.64895212788753</v>
      </c>
      <c r="Q12" s="1139">
        <f t="shared" si="1"/>
        <v>15</v>
      </c>
      <c r="R12" s="64"/>
      <c r="S12" s="905">
        <f t="shared" ref="S12:S31" si="11">(AQ39*$Y$41)+$Z$41</f>
        <v>335.45118751892807</v>
      </c>
      <c r="T12" s="906">
        <f t="shared" si="2"/>
        <v>91.19776460895946</v>
      </c>
      <c r="U12" s="89"/>
      <c r="V12" s="103"/>
      <c r="W12" s="115"/>
      <c r="X12" s="51" t="str">
        <f t="shared" si="3"/>
        <v>Brighton &amp; Hove</v>
      </c>
      <c r="Y12" s="27">
        <f>IF(ISNUMBER($H12),IDACI!D10,0)</f>
        <v>45576</v>
      </c>
      <c r="Z12" s="27">
        <f>IF(ISNUMBER($H12),IDACI!E10,0)</f>
        <v>6973.1279999999997</v>
      </c>
      <c r="AA12" s="155">
        <f>IF(ISNUMBER(D12),Population!D12,"")</f>
        <v>48402</v>
      </c>
      <c r="AB12" s="155">
        <f>IF(ISNUMBER(E12),Population!E12,"")</f>
        <v>47964</v>
      </c>
      <c r="AC12" s="155">
        <f>IF(ISNUMBER(F12),Population!F12,"")</f>
        <v>47125</v>
      </c>
      <c r="AD12" s="155">
        <f>IF(ISNUMBER(G12),Population!G12,"")</f>
        <v>47140</v>
      </c>
      <c r="AE12" s="155">
        <f>IF(ISNUMBER(H12),Population!H12,"")</f>
        <v>46666</v>
      </c>
      <c r="AF12" s="65" t="s">
        <v>28</v>
      </c>
      <c r="AG12" s="70">
        <f t="shared" si="4"/>
        <v>426.64895212788753</v>
      </c>
      <c r="AH12" s="156">
        <f t="shared" si="5"/>
        <v>15</v>
      </c>
      <c r="AJ12" s="121"/>
      <c r="AK12" s="480">
        <f t="shared" si="6"/>
        <v>5.7851239669421489E-2</v>
      </c>
      <c r="AL12" s="480">
        <f t="shared" si="7"/>
        <v>0.23854166666666668</v>
      </c>
      <c r="AM12" s="480">
        <f t="shared" si="8"/>
        <v>-8.3263246425567705E-2</v>
      </c>
      <c r="AN12" s="480">
        <f t="shared" si="9"/>
        <v>-8.6697247706422023E-2</v>
      </c>
      <c r="AO12" s="480">
        <f t="shared" ref="AO12:AO25" si="12">AVERAGE(AK12:AN12)</f>
        <v>3.1608103051024614E-2</v>
      </c>
      <c r="AQ12" s="110"/>
      <c r="AR12" s="110"/>
      <c r="AS12" s="110"/>
      <c r="AT12" s="110"/>
      <c r="AU12" s="110"/>
      <c r="AW12" s="110"/>
    </row>
    <row r="13" spans="1:49" s="61" customFormat="1" ht="15.75" customHeight="1">
      <c r="A13" s="1103">
        <f>VLOOKUP(B13,ReportData!$AQ$4:$AR$25,2,FALSE)</f>
        <v>0</v>
      </c>
      <c r="B13" s="885" t="str">
        <f>ReportData!$K$6</f>
        <v>Buckinghamshire</v>
      </c>
      <c r="C13" s="896"/>
      <c r="D13" s="889">
        <f>IF(Year1_Buckinghamshire Year1_CIN="","",Year1_Buckinghamshire Year1_CIN)</f>
        <v>3328</v>
      </c>
      <c r="E13" s="889">
        <f>IF(Year2_Buckinghamshire Year2_CIN="","",Year2_Buckinghamshire Year2_CIN)</f>
        <v>3453</v>
      </c>
      <c r="F13" s="889">
        <f>IF(Year3_Buckinghamshire Year3_CIN="","",Year3_Buckinghamshire Year3_CIN)</f>
        <v>4277</v>
      </c>
      <c r="G13" s="889">
        <f>IF(Year4_Buckinghamshire Year4_CIN="","",Year4_Buckinghamshire Year4_CIN)</f>
        <v>3846</v>
      </c>
      <c r="H13" s="890">
        <f>IF(Year5_Buckinghamshire Year5_CIN="","",Year5_Buckinghamshire Year5_CIN)</f>
        <v>3469</v>
      </c>
      <c r="I13" s="900">
        <f t="shared" si="0"/>
        <v>1.9349419757686701E-2</v>
      </c>
      <c r="J13" s="896"/>
      <c r="K13" s="901">
        <f>IF(ISNUMBER(D13),D13/Population!D13*10000,NA())</f>
        <v>272.48090259298982</v>
      </c>
      <c r="L13" s="901">
        <f>IF(ISNUMBER(E13),E13/Population!E13*10000,NA())</f>
        <v>281.88905669619169</v>
      </c>
      <c r="M13" s="901">
        <f>IF(ISNUMBER(F13),F13/Population!F13*10000,NA())</f>
        <v>346.2877499797587</v>
      </c>
      <c r="N13" s="901">
        <f>IF(ISNUMBER(G13),G13/Population!G13*10000,NA())</f>
        <v>305.44414883056032</v>
      </c>
      <c r="O13" s="902">
        <f>IF(ISNUMBER(H13),H13/Population!H13*10000,NA())</f>
        <v>271.8311183550652</v>
      </c>
      <c r="P13" s="903">
        <f t="shared" si="10"/>
        <v>271.8311183550652</v>
      </c>
      <c r="Q13" s="1139">
        <f t="shared" si="1"/>
        <v>5</v>
      </c>
      <c r="R13" s="64"/>
      <c r="S13" s="905">
        <f t="shared" si="11"/>
        <v>262.68616737141622</v>
      </c>
      <c r="T13" s="906">
        <f t="shared" si="2"/>
        <v>9.1449509836489824</v>
      </c>
      <c r="U13" s="89"/>
      <c r="V13" s="103"/>
      <c r="W13" s="115"/>
      <c r="X13" s="51" t="str">
        <f t="shared" si="3"/>
        <v>Buckinghamshire</v>
      </c>
      <c r="Y13" s="27">
        <f>IF(ISNUMBER($H13),IDACI!D11,0)</f>
        <v>107385</v>
      </c>
      <c r="Z13" s="27">
        <f>IF(ISNUMBER($H13),IDACI!E11,0)</f>
        <v>9127.7250000000004</v>
      </c>
      <c r="AA13" s="155">
        <f>IF(ISNUMBER(D13),Population!D13,"")</f>
        <v>122137</v>
      </c>
      <c r="AB13" s="155">
        <f>IF(ISNUMBER(E13),Population!E13,"")</f>
        <v>122495</v>
      </c>
      <c r="AC13" s="155">
        <f>IF(ISNUMBER(F13),Population!F13,"")</f>
        <v>123510</v>
      </c>
      <c r="AD13" s="155">
        <f>IF(ISNUMBER(G13),Population!G13,"")</f>
        <v>125915</v>
      </c>
      <c r="AE13" s="155">
        <f>IF(ISNUMBER(H13),Population!H13,"")</f>
        <v>127616</v>
      </c>
      <c r="AF13" s="65" t="s">
        <v>8</v>
      </c>
      <c r="AG13" s="70">
        <f t="shared" si="4"/>
        <v>271.8311183550652</v>
      </c>
      <c r="AH13" s="156">
        <f t="shared" si="5"/>
        <v>5</v>
      </c>
      <c r="AJ13" s="121"/>
      <c r="AK13" s="480">
        <f t="shared" si="6"/>
        <v>3.7560096153846152E-2</v>
      </c>
      <c r="AL13" s="480">
        <f t="shared" si="7"/>
        <v>0.23863307269041414</v>
      </c>
      <c r="AM13" s="480">
        <f t="shared" si="8"/>
        <v>-0.10077156885667524</v>
      </c>
      <c r="AN13" s="480">
        <f t="shared" si="9"/>
        <v>-9.8023920956838276E-2</v>
      </c>
      <c r="AO13" s="480">
        <f t="shared" si="12"/>
        <v>1.9349419757686701E-2</v>
      </c>
      <c r="AQ13" s="110"/>
      <c r="AR13" s="110"/>
      <c r="AS13" s="110"/>
      <c r="AT13" s="110"/>
      <c r="AU13" s="110"/>
      <c r="AW13" s="110"/>
    </row>
    <row r="14" spans="1:49" s="61" customFormat="1" ht="15.75" customHeight="1">
      <c r="A14" s="1103">
        <f>VLOOKUP(B14,ReportData!$AQ$4:$AR$25,2,FALSE)</f>
        <v>0</v>
      </c>
      <c r="B14" s="885" t="str">
        <f>ReportData!$K$7</f>
        <v>East Sussex</v>
      </c>
      <c r="C14" s="896"/>
      <c r="D14" s="889">
        <f>IF(Year1_East_Sussex Year1_CIN="","",Year1_East_Sussex Year1_CIN)</f>
        <v>3276</v>
      </c>
      <c r="E14" s="889">
        <f>IF(Year2_East_Sussex Year2_CIN="","",Year2_East_Sussex Year2_CIN)</f>
        <v>3128</v>
      </c>
      <c r="F14" s="889">
        <f>IF(Year3_East_Sussex Year3_CIN="","",Year3_East_Sussex Year3_CIN)</f>
        <v>3556</v>
      </c>
      <c r="G14" s="889">
        <f>IF(Year4_East_Sussex Year4_CIN="","",Year4_East_Sussex Year4_CIN)</f>
        <v>3580</v>
      </c>
      <c r="H14" s="890">
        <f>IF(Year5_East_Sussex Year5_CIN="","",Year5_East_Sussex Year5_CIN)</f>
        <v>3708</v>
      </c>
      <c r="I14" s="900">
        <f t="shared" si="0"/>
        <v>3.353873640595581E-2</v>
      </c>
      <c r="J14" s="896"/>
      <c r="K14" s="901">
        <f>IF(ISNUMBER(D14),D14/Population!D14*10000,NA())</f>
        <v>318.30238726790452</v>
      </c>
      <c r="L14" s="901">
        <f>IF(ISNUMBER(E14),E14/Population!E14*10000,NA())</f>
        <v>305.4120817426454</v>
      </c>
      <c r="M14" s="901">
        <f>IF(ISNUMBER(F14),F14/Population!F14*10000,NA())</f>
        <v>348.76764189527165</v>
      </c>
      <c r="N14" s="901">
        <f>IF(ISNUMBER(G14),G14/Population!G14*10000,NA())</f>
        <v>348.16435691709216</v>
      </c>
      <c r="O14" s="902">
        <f>IF(ISNUMBER(H14),H14/Population!H14*10000,NA())</f>
        <v>357.89433044418274</v>
      </c>
      <c r="P14" s="903">
        <f t="shared" si="10"/>
        <v>357.89433044418274</v>
      </c>
      <c r="Q14" s="1139">
        <f t="shared" si="1"/>
        <v>12</v>
      </c>
      <c r="R14" s="64"/>
      <c r="S14" s="905">
        <f t="shared" si="11"/>
        <v>344.01177812451772</v>
      </c>
      <c r="T14" s="906">
        <f t="shared" si="2"/>
        <v>13.882552319665024</v>
      </c>
      <c r="U14" s="89"/>
      <c r="V14" s="103"/>
      <c r="W14" s="115"/>
      <c r="X14" s="51" t="str">
        <f t="shared" si="3"/>
        <v>East Sussex</v>
      </c>
      <c r="Y14" s="27">
        <f>IF(ISNUMBER($H14),IDACI!D12,0)</f>
        <v>93130</v>
      </c>
      <c r="Z14" s="27">
        <f>IF(ISNUMBER($H14),IDACI!E12,0)</f>
        <v>14993.93</v>
      </c>
      <c r="AA14" s="155">
        <f>IF(ISNUMBER(D14),Population!D14,"")</f>
        <v>102921</v>
      </c>
      <c r="AB14" s="155">
        <f>IF(ISNUMBER(E14),Population!E14,"")</f>
        <v>102419</v>
      </c>
      <c r="AC14" s="155">
        <f>IF(ISNUMBER(F14),Population!F14,"")</f>
        <v>101959</v>
      </c>
      <c r="AD14" s="155">
        <f>IF(ISNUMBER(G14),Population!G14,"")</f>
        <v>102825</v>
      </c>
      <c r="AE14" s="155">
        <f>IF(ISNUMBER(H14),Population!H14,"")</f>
        <v>103606</v>
      </c>
      <c r="AF14" s="65" t="s">
        <v>4</v>
      </c>
      <c r="AG14" s="70">
        <f t="shared" si="4"/>
        <v>357.89433044418274</v>
      </c>
      <c r="AH14" s="156">
        <f t="shared" si="5"/>
        <v>12</v>
      </c>
      <c r="AJ14" s="121"/>
      <c r="AK14" s="480">
        <f t="shared" si="6"/>
        <v>-4.5177045177045176E-2</v>
      </c>
      <c r="AL14" s="480">
        <f t="shared" si="7"/>
        <v>0.13682864450127877</v>
      </c>
      <c r="AM14" s="480">
        <f t="shared" si="8"/>
        <v>6.7491563554555678E-3</v>
      </c>
      <c r="AN14" s="480">
        <f t="shared" si="9"/>
        <v>3.5754189944134075E-2</v>
      </c>
      <c r="AO14" s="480">
        <f t="shared" si="12"/>
        <v>3.353873640595581E-2</v>
      </c>
      <c r="AQ14" s="110"/>
      <c r="AR14" s="110"/>
      <c r="AS14" s="110"/>
      <c r="AT14" s="110"/>
      <c r="AU14" s="110"/>
      <c r="AW14" s="110"/>
    </row>
    <row r="15" spans="1:49" s="61" customFormat="1" ht="15.75" customHeight="1">
      <c r="A15" s="1103">
        <f>VLOOKUP(B15,ReportData!$AQ$4:$AR$25,2,FALSE)</f>
        <v>0</v>
      </c>
      <c r="B15" s="885" t="str">
        <f>ReportData!$K$8</f>
        <v>Hampshire</v>
      </c>
      <c r="C15" s="896"/>
      <c r="D15" s="889">
        <f>IF(Year1_Hampshire Year1_CIN="","",Year1_Hampshire Year1_CIN)</f>
        <v>8293</v>
      </c>
      <c r="E15" s="889">
        <f>IF(Year2_Hampshire Year2_CIN="","",Year2_Hampshire Year2_CIN)</f>
        <v>8561</v>
      </c>
      <c r="F15" s="891">
        <f>IF(Year3_Hampshire Year3_CIN="","",Year3_Hampshire Year3_CIN)</f>
        <v>8905</v>
      </c>
      <c r="G15" s="891">
        <f>IF(Year4_Hampshire Year4_CIN="","",Year4_Hampshire Year4_CIN)</f>
        <v>9368</v>
      </c>
      <c r="H15" s="890" t="str">
        <f>IF(Year5_Hampshire Year5_CIN="","",Year5_Hampshire Year5_CIN)</f>
        <v>u</v>
      </c>
      <c r="I15" s="900">
        <f t="shared" si="0"/>
        <v>4.1497298448880005E-2</v>
      </c>
      <c r="J15" s="896"/>
      <c r="K15" s="901">
        <f>IF(ISNUMBER(D15),D15/Population!D15*10000,NA())</f>
        <v>296.87835612515215</v>
      </c>
      <c r="L15" s="901">
        <f>IF(ISNUMBER(E15),E15/Population!E15*10000,NA())</f>
        <v>306.32326210479613</v>
      </c>
      <c r="M15" s="901">
        <f>IF(ISNUMBER(F15),F15/Population!F15*10000,NA())</f>
        <v>316.98400663512842</v>
      </c>
      <c r="N15" s="901">
        <f>IF(ISNUMBER(G15),G15/Population!G15*10000,NA())</f>
        <v>330.45607029599245</v>
      </c>
      <c r="O15" s="902" t="e">
        <f>IF(ISNUMBER(H15),H15/Population!H15*10000,NA())</f>
        <v>#N/A</v>
      </c>
      <c r="P15" s="903" t="str">
        <f t="shared" si="10"/>
        <v/>
      </c>
      <c r="Q15" s="1139" t="e">
        <f t="shared" si="1"/>
        <v>#N/A</v>
      </c>
      <c r="R15" s="64"/>
      <c r="S15" s="905">
        <f t="shared" si="11"/>
        <v>279.80734858259547</v>
      </c>
      <c r="T15" s="906" t="e">
        <f t="shared" si="2"/>
        <v>#N/A</v>
      </c>
      <c r="U15" s="89"/>
      <c r="V15" s="103"/>
      <c r="W15" s="115"/>
      <c r="X15" s="51" t="str">
        <f t="shared" si="3"/>
        <v>Hampshire</v>
      </c>
      <c r="Y15" s="27">
        <f>IF(ISNUMBER($H15),IDACI!D13,0)</f>
        <v>0</v>
      </c>
      <c r="Z15" s="27">
        <f>IF(ISNUMBER($H15),IDACI!E13,0)</f>
        <v>0</v>
      </c>
      <c r="AA15" s="155">
        <f>IF(ISNUMBER(D15),Population!D15,"")</f>
        <v>279340</v>
      </c>
      <c r="AB15" s="155">
        <f>IF(ISNUMBER(E15),Population!E15,"")</f>
        <v>279476</v>
      </c>
      <c r="AC15" s="155">
        <f>IF(ISNUMBER(F15),Population!F15,"")</f>
        <v>280929</v>
      </c>
      <c r="AD15" s="155">
        <f>IF(ISNUMBER(G15),Population!G15,"")</f>
        <v>283487</v>
      </c>
      <c r="AE15" s="155" t="str">
        <f>IF(ISNUMBER(H15),Population!H15,"")</f>
        <v/>
      </c>
      <c r="AF15" s="65" t="s">
        <v>6</v>
      </c>
      <c r="AG15" s="70" t="str">
        <f t="shared" si="4"/>
        <v/>
      </c>
      <c r="AH15" s="156" t="e">
        <f t="shared" si="5"/>
        <v>#VALUE!</v>
      </c>
      <c r="AJ15" s="121"/>
      <c r="AK15" s="480">
        <f t="shared" si="6"/>
        <v>3.2316411431327623E-2</v>
      </c>
      <c r="AL15" s="480">
        <f t="shared" si="7"/>
        <v>4.018222170307207E-2</v>
      </c>
      <c r="AM15" s="480">
        <f t="shared" si="8"/>
        <v>5.1993262212240314E-2</v>
      </c>
      <c r="AN15" s="480" t="str">
        <f t="shared" si="9"/>
        <v>x</v>
      </c>
      <c r="AO15" s="480">
        <f t="shared" si="12"/>
        <v>4.1497298448880005E-2</v>
      </c>
      <c r="AQ15" s="110"/>
      <c r="AR15" s="110"/>
      <c r="AS15" s="110"/>
      <c r="AT15" s="110"/>
      <c r="AU15" s="110"/>
      <c r="AW15" s="110"/>
    </row>
    <row r="16" spans="1:49" s="61" customFormat="1" ht="15.75" customHeight="1">
      <c r="A16" s="1103">
        <f>VLOOKUP(B16,ReportData!$AQ$4:$AR$25,2,FALSE)</f>
        <v>0</v>
      </c>
      <c r="B16" s="885" t="str">
        <f>ReportData!$K$9</f>
        <v>Isle of Wight</v>
      </c>
      <c r="C16" s="896"/>
      <c r="D16" s="889">
        <f>IF(Year1_Isle_of_Wight Year1_CIN="","",Year1_Isle_of_Wight Year1_CIN)</f>
        <v>1168</v>
      </c>
      <c r="E16" s="889">
        <f>IF(Year2_Isle_of_Wight Year2_CIN="","",Year2_Isle_of_Wight Year2_CIN)</f>
        <v>1283</v>
      </c>
      <c r="F16" s="889">
        <f>IF(Year3_Isle_of_Wight Year3_CIN="","",Year3_Isle_of_Wight Year3_CIN)</f>
        <v>1348</v>
      </c>
      <c r="G16" s="889">
        <f>IF(Year4_Isle_of_Wight Year4_CIN="","",Year4_Isle_of_Wight Year4_CIN)</f>
        <v>1364</v>
      </c>
      <c r="H16" s="890">
        <f>IF(Year5_Isle_of_Wight Year5_CIN="","",Year5_Isle_of_Wight Year5_CIN)</f>
        <v>1467</v>
      </c>
      <c r="I16" s="900">
        <f t="shared" si="0"/>
        <v>5.9126011633774553E-2</v>
      </c>
      <c r="J16" s="896"/>
      <c r="K16" s="901">
        <f>IF(ISNUMBER(D16),D16/Population!D16*10000,NA())</f>
        <v>480.63865684539729</v>
      </c>
      <c r="L16" s="901">
        <f>IF(ISNUMBER(E16),E16/Population!E16*10000,NA())</f>
        <v>536.99983257994302</v>
      </c>
      <c r="M16" s="901">
        <f>IF(ISNUMBER(F16),F16/Population!F16*10000,NA())</f>
        <v>570.31646640717543</v>
      </c>
      <c r="N16" s="901">
        <f>IF(ISNUMBER(G16),G16/Population!G16*10000,NA())</f>
        <v>579.58698053879493</v>
      </c>
      <c r="O16" s="902">
        <f>IF(ISNUMBER(H16),H16/Population!H16*10000,NA())</f>
        <v>625.90664732485698</v>
      </c>
      <c r="P16" s="903">
        <f t="shared" si="10"/>
        <v>625.90664732485698</v>
      </c>
      <c r="Q16" s="1139">
        <f t="shared" si="1"/>
        <v>18</v>
      </c>
      <c r="R16" s="64"/>
      <c r="S16" s="905">
        <f t="shared" si="11"/>
        <v>364.34318081279309</v>
      </c>
      <c r="T16" s="906">
        <f t="shared" si="2"/>
        <v>261.56346651206388</v>
      </c>
      <c r="U16" s="89"/>
      <c r="V16" s="103"/>
      <c r="W16" s="115"/>
      <c r="X16" s="51" t="str">
        <f t="shared" si="3"/>
        <v>Isle of Wight</v>
      </c>
      <c r="Y16" s="27">
        <f>IF(ISNUMBER($H16),IDACI!D14,0)</f>
        <v>22123</v>
      </c>
      <c r="Z16" s="27">
        <f>IF(ISNUMBER($H16),IDACI!E14,0)</f>
        <v>3982.14</v>
      </c>
      <c r="AA16" s="155">
        <f>IF(ISNUMBER(D16),Population!D16,"")</f>
        <v>24301</v>
      </c>
      <c r="AB16" s="155">
        <f>IF(ISNUMBER(E16),Population!E16,"")</f>
        <v>23892</v>
      </c>
      <c r="AC16" s="155">
        <f>IF(ISNUMBER(F16),Population!F16,"")</f>
        <v>23636</v>
      </c>
      <c r="AD16" s="155">
        <f>IF(ISNUMBER(G16),Population!G16,"")</f>
        <v>23534</v>
      </c>
      <c r="AE16" s="155">
        <f>IF(ISNUMBER(H16),Population!H16,"")</f>
        <v>23438</v>
      </c>
      <c r="AF16" s="65" t="s">
        <v>1</v>
      </c>
      <c r="AG16" s="70">
        <f t="shared" si="4"/>
        <v>625.90664732485698</v>
      </c>
      <c r="AH16" s="156">
        <f t="shared" si="5"/>
        <v>18</v>
      </c>
      <c r="AJ16" s="121"/>
      <c r="AK16" s="480">
        <f t="shared" si="6"/>
        <v>9.8458904109589046E-2</v>
      </c>
      <c r="AL16" s="480">
        <f t="shared" si="7"/>
        <v>5.0662509742790338E-2</v>
      </c>
      <c r="AM16" s="480">
        <f t="shared" si="8"/>
        <v>1.1869436201780416E-2</v>
      </c>
      <c r="AN16" s="480">
        <f t="shared" si="9"/>
        <v>7.5513196480938419E-2</v>
      </c>
      <c r="AO16" s="480">
        <f t="shared" si="12"/>
        <v>5.9126011633774553E-2</v>
      </c>
      <c r="AQ16" s="110"/>
      <c r="AR16" s="110"/>
      <c r="AS16" s="110"/>
      <c r="AT16" s="110"/>
      <c r="AU16" s="110"/>
      <c r="AW16" s="110"/>
    </row>
    <row r="17" spans="1:49" s="61" customFormat="1" ht="15.75" customHeight="1">
      <c r="A17" s="1103">
        <f>VLOOKUP(B17,ReportData!$AQ$4:$AR$25,2,FALSE)</f>
        <v>0</v>
      </c>
      <c r="B17" s="885" t="str">
        <f>ReportData!$K$10</f>
        <v>Kent</v>
      </c>
      <c r="C17" s="896"/>
      <c r="D17" s="889">
        <f>IF(Year1_Kent Year1_CIN="","",Year1_Kent Year1_CIN)</f>
        <v>10524</v>
      </c>
      <c r="E17" s="889">
        <f>IF(Year2_Kent Year2_CIN="","",Year2_Kent Year2_CIN)</f>
        <v>10853</v>
      </c>
      <c r="F17" s="889">
        <f>IF(Year3_Kent Year3_CIN="","",Year3_Kent Year3_CIN)</f>
        <v>11925</v>
      </c>
      <c r="G17" s="889">
        <f>IF(Year4_Kent Year4_CIN="","",Year4_Kent Year4_CIN)</f>
        <v>11784</v>
      </c>
      <c r="H17" s="890">
        <f>IF(Year5_Kent Year5_CIN="","",Year5_Kent Year5_CIN)</f>
        <v>11717</v>
      </c>
      <c r="I17" s="900">
        <f t="shared" si="0"/>
        <v>2.8131708784292803E-2</v>
      </c>
      <c r="J17" s="896"/>
      <c r="K17" s="901">
        <f>IF(ISNUMBER(D17),D17/Population!D17*10000,NA())</f>
        <v>315.71084438551287</v>
      </c>
      <c r="L17" s="901">
        <f>IF(ISNUMBER(E17),E17/Population!E17*10000,NA())</f>
        <v>324.52814391311625</v>
      </c>
      <c r="M17" s="901">
        <f>IF(ISNUMBER(F17),F17/Population!F17*10000,NA())</f>
        <v>354.8146186598272</v>
      </c>
      <c r="N17" s="901">
        <f>IF(ISNUMBER(G17),G17/Population!G17*10000,NA())</f>
        <v>343.69914075214814</v>
      </c>
      <c r="O17" s="902">
        <f>IF(ISNUMBER(H17),H17/Population!H17*10000,NA())</f>
        <v>336.3744932994959</v>
      </c>
      <c r="P17" s="903">
        <f t="shared" si="10"/>
        <v>336.3744932994959</v>
      </c>
      <c r="Q17" s="1139">
        <f t="shared" si="1"/>
        <v>8</v>
      </c>
      <c r="R17" s="64"/>
      <c r="S17" s="905">
        <f t="shared" si="11"/>
        <v>340.80155664742165</v>
      </c>
      <c r="T17" s="906">
        <f t="shared" si="2"/>
        <v>-4.4270633479257526</v>
      </c>
      <c r="U17" s="89"/>
      <c r="V17" s="103"/>
      <c r="W17" s="115"/>
      <c r="X17" s="51" t="str">
        <f t="shared" si="3"/>
        <v>Kent</v>
      </c>
      <c r="Y17" s="27">
        <f>IF(ISNUMBER($H17),IDACI!D15,0)</f>
        <v>291866</v>
      </c>
      <c r="Z17" s="27">
        <f>IF(ISNUMBER($H17),IDACI!E15,0)</f>
        <v>46114.828000000001</v>
      </c>
      <c r="AA17" s="155">
        <f>IF(ISNUMBER(D17),Population!D17,"")</f>
        <v>333343</v>
      </c>
      <c r="AB17" s="155">
        <f>IF(ISNUMBER(E17),Population!E17,"")</f>
        <v>334424</v>
      </c>
      <c r="AC17" s="155">
        <f>IF(ISNUMBER(F17),Population!F17,"")</f>
        <v>336091</v>
      </c>
      <c r="AD17" s="155">
        <f>IF(ISNUMBER(G17),Population!G17,"")</f>
        <v>342858</v>
      </c>
      <c r="AE17" s="155">
        <f>IF(ISNUMBER(H17),Population!H17,"")</f>
        <v>348332</v>
      </c>
      <c r="AF17" s="65" t="s">
        <v>9</v>
      </c>
      <c r="AG17" s="70">
        <f t="shared" si="4"/>
        <v>336.3744932994959</v>
      </c>
      <c r="AH17" s="156">
        <f t="shared" si="5"/>
        <v>8</v>
      </c>
      <c r="AJ17" s="121"/>
      <c r="AK17" s="480">
        <f t="shared" si="6"/>
        <v>3.1261877613074876E-2</v>
      </c>
      <c r="AL17" s="480">
        <f t="shared" si="7"/>
        <v>9.8774532387358338E-2</v>
      </c>
      <c r="AM17" s="480">
        <f t="shared" si="8"/>
        <v>-1.1823899371069183E-2</v>
      </c>
      <c r="AN17" s="480">
        <f t="shared" si="9"/>
        <v>-5.6856754921928042E-3</v>
      </c>
      <c r="AO17" s="480">
        <f t="shared" si="12"/>
        <v>2.8131708784292803E-2</v>
      </c>
      <c r="AQ17" s="110"/>
      <c r="AR17" s="110"/>
      <c r="AS17" s="110"/>
      <c r="AT17" s="110"/>
      <c r="AU17" s="110"/>
      <c r="AW17" s="110"/>
    </row>
    <row r="18" spans="1:49" s="61" customFormat="1" ht="15.75" customHeight="1">
      <c r="A18" s="1103">
        <f>VLOOKUP(B18,ReportData!$AQ$4:$AR$25,2,FALSE)</f>
        <v>0</v>
      </c>
      <c r="B18" s="885" t="str">
        <f>ReportData!$K$11</f>
        <v>Medway</v>
      </c>
      <c r="C18" s="896"/>
      <c r="D18" s="889">
        <f>IF(Year1_Medway Year1_CIN="","",Year1_Medway Year1_CIN)</f>
        <v>2303</v>
      </c>
      <c r="E18" s="1173">
        <f>IF(Year2_Medway Year2_CIN="","",Year2_Medway Year2_CIN)</f>
        <v>1793</v>
      </c>
      <c r="F18" s="1173">
        <f>IF(Year3_Medway Year3_CIN="","",Year3_Medway Year3_CIN)</f>
        <v>1753</v>
      </c>
      <c r="G18" s="1173">
        <f>IF(Year4_Medway Year4_CIN="","",Year4_Medway Year4_CIN)</f>
        <v>2732</v>
      </c>
      <c r="H18" s="1174">
        <f>IF(Year5_Medway Year5_CIN="","",Year5_Medway Year5_CIN)</f>
        <v>2247</v>
      </c>
      <c r="I18" s="900">
        <f t="shared" si="0"/>
        <v>3.4296577095590669E-2</v>
      </c>
      <c r="J18" s="896"/>
      <c r="K18" s="901">
        <f>IF(ISNUMBER(D18),D18/Population!D18*10000,NA())</f>
        <v>361.69744942832017</v>
      </c>
      <c r="L18" s="901">
        <f>IF(ISNUMBER(E18),E18/Population!E18*10000,NA())</f>
        <v>281.49776277572806</v>
      </c>
      <c r="M18" s="901">
        <f>IF(ISNUMBER(F18),F18/Population!F18*10000,NA())</f>
        <v>274.69169656987947</v>
      </c>
      <c r="N18" s="901">
        <f>IF(ISNUMBER(G18),G18/Population!G18*10000,NA())</f>
        <v>420.5988761450235</v>
      </c>
      <c r="O18" s="902">
        <f>IF(ISNUMBER(H18),H18/Population!H18*10000,NA())</f>
        <v>336.94723109451616</v>
      </c>
      <c r="P18" s="903">
        <f t="shared" si="10"/>
        <v>336.94723109451616</v>
      </c>
      <c r="Q18" s="1139">
        <f t="shared" si="1"/>
        <v>9</v>
      </c>
      <c r="R18" s="64"/>
      <c r="S18" s="905">
        <f t="shared" si="11"/>
        <v>373.97384524408142</v>
      </c>
      <c r="T18" s="906">
        <f t="shared" si="2"/>
        <v>-37.026614149565262</v>
      </c>
      <c r="U18" s="89"/>
      <c r="V18" s="103"/>
      <c r="W18" s="115"/>
      <c r="X18" s="51" t="str">
        <f t="shared" si="3"/>
        <v>Medway</v>
      </c>
      <c r="Y18" s="27">
        <f>IF(ISNUMBER($H18),IDACI!D16,0)</f>
        <v>55993</v>
      </c>
      <c r="Z18" s="27">
        <f>IF(ISNUMBER($H18),IDACI!E16,0)</f>
        <v>10582.676999999998</v>
      </c>
      <c r="AA18" s="155">
        <f>IF(ISNUMBER(D18),Population!D18,"")</f>
        <v>63672</v>
      </c>
      <c r="AB18" s="155">
        <f>IF(ISNUMBER(E18),Population!E18,"")</f>
        <v>63695</v>
      </c>
      <c r="AC18" s="155">
        <f>IF(ISNUMBER(F18),Population!F18,"")</f>
        <v>63817</v>
      </c>
      <c r="AD18" s="155">
        <f>IF(ISNUMBER(G18),Population!G18,"")</f>
        <v>64955</v>
      </c>
      <c r="AE18" s="155">
        <f>IF(ISNUMBER(H18),Population!H18,"")</f>
        <v>66687</v>
      </c>
      <c r="AF18" s="65" t="s">
        <v>2</v>
      </c>
      <c r="AG18" s="70">
        <f t="shared" si="4"/>
        <v>336.94723109451616</v>
      </c>
      <c r="AH18" s="156">
        <f t="shared" si="5"/>
        <v>9</v>
      </c>
      <c r="AJ18" s="121"/>
      <c r="AK18" s="480">
        <f t="shared" si="6"/>
        <v>-0.2214502822405558</v>
      </c>
      <c r="AL18" s="480">
        <f t="shared" si="7"/>
        <v>-2.2308979364194088E-2</v>
      </c>
      <c r="AM18" s="480">
        <f t="shared" si="8"/>
        <v>0.55847119224187103</v>
      </c>
      <c r="AN18" s="480">
        <f t="shared" si="9"/>
        <v>-0.17752562225475843</v>
      </c>
      <c r="AO18" s="480">
        <f t="shared" si="12"/>
        <v>3.4296577095590669E-2</v>
      </c>
      <c r="AQ18" s="110"/>
      <c r="AR18" s="110"/>
      <c r="AS18" s="110"/>
      <c r="AT18" s="110"/>
      <c r="AU18" s="110"/>
      <c r="AW18" s="110"/>
    </row>
    <row r="19" spans="1:49" s="61" customFormat="1" ht="15.75" customHeight="1">
      <c r="A19" s="1103">
        <f>VLOOKUP(B19,ReportData!$AQ$4:$AR$25,2,FALSE)</f>
        <v>0</v>
      </c>
      <c r="B19" s="885" t="str">
        <f>ReportData!$K$12</f>
        <v>Milton Keynes</v>
      </c>
      <c r="C19" s="896"/>
      <c r="D19" s="889">
        <f>IF(Year1_Milton_Keynes Year1_CIN="","",Year1_Milton_Keynes Year1_CIN)</f>
        <v>2365</v>
      </c>
      <c r="E19" s="889">
        <f>IF(Year2_Milton_Keynes Year2_CIN="","",Year2_Milton_Keynes Year2_CIN)</f>
        <v>2323</v>
      </c>
      <c r="F19" s="889">
        <f>IF(Year3_Milton_Keynes Year3_CIN="","",Year3_Milton_Keynes Year3_CIN)</f>
        <v>2603</v>
      </c>
      <c r="G19" s="889">
        <f>IF(Year4_Milton_Keynes Year4_CIN="","",Year4_Milton_Keynes Year4_CIN)</f>
        <v>2624</v>
      </c>
      <c r="H19" s="890">
        <f>IF(Year5_Milton_Keynes Year5_CIN="","",Year5_Milton_Keynes Year5_CIN)</f>
        <v>2501</v>
      </c>
      <c r="I19" s="900">
        <f t="shared" si="0"/>
        <v>1.5991855400010635E-2</v>
      </c>
      <c r="J19" s="896"/>
      <c r="K19" s="901">
        <f>IF(ISNUMBER(D19),D19/Population!D19*10000,NA())</f>
        <v>342.56992627141972</v>
      </c>
      <c r="L19" s="901">
        <f>IF(ISNUMBER(E19),E19/Population!E19*10000,NA())</f>
        <v>335.18505158357982</v>
      </c>
      <c r="M19" s="901">
        <f>IF(ISNUMBER(F19),F19/Population!F19*10000,NA())</f>
        <v>373.80627557980898</v>
      </c>
      <c r="N19" s="901">
        <f>IF(ISNUMBER(G19),G19/Population!G19*10000,NA())</f>
        <v>369.83270144184019</v>
      </c>
      <c r="O19" s="902">
        <f>IF(ISNUMBER(H19),H19/Population!H19*10000,NA())</f>
        <v>343.55811365852986</v>
      </c>
      <c r="P19" s="903">
        <f t="shared" si="10"/>
        <v>343.55811365852986</v>
      </c>
      <c r="Q19" s="1139">
        <f t="shared" si="1"/>
        <v>11</v>
      </c>
      <c r="R19" s="64"/>
      <c r="S19" s="905">
        <f t="shared" si="11"/>
        <v>332.24096604183194</v>
      </c>
      <c r="T19" s="906">
        <f t="shared" si="2"/>
        <v>11.317147616697923</v>
      </c>
      <c r="U19" s="89"/>
      <c r="V19" s="103"/>
      <c r="W19" s="115"/>
      <c r="X19" s="51" t="str">
        <f t="shared" si="3"/>
        <v>Milton Keynes</v>
      </c>
      <c r="Y19" s="27">
        <f>IF(ISNUMBER($H19),IDACI!D17,0)</f>
        <v>59903</v>
      </c>
      <c r="Z19" s="27">
        <f>IF(ISNUMBER($H19),IDACI!E17,0)</f>
        <v>8985.4499999999989</v>
      </c>
      <c r="AA19" s="155">
        <f>IF(ISNUMBER(D19),Population!D19,"")</f>
        <v>69037</v>
      </c>
      <c r="AB19" s="155">
        <f>IF(ISNUMBER(E19),Population!E19,"")</f>
        <v>69305</v>
      </c>
      <c r="AC19" s="155">
        <f>IF(ISNUMBER(F19),Population!F19,"")</f>
        <v>69635</v>
      </c>
      <c r="AD19" s="155">
        <f>IF(ISNUMBER(G19),Population!G19,"")</f>
        <v>70951</v>
      </c>
      <c r="AE19" s="155">
        <f>IF(ISNUMBER(H19),Population!H19,"")</f>
        <v>72797</v>
      </c>
      <c r="AF19" s="65" t="s">
        <v>10</v>
      </c>
      <c r="AG19" s="70">
        <f t="shared" si="4"/>
        <v>343.55811365852986</v>
      </c>
      <c r="AH19" s="156">
        <f t="shared" si="5"/>
        <v>11</v>
      </c>
      <c r="AJ19" s="121"/>
      <c r="AK19" s="480">
        <f t="shared" si="6"/>
        <v>-1.7758985200845664E-2</v>
      </c>
      <c r="AL19" s="480">
        <f t="shared" si="7"/>
        <v>0.12053379250968575</v>
      </c>
      <c r="AM19" s="480">
        <f t="shared" si="8"/>
        <v>8.0676142912024587E-3</v>
      </c>
      <c r="AN19" s="480">
        <f t="shared" si="9"/>
        <v>-4.6875E-2</v>
      </c>
      <c r="AO19" s="480">
        <f t="shared" si="12"/>
        <v>1.5991855400010635E-2</v>
      </c>
      <c r="AQ19" s="110"/>
      <c r="AR19" s="110"/>
      <c r="AS19" s="110"/>
      <c r="AT19" s="110"/>
      <c r="AU19" s="110"/>
      <c r="AW19" s="110"/>
    </row>
    <row r="20" spans="1:49" s="61" customFormat="1" ht="15.75" customHeight="1">
      <c r="A20" s="1103">
        <f>VLOOKUP(B20,ReportData!$AQ$4:$AR$25,2,FALSE)</f>
        <v>0</v>
      </c>
      <c r="B20" s="885" t="str">
        <f>ReportData!$K$13</f>
        <v>Oxfordshire</v>
      </c>
      <c r="C20" s="896"/>
      <c r="D20" s="889">
        <f>IF(Year1_Oxfordshire Year1_CIN="","",Year1_Oxfordshire Year1_CIN)</f>
        <v>4750</v>
      </c>
      <c r="E20" s="889">
        <f>IF(Year2_Oxfordshire Year2_CIN="","",Year2_Oxfordshire Year2_CIN)</f>
        <v>4280</v>
      </c>
      <c r="F20" s="889">
        <f>IF(Year3_Oxfordshire Year3_CIN="","",Year3_Oxfordshire Year3_CIN)</f>
        <v>5019</v>
      </c>
      <c r="G20" s="889">
        <f>IF(Year4_Oxfordshire Year4_CIN="","",Year4_Oxfordshire Year4_CIN)</f>
        <v>4287</v>
      </c>
      <c r="H20" s="890">
        <f>IF(Year5_Oxfordshire Year5_CIN="","",Year5_Oxfordshire Year5_CIN)</f>
        <v>3862</v>
      </c>
      <c r="I20" s="900">
        <f t="shared" si="0"/>
        <v>-4.2816632155330873E-2</v>
      </c>
      <c r="J20" s="896"/>
      <c r="K20" s="901">
        <f>IF(ISNUMBER(D20),D20/Population!D20*10000,NA())</f>
        <v>328.88131884870768</v>
      </c>
      <c r="L20" s="901">
        <f>IF(ISNUMBER(E20),E20/Population!E20*10000,NA())</f>
        <v>294.72727397930021</v>
      </c>
      <c r="M20" s="901">
        <f>IF(ISNUMBER(F20),F20/Population!F20*10000,NA())</f>
        <v>342.96139890531151</v>
      </c>
      <c r="N20" s="901">
        <f>IF(ISNUMBER(G20),G20/Population!G20*10000,NA())</f>
        <v>286.68298358945555</v>
      </c>
      <c r="O20" s="902">
        <f>IF(ISNUMBER(H20),H20/Population!H20*10000,NA())</f>
        <v>253.23759876725353</v>
      </c>
      <c r="P20" s="903">
        <f t="shared" si="10"/>
        <v>253.23759876725353</v>
      </c>
      <c r="Q20" s="1139">
        <f t="shared" si="1"/>
        <v>4</v>
      </c>
      <c r="R20" s="64"/>
      <c r="S20" s="905">
        <f t="shared" si="11"/>
        <v>279.80734858259547</v>
      </c>
      <c r="T20" s="906">
        <f t="shared" si="2"/>
        <v>-26.569749815341936</v>
      </c>
      <c r="U20" s="89"/>
      <c r="V20" s="103"/>
      <c r="W20" s="115"/>
      <c r="X20" s="51" t="str">
        <f t="shared" si="3"/>
        <v>Oxfordshire</v>
      </c>
      <c r="Y20" s="27">
        <f>IF(ISNUMBER($H20),IDACI!D18,0)</f>
        <v>126119</v>
      </c>
      <c r="Z20" s="27">
        <f>IF(ISNUMBER($H20),IDACI!E18,0)</f>
        <v>12738.019000000002</v>
      </c>
      <c r="AA20" s="155">
        <f>IF(ISNUMBER(D20),Population!D20,"")</f>
        <v>144429</v>
      </c>
      <c r="AB20" s="155">
        <f>IF(ISNUMBER(E20),Population!E20,"")</f>
        <v>145219</v>
      </c>
      <c r="AC20" s="155">
        <f>IF(ISNUMBER(F20),Population!F20,"")</f>
        <v>146343</v>
      </c>
      <c r="AD20" s="155">
        <f>IF(ISNUMBER(G20),Population!G20,"")</f>
        <v>149538</v>
      </c>
      <c r="AE20" s="155">
        <f>IF(ISNUMBER(H20),Population!H20,"")</f>
        <v>152505</v>
      </c>
      <c r="AF20" s="65" t="s">
        <v>11</v>
      </c>
      <c r="AG20" s="70">
        <f t="shared" si="4"/>
        <v>253.23759876725353</v>
      </c>
      <c r="AH20" s="156">
        <f t="shared" si="5"/>
        <v>4</v>
      </c>
      <c r="AJ20" s="121"/>
      <c r="AK20" s="480">
        <f t="shared" si="6"/>
        <v>-9.8947368421052631E-2</v>
      </c>
      <c r="AL20" s="480">
        <f t="shared" si="7"/>
        <v>0.17266355140186915</v>
      </c>
      <c r="AM20" s="480">
        <f t="shared" si="8"/>
        <v>-0.14584578601315004</v>
      </c>
      <c r="AN20" s="480">
        <f t="shared" si="9"/>
        <v>-9.9136925588989969E-2</v>
      </c>
      <c r="AO20" s="480">
        <f t="shared" si="12"/>
        <v>-4.2816632155330873E-2</v>
      </c>
      <c r="AQ20" s="110"/>
      <c r="AR20" s="110"/>
      <c r="AS20" s="110"/>
      <c r="AT20" s="110"/>
      <c r="AU20" s="110"/>
      <c r="AW20" s="110"/>
    </row>
    <row r="21" spans="1:49" s="61" customFormat="1" ht="15.75" customHeight="1">
      <c r="A21" s="1103">
        <f>VLOOKUP(B21,ReportData!$AQ$4:$AR$25,2,FALSE)</f>
        <v>0</v>
      </c>
      <c r="B21" s="885" t="str">
        <f>ReportData!$K$14</f>
        <v>Portsmouth</v>
      </c>
      <c r="C21" s="896"/>
      <c r="D21" s="889">
        <f>IF(Year1_Portsmouth Year1_CIN="","",Year1_Portsmouth Year1_CIN)</f>
        <v>1661</v>
      </c>
      <c r="E21" s="889">
        <f>IF(Year2_Portsmouth Year2_CIN="","",Year2_Portsmouth Year2_CIN)</f>
        <v>1633</v>
      </c>
      <c r="F21" s="889">
        <f>IF(Year3_Portsmouth Year3_CIN="","",Year3_Portsmouth Year3_CIN)</f>
        <v>1736</v>
      </c>
      <c r="G21" s="889">
        <f>IF(Year4_Portsmouth Year4_CIN="","",Year4_Portsmouth Year4_CIN)</f>
        <v>1641</v>
      </c>
      <c r="H21" s="890">
        <f>IF(Year5_Portsmouth Year5_CIN="","",Year5_Portsmouth Year5_CIN)</f>
        <v>1846</v>
      </c>
      <c r="I21" s="900">
        <f t="shared" si="0"/>
        <v>2.9104276628632044E-2</v>
      </c>
      <c r="J21" s="896"/>
      <c r="K21" s="901">
        <f>IF(ISNUMBER(D21),D21/Population!D21*10000,NA())</f>
        <v>395.1657031380106</v>
      </c>
      <c r="L21" s="901">
        <f>IF(ISNUMBER(E21),E21/Population!E21*10000,NA())</f>
        <v>390.0632986981966</v>
      </c>
      <c r="M21" s="901">
        <f>IF(ISNUMBER(F21),F21/Population!F21*10000,NA())</f>
        <v>418.84816753926702</v>
      </c>
      <c r="N21" s="901">
        <f>IF(ISNUMBER(G21),G21/Population!G21*10000,NA())</f>
        <v>391.91803396145303</v>
      </c>
      <c r="O21" s="902">
        <f>IF(ISNUMBER(H21),H21/Population!H21*10000,NA())</f>
        <v>436.33441274493583</v>
      </c>
      <c r="P21" s="903">
        <f t="shared" si="10"/>
        <v>436.33441274493583</v>
      </c>
      <c r="Q21" s="1139">
        <f t="shared" si="1"/>
        <v>16</v>
      </c>
      <c r="R21" s="64"/>
      <c r="S21" s="905">
        <f t="shared" si="11"/>
        <v>387.88480497816465</v>
      </c>
      <c r="T21" s="906">
        <f t="shared" si="2"/>
        <v>48.44960776677118</v>
      </c>
      <c r="U21" s="89"/>
      <c r="V21" s="103"/>
      <c r="W21" s="115"/>
      <c r="X21" s="51" t="str">
        <f t="shared" si="3"/>
        <v>Portsmouth</v>
      </c>
      <c r="Y21" s="27">
        <f>IF(ISNUMBER($H21),IDACI!D19,0)</f>
        <v>39325</v>
      </c>
      <c r="Z21" s="27">
        <f>IF(ISNUMBER($H21),IDACI!E19,0)</f>
        <v>7943.6500000000015</v>
      </c>
      <c r="AA21" s="155">
        <f>IF(ISNUMBER(D21),Population!D21,"")</f>
        <v>42033</v>
      </c>
      <c r="AB21" s="155">
        <f>IF(ISNUMBER(E21),Population!E21,"")</f>
        <v>41865</v>
      </c>
      <c r="AC21" s="155">
        <f>IF(ISNUMBER(F21),Population!F21,"")</f>
        <v>41447</v>
      </c>
      <c r="AD21" s="155">
        <f>IF(ISNUMBER(G21),Population!G21,"")</f>
        <v>41871</v>
      </c>
      <c r="AE21" s="155">
        <f>IF(ISNUMBER(H21),Population!H21,"")</f>
        <v>42307</v>
      </c>
      <c r="AF21" s="65" t="s">
        <v>12</v>
      </c>
      <c r="AG21" s="70">
        <f t="shared" si="4"/>
        <v>436.33441274493583</v>
      </c>
      <c r="AH21" s="156">
        <f t="shared" si="5"/>
        <v>16</v>
      </c>
      <c r="AJ21" s="121"/>
      <c r="AK21" s="480">
        <f t="shared" si="6"/>
        <v>-1.6857314870559904E-2</v>
      </c>
      <c r="AL21" s="480">
        <f t="shared" si="7"/>
        <v>6.3074096754439687E-2</v>
      </c>
      <c r="AM21" s="480">
        <f t="shared" si="8"/>
        <v>-5.4723502304147464E-2</v>
      </c>
      <c r="AN21" s="480">
        <f t="shared" si="9"/>
        <v>0.12492382693479585</v>
      </c>
      <c r="AO21" s="480">
        <f t="shared" si="12"/>
        <v>2.9104276628632044E-2</v>
      </c>
      <c r="AQ21" s="110"/>
      <c r="AR21" s="110"/>
      <c r="AS21" s="110"/>
      <c r="AT21" s="110"/>
      <c r="AU21" s="110"/>
      <c r="AW21" s="110"/>
    </row>
    <row r="22" spans="1:49" s="61" customFormat="1" ht="15.75" customHeight="1">
      <c r="A22" s="1103">
        <f>VLOOKUP(B22,ReportData!$AQ$4:$AR$25,2,FALSE)</f>
        <v>0</v>
      </c>
      <c r="B22" s="885" t="str">
        <f>ReportData!$K$15</f>
        <v>Reading</v>
      </c>
      <c r="C22" s="896"/>
      <c r="D22" s="889">
        <f>IF(Year1_Reading Year1_CIN="","",Year1_Reading Year1_CIN)</f>
        <v>1451</v>
      </c>
      <c r="E22" s="889">
        <f>IF(Year2_Reading Year2_CIN="","",Year2_Reading Year2_CIN)</f>
        <v>1562</v>
      </c>
      <c r="F22" s="889">
        <f>IF(Year3_Reading Year3_CIN="","",Year3_Reading Year3_CIN)</f>
        <v>1516</v>
      </c>
      <c r="G22" s="889">
        <f>IF(Year4_Reading Year4_CIN="","",Year4_Reading Year4_CIN)</f>
        <v>1601</v>
      </c>
      <c r="H22" s="890">
        <f>IF(Year5_Reading Year5_CIN="","",Year5_Reading Year5_CIN)</f>
        <v>1710</v>
      </c>
      <c r="I22" s="900">
        <f t="shared" si="0"/>
        <v>4.2800148116846237E-2</v>
      </c>
      <c r="J22" s="896"/>
      <c r="K22" s="901">
        <f>IF(ISNUMBER(D22),D22/Population!D22*10000,NA())</f>
        <v>391.84445044558464</v>
      </c>
      <c r="L22" s="901">
        <f>IF(ISNUMBER(E22),E22/Population!E22*10000,NA())</f>
        <v>422.49330556382034</v>
      </c>
      <c r="M22" s="901">
        <f>IF(ISNUMBER(F22),F22/Population!F22*10000,NA())</f>
        <v>417.2400506412726</v>
      </c>
      <c r="N22" s="901">
        <f>IF(ISNUMBER(G22),G22/Population!G22*10000,NA())</f>
        <v>429.68330649490071</v>
      </c>
      <c r="O22" s="902">
        <f>IF(ISNUMBER(H22),H22/Population!H22*10000,NA())</f>
        <v>450.8423633631258</v>
      </c>
      <c r="P22" s="903">
        <f t="shared" si="10"/>
        <v>450.8423633631258</v>
      </c>
      <c r="Q22" s="1139">
        <f t="shared" si="1"/>
        <v>17</v>
      </c>
      <c r="R22" s="64"/>
      <c r="S22" s="905">
        <f t="shared" si="11"/>
        <v>342.94170429881899</v>
      </c>
      <c r="T22" s="906">
        <f t="shared" si="2"/>
        <v>107.90065906430681</v>
      </c>
      <c r="U22" s="89"/>
      <c r="V22" s="103"/>
      <c r="W22" s="115"/>
      <c r="X22" s="51" t="str">
        <f t="shared" si="3"/>
        <v>Reading</v>
      </c>
      <c r="Y22" s="27">
        <f>IF(ISNUMBER($H22),IDACI!D20,0)</f>
        <v>33203</v>
      </c>
      <c r="Z22" s="27">
        <f>IF(ISNUMBER($H22),IDACI!E20,0)</f>
        <v>5312.4800000000005</v>
      </c>
      <c r="AA22" s="155">
        <f>IF(ISNUMBER(D22),Population!D22,"")</f>
        <v>37030</v>
      </c>
      <c r="AB22" s="155">
        <f>IF(ISNUMBER(E22),Population!E22,"")</f>
        <v>36971</v>
      </c>
      <c r="AC22" s="155">
        <f>IF(ISNUMBER(F22),Population!F22,"")</f>
        <v>36334</v>
      </c>
      <c r="AD22" s="155">
        <f>IF(ISNUMBER(G22),Population!G22,"")</f>
        <v>37260</v>
      </c>
      <c r="AE22" s="155">
        <f>IF(ISNUMBER(H22),Population!H22,"")</f>
        <v>37929</v>
      </c>
      <c r="AF22" s="65" t="s">
        <v>3</v>
      </c>
      <c r="AG22" s="70">
        <f t="shared" si="4"/>
        <v>450.8423633631258</v>
      </c>
      <c r="AH22" s="156">
        <f t="shared" si="5"/>
        <v>17</v>
      </c>
      <c r="AJ22" s="121"/>
      <c r="AK22" s="480">
        <f t="shared" si="6"/>
        <v>7.649896623018608E-2</v>
      </c>
      <c r="AL22" s="480">
        <f t="shared" si="7"/>
        <v>-2.9449423815621E-2</v>
      </c>
      <c r="AM22" s="480">
        <f t="shared" si="8"/>
        <v>5.6068601583113456E-2</v>
      </c>
      <c r="AN22" s="480">
        <f t="shared" si="9"/>
        <v>6.808244846970643E-2</v>
      </c>
      <c r="AO22" s="480">
        <f t="shared" si="12"/>
        <v>4.2800148116846237E-2</v>
      </c>
      <c r="AQ22" s="110"/>
      <c r="AR22" s="110"/>
      <c r="AS22" s="110"/>
      <c r="AT22" s="110"/>
      <c r="AU22" s="110"/>
      <c r="AW22" s="110"/>
    </row>
    <row r="23" spans="1:49" s="61" customFormat="1" ht="15.75" customHeight="1">
      <c r="A23" s="1103">
        <f>VLOOKUP(B23,ReportData!$AQ$4:$AR$25,2,FALSE)</f>
        <v>0</v>
      </c>
      <c r="B23" s="885" t="str">
        <f>ReportData!$K$16</f>
        <v>Slough</v>
      </c>
      <c r="C23" s="896"/>
      <c r="D23" s="889">
        <f>IF(Year1_Slough Year1_CIN="","",Year1_Slough Year1_CIN)</f>
        <v>1589</v>
      </c>
      <c r="E23" s="889">
        <f>IF(Year2_Slough Year2_CIN="","",Year2_Slough Year2_CIN)</f>
        <v>1634</v>
      </c>
      <c r="F23" s="889">
        <f>IF(Year3_Slough Year3_CIN="","",Year3_Slough Year3_CIN)</f>
        <v>1742</v>
      </c>
      <c r="G23" s="889">
        <f>IF(Year4_Slough Year4_CIN="","",Year4_Slough Year4_CIN)</f>
        <v>1656</v>
      </c>
      <c r="H23" s="890">
        <f>IF(Year5_Slough Year5_CIN="","",Year5_Slough Year5_CIN)</f>
        <v>1730</v>
      </c>
      <c r="I23" s="900">
        <f t="shared" si="0"/>
        <v>2.2433154397940296E-2</v>
      </c>
      <c r="J23" s="896"/>
      <c r="K23" s="901">
        <f>IF(ISNUMBER(D23),D23/Population!D23*10000,NA())</f>
        <v>365.46378711561903</v>
      </c>
      <c r="L23" s="901">
        <f>IF(ISNUMBER(E23),E23/Population!E23*10000,NA())</f>
        <v>372.20956719817769</v>
      </c>
      <c r="M23" s="901">
        <f>IF(ISNUMBER(F23),F23/Population!F23*10000,NA())</f>
        <v>398.2897775338958</v>
      </c>
      <c r="N23" s="901">
        <f>IF(ISNUMBER(G23),G23/Population!G23*10000,NA())</f>
        <v>374.23728813559319</v>
      </c>
      <c r="O23" s="902">
        <f>IF(ISNUMBER(H23),H23/Population!H23*10000,NA())</f>
        <v>385.7388124595866</v>
      </c>
      <c r="P23" s="903">
        <f t="shared" si="10"/>
        <v>385.7388124595866</v>
      </c>
      <c r="Q23" s="1139">
        <f t="shared" si="1"/>
        <v>13</v>
      </c>
      <c r="R23" s="64"/>
      <c r="S23" s="905">
        <f t="shared" si="11"/>
        <v>329.03074456473587</v>
      </c>
      <c r="T23" s="906">
        <f t="shared" si="2"/>
        <v>56.708067894850728</v>
      </c>
      <c r="U23" s="89"/>
      <c r="V23" s="103"/>
      <c r="W23" s="115"/>
      <c r="X23" s="51" t="str">
        <f t="shared" si="3"/>
        <v>Slough</v>
      </c>
      <c r="Y23" s="27">
        <f>IF(ISNUMBER($H23),IDACI!D21,0)</f>
        <v>37031</v>
      </c>
      <c r="Z23" s="27">
        <f>IF(ISNUMBER($H23),IDACI!E21,0)</f>
        <v>5443.5569999999998</v>
      </c>
      <c r="AA23" s="155">
        <f>IF(ISNUMBER(D23),Population!D23,"")</f>
        <v>43479</v>
      </c>
      <c r="AB23" s="155">
        <f>IF(ISNUMBER(E23),Population!E23,"")</f>
        <v>43900</v>
      </c>
      <c r="AC23" s="155">
        <f>IF(ISNUMBER(F23),Population!F23,"")</f>
        <v>43737</v>
      </c>
      <c r="AD23" s="155">
        <f>IF(ISNUMBER(G23),Population!G23,"")</f>
        <v>44250</v>
      </c>
      <c r="AE23" s="155">
        <f>IF(ISNUMBER(H23),Population!H23,"")</f>
        <v>44849</v>
      </c>
      <c r="AF23" s="65" t="s">
        <v>13</v>
      </c>
      <c r="AG23" s="70">
        <f t="shared" si="4"/>
        <v>385.7388124595866</v>
      </c>
      <c r="AH23" s="156">
        <f t="shared" si="5"/>
        <v>13</v>
      </c>
      <c r="AJ23" s="121"/>
      <c r="AK23" s="480">
        <f t="shared" si="6"/>
        <v>2.8319697923222153E-2</v>
      </c>
      <c r="AL23" s="480">
        <f t="shared" si="7"/>
        <v>6.6095471236230108E-2</v>
      </c>
      <c r="AM23" s="480">
        <f t="shared" si="8"/>
        <v>-4.9368541905855337E-2</v>
      </c>
      <c r="AN23" s="480">
        <f t="shared" si="9"/>
        <v>4.4685990338164248E-2</v>
      </c>
      <c r="AO23" s="480">
        <f t="shared" si="12"/>
        <v>2.2433154397940296E-2</v>
      </c>
      <c r="AQ23" s="110"/>
      <c r="AR23" s="110"/>
      <c r="AS23" s="110"/>
      <c r="AT23" s="110"/>
      <c r="AU23" s="110"/>
      <c r="AW23" s="110"/>
    </row>
    <row r="24" spans="1:49" s="61" customFormat="1" ht="15.75" customHeight="1">
      <c r="A24" s="1103">
        <f>VLOOKUP(B24,ReportData!$AQ$4:$AR$25,2,FALSE)</f>
        <v>0</v>
      </c>
      <c r="B24" s="885" t="str">
        <f>ReportData!$K$17</f>
        <v>Southampton</v>
      </c>
      <c r="C24" s="896"/>
      <c r="D24" s="889">
        <f>IF(Year1_Southampton Year1_CIN="","",Year1_Southampton Year1_CIN)</f>
        <v>2406</v>
      </c>
      <c r="E24" s="889">
        <f>IF(Year2_Southampton Year2_CIN="","",Year2_Southampton Year2_CIN)</f>
        <v>2210</v>
      </c>
      <c r="F24" s="889">
        <f>IF(Year3_Southampton Year3_CIN="","",Year3_Southampton Year3_CIN)</f>
        <v>2901</v>
      </c>
      <c r="G24" s="889">
        <f>IF(Year4_Southampton Year4_CIN="","",Year4_Southampton Year4_CIN)</f>
        <v>2588</v>
      </c>
      <c r="H24" s="890">
        <f>IF(Year5_Southampton Year5_CIN="","",Year5_Southampton Year5_CIN)</f>
        <v>2059</v>
      </c>
      <c r="I24" s="900">
        <f t="shared" si="0"/>
        <v>-2.0273025375988369E-2</v>
      </c>
      <c r="J24" s="896"/>
      <c r="K24" s="901">
        <f>IF(ISNUMBER(D24),D24/Population!D24*10000,NA())</f>
        <v>485.19803178188272</v>
      </c>
      <c r="L24" s="901">
        <f>IF(ISNUMBER(E24),E24/Population!E24*10000,NA())</f>
        <v>444.33721374429496</v>
      </c>
      <c r="M24" s="901">
        <f>IF(ISNUMBER(F24),F24/Population!F24*10000,NA())</f>
        <v>587.38964930752411</v>
      </c>
      <c r="N24" s="901">
        <f>IF(ISNUMBER(G24),G24/Population!G24*10000,NA())</f>
        <v>518.93886226464281</v>
      </c>
      <c r="O24" s="902">
        <f>IF(ISNUMBER(H24),H24/Population!H24*10000,NA())</f>
        <v>408.75071963154869</v>
      </c>
      <c r="P24" s="903">
        <f t="shared" si="10"/>
        <v>408.75071963154869</v>
      </c>
      <c r="Q24" s="1139">
        <f t="shared" si="1"/>
        <v>14</v>
      </c>
      <c r="R24" s="64"/>
      <c r="S24" s="905">
        <f t="shared" si="11"/>
        <v>391.09502645526072</v>
      </c>
      <c r="T24" s="906">
        <f t="shared" si="2"/>
        <v>17.655693176287969</v>
      </c>
      <c r="U24" s="89"/>
      <c r="V24" s="103"/>
      <c r="W24" s="115"/>
      <c r="X24" s="51" t="str">
        <f t="shared" si="3"/>
        <v>Southampton</v>
      </c>
      <c r="Y24" s="27">
        <f>IF(ISNUMBER($H24),IDACI!D22,0)</f>
        <v>44295</v>
      </c>
      <c r="Z24" s="27">
        <f>IF(ISNUMBER($H24),IDACI!E22,0)</f>
        <v>9080.4750000000004</v>
      </c>
      <c r="AA24" s="155">
        <f>IF(ISNUMBER(D24),Population!D24,"")</f>
        <v>49588</v>
      </c>
      <c r="AB24" s="155">
        <f>IF(ISNUMBER(E24),Population!E24,"")</f>
        <v>49737</v>
      </c>
      <c r="AC24" s="155">
        <f>IF(ISNUMBER(F24),Population!F24,"")</f>
        <v>49388</v>
      </c>
      <c r="AD24" s="155">
        <f>IF(ISNUMBER(G24),Population!G24,"")</f>
        <v>49871</v>
      </c>
      <c r="AE24" s="155">
        <f>IF(ISNUMBER(H24),Population!H24,"")</f>
        <v>50373</v>
      </c>
      <c r="AF24" s="65" t="s">
        <v>14</v>
      </c>
      <c r="AG24" s="70">
        <f t="shared" si="4"/>
        <v>408.75071963154869</v>
      </c>
      <c r="AH24" s="156">
        <f t="shared" si="5"/>
        <v>14</v>
      </c>
      <c r="AJ24" s="121"/>
      <c r="AK24" s="480">
        <f t="shared" si="6"/>
        <v>-8.146300914380715E-2</v>
      </c>
      <c r="AL24" s="480">
        <f t="shared" si="7"/>
        <v>0.31266968325791855</v>
      </c>
      <c r="AM24" s="480">
        <f t="shared" si="8"/>
        <v>-0.10789382971389176</v>
      </c>
      <c r="AN24" s="480">
        <f t="shared" si="9"/>
        <v>-0.2044049459041731</v>
      </c>
      <c r="AO24" s="480">
        <f t="shared" si="12"/>
        <v>-2.0273025375988369E-2</v>
      </c>
      <c r="AQ24" s="110"/>
      <c r="AR24" s="110"/>
      <c r="AS24" s="110"/>
      <c r="AT24" s="110"/>
      <c r="AU24" s="110"/>
      <c r="AW24" s="110"/>
    </row>
    <row r="25" spans="1:49" s="61" customFormat="1" ht="15.75" customHeight="1">
      <c r="A25" s="1103">
        <f>VLOOKUP(B25,ReportData!$AQ$4:$AR$25,2,FALSE)</f>
        <v>0</v>
      </c>
      <c r="B25" s="885" t="str">
        <f>ReportData!$K$18</f>
        <v>Surrey</v>
      </c>
      <c r="C25" s="896"/>
      <c r="D25" s="889">
        <f>IF(Year1_Surrey Year1_CIN="","",Year1_Surrey Year1_CIN)</f>
        <v>5751</v>
      </c>
      <c r="E25" s="889">
        <f>IF(Year2_Surrey Year2_CIN="","",Year2_Surrey Year2_CIN)</f>
        <v>5777</v>
      </c>
      <c r="F25" s="889">
        <f>IF(Year3_Surrey Year3_CIN="","",Year3_Surrey Year3_CIN)</f>
        <v>6110</v>
      </c>
      <c r="G25" s="889">
        <f>IF(Year4_Surrey Year4_CIN="","",Year4_Surrey Year4_CIN)</f>
        <v>5855</v>
      </c>
      <c r="H25" s="890">
        <f>IF(Year5_Surrey Year5_CIN="","",Year5_Surrey Year5_CIN)</f>
        <v>5348</v>
      </c>
      <c r="I25" s="900">
        <f t="shared" si="0"/>
        <v>-1.654104723016259E-2</v>
      </c>
      <c r="J25" s="896"/>
      <c r="K25" s="901">
        <f>IF(ISNUMBER(D25),D25/Population!D25*10000,NA())</f>
        <v>222.86810440039525</v>
      </c>
      <c r="L25" s="901">
        <f>IF(ISNUMBER(E25),E25/Population!E25*10000,NA())</f>
        <v>223.46519984991431</v>
      </c>
      <c r="M25" s="901">
        <f>IF(ISNUMBER(F25),F25/Population!F25*10000,NA())</f>
        <v>235.46368232827723</v>
      </c>
      <c r="N25" s="901">
        <f>IF(ISNUMBER(G25),G25/Population!G25*10000,NA())</f>
        <v>222.17247110429776</v>
      </c>
      <c r="O25" s="902">
        <f>IF(ISNUMBER(H25),H25/Population!H25*10000,NA())</f>
        <v>201.30085217862626</v>
      </c>
      <c r="P25" s="903">
        <f t="shared" si="10"/>
        <v>201.30085217862626</v>
      </c>
      <c r="Q25" s="1139">
        <f t="shared" si="1"/>
        <v>1</v>
      </c>
      <c r="R25" s="64"/>
      <c r="S25" s="905">
        <f t="shared" si="11"/>
        <v>260.54601972001882</v>
      </c>
      <c r="T25" s="906">
        <f t="shared" si="2"/>
        <v>-59.245167541392561</v>
      </c>
      <c r="U25" s="89"/>
      <c r="V25" s="103"/>
      <c r="W25" s="115"/>
      <c r="X25" s="51" t="str">
        <f t="shared" si="3"/>
        <v>Surrey</v>
      </c>
      <c r="Y25" s="27">
        <f>IF(ISNUMBER($H25),IDACI!D23,0)</f>
        <v>228466</v>
      </c>
      <c r="Z25" s="27">
        <f>IF(ISNUMBER($H25),IDACI!E23,0)</f>
        <v>18962.678</v>
      </c>
      <c r="AA25" s="155">
        <f>IF(ISNUMBER(D25),Population!D25,"")</f>
        <v>258045</v>
      </c>
      <c r="AB25" s="155">
        <f>IF(ISNUMBER(E25),Population!E25,"")</f>
        <v>258519</v>
      </c>
      <c r="AC25" s="155">
        <f>IF(ISNUMBER(F25),Population!F25,"")</f>
        <v>259488</v>
      </c>
      <c r="AD25" s="155">
        <f>IF(ISNUMBER(G25),Population!G25,"")</f>
        <v>263534</v>
      </c>
      <c r="AE25" s="155">
        <f>IF(ISNUMBER(H25),Population!H25,"")</f>
        <v>265672</v>
      </c>
      <c r="AF25" s="65" t="s">
        <v>7</v>
      </c>
      <c r="AG25" s="70">
        <f t="shared" si="4"/>
        <v>201.30085217862626</v>
      </c>
      <c r="AH25" s="156">
        <f t="shared" si="5"/>
        <v>1</v>
      </c>
      <c r="AJ25" s="121"/>
      <c r="AK25" s="480">
        <f t="shared" si="6"/>
        <v>4.5209528777603895E-3</v>
      </c>
      <c r="AL25" s="480">
        <f t="shared" si="7"/>
        <v>5.7642374935087413E-2</v>
      </c>
      <c r="AM25" s="480">
        <f t="shared" si="8"/>
        <v>-4.1734860883797055E-2</v>
      </c>
      <c r="AN25" s="480">
        <f t="shared" si="9"/>
        <v>-8.6592655849701106E-2</v>
      </c>
      <c r="AO25" s="480">
        <f t="shared" si="12"/>
        <v>-1.654104723016259E-2</v>
      </c>
      <c r="AQ25" s="110"/>
      <c r="AR25" s="110"/>
      <c r="AS25" s="110"/>
      <c r="AT25" s="110"/>
      <c r="AU25" s="110"/>
      <c r="AW25" s="110"/>
    </row>
    <row r="26" spans="1:49" s="61" customFormat="1" ht="15.75" customHeight="1">
      <c r="A26" s="1103">
        <f>VLOOKUP(B26,ReportData!$AQ$4:$AR$25,2,FALSE)</f>
        <v>0</v>
      </c>
      <c r="B26" s="885" t="str">
        <f>ReportData!$K$19</f>
        <v>West Berkshire</v>
      </c>
      <c r="C26" s="896"/>
      <c r="D26" s="889">
        <f>IF(Year1_West_Berkshire Year1_CIN="","",Year1_West_Berkshire Year1_CIN)</f>
        <v>930</v>
      </c>
      <c r="E26" s="889">
        <f>IF(Year2_West_Berkshire Year2_CIN="","",Year2_West_Berkshire Year2_CIN)</f>
        <v>864</v>
      </c>
      <c r="F26" s="889">
        <f>IF(Year3_West_Berkshire Year3_CIN="","",Year3_West_Berkshire Year3_CIN)</f>
        <v>1218</v>
      </c>
      <c r="G26" s="889">
        <f>IF(Year4_West_Berkshire Year4_CIN="","",Year4_West_Berkshire Year4_CIN)</f>
        <v>1494</v>
      </c>
      <c r="H26" s="890">
        <f>IF(Year5_West_Berkshire Year5_CIN="","",Year5_West_Berkshire Year5_CIN)</f>
        <v>1065</v>
      </c>
      <c r="I26" s="900">
        <f t="shared" ref="I26:I31" si="13">AO26</f>
        <v>6.9551717782725786E-2</v>
      </c>
      <c r="J26" s="896"/>
      <c r="K26" s="901">
        <f>IF(ISNUMBER(D26),D26/Population!D26*10000,NA())</f>
        <v>265.25198938992042</v>
      </c>
      <c r="L26" s="901">
        <f>IF(ISNUMBER(E26),E26/Population!E26*10000,NA())</f>
        <v>248.10475534114403</v>
      </c>
      <c r="M26" s="901">
        <f>IF(ISNUMBER(F26),F26/Population!F26*10000,NA())</f>
        <v>352.07399913282268</v>
      </c>
      <c r="N26" s="901">
        <f>IF(ISNUMBER(G26),G26/Population!G26*10000,NA())</f>
        <v>427.93308890925761</v>
      </c>
      <c r="O26" s="902">
        <f>IF(ISNUMBER(H26),H26/Population!H26*10000,NA())</f>
        <v>301.48619957537153</v>
      </c>
      <c r="P26" s="903">
        <f t="shared" ref="P26:P31" si="14">IF(ISNUMBER(O26),O26,"")</f>
        <v>301.48619957537153</v>
      </c>
      <c r="Q26" s="1139">
        <f t="shared" si="1"/>
        <v>6</v>
      </c>
      <c r="R26" s="64"/>
      <c r="S26" s="905">
        <f t="shared" si="11"/>
        <v>264.82631502281362</v>
      </c>
      <c r="T26" s="906">
        <f t="shared" si="2"/>
        <v>36.659884552557912</v>
      </c>
      <c r="U26" s="89"/>
      <c r="V26" s="103"/>
      <c r="W26" s="115"/>
      <c r="X26" s="51" t="str">
        <f t="shared" si="3"/>
        <v>West Berkshire</v>
      </c>
      <c r="Y26" s="27">
        <f>IF(ISNUMBER($H26),IDACI!D24,0)</f>
        <v>31625</v>
      </c>
      <c r="Z26" s="27">
        <f>IF(ISNUMBER($H26),IDACI!E24,0)</f>
        <v>2751.375</v>
      </c>
      <c r="AA26" s="155">
        <f>IF(ISNUMBER(D26),Population!D26,"")</f>
        <v>35061</v>
      </c>
      <c r="AB26" s="155">
        <f>IF(ISNUMBER(E26),Population!E26,"")</f>
        <v>34824</v>
      </c>
      <c r="AC26" s="155">
        <f>IF(ISNUMBER(F26),Population!F26,"")</f>
        <v>34595</v>
      </c>
      <c r="AD26" s="155">
        <f>IF(ISNUMBER(G26),Population!G26,"")</f>
        <v>34912</v>
      </c>
      <c r="AE26" s="155">
        <f>IF(ISNUMBER(H26),Population!H26,"")</f>
        <v>35325</v>
      </c>
      <c r="AF26" s="65" t="s">
        <v>15</v>
      </c>
      <c r="AG26" s="70">
        <f t="shared" si="4"/>
        <v>301.48619957537153</v>
      </c>
      <c r="AH26" s="156">
        <f t="shared" si="5"/>
        <v>6</v>
      </c>
      <c r="AJ26" s="121"/>
      <c r="AK26" s="480">
        <f t="shared" si="6"/>
        <v>-7.0967741935483872E-2</v>
      </c>
      <c r="AL26" s="480">
        <f t="shared" si="7"/>
        <v>0.40972222222222221</v>
      </c>
      <c r="AM26" s="480">
        <f t="shared" si="8"/>
        <v>0.22660098522167488</v>
      </c>
      <c r="AN26" s="480">
        <f t="shared" si="9"/>
        <v>-0.28714859437751006</v>
      </c>
      <c r="AO26" s="480">
        <f t="shared" ref="AO26:AO31" si="15">AVERAGE(AK26:AN26)</f>
        <v>6.9551717782725786E-2</v>
      </c>
      <c r="AQ26" s="110"/>
      <c r="AR26" s="110"/>
      <c r="AS26" s="110"/>
      <c r="AT26" s="110"/>
      <c r="AU26" s="110"/>
      <c r="AW26" s="110"/>
    </row>
    <row r="27" spans="1:49" s="61" customFormat="1" ht="15.75" customHeight="1">
      <c r="A27" s="1103">
        <f>VLOOKUP(B27,ReportData!$AQ$4:$AR$25,2,FALSE)</f>
        <v>0</v>
      </c>
      <c r="B27" s="885" t="str">
        <f>ReportData!$K$20</f>
        <v>West Sussex</v>
      </c>
      <c r="C27" s="896"/>
      <c r="D27" s="889">
        <f>IF(Year1_West_Sussex Year1_CIN="","",Year1_West_Sussex Year1_CIN)</f>
        <v>5536</v>
      </c>
      <c r="E27" s="889">
        <f>IF(Year2_West_Sussex Year2_CIN="","",Year2_West_Sussex Year2_CIN)</f>
        <v>5853</v>
      </c>
      <c r="F27" s="889">
        <f>IF(Year3_West_Sussex Year3_CIN="","",Year3_West_Sussex Year3_CIN)</f>
        <v>5380</v>
      </c>
      <c r="G27" s="889">
        <f>IF(Year4_West_Sussex Year4_CIN="","",Year4_West_Sussex Year4_CIN)</f>
        <v>5555</v>
      </c>
      <c r="H27" s="890">
        <f>IF(Year5_West_Sussex Year5_CIN="","",Year5_West_Sussex Year5_CIN)</f>
        <v>6106</v>
      </c>
      <c r="I27" s="900">
        <f t="shared" si="13"/>
        <v>2.7041525642055884E-2</v>
      </c>
      <c r="J27" s="896"/>
      <c r="K27" s="901">
        <f>IF(ISNUMBER(D27),D27/Population!D27*10000,NA())</f>
        <v>318.98404503575318</v>
      </c>
      <c r="L27" s="901">
        <f>IF(ISNUMBER(E27),E27/Population!E27*10000,NA())</f>
        <v>336.62500790807087</v>
      </c>
      <c r="M27" s="901">
        <f>IF(ISNUMBER(F27),F27/Population!F27*10000,NA())</f>
        <v>307.72046627086263</v>
      </c>
      <c r="N27" s="901">
        <f>IF(ISNUMBER(G27),G27/Population!G27*10000,NA())</f>
        <v>313.22420763579157</v>
      </c>
      <c r="O27" s="902">
        <f>IF(ISNUMBER(H27),H27/Population!H27*10000,NA())</f>
        <v>341.10207365033966</v>
      </c>
      <c r="P27" s="903">
        <f t="shared" si="14"/>
        <v>341.10207365033966</v>
      </c>
      <c r="Q27" s="1139">
        <f t="shared" si="1"/>
        <v>10</v>
      </c>
      <c r="R27" s="64"/>
      <c r="S27" s="905">
        <f t="shared" si="11"/>
        <v>289.43801301388379</v>
      </c>
      <c r="T27" s="906">
        <f t="shared" si="2"/>
        <v>51.664060636455872</v>
      </c>
      <c r="U27" s="89"/>
      <c r="V27" s="103"/>
      <c r="W27" s="115"/>
      <c r="X27" s="51" t="str">
        <f t="shared" si="3"/>
        <v>West Sussex</v>
      </c>
      <c r="Y27" s="27">
        <f>IF(ISNUMBER($H27),IDACI!D25,0)</f>
        <v>151487</v>
      </c>
      <c r="Z27" s="27">
        <f>IF(ISNUMBER($H27),IDACI!E25,0)</f>
        <v>16663.57</v>
      </c>
      <c r="AA27" s="155">
        <f>IF(ISNUMBER(D27),Population!D27,"")</f>
        <v>173551</v>
      </c>
      <c r="AB27" s="155">
        <f>IF(ISNUMBER(E27),Population!E27,"")</f>
        <v>173873</v>
      </c>
      <c r="AC27" s="155">
        <f>IF(ISNUMBER(F27),Population!F27,"")</f>
        <v>174834</v>
      </c>
      <c r="AD27" s="155">
        <f>IF(ISNUMBER(G27),Population!G27,"")</f>
        <v>177349</v>
      </c>
      <c r="AE27" s="155">
        <f>IF(ISNUMBER(H27),Population!H27,"")</f>
        <v>179008</v>
      </c>
      <c r="AF27" s="65" t="s">
        <v>5</v>
      </c>
      <c r="AG27" s="70">
        <f t="shared" si="4"/>
        <v>341.10207365033966</v>
      </c>
      <c r="AH27" s="156">
        <f t="shared" si="5"/>
        <v>10</v>
      </c>
      <c r="AJ27" s="121"/>
      <c r="AK27" s="480">
        <f t="shared" si="6"/>
        <v>5.7261560693641619E-2</v>
      </c>
      <c r="AL27" s="480">
        <f t="shared" si="7"/>
        <v>-8.0813258158209458E-2</v>
      </c>
      <c r="AM27" s="480">
        <f t="shared" si="8"/>
        <v>3.2527881040892194E-2</v>
      </c>
      <c r="AN27" s="480">
        <f t="shared" si="9"/>
        <v>9.918991899189919E-2</v>
      </c>
      <c r="AO27" s="480">
        <f t="shared" si="15"/>
        <v>2.7041525642055884E-2</v>
      </c>
      <c r="AQ27" s="110"/>
      <c r="AR27" s="110"/>
      <c r="AS27" s="110"/>
      <c r="AT27" s="110"/>
      <c r="AU27" s="110"/>
      <c r="AW27" s="110"/>
    </row>
    <row r="28" spans="1:49" s="61" customFormat="1" ht="15.75" customHeight="1">
      <c r="A28" s="1103">
        <f>VLOOKUP(B28,ReportData!$AQ$4:$AR$25,2,FALSE)</f>
        <v>0</v>
      </c>
      <c r="B28" s="885" t="str">
        <f>ReportData!$K$21</f>
        <v>Windsor &amp; Maidenhead</v>
      </c>
      <c r="C28" s="896"/>
      <c r="D28" s="889">
        <f>IF(Year1_Windsor_and_Maidenhead Year1_CIN="","",Year1_Windsor_and_Maidenhead Year1_CIN)</f>
        <v>883</v>
      </c>
      <c r="E28" s="889">
        <f>IF(Year2_Windsor_and_Maidenhead Year2_CIN="","",Year2_Windsor_and_Maidenhead Year2_CIN)</f>
        <v>839</v>
      </c>
      <c r="F28" s="889">
        <f>IF(Year3_Windsor_and_Maidenhead Year3_CIN="","",Year3_Windsor_and_Maidenhead Year3_CIN)</f>
        <v>891</v>
      </c>
      <c r="G28" s="889">
        <f>IF(Year4_Windsor_and_Maidenhead Year4_CIN="","",Year4_Windsor_and_Maidenhead Year4_CIN)</f>
        <v>766</v>
      </c>
      <c r="H28" s="890">
        <f>IF(Year5_Windsor_and_Maidenhead Year5_CIN="","",Year5_Windsor_and_Maidenhead Year5_CIN)</f>
        <v>842</v>
      </c>
      <c r="I28" s="900">
        <f t="shared" si="13"/>
        <v>-7.2316688657638947E-3</v>
      </c>
      <c r="J28" s="896"/>
      <c r="K28" s="901">
        <f>IF(ISNUMBER(D28),D28/Population!D28*10000,NA())</f>
        <v>257.62969014413261</v>
      </c>
      <c r="L28" s="901">
        <f>IF(ISNUMBER(E28),E28/Population!E28*10000,NA())</f>
        <v>246.16377666285243</v>
      </c>
      <c r="M28" s="901">
        <f>IF(ISNUMBER(F28),F28/Population!F28*10000,NA())</f>
        <v>263.01806588735388</v>
      </c>
      <c r="N28" s="901">
        <f>IF(ISNUMBER(G28),G28/Population!G28*10000,NA())</f>
        <v>224.54782634186381</v>
      </c>
      <c r="O28" s="902">
        <f>IF(ISNUMBER(H28),H28/Population!H28*10000,NA())</f>
        <v>245.61710568536506</v>
      </c>
      <c r="P28" s="903">
        <f t="shared" si="14"/>
        <v>245.61710568536506</v>
      </c>
      <c r="Q28" s="1139">
        <f t="shared" si="1"/>
        <v>3</v>
      </c>
      <c r="R28" s="64"/>
      <c r="S28" s="905">
        <f t="shared" si="11"/>
        <v>243.42483850883951</v>
      </c>
      <c r="T28" s="906">
        <f t="shared" si="2"/>
        <v>2.1922671765255473</v>
      </c>
      <c r="U28" s="89"/>
      <c r="V28" s="103"/>
      <c r="W28" s="115"/>
      <c r="X28" s="51" t="str">
        <f t="shared" si="3"/>
        <v>Windsor &amp; Maidenhead</v>
      </c>
      <c r="Y28" s="27">
        <f>IF(ISNUMBER($H28),IDACI!D26,0)</f>
        <v>29792</v>
      </c>
      <c r="Z28" s="27">
        <f>IF(ISNUMBER($H28),IDACI!E26,0)</f>
        <v>1996.0640000000001</v>
      </c>
      <c r="AA28" s="155">
        <f>IF(ISNUMBER(D28),Population!D28,"")</f>
        <v>34274</v>
      </c>
      <c r="AB28" s="155">
        <f>IF(ISNUMBER(E28),Population!E28,"")</f>
        <v>34083</v>
      </c>
      <c r="AC28" s="155">
        <f>IF(ISNUMBER(F28),Population!F28,"")</f>
        <v>33876</v>
      </c>
      <c r="AD28" s="155">
        <f>IF(ISNUMBER(G28),Population!G28,"")</f>
        <v>34113</v>
      </c>
      <c r="AE28" s="155">
        <f>IF(ISNUMBER(H28),Population!H28,"")</f>
        <v>34281</v>
      </c>
      <c r="AF28" s="65" t="s">
        <v>27</v>
      </c>
      <c r="AG28" s="70">
        <f t="shared" si="4"/>
        <v>245.61710568536506</v>
      </c>
      <c r="AH28" s="156">
        <f t="shared" si="5"/>
        <v>3</v>
      </c>
      <c r="AJ28" s="121"/>
      <c r="AK28" s="480">
        <f t="shared" si="6"/>
        <v>-4.9830124575311441E-2</v>
      </c>
      <c r="AL28" s="480">
        <f t="shared" si="7"/>
        <v>6.197854588796186E-2</v>
      </c>
      <c r="AM28" s="480">
        <f t="shared" si="8"/>
        <v>-0.14029180695847362</v>
      </c>
      <c r="AN28" s="480">
        <f t="shared" si="9"/>
        <v>9.921671018276762E-2</v>
      </c>
      <c r="AO28" s="480">
        <f t="shared" si="15"/>
        <v>-7.2316688657638947E-3</v>
      </c>
      <c r="AQ28" s="110"/>
      <c r="AR28" s="110"/>
      <c r="AS28" s="110"/>
      <c r="AT28" s="110"/>
      <c r="AU28" s="110"/>
      <c r="AW28" s="110"/>
    </row>
    <row r="29" spans="1:49" s="61" customFormat="1" ht="15.75" customHeight="1">
      <c r="A29" s="1103">
        <f>VLOOKUP(B29,ReportData!$AQ$4:$AR$25,2,FALSE)</f>
        <v>0</v>
      </c>
      <c r="B29" s="885" t="str">
        <f>ReportData!$K$22</f>
        <v>Wokingham</v>
      </c>
      <c r="C29" s="896"/>
      <c r="D29" s="889">
        <f>IF(Year1_Wokingham Year1_CIN="","",Year1_Wokingham Year1_CIN)</f>
        <v>1039</v>
      </c>
      <c r="E29" s="889">
        <f>IF(Year2_Wokingham Year2_CIN="","",Year2_Wokingham Year2_CIN)</f>
        <v>930</v>
      </c>
      <c r="F29" s="889">
        <f>IF(Year3_Wokingham Year3_CIN="","",Year3_Wokingham Year3_CIN)</f>
        <v>1028</v>
      </c>
      <c r="G29" s="889">
        <f>IF(Year4_Wokingham Year4_CIN="","",Year4_Wokingham Year4_CIN)</f>
        <v>977</v>
      </c>
      <c r="H29" s="890">
        <f>IF(Year5_Wokingham Year5_CIN="","",Year5_Wokingham Year5_CIN)</f>
        <v>1000</v>
      </c>
      <c r="I29" s="900">
        <f t="shared" si="13"/>
        <v>-6.4004158388816347E-3</v>
      </c>
      <c r="J29" s="896"/>
      <c r="K29" s="901">
        <f>IF(ISNUMBER(D29),D29/Population!D29*10000,NA())</f>
        <v>261.23906265714572</v>
      </c>
      <c r="L29" s="901">
        <f>IF(ISNUMBER(E29),E29/Population!E29*10000,NA())</f>
        <v>229.76578713311591</v>
      </c>
      <c r="M29" s="901">
        <f>IF(ISNUMBER(F29),F29/Population!F29*10000,NA())</f>
        <v>249.94529407474045</v>
      </c>
      <c r="N29" s="901">
        <f>IF(ISNUMBER(G29),G29/Population!G29*10000,NA())</f>
        <v>229.77422389463783</v>
      </c>
      <c r="O29" s="902">
        <f>IF(ISNUMBER(H29),H29/Population!H29*10000,NA())</f>
        <v>230.87223530498221</v>
      </c>
      <c r="P29" s="903">
        <f t="shared" si="14"/>
        <v>230.87223530498221</v>
      </c>
      <c r="Q29" s="1139">
        <f t="shared" si="1"/>
        <v>2</v>
      </c>
      <c r="R29" s="64"/>
      <c r="S29" s="905">
        <f t="shared" si="11"/>
        <v>231.65402642615379</v>
      </c>
      <c r="T29" s="906">
        <f t="shared" si="2"/>
        <v>-0.78179112117157956</v>
      </c>
      <c r="U29" s="89"/>
      <c r="V29" s="103"/>
      <c r="W29" s="115"/>
      <c r="X29" s="51" t="str">
        <f t="shared" si="3"/>
        <v>Wokingham</v>
      </c>
      <c r="Y29" s="27">
        <f>IF(ISNUMBER($H29),IDACI!D27,0)</f>
        <v>33327</v>
      </c>
      <c r="Z29" s="27">
        <f>IF(ISNUMBER($H29),IDACI!E27,0)</f>
        <v>1866.3120000000004</v>
      </c>
      <c r="AA29" s="155">
        <f>IF(ISNUMBER(D29),Population!D29,"")</f>
        <v>39772</v>
      </c>
      <c r="AB29" s="155">
        <f>IF(ISNUMBER(E29),Population!E29,"")</f>
        <v>40476</v>
      </c>
      <c r="AC29" s="155">
        <f>IF(ISNUMBER(F29),Population!F29,"")</f>
        <v>41129</v>
      </c>
      <c r="AD29" s="155">
        <f>IF(ISNUMBER(G29),Population!G29,"")</f>
        <v>42520</v>
      </c>
      <c r="AE29" s="155">
        <f>IF(ISNUMBER(H29),Population!H29,"")</f>
        <v>43314</v>
      </c>
      <c r="AF29" s="65" t="s">
        <v>16</v>
      </c>
      <c r="AG29" s="70">
        <f t="shared" si="4"/>
        <v>230.87223530498221</v>
      </c>
      <c r="AH29" s="156">
        <f t="shared" si="5"/>
        <v>2</v>
      </c>
      <c r="AJ29" s="121"/>
      <c r="AK29" s="480">
        <f t="shared" si="6"/>
        <v>-0.10490856592877768</v>
      </c>
      <c r="AL29" s="480">
        <f t="shared" si="7"/>
        <v>0.10537634408602151</v>
      </c>
      <c r="AM29" s="480">
        <f t="shared" si="8"/>
        <v>-4.9610894941634238E-2</v>
      </c>
      <c r="AN29" s="480">
        <f t="shared" si="9"/>
        <v>2.3541453428863868E-2</v>
      </c>
      <c r="AO29" s="480">
        <f t="shared" si="15"/>
        <v>-6.4004158388816347E-3</v>
      </c>
      <c r="AQ29" s="110"/>
      <c r="AR29" s="110"/>
      <c r="AS29" s="110"/>
      <c r="AT29" s="110"/>
      <c r="AU29" s="110"/>
      <c r="AW29" s="110"/>
    </row>
    <row r="30" spans="1:49" s="61" customFormat="1" ht="15.75" customHeight="1">
      <c r="A30" s="1103"/>
      <c r="B30" s="886" t="str">
        <f>ReportData!$K$23</f>
        <v>South East</v>
      </c>
      <c r="C30" s="896"/>
      <c r="D30" s="892">
        <f>IF(Year1_South_East Year1_CIN="","",Year1_South_East Year1_CIN)</f>
        <v>59947</v>
      </c>
      <c r="E30" s="892">
        <f>IF(Year2_South_East Year2_CIN="","",Year2_South_East Year2_CIN)</f>
        <v>59850</v>
      </c>
      <c r="F30" s="892">
        <f>IF(Year3_South_East Year3_CIN="","",Year3_South_East Year3_CIN)</f>
        <v>65251</v>
      </c>
      <c r="G30" s="892">
        <f>IF(Year4_South_East Year4_CIN="","",Year4_South_East Year4_CIN)</f>
        <v>64990</v>
      </c>
      <c r="H30" s="893">
        <f>IF(Year5_South_East Year5_CIN="","",Year5_South_East Year5_CIN)</f>
        <v>62960</v>
      </c>
      <c r="I30" s="907">
        <f t="shared" si="13"/>
        <v>4.5750693713840343E-2</v>
      </c>
      <c r="J30" s="896"/>
      <c r="K30" s="908">
        <f>IF(ISNUMBER(D30),D30/AA30*10000,NA())</f>
        <v>310.97471459703803</v>
      </c>
      <c r="L30" s="908">
        <f>IF(ISNUMBER(E30),E30/AB30*10000,NA())</f>
        <v>309.98621765538547</v>
      </c>
      <c r="M30" s="908">
        <f>IF(ISNUMBER(F30),F30/AC30*10000,NA())</f>
        <v>337.09322124961773</v>
      </c>
      <c r="N30" s="908">
        <f>IF(ISNUMBER(G30),G30/AD30*10000,NA())</f>
        <v>330.70206639178554</v>
      </c>
      <c r="O30" s="909">
        <f>IF(ISNUMBER(H30),H30/AE30*10000,NA())</f>
        <v>369.62412936374869</v>
      </c>
      <c r="P30" s="903">
        <f t="shared" si="14"/>
        <v>369.62412936374869</v>
      </c>
      <c r="Q30" s="1140" t="str">
        <f t="shared" si="1"/>
        <v>--</v>
      </c>
      <c r="R30" s="64"/>
      <c r="S30" s="908">
        <f t="shared" si="11"/>
        <v>308.27752989714747</v>
      </c>
      <c r="T30" s="912">
        <f t="shared" si="2"/>
        <v>61.346599466601219</v>
      </c>
      <c r="U30" s="89"/>
      <c r="V30" s="103"/>
      <c r="W30" s="115"/>
      <c r="X30" s="51" t="str">
        <f t="shared" si="3"/>
        <v>South East</v>
      </c>
      <c r="Y30" s="27">
        <f>SUM(Y24:Y25,Y11:Y23,Y26:Y29)</f>
        <v>1455495</v>
      </c>
      <c r="Z30" s="27">
        <f>SUM(Z24:Z25,Z11:Z23,Z26:Z29)</f>
        <v>185729.61900000004</v>
      </c>
      <c r="AA30" s="155">
        <f>SUM(AA11:AA23,AA24:AA25,AA26:AA29)</f>
        <v>1927713</v>
      </c>
      <c r="AB30" s="155">
        <f>SUM(AB11:AB23,AB24:AB25,AB26:AB29)</f>
        <v>1930731</v>
      </c>
      <c r="AC30" s="155">
        <f>SUM(AC11:AC23,AC24:AC25,AC26:AC29)</f>
        <v>1935696</v>
      </c>
      <c r="AD30" s="155">
        <f>SUM(AD11:AD23,AD24:AD25,AD26:AD29)</f>
        <v>1965213</v>
      </c>
      <c r="AE30" s="155">
        <f>SUM(AE11:AE23,AE24:AE25,AE26:AE29)</f>
        <v>1703352</v>
      </c>
      <c r="AH30" s="141"/>
      <c r="AJ30" s="121"/>
      <c r="AK30" s="581">
        <f>IF(ISERROR((L30-K30)/K30),"x",(L30-K30)/K30)</f>
        <v>-3.1787051977311201E-3</v>
      </c>
      <c r="AL30" s="581">
        <f>IF(ISERROR((M30-L30)/L30),"x",(M30-L30)/L30)</f>
        <v>8.7445834847945908E-2</v>
      </c>
      <c r="AM30" s="581">
        <f>IF(ISERROR((N30-M30)/M30),"x",(N30-M30)/M30)</f>
        <v>-1.8959606586391536E-2</v>
      </c>
      <c r="AN30" s="581">
        <f>IF(ISERROR((O30-N30)/N30),"x",(O30-N30)/N30)</f>
        <v>0.11769525179153813</v>
      </c>
      <c r="AO30" s="480">
        <f t="shared" si="15"/>
        <v>4.5750693713840343E-2</v>
      </c>
      <c r="AQ30" s="110"/>
      <c r="AR30" s="110"/>
      <c r="AS30" s="110"/>
      <c r="AT30" s="110"/>
      <c r="AU30" s="110"/>
      <c r="AW30" s="110"/>
    </row>
    <row r="31" spans="1:49" s="61" customFormat="1" ht="15.75" customHeight="1">
      <c r="A31" s="1103"/>
      <c r="B31" s="887" t="str">
        <f>ReportData!$K$24</f>
        <v>England</v>
      </c>
      <c r="C31" s="896"/>
      <c r="D31" s="894">
        <f>IF(Year1_England Year1_CIN="","",Year1_England Year1_CIN)</f>
        <v>389260</v>
      </c>
      <c r="E31" s="894">
        <f>IF(Year2_England Year2_CIN="","",Year2_England Year2_CIN)</f>
        <v>388490</v>
      </c>
      <c r="F31" s="894">
        <f>IF(Year3_England Year3_CIN="","",Year3_England Year3_CIN)</f>
        <v>404310</v>
      </c>
      <c r="G31" s="894">
        <f>IF(Year4_England Year4_CIN="","",Year4_England Year4_CIN)</f>
        <v>403090</v>
      </c>
      <c r="H31" s="895">
        <f>IF(Year5_England Year5_CIN="","",Year5_England Year5_CIN)</f>
        <v>399460</v>
      </c>
      <c r="I31" s="913">
        <f t="shared" si="13"/>
        <v>6.680184243125482E-3</v>
      </c>
      <c r="J31" s="896"/>
      <c r="K31" s="914">
        <f>IF(ISNUMBER(D31),D31/Population!D31*10000,NA())</f>
        <v>330.14737637750829</v>
      </c>
      <c r="L31" s="914">
        <f>IF(ISNUMBER(E31),E31/Population!E31*10000,NA())</f>
        <v>329.56972271486933</v>
      </c>
      <c r="M31" s="914">
        <f>IF(ISNUMBER(F31),F31/Population!F31*10000,NA())</f>
        <v>343.71690329526501</v>
      </c>
      <c r="N31" s="914">
        <f>IF(ISNUMBER(G31),G31/Population!G31*10000,NA())</f>
        <v>339.1360893248231</v>
      </c>
      <c r="O31" s="1086">
        <f>IF(ISNUMBER(H31),H31/Population!H31*10000,NA())</f>
        <v>332.92089790798065</v>
      </c>
      <c r="P31" s="903">
        <f t="shared" si="14"/>
        <v>332.92089790798065</v>
      </c>
      <c r="Q31" s="1141" t="str">
        <f t="shared" si="1"/>
        <v>--</v>
      </c>
      <c r="R31" s="64"/>
      <c r="S31" s="914">
        <f t="shared" si="11"/>
        <v>354.54572830840641</v>
      </c>
      <c r="T31" s="1087">
        <f t="shared" si="2"/>
        <v>-21.624830400425765</v>
      </c>
      <c r="U31" s="89"/>
      <c r="V31" s="103"/>
      <c r="W31" s="115"/>
      <c r="X31" s="51" t="str">
        <f t="shared" si="3"/>
        <v>England</v>
      </c>
      <c r="Y31" s="27">
        <f>IF(H31&gt;0,IDACI!D29,0)</f>
        <v>10405050</v>
      </c>
      <c r="Z31" s="27">
        <f>IF(H31&gt;0,IDACI!E29,0)</f>
        <v>1777641.7570000088</v>
      </c>
      <c r="AA31" s="155">
        <f>IF(ISNUMBER(D31),Population!D31,"")</f>
        <v>11790492</v>
      </c>
      <c r="AB31" s="155">
        <f>IF(ISNUMBER(E31),Population!E31,"")</f>
        <v>11787794</v>
      </c>
      <c r="AC31" s="155">
        <f>IF(ISNUMBER(F31),Population!F31,"")</f>
        <v>11762878</v>
      </c>
      <c r="AD31" s="155">
        <f>IF(ISNUMBER(G31),Population!G31,"")</f>
        <v>11885789</v>
      </c>
      <c r="AE31" s="155">
        <f>IF(ISNUMBER(H31),Population!H31,"")</f>
        <v>11998646</v>
      </c>
      <c r="AH31" s="141"/>
      <c r="AJ31" s="121"/>
      <c r="AK31" s="480">
        <f>IF(ISERROR((E31-D31)/D31),"x",(E31-D31)/D31)</f>
        <v>-1.9781123156758979E-3</v>
      </c>
      <c r="AL31" s="480">
        <f>IF(ISERROR((F31-E31)/E31),"x",(F31-E31)/E31)</f>
        <v>4.0721768900100389E-2</v>
      </c>
      <c r="AM31" s="480">
        <f>IF(ISERROR((G31-F31)/F31),"x",(G31-F31)/F31)</f>
        <v>-3.0174865820781086E-3</v>
      </c>
      <c r="AN31" s="480">
        <f>IF(ISERROR((H31-G31)/G31),"x",(H31-G31)/G31)</f>
        <v>-9.0054330298444518E-3</v>
      </c>
      <c r="AO31" s="480">
        <f t="shared" si="15"/>
        <v>6.680184243125482E-3</v>
      </c>
      <c r="AQ31" s="110"/>
      <c r="AR31" s="110"/>
      <c r="AS31" s="110"/>
      <c r="AT31" s="110"/>
      <c r="AU31" s="110"/>
      <c r="AW31" s="110"/>
    </row>
    <row r="32" spans="1:49" s="56" customFormat="1" ht="12.75" customHeight="1">
      <c r="A32" s="87"/>
      <c r="B32" s="1077"/>
      <c r="C32" s="1184"/>
      <c r="D32" s="1184"/>
      <c r="E32" s="1184"/>
      <c r="F32" s="1184"/>
      <c r="G32" s="1184"/>
      <c r="H32" s="1184"/>
      <c r="I32" s="1184"/>
      <c r="J32" s="1184"/>
      <c r="K32" s="1184"/>
      <c r="L32" s="1184"/>
      <c r="M32" s="1184"/>
      <c r="N32" s="1184"/>
      <c r="O32" s="1184"/>
      <c r="P32" s="1184"/>
      <c r="Q32" s="1091" t="s">
        <v>100</v>
      </c>
      <c r="R32" s="1113"/>
      <c r="S32" s="1184"/>
      <c r="T32" s="1184"/>
      <c r="U32" s="86"/>
      <c r="V32" s="121"/>
      <c r="W32" s="114"/>
      <c r="X32" s="55"/>
      <c r="Y32" s="52"/>
      <c r="Z32" s="52"/>
      <c r="AA32" s="52"/>
      <c r="AB32" s="52"/>
      <c r="AC32" s="52"/>
      <c r="AD32" s="52"/>
      <c r="AE32" s="52"/>
      <c r="AF32" s="52"/>
      <c r="AG32" s="52"/>
      <c r="AI32" s="52"/>
      <c r="AJ32" s="122"/>
    </row>
    <row r="33" spans="1:49"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Y33" s="141"/>
      <c r="AI33" s="52"/>
      <c r="AJ33" s="119"/>
      <c r="AK33" s="52"/>
      <c r="AL33" s="52"/>
      <c r="AM33" s="52"/>
      <c r="AN33" s="52"/>
      <c r="AO33" s="52"/>
      <c r="AP33" s="52"/>
      <c r="AQ33" s="52"/>
    </row>
    <row r="34" spans="1:49" s="56" customFormat="1" ht="15" customHeight="1">
      <c r="A34" s="1565"/>
      <c r="B34" s="1751"/>
      <c r="C34" s="1751"/>
      <c r="D34" s="1751"/>
      <c r="E34" s="1751"/>
      <c r="F34" s="1751"/>
      <c r="G34" s="1751"/>
      <c r="H34" s="1751"/>
      <c r="I34" s="1751"/>
      <c r="J34" s="1751"/>
      <c r="K34" s="1751"/>
      <c r="L34" s="1751"/>
      <c r="M34" s="1751"/>
      <c r="N34" s="1751"/>
      <c r="O34" s="1751"/>
      <c r="P34" s="1751"/>
      <c r="Q34" s="1751"/>
      <c r="R34" s="1751"/>
      <c r="S34" s="1751"/>
      <c r="T34" s="1751"/>
      <c r="U34" s="1752"/>
      <c r="V34" s="185"/>
      <c r="W34" s="114"/>
      <c r="Y34" s="141"/>
      <c r="AJ34" s="122"/>
      <c r="AL34" s="56">
        <f>COLUMNS($B$4:K$4)</f>
        <v>10</v>
      </c>
      <c r="AM34" s="56">
        <f>COLUMNS($B$4:L$4)</f>
        <v>11</v>
      </c>
      <c r="AN34" s="56">
        <f>COLUMNS($B$4:M$4)</f>
        <v>12</v>
      </c>
      <c r="AO34" s="56">
        <f>COLUMNS($B$4:N$4)</f>
        <v>13</v>
      </c>
      <c r="AP34" s="56">
        <f>COLUMNS($B$4:O$4)</f>
        <v>14</v>
      </c>
      <c r="AQ34" s="56">
        <f>COLUMNS($B$4:R$4)</f>
        <v>17</v>
      </c>
    </row>
    <row r="35" spans="1:49" s="56" customFormat="1" ht="11.25" customHeight="1">
      <c r="A35" s="1739"/>
      <c r="B35" s="1740"/>
      <c r="C35" s="1740"/>
      <c r="D35" s="1740"/>
      <c r="E35" s="1740"/>
      <c r="F35" s="1740"/>
      <c r="G35" s="1740"/>
      <c r="H35" s="1740"/>
      <c r="I35" s="1741"/>
      <c r="J35" s="1740"/>
      <c r="K35" s="1740"/>
      <c r="L35" s="1740"/>
      <c r="M35" s="1740"/>
      <c r="N35" s="1740"/>
      <c r="O35" s="1740"/>
      <c r="P35" s="1742"/>
      <c r="Q35" s="1740"/>
      <c r="R35" s="1740"/>
      <c r="S35" s="1741"/>
      <c r="T35" s="1740"/>
      <c r="U35" s="1743"/>
      <c r="V35" s="185"/>
      <c r="W35" s="114"/>
      <c r="Y35" s="141"/>
      <c r="AI35" s="52"/>
      <c r="AJ35" s="121"/>
      <c r="AK35" s="61"/>
      <c r="AL35" s="1897" t="s">
        <v>85</v>
      </c>
      <c r="AM35" s="1898"/>
      <c r="AN35" s="1898"/>
      <c r="AO35" s="1898"/>
      <c r="AP35" s="1899"/>
      <c r="AQ35" s="1894" t="s">
        <v>862</v>
      </c>
    </row>
    <row r="36" spans="1:49" s="56" customFormat="1" ht="10.5" customHeight="1">
      <c r="A36" s="81"/>
      <c r="B36" s="82"/>
      <c r="C36" s="82"/>
      <c r="D36" s="82"/>
      <c r="E36" s="82"/>
      <c r="F36" s="82"/>
      <c r="G36" s="82"/>
      <c r="H36" s="82"/>
      <c r="I36" s="82"/>
      <c r="J36" s="83"/>
      <c r="K36" s="82"/>
      <c r="L36" s="82"/>
      <c r="M36" s="82"/>
      <c r="N36" s="82"/>
      <c r="O36" s="82"/>
      <c r="P36" s="82"/>
      <c r="Q36" s="82"/>
      <c r="R36" s="82"/>
      <c r="S36" s="82"/>
      <c r="T36" s="82"/>
      <c r="U36" s="84"/>
      <c r="V36" s="102"/>
      <c r="W36" s="1093" t="s">
        <v>94</v>
      </c>
      <c r="X36" s="1152"/>
      <c r="Y36" s="1152"/>
      <c r="Z36" s="1152"/>
      <c r="AA36" s="1152"/>
      <c r="AB36" s="1152"/>
      <c r="AC36" s="1113"/>
      <c r="AD36" s="1113"/>
      <c r="AE36" s="1113"/>
      <c r="AF36" s="1113"/>
      <c r="AG36" s="1113"/>
      <c r="AH36" s="1113"/>
      <c r="AI36" s="360"/>
      <c r="AJ36" s="921"/>
      <c r="AK36" s="61"/>
      <c r="AL36" s="444" t="str">
        <f>ReportData!$D$27</f>
        <v>2019/20</v>
      </c>
      <c r="AM36" s="444" t="str">
        <f>ReportData!$E$27</f>
        <v>2020/21</v>
      </c>
      <c r="AN36" s="444" t="str">
        <f>ReportData!$F$27</f>
        <v>2021/22</v>
      </c>
      <c r="AO36" s="444" t="str">
        <f>ReportData!$G$27</f>
        <v>2022/23</v>
      </c>
      <c r="AP36" s="444" t="str">
        <f>ReportData!$H$27</f>
        <v>2023/24</v>
      </c>
      <c r="AQ36" s="1895"/>
    </row>
    <row r="37" spans="1:49" s="56" customFormat="1" ht="3.75" customHeight="1">
      <c r="A37" s="85"/>
      <c r="B37" s="5"/>
      <c r="C37" s="5"/>
      <c r="D37" s="5"/>
      <c r="E37" s="5"/>
      <c r="F37" s="5"/>
      <c r="G37" s="5"/>
      <c r="H37" s="5"/>
      <c r="I37" s="5"/>
      <c r="J37" s="1"/>
      <c r="K37" s="5"/>
      <c r="L37" s="5"/>
      <c r="M37" s="5"/>
      <c r="N37" s="5"/>
      <c r="O37" s="5"/>
      <c r="P37" s="5"/>
      <c r="Q37" s="5"/>
      <c r="R37" s="5"/>
      <c r="S37" s="5"/>
      <c r="T37" s="5"/>
      <c r="U37" s="86"/>
      <c r="V37" s="102"/>
      <c r="W37" s="1155"/>
      <c r="X37" s="1113"/>
      <c r="Y37" s="1113"/>
      <c r="Z37" s="1113"/>
      <c r="AA37" s="1113"/>
      <c r="AB37" s="1113"/>
      <c r="AC37" s="1156" t="s">
        <v>762</v>
      </c>
      <c r="AD37" s="1113"/>
      <c r="AE37" s="1113"/>
      <c r="AF37" s="1113"/>
      <c r="AG37" s="1113"/>
      <c r="AH37" s="1113"/>
      <c r="AI37" s="1113"/>
      <c r="AJ37" s="921"/>
      <c r="AK37" s="61"/>
      <c r="AL37" s="444" t="e">
        <f>ReportData!$D$28</f>
        <v>#N/A</v>
      </c>
      <c r="AM37" s="444" t="e">
        <f>ReportData!$E$28</f>
        <v>#N/A</v>
      </c>
      <c r="AN37" s="444" t="e">
        <f>ReportData!$F$28</f>
        <v>#N/A</v>
      </c>
      <c r="AO37" s="444" t="e">
        <f>ReportData!$G$28</f>
        <v>#N/A</v>
      </c>
      <c r="AP37" s="444" t="e">
        <f>ReportData!$H$28</f>
        <v>#N/A</v>
      </c>
      <c r="AQ37" s="1896"/>
    </row>
    <row r="38" spans="1:49" s="56" customFormat="1" ht="14.25" customHeight="1">
      <c r="A38" s="87"/>
      <c r="B38" s="5"/>
      <c r="C38" s="5"/>
      <c r="D38" s="5"/>
      <c r="E38" s="5"/>
      <c r="F38" s="5"/>
      <c r="G38" s="5"/>
      <c r="H38" s="5"/>
      <c r="I38" s="5"/>
      <c r="J38" s="1"/>
      <c r="K38" s="5"/>
      <c r="L38" s="5"/>
      <c r="M38" s="5"/>
      <c r="N38" s="5"/>
      <c r="O38" s="5"/>
      <c r="P38" s="5"/>
      <c r="Q38" s="5"/>
      <c r="R38" s="5"/>
      <c r="S38" s="5"/>
      <c r="T38" s="5"/>
      <c r="U38" s="86"/>
      <c r="V38" s="102"/>
      <c r="W38" s="1155"/>
      <c r="X38" s="1157" t="s">
        <v>69</v>
      </c>
      <c r="Y38" s="1157" t="s">
        <v>67</v>
      </c>
      <c r="Z38" s="1157" t="s">
        <v>68</v>
      </c>
      <c r="AA38" s="1158">
        <v>3</v>
      </c>
      <c r="AB38" s="1159">
        <f>(AA38*Y39)+Z39</f>
        <v>188.76912001968142</v>
      </c>
      <c r="AC38" s="1160">
        <f>ROUND(ChartLabels!$X23,3)</f>
        <v>0.55800000000000005</v>
      </c>
      <c r="AD38" s="1113"/>
      <c r="AE38" s="1113"/>
      <c r="AF38" s="1113"/>
      <c r="AG38" s="1113"/>
      <c r="AH38" s="1113"/>
      <c r="AI38" s="1161" t="b">
        <v>1</v>
      </c>
      <c r="AJ38" s="921" t="s">
        <v>0</v>
      </c>
      <c r="AK38" s="61" t="str">
        <f t="shared" ref="AK38:AK58" si="16">IF(AI38=TRUE,B11,"")</f>
        <v>Bracknell Forest</v>
      </c>
      <c r="AL38" s="110">
        <f t="shared" ref="AL38:AP47" si="17">VLOOKUP($AK38,$B$11:$O$31,AL$34,FALSE)</f>
        <v>322.00161183969516</v>
      </c>
      <c r="AM38" s="110">
        <f t="shared" si="17"/>
        <v>345.72733202870188</v>
      </c>
      <c r="AN38" s="110">
        <f t="shared" si="17"/>
        <v>346.83535204686768</v>
      </c>
      <c r="AO38" s="110">
        <f t="shared" si="17"/>
        <v>385.104129897635</v>
      </c>
      <c r="AP38" s="110">
        <f t="shared" si="17"/>
        <v>322.54686354592104</v>
      </c>
      <c r="AQ38" s="111">
        <f>VLOOKUP(AK38,IDACI!$B$9:$C$29,2,FALSE)</f>
        <v>8.9</v>
      </c>
    </row>
    <row r="39" spans="1:49" s="56" customFormat="1" ht="14.25" customHeight="1">
      <c r="A39" s="87"/>
      <c r="B39" s="5"/>
      <c r="C39" s="5"/>
      <c r="D39" s="5"/>
      <c r="E39" s="5"/>
      <c r="F39" s="5"/>
      <c r="G39" s="5"/>
      <c r="H39" s="5"/>
      <c r="I39" s="5"/>
      <c r="J39" s="1"/>
      <c r="K39" s="5"/>
      <c r="L39" s="5"/>
      <c r="M39" s="5"/>
      <c r="N39" s="5"/>
      <c r="O39" s="5"/>
      <c r="P39" s="5"/>
      <c r="Q39" s="5"/>
      <c r="R39" s="5"/>
      <c r="S39" s="5"/>
      <c r="T39" s="5"/>
      <c r="U39" s="86"/>
      <c r="V39" s="102"/>
      <c r="W39" s="1155"/>
      <c r="X39" s="1162" t="str">
        <f>"Y= "&amp;Y39&amp;"x + "&amp;Z39</f>
        <v>Y= 15.6220616541363x + 141.902935057272</v>
      </c>
      <c r="Y39" s="1163">
        <f>ChartLabels!$V23</f>
        <v>15.622061654136331</v>
      </c>
      <c r="Z39" s="1163">
        <f>ChartLabels!$W23</f>
        <v>141.90293505727243</v>
      </c>
      <c r="AA39" s="1164">
        <v>22</v>
      </c>
      <c r="AB39" s="1159">
        <f>(AA39*Y39)+Z39</f>
        <v>485.58829144827172</v>
      </c>
      <c r="AC39" s="1165" t="str">
        <f>AC37&amp;" = "&amp;AC38</f>
        <v>r² = 0.558</v>
      </c>
      <c r="AD39" s="1113"/>
      <c r="AE39" s="1113"/>
      <c r="AF39" s="1113"/>
      <c r="AG39" s="1113"/>
      <c r="AH39" s="1113"/>
      <c r="AI39" s="1161" t="b">
        <v>1</v>
      </c>
      <c r="AJ39" s="921" t="s">
        <v>28</v>
      </c>
      <c r="AK39" s="61" t="str">
        <f t="shared" si="16"/>
        <v>Brighton &amp; Hove</v>
      </c>
      <c r="AL39" s="110">
        <f t="shared" si="17"/>
        <v>374.98450477253004</v>
      </c>
      <c r="AM39" s="110">
        <f t="shared" si="17"/>
        <v>400.30022516887664</v>
      </c>
      <c r="AN39" s="110">
        <f t="shared" si="17"/>
        <v>504.61538461538458</v>
      </c>
      <c r="AO39" s="110">
        <f t="shared" si="17"/>
        <v>462.4522698345354</v>
      </c>
      <c r="AP39" s="110">
        <f t="shared" si="17"/>
        <v>426.64895212788753</v>
      </c>
      <c r="AQ39" s="111">
        <f>VLOOKUP(AK39,IDACI!$B$9:$C$29,2,FALSE)</f>
        <v>15.299999999999999</v>
      </c>
    </row>
    <row r="40" spans="1:49" ht="14.25" customHeight="1">
      <c r="A40" s="87"/>
      <c r="B40" s="5"/>
      <c r="C40" s="5"/>
      <c r="D40" s="5"/>
      <c r="E40" s="5"/>
      <c r="F40" s="5"/>
      <c r="G40" s="5"/>
      <c r="H40" s="5"/>
      <c r="I40" s="5"/>
      <c r="J40" s="1"/>
      <c r="K40" s="5"/>
      <c r="L40" s="5"/>
      <c r="M40" s="5"/>
      <c r="N40" s="5"/>
      <c r="O40" s="5"/>
      <c r="P40" s="5"/>
      <c r="Q40" s="5"/>
      <c r="R40" s="5"/>
      <c r="S40" s="5"/>
      <c r="T40" s="5"/>
      <c r="U40" s="86"/>
      <c r="V40" s="102"/>
      <c r="W40" s="1155"/>
      <c r="X40" s="1157" t="str">
        <f>"National Trend "&amp;ReportData!$B$8</f>
        <v>National Trend 2024</v>
      </c>
      <c r="Y40" s="1166" t="s">
        <v>67</v>
      </c>
      <c r="Z40" s="1157" t="s">
        <v>68</v>
      </c>
      <c r="AA40" s="1158">
        <v>3</v>
      </c>
      <c r="AB40" s="1167">
        <f>((AA40*Y41)+Z41)/$X$2</f>
        <v>203.83210695798746</v>
      </c>
      <c r="AC40" s="1165" t="str">
        <f>$AC$37&amp;" = "&amp;AC41</f>
        <v>r² = 0.419</v>
      </c>
      <c r="AD40" s="1113"/>
      <c r="AE40" s="1113"/>
      <c r="AF40" s="1113"/>
      <c r="AG40" s="1113"/>
      <c r="AH40" s="1113"/>
      <c r="AI40" s="1161" t="b">
        <v>1</v>
      </c>
      <c r="AJ40" s="921" t="s">
        <v>8</v>
      </c>
      <c r="AK40" s="61" t="str">
        <f t="shared" si="16"/>
        <v>Buckinghamshire</v>
      </c>
      <c r="AL40" s="110">
        <f t="shared" si="17"/>
        <v>272.48090259298982</v>
      </c>
      <c r="AM40" s="110">
        <f t="shared" si="17"/>
        <v>281.88905669619169</v>
      </c>
      <c r="AN40" s="110">
        <f t="shared" si="17"/>
        <v>346.2877499797587</v>
      </c>
      <c r="AO40" s="110">
        <f t="shared" si="17"/>
        <v>305.44414883056032</v>
      </c>
      <c r="AP40" s="110">
        <f t="shared" si="17"/>
        <v>271.8311183550652</v>
      </c>
      <c r="AQ40" s="111">
        <f>VLOOKUP(AK40,IDACI!$B$9:$C$29,2,FALSE)</f>
        <v>8.5</v>
      </c>
      <c r="AR40" s="56"/>
      <c r="AS40" s="56"/>
      <c r="AT40" s="56"/>
      <c r="AU40" s="56"/>
      <c r="AV40" s="56"/>
      <c r="AW40" s="56"/>
    </row>
    <row r="41" spans="1:49" ht="14.25" customHeight="1">
      <c r="A41" s="87"/>
      <c r="B41" s="5"/>
      <c r="C41" s="5"/>
      <c r="D41" s="5"/>
      <c r="E41" s="5"/>
      <c r="F41" s="5"/>
      <c r="G41" s="5"/>
      <c r="H41" s="5"/>
      <c r="I41" s="5"/>
      <c r="J41" s="1"/>
      <c r="K41" s="10"/>
      <c r="L41" s="10"/>
      <c r="M41" s="10"/>
      <c r="N41" s="10"/>
      <c r="O41" s="5"/>
      <c r="P41" s="5"/>
      <c r="Q41" s="5"/>
      <c r="R41" s="5"/>
      <c r="S41" s="5"/>
      <c r="T41" s="5"/>
      <c r="U41" s="86"/>
      <c r="V41" s="102"/>
      <c r="W41" s="1155"/>
      <c r="X41" s="1162" t="str">
        <f>"Y= "&amp;Y41&amp;"x + "&amp;Z41</f>
        <v>Y= 10.700738256987x + 171.729892187026</v>
      </c>
      <c r="Y41" s="1163">
        <f>ReportData!$G$7</f>
        <v>10.700738256987043</v>
      </c>
      <c r="Z41" s="1163">
        <f>ReportData!$G$8</f>
        <v>171.72989218702634</v>
      </c>
      <c r="AA41" s="1164">
        <v>22</v>
      </c>
      <c r="AB41" s="1159">
        <f>((AA41*Y41)+Z41)/$X$2</f>
        <v>407.1461338407413</v>
      </c>
      <c r="AC41" s="1169">
        <f>ROUND(ReportData!$G$9,3)</f>
        <v>0.41899999999999998</v>
      </c>
      <c r="AD41" s="1113"/>
      <c r="AE41" s="1113"/>
      <c r="AF41" s="1113"/>
      <c r="AG41" s="1113"/>
      <c r="AH41" s="1113"/>
      <c r="AI41" s="1161" t="b">
        <v>1</v>
      </c>
      <c r="AJ41" s="921" t="s">
        <v>4</v>
      </c>
      <c r="AK41" s="61" t="str">
        <f t="shared" si="16"/>
        <v>East Sussex</v>
      </c>
      <c r="AL41" s="110">
        <f t="shared" si="17"/>
        <v>318.30238726790452</v>
      </c>
      <c r="AM41" s="110">
        <f t="shared" si="17"/>
        <v>305.4120817426454</v>
      </c>
      <c r="AN41" s="110">
        <f t="shared" si="17"/>
        <v>348.76764189527165</v>
      </c>
      <c r="AO41" s="110">
        <f t="shared" si="17"/>
        <v>348.16435691709216</v>
      </c>
      <c r="AP41" s="110">
        <f t="shared" si="17"/>
        <v>357.89433044418274</v>
      </c>
      <c r="AQ41" s="111">
        <f>VLOOKUP(AK41,IDACI!$B$9:$C$29,2,FALSE)</f>
        <v>16.100000000000001</v>
      </c>
      <c r="AR41" s="237"/>
      <c r="AS41" s="237"/>
      <c r="AT41" s="237"/>
      <c r="AU41" s="237"/>
      <c r="AV41" s="237"/>
      <c r="AW41" s="56"/>
    </row>
    <row r="42" spans="1:49" ht="14.25" customHeight="1">
      <c r="A42" s="87"/>
      <c r="B42" s="76"/>
      <c r="C42" s="76"/>
      <c r="D42" s="77"/>
      <c r="E42" s="77"/>
      <c r="F42" s="77"/>
      <c r="G42" s="77"/>
      <c r="H42" s="77"/>
      <c r="I42" s="77"/>
      <c r="J42" s="1"/>
      <c r="K42" s="5"/>
      <c r="L42" s="5"/>
      <c r="M42" s="5"/>
      <c r="N42" s="5"/>
      <c r="O42" s="5"/>
      <c r="P42" s="5"/>
      <c r="Q42" s="5"/>
      <c r="R42" s="5"/>
      <c r="S42" s="5"/>
      <c r="T42" s="5"/>
      <c r="U42" s="86"/>
      <c r="V42" s="102"/>
      <c r="W42" s="1155"/>
      <c r="X42" s="360"/>
      <c r="Y42" s="360"/>
      <c r="Z42" s="360"/>
      <c r="AA42" s="360"/>
      <c r="AB42" s="360"/>
      <c r="AC42" s="1113"/>
      <c r="AD42" s="1113"/>
      <c r="AE42" s="1113"/>
      <c r="AF42" s="1113"/>
      <c r="AG42" s="1113"/>
      <c r="AH42" s="1113"/>
      <c r="AI42" s="1161" t="b">
        <v>1</v>
      </c>
      <c r="AJ42" s="921" t="s">
        <v>6</v>
      </c>
      <c r="AK42" s="61" t="str">
        <f t="shared" si="16"/>
        <v>Hampshire</v>
      </c>
      <c r="AL42" s="110">
        <f t="shared" si="17"/>
        <v>296.87835612515215</v>
      </c>
      <c r="AM42" s="110">
        <f t="shared" si="17"/>
        <v>306.32326210479613</v>
      </c>
      <c r="AN42" s="110">
        <f t="shared" si="17"/>
        <v>316.98400663512842</v>
      </c>
      <c r="AO42" s="110">
        <f t="shared" si="17"/>
        <v>330.45607029599245</v>
      </c>
      <c r="AP42" s="110" t="e">
        <f t="shared" si="17"/>
        <v>#N/A</v>
      </c>
      <c r="AQ42" s="111">
        <f>VLOOKUP(AK42,IDACI!$B$9:$C$29,2,FALSE)</f>
        <v>10.100000000000001</v>
      </c>
      <c r="AR42" s="237"/>
      <c r="AS42" s="237"/>
      <c r="AT42" s="237"/>
      <c r="AU42" s="237"/>
      <c r="AV42" s="237"/>
    </row>
    <row r="43" spans="1:49" ht="14.25" customHeight="1">
      <c r="A43" s="87"/>
      <c r="B43" s="77"/>
      <c r="C43" s="77"/>
      <c r="D43" s="77"/>
      <c r="E43" s="77"/>
      <c r="F43" s="77"/>
      <c r="G43" s="77"/>
      <c r="H43" s="77"/>
      <c r="I43" s="77"/>
      <c r="J43" s="1"/>
      <c r="K43" s="5"/>
      <c r="L43" s="5"/>
      <c r="M43" s="5"/>
      <c r="N43" s="5"/>
      <c r="O43" s="5"/>
      <c r="P43" s="5"/>
      <c r="Q43" s="5"/>
      <c r="R43" s="5"/>
      <c r="S43" s="5"/>
      <c r="T43" s="5"/>
      <c r="U43" s="86"/>
      <c r="V43" s="102"/>
      <c r="W43" s="1155"/>
      <c r="X43" s="1113"/>
      <c r="Y43" s="1113"/>
      <c r="Z43" s="1113"/>
      <c r="AA43" s="1113"/>
      <c r="AB43" s="1113"/>
      <c r="AC43" s="1113"/>
      <c r="AD43" s="1113"/>
      <c r="AE43" s="1113"/>
      <c r="AF43" s="1113"/>
      <c r="AG43" s="1113"/>
      <c r="AH43" s="1113"/>
      <c r="AI43" s="1161" t="b">
        <v>1</v>
      </c>
      <c r="AJ43" s="921" t="s">
        <v>1</v>
      </c>
      <c r="AK43" s="61" t="str">
        <f t="shared" si="16"/>
        <v>Isle of Wight</v>
      </c>
      <c r="AL43" s="110">
        <f t="shared" si="17"/>
        <v>480.63865684539729</v>
      </c>
      <c r="AM43" s="110">
        <f t="shared" si="17"/>
        <v>536.99983257994302</v>
      </c>
      <c r="AN43" s="110">
        <f t="shared" si="17"/>
        <v>570.31646640717543</v>
      </c>
      <c r="AO43" s="110">
        <f t="shared" si="17"/>
        <v>579.58698053879493</v>
      </c>
      <c r="AP43" s="110">
        <f t="shared" si="17"/>
        <v>625.90664732485698</v>
      </c>
      <c r="AQ43" s="111">
        <f>VLOOKUP(AK43,IDACI!$B$9:$C$29,2,FALSE)</f>
        <v>18</v>
      </c>
      <c r="AR43" s="237"/>
      <c r="AS43" s="237"/>
      <c r="AT43" s="237"/>
      <c r="AU43" s="237"/>
      <c r="AV43" s="237"/>
    </row>
    <row r="44" spans="1:49" ht="14.25" customHeight="1">
      <c r="A44" s="87"/>
      <c r="B44" s="77"/>
      <c r="C44" s="77"/>
      <c r="D44" s="77"/>
      <c r="E44" s="77"/>
      <c r="F44" s="77"/>
      <c r="G44" s="77"/>
      <c r="H44" s="77"/>
      <c r="I44" s="77"/>
      <c r="J44" s="1"/>
      <c r="K44" s="5"/>
      <c r="L44" s="5"/>
      <c r="M44" s="5"/>
      <c r="N44" s="5"/>
      <c r="O44" s="5"/>
      <c r="P44" s="5"/>
      <c r="Q44" s="5"/>
      <c r="R44" s="5"/>
      <c r="S44" s="5"/>
      <c r="T44" s="5"/>
      <c r="U44" s="86"/>
      <c r="V44" s="102"/>
      <c r="W44" s="1155"/>
      <c r="X44" s="1113"/>
      <c r="Y44" s="1113"/>
      <c r="Z44" s="1113"/>
      <c r="AA44" s="1113"/>
      <c r="AB44" s="1113"/>
      <c r="AC44" s="1170"/>
      <c r="AD44" s="1113"/>
      <c r="AE44" s="1113"/>
      <c r="AF44" s="1113"/>
      <c r="AG44" s="1113"/>
      <c r="AH44" s="1113"/>
      <c r="AI44" s="1161" t="b">
        <v>1</v>
      </c>
      <c r="AJ44" s="921" t="s">
        <v>9</v>
      </c>
      <c r="AK44" s="61" t="str">
        <f t="shared" si="16"/>
        <v>Kent</v>
      </c>
      <c r="AL44" s="110">
        <f t="shared" si="17"/>
        <v>315.71084438551287</v>
      </c>
      <c r="AM44" s="110">
        <f t="shared" si="17"/>
        <v>324.52814391311625</v>
      </c>
      <c r="AN44" s="110">
        <f t="shared" si="17"/>
        <v>354.8146186598272</v>
      </c>
      <c r="AO44" s="110">
        <f t="shared" si="17"/>
        <v>343.69914075214814</v>
      </c>
      <c r="AP44" s="110">
        <f t="shared" si="17"/>
        <v>336.3744932994959</v>
      </c>
      <c r="AQ44" s="111">
        <f>VLOOKUP(AK44,IDACI!$B$9:$C$29,2,FALSE)</f>
        <v>15.8</v>
      </c>
      <c r="AR44" s="237"/>
      <c r="AS44" s="237"/>
      <c r="AT44" s="237"/>
      <c r="AU44" s="237"/>
      <c r="AV44" s="237"/>
    </row>
    <row r="45" spans="1:49" ht="14.25" customHeight="1">
      <c r="A45" s="87"/>
      <c r="B45" s="40"/>
      <c r="C45" s="40"/>
      <c r="D45" s="40"/>
      <c r="E45" s="40"/>
      <c r="F45" s="40"/>
      <c r="G45" s="40"/>
      <c r="H45" s="40"/>
      <c r="I45" s="40"/>
      <c r="J45" s="1"/>
      <c r="K45" s="5"/>
      <c r="L45" s="5"/>
      <c r="M45" s="5"/>
      <c r="N45" s="5"/>
      <c r="O45" s="5"/>
      <c r="P45" s="5"/>
      <c r="Q45" s="5"/>
      <c r="R45" s="5"/>
      <c r="S45" s="5"/>
      <c r="T45" s="5"/>
      <c r="U45" s="86"/>
      <c r="V45" s="102"/>
      <c r="W45" s="1155"/>
      <c r="X45" s="1113"/>
      <c r="Y45" s="1113"/>
      <c r="Z45" s="1113"/>
      <c r="AA45" s="1113"/>
      <c r="AB45" s="1113"/>
      <c r="AC45" s="360"/>
      <c r="AD45" s="1113"/>
      <c r="AE45" s="1113"/>
      <c r="AF45" s="1113"/>
      <c r="AG45" s="1113"/>
      <c r="AH45" s="1113"/>
      <c r="AI45" s="1161" t="b">
        <v>1</v>
      </c>
      <c r="AJ45" s="921" t="s">
        <v>2</v>
      </c>
      <c r="AK45" s="61" t="str">
        <f t="shared" si="16"/>
        <v>Medway</v>
      </c>
      <c r="AL45" s="110">
        <f t="shared" si="17"/>
        <v>361.69744942832017</v>
      </c>
      <c r="AM45" s="110">
        <f t="shared" si="17"/>
        <v>281.49776277572806</v>
      </c>
      <c r="AN45" s="110">
        <f t="shared" si="17"/>
        <v>274.69169656987947</v>
      </c>
      <c r="AO45" s="110">
        <f t="shared" si="17"/>
        <v>420.5988761450235</v>
      </c>
      <c r="AP45" s="110">
        <f t="shared" si="17"/>
        <v>336.94723109451616</v>
      </c>
      <c r="AQ45" s="111">
        <f>VLOOKUP(AK45,IDACI!$B$9:$C$29,2,FALSE)</f>
        <v>18.899999999999999</v>
      </c>
      <c r="AR45" s="237"/>
      <c r="AS45" s="237"/>
      <c r="AT45" s="237"/>
      <c r="AU45" s="237"/>
      <c r="AV45" s="237"/>
    </row>
    <row r="46" spans="1:49" ht="14.25" customHeight="1">
      <c r="A46" s="87"/>
      <c r="B46" s="40"/>
      <c r="C46" s="40"/>
      <c r="D46" s="49"/>
      <c r="E46" s="50"/>
      <c r="F46" s="49"/>
      <c r="G46" s="50"/>
      <c r="H46" s="50"/>
      <c r="I46" s="50"/>
      <c r="J46" s="1"/>
      <c r="K46" s="5"/>
      <c r="L46" s="5"/>
      <c r="M46" s="5"/>
      <c r="N46" s="5"/>
      <c r="O46" s="5"/>
      <c r="P46" s="5"/>
      <c r="Q46" s="5"/>
      <c r="R46" s="5"/>
      <c r="S46" s="5"/>
      <c r="T46" s="5"/>
      <c r="U46" s="86"/>
      <c r="V46" s="102"/>
      <c r="W46" s="1155"/>
      <c r="X46" s="1113"/>
      <c r="Y46" s="1113"/>
      <c r="Z46" s="1113"/>
      <c r="AA46" s="1113"/>
      <c r="AB46" s="1113"/>
      <c r="AC46" s="1113"/>
      <c r="AD46" s="1113"/>
      <c r="AE46" s="1113"/>
      <c r="AF46" s="1113"/>
      <c r="AG46" s="1113"/>
      <c r="AH46" s="1113"/>
      <c r="AI46" s="1161" t="b">
        <v>1</v>
      </c>
      <c r="AJ46" s="921" t="s">
        <v>10</v>
      </c>
      <c r="AK46" s="61" t="str">
        <f t="shared" si="16"/>
        <v>Milton Keynes</v>
      </c>
      <c r="AL46" s="110">
        <f t="shared" si="17"/>
        <v>342.56992627141972</v>
      </c>
      <c r="AM46" s="110">
        <f t="shared" si="17"/>
        <v>335.18505158357982</v>
      </c>
      <c r="AN46" s="110">
        <f t="shared" si="17"/>
        <v>373.80627557980898</v>
      </c>
      <c r="AO46" s="110">
        <f t="shared" si="17"/>
        <v>369.83270144184019</v>
      </c>
      <c r="AP46" s="110">
        <f t="shared" si="17"/>
        <v>343.55811365852986</v>
      </c>
      <c r="AQ46" s="111">
        <f>VLOOKUP(AK46,IDACI!$B$9:$C$29,2,FALSE)</f>
        <v>15</v>
      </c>
      <c r="AR46" s="237"/>
      <c r="AS46" s="237"/>
      <c r="AT46" s="237"/>
      <c r="AU46" s="237"/>
      <c r="AV46" s="237"/>
    </row>
    <row r="47" spans="1:49" ht="14.25" customHeight="1">
      <c r="A47" s="87"/>
      <c r="B47" s="40"/>
      <c r="C47" s="40"/>
      <c r="D47" s="43"/>
      <c r="E47" s="43"/>
      <c r="F47" s="43"/>
      <c r="G47" s="43"/>
      <c r="H47" s="43"/>
      <c r="I47" s="43"/>
      <c r="J47" s="1"/>
      <c r="K47" s="5"/>
      <c r="L47" s="5"/>
      <c r="M47" s="5"/>
      <c r="N47" s="5"/>
      <c r="O47" s="5"/>
      <c r="P47" s="5"/>
      <c r="Q47" s="5"/>
      <c r="R47" s="5"/>
      <c r="S47" s="5"/>
      <c r="T47" s="5"/>
      <c r="U47" s="86"/>
      <c r="V47" s="102"/>
      <c r="W47" s="1155"/>
      <c r="X47" s="1113"/>
      <c r="Y47" s="1113"/>
      <c r="Z47" s="1113"/>
      <c r="AA47" s="1113"/>
      <c r="AB47" s="1113"/>
      <c r="AC47" s="1113"/>
      <c r="AD47" s="1113"/>
      <c r="AE47" s="1113"/>
      <c r="AF47" s="1113"/>
      <c r="AG47" s="1113"/>
      <c r="AH47" s="1113"/>
      <c r="AI47" s="1161" t="b">
        <v>1</v>
      </c>
      <c r="AJ47" s="921" t="s">
        <v>11</v>
      </c>
      <c r="AK47" s="61" t="str">
        <f t="shared" si="16"/>
        <v>Oxfordshire</v>
      </c>
      <c r="AL47" s="110">
        <f t="shared" si="17"/>
        <v>328.88131884870768</v>
      </c>
      <c r="AM47" s="110">
        <f t="shared" si="17"/>
        <v>294.72727397930021</v>
      </c>
      <c r="AN47" s="110">
        <f t="shared" si="17"/>
        <v>342.96139890531151</v>
      </c>
      <c r="AO47" s="110">
        <f t="shared" si="17"/>
        <v>286.68298358945555</v>
      </c>
      <c r="AP47" s="110">
        <f t="shared" si="17"/>
        <v>253.23759876725353</v>
      </c>
      <c r="AQ47" s="111">
        <f>VLOOKUP(AK47,IDACI!$B$9:$C$29,2,FALSE)</f>
        <v>10.100000000000001</v>
      </c>
      <c r="AR47" s="237"/>
      <c r="AS47" s="237"/>
      <c r="AT47" s="237"/>
      <c r="AU47" s="237"/>
      <c r="AV47" s="237"/>
    </row>
    <row r="48" spans="1:49" ht="14.25" customHeight="1">
      <c r="A48" s="87"/>
      <c r="B48" s="48"/>
      <c r="C48" s="48"/>
      <c r="D48" s="40"/>
      <c r="E48" s="40"/>
      <c r="F48" s="40"/>
      <c r="G48" s="40"/>
      <c r="H48" s="40"/>
      <c r="I48" s="40"/>
      <c r="J48" s="1"/>
      <c r="K48" s="5"/>
      <c r="L48" s="5"/>
      <c r="M48" s="5"/>
      <c r="N48" s="5"/>
      <c r="O48" s="5"/>
      <c r="P48" s="5"/>
      <c r="Q48" s="5"/>
      <c r="R48" s="5"/>
      <c r="S48" s="5"/>
      <c r="T48" s="5"/>
      <c r="U48" s="86"/>
      <c r="V48" s="102"/>
      <c r="W48" s="1155"/>
      <c r="X48" s="1113"/>
      <c r="Y48" s="1113"/>
      <c r="Z48" s="1113"/>
      <c r="AA48" s="1113"/>
      <c r="AB48" s="1113"/>
      <c r="AC48" s="1113"/>
      <c r="AD48" s="1113"/>
      <c r="AE48" s="1113"/>
      <c r="AF48" s="1113"/>
      <c r="AG48" s="1113"/>
      <c r="AH48" s="1113"/>
      <c r="AI48" s="1161" t="b">
        <v>1</v>
      </c>
      <c r="AJ48" s="921" t="s">
        <v>12</v>
      </c>
      <c r="AK48" s="61" t="str">
        <f t="shared" si="16"/>
        <v>Portsmouth</v>
      </c>
      <c r="AL48" s="110">
        <f t="shared" ref="AL48:AP58" si="18">VLOOKUP($AK48,$B$11:$O$31,AL$34,FALSE)</f>
        <v>395.1657031380106</v>
      </c>
      <c r="AM48" s="110">
        <f t="shared" si="18"/>
        <v>390.0632986981966</v>
      </c>
      <c r="AN48" s="110">
        <f t="shared" si="18"/>
        <v>418.84816753926702</v>
      </c>
      <c r="AO48" s="110">
        <f t="shared" si="18"/>
        <v>391.91803396145303</v>
      </c>
      <c r="AP48" s="110">
        <f t="shared" si="18"/>
        <v>436.33441274493583</v>
      </c>
      <c r="AQ48" s="111">
        <f>VLOOKUP(AK48,IDACI!$B$9:$C$29,2,FALSE)</f>
        <v>20.200000000000003</v>
      </c>
      <c r="AR48" s="237"/>
      <c r="AS48" s="237"/>
      <c r="AT48" s="237"/>
      <c r="AU48" s="237"/>
      <c r="AV48" s="237"/>
    </row>
    <row r="49" spans="1:48" ht="14.25" customHeight="1">
      <c r="A49" s="87"/>
      <c r="B49" s="48"/>
      <c r="C49" s="48"/>
      <c r="D49" s="40"/>
      <c r="E49" s="40"/>
      <c r="F49" s="40"/>
      <c r="G49" s="40"/>
      <c r="H49" s="40"/>
      <c r="I49" s="40"/>
      <c r="J49" s="1"/>
      <c r="K49" s="5"/>
      <c r="L49" s="5"/>
      <c r="M49" s="5"/>
      <c r="N49" s="5"/>
      <c r="O49" s="5"/>
      <c r="P49" s="5"/>
      <c r="Q49" s="5"/>
      <c r="R49" s="5"/>
      <c r="S49" s="5"/>
      <c r="T49" s="5"/>
      <c r="U49" s="86"/>
      <c r="V49" s="102"/>
      <c r="W49" s="1155"/>
      <c r="X49" s="1113"/>
      <c r="Y49" s="1113"/>
      <c r="Z49" s="1113"/>
      <c r="AA49" s="1113"/>
      <c r="AB49" s="1113"/>
      <c r="AC49" s="1113"/>
      <c r="AD49" s="1113"/>
      <c r="AE49" s="1113"/>
      <c r="AF49" s="1113"/>
      <c r="AG49" s="1113"/>
      <c r="AH49" s="1113"/>
      <c r="AI49" s="1161" t="b">
        <v>1</v>
      </c>
      <c r="AJ49" s="921" t="s">
        <v>3</v>
      </c>
      <c r="AK49" s="61" t="str">
        <f t="shared" si="16"/>
        <v>Reading</v>
      </c>
      <c r="AL49" s="110">
        <f t="shared" si="18"/>
        <v>391.84445044558464</v>
      </c>
      <c r="AM49" s="110">
        <f t="shared" si="18"/>
        <v>422.49330556382034</v>
      </c>
      <c r="AN49" s="110">
        <f t="shared" si="18"/>
        <v>417.2400506412726</v>
      </c>
      <c r="AO49" s="110">
        <f t="shared" si="18"/>
        <v>429.68330649490071</v>
      </c>
      <c r="AP49" s="110">
        <f t="shared" si="18"/>
        <v>450.8423633631258</v>
      </c>
      <c r="AQ49" s="111">
        <f>VLOOKUP(AK49,IDACI!$B$9:$C$29,2,FALSE)</f>
        <v>16</v>
      </c>
      <c r="AR49" s="237"/>
      <c r="AS49" s="237"/>
      <c r="AT49" s="237"/>
      <c r="AU49" s="237"/>
      <c r="AV49" s="237"/>
    </row>
    <row r="50" spans="1:48" ht="14.25" customHeight="1">
      <c r="A50" s="87"/>
      <c r="B50" s="48"/>
      <c r="C50" s="48"/>
      <c r="D50" s="40"/>
      <c r="E50" s="40"/>
      <c r="F50" s="40"/>
      <c r="G50" s="40"/>
      <c r="H50" s="40"/>
      <c r="I50" s="40"/>
      <c r="J50" s="1"/>
      <c r="K50" s="5"/>
      <c r="L50" s="5"/>
      <c r="M50" s="5"/>
      <c r="N50" s="5"/>
      <c r="O50" s="5"/>
      <c r="P50" s="5"/>
      <c r="Q50" s="5"/>
      <c r="R50" s="5"/>
      <c r="S50" s="5"/>
      <c r="T50" s="5"/>
      <c r="U50" s="86"/>
      <c r="V50" s="102"/>
      <c r="W50" s="1155"/>
      <c r="X50" s="1113"/>
      <c r="Y50" s="1113"/>
      <c r="Z50" s="1113"/>
      <c r="AA50" s="1113"/>
      <c r="AB50" s="1113"/>
      <c r="AC50" s="1113"/>
      <c r="AD50" s="1113"/>
      <c r="AE50" s="1113"/>
      <c r="AF50" s="1113"/>
      <c r="AG50" s="1113"/>
      <c r="AH50" s="1113"/>
      <c r="AI50" s="1161" t="b">
        <v>1</v>
      </c>
      <c r="AJ50" s="921" t="s">
        <v>13</v>
      </c>
      <c r="AK50" s="61" t="str">
        <f t="shared" si="16"/>
        <v>Slough</v>
      </c>
      <c r="AL50" s="110">
        <f t="shared" si="18"/>
        <v>365.46378711561903</v>
      </c>
      <c r="AM50" s="110">
        <f t="shared" si="18"/>
        <v>372.20956719817769</v>
      </c>
      <c r="AN50" s="110">
        <f t="shared" si="18"/>
        <v>398.2897775338958</v>
      </c>
      <c r="AO50" s="110">
        <f t="shared" si="18"/>
        <v>374.23728813559319</v>
      </c>
      <c r="AP50" s="110">
        <f t="shared" si="18"/>
        <v>385.7388124595866</v>
      </c>
      <c r="AQ50" s="111">
        <f>VLOOKUP(AK50,IDACI!$B$9:$C$29,2,FALSE)</f>
        <v>14.7</v>
      </c>
      <c r="AR50" s="237"/>
      <c r="AS50" s="237"/>
      <c r="AT50" s="237"/>
      <c r="AU50" s="237"/>
      <c r="AV50" s="237"/>
    </row>
    <row r="51" spans="1:48" ht="14.25" customHeight="1">
      <c r="A51" s="87"/>
      <c r="B51" s="48"/>
      <c r="C51" s="48"/>
      <c r="D51" s="40"/>
      <c r="E51" s="40"/>
      <c r="F51" s="40"/>
      <c r="G51" s="40"/>
      <c r="H51" s="40"/>
      <c r="I51" s="40"/>
      <c r="J51" s="1"/>
      <c r="K51" s="5"/>
      <c r="L51" s="5"/>
      <c r="M51" s="5"/>
      <c r="N51" s="5"/>
      <c r="O51" s="5"/>
      <c r="P51" s="5"/>
      <c r="Q51" s="5"/>
      <c r="R51" s="5"/>
      <c r="S51" s="5"/>
      <c r="T51" s="5"/>
      <c r="U51" s="86"/>
      <c r="V51" s="102"/>
      <c r="W51" s="1155"/>
      <c r="X51" s="1113"/>
      <c r="Y51" s="1113"/>
      <c r="Z51" s="1113"/>
      <c r="AA51" s="1113"/>
      <c r="AB51" s="1113"/>
      <c r="AC51" s="1113"/>
      <c r="AD51" s="1113"/>
      <c r="AE51" s="1113"/>
      <c r="AF51" s="1113"/>
      <c r="AG51" s="1113"/>
      <c r="AH51" s="1113"/>
      <c r="AI51" s="1161" t="b">
        <v>1</v>
      </c>
      <c r="AJ51" s="921" t="s">
        <v>14</v>
      </c>
      <c r="AK51" s="61" t="str">
        <f t="shared" si="16"/>
        <v>Southampton</v>
      </c>
      <c r="AL51" s="110">
        <f t="shared" si="18"/>
        <v>485.19803178188272</v>
      </c>
      <c r="AM51" s="110">
        <f t="shared" si="18"/>
        <v>444.33721374429496</v>
      </c>
      <c r="AN51" s="110">
        <f t="shared" si="18"/>
        <v>587.38964930752411</v>
      </c>
      <c r="AO51" s="110">
        <f t="shared" si="18"/>
        <v>518.93886226464281</v>
      </c>
      <c r="AP51" s="110">
        <f t="shared" si="18"/>
        <v>408.75071963154869</v>
      </c>
      <c r="AQ51" s="111">
        <f>VLOOKUP(AK51,IDACI!$B$9:$C$29,2,FALSE)</f>
        <v>20.5</v>
      </c>
      <c r="AR51" s="237"/>
      <c r="AS51" s="237"/>
      <c r="AT51" s="237"/>
      <c r="AU51" s="237"/>
      <c r="AV51" s="237"/>
    </row>
    <row r="52" spans="1:48" ht="14.25" customHeight="1">
      <c r="A52" s="87"/>
      <c r="B52" s="48"/>
      <c r="C52" s="48"/>
      <c r="D52" s="40"/>
      <c r="E52" s="40"/>
      <c r="F52" s="40"/>
      <c r="G52" s="40"/>
      <c r="H52" s="40"/>
      <c r="I52" s="40"/>
      <c r="J52" s="1"/>
      <c r="K52" s="5"/>
      <c r="L52" s="5"/>
      <c r="M52" s="5"/>
      <c r="N52" s="5"/>
      <c r="O52" s="5"/>
      <c r="P52" s="5"/>
      <c r="Q52" s="5"/>
      <c r="R52" s="5"/>
      <c r="S52" s="5"/>
      <c r="T52" s="5"/>
      <c r="U52" s="86"/>
      <c r="V52" s="102"/>
      <c r="W52" s="1155"/>
      <c r="X52" s="1113"/>
      <c r="Y52" s="1113"/>
      <c r="Z52" s="1113"/>
      <c r="AA52" s="1113"/>
      <c r="AB52" s="1113"/>
      <c r="AC52" s="1113"/>
      <c r="AD52" s="1113"/>
      <c r="AE52" s="1113"/>
      <c r="AF52" s="1113"/>
      <c r="AG52" s="1113"/>
      <c r="AH52" s="1113"/>
      <c r="AI52" s="1161" t="b">
        <v>1</v>
      </c>
      <c r="AJ52" s="921" t="s">
        <v>7</v>
      </c>
      <c r="AK52" s="61" t="str">
        <f t="shared" si="16"/>
        <v>Surrey</v>
      </c>
      <c r="AL52" s="110">
        <f t="shared" si="18"/>
        <v>222.86810440039525</v>
      </c>
      <c r="AM52" s="110">
        <f t="shared" si="18"/>
        <v>223.46519984991431</v>
      </c>
      <c r="AN52" s="110">
        <f t="shared" si="18"/>
        <v>235.46368232827723</v>
      </c>
      <c r="AO52" s="110">
        <f t="shared" si="18"/>
        <v>222.17247110429776</v>
      </c>
      <c r="AP52" s="110">
        <f t="shared" si="18"/>
        <v>201.30085217862626</v>
      </c>
      <c r="AQ52" s="111">
        <f>VLOOKUP(AK52,IDACI!$B$9:$C$29,2,FALSE)</f>
        <v>8.3000000000000007</v>
      </c>
      <c r="AR52" s="237"/>
      <c r="AS52" s="237"/>
      <c r="AT52" s="237"/>
      <c r="AU52" s="237"/>
      <c r="AV52" s="237"/>
    </row>
    <row r="53" spans="1:48" ht="14.25" customHeight="1">
      <c r="A53" s="87"/>
      <c r="B53" s="48"/>
      <c r="C53" s="48"/>
      <c r="D53" s="40"/>
      <c r="E53" s="40"/>
      <c r="F53" s="40"/>
      <c r="G53" s="40"/>
      <c r="H53" s="40"/>
      <c r="I53" s="40"/>
      <c r="J53" s="1"/>
      <c r="K53" s="5"/>
      <c r="L53" s="5"/>
      <c r="M53" s="5"/>
      <c r="N53" s="5"/>
      <c r="O53" s="5"/>
      <c r="P53" s="5"/>
      <c r="Q53" s="5"/>
      <c r="R53" s="5"/>
      <c r="S53" s="5"/>
      <c r="T53" s="5"/>
      <c r="U53" s="86"/>
      <c r="V53" s="102"/>
      <c r="W53" s="1155"/>
      <c r="X53" s="1113"/>
      <c r="Y53" s="1113"/>
      <c r="Z53" s="1113"/>
      <c r="AA53" s="1113"/>
      <c r="AB53" s="1113"/>
      <c r="AC53" s="1113"/>
      <c r="AD53" s="1113"/>
      <c r="AE53" s="1113"/>
      <c r="AF53" s="1113"/>
      <c r="AG53" s="1113"/>
      <c r="AH53" s="1113"/>
      <c r="AI53" s="1161" t="b">
        <v>1</v>
      </c>
      <c r="AJ53" s="921" t="s">
        <v>15</v>
      </c>
      <c r="AK53" s="61" t="str">
        <f t="shared" si="16"/>
        <v>West Berkshire</v>
      </c>
      <c r="AL53" s="110">
        <f t="shared" si="18"/>
        <v>265.25198938992042</v>
      </c>
      <c r="AM53" s="110">
        <f t="shared" si="18"/>
        <v>248.10475534114403</v>
      </c>
      <c r="AN53" s="110">
        <f t="shared" si="18"/>
        <v>352.07399913282268</v>
      </c>
      <c r="AO53" s="110">
        <f t="shared" si="18"/>
        <v>427.93308890925761</v>
      </c>
      <c r="AP53" s="110">
        <f t="shared" si="18"/>
        <v>301.48619957537153</v>
      </c>
      <c r="AQ53" s="111">
        <f>VLOOKUP(AK53,IDACI!$B$9:$C$29,2,FALSE)</f>
        <v>8.6999999999999993</v>
      </c>
      <c r="AR53" s="237"/>
      <c r="AS53" s="237"/>
      <c r="AT53" s="237"/>
      <c r="AU53" s="237"/>
      <c r="AV53" s="237"/>
    </row>
    <row r="54" spans="1:48" ht="14.25" customHeight="1">
      <c r="A54" s="208"/>
      <c r="B54" s="48"/>
      <c r="C54" s="48"/>
      <c r="D54" s="40"/>
      <c r="E54" s="40"/>
      <c r="F54" s="40"/>
      <c r="G54" s="40"/>
      <c r="H54" s="40"/>
      <c r="I54" s="40"/>
      <c r="J54" s="1"/>
      <c r="K54" s="5"/>
      <c r="L54" s="5"/>
      <c r="M54" s="5"/>
      <c r="N54" s="5"/>
      <c r="O54" s="5"/>
      <c r="P54" s="5"/>
      <c r="Q54" s="5"/>
      <c r="R54" s="5"/>
      <c r="S54" s="5"/>
      <c r="T54" s="5"/>
      <c r="U54" s="86"/>
      <c r="V54" s="102"/>
      <c r="W54" s="1155"/>
      <c r="X54" s="1113"/>
      <c r="Y54" s="1113"/>
      <c r="Z54" s="1113"/>
      <c r="AA54" s="1113"/>
      <c r="AB54" s="1113"/>
      <c r="AC54" s="1113"/>
      <c r="AD54" s="1113"/>
      <c r="AE54" s="1113"/>
      <c r="AF54" s="1113"/>
      <c r="AG54" s="1113"/>
      <c r="AH54" s="1113"/>
      <c r="AI54" s="1161" t="b">
        <v>1</v>
      </c>
      <c r="AJ54" s="921" t="s">
        <v>5</v>
      </c>
      <c r="AK54" s="61" t="str">
        <f t="shared" si="16"/>
        <v>West Sussex</v>
      </c>
      <c r="AL54" s="110">
        <f t="shared" si="18"/>
        <v>318.98404503575318</v>
      </c>
      <c r="AM54" s="110">
        <f t="shared" si="18"/>
        <v>336.62500790807087</v>
      </c>
      <c r="AN54" s="110">
        <f t="shared" si="18"/>
        <v>307.72046627086263</v>
      </c>
      <c r="AO54" s="110">
        <f t="shared" si="18"/>
        <v>313.22420763579157</v>
      </c>
      <c r="AP54" s="110">
        <f t="shared" si="18"/>
        <v>341.10207365033966</v>
      </c>
      <c r="AQ54" s="111">
        <f>VLOOKUP(AK54,IDACI!$B$9:$C$29,2,FALSE)</f>
        <v>11</v>
      </c>
      <c r="AR54" s="237"/>
      <c r="AS54" s="237"/>
      <c r="AT54" s="237"/>
      <c r="AU54" s="237"/>
      <c r="AV54" s="237"/>
    </row>
    <row r="55" spans="1:48" ht="14.25" customHeight="1">
      <c r="A55" s="208"/>
      <c r="B55" s="48"/>
      <c r="C55" s="48"/>
      <c r="D55" s="40"/>
      <c r="E55" s="40"/>
      <c r="F55" s="40"/>
      <c r="G55" s="40"/>
      <c r="H55" s="40"/>
      <c r="I55" s="40"/>
      <c r="J55" s="1"/>
      <c r="K55" s="5"/>
      <c r="L55" s="5"/>
      <c r="M55" s="5"/>
      <c r="N55" s="5"/>
      <c r="O55" s="5"/>
      <c r="P55" s="5"/>
      <c r="Q55" s="5"/>
      <c r="R55" s="5"/>
      <c r="S55" s="5"/>
      <c r="T55" s="5"/>
      <c r="U55" s="86"/>
      <c r="V55" s="102"/>
      <c r="W55" s="1155"/>
      <c r="X55" s="1113"/>
      <c r="Y55" s="1113"/>
      <c r="Z55" s="1113"/>
      <c r="AA55" s="1113"/>
      <c r="AB55" s="1113"/>
      <c r="AC55" s="1113"/>
      <c r="AD55" s="1113"/>
      <c r="AE55" s="1113"/>
      <c r="AF55" s="1113"/>
      <c r="AG55" s="1113"/>
      <c r="AH55" s="1113"/>
      <c r="AI55" s="1161" t="b">
        <v>1</v>
      </c>
      <c r="AJ55" s="921" t="s">
        <v>27</v>
      </c>
      <c r="AK55" s="61" t="str">
        <f t="shared" si="16"/>
        <v>Windsor &amp; Maidenhead</v>
      </c>
      <c r="AL55" s="110">
        <f t="shared" si="18"/>
        <v>257.62969014413261</v>
      </c>
      <c r="AM55" s="110">
        <f t="shared" si="18"/>
        <v>246.16377666285243</v>
      </c>
      <c r="AN55" s="110">
        <f t="shared" si="18"/>
        <v>263.01806588735388</v>
      </c>
      <c r="AO55" s="110">
        <f t="shared" si="18"/>
        <v>224.54782634186381</v>
      </c>
      <c r="AP55" s="110">
        <f t="shared" si="18"/>
        <v>245.61710568536506</v>
      </c>
      <c r="AQ55" s="111">
        <f>VLOOKUP(AK55,IDACI!$B$9:$C$29,2,FALSE)</f>
        <v>6.7</v>
      </c>
      <c r="AR55" s="237"/>
      <c r="AS55" s="237"/>
      <c r="AT55" s="237"/>
      <c r="AU55" s="237"/>
      <c r="AV55" s="237"/>
    </row>
    <row r="56" spans="1:48" ht="14.25" customHeight="1">
      <c r="A56" s="87"/>
      <c r="B56" s="48"/>
      <c r="C56" s="48"/>
      <c r="D56" s="40"/>
      <c r="E56" s="40"/>
      <c r="F56" s="40"/>
      <c r="G56" s="40"/>
      <c r="H56" s="40"/>
      <c r="I56" s="40"/>
      <c r="J56" s="1"/>
      <c r="K56" s="5"/>
      <c r="L56" s="5"/>
      <c r="M56" s="5"/>
      <c r="N56" s="5"/>
      <c r="O56" s="5"/>
      <c r="P56" s="5"/>
      <c r="Q56" s="5"/>
      <c r="R56" s="5"/>
      <c r="S56" s="5"/>
      <c r="T56" s="5"/>
      <c r="U56" s="86"/>
      <c r="V56" s="102"/>
      <c r="W56" s="1155"/>
      <c r="X56" s="1113"/>
      <c r="Y56" s="1113"/>
      <c r="Z56" s="1113"/>
      <c r="AA56" s="1113"/>
      <c r="AB56" s="1113"/>
      <c r="AC56" s="1113"/>
      <c r="AD56" s="1113"/>
      <c r="AE56" s="1113"/>
      <c r="AF56" s="1113"/>
      <c r="AG56" s="1113"/>
      <c r="AH56" s="1113"/>
      <c r="AI56" s="1161" t="b">
        <v>1</v>
      </c>
      <c r="AJ56" s="921" t="s">
        <v>16</v>
      </c>
      <c r="AK56" s="61" t="str">
        <f t="shared" si="16"/>
        <v>Wokingham</v>
      </c>
      <c r="AL56" s="110">
        <f t="shared" si="18"/>
        <v>261.23906265714572</v>
      </c>
      <c r="AM56" s="110">
        <f t="shared" si="18"/>
        <v>229.76578713311591</v>
      </c>
      <c r="AN56" s="110">
        <f t="shared" si="18"/>
        <v>249.94529407474045</v>
      </c>
      <c r="AO56" s="110">
        <f t="shared" si="18"/>
        <v>229.77422389463783</v>
      </c>
      <c r="AP56" s="110">
        <f t="shared" si="18"/>
        <v>230.87223530498221</v>
      </c>
      <c r="AQ56" s="111">
        <f>VLOOKUP(AK56,IDACI!$B$9:$C$29,2,FALSE)</f>
        <v>5.6000000000000005</v>
      </c>
      <c r="AR56" s="237"/>
      <c r="AS56" s="237"/>
      <c r="AT56" s="237"/>
      <c r="AU56" s="237"/>
      <c r="AV56" s="237"/>
    </row>
    <row r="57" spans="1:48" ht="14.25" customHeight="1">
      <c r="A57" s="87"/>
      <c r="B57" s="48"/>
      <c r="C57" s="48"/>
      <c r="D57" s="40"/>
      <c r="E57" s="40"/>
      <c r="F57" s="40"/>
      <c r="G57" s="40"/>
      <c r="H57" s="40"/>
      <c r="I57" s="40"/>
      <c r="J57" s="1"/>
      <c r="K57" s="5"/>
      <c r="L57" s="5"/>
      <c r="M57" s="5"/>
      <c r="N57" s="5"/>
      <c r="O57" s="5"/>
      <c r="P57" s="5"/>
      <c r="Q57" s="5"/>
      <c r="R57" s="5"/>
      <c r="S57" s="5"/>
      <c r="T57" s="5"/>
      <c r="U57" s="86"/>
      <c r="V57" s="102"/>
      <c r="W57" s="1155"/>
      <c r="X57" s="1113"/>
      <c r="Y57" s="1113"/>
      <c r="Z57" s="1113"/>
      <c r="AA57" s="1113"/>
      <c r="AB57" s="1113"/>
      <c r="AC57" s="1113"/>
      <c r="AD57" s="1113"/>
      <c r="AE57" s="1113"/>
      <c r="AF57" s="1113"/>
      <c r="AG57" s="1113"/>
      <c r="AH57" s="1113"/>
      <c r="AI57" s="1161" t="b">
        <v>1</v>
      </c>
      <c r="AJ57" s="921" t="s">
        <v>71</v>
      </c>
      <c r="AK57" s="61" t="str">
        <f t="shared" si="16"/>
        <v>South East</v>
      </c>
      <c r="AL57" s="110">
        <f t="shared" si="18"/>
        <v>310.97471459703803</v>
      </c>
      <c r="AM57" s="110">
        <f t="shared" si="18"/>
        <v>309.98621765538547</v>
      </c>
      <c r="AN57" s="110">
        <f t="shared" si="18"/>
        <v>337.09322124961773</v>
      </c>
      <c r="AO57" s="110">
        <f t="shared" si="18"/>
        <v>330.70206639178554</v>
      </c>
      <c r="AP57" s="110">
        <f t="shared" si="18"/>
        <v>369.62412936374869</v>
      </c>
      <c r="AQ57" s="111">
        <f>Z30/Y30*100</f>
        <v>12.760581039440194</v>
      </c>
      <c r="AR57" s="237"/>
      <c r="AS57" s="237"/>
      <c r="AT57" s="237"/>
      <c r="AU57" s="237"/>
      <c r="AV57" s="237"/>
    </row>
    <row r="58" spans="1:48"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1155"/>
      <c r="X58" s="1113"/>
      <c r="Y58" s="1113"/>
      <c r="Z58" s="1113"/>
      <c r="AA58" s="1113"/>
      <c r="AB58" s="1113"/>
      <c r="AC58" s="1113"/>
      <c r="AD58" s="1113"/>
      <c r="AE58" s="1113"/>
      <c r="AF58" s="1113"/>
      <c r="AG58" s="1113"/>
      <c r="AH58" s="1113"/>
      <c r="AI58" s="1161" t="b">
        <v>1</v>
      </c>
      <c r="AJ58" s="921" t="s">
        <v>109</v>
      </c>
      <c r="AK58" s="61" t="str">
        <f t="shared" si="16"/>
        <v>England</v>
      </c>
      <c r="AL58" s="110">
        <f t="shared" si="18"/>
        <v>330.14737637750829</v>
      </c>
      <c r="AM58" s="110">
        <f t="shared" si="18"/>
        <v>329.56972271486933</v>
      </c>
      <c r="AN58" s="110">
        <f t="shared" si="18"/>
        <v>343.71690329526501</v>
      </c>
      <c r="AO58" s="110">
        <f t="shared" si="18"/>
        <v>339.1360893248231</v>
      </c>
      <c r="AP58" s="110">
        <f t="shared" si="18"/>
        <v>332.92089790798065</v>
      </c>
      <c r="AQ58" s="111">
        <f>VLOOKUP(AK58,IDACI!$B$9:$C$29,2,FALSE)</f>
        <v>17.084413405029373</v>
      </c>
      <c r="AR58" s="237"/>
      <c r="AS58" s="237"/>
      <c r="AT58" s="237"/>
      <c r="AU58" s="237"/>
      <c r="AV58" s="237"/>
    </row>
    <row r="59" spans="1:48" s="56" customFormat="1" ht="14.25" customHeight="1">
      <c r="A59" s="87"/>
      <c r="B59" s="48"/>
      <c r="C59" s="48"/>
      <c r="D59" s="40"/>
      <c r="E59" s="40"/>
      <c r="F59" s="40"/>
      <c r="G59" s="40"/>
      <c r="H59" s="40"/>
      <c r="I59" s="40"/>
      <c r="J59" s="1"/>
      <c r="K59" s="5"/>
      <c r="L59" s="5"/>
      <c r="M59" s="5"/>
      <c r="N59" s="5"/>
      <c r="O59" s="5"/>
      <c r="P59" s="5"/>
      <c r="Q59" s="5"/>
      <c r="R59" s="5"/>
      <c r="S59" s="5"/>
      <c r="T59" s="5"/>
      <c r="U59" s="86"/>
      <c r="V59" s="102"/>
      <c r="W59" s="218"/>
      <c r="AJ59" s="122"/>
      <c r="AK59" s="52" t="str">
        <f>Z4</f>
        <v>Selected LA- (none)</v>
      </c>
      <c r="AL59" s="112" t="e">
        <f t="shared" ref="AL59:AP59" si="19">VLOOKUP($Y4,$B$11:$O$30,AL$34,FALSE)</f>
        <v>#N/A</v>
      </c>
      <c r="AM59" s="112" t="e">
        <f t="shared" si="19"/>
        <v>#N/A</v>
      </c>
      <c r="AN59" s="112" t="e">
        <f t="shared" si="19"/>
        <v>#N/A</v>
      </c>
      <c r="AO59" s="112" t="e">
        <f t="shared" si="19"/>
        <v>#N/A</v>
      </c>
      <c r="AP59" s="112" t="e">
        <f t="shared" si="19"/>
        <v>#N/A</v>
      </c>
      <c r="AQ59" s="111" t="e">
        <f>VLOOKUP(Y4,IDACI!$B$9:$C$29,2,FALSE)</f>
        <v>#N/A</v>
      </c>
      <c r="AR59" s="237"/>
      <c r="AS59" s="237"/>
      <c r="AT59" s="237"/>
      <c r="AU59" s="237"/>
      <c r="AV59" s="237"/>
    </row>
    <row r="60" spans="1:48" s="56" customFormat="1" ht="2.25" customHeight="1">
      <c r="A60" s="87"/>
      <c r="B60" s="48"/>
      <c r="C60" s="48"/>
      <c r="D60" s="40"/>
      <c r="E60" s="40"/>
      <c r="F60" s="40"/>
      <c r="G60" s="40"/>
      <c r="H60" s="40"/>
      <c r="I60" s="40"/>
      <c r="J60" s="1"/>
      <c r="K60" s="5"/>
      <c r="L60" s="5"/>
      <c r="M60" s="5"/>
      <c r="N60" s="5"/>
      <c r="O60" s="5"/>
      <c r="P60" s="5"/>
      <c r="Q60" s="5"/>
      <c r="R60" s="5"/>
      <c r="S60" s="5"/>
      <c r="T60" s="5"/>
      <c r="U60" s="86"/>
      <c r="V60" s="102"/>
      <c r="W60" s="218"/>
      <c r="AJ60" s="122"/>
      <c r="AK60" s="52"/>
      <c r="AL60" s="112"/>
      <c r="AM60" s="112"/>
      <c r="AN60" s="112"/>
      <c r="AO60" s="112"/>
      <c r="AP60" s="112"/>
      <c r="AQ60" s="111"/>
      <c r="AR60" s="237"/>
      <c r="AS60" s="237"/>
      <c r="AT60" s="237"/>
      <c r="AU60" s="237"/>
      <c r="AV60" s="237"/>
    </row>
    <row r="61" spans="1:48" s="56" customFormat="1" ht="14.25" customHeight="1">
      <c r="A61" s="87"/>
      <c r="B61" s="48"/>
      <c r="C61" s="48"/>
      <c r="D61" s="40"/>
      <c r="E61" s="40"/>
      <c r="F61" s="40"/>
      <c r="G61" s="40"/>
      <c r="H61" s="40"/>
      <c r="I61" s="40"/>
      <c r="J61" s="1"/>
      <c r="K61" s="79"/>
      <c r="L61" s="1882" t="s">
        <v>69</v>
      </c>
      <c r="M61" s="1882"/>
      <c r="N61" s="1882"/>
      <c r="O61" s="1882"/>
      <c r="P61" s="1171"/>
      <c r="Q61" s="1753" t="s">
        <v>93</v>
      </c>
      <c r="R61" s="1753"/>
      <c r="S61" s="1753"/>
      <c r="T61" s="1753"/>
      <c r="U61" s="86"/>
      <c r="V61" s="102"/>
      <c r="W61" s="218"/>
      <c r="AJ61" s="122"/>
      <c r="AR61" s="237"/>
      <c r="AS61" s="237"/>
      <c r="AT61" s="237"/>
      <c r="AU61" s="237"/>
      <c r="AV61" s="237"/>
    </row>
    <row r="62" spans="1:48" s="56" customFormat="1" ht="14.25" customHeight="1">
      <c r="A62" s="87"/>
      <c r="B62" s="48"/>
      <c r="C62" s="48"/>
      <c r="D62" s="40"/>
      <c r="E62" s="40"/>
      <c r="F62" s="40"/>
      <c r="G62" s="40"/>
      <c r="H62" s="40"/>
      <c r="I62" s="40"/>
      <c r="J62" s="1"/>
      <c r="K62" s="80"/>
      <c r="L62" s="1753" t="str">
        <f>Z4</f>
        <v>Selected LA- (none)</v>
      </c>
      <c r="M62" s="1753"/>
      <c r="N62" s="1753"/>
      <c r="O62" s="1753"/>
      <c r="P62" s="1172"/>
      <c r="Q62" s="1753" t="s">
        <v>167</v>
      </c>
      <c r="R62" s="1753"/>
      <c r="S62" s="1753"/>
      <c r="T62" s="1753"/>
      <c r="U62" s="86"/>
      <c r="V62" s="102"/>
      <c r="W62" s="114"/>
      <c r="AI62" s="61"/>
      <c r="AJ62" s="121"/>
      <c r="AK62" s="61"/>
      <c r="AL62" s="61"/>
      <c r="AM62" s="61"/>
      <c r="AN62" s="61"/>
      <c r="AO62" s="61"/>
      <c r="AP62" s="61"/>
      <c r="AQ62" s="61"/>
      <c r="AR62" s="237"/>
      <c r="AS62" s="237"/>
      <c r="AT62" s="237"/>
      <c r="AU62" s="132"/>
      <c r="AV62" s="132"/>
    </row>
    <row r="63" spans="1:48" s="56" customFormat="1" ht="46.5" customHeight="1">
      <c r="A63" s="87"/>
      <c r="B63" s="48"/>
      <c r="C63" s="48"/>
      <c r="D63" s="40"/>
      <c r="E63" s="40"/>
      <c r="F63" s="40"/>
      <c r="G63" s="40"/>
      <c r="H63" s="40"/>
      <c r="I63" s="40"/>
      <c r="J63" s="1"/>
      <c r="K63" s="5"/>
      <c r="L63" s="5"/>
      <c r="M63" s="5"/>
      <c r="N63" s="5"/>
      <c r="O63" s="5"/>
      <c r="P63" s="5"/>
      <c r="Q63" s="5"/>
      <c r="R63" s="5"/>
      <c r="S63" s="5"/>
      <c r="T63" s="5"/>
      <c r="U63" s="86"/>
      <c r="V63" s="102"/>
      <c r="W63" s="114"/>
      <c r="AI63" s="61"/>
      <c r="AJ63" s="121"/>
      <c r="AK63" s="61"/>
      <c r="AL63" s="61"/>
      <c r="AM63" s="61"/>
      <c r="AN63" s="61"/>
      <c r="AO63" s="61"/>
      <c r="AP63" s="61"/>
      <c r="AQ63" s="61"/>
    </row>
    <row r="64" spans="1:48" s="61" customFormat="1" ht="46.5" customHeight="1">
      <c r="A64" s="88"/>
      <c r="B64" s="78"/>
      <c r="C64" s="78"/>
      <c r="D64" s="78"/>
      <c r="E64" s="78"/>
      <c r="F64" s="78"/>
      <c r="G64" s="78"/>
      <c r="H64" s="78"/>
      <c r="I64" s="78"/>
      <c r="J64" s="68"/>
      <c r="K64" s="59"/>
      <c r="L64" s="59"/>
      <c r="M64" s="59"/>
      <c r="N64" s="59"/>
      <c r="O64" s="59"/>
      <c r="P64" s="59"/>
      <c r="Q64" s="59"/>
      <c r="R64" s="59"/>
      <c r="S64" s="59"/>
      <c r="T64" s="59"/>
      <c r="U64" s="89"/>
      <c r="V64" s="103"/>
      <c r="W64" s="115"/>
      <c r="AD64" s="141"/>
      <c r="AE64" s="141"/>
      <c r="AF64" s="141"/>
      <c r="AG64" s="141"/>
      <c r="AH64" s="141"/>
      <c r="AI64" s="52"/>
      <c r="AJ64" s="119"/>
      <c r="AK64" s="52"/>
      <c r="AL64" s="52"/>
      <c r="AM64" s="52"/>
      <c r="AN64" s="52"/>
      <c r="AO64" s="52"/>
      <c r="AP64" s="52"/>
      <c r="AQ64" s="52"/>
    </row>
    <row r="65" spans="1:44" s="61" customFormat="1" ht="46.5" customHeight="1">
      <c r="A65" s="88"/>
      <c r="B65" s="78"/>
      <c r="C65" s="78"/>
      <c r="D65" s="78"/>
      <c r="E65" s="78"/>
      <c r="F65" s="78"/>
      <c r="G65" s="78"/>
      <c r="H65" s="78"/>
      <c r="I65" s="78"/>
      <c r="J65" s="68"/>
      <c r="K65" s="59"/>
      <c r="L65" s="59"/>
      <c r="M65" s="59"/>
      <c r="N65" s="59"/>
      <c r="O65" s="59"/>
      <c r="P65" s="59"/>
      <c r="Q65" s="59"/>
      <c r="R65" s="59"/>
      <c r="S65" s="59"/>
      <c r="T65" s="59"/>
      <c r="U65" s="89"/>
      <c r="V65" s="121"/>
      <c r="W65" s="247"/>
      <c r="AD65" s="141"/>
      <c r="AE65" s="141"/>
      <c r="AF65" s="141"/>
      <c r="AG65" s="141"/>
      <c r="AH65" s="141"/>
      <c r="AI65" s="52"/>
      <c r="AJ65" s="119"/>
      <c r="AK65" s="52"/>
      <c r="AL65" s="52"/>
      <c r="AM65" s="52"/>
      <c r="AN65" s="52"/>
      <c r="AO65" s="52"/>
      <c r="AP65" s="52"/>
      <c r="AQ65" s="52"/>
    </row>
    <row r="66" spans="1:44" ht="7.5" customHeight="1">
      <c r="A66" s="87"/>
      <c r="B66" s="12"/>
      <c r="C66" s="12"/>
      <c r="D66" s="11"/>
      <c r="E66" s="11"/>
      <c r="F66" s="11"/>
      <c r="G66" s="11"/>
      <c r="H66" s="11"/>
      <c r="I66" s="11"/>
      <c r="J66" s="1"/>
      <c r="K66" s="13"/>
      <c r="L66" s="13"/>
      <c r="M66" s="13"/>
      <c r="N66" s="13"/>
      <c r="O66" s="13"/>
      <c r="P66" s="13"/>
      <c r="Q66" s="13"/>
      <c r="R66" s="13"/>
      <c r="S66" s="13"/>
      <c r="T66" s="14"/>
      <c r="U66" s="86"/>
      <c r="V66" s="185"/>
      <c r="W66" s="114"/>
      <c r="X66" s="61"/>
      <c r="Y66" s="61"/>
      <c r="Z66" s="61"/>
      <c r="AA66" s="61"/>
      <c r="AB66" s="61"/>
      <c r="AJ66" s="119"/>
    </row>
    <row r="67" spans="1:44" ht="15" customHeight="1">
      <c r="A67" s="1565"/>
      <c r="B67" s="1751"/>
      <c r="C67" s="1751"/>
      <c r="D67" s="1751"/>
      <c r="E67" s="1751"/>
      <c r="F67" s="1751"/>
      <c r="G67" s="1751"/>
      <c r="H67" s="1751"/>
      <c r="I67" s="1751"/>
      <c r="J67" s="1751"/>
      <c r="K67" s="1751"/>
      <c r="L67" s="1751"/>
      <c r="M67" s="1751"/>
      <c r="N67" s="1751"/>
      <c r="O67" s="1751"/>
      <c r="P67" s="1751"/>
      <c r="Q67" s="1751"/>
      <c r="R67" s="1751"/>
      <c r="S67" s="1751"/>
      <c r="T67" s="1751"/>
      <c r="U67" s="1752"/>
      <c r="V67" s="185"/>
      <c r="W67" s="114"/>
      <c r="X67" s="61"/>
      <c r="Y67" s="61"/>
      <c r="Z67" s="61"/>
      <c r="AA67" s="61"/>
      <c r="AB67" s="61"/>
      <c r="AJ67" s="119"/>
    </row>
    <row r="68" spans="1:44" ht="11.25" customHeight="1">
      <c r="A68" s="1739"/>
      <c r="B68" s="1740"/>
      <c r="C68" s="1740"/>
      <c r="D68" s="1740"/>
      <c r="E68" s="1740"/>
      <c r="F68" s="1740"/>
      <c r="G68" s="1740"/>
      <c r="H68" s="1740"/>
      <c r="I68" s="1741"/>
      <c r="J68" s="1740"/>
      <c r="K68" s="1740"/>
      <c r="L68" s="1740"/>
      <c r="M68" s="1740"/>
      <c r="N68" s="1740"/>
      <c r="O68" s="1740"/>
      <c r="P68" s="1742"/>
      <c r="Q68" s="1740"/>
      <c r="R68" s="1740"/>
      <c r="S68" s="1741"/>
      <c r="T68" s="1740"/>
      <c r="U68" s="1743"/>
      <c r="V68" s="185"/>
      <c r="W68" s="114"/>
      <c r="X68" s="61"/>
      <c r="Y68" s="61"/>
      <c r="Z68" s="61"/>
      <c r="AA68" s="61"/>
      <c r="AB68" s="61"/>
      <c r="AJ68" s="119"/>
    </row>
    <row r="69" spans="1:44" ht="11.25" customHeight="1">
      <c r="A69" s="81"/>
      <c r="B69" s="82"/>
      <c r="C69" s="82"/>
      <c r="D69" s="82"/>
      <c r="E69" s="82"/>
      <c r="F69" s="82"/>
      <c r="G69" s="82"/>
      <c r="H69" s="82"/>
      <c r="I69" s="82"/>
      <c r="J69" s="83"/>
      <c r="K69" s="82"/>
      <c r="L69" s="82"/>
      <c r="M69" s="82"/>
      <c r="N69" s="82"/>
      <c r="O69" s="82"/>
      <c r="P69" s="82"/>
      <c r="Q69" s="82"/>
      <c r="R69" s="82"/>
      <c r="S69" s="82"/>
      <c r="T69" s="82"/>
      <c r="U69" s="84"/>
      <c r="V69" s="102"/>
      <c r="W69" s="114"/>
      <c r="X69" s="61"/>
      <c r="Y69" s="61"/>
      <c r="Z69" s="61"/>
      <c r="AA69" s="61"/>
      <c r="AB69" s="61"/>
      <c r="AJ69" s="119"/>
    </row>
    <row r="70" spans="1:44" ht="15" customHeight="1">
      <c r="A70" s="87"/>
      <c r="B70" s="41"/>
      <c r="C70" s="47"/>
      <c r="D70" s="47"/>
      <c r="E70" s="47"/>
      <c r="F70" s="47"/>
      <c r="G70" s="47"/>
      <c r="H70" s="47"/>
      <c r="I70" s="47"/>
      <c r="J70" s="50"/>
      <c r="K70" s="50"/>
      <c r="L70" s="50"/>
      <c r="M70" s="50"/>
      <c r="N70" s="224"/>
      <c r="O70" s="50"/>
      <c r="P70" s="50"/>
      <c r="Q70" s="50"/>
      <c r="R70" s="50"/>
      <c r="S70" s="50"/>
      <c r="T70" s="50"/>
      <c r="U70" s="86"/>
      <c r="V70" s="102"/>
      <c r="W70" s="114"/>
      <c r="X70" s="61"/>
      <c r="Y70" s="61"/>
      <c r="Z70" s="61"/>
      <c r="AA70" s="61"/>
      <c r="AB70" s="61"/>
      <c r="AC70" s="52"/>
      <c r="AD70" s="52"/>
      <c r="AE70" s="52"/>
      <c r="AF70" s="52"/>
      <c r="AG70" s="52"/>
      <c r="AH70" s="52"/>
      <c r="AI70" s="61"/>
      <c r="AJ70" s="121"/>
      <c r="AK70" s="61"/>
      <c r="AL70" s="61"/>
      <c r="AM70" s="61"/>
      <c r="AN70" s="61"/>
      <c r="AO70" s="61"/>
      <c r="AP70" s="61"/>
      <c r="AQ70" s="61"/>
    </row>
    <row r="71" spans="1:44" ht="13.5" customHeight="1">
      <c r="A71" s="87"/>
      <c r="B71" s="47"/>
      <c r="C71" s="47"/>
      <c r="D71" s="47"/>
      <c r="E71" s="47"/>
      <c r="F71" s="47"/>
      <c r="G71" s="47"/>
      <c r="H71" s="47"/>
      <c r="I71" s="47"/>
      <c r="J71" s="50"/>
      <c r="K71" s="50"/>
      <c r="L71" s="50"/>
      <c r="M71" s="50"/>
      <c r="N71" s="224"/>
      <c r="O71" s="50"/>
      <c r="P71" s="50"/>
      <c r="Q71" s="50"/>
      <c r="R71" s="5"/>
      <c r="S71" s="50"/>
      <c r="T71" s="50"/>
      <c r="U71" s="86"/>
      <c r="V71" s="102"/>
      <c r="W71" s="114"/>
      <c r="X71" s="52"/>
      <c r="Y71" s="52"/>
      <c r="Z71" s="146"/>
      <c r="AA71" s="146"/>
      <c r="AB71" s="147"/>
      <c r="AC71" s="147"/>
      <c r="AI71" s="61"/>
      <c r="AJ71" s="121"/>
      <c r="AK71" s="61"/>
      <c r="AL71" s="61"/>
      <c r="AM71" s="61"/>
      <c r="AN71" s="61"/>
      <c r="AO71" s="61"/>
      <c r="AP71" s="61"/>
      <c r="AQ71" s="61"/>
    </row>
    <row r="72" spans="1:44" s="61" customFormat="1" ht="12" customHeight="1">
      <c r="A72" s="88"/>
      <c r="B72" s="47"/>
      <c r="C72" s="47"/>
      <c r="D72" s="47"/>
      <c r="E72" s="47"/>
      <c r="F72" s="47"/>
      <c r="G72" s="47"/>
      <c r="H72" s="47"/>
      <c r="I72" s="68"/>
      <c r="J72" s="68"/>
      <c r="K72" s="43"/>
      <c r="L72" s="43"/>
      <c r="M72" s="43"/>
      <c r="N72" s="43"/>
      <c r="O72" s="43"/>
      <c r="P72" s="43"/>
      <c r="Q72" s="225"/>
      <c r="R72" s="225"/>
      <c r="S72" s="120"/>
      <c r="T72" s="226"/>
      <c r="U72" s="89"/>
      <c r="V72" s="103"/>
      <c r="W72" s="115"/>
      <c r="X72" s="52"/>
      <c r="Y72" s="52"/>
      <c r="Z72" s="146"/>
      <c r="AA72" s="146"/>
      <c r="AB72" s="147"/>
      <c r="AC72" s="147"/>
      <c r="AD72" s="149"/>
      <c r="AE72" s="141"/>
      <c r="AF72" s="141"/>
      <c r="AG72" s="141"/>
      <c r="AH72" s="141"/>
      <c r="AJ72" s="121"/>
    </row>
    <row r="73" spans="1:44" s="61" customFormat="1" ht="24" customHeight="1">
      <c r="A73" s="88"/>
      <c r="B73" s="47"/>
      <c r="C73" s="47"/>
      <c r="D73" s="47"/>
      <c r="E73" s="47"/>
      <c r="F73" s="47"/>
      <c r="G73" s="47"/>
      <c r="H73" s="47"/>
      <c r="I73" s="68"/>
      <c r="J73" s="68"/>
      <c r="K73" s="127"/>
      <c r="L73" s="127"/>
      <c r="M73" s="127"/>
      <c r="N73" s="127"/>
      <c r="O73" s="127"/>
      <c r="P73" s="127"/>
      <c r="Q73" s="127"/>
      <c r="R73" s="128"/>
      <c r="S73" s="120"/>
      <c r="T73" s="127"/>
      <c r="U73" s="89"/>
      <c r="V73" s="103"/>
      <c r="W73" s="115"/>
      <c r="Y73" s="241" t="s">
        <v>112</v>
      </c>
      <c r="Z73" s="242" t="s">
        <v>113</v>
      </c>
      <c r="AA73" s="146"/>
      <c r="AB73" s="147"/>
      <c r="AC73" s="147"/>
      <c r="AD73" s="149"/>
      <c r="AE73" s="141"/>
      <c r="AF73" s="141"/>
      <c r="AG73" s="141"/>
      <c r="AH73" s="141"/>
      <c r="AJ73" s="121"/>
    </row>
    <row r="74" spans="1:44" s="61" customFormat="1" ht="12.75" customHeight="1">
      <c r="A74" s="88"/>
      <c r="B74" s="47"/>
      <c r="C74" s="47"/>
      <c r="D74" s="47"/>
      <c r="E74" s="47"/>
      <c r="F74" s="47"/>
      <c r="G74" s="47"/>
      <c r="H74" s="47"/>
      <c r="I74" s="68"/>
      <c r="J74" s="68"/>
      <c r="K74" s="127"/>
      <c r="L74" s="127"/>
      <c r="M74" s="127"/>
      <c r="N74" s="127"/>
      <c r="O74" s="127"/>
      <c r="P74" s="127"/>
      <c r="Q74" s="127"/>
      <c r="R74" s="128"/>
      <c r="S74" s="120"/>
      <c r="T74" s="127"/>
      <c r="U74" s="89"/>
      <c r="V74" s="103"/>
      <c r="W74" s="115"/>
      <c r="X74" s="243" t="str">
        <f t="shared" ref="X74:X94" si="20">B11</f>
        <v>Bracknell Forest</v>
      </c>
      <c r="Y74" s="244" t="e">
        <f t="shared" ref="Y74:Y94" si="21">IF(X74=$Y$4,I11,#N/A)</f>
        <v>#N/A</v>
      </c>
      <c r="Z74" s="244" t="e">
        <f t="shared" ref="Z74:Z94" si="22">IF(X74=$Y$4,T11,#N/A)</f>
        <v>#N/A</v>
      </c>
      <c r="AA74" s="146"/>
      <c r="AB74" s="147"/>
      <c r="AC74" s="147"/>
      <c r="AD74" s="149"/>
      <c r="AE74" s="141"/>
      <c r="AF74" s="141"/>
      <c r="AG74" s="141"/>
      <c r="AH74" s="141"/>
      <c r="AJ74" s="121"/>
    </row>
    <row r="75" spans="1:44" s="61" customFormat="1" ht="12.75" customHeight="1">
      <c r="A75" s="88"/>
      <c r="B75" s="47"/>
      <c r="C75" s="47"/>
      <c r="D75" s="47"/>
      <c r="E75" s="47"/>
      <c r="F75" s="47"/>
      <c r="G75" s="47"/>
      <c r="H75" s="47"/>
      <c r="I75" s="68"/>
      <c r="J75" s="68"/>
      <c r="K75" s="127"/>
      <c r="L75" s="127"/>
      <c r="M75" s="127"/>
      <c r="N75" s="127"/>
      <c r="O75" s="127"/>
      <c r="P75" s="127"/>
      <c r="Q75" s="127"/>
      <c r="R75" s="128"/>
      <c r="S75" s="120"/>
      <c r="T75" s="127"/>
      <c r="U75" s="89"/>
      <c r="V75" s="103"/>
      <c r="W75" s="115"/>
      <c r="X75" s="243" t="str">
        <f t="shared" si="20"/>
        <v>Brighton &amp; Hove</v>
      </c>
      <c r="Y75" s="244" t="e">
        <f t="shared" si="21"/>
        <v>#N/A</v>
      </c>
      <c r="Z75" s="244" t="e">
        <f t="shared" si="22"/>
        <v>#N/A</v>
      </c>
      <c r="AA75" s="146"/>
      <c r="AB75" s="147"/>
      <c r="AC75" s="147"/>
      <c r="AD75" s="149"/>
      <c r="AE75" s="141"/>
      <c r="AF75" s="141"/>
      <c r="AG75" s="141"/>
      <c r="AH75" s="141"/>
      <c r="AJ75" s="121"/>
    </row>
    <row r="76" spans="1:44" s="61" customFormat="1" ht="12.75" customHeight="1">
      <c r="A76" s="88"/>
      <c r="B76" s="47"/>
      <c r="C76" s="47"/>
      <c r="D76" s="47"/>
      <c r="E76" s="47"/>
      <c r="F76" s="47"/>
      <c r="G76" s="47"/>
      <c r="H76" s="47"/>
      <c r="I76" s="68"/>
      <c r="J76" s="68"/>
      <c r="K76" s="127"/>
      <c r="L76" s="127"/>
      <c r="M76" s="127"/>
      <c r="N76" s="127"/>
      <c r="O76" s="127"/>
      <c r="P76" s="127"/>
      <c r="Q76" s="127"/>
      <c r="R76" s="128"/>
      <c r="S76" s="120"/>
      <c r="T76" s="127"/>
      <c r="U76" s="89"/>
      <c r="V76" s="103"/>
      <c r="W76" s="115"/>
      <c r="X76" s="243" t="str">
        <f t="shared" si="20"/>
        <v>Buckinghamshire</v>
      </c>
      <c r="Y76" s="244" t="e">
        <f t="shared" si="21"/>
        <v>#N/A</v>
      </c>
      <c r="Z76" s="244" t="e">
        <f t="shared" si="22"/>
        <v>#N/A</v>
      </c>
      <c r="AA76" s="146"/>
      <c r="AB76" s="147"/>
      <c r="AC76" s="147"/>
      <c r="AD76" s="149"/>
      <c r="AE76" s="141"/>
      <c r="AF76" s="141"/>
      <c r="AG76" s="141"/>
      <c r="AH76" s="141"/>
      <c r="AJ76" s="121"/>
    </row>
    <row r="77" spans="1:44" s="61" customFormat="1" ht="12.75" customHeight="1">
      <c r="A77" s="88"/>
      <c r="B77" s="47"/>
      <c r="C77" s="47"/>
      <c r="D77" s="47"/>
      <c r="E77" s="47"/>
      <c r="F77" s="47"/>
      <c r="G77" s="47"/>
      <c r="H77" s="47"/>
      <c r="I77" s="68"/>
      <c r="J77" s="68"/>
      <c r="K77" s="127"/>
      <c r="L77" s="127"/>
      <c r="M77" s="127"/>
      <c r="N77" s="127"/>
      <c r="O77" s="127"/>
      <c r="P77" s="127"/>
      <c r="Q77" s="127"/>
      <c r="R77" s="128"/>
      <c r="S77" s="120"/>
      <c r="T77" s="127"/>
      <c r="U77" s="89"/>
      <c r="V77" s="103"/>
      <c r="W77" s="115"/>
      <c r="X77" s="243" t="str">
        <f t="shared" si="20"/>
        <v>East Sussex</v>
      </c>
      <c r="Y77" s="244" t="e">
        <f t="shared" si="21"/>
        <v>#N/A</v>
      </c>
      <c r="Z77" s="244" t="e">
        <f t="shared" si="22"/>
        <v>#N/A</v>
      </c>
      <c r="AA77" s="146"/>
      <c r="AB77" s="147"/>
      <c r="AC77" s="147"/>
      <c r="AD77" s="149"/>
      <c r="AE77" s="141"/>
      <c r="AF77" s="141"/>
      <c r="AG77" s="141"/>
      <c r="AH77" s="141"/>
      <c r="AJ77" s="121"/>
    </row>
    <row r="78" spans="1:44" s="61" customFormat="1" ht="12.75" customHeight="1">
      <c r="A78" s="88"/>
      <c r="B78" s="47"/>
      <c r="C78" s="47"/>
      <c r="D78" s="47"/>
      <c r="E78" s="47"/>
      <c r="F78" s="47"/>
      <c r="G78" s="47"/>
      <c r="H78" s="47"/>
      <c r="I78" s="68"/>
      <c r="J78" s="68"/>
      <c r="K78" s="127"/>
      <c r="L78" s="127"/>
      <c r="M78" s="127"/>
      <c r="N78" s="127"/>
      <c r="O78" s="127"/>
      <c r="P78" s="127"/>
      <c r="Q78" s="127"/>
      <c r="R78" s="128"/>
      <c r="S78" s="120"/>
      <c r="T78" s="127"/>
      <c r="U78" s="89"/>
      <c r="V78" s="103"/>
      <c r="W78" s="115"/>
      <c r="X78" s="243" t="str">
        <f t="shared" si="20"/>
        <v>Hampshire</v>
      </c>
      <c r="Y78" s="244" t="e">
        <f t="shared" si="21"/>
        <v>#N/A</v>
      </c>
      <c r="Z78" s="244" t="e">
        <f t="shared" si="22"/>
        <v>#N/A</v>
      </c>
      <c r="AA78" s="146"/>
      <c r="AB78" s="147"/>
      <c r="AC78" s="147"/>
      <c r="AD78" s="149"/>
      <c r="AE78" s="141"/>
      <c r="AF78" s="141"/>
      <c r="AG78" s="141"/>
      <c r="AH78" s="141"/>
      <c r="AJ78" s="121"/>
      <c r="AR78" s="61" t="s">
        <v>95</v>
      </c>
    </row>
    <row r="79" spans="1:44" s="61" customFormat="1" ht="12.75" customHeight="1">
      <c r="A79" s="88"/>
      <c r="B79" s="47"/>
      <c r="C79" s="47"/>
      <c r="D79" s="47"/>
      <c r="E79" s="47"/>
      <c r="F79" s="47"/>
      <c r="G79" s="47"/>
      <c r="H79" s="47"/>
      <c r="I79" s="68"/>
      <c r="J79" s="68"/>
      <c r="K79" s="127"/>
      <c r="L79" s="127"/>
      <c r="M79" s="127"/>
      <c r="N79" s="127"/>
      <c r="O79" s="127"/>
      <c r="P79" s="127"/>
      <c r="Q79" s="127"/>
      <c r="R79" s="128"/>
      <c r="S79" s="120"/>
      <c r="T79" s="127"/>
      <c r="U79" s="89"/>
      <c r="V79" s="103"/>
      <c r="W79" s="115"/>
      <c r="X79" s="243" t="str">
        <f t="shared" si="20"/>
        <v>Isle of Wight</v>
      </c>
      <c r="Y79" s="244" t="e">
        <f t="shared" si="21"/>
        <v>#N/A</v>
      </c>
      <c r="Z79" s="244" t="e">
        <f t="shared" si="22"/>
        <v>#N/A</v>
      </c>
      <c r="AA79" s="146"/>
      <c r="AB79" s="147"/>
      <c r="AC79" s="147"/>
      <c r="AD79" s="149"/>
      <c r="AE79" s="141"/>
      <c r="AF79" s="141"/>
      <c r="AG79" s="141"/>
      <c r="AH79" s="141"/>
      <c r="AJ79" s="121"/>
    </row>
    <row r="80" spans="1:44" s="61" customFormat="1" ht="12.75" customHeight="1">
      <c r="A80" s="88"/>
      <c r="B80" s="47"/>
      <c r="C80" s="47"/>
      <c r="D80" s="47"/>
      <c r="E80" s="47"/>
      <c r="F80" s="47"/>
      <c r="G80" s="47"/>
      <c r="H80" s="47"/>
      <c r="I80" s="68"/>
      <c r="J80" s="68"/>
      <c r="K80" s="127"/>
      <c r="L80" s="127"/>
      <c r="M80" s="127"/>
      <c r="N80" s="127"/>
      <c r="O80" s="127"/>
      <c r="P80" s="127"/>
      <c r="Q80" s="127"/>
      <c r="R80" s="128"/>
      <c r="S80" s="120"/>
      <c r="T80" s="127"/>
      <c r="U80" s="89"/>
      <c r="V80" s="103"/>
      <c r="W80" s="115"/>
      <c r="X80" s="243" t="str">
        <f t="shared" si="20"/>
        <v>Kent</v>
      </c>
      <c r="Y80" s="244" t="e">
        <f t="shared" si="21"/>
        <v>#N/A</v>
      </c>
      <c r="Z80" s="244" t="e">
        <f t="shared" si="22"/>
        <v>#N/A</v>
      </c>
      <c r="AA80" s="146"/>
      <c r="AB80" s="147"/>
      <c r="AC80" s="147"/>
      <c r="AD80" s="149"/>
      <c r="AE80" s="141"/>
      <c r="AF80" s="141"/>
      <c r="AG80" s="141"/>
      <c r="AH80" s="141"/>
      <c r="AJ80" s="121"/>
    </row>
    <row r="81" spans="1:43" s="61" customFormat="1" ht="12.75" customHeight="1">
      <c r="A81" s="88"/>
      <c r="B81" s="47"/>
      <c r="C81" s="47"/>
      <c r="D81" s="47"/>
      <c r="E81" s="47"/>
      <c r="F81" s="47"/>
      <c r="G81" s="47"/>
      <c r="H81" s="47"/>
      <c r="I81" s="68"/>
      <c r="J81" s="68"/>
      <c r="K81" s="127"/>
      <c r="L81" s="127"/>
      <c r="M81" s="127"/>
      <c r="N81" s="127"/>
      <c r="O81" s="127"/>
      <c r="P81" s="127"/>
      <c r="Q81" s="127"/>
      <c r="R81" s="128"/>
      <c r="S81" s="120"/>
      <c r="T81" s="127"/>
      <c r="U81" s="89"/>
      <c r="V81" s="103"/>
      <c r="W81" s="115"/>
      <c r="X81" s="243" t="str">
        <f t="shared" si="20"/>
        <v>Medway</v>
      </c>
      <c r="Y81" s="244" t="e">
        <f t="shared" si="21"/>
        <v>#N/A</v>
      </c>
      <c r="Z81" s="244" t="e">
        <f t="shared" si="22"/>
        <v>#N/A</v>
      </c>
      <c r="AA81" s="146"/>
      <c r="AB81" s="147"/>
      <c r="AC81" s="147"/>
      <c r="AD81" s="149"/>
      <c r="AE81" s="141"/>
      <c r="AF81" s="141"/>
      <c r="AG81" s="141"/>
      <c r="AH81" s="141"/>
      <c r="AJ81" s="121"/>
    </row>
    <row r="82" spans="1:43" s="61" customFormat="1" ht="12.75" customHeight="1">
      <c r="A82" s="88"/>
      <c r="B82" s="47"/>
      <c r="C82" s="47"/>
      <c r="D82" s="47"/>
      <c r="E82" s="47"/>
      <c r="F82" s="47"/>
      <c r="G82" s="47"/>
      <c r="H82" s="47"/>
      <c r="I82" s="68"/>
      <c r="J82" s="68"/>
      <c r="K82" s="127"/>
      <c r="L82" s="127"/>
      <c r="M82" s="127"/>
      <c r="N82" s="127"/>
      <c r="O82" s="127"/>
      <c r="P82" s="127"/>
      <c r="Q82" s="127"/>
      <c r="R82" s="128"/>
      <c r="S82" s="120"/>
      <c r="T82" s="127"/>
      <c r="U82" s="89"/>
      <c r="V82" s="103"/>
      <c r="W82" s="115"/>
      <c r="X82" s="243" t="str">
        <f t="shared" si="20"/>
        <v>Milton Keynes</v>
      </c>
      <c r="Y82" s="244" t="e">
        <f t="shared" si="21"/>
        <v>#N/A</v>
      </c>
      <c r="Z82" s="244" t="e">
        <f t="shared" si="22"/>
        <v>#N/A</v>
      </c>
      <c r="AA82" s="146"/>
      <c r="AB82" s="147"/>
      <c r="AC82" s="147"/>
      <c r="AD82" s="149"/>
      <c r="AE82" s="141"/>
      <c r="AF82" s="141"/>
      <c r="AG82" s="141"/>
      <c r="AH82" s="141"/>
      <c r="AJ82" s="121"/>
    </row>
    <row r="83" spans="1:43" s="61" customFormat="1" ht="12.75" customHeight="1">
      <c r="A83" s="88"/>
      <c r="B83" s="47"/>
      <c r="C83" s="47"/>
      <c r="D83" s="47"/>
      <c r="E83" s="47"/>
      <c r="F83" s="47"/>
      <c r="G83" s="47"/>
      <c r="H83" s="47"/>
      <c r="I83" s="68"/>
      <c r="J83" s="68"/>
      <c r="K83" s="127"/>
      <c r="L83" s="127"/>
      <c r="M83" s="127"/>
      <c r="N83" s="127"/>
      <c r="O83" s="127"/>
      <c r="P83" s="127"/>
      <c r="Q83" s="127"/>
      <c r="R83" s="128"/>
      <c r="S83" s="120"/>
      <c r="T83" s="127"/>
      <c r="U83" s="89"/>
      <c r="V83" s="103"/>
      <c r="W83" s="115"/>
      <c r="X83" s="243" t="str">
        <f t="shared" si="20"/>
        <v>Oxfordshire</v>
      </c>
      <c r="Y83" s="244" t="e">
        <f t="shared" si="21"/>
        <v>#N/A</v>
      </c>
      <c r="Z83" s="244" t="e">
        <f t="shared" si="22"/>
        <v>#N/A</v>
      </c>
      <c r="AA83" s="146"/>
      <c r="AB83" s="147"/>
      <c r="AC83" s="147"/>
      <c r="AD83" s="149"/>
      <c r="AE83" s="141"/>
      <c r="AF83" s="141"/>
      <c r="AG83" s="141"/>
      <c r="AH83" s="141"/>
      <c r="AJ83" s="121"/>
    </row>
    <row r="84" spans="1:43" s="61" customFormat="1" ht="12.75" customHeight="1">
      <c r="A84" s="88"/>
      <c r="B84" s="47"/>
      <c r="C84" s="47"/>
      <c r="D84" s="47"/>
      <c r="E84" s="47"/>
      <c r="F84" s="47"/>
      <c r="G84" s="47"/>
      <c r="H84" s="47"/>
      <c r="I84" s="68"/>
      <c r="J84" s="68"/>
      <c r="K84" s="127"/>
      <c r="L84" s="127"/>
      <c r="M84" s="127"/>
      <c r="N84" s="127"/>
      <c r="O84" s="127"/>
      <c r="P84" s="127"/>
      <c r="Q84" s="127"/>
      <c r="R84" s="128"/>
      <c r="S84" s="120"/>
      <c r="T84" s="127"/>
      <c r="U84" s="89"/>
      <c r="V84" s="103"/>
      <c r="W84" s="115"/>
      <c r="X84" s="243" t="str">
        <f t="shared" si="20"/>
        <v>Portsmouth</v>
      </c>
      <c r="Y84" s="244" t="e">
        <f t="shared" si="21"/>
        <v>#N/A</v>
      </c>
      <c r="Z84" s="244" t="e">
        <f t="shared" si="22"/>
        <v>#N/A</v>
      </c>
      <c r="AA84" s="146"/>
      <c r="AB84" s="147"/>
      <c r="AC84" s="147"/>
      <c r="AD84" s="149"/>
      <c r="AE84" s="141"/>
      <c r="AF84" s="141"/>
      <c r="AG84" s="141"/>
      <c r="AH84" s="141"/>
      <c r="AJ84" s="121"/>
    </row>
    <row r="85" spans="1:43" s="61" customFormat="1" ht="12.75" customHeight="1">
      <c r="A85" s="88"/>
      <c r="B85" s="47"/>
      <c r="C85" s="47"/>
      <c r="D85" s="47"/>
      <c r="E85" s="47"/>
      <c r="F85" s="47"/>
      <c r="G85" s="47"/>
      <c r="H85" s="47"/>
      <c r="I85" s="68"/>
      <c r="J85" s="68"/>
      <c r="K85" s="127"/>
      <c r="L85" s="127"/>
      <c r="M85" s="127"/>
      <c r="N85" s="127"/>
      <c r="O85" s="127"/>
      <c r="P85" s="127"/>
      <c r="Q85" s="127"/>
      <c r="R85" s="128"/>
      <c r="S85" s="120"/>
      <c r="T85" s="127"/>
      <c r="U85" s="89"/>
      <c r="V85" s="103"/>
      <c r="W85" s="115"/>
      <c r="X85" s="243" t="str">
        <f t="shared" si="20"/>
        <v>Reading</v>
      </c>
      <c r="Y85" s="244" t="e">
        <f t="shared" si="21"/>
        <v>#N/A</v>
      </c>
      <c r="Z85" s="244" t="e">
        <f t="shared" si="22"/>
        <v>#N/A</v>
      </c>
      <c r="AA85" s="146"/>
      <c r="AB85" s="147"/>
      <c r="AC85" s="147"/>
      <c r="AD85" s="149"/>
      <c r="AE85" s="141"/>
      <c r="AF85" s="141"/>
      <c r="AG85" s="141"/>
      <c r="AH85" s="141"/>
      <c r="AJ85" s="121"/>
    </row>
    <row r="86" spans="1:43" s="61" customFormat="1" ht="12.75" customHeight="1">
      <c r="A86" s="88"/>
      <c r="B86" s="47"/>
      <c r="C86" s="47"/>
      <c r="D86" s="47"/>
      <c r="E86" s="47"/>
      <c r="F86" s="47"/>
      <c r="G86" s="47"/>
      <c r="H86" s="47"/>
      <c r="I86" s="68"/>
      <c r="J86" s="68"/>
      <c r="K86" s="127"/>
      <c r="L86" s="127"/>
      <c r="M86" s="127"/>
      <c r="N86" s="127"/>
      <c r="O86" s="127"/>
      <c r="P86" s="127"/>
      <c r="Q86" s="127"/>
      <c r="R86" s="128"/>
      <c r="S86" s="120"/>
      <c r="T86" s="127"/>
      <c r="U86" s="89"/>
      <c r="V86" s="103"/>
      <c r="W86" s="115"/>
      <c r="X86" s="243" t="str">
        <f t="shared" si="20"/>
        <v>Slough</v>
      </c>
      <c r="Y86" s="244" t="e">
        <f t="shared" si="21"/>
        <v>#N/A</v>
      </c>
      <c r="Z86" s="244" t="e">
        <f t="shared" si="22"/>
        <v>#N/A</v>
      </c>
      <c r="AA86" s="146"/>
      <c r="AB86" s="147"/>
      <c r="AC86" s="147"/>
      <c r="AD86" s="149"/>
      <c r="AE86" s="141"/>
      <c r="AF86" s="141"/>
      <c r="AG86" s="141"/>
      <c r="AH86" s="141"/>
      <c r="AJ86" s="121"/>
    </row>
    <row r="87" spans="1:43" s="61" customFormat="1" ht="12.75" customHeight="1">
      <c r="A87" s="88"/>
      <c r="B87" s="47"/>
      <c r="C87" s="47"/>
      <c r="D87" s="47"/>
      <c r="E87" s="47"/>
      <c r="F87" s="47"/>
      <c r="G87" s="47"/>
      <c r="H87" s="47"/>
      <c r="I87" s="68"/>
      <c r="J87" s="68"/>
      <c r="K87" s="127"/>
      <c r="L87" s="127"/>
      <c r="M87" s="127"/>
      <c r="N87" s="127"/>
      <c r="O87" s="127"/>
      <c r="P87" s="127"/>
      <c r="Q87" s="127"/>
      <c r="R87" s="128"/>
      <c r="S87" s="120"/>
      <c r="T87" s="127"/>
      <c r="U87" s="89"/>
      <c r="V87" s="103"/>
      <c r="W87" s="115"/>
      <c r="X87" s="243" t="str">
        <f t="shared" si="20"/>
        <v>Southampton</v>
      </c>
      <c r="Y87" s="244" t="e">
        <f t="shared" si="21"/>
        <v>#N/A</v>
      </c>
      <c r="Z87" s="244" t="e">
        <f t="shared" si="22"/>
        <v>#N/A</v>
      </c>
      <c r="AA87" s="146"/>
      <c r="AB87" s="147"/>
      <c r="AC87" s="147"/>
      <c r="AD87" s="149"/>
      <c r="AE87" s="141"/>
      <c r="AF87" s="141"/>
      <c r="AG87" s="141"/>
      <c r="AH87" s="141"/>
      <c r="AJ87" s="121"/>
    </row>
    <row r="88" spans="1:43" s="61" customFormat="1" ht="12.75" customHeight="1">
      <c r="A88" s="88"/>
      <c r="B88" s="47"/>
      <c r="C88" s="47"/>
      <c r="D88" s="47"/>
      <c r="E88" s="47"/>
      <c r="F88" s="47"/>
      <c r="G88" s="47"/>
      <c r="H88" s="47"/>
      <c r="I88" s="68"/>
      <c r="J88" s="68"/>
      <c r="K88" s="127"/>
      <c r="L88" s="127"/>
      <c r="M88" s="127"/>
      <c r="N88" s="127"/>
      <c r="O88" s="127"/>
      <c r="P88" s="127"/>
      <c r="Q88" s="127"/>
      <c r="R88" s="128"/>
      <c r="S88" s="120"/>
      <c r="T88" s="127"/>
      <c r="U88" s="89"/>
      <c r="V88" s="103"/>
      <c r="W88" s="115"/>
      <c r="X88" s="243" t="str">
        <f t="shared" si="20"/>
        <v>Surrey</v>
      </c>
      <c r="Y88" s="244" t="e">
        <f t="shared" si="21"/>
        <v>#N/A</v>
      </c>
      <c r="Z88" s="244" t="e">
        <f t="shared" si="22"/>
        <v>#N/A</v>
      </c>
      <c r="AA88" s="146"/>
      <c r="AB88" s="147"/>
      <c r="AC88" s="147"/>
      <c r="AD88" s="149"/>
      <c r="AE88" s="141"/>
      <c r="AF88" s="141"/>
      <c r="AG88" s="141"/>
      <c r="AH88" s="141"/>
      <c r="AJ88" s="121"/>
    </row>
    <row r="89" spans="1:43" s="61" customFormat="1" ht="12.75" customHeight="1">
      <c r="A89" s="217"/>
      <c r="B89" s="47"/>
      <c r="C89" s="47"/>
      <c r="D89" s="47"/>
      <c r="E89" s="47"/>
      <c r="F89" s="47"/>
      <c r="G89" s="47"/>
      <c r="H89" s="47"/>
      <c r="I89" s="68"/>
      <c r="J89" s="68"/>
      <c r="K89" s="127"/>
      <c r="L89" s="127"/>
      <c r="M89" s="127"/>
      <c r="N89" s="127"/>
      <c r="O89" s="127"/>
      <c r="P89" s="127"/>
      <c r="Q89" s="127"/>
      <c r="R89" s="128"/>
      <c r="S89" s="120"/>
      <c r="T89" s="127"/>
      <c r="U89" s="89"/>
      <c r="V89" s="103"/>
      <c r="W89" s="115"/>
      <c r="X89" s="243" t="str">
        <f t="shared" si="20"/>
        <v>West Berkshire</v>
      </c>
      <c r="Y89" s="244" t="e">
        <f t="shared" si="21"/>
        <v>#N/A</v>
      </c>
      <c r="Z89" s="244" t="e">
        <f t="shared" si="22"/>
        <v>#N/A</v>
      </c>
      <c r="AA89" s="146"/>
      <c r="AB89" s="147"/>
      <c r="AC89" s="147"/>
      <c r="AD89" s="149"/>
      <c r="AE89" s="141"/>
      <c r="AF89" s="141"/>
      <c r="AG89" s="141"/>
      <c r="AH89" s="141"/>
      <c r="AJ89" s="121"/>
    </row>
    <row r="90" spans="1:43" s="61" customFormat="1" ht="12.75" customHeight="1">
      <c r="A90" s="217"/>
      <c r="B90" s="47"/>
      <c r="C90" s="47"/>
      <c r="D90" s="47"/>
      <c r="E90" s="47"/>
      <c r="F90" s="47"/>
      <c r="G90" s="47"/>
      <c r="H90" s="47"/>
      <c r="I90" s="68"/>
      <c r="J90" s="68"/>
      <c r="K90" s="127"/>
      <c r="L90" s="127"/>
      <c r="M90" s="127"/>
      <c r="N90" s="127"/>
      <c r="O90" s="127"/>
      <c r="P90" s="127"/>
      <c r="Q90" s="127"/>
      <c r="R90" s="128"/>
      <c r="S90" s="120"/>
      <c r="T90" s="127"/>
      <c r="U90" s="89"/>
      <c r="V90" s="103"/>
      <c r="W90" s="115"/>
      <c r="X90" s="243" t="str">
        <f t="shared" si="20"/>
        <v>West Sussex</v>
      </c>
      <c r="Y90" s="244" t="e">
        <f t="shared" si="21"/>
        <v>#N/A</v>
      </c>
      <c r="Z90" s="244" t="e">
        <f t="shared" si="22"/>
        <v>#N/A</v>
      </c>
      <c r="AA90" s="146"/>
      <c r="AB90" s="147"/>
      <c r="AC90" s="147"/>
      <c r="AD90" s="149"/>
      <c r="AE90" s="141"/>
      <c r="AF90" s="141"/>
      <c r="AG90" s="141"/>
      <c r="AH90" s="141"/>
      <c r="AJ90" s="121"/>
    </row>
    <row r="91" spans="1:43" s="61" customFormat="1" ht="12.75" customHeight="1">
      <c r="A91" s="88"/>
      <c r="B91" s="47"/>
      <c r="C91" s="47"/>
      <c r="D91" s="47"/>
      <c r="E91" s="47"/>
      <c r="F91" s="47"/>
      <c r="G91" s="47"/>
      <c r="H91" s="47"/>
      <c r="I91" s="68"/>
      <c r="J91" s="68"/>
      <c r="K91" s="127"/>
      <c r="L91" s="127"/>
      <c r="M91" s="127"/>
      <c r="N91" s="127"/>
      <c r="O91" s="127"/>
      <c r="P91" s="127"/>
      <c r="Q91" s="127"/>
      <c r="R91" s="128"/>
      <c r="S91" s="120"/>
      <c r="T91" s="127"/>
      <c r="U91" s="89"/>
      <c r="V91" s="103"/>
      <c r="W91" s="115"/>
      <c r="X91" s="243" t="str">
        <f t="shared" si="20"/>
        <v>Windsor &amp; Maidenhead</v>
      </c>
      <c r="Y91" s="244" t="e">
        <f t="shared" si="21"/>
        <v>#N/A</v>
      </c>
      <c r="Z91" s="244" t="e">
        <f t="shared" si="22"/>
        <v>#N/A</v>
      </c>
      <c r="AA91" s="146"/>
      <c r="AB91" s="147"/>
      <c r="AC91" s="147"/>
      <c r="AD91" s="149"/>
      <c r="AF91" s="141"/>
      <c r="AG91" s="141"/>
      <c r="AH91" s="141"/>
      <c r="AJ91" s="121"/>
    </row>
    <row r="92" spans="1:43" s="61" customFormat="1" ht="12.75" customHeight="1">
      <c r="A92" s="88"/>
      <c r="B92" s="47"/>
      <c r="C92" s="47"/>
      <c r="D92" s="47"/>
      <c r="E92" s="47"/>
      <c r="F92" s="47"/>
      <c r="G92" s="47"/>
      <c r="H92" s="47"/>
      <c r="I92" s="68"/>
      <c r="J92" s="68"/>
      <c r="K92" s="127"/>
      <c r="L92" s="127"/>
      <c r="M92" s="127"/>
      <c r="N92" s="127"/>
      <c r="O92" s="127"/>
      <c r="P92" s="127"/>
      <c r="Q92" s="127"/>
      <c r="R92" s="128"/>
      <c r="S92" s="120"/>
      <c r="T92" s="127"/>
      <c r="U92" s="89"/>
      <c r="V92" s="103"/>
      <c r="W92" s="115"/>
      <c r="X92" s="243" t="str">
        <f t="shared" si="20"/>
        <v>Wokingham</v>
      </c>
      <c r="Y92" s="244" t="e">
        <f t="shared" si="21"/>
        <v>#N/A</v>
      </c>
      <c r="Z92" s="244" t="e">
        <f t="shared" si="22"/>
        <v>#N/A</v>
      </c>
      <c r="AA92" s="146"/>
      <c r="AB92" s="147"/>
      <c r="AC92" s="147"/>
      <c r="AD92" s="149"/>
      <c r="AF92" s="141"/>
      <c r="AG92" s="141"/>
      <c r="AH92" s="141"/>
      <c r="AJ92" s="121"/>
    </row>
    <row r="93" spans="1:43" s="61" customFormat="1" ht="12.75" customHeight="1">
      <c r="A93" s="88"/>
      <c r="B93" s="47"/>
      <c r="C93" s="47"/>
      <c r="D93" s="47"/>
      <c r="E93" s="47"/>
      <c r="F93" s="47"/>
      <c r="G93" s="47"/>
      <c r="H93" s="47"/>
      <c r="I93" s="68"/>
      <c r="J93" s="68"/>
      <c r="K93" s="127"/>
      <c r="L93" s="127"/>
      <c r="M93" s="127"/>
      <c r="N93" s="127"/>
      <c r="O93" s="127"/>
      <c r="P93" s="127"/>
      <c r="Q93" s="127"/>
      <c r="R93" s="128"/>
      <c r="S93" s="120"/>
      <c r="T93" s="127"/>
      <c r="U93" s="89"/>
      <c r="V93" s="103"/>
      <c r="W93" s="115"/>
      <c r="X93" s="243" t="str">
        <f t="shared" si="20"/>
        <v>South East</v>
      </c>
      <c r="Y93" s="244" t="e">
        <f t="shared" si="21"/>
        <v>#N/A</v>
      </c>
      <c r="Z93" s="244" t="e">
        <f t="shared" si="22"/>
        <v>#N/A</v>
      </c>
      <c r="AA93" s="146"/>
      <c r="AB93" s="147"/>
      <c r="AC93" s="147"/>
      <c r="AD93" s="149"/>
      <c r="AH93" s="141"/>
      <c r="AJ93" s="121"/>
    </row>
    <row r="94" spans="1:43" s="61" customFormat="1" ht="12.75" customHeight="1">
      <c r="A94" s="88"/>
      <c r="B94" s="47"/>
      <c r="C94" s="47"/>
      <c r="D94" s="47"/>
      <c r="E94" s="47"/>
      <c r="F94" s="47"/>
      <c r="G94" s="47"/>
      <c r="H94" s="47"/>
      <c r="I94" s="68"/>
      <c r="J94" s="68"/>
      <c r="K94" s="127"/>
      <c r="L94" s="127"/>
      <c r="M94" s="127"/>
      <c r="N94" s="127"/>
      <c r="O94" s="127"/>
      <c r="P94" s="127"/>
      <c r="Q94" s="127"/>
      <c r="R94" s="128"/>
      <c r="S94" s="120"/>
      <c r="T94" s="127"/>
      <c r="U94" s="89"/>
      <c r="V94" s="103"/>
      <c r="W94" s="115"/>
      <c r="X94" s="243" t="str">
        <f t="shared" si="20"/>
        <v>England</v>
      </c>
      <c r="Y94" s="244" t="e">
        <f t="shared" si="21"/>
        <v>#N/A</v>
      </c>
      <c r="Z94" s="244" t="e">
        <f t="shared" si="22"/>
        <v>#N/A</v>
      </c>
      <c r="AA94" s="146"/>
      <c r="AB94" s="147"/>
      <c r="AC94" s="147"/>
      <c r="AD94" s="149"/>
      <c r="AH94" s="141"/>
      <c r="AJ94" s="121"/>
    </row>
    <row r="95" spans="1:43" s="61" customFormat="1" ht="12.75" customHeight="1">
      <c r="A95" s="88"/>
      <c r="B95" s="47"/>
      <c r="C95" s="47"/>
      <c r="D95" s="47"/>
      <c r="E95" s="47"/>
      <c r="F95" s="47"/>
      <c r="G95" s="47"/>
      <c r="H95" s="47"/>
      <c r="I95" s="68"/>
      <c r="J95" s="68"/>
      <c r="K95" s="129"/>
      <c r="L95" s="129"/>
      <c r="M95" s="129"/>
      <c r="N95" s="129"/>
      <c r="O95" s="129"/>
      <c r="P95" s="129"/>
      <c r="Q95" s="129"/>
      <c r="R95" s="130"/>
      <c r="S95" s="120"/>
      <c r="T95" s="131"/>
      <c r="U95" s="89"/>
      <c r="V95" s="103"/>
      <c r="W95" s="115"/>
      <c r="AA95" s="146"/>
      <c r="AB95" s="147"/>
      <c r="AC95" s="147"/>
      <c r="AD95" s="149"/>
      <c r="AH95" s="141"/>
      <c r="AJ95" s="121"/>
    </row>
    <row r="96" spans="1:43" s="61" customFormat="1" ht="12.75" customHeight="1">
      <c r="A96" s="88"/>
      <c r="B96" s="47"/>
      <c r="C96" s="47"/>
      <c r="D96" s="47"/>
      <c r="E96" s="47"/>
      <c r="F96" s="47"/>
      <c r="G96" s="47"/>
      <c r="H96" s="47"/>
      <c r="I96" s="68"/>
      <c r="J96" s="68"/>
      <c r="K96" s="129"/>
      <c r="L96" s="129"/>
      <c r="M96" s="129"/>
      <c r="N96" s="129"/>
      <c r="O96" s="129"/>
      <c r="P96" s="129"/>
      <c r="Q96" s="129"/>
      <c r="R96" s="130"/>
      <c r="S96" s="120"/>
      <c r="T96" s="131"/>
      <c r="U96" s="89"/>
      <c r="V96" s="103"/>
      <c r="W96" s="115"/>
      <c r="X96" s="56"/>
      <c r="Y96" s="56"/>
      <c r="Z96" s="56"/>
      <c r="AA96" s="146"/>
      <c r="AB96" s="147"/>
      <c r="AC96" s="147"/>
      <c r="AD96" s="149"/>
      <c r="AH96" s="141"/>
      <c r="AI96" s="52"/>
      <c r="AJ96" s="122"/>
      <c r="AK96" s="56"/>
      <c r="AL96" s="56"/>
      <c r="AM96" s="56"/>
      <c r="AN96" s="56"/>
      <c r="AO96" s="56"/>
      <c r="AP96" s="56"/>
      <c r="AQ96" s="56"/>
    </row>
    <row r="97" spans="1:45" s="61" customFormat="1" ht="11.25" customHeight="1">
      <c r="A97" s="217"/>
      <c r="B97" s="47"/>
      <c r="C97" s="47"/>
      <c r="D97" s="47"/>
      <c r="E97" s="47"/>
      <c r="F97" s="47"/>
      <c r="G97" s="47"/>
      <c r="H97" s="47"/>
      <c r="I97" s="68"/>
      <c r="J97" s="68"/>
      <c r="K97" s="129"/>
      <c r="L97" s="129"/>
      <c r="M97" s="129"/>
      <c r="N97" s="129"/>
      <c r="O97" s="129"/>
      <c r="P97" s="129"/>
      <c r="Q97" s="129"/>
      <c r="R97" s="130"/>
      <c r="S97" s="120"/>
      <c r="T97" s="131"/>
      <c r="U97" s="89"/>
      <c r="V97" s="103"/>
      <c r="W97" s="115"/>
      <c r="X97" s="56"/>
      <c r="Y97" s="141"/>
      <c r="Z97" s="56"/>
      <c r="AA97" s="146"/>
      <c r="AB97" s="147"/>
      <c r="AC97" s="147"/>
      <c r="AD97" s="149"/>
      <c r="AH97" s="141"/>
      <c r="AI97" s="52"/>
      <c r="AJ97" s="122"/>
      <c r="AK97" s="56"/>
      <c r="AL97" s="56"/>
      <c r="AM97" s="56"/>
      <c r="AN97" s="56"/>
      <c r="AO97" s="56"/>
      <c r="AP97" s="56"/>
      <c r="AQ97" s="56"/>
    </row>
    <row r="98" spans="1:45" s="56" customFormat="1" ht="36.6" customHeight="1">
      <c r="A98" s="166"/>
      <c r="B98" s="47"/>
      <c r="C98" s="47"/>
      <c r="D98" s="47"/>
      <c r="E98" s="47"/>
      <c r="F98" s="47"/>
      <c r="G98" s="47"/>
      <c r="H98" s="47"/>
      <c r="I98" s="171"/>
      <c r="J98" s="133"/>
      <c r="K98" s="133"/>
      <c r="L98" s="133"/>
      <c r="M98" s="133"/>
      <c r="N98" s="133"/>
      <c r="O98" s="133"/>
      <c r="P98" s="133"/>
      <c r="Q98" s="133"/>
      <c r="R98" s="101"/>
      <c r="S98" s="133"/>
      <c r="T98" s="133"/>
      <c r="U98" s="86"/>
      <c r="V98" s="102"/>
      <c r="W98" s="114"/>
      <c r="Y98" s="141"/>
      <c r="AC98" s="147"/>
      <c r="AD98" s="149"/>
      <c r="AE98" s="52"/>
      <c r="AF98" s="52"/>
      <c r="AG98" s="52"/>
      <c r="AI98" s="52"/>
      <c r="AJ98" s="122"/>
    </row>
    <row r="99" spans="1:45" s="56" customFormat="1" ht="37.5" customHeight="1">
      <c r="A99" s="166"/>
      <c r="B99" s="47"/>
      <c r="C99" s="47"/>
      <c r="D99" s="47"/>
      <c r="E99" s="47"/>
      <c r="F99" s="47"/>
      <c r="G99" s="47"/>
      <c r="H99" s="47"/>
      <c r="I99" s="171"/>
      <c r="J99" s="133"/>
      <c r="K99" s="133"/>
      <c r="L99" s="133"/>
      <c r="M99" s="133"/>
      <c r="N99" s="133"/>
      <c r="O99" s="133"/>
      <c r="P99" s="133"/>
      <c r="Q99" s="133"/>
      <c r="R99" s="101"/>
      <c r="S99" s="133"/>
      <c r="T99" s="133"/>
      <c r="U99" s="86"/>
      <c r="V99" s="102"/>
      <c r="W99" s="114"/>
      <c r="Y99" s="141"/>
      <c r="AD99" s="149"/>
      <c r="AE99" s="52"/>
      <c r="AF99" s="52"/>
      <c r="AG99" s="52"/>
      <c r="AI99" s="52"/>
      <c r="AJ99" s="119"/>
      <c r="AK99" s="52"/>
      <c r="AL99" s="52"/>
      <c r="AM99" s="52"/>
      <c r="AN99" s="52"/>
      <c r="AO99" s="52"/>
      <c r="AP99" s="52"/>
      <c r="AQ99" s="52"/>
    </row>
    <row r="100" spans="1:45" s="56" customFormat="1" ht="42.75" customHeight="1">
      <c r="A100" s="166"/>
      <c r="B100" s="171"/>
      <c r="C100" s="171"/>
      <c r="D100" s="171"/>
      <c r="E100" s="171"/>
      <c r="F100" s="171"/>
      <c r="G100" s="171"/>
      <c r="H100" s="171"/>
      <c r="I100" s="171"/>
      <c r="J100" s="133"/>
      <c r="K100" s="133"/>
      <c r="L100" s="133"/>
      <c r="M100" s="133"/>
      <c r="N100" s="133"/>
      <c r="O100" s="133"/>
      <c r="P100" s="133"/>
      <c r="Q100" s="133"/>
      <c r="R100" s="101"/>
      <c r="S100" s="133"/>
      <c r="T100" s="133"/>
      <c r="U100" s="86"/>
      <c r="V100" s="121"/>
      <c r="W100" s="114"/>
      <c r="X100" s="52"/>
      <c r="Y100" s="52"/>
      <c r="AD100" s="149"/>
      <c r="AE100" s="52"/>
      <c r="AF100" s="52"/>
      <c r="AG100" s="52"/>
      <c r="AJ100" s="122"/>
    </row>
    <row r="101" spans="1:45" s="56" customFormat="1" ht="7.5" customHeight="1">
      <c r="A101" s="87"/>
      <c r="B101" s="12"/>
      <c r="C101" s="12"/>
      <c r="D101" s="11"/>
      <c r="E101" s="11"/>
      <c r="F101" s="11"/>
      <c r="G101" s="11"/>
      <c r="H101" s="11"/>
      <c r="I101" s="11"/>
      <c r="J101" s="1"/>
      <c r="K101" s="13"/>
      <c r="L101" s="13"/>
      <c r="M101" s="13"/>
      <c r="N101" s="13"/>
      <c r="O101" s="13"/>
      <c r="P101" s="13"/>
      <c r="Q101" s="13"/>
      <c r="R101" s="13"/>
      <c r="S101" s="13"/>
      <c r="T101" s="14"/>
      <c r="U101" s="86"/>
      <c r="V101" s="185"/>
      <c r="W101" s="114"/>
      <c r="X101" s="52"/>
      <c r="Y101" s="52"/>
      <c r="AI101" s="52"/>
      <c r="AJ101" s="121"/>
      <c r="AK101" s="61"/>
    </row>
    <row r="102" spans="1:45" s="56" customFormat="1" ht="15" customHeight="1">
      <c r="A102" s="1565"/>
      <c r="B102" s="1751"/>
      <c r="C102" s="1751"/>
      <c r="D102" s="1751"/>
      <c r="E102" s="1751"/>
      <c r="F102" s="1751"/>
      <c r="G102" s="1751"/>
      <c r="H102" s="1751"/>
      <c r="I102" s="1751"/>
      <c r="J102" s="1751"/>
      <c r="K102" s="1751"/>
      <c r="L102" s="1751"/>
      <c r="M102" s="1751"/>
      <c r="N102" s="1751"/>
      <c r="O102" s="1751"/>
      <c r="P102" s="1751"/>
      <c r="Q102" s="1751"/>
      <c r="R102" s="1751"/>
      <c r="S102" s="1751"/>
      <c r="T102" s="1751"/>
      <c r="U102" s="1752"/>
      <c r="V102" s="185"/>
      <c r="W102" s="114"/>
      <c r="AI102" s="52"/>
      <c r="AJ102" s="119"/>
      <c r="AK102" s="52"/>
      <c r="AS102" s="52"/>
    </row>
    <row r="103" spans="1:45" s="56" customFormat="1" ht="11.25" customHeight="1">
      <c r="A103" s="1739"/>
      <c r="B103" s="1740"/>
      <c r="C103" s="1740"/>
      <c r="D103" s="1740"/>
      <c r="E103" s="1740"/>
      <c r="F103" s="1740"/>
      <c r="G103" s="1740"/>
      <c r="H103" s="1740"/>
      <c r="I103" s="1741"/>
      <c r="J103" s="1740"/>
      <c r="K103" s="1740"/>
      <c r="L103" s="1740"/>
      <c r="M103" s="1740"/>
      <c r="N103" s="1740"/>
      <c r="O103" s="1740"/>
      <c r="P103" s="1742"/>
      <c r="Q103" s="1740"/>
      <c r="R103" s="1740"/>
      <c r="S103" s="1741"/>
      <c r="T103" s="1740"/>
      <c r="U103" s="1743"/>
      <c r="V103" s="185"/>
      <c r="W103" s="114"/>
      <c r="AI103" s="52"/>
      <c r="AJ103" s="119"/>
      <c r="AK103" s="52"/>
      <c r="AS103" s="52"/>
    </row>
    <row r="104" spans="1:45" ht="11.25" customHeight="1">
      <c r="A104" s="106"/>
      <c r="B104" s="705"/>
      <c r="C104" s="5"/>
      <c r="D104" s="5"/>
      <c r="E104" s="9"/>
      <c r="F104" s="5"/>
      <c r="G104" s="40"/>
      <c r="H104" s="554"/>
      <c r="I104" s="40"/>
      <c r="J104" s="40"/>
      <c r="K104" s="40"/>
      <c r="L104" s="40"/>
      <c r="M104" s="40"/>
      <c r="N104" s="40"/>
      <c r="O104" s="40"/>
      <c r="P104" s="40"/>
      <c r="Q104" s="40"/>
      <c r="R104" s="40"/>
      <c r="S104" s="40"/>
      <c r="T104" s="40"/>
      <c r="U104" s="40"/>
      <c r="V104" s="119"/>
      <c r="W104" s="114"/>
      <c r="AE104" s="57"/>
      <c r="AH104" s="52"/>
      <c r="AJ104" s="119"/>
      <c r="AL104" s="56"/>
      <c r="AM104" s="56"/>
      <c r="AN104" s="56"/>
      <c r="AO104" s="56"/>
      <c r="AP104" s="56"/>
      <c r="AQ104" s="56"/>
    </row>
    <row r="105" spans="1:45" ht="11.25" customHeight="1">
      <c r="A105" s="106"/>
      <c r="B105" s="705"/>
      <c r="C105" s="5"/>
      <c r="D105" s="5"/>
      <c r="E105" s="9"/>
      <c r="F105" s="5"/>
      <c r="G105" s="40"/>
      <c r="H105" s="554"/>
      <c r="I105" s="40"/>
      <c r="J105" s="40"/>
      <c r="K105" s="40"/>
      <c r="L105" s="40"/>
      <c r="M105" s="40"/>
      <c r="N105" s="40"/>
      <c r="O105" s="40"/>
      <c r="P105" s="40"/>
      <c r="Q105" s="40"/>
      <c r="R105" s="40"/>
      <c r="S105" s="40"/>
      <c r="T105" s="40"/>
      <c r="U105" s="40"/>
      <c r="V105" s="119"/>
      <c r="W105" s="114"/>
      <c r="AE105" s="57"/>
      <c r="AH105" s="52"/>
      <c r="AJ105" s="119"/>
    </row>
    <row r="106" spans="1:45" ht="11.25" customHeight="1">
      <c r="A106" s="106"/>
      <c r="B106" s="1317"/>
      <c r="C106" s="5"/>
      <c r="D106" s="5"/>
      <c r="E106" s="9"/>
      <c r="F106" s="5"/>
      <c r="G106" s="40"/>
      <c r="H106" s="554"/>
      <c r="I106" s="40"/>
      <c r="J106" s="40"/>
      <c r="K106" s="40"/>
      <c r="L106" s="40"/>
      <c r="M106" s="40"/>
      <c r="N106" s="40"/>
      <c r="O106" s="40"/>
      <c r="P106" s="40"/>
      <c r="Q106" s="40"/>
      <c r="R106" s="40"/>
      <c r="S106" s="40"/>
      <c r="T106" s="40"/>
      <c r="U106" s="40"/>
      <c r="V106" s="119"/>
      <c r="W106" s="114"/>
      <c r="AE106" s="57"/>
      <c r="AH106" s="52"/>
      <c r="AJ106" s="119"/>
    </row>
    <row r="107" spans="1:45" ht="11.25" customHeight="1">
      <c r="A107" s="106"/>
      <c r="B107" s="1318"/>
      <c r="C107" s="5"/>
      <c r="D107" s="5"/>
      <c r="E107" s="9"/>
      <c r="F107" s="2"/>
      <c r="G107" s="554"/>
      <c r="H107" s="554"/>
      <c r="I107" s="40"/>
      <c r="J107" s="40"/>
      <c r="K107" s="40"/>
      <c r="L107" s="40"/>
      <c r="M107" s="40"/>
      <c r="N107" s="40"/>
      <c r="O107" s="40"/>
      <c r="P107" s="40"/>
      <c r="Q107" s="40"/>
      <c r="R107" s="40"/>
      <c r="S107" s="40"/>
      <c r="T107" s="40"/>
      <c r="U107" s="40"/>
      <c r="V107" s="119"/>
      <c r="W107" s="114"/>
      <c r="AE107" s="57"/>
      <c r="AH107" s="52"/>
      <c r="AJ107" s="119"/>
    </row>
    <row r="108" spans="1:45" ht="11.25" customHeight="1">
      <c r="A108" s="106"/>
      <c r="B108" s="420"/>
      <c r="C108" s="420"/>
      <c r="D108" s="420"/>
      <c r="E108" s="420"/>
      <c r="F108" s="420"/>
      <c r="G108" s="420"/>
      <c r="H108" s="554"/>
      <c r="I108" s="40"/>
      <c r="J108" s="40"/>
      <c r="K108" s="40"/>
      <c r="L108" s="40"/>
      <c r="M108" s="40"/>
      <c r="N108" s="40"/>
      <c r="O108" s="40"/>
      <c r="P108" s="40"/>
      <c r="Q108" s="40"/>
      <c r="R108" s="40"/>
      <c r="S108" s="40"/>
      <c r="T108" s="40"/>
      <c r="U108" s="40"/>
      <c r="V108" s="119"/>
      <c r="W108" s="114"/>
      <c r="AE108" s="57"/>
      <c r="AH108" s="52"/>
      <c r="AJ108" s="119"/>
    </row>
    <row r="109" spans="1:45" ht="11.25" customHeight="1">
      <c r="A109" s="106"/>
      <c r="B109" s="420"/>
      <c r="C109" s="420"/>
      <c r="D109" s="420"/>
      <c r="E109" s="420"/>
      <c r="F109" s="420"/>
      <c r="G109" s="420"/>
      <c r="H109" s="554"/>
      <c r="I109" s="40"/>
      <c r="J109" s="40"/>
      <c r="K109" s="40"/>
      <c r="L109" s="40"/>
      <c r="M109" s="40"/>
      <c r="N109" s="40"/>
      <c r="O109" s="40"/>
      <c r="P109" s="40"/>
      <c r="Q109" s="40"/>
      <c r="R109" s="40"/>
      <c r="S109" s="40"/>
      <c r="T109" s="40"/>
      <c r="U109" s="40"/>
      <c r="V109" s="119"/>
      <c r="W109" s="114"/>
      <c r="AE109" s="57"/>
      <c r="AH109" s="52"/>
      <c r="AJ109" s="119"/>
    </row>
    <row r="110" spans="1:45" ht="11.25" customHeight="1">
      <c r="A110" s="106"/>
      <c r="B110" s="420"/>
      <c r="C110" s="420"/>
      <c r="D110" s="420"/>
      <c r="E110" s="420"/>
      <c r="F110" s="420"/>
      <c r="G110" s="420"/>
      <c r="H110" s="554"/>
      <c r="I110" s="40"/>
      <c r="J110" s="40"/>
      <c r="K110" s="40"/>
      <c r="L110" s="40"/>
      <c r="M110" s="40"/>
      <c r="N110" s="40"/>
      <c r="O110" s="40"/>
      <c r="P110" s="40"/>
      <c r="Q110" s="40"/>
      <c r="R110" s="40"/>
      <c r="S110" s="40"/>
      <c r="T110" s="40"/>
      <c r="U110" s="40"/>
      <c r="V110" s="119"/>
      <c r="W110" s="116"/>
      <c r="AE110" s="57"/>
      <c r="AH110" s="52"/>
      <c r="AJ110" s="119"/>
    </row>
    <row r="111" spans="1:45" ht="11.25" customHeight="1">
      <c r="A111" s="106"/>
      <c r="B111" s="420"/>
      <c r="C111" s="420"/>
      <c r="D111" s="420"/>
      <c r="E111" s="420"/>
      <c r="F111" s="420"/>
      <c r="G111" s="420"/>
      <c r="H111" s="554"/>
      <c r="I111" s="40"/>
      <c r="J111" s="40"/>
      <c r="K111" s="40"/>
      <c r="L111" s="40"/>
      <c r="M111" s="40"/>
      <c r="N111" s="40"/>
      <c r="O111" s="40"/>
      <c r="P111" s="40"/>
      <c r="Q111" s="40"/>
      <c r="R111" s="40"/>
      <c r="S111" s="40"/>
      <c r="T111" s="40"/>
      <c r="U111" s="40"/>
      <c r="V111" s="119"/>
      <c r="W111" s="114"/>
      <c r="AE111" s="57"/>
      <c r="AH111" s="52"/>
      <c r="AJ111" s="119"/>
    </row>
    <row r="112" spans="1:45" ht="11.25" customHeight="1">
      <c r="A112" s="106"/>
      <c r="B112" s="420"/>
      <c r="C112" s="420"/>
      <c r="D112" s="420"/>
      <c r="E112" s="420"/>
      <c r="F112" s="420"/>
      <c r="G112" s="420"/>
      <c r="H112" s="554"/>
      <c r="I112" s="40"/>
      <c r="J112" s="40"/>
      <c r="K112" s="40"/>
      <c r="L112" s="40"/>
      <c r="M112" s="40"/>
      <c r="N112" s="40"/>
      <c r="O112" s="40"/>
      <c r="P112" s="40"/>
      <c r="Q112" s="40"/>
      <c r="R112" s="40"/>
      <c r="S112" s="40"/>
      <c r="T112" s="40"/>
      <c r="U112" s="40"/>
      <c r="V112" s="119"/>
      <c r="W112" s="114"/>
      <c r="Z112" s="52"/>
      <c r="AE112" s="57"/>
      <c r="AH112" s="52"/>
      <c r="AJ112" s="119"/>
    </row>
    <row r="113" spans="1:36" ht="11.25" customHeight="1">
      <c r="A113" s="106"/>
      <c r="B113" s="420"/>
      <c r="C113" s="420"/>
      <c r="D113" s="420"/>
      <c r="E113" s="420"/>
      <c r="F113" s="420"/>
      <c r="G113" s="420"/>
      <c r="H113" s="554"/>
      <c r="I113" s="40"/>
      <c r="J113" s="40"/>
      <c r="K113" s="40"/>
      <c r="L113" s="40"/>
      <c r="M113" s="40"/>
      <c r="N113" s="40"/>
      <c r="O113" s="40"/>
      <c r="P113" s="40"/>
      <c r="Q113" s="40"/>
      <c r="R113" s="40"/>
      <c r="S113" s="40"/>
      <c r="T113" s="40"/>
      <c r="U113" s="40"/>
      <c r="V113" s="119"/>
      <c r="W113" s="114"/>
      <c r="Z113" s="52"/>
      <c r="AE113" s="57"/>
      <c r="AH113" s="52"/>
      <c r="AJ113" s="119"/>
    </row>
    <row r="114" spans="1:36" ht="11.25" customHeight="1">
      <c r="A114" s="106"/>
      <c r="B114" s="420"/>
      <c r="C114" s="420"/>
      <c r="D114" s="420"/>
      <c r="E114" s="420"/>
      <c r="F114" s="420"/>
      <c r="G114" s="420"/>
      <c r="H114" s="554"/>
      <c r="I114" s="40"/>
      <c r="J114" s="40"/>
      <c r="K114" s="40"/>
      <c r="L114" s="40"/>
      <c r="M114" s="40"/>
      <c r="N114" s="40"/>
      <c r="O114" s="40"/>
      <c r="P114" s="40"/>
      <c r="Q114" s="40"/>
      <c r="R114" s="40"/>
      <c r="S114" s="40"/>
      <c r="T114" s="40"/>
      <c r="U114" s="40"/>
      <c r="V114" s="119"/>
      <c r="W114" s="114"/>
      <c r="Z114" s="52"/>
      <c r="AA114" s="52"/>
      <c r="AE114" s="57"/>
      <c r="AH114" s="52"/>
      <c r="AJ114" s="119"/>
    </row>
    <row r="115" spans="1:36" ht="11.25" customHeight="1">
      <c r="A115" s="106"/>
      <c r="B115" s="420"/>
      <c r="C115" s="420"/>
      <c r="D115" s="420"/>
      <c r="E115" s="420"/>
      <c r="F115" s="420"/>
      <c r="G115" s="420"/>
      <c r="H115" s="554"/>
      <c r="I115" s="40"/>
      <c r="J115" s="40"/>
      <c r="K115" s="40"/>
      <c r="L115" s="40"/>
      <c r="M115" s="40"/>
      <c r="N115" s="40"/>
      <c r="O115" s="40"/>
      <c r="P115" s="40"/>
      <c r="Q115" s="40"/>
      <c r="R115" s="40"/>
      <c r="S115" s="40"/>
      <c r="T115" s="40"/>
      <c r="U115" s="40"/>
      <c r="V115" s="119"/>
      <c r="W115" s="114"/>
      <c r="Z115" s="52"/>
      <c r="AA115" s="52"/>
      <c r="AE115" s="57"/>
      <c r="AH115" s="52"/>
      <c r="AJ115" s="119"/>
    </row>
    <row r="116" spans="1:36" ht="11.25" customHeight="1">
      <c r="A116" s="106"/>
      <c r="B116" s="420"/>
      <c r="C116" s="420"/>
      <c r="D116" s="420"/>
      <c r="E116" s="420"/>
      <c r="F116" s="420"/>
      <c r="G116" s="420"/>
      <c r="H116" s="554"/>
      <c r="I116" s="40"/>
      <c r="J116" s="40"/>
      <c r="K116" s="40"/>
      <c r="L116" s="40"/>
      <c r="M116" s="40"/>
      <c r="N116" s="40"/>
      <c r="O116" s="40"/>
      <c r="P116" s="40"/>
      <c r="Q116" s="40"/>
      <c r="R116" s="40"/>
      <c r="S116" s="40"/>
      <c r="T116" s="40"/>
      <c r="U116" s="40"/>
      <c r="V116" s="119"/>
      <c r="W116" s="114"/>
      <c r="Z116" s="52"/>
      <c r="AA116" s="52"/>
      <c r="AE116" s="57"/>
      <c r="AH116" s="52"/>
      <c r="AJ116" s="119"/>
    </row>
    <row r="117" spans="1:36" ht="11.25" customHeight="1">
      <c r="A117" s="106"/>
      <c r="B117" s="420"/>
      <c r="C117" s="420"/>
      <c r="D117" s="420"/>
      <c r="E117" s="420"/>
      <c r="F117" s="420"/>
      <c r="G117" s="420"/>
      <c r="H117" s="554"/>
      <c r="I117" s="40"/>
      <c r="J117" s="40"/>
      <c r="K117" s="40"/>
      <c r="L117" s="40"/>
      <c r="M117" s="40"/>
      <c r="N117" s="40"/>
      <c r="O117" s="40"/>
      <c r="P117" s="40"/>
      <c r="Q117" s="40"/>
      <c r="R117" s="40"/>
      <c r="S117" s="40"/>
      <c r="T117" s="40"/>
      <c r="U117" s="40"/>
      <c r="V117" s="119"/>
      <c r="W117" s="114"/>
      <c r="Z117" s="52"/>
      <c r="AA117" s="52"/>
      <c r="AE117" s="57"/>
      <c r="AH117" s="52"/>
      <c r="AJ117" s="119"/>
    </row>
    <row r="118" spans="1:36" ht="11.25" customHeight="1">
      <c r="A118" s="106"/>
      <c r="B118" s="420"/>
      <c r="C118" s="420"/>
      <c r="D118" s="420"/>
      <c r="E118" s="420"/>
      <c r="F118" s="420"/>
      <c r="G118" s="420"/>
      <c r="H118" s="554"/>
      <c r="I118" s="40"/>
      <c r="J118" s="40"/>
      <c r="K118" s="40"/>
      <c r="L118" s="40"/>
      <c r="M118" s="40"/>
      <c r="N118" s="40"/>
      <c r="O118" s="40"/>
      <c r="P118" s="40"/>
      <c r="Q118" s="40"/>
      <c r="R118" s="40"/>
      <c r="S118" s="40"/>
      <c r="T118" s="40"/>
      <c r="U118" s="40"/>
      <c r="V118" s="119"/>
      <c r="W118" s="114"/>
      <c r="AA118" s="52"/>
      <c r="AE118" s="57"/>
      <c r="AH118" s="52"/>
      <c r="AJ118" s="119"/>
    </row>
    <row r="119" spans="1:36" ht="11.25" customHeight="1">
      <c r="A119" s="106"/>
      <c r="B119" s="420"/>
      <c r="C119" s="420"/>
      <c r="D119" s="420"/>
      <c r="E119" s="420"/>
      <c r="F119" s="420"/>
      <c r="G119" s="420"/>
      <c r="H119" s="554"/>
      <c r="I119" s="40"/>
      <c r="J119" s="40"/>
      <c r="K119" s="40"/>
      <c r="L119" s="40"/>
      <c r="M119" s="40"/>
      <c r="N119" s="40"/>
      <c r="O119" s="40"/>
      <c r="P119" s="40"/>
      <c r="Q119" s="40"/>
      <c r="R119" s="40"/>
      <c r="S119" s="40"/>
      <c r="T119" s="40"/>
      <c r="U119" s="40"/>
      <c r="V119" s="119"/>
      <c r="W119" s="114"/>
      <c r="AA119" s="52"/>
      <c r="AE119" s="57"/>
      <c r="AH119" s="52"/>
      <c r="AJ119" s="119"/>
    </row>
    <row r="120" spans="1:36" ht="11.25" customHeight="1">
      <c r="A120" s="106"/>
      <c r="B120" s="420"/>
      <c r="C120" s="420"/>
      <c r="D120" s="420"/>
      <c r="E120" s="420"/>
      <c r="F120" s="420"/>
      <c r="G120" s="420"/>
      <c r="H120" s="554"/>
      <c r="I120" s="40"/>
      <c r="J120" s="40"/>
      <c r="K120" s="40"/>
      <c r="L120" s="40"/>
      <c r="M120" s="40"/>
      <c r="N120" s="40"/>
      <c r="O120" s="40"/>
      <c r="P120" s="40"/>
      <c r="Q120" s="40"/>
      <c r="R120" s="40"/>
      <c r="S120" s="40"/>
      <c r="T120" s="40"/>
      <c r="U120" s="40"/>
      <c r="V120" s="119"/>
      <c r="W120" s="114"/>
      <c r="AE120" s="57"/>
      <c r="AH120" s="52"/>
      <c r="AJ120" s="119"/>
    </row>
    <row r="121" spans="1:36" ht="11.25" customHeight="1">
      <c r="A121" s="106"/>
      <c r="B121" s="420"/>
      <c r="C121" s="420"/>
      <c r="D121" s="420"/>
      <c r="E121" s="420"/>
      <c r="F121" s="420"/>
      <c r="G121" s="420"/>
      <c r="H121" s="554"/>
      <c r="I121" s="40"/>
      <c r="J121" s="40"/>
      <c r="K121" s="40"/>
      <c r="L121" s="40"/>
      <c r="M121" s="40"/>
      <c r="N121" s="40"/>
      <c r="O121" s="40"/>
      <c r="P121" s="40"/>
      <c r="Q121" s="40"/>
      <c r="R121" s="40"/>
      <c r="S121" s="40"/>
      <c r="T121" s="40"/>
      <c r="U121" s="40"/>
      <c r="V121" s="119"/>
      <c r="W121" s="114"/>
      <c r="AE121" s="57"/>
      <c r="AH121" s="52"/>
      <c r="AJ121" s="119"/>
    </row>
    <row r="122" spans="1:36" ht="11.25" customHeight="1">
      <c r="A122" s="106"/>
      <c r="B122" s="420"/>
      <c r="C122" s="420"/>
      <c r="D122" s="420"/>
      <c r="E122" s="420"/>
      <c r="F122" s="420"/>
      <c r="G122" s="420"/>
      <c r="H122" s="554"/>
      <c r="I122" s="40"/>
      <c r="J122" s="40"/>
      <c r="K122" s="40"/>
      <c r="L122" s="40"/>
      <c r="M122" s="40"/>
      <c r="N122" s="40"/>
      <c r="O122" s="40"/>
      <c r="P122" s="40"/>
      <c r="Q122" s="40"/>
      <c r="R122" s="40"/>
      <c r="S122" s="40"/>
      <c r="T122" s="40"/>
      <c r="U122" s="40"/>
      <c r="V122" s="119"/>
      <c r="W122" s="114"/>
      <c r="AE122" s="57"/>
      <c r="AH122" s="52"/>
      <c r="AJ122" s="119"/>
    </row>
    <row r="123" spans="1:36" ht="11.25" customHeight="1">
      <c r="A123" s="106"/>
      <c r="B123" s="420"/>
      <c r="C123" s="420"/>
      <c r="D123" s="420"/>
      <c r="E123" s="420"/>
      <c r="F123" s="420"/>
      <c r="G123" s="420"/>
      <c r="H123" s="554"/>
      <c r="I123" s="40"/>
      <c r="J123" s="40"/>
      <c r="K123" s="40"/>
      <c r="L123" s="40"/>
      <c r="M123" s="40"/>
      <c r="N123" s="40"/>
      <c r="O123" s="40"/>
      <c r="P123" s="40"/>
      <c r="Q123" s="40"/>
      <c r="R123" s="40"/>
      <c r="S123" s="40"/>
      <c r="T123" s="40"/>
      <c r="U123" s="40"/>
      <c r="V123" s="119"/>
      <c r="W123" s="114"/>
      <c r="AE123" s="57"/>
      <c r="AH123" s="52"/>
      <c r="AJ123" s="119"/>
    </row>
    <row r="124" spans="1:36" ht="11.25" customHeight="1">
      <c r="A124" s="106"/>
      <c r="B124" s="420"/>
      <c r="C124" s="420"/>
      <c r="D124" s="420"/>
      <c r="E124" s="420"/>
      <c r="F124" s="420"/>
      <c r="G124" s="420"/>
      <c r="H124" s="554"/>
      <c r="I124" s="40"/>
      <c r="J124" s="40"/>
      <c r="K124" s="40"/>
      <c r="L124" s="40"/>
      <c r="M124" s="40"/>
      <c r="N124" s="40"/>
      <c r="O124" s="40"/>
      <c r="P124" s="40"/>
      <c r="Q124" s="40"/>
      <c r="R124" s="40"/>
      <c r="S124" s="40"/>
      <c r="T124" s="40"/>
      <c r="U124" s="40"/>
      <c r="V124" s="119"/>
      <c r="W124" s="114"/>
      <c r="AE124" s="57"/>
      <c r="AH124" s="52"/>
      <c r="AJ124" s="119"/>
    </row>
    <row r="125" spans="1:36" ht="11.25" customHeight="1">
      <c r="A125" s="106"/>
      <c r="B125" s="420"/>
      <c r="C125" s="420"/>
      <c r="D125" s="420"/>
      <c r="E125" s="420"/>
      <c r="F125" s="420"/>
      <c r="G125" s="420"/>
      <c r="H125" s="554"/>
      <c r="I125" s="40"/>
      <c r="J125" s="40"/>
      <c r="K125" s="40"/>
      <c r="L125" s="40"/>
      <c r="M125" s="40"/>
      <c r="N125" s="40"/>
      <c r="O125" s="40"/>
      <c r="P125" s="40"/>
      <c r="Q125" s="40"/>
      <c r="R125" s="40"/>
      <c r="S125" s="40"/>
      <c r="T125" s="40"/>
      <c r="U125" s="40"/>
      <c r="V125" s="119"/>
      <c r="W125" s="114"/>
      <c r="AE125" s="57"/>
      <c r="AH125" s="52"/>
      <c r="AJ125" s="119"/>
    </row>
    <row r="126" spans="1:36" ht="11.25" customHeight="1">
      <c r="A126" s="106"/>
      <c r="B126" s="420"/>
      <c r="C126" s="420"/>
      <c r="D126" s="420"/>
      <c r="E126" s="420"/>
      <c r="F126" s="420"/>
      <c r="G126" s="420"/>
      <c r="H126" s="554"/>
      <c r="I126" s="40"/>
      <c r="J126" s="40"/>
      <c r="K126" s="40"/>
      <c r="L126" s="40"/>
      <c r="M126" s="40"/>
      <c r="N126" s="40"/>
      <c r="O126" s="40"/>
      <c r="P126" s="40"/>
      <c r="Q126" s="40"/>
      <c r="R126" s="40"/>
      <c r="S126" s="40"/>
      <c r="T126" s="40"/>
      <c r="U126" s="40"/>
      <c r="V126" s="119"/>
      <c r="W126" s="114"/>
      <c r="AE126" s="57"/>
      <c r="AH126" s="52"/>
      <c r="AJ126" s="119"/>
    </row>
    <row r="127" spans="1:36" ht="11.25" customHeight="1">
      <c r="A127" s="106"/>
      <c r="B127" s="420"/>
      <c r="C127" s="420"/>
      <c r="D127" s="420"/>
      <c r="E127" s="420"/>
      <c r="F127" s="420"/>
      <c r="G127" s="420"/>
      <c r="H127" s="554"/>
      <c r="I127" s="40"/>
      <c r="J127" s="40"/>
      <c r="K127" s="40"/>
      <c r="L127" s="40"/>
      <c r="M127" s="40"/>
      <c r="N127" s="40"/>
      <c r="O127" s="40"/>
      <c r="P127" s="40"/>
      <c r="Q127" s="40"/>
      <c r="R127" s="40"/>
      <c r="S127" s="40"/>
      <c r="T127" s="40"/>
      <c r="U127" s="40"/>
      <c r="V127" s="119"/>
      <c r="W127" s="114"/>
      <c r="AE127" s="57"/>
      <c r="AH127" s="52"/>
      <c r="AJ127" s="119"/>
    </row>
    <row r="128" spans="1:36" ht="11.25" customHeight="1">
      <c r="A128" s="106"/>
      <c r="B128" s="420"/>
      <c r="C128" s="420"/>
      <c r="D128" s="420"/>
      <c r="E128" s="420"/>
      <c r="F128" s="420"/>
      <c r="G128" s="420"/>
      <c r="H128" s="554"/>
      <c r="I128" s="40"/>
      <c r="J128" s="40"/>
      <c r="K128" s="40"/>
      <c r="L128" s="40"/>
      <c r="M128" s="40"/>
      <c r="N128" s="40"/>
      <c r="O128" s="40"/>
      <c r="P128" s="40"/>
      <c r="Q128" s="40"/>
      <c r="R128" s="40"/>
      <c r="S128" s="40"/>
      <c r="T128" s="40"/>
      <c r="U128" s="40"/>
      <c r="V128" s="119"/>
      <c r="W128" s="114"/>
      <c r="AE128" s="57"/>
      <c r="AH128" s="52"/>
      <c r="AJ128" s="119"/>
    </row>
    <row r="129" spans="1:36" ht="11.25" customHeight="1">
      <c r="A129" s="106"/>
      <c r="B129" s="420"/>
      <c r="C129" s="420"/>
      <c r="D129" s="420"/>
      <c r="E129" s="420"/>
      <c r="F129" s="420"/>
      <c r="G129" s="420"/>
      <c r="H129" s="554"/>
      <c r="I129" s="40"/>
      <c r="J129" s="40"/>
      <c r="K129" s="40"/>
      <c r="L129" s="40"/>
      <c r="M129" s="40"/>
      <c r="N129" s="40"/>
      <c r="O129" s="40"/>
      <c r="P129" s="40"/>
      <c r="Q129" s="40"/>
      <c r="R129" s="40"/>
      <c r="S129" s="40"/>
      <c r="T129" s="40"/>
      <c r="U129" s="40"/>
      <c r="V129" s="119"/>
      <c r="W129" s="114"/>
      <c r="AE129" s="57"/>
      <c r="AH129" s="52"/>
      <c r="AJ129" s="119"/>
    </row>
    <row r="130" spans="1:36" ht="11.25" customHeight="1">
      <c r="A130" s="106"/>
      <c r="B130" s="420"/>
      <c r="C130" s="420"/>
      <c r="D130" s="420"/>
      <c r="E130" s="420"/>
      <c r="F130" s="420"/>
      <c r="G130" s="420"/>
      <c r="H130" s="554"/>
      <c r="I130" s="40"/>
      <c r="J130" s="40"/>
      <c r="K130" s="40"/>
      <c r="L130" s="40"/>
      <c r="M130" s="40"/>
      <c r="N130" s="40"/>
      <c r="O130" s="40"/>
      <c r="P130" s="40"/>
      <c r="Q130" s="40"/>
      <c r="R130" s="40"/>
      <c r="S130" s="40"/>
      <c r="T130" s="40"/>
      <c r="U130" s="40"/>
      <c r="V130" s="119"/>
      <c r="W130" s="114"/>
      <c r="AE130" s="57"/>
      <c r="AH130" s="52"/>
      <c r="AJ130" s="119"/>
    </row>
    <row r="131" spans="1:36" ht="11.25" customHeight="1">
      <c r="A131" s="106"/>
      <c r="B131" s="420"/>
      <c r="C131" s="420"/>
      <c r="D131" s="420"/>
      <c r="E131" s="420"/>
      <c r="F131" s="420"/>
      <c r="G131" s="420"/>
      <c r="H131" s="554"/>
      <c r="I131" s="40"/>
      <c r="J131" s="40"/>
      <c r="K131" s="40"/>
      <c r="L131" s="40"/>
      <c r="M131" s="40"/>
      <c r="N131" s="40"/>
      <c r="O131" s="40"/>
      <c r="P131" s="40"/>
      <c r="Q131" s="40"/>
      <c r="R131" s="40"/>
      <c r="S131" s="40"/>
      <c r="T131" s="40"/>
      <c r="U131" s="40"/>
      <c r="V131" s="119"/>
      <c r="W131" s="114"/>
      <c r="AE131" s="57"/>
      <c r="AH131" s="52"/>
      <c r="AJ131" s="119"/>
    </row>
    <row r="132" spans="1:36" ht="11.25" customHeight="1">
      <c r="A132" s="106"/>
      <c r="B132" s="420"/>
      <c r="C132" s="420"/>
      <c r="D132" s="420"/>
      <c r="E132" s="420"/>
      <c r="F132" s="420"/>
      <c r="G132" s="420"/>
      <c r="H132" s="554"/>
      <c r="I132" s="40"/>
      <c r="J132" s="40"/>
      <c r="K132" s="40"/>
      <c r="L132" s="40"/>
      <c r="M132" s="40"/>
      <c r="N132" s="40"/>
      <c r="O132" s="40"/>
      <c r="P132" s="40"/>
      <c r="Q132" s="40"/>
      <c r="R132" s="40"/>
      <c r="S132" s="40"/>
      <c r="T132" s="40"/>
      <c r="U132" s="40"/>
      <c r="V132" s="119"/>
      <c r="W132" s="114"/>
      <c r="AE132" s="57"/>
      <c r="AH132" s="52"/>
      <c r="AJ132" s="119"/>
    </row>
    <row r="133" spans="1:36" ht="11.25" customHeight="1">
      <c r="A133" s="106"/>
      <c r="B133" s="420"/>
      <c r="C133" s="420"/>
      <c r="D133" s="420"/>
      <c r="E133" s="420"/>
      <c r="F133" s="420"/>
      <c r="G133" s="420"/>
      <c r="H133" s="554"/>
      <c r="I133" s="40"/>
      <c r="J133" s="40"/>
      <c r="K133" s="40"/>
      <c r="L133" s="40"/>
      <c r="M133" s="40"/>
      <c r="N133" s="40"/>
      <c r="O133" s="40"/>
      <c r="P133" s="40"/>
      <c r="Q133" s="40"/>
      <c r="R133" s="40"/>
      <c r="S133" s="40"/>
      <c r="T133" s="40"/>
      <c r="U133" s="40"/>
      <c r="V133" s="119"/>
      <c r="W133" s="114"/>
      <c r="AE133" s="57"/>
      <c r="AH133" s="52"/>
      <c r="AJ133" s="119"/>
    </row>
    <row r="134" spans="1:36" ht="11.25" customHeight="1">
      <c r="A134" s="106"/>
      <c r="B134" s="420"/>
      <c r="C134" s="420"/>
      <c r="D134" s="420"/>
      <c r="E134" s="420"/>
      <c r="F134" s="420"/>
      <c r="G134" s="420"/>
      <c r="H134" s="554"/>
      <c r="I134" s="40"/>
      <c r="J134" s="40"/>
      <c r="K134" s="40"/>
      <c r="L134" s="40"/>
      <c r="M134" s="40"/>
      <c r="N134" s="40"/>
      <c r="O134" s="40"/>
      <c r="P134" s="40"/>
      <c r="Q134" s="40"/>
      <c r="R134" s="40"/>
      <c r="S134" s="40"/>
      <c r="T134" s="40"/>
      <c r="U134" s="40"/>
      <c r="V134" s="119"/>
      <c r="W134" s="114"/>
      <c r="AE134" s="57"/>
      <c r="AH134" s="52"/>
      <c r="AJ134" s="119"/>
    </row>
    <row r="135" spans="1:36" ht="11.25" customHeight="1">
      <c r="A135" s="106"/>
      <c r="B135" s="420"/>
      <c r="C135" s="420"/>
      <c r="D135" s="420"/>
      <c r="E135" s="420"/>
      <c r="F135" s="420"/>
      <c r="G135" s="420"/>
      <c r="H135" s="554"/>
      <c r="I135" s="40"/>
      <c r="J135" s="40"/>
      <c r="K135" s="40"/>
      <c r="L135" s="40"/>
      <c r="M135" s="40"/>
      <c r="N135" s="40"/>
      <c r="O135" s="40"/>
      <c r="P135" s="40"/>
      <c r="Q135" s="40"/>
      <c r="R135" s="40"/>
      <c r="S135" s="40"/>
      <c r="T135" s="40"/>
      <c r="U135" s="40"/>
      <c r="V135" s="119"/>
      <c r="W135" s="114"/>
      <c r="AE135" s="57"/>
      <c r="AH135" s="52"/>
      <c r="AJ135" s="119"/>
    </row>
    <row r="136" spans="1:36" ht="11.25" customHeight="1">
      <c r="A136" s="106"/>
      <c r="B136" s="420"/>
      <c r="C136" s="420"/>
      <c r="D136" s="420"/>
      <c r="E136" s="420"/>
      <c r="F136" s="420"/>
      <c r="G136" s="420"/>
      <c r="H136" s="554"/>
      <c r="I136" s="40"/>
      <c r="J136" s="40"/>
      <c r="K136" s="40"/>
      <c r="L136" s="40"/>
      <c r="M136" s="40"/>
      <c r="N136" s="40"/>
      <c r="O136" s="40"/>
      <c r="P136" s="40"/>
      <c r="Q136" s="40"/>
      <c r="R136" s="40"/>
      <c r="S136" s="40"/>
      <c r="T136" s="40"/>
      <c r="U136" s="40"/>
      <c r="V136" s="119"/>
      <c r="W136" s="114"/>
      <c r="AE136" s="57"/>
      <c r="AH136" s="52"/>
      <c r="AJ136" s="119"/>
    </row>
    <row r="137" spans="1:36" ht="11.25" customHeight="1">
      <c r="A137" s="106"/>
      <c r="B137" s="420"/>
      <c r="C137" s="420"/>
      <c r="D137" s="420"/>
      <c r="E137" s="420"/>
      <c r="F137" s="420"/>
      <c r="G137" s="420"/>
      <c r="H137" s="554"/>
      <c r="I137" s="40"/>
      <c r="J137" s="40"/>
      <c r="K137" s="40"/>
      <c r="L137" s="40"/>
      <c r="M137" s="40"/>
      <c r="N137" s="40"/>
      <c r="O137" s="40"/>
      <c r="P137" s="40"/>
      <c r="Q137" s="40"/>
      <c r="R137" s="40"/>
      <c r="S137" s="40"/>
      <c r="T137" s="40"/>
      <c r="U137" s="40"/>
      <c r="V137" s="119"/>
      <c r="W137" s="114"/>
      <c r="AE137" s="57"/>
      <c r="AH137" s="52"/>
      <c r="AJ137" s="119"/>
    </row>
    <row r="138" spans="1:36" ht="11.25" customHeight="1">
      <c r="A138" s="106"/>
      <c r="B138" s="420"/>
      <c r="C138" s="420"/>
      <c r="D138" s="420"/>
      <c r="E138" s="420"/>
      <c r="F138" s="420"/>
      <c r="G138" s="420"/>
      <c r="H138" s="554"/>
      <c r="I138" s="40"/>
      <c r="J138" s="40"/>
      <c r="K138" s="40"/>
      <c r="L138" s="40"/>
      <c r="M138" s="40"/>
      <c r="N138" s="40"/>
      <c r="O138" s="40"/>
      <c r="P138" s="40"/>
      <c r="Q138" s="40"/>
      <c r="R138" s="40"/>
      <c r="S138" s="40"/>
      <c r="T138" s="40"/>
      <c r="U138" s="40"/>
      <c r="V138" s="119"/>
      <c r="W138" s="114"/>
      <c r="AE138" s="57"/>
      <c r="AH138" s="52"/>
      <c r="AJ138" s="119"/>
    </row>
    <row r="139" spans="1:36" ht="11.25" customHeight="1">
      <c r="A139" s="106"/>
      <c r="B139" s="420"/>
      <c r="C139" s="420"/>
      <c r="D139" s="420"/>
      <c r="E139" s="420"/>
      <c r="F139" s="420"/>
      <c r="G139" s="420"/>
      <c r="H139" s="554"/>
      <c r="I139" s="40"/>
      <c r="J139" s="40"/>
      <c r="K139" s="40"/>
      <c r="L139" s="40"/>
      <c r="M139" s="40"/>
      <c r="N139" s="40"/>
      <c r="O139" s="40"/>
      <c r="P139" s="40"/>
      <c r="Q139" s="40"/>
      <c r="R139" s="40"/>
      <c r="S139" s="40"/>
      <c r="T139" s="40"/>
      <c r="U139" s="40"/>
      <c r="V139" s="119"/>
      <c r="W139" s="114"/>
      <c r="AE139" s="57"/>
      <c r="AH139" s="52"/>
      <c r="AJ139" s="119"/>
    </row>
    <row r="140" spans="1:36" ht="11.25" customHeight="1">
      <c r="A140" s="106"/>
      <c r="B140" s="420"/>
      <c r="C140" s="420"/>
      <c r="D140" s="420"/>
      <c r="E140" s="420"/>
      <c r="F140" s="420"/>
      <c r="G140" s="420"/>
      <c r="H140" s="554"/>
      <c r="I140" s="40"/>
      <c r="J140" s="40"/>
      <c r="K140" s="40"/>
      <c r="L140" s="40"/>
      <c r="M140" s="40"/>
      <c r="N140" s="40"/>
      <c r="O140" s="40"/>
      <c r="P140" s="40"/>
      <c r="Q140" s="40"/>
      <c r="R140" s="40"/>
      <c r="S140" s="40"/>
      <c r="T140" s="40"/>
      <c r="U140" s="40"/>
      <c r="V140" s="119"/>
      <c r="W140" s="114"/>
      <c r="AE140" s="57"/>
      <c r="AH140" s="52"/>
      <c r="AJ140" s="119"/>
    </row>
    <row r="141" spans="1:36" ht="11.25" customHeight="1">
      <c r="A141" s="711"/>
      <c r="B141" s="712"/>
      <c r="C141" s="713"/>
      <c r="D141" s="713"/>
      <c r="E141" s="713"/>
      <c r="F141" s="152"/>
      <c r="G141" s="152"/>
      <c r="H141" s="714"/>
      <c r="I141" s="152"/>
      <c r="J141" s="152"/>
      <c r="K141" s="152"/>
      <c r="L141" s="152"/>
      <c r="M141" s="152"/>
      <c r="N141" s="152"/>
      <c r="O141" s="152"/>
      <c r="P141" s="152"/>
      <c r="Q141" s="152"/>
      <c r="R141" s="152"/>
      <c r="S141" s="859"/>
      <c r="T141" s="151"/>
      <c r="U141" s="151"/>
      <c r="V141" s="865"/>
      <c r="W141" s="1232"/>
      <c r="X141" s="289"/>
      <c r="Y141" s="289"/>
      <c r="Z141" s="289"/>
      <c r="AA141" s="289"/>
      <c r="AB141" s="289"/>
      <c r="AC141" s="289"/>
      <c r="AD141" s="289"/>
      <c r="AE141" s="710"/>
      <c r="AF141" s="289"/>
      <c r="AG141" s="289"/>
      <c r="AH141" s="363"/>
      <c r="AI141" s="363"/>
      <c r="AJ141" s="1333"/>
    </row>
    <row r="142" spans="1:36" ht="11.25" customHeight="1">
      <c r="J142" s="52"/>
      <c r="V142" s="52"/>
      <c r="AE142" s="57"/>
      <c r="AH142" s="52"/>
    </row>
    <row r="143" spans="1:36" ht="11.25" customHeight="1">
      <c r="J143" s="52"/>
      <c r="V143" s="52"/>
      <c r="AE143" s="57"/>
      <c r="AH143" s="52"/>
    </row>
    <row r="144" spans="1:36" ht="11.25" customHeight="1">
      <c r="J144" s="52"/>
      <c r="V144" s="52"/>
      <c r="AE144" s="57"/>
      <c r="AH144" s="52"/>
    </row>
    <row r="145" spans="10:34" ht="11.25" customHeight="1">
      <c r="J145" s="52"/>
      <c r="V145" s="52"/>
      <c r="AE145" s="57"/>
      <c r="AH145" s="52"/>
    </row>
    <row r="146" spans="10:34" ht="11.25" customHeight="1">
      <c r="J146" s="52"/>
      <c r="V146" s="52"/>
      <c r="AE146" s="57"/>
      <c r="AH146" s="52"/>
    </row>
    <row r="147" spans="10:34" ht="11.25" customHeight="1">
      <c r="J147" s="52"/>
      <c r="V147" s="52"/>
      <c r="AE147" s="57"/>
      <c r="AH147" s="52"/>
    </row>
    <row r="148" spans="10:34" ht="11.25" customHeight="1">
      <c r="J148" s="52"/>
      <c r="V148" s="52"/>
      <c r="AE148" s="57"/>
      <c r="AH148" s="52"/>
    </row>
    <row r="149" spans="10:34" ht="11.25" customHeight="1">
      <c r="J149" s="52"/>
      <c r="V149" s="52"/>
      <c r="AE149" s="57"/>
      <c r="AH149" s="52"/>
    </row>
    <row r="150" spans="10:34" ht="11.25" customHeight="1">
      <c r="J150" s="52"/>
      <c r="V150" s="52"/>
      <c r="AE150" s="57"/>
      <c r="AH150" s="52"/>
    </row>
    <row r="151" spans="10:34" ht="11.25" customHeight="1">
      <c r="J151" s="52"/>
      <c r="V151" s="52"/>
      <c r="AE151" s="57"/>
      <c r="AH151" s="52"/>
    </row>
    <row r="152" spans="10:34" ht="11.25" customHeight="1">
      <c r="J152" s="52"/>
      <c r="V152" s="52"/>
      <c r="AE152" s="57"/>
      <c r="AH152" s="52"/>
    </row>
    <row r="153" spans="10:34" ht="11.25" customHeight="1">
      <c r="J153" s="52"/>
      <c r="V153" s="52"/>
      <c r="AE153" s="57"/>
      <c r="AH153" s="52"/>
    </row>
    <row r="262" spans="37:37" ht="11.25" customHeight="1">
      <c r="AK262" s="52" t="b">
        <v>1</v>
      </c>
    </row>
  </sheetData>
  <mergeCells count="32">
    <mergeCell ref="O10:P10"/>
    <mergeCell ref="B5:N6"/>
    <mergeCell ref="A103:U103"/>
    <mergeCell ref="A102:U102"/>
    <mergeCell ref="Y8:Y10"/>
    <mergeCell ref="Q61:T61"/>
    <mergeCell ref="L61:O61"/>
    <mergeCell ref="L62:O62"/>
    <mergeCell ref="G8:G9"/>
    <mergeCell ref="H8:H9"/>
    <mergeCell ref="S7:T9"/>
    <mergeCell ref="K8:K9"/>
    <mergeCell ref="L8:L9"/>
    <mergeCell ref="M8:M9"/>
    <mergeCell ref="N8:N9"/>
    <mergeCell ref="O8:P9"/>
    <mergeCell ref="AQ35:AQ37"/>
    <mergeCell ref="Z8:Z10"/>
    <mergeCell ref="A67:U67"/>
    <mergeCell ref="A68:U68"/>
    <mergeCell ref="A34:U34"/>
    <mergeCell ref="A35:U35"/>
    <mergeCell ref="B7:B10"/>
    <mergeCell ref="D7:H7"/>
    <mergeCell ref="I7:I10"/>
    <mergeCell ref="Q7:Q10"/>
    <mergeCell ref="K7:P7"/>
    <mergeCell ref="AL35:AP35"/>
    <mergeCell ref="D8:D9"/>
    <mergeCell ref="E8:E9"/>
    <mergeCell ref="F8:F9"/>
    <mergeCell ref="Q62:T62"/>
  </mergeCells>
  <conditionalFormatting sqref="A11:A31">
    <cfRule type="cellIs" dxfId="500" priority="1" operator="equal">
      <formula>0</formula>
    </cfRule>
    <cfRule type="containsErrors" dxfId="499" priority="2">
      <formula>ISERROR(A11)</formula>
    </cfRule>
  </conditionalFormatting>
  <conditionalFormatting sqref="A35">
    <cfRule type="cellIs" dxfId="498" priority="34" operator="equal">
      <formula>0</formula>
    </cfRule>
    <cfRule type="containsErrors" dxfId="497" priority="35">
      <formula>ISERROR(A35)</formula>
    </cfRule>
  </conditionalFormatting>
  <conditionalFormatting sqref="A68">
    <cfRule type="cellIs" dxfId="496" priority="32" operator="equal">
      <formula>0</formula>
    </cfRule>
    <cfRule type="containsErrors" dxfId="495" priority="33">
      <formula>ISERROR(A68)</formula>
    </cfRule>
  </conditionalFormatting>
  <conditionalFormatting sqref="A103">
    <cfRule type="cellIs" dxfId="494" priority="30" operator="equal">
      <formula>0</formula>
    </cfRule>
    <cfRule type="containsErrors" dxfId="493" priority="31">
      <formula>ISERROR(A103)</formula>
    </cfRule>
  </conditionalFormatting>
  <conditionalFormatting sqref="B11:B29 D11:H29 K11:O29 T11:T29 AF11:AG29 S11:S31 B48:C63">
    <cfRule type="containsErrors" dxfId="492" priority="48">
      <formula>ISERROR(B11)</formula>
    </cfRule>
  </conditionalFormatting>
  <conditionalFormatting sqref="B11:B29 D11:I29 K11:O29 Q11:Q29 S11:T29 P11:P31 B48:C63">
    <cfRule type="expression" dxfId="491" priority="3879">
      <formula>$B11=$Y$4</formula>
    </cfRule>
  </conditionalFormatting>
  <conditionalFormatting sqref="D8:H8">
    <cfRule type="containsErrors" dxfId="490" priority="4">
      <formula>ISERROR(D8)</formula>
    </cfRule>
  </conditionalFormatting>
  <conditionalFormatting sqref="D10:H10">
    <cfRule type="containsErrors" dxfId="489" priority="5">
      <formula>ISERROR(D10)</formula>
    </cfRule>
  </conditionalFormatting>
  <conditionalFormatting sqref="D31:I31 K31:O31">
    <cfRule type="containsErrors" dxfId="488" priority="11">
      <formula>ISERROR(D31)</formula>
    </cfRule>
  </conditionalFormatting>
  <conditionalFormatting sqref="I11:I29 Q11:Q29">
    <cfRule type="containsErrors" dxfId="487" priority="49">
      <formula>ISERROR(I11)</formula>
    </cfRule>
  </conditionalFormatting>
  <conditionalFormatting sqref="K8:O8">
    <cfRule type="containsErrors" dxfId="486" priority="3">
      <formula>ISERROR(K8)</formula>
    </cfRule>
  </conditionalFormatting>
  <conditionalFormatting sqref="K10:O10">
    <cfRule type="containsErrors" dxfId="485" priority="6">
      <formula>ISERROR(K10)</formula>
    </cfRule>
  </conditionalFormatting>
  <conditionalFormatting sqref="P11:P31">
    <cfRule type="containsErrors" dxfId="484" priority="3876">
      <formula>ISERROR(P11)</formula>
    </cfRule>
    <cfRule type="dataBar" priority="3877">
      <dataBar showValue="0">
        <cfvo type="min"/>
        <cfvo type="max"/>
        <color theme="9"/>
      </dataBar>
      <extLst>
        <ext xmlns:x14="http://schemas.microsoft.com/office/spreadsheetml/2009/9/main" uri="{B025F937-C7B1-47D3-B67F-A62EFF666E3E}">
          <x14:id>{D0FCE642-09EC-4527-A4A0-6215318E3759}</x14:id>
        </ext>
      </extLst>
    </cfRule>
  </conditionalFormatting>
  <conditionalFormatting sqref="P30:P31">
    <cfRule type="containsErrors" dxfId="483" priority="19">
      <formula>ISERROR(P30)</formula>
    </cfRule>
  </conditionalFormatting>
  <conditionalFormatting sqref="T30">
    <cfRule type="containsErrors" dxfId="482" priority="14">
      <formula>ISERROR(T30)</formula>
    </cfRule>
  </conditionalFormatting>
  <conditionalFormatting sqref="T31">
    <cfRule type="containsErrors" dxfId="481" priority="13">
      <formula>ISERROR(T31)</formula>
    </cfRule>
  </conditionalFormatting>
  <conditionalFormatting sqref="X2:AC3">
    <cfRule type="containsErrors" dxfId="480" priority="8">
      <formula>ISERROR(X2)</formula>
    </cfRule>
  </conditionalFormatting>
  <conditionalFormatting sqref="AA10:AE10">
    <cfRule type="cellIs" dxfId="479" priority="12" stopIfTrue="1" operator="equal">
      <formula>0</formula>
    </cfRule>
  </conditionalFormatting>
  <conditionalFormatting sqref="AF11:AG22 AG12:AG23">
    <cfRule type="expression" dxfId="478" priority="38">
      <formula>$B11=$W$4</formula>
    </cfRule>
  </conditionalFormatting>
  <conditionalFormatting sqref="AG24">
    <cfRule type="expression" dxfId="477" priority="3874">
      <formula>#REF!=$W$4</formula>
    </cfRule>
  </conditionalFormatting>
  <conditionalFormatting sqref="AG25:AG27">
    <cfRule type="expression" dxfId="476" priority="3801">
      <formula>$B24=$W$4</formula>
    </cfRule>
  </conditionalFormatting>
  <conditionalFormatting sqref="AG28">
    <cfRule type="expression" dxfId="475" priority="1920">
      <formula>#REF!=$W$4</formula>
    </cfRule>
  </conditionalFormatting>
  <conditionalFormatting sqref="AG29">
    <cfRule type="expression" dxfId="474" priority="1919">
      <formula>$B26=$W$4</formula>
    </cfRule>
  </conditionalFormatting>
  <conditionalFormatting sqref="AL37:AP37">
    <cfRule type="cellIs" dxfId="473" priority="7" stopIfTrue="1" operator="equal">
      <formula>0</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2" manualBreakCount="2">
    <brk id="35" max="18" man="1"/>
    <brk id="68" max="20" man="1"/>
  </rowBreaks>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macro="[0]!CheckBox1_Click" altText="">
                <anchor>
                  <from>
                    <xdr:col>22</xdr:col>
                    <xdr:colOff>85725</xdr:colOff>
                    <xdr:row>36</xdr:row>
                    <xdr:rowOff>38100</xdr:rowOff>
                  </from>
                  <to>
                    <xdr:col>35</xdr:col>
                    <xdr:colOff>57150</xdr:colOff>
                    <xdr:row>38</xdr:row>
                    <xdr:rowOff>19050</xdr:rowOff>
                  </to>
                </anchor>
              </controlPr>
            </control>
          </mc:Choice>
        </mc:AlternateContent>
        <mc:AlternateContent xmlns:mc="http://schemas.openxmlformats.org/markup-compatibility/2006">
          <mc:Choice Requires="x14">
            <control shapeId="96258" r:id="rId5" name="Check Box 2">
              <controlPr defaultSize="0" autoFill="0" autoLine="0" autoPict="0" macro="[0]!CheckBox1_Click" altText="">
                <anchor>
                  <from>
                    <xdr:col>22</xdr:col>
                    <xdr:colOff>85725</xdr:colOff>
                    <xdr:row>37</xdr:row>
                    <xdr:rowOff>161925</xdr:rowOff>
                  </from>
                  <to>
                    <xdr:col>35</xdr:col>
                    <xdr:colOff>57150</xdr:colOff>
                    <xdr:row>39</xdr:row>
                    <xdr:rowOff>19050</xdr:rowOff>
                  </to>
                </anchor>
              </controlPr>
            </control>
          </mc:Choice>
        </mc:AlternateContent>
        <mc:AlternateContent xmlns:mc="http://schemas.openxmlformats.org/markup-compatibility/2006">
          <mc:Choice Requires="x14">
            <control shapeId="96259" r:id="rId6" name="Check Box 3">
              <controlPr defaultSize="0" autoFill="0" autoLine="0" autoPict="0" macro="[0]!CheckBox1_Click" altText="">
                <anchor>
                  <from>
                    <xdr:col>22</xdr:col>
                    <xdr:colOff>85725</xdr:colOff>
                    <xdr:row>38</xdr:row>
                    <xdr:rowOff>161925</xdr:rowOff>
                  </from>
                  <to>
                    <xdr:col>35</xdr:col>
                    <xdr:colOff>57150</xdr:colOff>
                    <xdr:row>40</xdr:row>
                    <xdr:rowOff>19050</xdr:rowOff>
                  </to>
                </anchor>
              </controlPr>
            </control>
          </mc:Choice>
        </mc:AlternateContent>
        <mc:AlternateContent xmlns:mc="http://schemas.openxmlformats.org/markup-compatibility/2006">
          <mc:Choice Requires="x14">
            <control shapeId="96260" r:id="rId7" name="Check Box 4">
              <controlPr defaultSize="0" autoFill="0" autoLine="0" autoPict="0" macro="[0]!CheckBox1_Click" altText="">
                <anchor>
                  <from>
                    <xdr:col>22</xdr:col>
                    <xdr:colOff>85725</xdr:colOff>
                    <xdr:row>39</xdr:row>
                    <xdr:rowOff>161925</xdr:rowOff>
                  </from>
                  <to>
                    <xdr:col>35</xdr:col>
                    <xdr:colOff>57150</xdr:colOff>
                    <xdr:row>41</xdr:row>
                    <xdr:rowOff>19050</xdr:rowOff>
                  </to>
                </anchor>
              </controlPr>
            </control>
          </mc:Choice>
        </mc:AlternateContent>
        <mc:AlternateContent xmlns:mc="http://schemas.openxmlformats.org/markup-compatibility/2006">
          <mc:Choice Requires="x14">
            <control shapeId="96261" r:id="rId8" name="Check Box 5">
              <controlPr defaultSize="0" autoFill="0" autoLine="0" autoPict="0" macro="[0]!CheckBox1_Click" altText="">
                <anchor>
                  <from>
                    <xdr:col>22</xdr:col>
                    <xdr:colOff>85725</xdr:colOff>
                    <xdr:row>40</xdr:row>
                    <xdr:rowOff>161925</xdr:rowOff>
                  </from>
                  <to>
                    <xdr:col>35</xdr:col>
                    <xdr:colOff>57150</xdr:colOff>
                    <xdr:row>42</xdr:row>
                    <xdr:rowOff>19050</xdr:rowOff>
                  </to>
                </anchor>
              </controlPr>
            </control>
          </mc:Choice>
        </mc:AlternateContent>
        <mc:AlternateContent xmlns:mc="http://schemas.openxmlformats.org/markup-compatibility/2006">
          <mc:Choice Requires="x14">
            <control shapeId="96262" r:id="rId9" name="Check Box 6">
              <controlPr defaultSize="0" autoFill="0" autoLine="0" autoPict="0" macro="[0]!CheckBox1_Click" altText="">
                <anchor>
                  <from>
                    <xdr:col>22</xdr:col>
                    <xdr:colOff>85725</xdr:colOff>
                    <xdr:row>41</xdr:row>
                    <xdr:rowOff>161925</xdr:rowOff>
                  </from>
                  <to>
                    <xdr:col>35</xdr:col>
                    <xdr:colOff>57150</xdr:colOff>
                    <xdr:row>43</xdr:row>
                    <xdr:rowOff>19050</xdr:rowOff>
                  </to>
                </anchor>
              </controlPr>
            </control>
          </mc:Choice>
        </mc:AlternateContent>
        <mc:AlternateContent xmlns:mc="http://schemas.openxmlformats.org/markup-compatibility/2006">
          <mc:Choice Requires="x14">
            <control shapeId="96263" r:id="rId10" name="Check Box 7">
              <controlPr defaultSize="0" autoFill="0" autoLine="0" autoPict="0" macro="[0]!CheckBox1_Click" altText="">
                <anchor>
                  <from>
                    <xdr:col>22</xdr:col>
                    <xdr:colOff>85725</xdr:colOff>
                    <xdr:row>42</xdr:row>
                    <xdr:rowOff>161925</xdr:rowOff>
                  </from>
                  <to>
                    <xdr:col>35</xdr:col>
                    <xdr:colOff>57150</xdr:colOff>
                    <xdr:row>44</xdr:row>
                    <xdr:rowOff>19050</xdr:rowOff>
                  </to>
                </anchor>
              </controlPr>
            </control>
          </mc:Choice>
        </mc:AlternateContent>
        <mc:AlternateContent xmlns:mc="http://schemas.openxmlformats.org/markup-compatibility/2006">
          <mc:Choice Requires="x14">
            <control shapeId="96264" r:id="rId11" name="Check Box 8">
              <controlPr defaultSize="0" autoFill="0" autoLine="0" autoPict="0" macro="[0]!CheckBox1_Click" altText="">
                <anchor>
                  <from>
                    <xdr:col>22</xdr:col>
                    <xdr:colOff>85725</xdr:colOff>
                    <xdr:row>43</xdr:row>
                    <xdr:rowOff>161925</xdr:rowOff>
                  </from>
                  <to>
                    <xdr:col>35</xdr:col>
                    <xdr:colOff>57150</xdr:colOff>
                    <xdr:row>45</xdr:row>
                    <xdr:rowOff>19050</xdr:rowOff>
                  </to>
                </anchor>
              </controlPr>
            </control>
          </mc:Choice>
        </mc:AlternateContent>
        <mc:AlternateContent xmlns:mc="http://schemas.openxmlformats.org/markup-compatibility/2006">
          <mc:Choice Requires="x14">
            <control shapeId="96265" r:id="rId12" name="Check Box 9">
              <controlPr defaultSize="0" autoFill="0" autoLine="0" autoPict="0" macro="[0]!CheckBox1_Click" altText="">
                <anchor>
                  <from>
                    <xdr:col>22</xdr:col>
                    <xdr:colOff>85725</xdr:colOff>
                    <xdr:row>44</xdr:row>
                    <xdr:rowOff>161925</xdr:rowOff>
                  </from>
                  <to>
                    <xdr:col>35</xdr:col>
                    <xdr:colOff>57150</xdr:colOff>
                    <xdr:row>46</xdr:row>
                    <xdr:rowOff>19050</xdr:rowOff>
                  </to>
                </anchor>
              </controlPr>
            </control>
          </mc:Choice>
        </mc:AlternateContent>
        <mc:AlternateContent xmlns:mc="http://schemas.openxmlformats.org/markup-compatibility/2006">
          <mc:Choice Requires="x14">
            <control shapeId="96266" r:id="rId13" name="Check Box 10">
              <controlPr defaultSize="0" autoFill="0" autoLine="0" autoPict="0" macro="[0]!CheckBox1_Click" altText="">
                <anchor>
                  <from>
                    <xdr:col>22</xdr:col>
                    <xdr:colOff>85725</xdr:colOff>
                    <xdr:row>45</xdr:row>
                    <xdr:rowOff>161925</xdr:rowOff>
                  </from>
                  <to>
                    <xdr:col>35</xdr:col>
                    <xdr:colOff>57150</xdr:colOff>
                    <xdr:row>47</xdr:row>
                    <xdr:rowOff>19050</xdr:rowOff>
                  </to>
                </anchor>
              </controlPr>
            </control>
          </mc:Choice>
        </mc:AlternateContent>
        <mc:AlternateContent xmlns:mc="http://schemas.openxmlformats.org/markup-compatibility/2006">
          <mc:Choice Requires="x14">
            <control shapeId="96267" r:id="rId14" name="Check Box 11">
              <controlPr defaultSize="0" autoFill="0" autoLine="0" autoPict="0" macro="[0]!CheckBox1_Click" altText="">
                <anchor>
                  <from>
                    <xdr:col>22</xdr:col>
                    <xdr:colOff>85725</xdr:colOff>
                    <xdr:row>46</xdr:row>
                    <xdr:rowOff>161925</xdr:rowOff>
                  </from>
                  <to>
                    <xdr:col>35</xdr:col>
                    <xdr:colOff>57150</xdr:colOff>
                    <xdr:row>48</xdr:row>
                    <xdr:rowOff>19050</xdr:rowOff>
                  </to>
                </anchor>
              </controlPr>
            </control>
          </mc:Choice>
        </mc:AlternateContent>
        <mc:AlternateContent xmlns:mc="http://schemas.openxmlformats.org/markup-compatibility/2006">
          <mc:Choice Requires="x14">
            <control shapeId="96268" r:id="rId15" name="Check Box 12">
              <controlPr defaultSize="0" autoFill="0" autoLine="0" autoPict="0" macro="[0]!CheckBox1_Click" altText="">
                <anchor>
                  <from>
                    <xdr:col>22</xdr:col>
                    <xdr:colOff>85725</xdr:colOff>
                    <xdr:row>47</xdr:row>
                    <xdr:rowOff>161925</xdr:rowOff>
                  </from>
                  <to>
                    <xdr:col>35</xdr:col>
                    <xdr:colOff>57150</xdr:colOff>
                    <xdr:row>49</xdr:row>
                    <xdr:rowOff>19050</xdr:rowOff>
                  </to>
                </anchor>
              </controlPr>
            </control>
          </mc:Choice>
        </mc:AlternateContent>
        <mc:AlternateContent xmlns:mc="http://schemas.openxmlformats.org/markup-compatibility/2006">
          <mc:Choice Requires="x14">
            <control shapeId="96269" r:id="rId16" name="Check Box 13">
              <controlPr defaultSize="0" autoFill="0" autoLine="0" autoPict="0" macro="[0]!CheckBox1_Click" altText="">
                <anchor>
                  <from>
                    <xdr:col>22</xdr:col>
                    <xdr:colOff>85725</xdr:colOff>
                    <xdr:row>48</xdr:row>
                    <xdr:rowOff>161925</xdr:rowOff>
                  </from>
                  <to>
                    <xdr:col>35</xdr:col>
                    <xdr:colOff>57150</xdr:colOff>
                    <xdr:row>50</xdr:row>
                    <xdr:rowOff>19050</xdr:rowOff>
                  </to>
                </anchor>
              </controlPr>
            </control>
          </mc:Choice>
        </mc:AlternateContent>
        <mc:AlternateContent xmlns:mc="http://schemas.openxmlformats.org/markup-compatibility/2006">
          <mc:Choice Requires="x14">
            <control shapeId="96271" r:id="rId17" name="Check Box 15">
              <controlPr defaultSize="0" autoFill="0" autoLine="0" autoPict="0" macro="[0]!CheckBox1_Click" altText="">
                <anchor>
                  <from>
                    <xdr:col>22</xdr:col>
                    <xdr:colOff>85725</xdr:colOff>
                    <xdr:row>49</xdr:row>
                    <xdr:rowOff>171450</xdr:rowOff>
                  </from>
                  <to>
                    <xdr:col>35</xdr:col>
                    <xdr:colOff>57150</xdr:colOff>
                    <xdr:row>51</xdr:row>
                    <xdr:rowOff>28575</xdr:rowOff>
                  </to>
                </anchor>
              </controlPr>
            </control>
          </mc:Choice>
        </mc:AlternateContent>
        <mc:AlternateContent xmlns:mc="http://schemas.openxmlformats.org/markup-compatibility/2006">
          <mc:Choice Requires="x14">
            <control shapeId="96272" r:id="rId18" name="Check Box 16">
              <controlPr defaultSize="0" autoFill="0" autoLine="0" autoPict="0" macro="[0]!CheckBox1_Click" altText="">
                <anchor>
                  <from>
                    <xdr:col>22</xdr:col>
                    <xdr:colOff>85725</xdr:colOff>
                    <xdr:row>50</xdr:row>
                    <xdr:rowOff>171450</xdr:rowOff>
                  </from>
                  <to>
                    <xdr:col>35</xdr:col>
                    <xdr:colOff>57150</xdr:colOff>
                    <xdr:row>52</xdr:row>
                    <xdr:rowOff>28575</xdr:rowOff>
                  </to>
                </anchor>
              </controlPr>
            </control>
          </mc:Choice>
        </mc:AlternateContent>
        <mc:AlternateContent xmlns:mc="http://schemas.openxmlformats.org/markup-compatibility/2006">
          <mc:Choice Requires="x14">
            <control shapeId="96273" r:id="rId19" name="Check Box 17">
              <controlPr defaultSize="0" autoFill="0" autoLine="0" autoPict="0" macro="[0]!CheckBox1_Click" altText="">
                <anchor>
                  <from>
                    <xdr:col>22</xdr:col>
                    <xdr:colOff>85725</xdr:colOff>
                    <xdr:row>51</xdr:row>
                    <xdr:rowOff>171450</xdr:rowOff>
                  </from>
                  <to>
                    <xdr:col>35</xdr:col>
                    <xdr:colOff>57150</xdr:colOff>
                    <xdr:row>53</xdr:row>
                    <xdr:rowOff>28575</xdr:rowOff>
                  </to>
                </anchor>
              </controlPr>
            </control>
          </mc:Choice>
        </mc:AlternateContent>
        <mc:AlternateContent xmlns:mc="http://schemas.openxmlformats.org/markup-compatibility/2006">
          <mc:Choice Requires="x14">
            <control shapeId="96274" r:id="rId20" name="Check Box 18">
              <controlPr defaultSize="0" autoFill="0" autoLine="0" autoPict="0" macro="[0]!CheckBox1_Click" altText="">
                <anchor>
                  <from>
                    <xdr:col>22</xdr:col>
                    <xdr:colOff>85725</xdr:colOff>
                    <xdr:row>52</xdr:row>
                    <xdr:rowOff>171450</xdr:rowOff>
                  </from>
                  <to>
                    <xdr:col>35</xdr:col>
                    <xdr:colOff>57150</xdr:colOff>
                    <xdr:row>54</xdr:row>
                    <xdr:rowOff>28575</xdr:rowOff>
                  </to>
                </anchor>
              </controlPr>
            </control>
          </mc:Choice>
        </mc:AlternateContent>
        <mc:AlternateContent xmlns:mc="http://schemas.openxmlformats.org/markup-compatibility/2006">
          <mc:Choice Requires="x14">
            <control shapeId="96275" r:id="rId21" name="Check Box 19">
              <controlPr defaultSize="0" autoFill="0" autoLine="0" autoPict="0" macro="[0]!CheckBox1_Click" altText="">
                <anchor>
                  <from>
                    <xdr:col>22</xdr:col>
                    <xdr:colOff>85725</xdr:colOff>
                    <xdr:row>53</xdr:row>
                    <xdr:rowOff>171450</xdr:rowOff>
                  </from>
                  <to>
                    <xdr:col>35</xdr:col>
                    <xdr:colOff>57150</xdr:colOff>
                    <xdr:row>55</xdr:row>
                    <xdr:rowOff>28575</xdr:rowOff>
                  </to>
                </anchor>
              </controlPr>
            </control>
          </mc:Choice>
        </mc:AlternateContent>
        <mc:AlternateContent xmlns:mc="http://schemas.openxmlformats.org/markup-compatibility/2006">
          <mc:Choice Requires="x14">
            <control shapeId="96276" r:id="rId22" name="Check Box 20">
              <controlPr defaultSize="0" autoFill="0" autoLine="0" autoPict="0" macro="[0]!CheckBox1_Click" altText="">
                <anchor>
                  <from>
                    <xdr:col>22</xdr:col>
                    <xdr:colOff>85725</xdr:colOff>
                    <xdr:row>54</xdr:row>
                    <xdr:rowOff>171450</xdr:rowOff>
                  </from>
                  <to>
                    <xdr:col>35</xdr:col>
                    <xdr:colOff>57150</xdr:colOff>
                    <xdr:row>56</xdr:row>
                    <xdr:rowOff>28575</xdr:rowOff>
                  </to>
                </anchor>
              </controlPr>
            </control>
          </mc:Choice>
        </mc:AlternateContent>
        <mc:AlternateContent xmlns:mc="http://schemas.openxmlformats.org/markup-compatibility/2006">
          <mc:Choice Requires="x14">
            <control shapeId="96277" r:id="rId23" name="Check Box 21">
              <controlPr defaultSize="0" autoFill="0" autoLine="0" autoPict="0" macro="[0]!CheckBox1_Click" altText="">
                <anchor>
                  <from>
                    <xdr:col>22</xdr:col>
                    <xdr:colOff>85725</xdr:colOff>
                    <xdr:row>55</xdr:row>
                    <xdr:rowOff>171450</xdr:rowOff>
                  </from>
                  <to>
                    <xdr:col>35</xdr:col>
                    <xdr:colOff>57150</xdr:colOff>
                    <xdr:row>57</xdr:row>
                    <xdr:rowOff>28575</xdr:rowOff>
                  </to>
                </anchor>
              </controlPr>
            </control>
          </mc:Choice>
        </mc:AlternateContent>
        <mc:AlternateContent xmlns:mc="http://schemas.openxmlformats.org/markup-compatibility/2006">
          <mc:Choice Requires="x14">
            <control shapeId="96280" r:id="rId24" name="Check Box 24">
              <controlPr defaultSize="0" autoFill="0" autoLine="0" autoPict="0" macro="[0]!CheckBox1_Click" altText="">
                <anchor>
                  <from>
                    <xdr:col>22</xdr:col>
                    <xdr:colOff>85725</xdr:colOff>
                    <xdr:row>56</xdr:row>
                    <xdr:rowOff>161925</xdr:rowOff>
                  </from>
                  <to>
                    <xdr:col>35</xdr:col>
                    <xdr:colOff>57150</xdr:colOff>
                    <xdr:row>58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D0FCE642-09EC-4527-A4A0-6215318E3759}">
            <x14:dataBar minLength="0" maxLength="100" gradient="0" negativeBarColorSameAsPositive="1">
              <x14:cfvo type="autoMin"/>
              <x14:cfvo type="autoMax"/>
              <x14:axisColor rgb="FF000000"/>
            </x14:dataBar>
          </x14:cfRule>
          <xm:sqref>P11:P31</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4">
    <tabColor rgb="FFFFC000"/>
  </sheetPr>
  <dimension ref="A1:AY261"/>
  <sheetViews>
    <sheetView showGridLines="0" showRowColHeaders="0" workbookViewId="0"/>
  </sheetViews>
  <sheetFormatPr defaultColWidth="9.140625" defaultRowHeight="11.25" customHeight="1"/>
  <cols>
    <col min="1" max="1" width="1.7109375" style="52" customWidth="1"/>
    <col min="2" max="2" width="19.42578125" style="52" customWidth="1"/>
    <col min="3" max="3" width="1.140625" style="52" customWidth="1"/>
    <col min="4" max="8" width="7.42578125" style="52" customWidth="1"/>
    <col min="9" max="9" width="8" style="52" customWidth="1"/>
    <col min="10" max="10" width="1.140625" customWidth="1"/>
    <col min="11" max="14" width="7.42578125" style="52" customWidth="1"/>
    <col min="15" max="15" width="7.28515625" style="52" customWidth="1"/>
    <col min="16" max="16" width="6" style="52" customWidth="1"/>
    <col min="17" max="17" width="6.42578125" style="52" customWidth="1"/>
    <col min="18" max="18" width="1.140625" style="52" customWidth="1"/>
    <col min="19" max="19" width="8.7109375" style="52" customWidth="1"/>
    <col min="20" max="20" width="8.28515625" style="52" customWidth="1"/>
    <col min="21" max="21" width="1.7109375" style="52" customWidth="1"/>
    <col min="22" max="22" width="6.42578125" style="55" customWidth="1"/>
    <col min="23" max="23" width="4.85546875" style="55" customWidth="1"/>
    <col min="24" max="24" width="17.5703125" style="56" hidden="1" customWidth="1"/>
    <col min="25" max="25" width="19.42578125" style="56" hidden="1" customWidth="1"/>
    <col min="26" max="26" width="19.85546875" style="56" hidden="1" customWidth="1"/>
    <col min="27" max="28" width="16.5703125" style="56" hidden="1" customWidth="1"/>
    <col min="29" max="30" width="8.5703125" style="56" hidden="1" customWidth="1"/>
    <col min="31" max="31" width="7" style="56" hidden="1" customWidth="1"/>
    <col min="32" max="32" width="17" style="56" hidden="1" customWidth="1"/>
    <col min="33" max="33" width="5.5703125" style="56" hidden="1" customWidth="1"/>
    <col min="34" max="34" width="10.42578125" style="56" hidden="1" customWidth="1"/>
    <col min="35" max="35" width="5.5703125" style="52" hidden="1" customWidth="1"/>
    <col min="36" max="36" width="31.5703125" style="52" customWidth="1"/>
    <col min="37" max="37" width="17" style="52" hidden="1" customWidth="1"/>
    <col min="38" max="42" width="13.5703125" style="52" hidden="1" customWidth="1"/>
    <col min="43" max="45" width="9.140625" style="52" hidden="1" customWidth="1"/>
    <col min="46" max="52" width="9.140625" style="52" customWidth="1"/>
    <col min="53" max="16384" width="9.140625" style="52"/>
  </cols>
  <sheetData>
    <row r="1" spans="1:51" ht="18.75" customHeight="1" thickBot="1">
      <c r="A1" s="81"/>
      <c r="B1" s="82"/>
      <c r="C1" s="82"/>
      <c r="D1" s="82"/>
      <c r="E1" s="82"/>
      <c r="F1" s="82"/>
      <c r="G1" s="82"/>
      <c r="H1" s="82"/>
      <c r="I1" s="82"/>
      <c r="J1" s="83"/>
      <c r="K1" s="82"/>
      <c r="L1" s="82"/>
      <c r="M1" s="82"/>
      <c r="N1" s="82"/>
      <c r="O1" s="82"/>
      <c r="P1" s="82"/>
      <c r="Q1" s="82"/>
      <c r="R1" s="82"/>
      <c r="S1" s="82"/>
      <c r="T1" s="82"/>
      <c r="U1" s="84"/>
      <c r="V1" s="207"/>
      <c r="W1" s="117"/>
      <c r="X1" s="135"/>
      <c r="Y1" s="534" t="str">
        <f>IF(ReportData!$C$3="Annual"," the year ending 31st March"," the quarter")</f>
        <v xml:space="preserve"> the year ending 31st March</v>
      </c>
      <c r="Z1" s="135"/>
      <c r="AA1" s="135"/>
      <c r="AB1" s="135"/>
      <c r="AC1" s="135"/>
      <c r="AD1" s="135"/>
      <c r="AE1" s="135"/>
      <c r="AF1" s="135"/>
      <c r="AG1" s="135"/>
      <c r="AH1" s="135"/>
      <c r="AI1" s="136"/>
      <c r="AJ1" s="118"/>
    </row>
    <row r="2" spans="1:51" ht="18.75" customHeight="1">
      <c r="A2" s="87"/>
      <c r="B2" s="888" t="s">
        <v>18</v>
      </c>
      <c r="C2" s="5"/>
      <c r="D2" s="5"/>
      <c r="E2" s="5"/>
      <c r="F2" s="5"/>
      <c r="G2" s="5"/>
      <c r="H2" s="5"/>
      <c r="I2" s="5"/>
      <c r="J2" s="1"/>
      <c r="K2" s="5"/>
      <c r="L2" s="5"/>
      <c r="M2" s="5"/>
      <c r="N2" s="5"/>
      <c r="O2" s="5"/>
      <c r="P2" s="5"/>
      <c r="Q2" s="5"/>
      <c r="R2" s="5"/>
      <c r="S2" s="5"/>
      <c r="T2" s="5"/>
      <c r="U2" s="86"/>
      <c r="V2" s="122"/>
      <c r="W2" s="114"/>
      <c r="X2" s="483">
        <f>IF(ReportData!$C$3="Annual",1,4)</f>
        <v>1</v>
      </c>
      <c r="Y2" s="461" t="str">
        <f>IF(ReportData!$C$3="Annual","",ReportData!$D$28)</f>
        <v/>
      </c>
      <c r="Z2" s="462" t="str">
        <f>IF(ReportData!$C$3="Annual","",ReportData!$E$28)</f>
        <v/>
      </c>
      <c r="AA2" s="462" t="str">
        <f>IF(ReportData!$C$3="Annual","",ReportData!$F$28)</f>
        <v/>
      </c>
      <c r="AB2" s="462" t="str">
        <f>IF(ReportData!$C$3="Annual","",ReportData!$G$28)</f>
        <v/>
      </c>
      <c r="AC2" s="463" t="str">
        <f>IF(ReportData!$C$3="Annual","",ReportData!$H$28)</f>
        <v/>
      </c>
      <c r="AJ2" s="119"/>
    </row>
    <row r="3" spans="1:51" ht="18.75" customHeight="1" thickBot="1">
      <c r="A3" s="91"/>
      <c r="B3" s="92"/>
      <c r="C3" s="92"/>
      <c r="D3" s="92"/>
      <c r="E3" s="92"/>
      <c r="F3" s="92"/>
      <c r="G3" s="92"/>
      <c r="H3" s="92"/>
      <c r="I3" s="200"/>
      <c r="J3" s="93"/>
      <c r="K3" s="92"/>
      <c r="L3" s="92"/>
      <c r="M3" s="92"/>
      <c r="N3" s="92"/>
      <c r="O3" s="92"/>
      <c r="P3" s="329"/>
      <c r="Q3" s="92"/>
      <c r="R3" s="92"/>
      <c r="S3" s="200"/>
      <c r="T3" s="92"/>
      <c r="U3" s="94"/>
      <c r="V3" s="122"/>
      <c r="W3" s="114"/>
      <c r="X3" s="464"/>
      <c r="Y3" s="464" t="str">
        <f>ReportData!$D$27</f>
        <v>2019/20</v>
      </c>
      <c r="Z3" s="465" t="str">
        <f>ReportData!$E$27</f>
        <v>2020/21</v>
      </c>
      <c r="AA3" s="465" t="str">
        <f>ReportData!$F$27</f>
        <v>2021/22</v>
      </c>
      <c r="AB3" s="465" t="str">
        <f>ReportData!$G$27</f>
        <v>2022/23</v>
      </c>
      <c r="AC3" s="466" t="str">
        <f>ReportData!$H$27</f>
        <v>2023/24</v>
      </c>
      <c r="AJ3" s="119"/>
    </row>
    <row r="4" spans="1:51" ht="11.25" customHeight="1">
      <c r="A4" s="81"/>
      <c r="B4" s="82"/>
      <c r="C4" s="82"/>
      <c r="D4" s="82"/>
      <c r="E4" s="82"/>
      <c r="F4" s="82"/>
      <c r="G4" s="82"/>
      <c r="H4" s="82"/>
      <c r="I4" s="82"/>
      <c r="J4" s="83"/>
      <c r="K4" s="82"/>
      <c r="L4" s="82"/>
      <c r="M4" s="82"/>
      <c r="N4" s="82"/>
      <c r="O4" s="82"/>
      <c r="P4" s="82"/>
      <c r="Q4" s="82"/>
      <c r="R4" s="82"/>
      <c r="S4" s="82"/>
      <c r="T4" s="82"/>
      <c r="U4" s="84"/>
      <c r="V4" s="119"/>
      <c r="W4" s="114"/>
      <c r="Y4" s="140" t="str">
        <f>Home!$D$5</f>
        <v>(none)</v>
      </c>
      <c r="Z4" s="25" t="str">
        <f>"Selected LA- "&amp;Y4</f>
        <v>Selected LA- (none)</v>
      </c>
      <c r="AJ4" s="119"/>
    </row>
    <row r="5" spans="1:51" ht="18.75" customHeight="1">
      <c r="A5" s="87"/>
      <c r="B5" s="1900" t="str">
        <f>"Children subject to Section 47 Enquiries which started in"&amp;Y1&amp;" [RIIA 208]"</f>
        <v>Children subject to Section 47 Enquiries which started in the year ending 31st March [RIIA 208]</v>
      </c>
      <c r="C5" s="1900"/>
      <c r="D5" s="1900"/>
      <c r="E5" s="1900"/>
      <c r="F5" s="1900"/>
      <c r="G5" s="1900"/>
      <c r="H5" s="1900"/>
      <c r="I5" s="1900"/>
      <c r="J5" s="1900"/>
      <c r="K5" s="1900"/>
      <c r="L5" s="1900"/>
      <c r="M5" s="1900"/>
      <c r="N5" s="1900"/>
      <c r="O5" s="1900"/>
      <c r="P5" s="1900"/>
      <c r="Q5" s="1900"/>
      <c r="R5" s="1900"/>
      <c r="S5" s="1900"/>
      <c r="T5" s="1900"/>
      <c r="U5" s="86"/>
      <c r="V5" s="119"/>
      <c r="W5" s="114"/>
      <c r="Y5" s="52"/>
      <c r="Z5" s="52"/>
      <c r="AA5" s="52"/>
      <c r="AB5" s="52"/>
      <c r="AC5" s="52"/>
      <c r="AD5" s="52"/>
      <c r="AE5" s="52"/>
      <c r="AF5" s="52"/>
      <c r="AG5" s="52"/>
      <c r="AH5" s="52"/>
      <c r="AJ5" s="119"/>
      <c r="AK5" s="52" t="str">
        <f>CONCATENATE($I$7,"in Number of "&amp;$B2)</f>
        <v>Average Annual Change in Number of Section 47 Enquiries</v>
      </c>
    </row>
    <row r="6" spans="1:51" ht="18.75" customHeight="1">
      <c r="A6" s="87"/>
      <c r="B6" s="1900"/>
      <c r="C6" s="1900"/>
      <c r="D6" s="1900"/>
      <c r="E6" s="1900"/>
      <c r="F6" s="1900"/>
      <c r="G6" s="1900"/>
      <c r="H6" s="1900"/>
      <c r="I6" s="1900"/>
      <c r="J6" s="1900"/>
      <c r="K6" s="1900"/>
      <c r="L6" s="1900"/>
      <c r="M6" s="1900"/>
      <c r="N6" s="1900"/>
      <c r="O6" s="1900"/>
      <c r="P6" s="1900"/>
      <c r="Q6" s="1900"/>
      <c r="R6" s="1900"/>
      <c r="S6" s="1900"/>
      <c r="T6" s="1900"/>
      <c r="U6" s="86"/>
      <c r="V6" s="119"/>
      <c r="W6" s="114"/>
      <c r="Y6" s="141"/>
      <c r="AJ6" s="119"/>
    </row>
    <row r="7" spans="1:51" s="61" customFormat="1" ht="13.5" customHeight="1">
      <c r="A7" s="88"/>
      <c r="B7" s="1749" t="s">
        <v>177</v>
      </c>
      <c r="C7" s="896"/>
      <c r="D7" s="1777" t="s">
        <v>84</v>
      </c>
      <c r="E7" s="1777"/>
      <c r="F7" s="1777"/>
      <c r="G7" s="1777"/>
      <c r="H7" s="1778"/>
      <c r="I7" s="1761" t="str">
        <f>"Average "&amp;ReportData!C3&amp;" Change "</f>
        <v xml:space="preserve">Average Annual Change </v>
      </c>
      <c r="J7" s="896"/>
      <c r="K7" s="1765" t="s">
        <v>85</v>
      </c>
      <c r="L7" s="1766"/>
      <c r="M7" s="1766"/>
      <c r="N7" s="1766"/>
      <c r="O7" s="1766"/>
      <c r="P7" s="1767"/>
      <c r="Q7" s="1761" t="str">
        <f>IF(ISNA(O8),"Rank "&amp;O10,"Rank "&amp;LEFT(O8,5)&amp;" "&amp;RIGHT(O8,2))</f>
        <v>Rank 2023/ 24</v>
      </c>
      <c r="R7" s="64"/>
      <c r="S7" s="1783" t="str">
        <f>"Distance from "&amp;ReportData!$B$8&amp;" Expected Rate based on IDACI"</f>
        <v>Distance from 2024 Expected Rate based on IDACI</v>
      </c>
      <c r="T7" s="1784"/>
      <c r="U7" s="89"/>
      <c r="V7" s="186"/>
      <c r="W7" s="115"/>
      <c r="AA7" s="153" t="s">
        <v>76</v>
      </c>
      <c r="AB7" s="141"/>
      <c r="AC7" s="141"/>
      <c r="AD7" s="149"/>
      <c r="AE7" s="149"/>
      <c r="AF7" s="154" t="s">
        <v>88</v>
      </c>
      <c r="AG7" s="141"/>
      <c r="AH7" s="141"/>
      <c r="AJ7" s="121"/>
      <c r="AK7" s="350"/>
      <c r="AL7" s="350"/>
      <c r="AM7" s="350"/>
      <c r="AN7" s="350"/>
      <c r="AO7" s="350"/>
      <c r="AP7" s="52"/>
      <c r="AQ7" s="52"/>
      <c r="AR7" s="52"/>
      <c r="AS7" s="52"/>
      <c r="AT7" s="52"/>
      <c r="AU7" s="52"/>
      <c r="AV7" s="52"/>
      <c r="AW7" s="52"/>
      <c r="AX7" s="52"/>
      <c r="AY7" s="52"/>
    </row>
    <row r="8" spans="1:51" s="61" customFormat="1" ht="13.5" customHeight="1">
      <c r="A8" s="217"/>
      <c r="B8" s="1749"/>
      <c r="C8" s="896"/>
      <c r="D8" s="1770" t="str">
        <f>ReportData!$D$27</f>
        <v>2019/20</v>
      </c>
      <c r="E8" s="1770" t="str">
        <f>ReportData!$E$27</f>
        <v>2020/21</v>
      </c>
      <c r="F8" s="1770" t="str">
        <f>ReportData!$F$27</f>
        <v>2021/22</v>
      </c>
      <c r="G8" s="1770" t="str">
        <f>ReportData!$G$27</f>
        <v>2022/23</v>
      </c>
      <c r="H8" s="1781" t="str">
        <f>ReportData!$H$27</f>
        <v>2023/24</v>
      </c>
      <c r="I8" s="1762"/>
      <c r="J8" s="896"/>
      <c r="K8" s="1770" t="str">
        <f>ReportData!$D$27</f>
        <v>2019/20</v>
      </c>
      <c r="L8" s="1770" t="str">
        <f>ReportData!$E$27</f>
        <v>2020/21</v>
      </c>
      <c r="M8" s="1770" t="str">
        <f>ReportData!$F$27</f>
        <v>2021/22</v>
      </c>
      <c r="N8" s="1770" t="str">
        <f>ReportData!$G$27</f>
        <v>2022/23</v>
      </c>
      <c r="O8" s="1789" t="str">
        <f>ReportData!$H$27</f>
        <v>2023/24</v>
      </c>
      <c r="P8" s="1790"/>
      <c r="Q8" s="1762"/>
      <c r="R8" s="64"/>
      <c r="S8" s="1785"/>
      <c r="T8" s="1786"/>
      <c r="U8" s="89"/>
      <c r="V8" s="103"/>
      <c r="W8" s="115"/>
      <c r="Y8" s="1772" t="s">
        <v>73</v>
      </c>
      <c r="Z8" s="1772" t="s">
        <v>74</v>
      </c>
      <c r="AA8" s="444" t="str">
        <f>ReportData!$D$27</f>
        <v>2019/20</v>
      </c>
      <c r="AB8" s="444" t="str">
        <f>ReportData!$E$27</f>
        <v>2020/21</v>
      </c>
      <c r="AC8" s="444" t="str">
        <f>ReportData!$F$27</f>
        <v>2021/22</v>
      </c>
      <c r="AD8" s="444" t="str">
        <f>ReportData!$G$27</f>
        <v>2022/23</v>
      </c>
      <c r="AE8" s="444" t="str">
        <f>ReportData!$H$27</f>
        <v>2023/24</v>
      </c>
      <c r="AF8" s="154"/>
      <c r="AG8" s="141"/>
      <c r="AH8" s="141"/>
      <c r="AJ8" s="121"/>
      <c r="AK8" s="109"/>
      <c r="AL8" s="109"/>
      <c r="AM8" s="109"/>
      <c r="AN8" s="109"/>
      <c r="AO8" s="109"/>
      <c r="AP8" s="52"/>
      <c r="AQ8" s="52"/>
      <c r="AR8" s="52"/>
      <c r="AS8" s="52"/>
      <c r="AT8" s="52"/>
      <c r="AU8" s="52"/>
      <c r="AV8" s="52"/>
      <c r="AW8" s="52"/>
      <c r="AX8" s="52"/>
      <c r="AY8" s="52"/>
    </row>
    <row r="9" spans="1:51" s="61" customFormat="1" ht="9" customHeight="1">
      <c r="A9" s="217"/>
      <c r="B9" s="1749"/>
      <c r="C9" s="896"/>
      <c r="D9" s="1771"/>
      <c r="E9" s="1771"/>
      <c r="F9" s="1771"/>
      <c r="G9" s="1771"/>
      <c r="H9" s="1782"/>
      <c r="I9" s="1762"/>
      <c r="J9" s="896"/>
      <c r="K9" s="1771"/>
      <c r="L9" s="1771"/>
      <c r="M9" s="1771"/>
      <c r="N9" s="1771"/>
      <c r="O9" s="1791"/>
      <c r="P9" s="1792"/>
      <c r="Q9" s="1762"/>
      <c r="R9" s="64"/>
      <c r="S9" s="1787"/>
      <c r="T9" s="1788"/>
      <c r="U9" s="89"/>
      <c r="V9" s="103"/>
      <c r="W9" s="918"/>
      <c r="Y9" s="1773"/>
      <c r="Z9" s="1773"/>
      <c r="AA9" s="444"/>
      <c r="AB9" s="444"/>
      <c r="AC9" s="444"/>
      <c r="AD9" s="444"/>
      <c r="AE9" s="444"/>
      <c r="AF9" s="154"/>
      <c r="AG9" s="141"/>
      <c r="AH9" s="141"/>
      <c r="AJ9" s="121"/>
      <c r="AK9" s="109"/>
      <c r="AL9" s="109"/>
      <c r="AM9" s="109"/>
      <c r="AN9" s="109"/>
      <c r="AO9" s="109"/>
      <c r="AP9" s="52"/>
      <c r="AQ9" s="52"/>
      <c r="AR9" s="52"/>
      <c r="AS9" s="52"/>
      <c r="AT9" s="52"/>
      <c r="AU9" s="52"/>
      <c r="AV9" s="52"/>
      <c r="AW9" s="52"/>
      <c r="AX9" s="52"/>
      <c r="AY9" s="52"/>
    </row>
    <row r="10" spans="1:51" s="61" customFormat="1" ht="13.5" customHeight="1">
      <c r="A10" s="88"/>
      <c r="B10" s="1764"/>
      <c r="C10" s="896"/>
      <c r="D10" s="897" t="e">
        <f>ReportData!$D$28</f>
        <v>#N/A</v>
      </c>
      <c r="E10" s="897" t="e">
        <f>ReportData!$E$28</f>
        <v>#N/A</v>
      </c>
      <c r="F10" s="897" t="e">
        <f>ReportData!$F$28</f>
        <v>#N/A</v>
      </c>
      <c r="G10" s="897" t="e">
        <f>ReportData!$G$28</f>
        <v>#N/A</v>
      </c>
      <c r="H10" s="920" t="e">
        <f>ReportData!$H$28</f>
        <v>#N/A</v>
      </c>
      <c r="I10" s="1763"/>
      <c r="J10" s="896"/>
      <c r="K10" s="897" t="e">
        <f>ReportData!$D$28</f>
        <v>#N/A</v>
      </c>
      <c r="L10" s="897" t="e">
        <f>ReportData!$E$28</f>
        <v>#N/A</v>
      </c>
      <c r="M10" s="897" t="e">
        <f>ReportData!$F$28</f>
        <v>#N/A</v>
      </c>
      <c r="N10" s="897" t="e">
        <f>ReportData!$G$28</f>
        <v>#N/A</v>
      </c>
      <c r="O10" s="1779" t="e">
        <f>ReportData!$H$28</f>
        <v>#N/A</v>
      </c>
      <c r="P10" s="1780"/>
      <c r="Q10" s="1763"/>
      <c r="R10" s="64"/>
      <c r="S10" s="898" t="s">
        <v>110</v>
      </c>
      <c r="T10" s="899" t="s">
        <v>111</v>
      </c>
      <c r="U10" s="89"/>
      <c r="V10" s="103"/>
      <c r="W10" s="115"/>
      <c r="Y10" s="1774"/>
      <c r="Z10" s="1774"/>
      <c r="AA10" s="444" t="e">
        <f>ReportData!$D$28</f>
        <v>#N/A</v>
      </c>
      <c r="AB10" s="444" t="e">
        <f>ReportData!$E$28</f>
        <v>#N/A</v>
      </c>
      <c r="AC10" s="444" t="e">
        <f>ReportData!$F$28</f>
        <v>#N/A</v>
      </c>
      <c r="AD10" s="444" t="e">
        <f>ReportData!$G$28</f>
        <v>#N/A</v>
      </c>
      <c r="AE10" s="444" t="e">
        <f>ReportData!$H$28</f>
        <v>#N/A</v>
      </c>
      <c r="AF10" s="141"/>
      <c r="AG10" s="141">
        <f>COLUMNS($B$4:O$4)</f>
        <v>14</v>
      </c>
      <c r="AH10" s="141"/>
      <c r="AJ10" s="121"/>
      <c r="AK10" s="479" t="s">
        <v>598</v>
      </c>
      <c r="AL10" s="479" t="s">
        <v>599</v>
      </c>
      <c r="AM10" s="479" t="s">
        <v>600</v>
      </c>
      <c r="AN10" s="479" t="s">
        <v>601</v>
      </c>
      <c r="AO10" s="479" t="s">
        <v>602</v>
      </c>
      <c r="AP10" s="52"/>
      <c r="AQ10" s="52"/>
      <c r="AR10" s="52"/>
      <c r="AS10" s="52"/>
      <c r="AT10" s="52"/>
      <c r="AU10" s="52"/>
      <c r="AV10" s="52"/>
      <c r="AW10" s="52"/>
      <c r="AX10" s="52"/>
      <c r="AY10" s="52"/>
    </row>
    <row r="11" spans="1:51" s="61" customFormat="1" ht="15.75" customHeight="1">
      <c r="A11" s="1103">
        <f>VLOOKUP(B11,ReportData!$AQ$4:$AR$25,2,FALSE)</f>
        <v>0</v>
      </c>
      <c r="B11" s="885" t="str">
        <f>ReportData!$K$4</f>
        <v>Bracknell Forest</v>
      </c>
      <c r="C11" s="896"/>
      <c r="D11" s="889">
        <f>IF(Year1_Bracknell_Forest Year1_CIN_Section47="","",Year1_Bracknell_Forest Year1_CIN_Section47)</f>
        <v>818</v>
      </c>
      <c r="E11" s="889">
        <f>IF(Year2_Bracknell_Forest Year2_CIN_Section47="","",Year2_Bracknell_Forest Year2_CIN_Section47)</f>
        <v>871</v>
      </c>
      <c r="F11" s="889">
        <f>IF(Year3_Bracknell_Forest Year3_CIN_Section47="","",Year3_Bracknell_Forest Year3_CIN_Section47)</f>
        <v>858</v>
      </c>
      <c r="G11" s="889">
        <f>IF(Year4_Bracknell_Forest Year4_CIN_Section47="","",Year4_Bracknell_Forest Year4_CIN_Section47)</f>
        <v>859</v>
      </c>
      <c r="H11" s="890">
        <f>IF(Year5_Bracknell_Forest Year5_CIN_Section47="","",Year5_Bracknell_Forest Year5_CIN_Section47)</f>
        <v>698</v>
      </c>
      <c r="I11" s="900">
        <f t="shared" ref="I11:I25" si="0">AO11</f>
        <v>-3.4098734226897166E-2</v>
      </c>
      <c r="J11" s="896"/>
      <c r="K11" s="901">
        <f>IF(ISNUMBER(D11),D11/Population!D11*10000,NA())</f>
        <v>299.65565242874936</v>
      </c>
      <c r="L11" s="901">
        <f>IF(ISNUMBER(E11),E11/Population!E11*10000,NA())</f>
        <v>315.64832934695949</v>
      </c>
      <c r="M11" s="901">
        <f>IF(ISNUMBER(F11),F11/Population!F11*10000,NA())</f>
        <v>308.3779606800129</v>
      </c>
      <c r="N11" s="901">
        <f>IF(ISNUMBER(G11),G11/Population!G11*10000,NA())</f>
        <v>303.21214260501233</v>
      </c>
      <c r="O11" s="902">
        <f>IF(ISNUMBER(H11),H11/Population!H11*10000,NA())</f>
        <v>243.65553112018711</v>
      </c>
      <c r="P11" s="903">
        <f>IF(ISNUMBER(O11),O11,"")</f>
        <v>243.65553112018711</v>
      </c>
      <c r="Q11" s="904">
        <f t="shared" ref="Q11:Q31" si="1">IF(ISNA(VLOOKUP(B11,$AF$11:$AH$29,3,FALSE)),"--",IF(ISNUMBER(H11),VLOOKUP(B11,$AF$11:$AH$29,3,FALSE),NA()))</f>
        <v>11</v>
      </c>
      <c r="R11" s="64"/>
      <c r="S11" s="905">
        <f>((AQ38*$Y$41)+$Z$41)/$X$2</f>
        <v>144.3739688168917</v>
      </c>
      <c r="T11" s="906">
        <f t="shared" ref="T11:T31" si="2">O11-S11</f>
        <v>99.281562303295402</v>
      </c>
      <c r="U11" s="89"/>
      <c r="V11" s="103"/>
      <c r="W11" s="115"/>
      <c r="X11" s="51" t="str">
        <f t="shared" ref="X11:X31" si="3">B11</f>
        <v>Bracknell Forest</v>
      </c>
      <c r="Y11" s="27">
        <f>IF(ISNUMBER($H11),IDACI!D9,0)</f>
        <v>24849</v>
      </c>
      <c r="Z11" s="27">
        <f>IF(ISNUMBER($H11),IDACI!E9,0)</f>
        <v>2211.5610000000001</v>
      </c>
      <c r="AA11" s="155">
        <f>IF(ISNUMBER(D11),Population!D11,"")</f>
        <v>27298</v>
      </c>
      <c r="AB11" s="155">
        <f>IF(ISNUMBER(E11),Population!E11,"")</f>
        <v>27594</v>
      </c>
      <c r="AC11" s="155">
        <f>IF(ISNUMBER(F11),Population!F11,"")</f>
        <v>27823</v>
      </c>
      <c r="AD11" s="155">
        <f>IF(ISNUMBER(G11),Population!G11,"")</f>
        <v>28330</v>
      </c>
      <c r="AE11" s="155">
        <f>IF(ISNUMBER(H11),Population!H11,"")</f>
        <v>28647</v>
      </c>
      <c r="AF11" s="65" t="str">
        <f>B11</f>
        <v>Bracknell Forest</v>
      </c>
      <c r="AG11" s="70">
        <f t="shared" ref="AG11:AG29" si="4">IFERROR(VLOOKUP(AF11,$B$11:$O$29,$AG$10,FALSE),"")</f>
        <v>243.65553112018711</v>
      </c>
      <c r="AH11" s="156">
        <f t="shared" ref="AH11:AH29" si="5">RANK(AG11,$AG$11:$AG$29,1)</f>
        <v>11</v>
      </c>
      <c r="AJ11" s="121"/>
      <c r="AK11" s="480">
        <f t="shared" ref="AK11:AK29" si="6">IF(ISERROR((E11-D11)/D11),"x",(E11-D11)/D11)</f>
        <v>6.4792176039119798E-2</v>
      </c>
      <c r="AL11" s="480">
        <f t="shared" ref="AL11:AL29" si="7">IF(ISERROR((F11-E11)/E11),"x",(F11-E11)/E11)</f>
        <v>-1.4925373134328358E-2</v>
      </c>
      <c r="AM11" s="480">
        <f t="shared" ref="AM11:AM29" si="8">IF(ISERROR((G11-F11)/F11),"x",(G11-F11)/F11)</f>
        <v>1.1655011655011655E-3</v>
      </c>
      <c r="AN11" s="480">
        <f t="shared" ref="AN11:AN29" si="9">IF(ISERROR((H11-G11)/G11),"x",(H11-G11)/G11)</f>
        <v>-0.18742724097788127</v>
      </c>
      <c r="AO11" s="480">
        <f>AVERAGE(AK11:AN11)</f>
        <v>-3.4098734226897166E-2</v>
      </c>
      <c r="AP11" s="52"/>
      <c r="AQ11" s="52"/>
      <c r="AR11" s="52"/>
      <c r="AS11" s="52"/>
      <c r="AT11" s="52"/>
      <c r="AU11" s="52"/>
      <c r="AV11" s="52"/>
      <c r="AW11" s="52"/>
      <c r="AX11" s="52"/>
      <c r="AY11" s="52"/>
    </row>
    <row r="12" spans="1:51" s="61" customFormat="1" ht="15.75" customHeight="1">
      <c r="A12" s="1103">
        <f>VLOOKUP(B12,ReportData!$AQ$4:$AR$25,2,FALSE)</f>
        <v>0</v>
      </c>
      <c r="B12" s="885" t="str">
        <f>ReportData!$K$5</f>
        <v>Brighton &amp; Hove</v>
      </c>
      <c r="C12" s="896"/>
      <c r="D12" s="889">
        <f>IF(Year1_Brighton_and_Hove Year1_CIN_Section47="","",Year1_Brighton_and_Hove Year1_CIN_Section47)</f>
        <v>844</v>
      </c>
      <c r="E12" s="889">
        <f>IF(Year2_Brighton_and_Hove Year2_CIN_Section47="","",Year2_Brighton_and_Hove Year2_CIN_Section47)</f>
        <v>776</v>
      </c>
      <c r="F12" s="889">
        <f>IF(Year3_Brighton_and_Hove Year3_CIN_Section47="","",Year3_Brighton_and_Hove Year3_CIN_Section47)</f>
        <v>811</v>
      </c>
      <c r="G12" s="889">
        <f>IF(Year4_Brighton_and_Hove Year4_CIN_Section47="","",Year4_Brighton_and_Hove Year4_CIN_Section47)</f>
        <v>1127</v>
      </c>
      <c r="H12" s="890">
        <f>IF(Year5_Brighton_and_Hove Year5_CIN_Section47="","",Year5_Brighton_and_Hove Year5_CIN_Section47)</f>
        <v>1224</v>
      </c>
      <c r="I12" s="900">
        <f t="shared" si="0"/>
        <v>0.11006149986664787</v>
      </c>
      <c r="J12" s="896"/>
      <c r="K12" s="901">
        <f>IF(ISNUMBER(D12),D12/Population!D12*10000,NA())</f>
        <v>174.37295979504978</v>
      </c>
      <c r="L12" s="901">
        <f>IF(ISNUMBER(E12),E12/Population!E12*10000,NA())</f>
        <v>161.788007672421</v>
      </c>
      <c r="M12" s="901">
        <f>IF(ISNUMBER(F12),F12/Population!F12*10000,NA())</f>
        <v>172.09549071618036</v>
      </c>
      <c r="N12" s="901">
        <f>IF(ISNUMBER(G12),G12/Population!G12*10000,NA())</f>
        <v>239.07509546033094</v>
      </c>
      <c r="O12" s="902">
        <f>IF(ISNUMBER(H12),H12/Population!H12*10000,NA())</f>
        <v>262.28946127801822</v>
      </c>
      <c r="P12" s="903">
        <f t="shared" ref="P12:P25" si="10">IF(ISNUMBER(O12),O12,"")</f>
        <v>262.28946127801822</v>
      </c>
      <c r="Q12" s="904">
        <f t="shared" si="1"/>
        <v>13</v>
      </c>
      <c r="R12" s="64"/>
      <c r="S12" s="905">
        <f>((AQ39*$Y$41)+$Z$41)/$X$2</f>
        <v>187.4547058930678</v>
      </c>
      <c r="T12" s="906">
        <f t="shared" si="2"/>
        <v>74.834755384950427</v>
      </c>
      <c r="U12" s="89"/>
      <c r="V12" s="103"/>
      <c r="W12" s="115"/>
      <c r="X12" s="51" t="str">
        <f t="shared" si="3"/>
        <v>Brighton &amp; Hove</v>
      </c>
      <c r="Y12" s="27">
        <f>IF(ISNUMBER($H12),IDACI!D10,0)</f>
        <v>45576</v>
      </c>
      <c r="Z12" s="27">
        <f>IF(ISNUMBER($H12),IDACI!E10,0)</f>
        <v>6973.1279999999997</v>
      </c>
      <c r="AA12" s="155">
        <f>IF(ISNUMBER(D12),Population!D12,"")</f>
        <v>48402</v>
      </c>
      <c r="AB12" s="155">
        <f>IF(ISNUMBER(E12),Population!E12,"")</f>
        <v>47964</v>
      </c>
      <c r="AC12" s="155">
        <f>IF(ISNUMBER(F12),Population!F12,"")</f>
        <v>47125</v>
      </c>
      <c r="AD12" s="155">
        <f>IF(ISNUMBER(G12),Population!G12,"")</f>
        <v>47140</v>
      </c>
      <c r="AE12" s="155">
        <f>IF(ISNUMBER(H12),Population!H12,"")</f>
        <v>46666</v>
      </c>
      <c r="AF12" s="65" t="s">
        <v>28</v>
      </c>
      <c r="AG12" s="70">
        <f t="shared" si="4"/>
        <v>262.28946127801822</v>
      </c>
      <c r="AH12" s="156">
        <f t="shared" si="5"/>
        <v>13</v>
      </c>
      <c r="AJ12" s="121"/>
      <c r="AK12" s="480">
        <f t="shared" si="6"/>
        <v>-8.0568720379146919E-2</v>
      </c>
      <c r="AL12" s="480">
        <f t="shared" si="7"/>
        <v>4.5103092783505154E-2</v>
      </c>
      <c r="AM12" s="480">
        <f t="shared" si="8"/>
        <v>0.38964241676942046</v>
      </c>
      <c r="AN12" s="480">
        <f t="shared" si="9"/>
        <v>8.6069210292812781E-2</v>
      </c>
      <c r="AO12" s="480">
        <f t="shared" ref="AO12:AO25" si="11">AVERAGE(AK12:AN12)</f>
        <v>0.11006149986664787</v>
      </c>
      <c r="AP12" s="52"/>
      <c r="AQ12" s="52"/>
      <c r="AR12" s="52"/>
      <c r="AS12" s="52"/>
      <c r="AT12" s="52"/>
      <c r="AU12" s="52"/>
      <c r="AV12" s="52"/>
      <c r="AW12" s="52"/>
      <c r="AX12" s="52"/>
      <c r="AY12" s="52"/>
    </row>
    <row r="13" spans="1:51" s="61" customFormat="1" ht="15.75" customHeight="1">
      <c r="A13" s="1103">
        <f>VLOOKUP(B13,ReportData!$AQ$4:$AR$25,2,FALSE)</f>
        <v>0</v>
      </c>
      <c r="B13" s="885" t="str">
        <f>ReportData!$K$6</f>
        <v>Buckinghamshire</v>
      </c>
      <c r="C13" s="896"/>
      <c r="D13" s="889">
        <f>IF(Year1_Buckinghamshire Year1_CIN_Section47="","",Year1_Buckinghamshire Year1_CIN_Section47)</f>
        <v>2414</v>
      </c>
      <c r="E13" s="889">
        <f>IF(Year2_Buckinghamshire Year2_CIN_Section47="","",Year2_Buckinghamshire Year2_CIN_Section47)</f>
        <v>2454</v>
      </c>
      <c r="F13" s="889">
        <f>IF(Year3_Buckinghamshire Year3_CIN_Section47="","",Year3_Buckinghamshire Year3_CIN_Section47)</f>
        <v>3557</v>
      </c>
      <c r="G13" s="889">
        <f>IF(Year4_Buckinghamshire Year4_CIN_Section47="","",Year4_Buckinghamshire Year4_CIN_Section47)</f>
        <v>2850</v>
      </c>
      <c r="H13" s="890">
        <f>IF(Year5_Buckinghamshire Year5_CIN_Section47="","",Year5_Buckinghamshire Year5_CIN_Section47)</f>
        <v>2717</v>
      </c>
      <c r="I13" s="900">
        <f t="shared" si="0"/>
        <v>5.5152647934213032E-2</v>
      </c>
      <c r="J13" s="896"/>
      <c r="K13" s="901">
        <f>IF(ISNUMBER(D13),D13/Population!D13*10000,NA())</f>
        <v>197.64690470537184</v>
      </c>
      <c r="L13" s="901">
        <f>IF(ISNUMBER(E13),E13/Population!E13*10000,NA())</f>
        <v>200.33470753908321</v>
      </c>
      <c r="M13" s="901">
        <f>IF(ISNUMBER(F13),F13/Population!F13*10000,NA())</f>
        <v>287.99287507084449</v>
      </c>
      <c r="N13" s="901">
        <f>IF(ISNUMBER(G13),G13/Population!G13*10000,NA())</f>
        <v>226.34316801016561</v>
      </c>
      <c r="O13" s="902">
        <f>IF(ISNUMBER(H13),H13/Population!H13*10000,NA())</f>
        <v>212.90433801404211</v>
      </c>
      <c r="P13" s="903">
        <f t="shared" si="10"/>
        <v>212.90433801404211</v>
      </c>
      <c r="Q13" s="904">
        <f t="shared" si="1"/>
        <v>10</v>
      </c>
      <c r="R13" s="64"/>
      <c r="S13" s="905">
        <f t="shared" ref="S13:S31" si="12">((AQ40*$Y$41)+$Z$41)/$X$2</f>
        <v>141.68142274963068</v>
      </c>
      <c r="T13" s="906">
        <f t="shared" si="2"/>
        <v>71.222915264411427</v>
      </c>
      <c r="U13" s="89"/>
      <c r="V13" s="103"/>
      <c r="W13" s="115"/>
      <c r="X13" s="51" t="str">
        <f t="shared" si="3"/>
        <v>Buckinghamshire</v>
      </c>
      <c r="Y13" s="27">
        <f>IF(ISNUMBER($H13),IDACI!D11,0)</f>
        <v>107385</v>
      </c>
      <c r="Z13" s="27">
        <f>IF(ISNUMBER($H13),IDACI!E11,0)</f>
        <v>9127.7250000000004</v>
      </c>
      <c r="AA13" s="155">
        <f>IF(ISNUMBER(D13),Population!D13,"")</f>
        <v>122137</v>
      </c>
      <c r="AB13" s="155">
        <f>IF(ISNUMBER(E13),Population!E13,"")</f>
        <v>122495</v>
      </c>
      <c r="AC13" s="155">
        <f>IF(ISNUMBER(F13),Population!F13,"")</f>
        <v>123510</v>
      </c>
      <c r="AD13" s="155">
        <f>IF(ISNUMBER(G13),Population!G13,"")</f>
        <v>125915</v>
      </c>
      <c r="AE13" s="155">
        <f>IF(ISNUMBER(H13),Population!H13,"")</f>
        <v>127616</v>
      </c>
      <c r="AF13" s="65" t="s">
        <v>8</v>
      </c>
      <c r="AG13" s="70">
        <f t="shared" si="4"/>
        <v>212.90433801404211</v>
      </c>
      <c r="AH13" s="156">
        <f t="shared" si="5"/>
        <v>10</v>
      </c>
      <c r="AJ13" s="121"/>
      <c r="AK13" s="480">
        <f t="shared" si="6"/>
        <v>1.6570008285004142E-2</v>
      </c>
      <c r="AL13" s="480">
        <f t="shared" si="7"/>
        <v>0.44947025264873675</v>
      </c>
      <c r="AM13" s="480">
        <f t="shared" si="8"/>
        <v>-0.19876300253022211</v>
      </c>
      <c r="AN13" s="480">
        <f t="shared" si="9"/>
        <v>-4.6666666666666669E-2</v>
      </c>
      <c r="AO13" s="480">
        <f t="shared" si="11"/>
        <v>5.5152647934213032E-2</v>
      </c>
      <c r="AP13" s="52"/>
      <c r="AQ13" s="52"/>
      <c r="AR13" s="52"/>
      <c r="AS13" s="52"/>
      <c r="AT13" s="52"/>
      <c r="AU13" s="52"/>
      <c r="AV13" s="52"/>
      <c r="AW13" s="52"/>
      <c r="AX13" s="52"/>
      <c r="AY13" s="52"/>
    </row>
    <row r="14" spans="1:51" s="61" customFormat="1" ht="15.75" customHeight="1">
      <c r="A14" s="1103">
        <f>VLOOKUP(B14,ReportData!$AQ$4:$AR$25,2,FALSE)</f>
        <v>0</v>
      </c>
      <c r="B14" s="885" t="str">
        <f>ReportData!$K$7</f>
        <v>East Sussex</v>
      </c>
      <c r="C14" s="896"/>
      <c r="D14" s="889">
        <f>IF(Year1_East_Sussex Year1_CIN_Section47="","",Year1_East_Sussex Year1_CIN_Section47)</f>
        <v>1331</v>
      </c>
      <c r="E14" s="889">
        <f>IF(Year2_East_Sussex Year2_CIN_Section47="","",Year2_East_Sussex Year2_CIN_Section47)</f>
        <v>1684</v>
      </c>
      <c r="F14" s="889">
        <f>IF(Year3_East_Sussex Year3_CIN_Section47="","",Year3_East_Sussex Year3_CIN_Section47)</f>
        <v>1597</v>
      </c>
      <c r="G14" s="889">
        <f>IF(Year4_East_Sussex Year4_CIN_Section47="","",Year4_East_Sussex Year4_CIN_Section47)</f>
        <v>1372</v>
      </c>
      <c r="H14" s="890">
        <f>IF(Year5_East_Sussex Year5_CIN_Section47="","",Year5_East_Sussex Year5_CIN_Section47)</f>
        <v>1273</v>
      </c>
      <c r="I14" s="900">
        <f t="shared" si="0"/>
        <v>1.2620382224158913E-4</v>
      </c>
      <c r="J14" s="896"/>
      <c r="K14" s="901">
        <f>IF(ISNUMBER(D14),D14/Population!D14*10000,NA())</f>
        <v>129.32249006519564</v>
      </c>
      <c r="L14" s="901">
        <f>IF(ISNUMBER(E14),E14/Population!E14*10000,NA())</f>
        <v>164.42261689725541</v>
      </c>
      <c r="M14" s="901">
        <f>IF(ISNUMBER(F14),F14/Population!F14*10000,NA())</f>
        <v>156.63158720662227</v>
      </c>
      <c r="N14" s="901">
        <f>IF(ISNUMBER(G14),G14/Population!G14*10000,NA())</f>
        <v>133.43058594699733</v>
      </c>
      <c r="O14" s="902">
        <f>IF(ISNUMBER(H14),H14/Population!H14*10000,NA())</f>
        <v>122.86933189197536</v>
      </c>
      <c r="P14" s="903">
        <f t="shared" si="10"/>
        <v>122.86933189197536</v>
      </c>
      <c r="Q14" s="904">
        <f t="shared" si="1"/>
        <v>3</v>
      </c>
      <c r="R14" s="64"/>
      <c r="S14" s="905">
        <f t="shared" si="12"/>
        <v>192.83979802758981</v>
      </c>
      <c r="T14" s="906">
        <f t="shared" si="2"/>
        <v>-69.970466135614444</v>
      </c>
      <c r="U14" s="89"/>
      <c r="V14" s="103"/>
      <c r="W14" s="115"/>
      <c r="X14" s="51" t="str">
        <f t="shared" si="3"/>
        <v>East Sussex</v>
      </c>
      <c r="Y14" s="27">
        <f>IF(ISNUMBER($H14),IDACI!D12,0)</f>
        <v>93130</v>
      </c>
      <c r="Z14" s="27">
        <f>IF(ISNUMBER($H14),IDACI!E12,0)</f>
        <v>14993.93</v>
      </c>
      <c r="AA14" s="155">
        <f>IF(ISNUMBER(D14),Population!D14,"")</f>
        <v>102921</v>
      </c>
      <c r="AB14" s="155">
        <f>IF(ISNUMBER(E14),Population!E14,"")</f>
        <v>102419</v>
      </c>
      <c r="AC14" s="155">
        <f>IF(ISNUMBER(F14),Population!F14,"")</f>
        <v>101959</v>
      </c>
      <c r="AD14" s="155">
        <f>IF(ISNUMBER(G14),Population!G14,"")</f>
        <v>102825</v>
      </c>
      <c r="AE14" s="155">
        <f>IF(ISNUMBER(H14),Population!H14,"")</f>
        <v>103606</v>
      </c>
      <c r="AF14" s="65" t="s">
        <v>4</v>
      </c>
      <c r="AG14" s="70">
        <f t="shared" si="4"/>
        <v>122.86933189197536</v>
      </c>
      <c r="AH14" s="156">
        <f t="shared" si="5"/>
        <v>3</v>
      </c>
      <c r="AJ14" s="121"/>
      <c r="AK14" s="480">
        <f t="shared" si="6"/>
        <v>0.26521412471825695</v>
      </c>
      <c r="AL14" s="480">
        <f t="shared" si="7"/>
        <v>-5.1662707838479809E-2</v>
      </c>
      <c r="AM14" s="480">
        <f t="shared" si="8"/>
        <v>-0.14088916718847841</v>
      </c>
      <c r="AN14" s="480">
        <f t="shared" si="9"/>
        <v>-7.2157434402332368E-2</v>
      </c>
      <c r="AO14" s="480">
        <f t="shared" si="11"/>
        <v>1.2620382224158913E-4</v>
      </c>
      <c r="AP14" s="52"/>
      <c r="AQ14" s="52"/>
      <c r="AR14" s="52"/>
      <c r="AS14" s="52"/>
      <c r="AT14" s="52"/>
      <c r="AU14" s="52"/>
      <c r="AV14" s="52"/>
      <c r="AW14" s="52"/>
      <c r="AX14" s="52"/>
      <c r="AY14" s="52"/>
    </row>
    <row r="15" spans="1:51" s="61" customFormat="1" ht="15.75" customHeight="1">
      <c r="A15" s="1103">
        <f>VLOOKUP(B15,ReportData!$AQ$4:$AR$25,2,FALSE)</f>
        <v>0</v>
      </c>
      <c r="B15" s="885" t="str">
        <f>ReportData!$K$8</f>
        <v>Hampshire</v>
      </c>
      <c r="C15" s="896"/>
      <c r="D15" s="889">
        <f>IF(Year1_Hampshire Year1_CIN_Section47="","",Year1_Hampshire Year1_CIN_Section47)</f>
        <v>5035</v>
      </c>
      <c r="E15" s="889">
        <f>IF(Year2_Hampshire Year2_CIN_Section47="","",Year2_Hampshire Year2_CIN_Section47)</f>
        <v>6048</v>
      </c>
      <c r="F15" s="891">
        <f>IF(Year3_Hampshire Year3_CIN_Section47="","",Year3_Hampshire Year3_CIN_Section47)</f>
        <v>7948</v>
      </c>
      <c r="G15" s="891">
        <f>IF(Year4_Hampshire Year4_CIN_Section47="","",Year4_Hampshire Year4_CIN_Section47)</f>
        <v>8439</v>
      </c>
      <c r="H15" s="890" t="str">
        <f>IF(Year5_Hampshire Year5_CIN_Section47="","",Year5_Hampshire Year5_CIN_Section47)</f>
        <v>u</v>
      </c>
      <c r="I15" s="900">
        <f t="shared" si="0"/>
        <v>0.19237388170127823</v>
      </c>
      <c r="J15" s="896"/>
      <c r="K15" s="901">
        <f>IF(ISNUMBER(D15),D15/Population!D15*10000,NA())</f>
        <v>180.24629483783204</v>
      </c>
      <c r="L15" s="901">
        <f>IF(ISNUMBER(E15),E15/Population!E15*10000,NA())</f>
        <v>216.40498647468834</v>
      </c>
      <c r="M15" s="901">
        <f>IF(ISNUMBER(F15),F15/Population!F15*10000,NA())</f>
        <v>282.91845982436843</v>
      </c>
      <c r="N15" s="901">
        <f>IF(ISNUMBER(G15),G15/Population!G15*10000,NA())</f>
        <v>297.68560815839879</v>
      </c>
      <c r="O15" s="902" t="e">
        <f>IF(ISNUMBER(H15),H15/Population!H15*10000,NA())</f>
        <v>#N/A</v>
      </c>
      <c r="P15" s="903" t="str">
        <f t="shared" si="10"/>
        <v/>
      </c>
      <c r="Q15" s="904" t="e">
        <f t="shared" si="1"/>
        <v>#N/A</v>
      </c>
      <c r="R15" s="64"/>
      <c r="S15" s="905">
        <f t="shared" si="12"/>
        <v>152.45160701867474</v>
      </c>
      <c r="T15" s="906" t="e">
        <f t="shared" si="2"/>
        <v>#N/A</v>
      </c>
      <c r="U15" s="89"/>
      <c r="V15" s="103"/>
      <c r="W15" s="115"/>
      <c r="X15" s="51" t="str">
        <f t="shared" si="3"/>
        <v>Hampshire</v>
      </c>
      <c r="Y15" s="27">
        <f>IF(ISNUMBER($H15),IDACI!D13,0)</f>
        <v>0</v>
      </c>
      <c r="Z15" s="27">
        <f>IF(ISNUMBER($H15),IDACI!E13,0)</f>
        <v>0</v>
      </c>
      <c r="AA15" s="155">
        <f>IF(ISNUMBER(D15),Population!D15,"")</f>
        <v>279340</v>
      </c>
      <c r="AB15" s="155">
        <f>IF(ISNUMBER(E15),Population!E15,"")</f>
        <v>279476</v>
      </c>
      <c r="AC15" s="155">
        <f>IF(ISNUMBER(F15),Population!F15,"")</f>
        <v>280929</v>
      </c>
      <c r="AD15" s="155">
        <f>IF(ISNUMBER(G15),Population!G15,"")</f>
        <v>283487</v>
      </c>
      <c r="AE15" s="155" t="str">
        <f>IF(ISNUMBER(H15),Population!H15,"")</f>
        <v/>
      </c>
      <c r="AF15" s="65" t="s">
        <v>6</v>
      </c>
      <c r="AG15" s="70" t="str">
        <f t="shared" si="4"/>
        <v/>
      </c>
      <c r="AH15" s="156" t="e">
        <f t="shared" si="5"/>
        <v>#VALUE!</v>
      </c>
      <c r="AJ15" s="121"/>
      <c r="AK15" s="480">
        <f t="shared" si="6"/>
        <v>0.20119165839126119</v>
      </c>
      <c r="AL15" s="480">
        <f t="shared" si="7"/>
        <v>0.31415343915343913</v>
      </c>
      <c r="AM15" s="480">
        <f t="shared" si="8"/>
        <v>6.1776547559134372E-2</v>
      </c>
      <c r="AN15" s="480" t="str">
        <f t="shared" si="9"/>
        <v>x</v>
      </c>
      <c r="AO15" s="480">
        <f t="shared" si="11"/>
        <v>0.19237388170127823</v>
      </c>
      <c r="AP15" s="52"/>
      <c r="AQ15" s="52"/>
      <c r="AR15" s="52"/>
      <c r="AS15" s="52"/>
      <c r="AT15" s="52"/>
      <c r="AU15" s="52"/>
      <c r="AV15" s="52"/>
      <c r="AW15" s="52"/>
      <c r="AX15" s="52"/>
      <c r="AY15" s="52"/>
    </row>
    <row r="16" spans="1:51" s="61" customFormat="1" ht="15.75" customHeight="1">
      <c r="A16" s="1103">
        <f>VLOOKUP(B16,ReportData!$AQ$4:$AR$25,2,FALSE)</f>
        <v>0</v>
      </c>
      <c r="B16" s="885" t="str">
        <f>ReportData!$K$9</f>
        <v>Isle of Wight</v>
      </c>
      <c r="C16" s="896"/>
      <c r="D16" s="889">
        <f>IF(Year1_Isle_of_Wight Year1_CIN_Section47="","",Year1_Isle_of_Wight Year1_CIN_Section47)</f>
        <v>641</v>
      </c>
      <c r="E16" s="889">
        <f>IF(Year2_Isle_of_Wight Year2_CIN_Section47="","",Year2_Isle_of_Wight Year2_CIN_Section47)</f>
        <v>889</v>
      </c>
      <c r="F16" s="889">
        <f>IF(Year3_Isle_of_Wight Year3_CIN_Section47="","",Year3_Isle_of_Wight Year3_CIN_Section47)</f>
        <v>1002</v>
      </c>
      <c r="G16" s="889">
        <f>IF(Year4_Isle_of_Wight Year4_CIN_Section47="","",Year4_Isle_of_Wight Year4_CIN_Section47)</f>
        <v>1087</v>
      </c>
      <c r="H16" s="890">
        <f>IF(Year5_Isle_of_Wight Year5_CIN_Section47="","",Year5_Isle_of_Wight Year5_CIN_Section47)</f>
        <v>1166</v>
      </c>
      <c r="I16" s="900">
        <f t="shared" si="0"/>
        <v>0.16787800485443832</v>
      </c>
      <c r="J16" s="896"/>
      <c r="K16" s="901">
        <f>IF(ISNUMBER(D16),D16/Population!D16*10000,NA())</f>
        <v>263.77515328587299</v>
      </c>
      <c r="L16" s="901">
        <f>IF(ISNUMBER(E16),E16/Population!E16*10000,NA())</f>
        <v>372.09107651096599</v>
      </c>
      <c r="M16" s="901">
        <f>IF(ISNUMBER(F16),F16/Population!F16*10000,NA())</f>
        <v>423.9295989169064</v>
      </c>
      <c r="N16" s="901">
        <f>IF(ISNUMBER(G16),G16/Population!G16*10000,NA())</f>
        <v>461.88493243817459</v>
      </c>
      <c r="O16" s="902">
        <f>IF(ISNUMBER(H16),H16/Population!H16*10000,NA())</f>
        <v>497.48272036863216</v>
      </c>
      <c r="P16" s="903">
        <f t="shared" si="10"/>
        <v>497.48272036863216</v>
      </c>
      <c r="Q16" s="904">
        <f t="shared" si="1"/>
        <v>18</v>
      </c>
      <c r="R16" s="64"/>
      <c r="S16" s="905">
        <f t="shared" si="12"/>
        <v>205.62939184707957</v>
      </c>
      <c r="T16" s="906">
        <f t="shared" si="2"/>
        <v>291.85332852155261</v>
      </c>
      <c r="U16" s="89"/>
      <c r="V16" s="103"/>
      <c r="W16" s="115"/>
      <c r="X16" s="51" t="str">
        <f t="shared" si="3"/>
        <v>Isle of Wight</v>
      </c>
      <c r="Y16" s="27">
        <f>IF(ISNUMBER($H16),IDACI!D14,0)</f>
        <v>22123</v>
      </c>
      <c r="Z16" s="27">
        <f>IF(ISNUMBER($H16),IDACI!E14,0)</f>
        <v>3982.14</v>
      </c>
      <c r="AA16" s="155">
        <f>IF(ISNUMBER(D16),Population!D16,"")</f>
        <v>24301</v>
      </c>
      <c r="AB16" s="155">
        <f>IF(ISNUMBER(E16),Population!E16,"")</f>
        <v>23892</v>
      </c>
      <c r="AC16" s="155">
        <f>IF(ISNUMBER(F16),Population!F16,"")</f>
        <v>23636</v>
      </c>
      <c r="AD16" s="155">
        <f>IF(ISNUMBER(G16),Population!G16,"")</f>
        <v>23534</v>
      </c>
      <c r="AE16" s="155">
        <f>IF(ISNUMBER(H16),Population!H16,"")</f>
        <v>23438</v>
      </c>
      <c r="AF16" s="65" t="s">
        <v>1</v>
      </c>
      <c r="AG16" s="70">
        <f t="shared" si="4"/>
        <v>497.48272036863216</v>
      </c>
      <c r="AH16" s="156">
        <f t="shared" si="5"/>
        <v>18</v>
      </c>
      <c r="AJ16" s="121"/>
      <c r="AK16" s="480">
        <f t="shared" si="6"/>
        <v>0.38689547581903277</v>
      </c>
      <c r="AL16" s="480">
        <f t="shared" si="7"/>
        <v>0.12710911136107986</v>
      </c>
      <c r="AM16" s="480">
        <f t="shared" si="8"/>
        <v>8.4830339321357279E-2</v>
      </c>
      <c r="AN16" s="480">
        <f t="shared" si="9"/>
        <v>7.2677092916283353E-2</v>
      </c>
      <c r="AO16" s="480">
        <f t="shared" si="11"/>
        <v>0.16787800485443832</v>
      </c>
      <c r="AP16" s="52"/>
      <c r="AQ16" s="52"/>
      <c r="AR16" s="52"/>
      <c r="AS16" s="52"/>
      <c r="AT16" s="52"/>
      <c r="AU16" s="52"/>
      <c r="AV16" s="52"/>
      <c r="AW16" s="52"/>
      <c r="AX16" s="52"/>
      <c r="AY16" s="52"/>
    </row>
    <row r="17" spans="1:51" s="61" customFormat="1" ht="15.75" customHeight="1">
      <c r="A17" s="1103">
        <f>VLOOKUP(B17,ReportData!$AQ$4:$AR$25,2,FALSE)</f>
        <v>0</v>
      </c>
      <c r="B17" s="885" t="str">
        <f>ReportData!$K$10</f>
        <v>Kent</v>
      </c>
      <c r="C17" s="896"/>
      <c r="D17" s="889">
        <f>IF(Year1_Kent Year1_CIN_Section47="","",Year1_Kent Year1_CIN_Section47)</f>
        <v>6614</v>
      </c>
      <c r="E17" s="889">
        <f>IF(Year2_Kent Year2_CIN_Section47="","",Year2_Kent Year2_CIN_Section47)</f>
        <v>5764</v>
      </c>
      <c r="F17" s="889">
        <f>IF(Year3_Kent Year3_CIN_Section47="","",Year3_Kent Year3_CIN_Section47)</f>
        <v>6646</v>
      </c>
      <c r="G17" s="889">
        <f>IF(Year4_Kent Year4_CIN_Section47="","",Year4_Kent Year4_CIN_Section47)</f>
        <v>7265</v>
      </c>
      <c r="H17" s="890">
        <f>IF(Year5_Kent Year5_CIN_Section47="","",Year5_Kent Year5_CIN_Section47)</f>
        <v>7339</v>
      </c>
      <c r="I17" s="900">
        <f t="shared" si="0"/>
        <v>3.1957004712424159E-2</v>
      </c>
      <c r="J17" s="896"/>
      <c r="K17" s="901">
        <f>IF(ISNUMBER(D17),D17/Population!D17*10000,NA())</f>
        <v>198.41424598686638</v>
      </c>
      <c r="L17" s="901">
        <f>IF(ISNUMBER(E17),E17/Population!E17*10000,NA())</f>
        <v>172.35605100112434</v>
      </c>
      <c r="M17" s="901">
        <f>IF(ISNUMBER(F17),F17/Population!F17*10000,NA())</f>
        <v>197.74406336379135</v>
      </c>
      <c r="N17" s="901">
        <f>IF(ISNUMBER(G17),G17/Population!G17*10000,NA())</f>
        <v>211.89530359507435</v>
      </c>
      <c r="O17" s="902">
        <f>IF(ISNUMBER(H17),H17/Population!H17*10000,NA())</f>
        <v>210.68980168345141</v>
      </c>
      <c r="P17" s="903">
        <f t="shared" si="10"/>
        <v>210.68980168345141</v>
      </c>
      <c r="Q17" s="904">
        <f t="shared" si="1"/>
        <v>9</v>
      </c>
      <c r="R17" s="64"/>
      <c r="S17" s="905">
        <f t="shared" si="12"/>
        <v>190.82038847714404</v>
      </c>
      <c r="T17" s="906">
        <f t="shared" si="2"/>
        <v>19.869413206307371</v>
      </c>
      <c r="U17" s="89"/>
      <c r="V17" s="103"/>
      <c r="W17" s="115"/>
      <c r="X17" s="51" t="str">
        <f t="shared" si="3"/>
        <v>Kent</v>
      </c>
      <c r="Y17" s="27">
        <f>IF(ISNUMBER($H17),IDACI!D15,0)</f>
        <v>291866</v>
      </c>
      <c r="Z17" s="27">
        <f>IF(ISNUMBER($H17),IDACI!E15,0)</f>
        <v>46114.828000000001</v>
      </c>
      <c r="AA17" s="155">
        <f>IF(ISNUMBER(D17),Population!D17,"")</f>
        <v>333343</v>
      </c>
      <c r="AB17" s="155">
        <f>IF(ISNUMBER(E17),Population!E17,"")</f>
        <v>334424</v>
      </c>
      <c r="AC17" s="155">
        <f>IF(ISNUMBER(F17),Population!F17,"")</f>
        <v>336091</v>
      </c>
      <c r="AD17" s="155">
        <f>IF(ISNUMBER(G17),Population!G17,"")</f>
        <v>342858</v>
      </c>
      <c r="AE17" s="155">
        <f>IF(ISNUMBER(H17),Population!H17,"")</f>
        <v>348332</v>
      </c>
      <c r="AF17" s="65" t="s">
        <v>9</v>
      </c>
      <c r="AG17" s="70">
        <f t="shared" si="4"/>
        <v>210.68980168345141</v>
      </c>
      <c r="AH17" s="156">
        <f t="shared" si="5"/>
        <v>9</v>
      </c>
      <c r="AJ17" s="121"/>
      <c r="AK17" s="480">
        <f t="shared" si="6"/>
        <v>-0.12851527063804052</v>
      </c>
      <c r="AL17" s="480">
        <f t="shared" si="7"/>
        <v>0.15301873698820265</v>
      </c>
      <c r="AM17" s="480">
        <f t="shared" si="8"/>
        <v>9.313873006319591E-2</v>
      </c>
      <c r="AN17" s="480">
        <f t="shared" si="9"/>
        <v>1.018582243633861E-2</v>
      </c>
      <c r="AO17" s="480">
        <f t="shared" si="11"/>
        <v>3.1957004712424159E-2</v>
      </c>
      <c r="AP17" s="52"/>
      <c r="AQ17" s="52"/>
      <c r="AR17" s="52"/>
      <c r="AS17" s="52"/>
      <c r="AT17" s="52"/>
      <c r="AU17" s="52"/>
      <c r="AV17" s="52"/>
      <c r="AW17" s="52"/>
      <c r="AX17" s="52"/>
      <c r="AY17" s="52"/>
    </row>
    <row r="18" spans="1:51" s="61" customFormat="1" ht="15.75" customHeight="1">
      <c r="A18" s="1103">
        <f>VLOOKUP(B18,ReportData!$AQ$4:$AR$25,2,FALSE)</f>
        <v>0</v>
      </c>
      <c r="B18" s="885" t="str">
        <f>ReportData!$K$11</f>
        <v>Medway</v>
      </c>
      <c r="C18" s="896"/>
      <c r="D18" s="889">
        <f>IF(Year1_Medway Year1_CIN_Section47="","",Year1_Medway Year1_CIN_Section47)</f>
        <v>1773</v>
      </c>
      <c r="E18" s="1173">
        <f>IF(Year2_Medway Year2_CIN_Section47="","",Year2_Medway Year2_CIN_Section47)</f>
        <v>1282</v>
      </c>
      <c r="F18" s="1173">
        <f>IF(Year3_Medway Year3_CIN_Section47="","",Year3_Medway Year3_CIN_Section47)</f>
        <v>1215</v>
      </c>
      <c r="G18" s="1173">
        <f>IF(Year4_Medway Year4_CIN_Section47="","",Year4_Medway Year4_CIN_Section47)</f>
        <v>1735</v>
      </c>
      <c r="H18" s="1174">
        <f>IF(Year5_Medway Year5_CIN_Section47="","",Year5_Medway Year5_CIN_Section47)</f>
        <v>2009</v>
      </c>
      <c r="I18" s="900">
        <f t="shared" si="0"/>
        <v>6.4178691642006472E-2</v>
      </c>
      <c r="J18" s="896"/>
      <c r="K18" s="901">
        <f>IF(ISNUMBER(D18),D18/Population!D18*10000,NA())</f>
        <v>278.45834903882394</v>
      </c>
      <c r="L18" s="901">
        <f>IF(ISNUMBER(E18),E18/Population!E18*10000,NA())</f>
        <v>201.27168537561818</v>
      </c>
      <c r="M18" s="901">
        <f>IF(ISNUMBER(F18),F18/Population!F18*10000,NA())</f>
        <v>190.38814109093187</v>
      </c>
      <c r="N18" s="901">
        <f>IF(ISNUMBER(G18),G18/Population!G18*10000,NA())</f>
        <v>267.10799784466167</v>
      </c>
      <c r="O18" s="902">
        <f>IF(ISNUMBER(H18),H18/Population!H18*10000,NA())</f>
        <v>301.25811627453623</v>
      </c>
      <c r="P18" s="903">
        <f t="shared" si="10"/>
        <v>301.25811627453623</v>
      </c>
      <c r="Q18" s="904">
        <f t="shared" si="1"/>
        <v>16</v>
      </c>
      <c r="R18" s="64"/>
      <c r="S18" s="905">
        <f t="shared" si="12"/>
        <v>211.68762049841683</v>
      </c>
      <c r="T18" s="906">
        <f t="shared" si="2"/>
        <v>89.570495776119401</v>
      </c>
      <c r="U18" s="89"/>
      <c r="V18" s="103"/>
      <c r="W18" s="115"/>
      <c r="X18" s="51" t="str">
        <f t="shared" si="3"/>
        <v>Medway</v>
      </c>
      <c r="Y18" s="27">
        <f>IF(ISNUMBER($H18),IDACI!D16,0)</f>
        <v>55993</v>
      </c>
      <c r="Z18" s="27">
        <f>IF(ISNUMBER($H18),IDACI!E16,0)</f>
        <v>10582.676999999998</v>
      </c>
      <c r="AA18" s="155">
        <f>IF(ISNUMBER(D18),Population!D18,"")</f>
        <v>63672</v>
      </c>
      <c r="AB18" s="155">
        <f>IF(ISNUMBER(E18),Population!E18,"")</f>
        <v>63695</v>
      </c>
      <c r="AC18" s="155">
        <f>IF(ISNUMBER(F18),Population!F18,"")</f>
        <v>63817</v>
      </c>
      <c r="AD18" s="155">
        <f>IF(ISNUMBER(G18),Population!G18,"")</f>
        <v>64955</v>
      </c>
      <c r="AE18" s="155">
        <f>IF(ISNUMBER(H18),Population!H18,"")</f>
        <v>66687</v>
      </c>
      <c r="AF18" s="65" t="s">
        <v>2</v>
      </c>
      <c r="AG18" s="70">
        <f t="shared" si="4"/>
        <v>301.25811627453623</v>
      </c>
      <c r="AH18" s="156">
        <f t="shared" si="5"/>
        <v>16</v>
      </c>
      <c r="AJ18" s="121"/>
      <c r="AK18" s="480">
        <f t="shared" si="6"/>
        <v>-0.27693175408911447</v>
      </c>
      <c r="AL18" s="480">
        <f t="shared" si="7"/>
        <v>-5.2262090483619343E-2</v>
      </c>
      <c r="AM18" s="480">
        <f t="shared" si="8"/>
        <v>0.4279835390946502</v>
      </c>
      <c r="AN18" s="480">
        <f t="shared" si="9"/>
        <v>0.1579250720461095</v>
      </c>
      <c r="AO18" s="480">
        <f t="shared" si="11"/>
        <v>6.4178691642006472E-2</v>
      </c>
      <c r="AP18" s="52"/>
      <c r="AQ18" s="52"/>
      <c r="AR18" s="52"/>
      <c r="AS18" s="52"/>
      <c r="AT18" s="52"/>
      <c r="AU18" s="52"/>
      <c r="AV18" s="52"/>
      <c r="AW18" s="52"/>
      <c r="AX18" s="52"/>
      <c r="AY18" s="52"/>
    </row>
    <row r="19" spans="1:51" s="61" customFormat="1" ht="15.75" customHeight="1">
      <c r="A19" s="1103">
        <f>VLOOKUP(B19,ReportData!$AQ$4:$AR$25,2,FALSE)</f>
        <v>0</v>
      </c>
      <c r="B19" s="885" t="str">
        <f>ReportData!$K$12</f>
        <v>Milton Keynes</v>
      </c>
      <c r="C19" s="896"/>
      <c r="D19" s="889">
        <f>IF(Year1_Milton_Keynes Year1_CIN_Section47="","",Year1_Milton_Keynes Year1_CIN_Section47)</f>
        <v>817</v>
      </c>
      <c r="E19" s="889">
        <f>IF(Year2_Milton_Keynes Year2_CIN_Section47="","",Year2_Milton_Keynes Year2_CIN_Section47)</f>
        <v>1031</v>
      </c>
      <c r="F19" s="889">
        <f>IF(Year3_Milton_Keynes Year3_CIN_Section47="","",Year3_Milton_Keynes Year3_CIN_Section47)</f>
        <v>1036</v>
      </c>
      <c r="G19" s="889">
        <f>IF(Year4_Milton_Keynes Year4_CIN_Section47="","",Year4_Milton_Keynes Year4_CIN_Section47)</f>
        <v>1093</v>
      </c>
      <c r="H19" s="890">
        <f>IF(Year5_Milton_Keynes Year5_CIN_Section47="","",Year5_Milton_Keynes Year5_CIN_Section47)</f>
        <v>1214</v>
      </c>
      <c r="I19" s="900">
        <f t="shared" si="0"/>
        <v>0.10812683828648502</v>
      </c>
      <c r="J19" s="896"/>
      <c r="K19" s="901">
        <f>IF(ISNUMBER(D19),D19/Population!D19*10000,NA())</f>
        <v>118.34233816649044</v>
      </c>
      <c r="L19" s="901">
        <f>IF(ISNUMBER(E19),E19/Population!E19*10000,NA())</f>
        <v>148.76271553278985</v>
      </c>
      <c r="M19" s="901">
        <f>IF(ISNUMBER(F19),F19/Population!F19*10000,NA())</f>
        <v>148.77575931643571</v>
      </c>
      <c r="N19" s="901">
        <f>IF(ISNUMBER(G19),G19/Population!G19*10000,NA())</f>
        <v>154.04997815393722</v>
      </c>
      <c r="O19" s="902">
        <f>IF(ISNUMBER(H19),H19/Population!H19*10000,NA())</f>
        <v>166.7651139470033</v>
      </c>
      <c r="P19" s="903">
        <f t="shared" si="10"/>
        <v>166.7651139470033</v>
      </c>
      <c r="Q19" s="904">
        <f t="shared" si="1"/>
        <v>5</v>
      </c>
      <c r="R19" s="64"/>
      <c r="S19" s="905">
        <f t="shared" si="12"/>
        <v>185.43529634262205</v>
      </c>
      <c r="T19" s="906">
        <f t="shared" si="2"/>
        <v>-18.670182395618752</v>
      </c>
      <c r="U19" s="89"/>
      <c r="V19" s="103"/>
      <c r="W19" s="115"/>
      <c r="X19" s="51" t="str">
        <f t="shared" si="3"/>
        <v>Milton Keynes</v>
      </c>
      <c r="Y19" s="27">
        <f>IF(ISNUMBER($H19),IDACI!D17,0)</f>
        <v>59903</v>
      </c>
      <c r="Z19" s="27">
        <f>IF(ISNUMBER($H19),IDACI!E17,0)</f>
        <v>8985.4499999999989</v>
      </c>
      <c r="AA19" s="155">
        <f>IF(ISNUMBER(D19),Population!D19,"")</f>
        <v>69037</v>
      </c>
      <c r="AB19" s="155">
        <f>IF(ISNUMBER(E19),Population!E19,"")</f>
        <v>69305</v>
      </c>
      <c r="AC19" s="155">
        <f>IF(ISNUMBER(F19),Population!F19,"")</f>
        <v>69635</v>
      </c>
      <c r="AD19" s="155">
        <f>IF(ISNUMBER(G19),Population!G19,"")</f>
        <v>70951</v>
      </c>
      <c r="AE19" s="155">
        <f>IF(ISNUMBER(H19),Population!H19,"")</f>
        <v>72797</v>
      </c>
      <c r="AF19" s="65" t="s">
        <v>10</v>
      </c>
      <c r="AG19" s="70">
        <f t="shared" si="4"/>
        <v>166.7651139470033</v>
      </c>
      <c r="AH19" s="156">
        <f t="shared" si="5"/>
        <v>5</v>
      </c>
      <c r="AJ19" s="121"/>
      <c r="AK19" s="480">
        <f t="shared" si="6"/>
        <v>0.26193390452876375</v>
      </c>
      <c r="AL19" s="480">
        <f t="shared" si="7"/>
        <v>4.849660523763337E-3</v>
      </c>
      <c r="AM19" s="480">
        <f t="shared" si="8"/>
        <v>5.501930501930502E-2</v>
      </c>
      <c r="AN19" s="480">
        <f t="shared" si="9"/>
        <v>0.11070448307410796</v>
      </c>
      <c r="AO19" s="480">
        <f t="shared" si="11"/>
        <v>0.10812683828648502</v>
      </c>
      <c r="AP19" s="52"/>
      <c r="AQ19" s="52"/>
      <c r="AR19" s="52"/>
      <c r="AS19" s="52"/>
      <c r="AT19" s="52"/>
      <c r="AU19" s="52"/>
      <c r="AV19" s="52"/>
      <c r="AW19" s="52"/>
      <c r="AX19" s="52"/>
      <c r="AY19" s="52"/>
    </row>
    <row r="20" spans="1:51" s="61" customFormat="1" ht="15.75" customHeight="1">
      <c r="A20" s="1103">
        <f>VLOOKUP(B20,ReportData!$AQ$4:$AR$25,2,FALSE)</f>
        <v>0</v>
      </c>
      <c r="B20" s="885" t="str">
        <f>ReportData!$K$13</f>
        <v>Oxfordshire</v>
      </c>
      <c r="C20" s="896"/>
      <c r="D20" s="889">
        <f>IF(Year1_Oxfordshire Year1_CIN_Section47="","",Year1_Oxfordshire Year1_CIN_Section47)</f>
        <v>1905</v>
      </c>
      <c r="E20" s="889">
        <f>IF(Year2_Oxfordshire Year2_CIN_Section47="","",Year2_Oxfordshire Year2_CIN_Section47)</f>
        <v>1758</v>
      </c>
      <c r="F20" s="889">
        <f>IF(Year3_Oxfordshire Year3_CIN_Section47="","",Year3_Oxfordshire Year3_CIN_Section47)</f>
        <v>2068</v>
      </c>
      <c r="G20" s="889">
        <f>IF(Year4_Oxfordshire Year4_CIN_Section47="","",Year4_Oxfordshire Year4_CIN_Section47)</f>
        <v>2129</v>
      </c>
      <c r="H20" s="890">
        <f>IF(Year5_Oxfordshire Year5_CIN_Section47="","",Year5_Oxfordshire Year5_CIN_Section47)</f>
        <v>1863</v>
      </c>
      <c r="I20" s="900">
        <f t="shared" si="0"/>
        <v>9.3180090718649258E-4</v>
      </c>
      <c r="J20" s="896"/>
      <c r="K20" s="901">
        <f>IF(ISNUMBER(D20),D20/Population!D20*10000,NA())</f>
        <v>131.89871840142908</v>
      </c>
      <c r="L20" s="901">
        <f>IF(ISNUMBER(E20),E20/Population!E20*10000,NA())</f>
        <v>121.05853917187146</v>
      </c>
      <c r="M20" s="901">
        <f>IF(ISNUMBER(F20),F20/Population!F20*10000,NA())</f>
        <v>141.31184955891297</v>
      </c>
      <c r="N20" s="901">
        <f>IF(ISNUMBER(G20),G20/Population!G20*10000,NA())</f>
        <v>142.37183859620964</v>
      </c>
      <c r="O20" s="902">
        <f>IF(ISNUMBER(H20),H20/Population!H20*10000,NA())</f>
        <v>122.15992918264975</v>
      </c>
      <c r="P20" s="903">
        <f t="shared" si="10"/>
        <v>122.15992918264975</v>
      </c>
      <c r="Q20" s="904">
        <f t="shared" si="1"/>
        <v>2</v>
      </c>
      <c r="R20" s="64"/>
      <c r="S20" s="905">
        <f t="shared" si="12"/>
        <v>152.45160701867474</v>
      </c>
      <c r="T20" s="906">
        <f t="shared" si="2"/>
        <v>-30.291677836024988</v>
      </c>
      <c r="U20" s="89"/>
      <c r="V20" s="103"/>
      <c r="W20" s="115"/>
      <c r="X20" s="51" t="str">
        <f t="shared" si="3"/>
        <v>Oxfordshire</v>
      </c>
      <c r="Y20" s="27">
        <f>IF(ISNUMBER($H20),IDACI!D18,0)</f>
        <v>126119</v>
      </c>
      <c r="Z20" s="27">
        <f>IF(ISNUMBER($H20),IDACI!E18,0)</f>
        <v>12738.019000000002</v>
      </c>
      <c r="AA20" s="155">
        <f>IF(ISNUMBER(D20),Population!D20,"")</f>
        <v>144429</v>
      </c>
      <c r="AB20" s="155">
        <f>IF(ISNUMBER(E20),Population!E20,"")</f>
        <v>145219</v>
      </c>
      <c r="AC20" s="155">
        <f>IF(ISNUMBER(F20),Population!F20,"")</f>
        <v>146343</v>
      </c>
      <c r="AD20" s="155">
        <f>IF(ISNUMBER(G20),Population!G20,"")</f>
        <v>149538</v>
      </c>
      <c r="AE20" s="155">
        <f>IF(ISNUMBER(H20),Population!H20,"")</f>
        <v>152505</v>
      </c>
      <c r="AF20" s="65" t="s">
        <v>11</v>
      </c>
      <c r="AG20" s="70">
        <f t="shared" si="4"/>
        <v>122.15992918264975</v>
      </c>
      <c r="AH20" s="156">
        <f t="shared" si="5"/>
        <v>2</v>
      </c>
      <c r="AJ20" s="121"/>
      <c r="AK20" s="480">
        <f t="shared" si="6"/>
        <v>-7.716535433070866E-2</v>
      </c>
      <c r="AL20" s="480">
        <f t="shared" si="7"/>
        <v>0.17633674630261661</v>
      </c>
      <c r="AM20" s="480">
        <f t="shared" si="8"/>
        <v>2.9497098646034815E-2</v>
      </c>
      <c r="AN20" s="480">
        <f t="shared" si="9"/>
        <v>-0.12494128698919681</v>
      </c>
      <c r="AO20" s="480">
        <f t="shared" si="11"/>
        <v>9.3180090718649258E-4</v>
      </c>
      <c r="AP20" s="52"/>
      <c r="AQ20" s="52"/>
      <c r="AR20" s="52"/>
      <c r="AS20" s="52"/>
      <c r="AT20" s="52"/>
      <c r="AU20" s="52"/>
      <c r="AV20" s="52"/>
      <c r="AW20" s="52"/>
      <c r="AX20" s="52"/>
      <c r="AY20" s="52"/>
    </row>
    <row r="21" spans="1:51" s="61" customFormat="1" ht="15.75" customHeight="1">
      <c r="A21" s="1103">
        <f>VLOOKUP(B21,ReportData!$AQ$4:$AR$25,2,FALSE)</f>
        <v>0</v>
      </c>
      <c r="B21" s="885" t="str">
        <f>ReportData!$K$14</f>
        <v>Portsmouth</v>
      </c>
      <c r="C21" s="896"/>
      <c r="D21" s="889">
        <f>IF(Year1_Portsmouth Year1_CIN_Section47="","",Year1_Portsmouth Year1_CIN_Section47)</f>
        <v>1294</v>
      </c>
      <c r="E21" s="889">
        <f>IF(Year2_Portsmouth Year2_CIN_Section47="","",Year2_Portsmouth Year2_CIN_Section47)</f>
        <v>1118</v>
      </c>
      <c r="F21" s="889">
        <f>IF(Year3_Portsmouth Year3_CIN_Section47="","",Year3_Portsmouth Year3_CIN_Section47)</f>
        <v>1278</v>
      </c>
      <c r="G21" s="889">
        <f>IF(Year4_Portsmouth Year4_CIN_Section47="","",Year4_Portsmouth Year4_CIN_Section47)</f>
        <v>1013</v>
      </c>
      <c r="H21" s="890">
        <f>IF(Year5_Portsmouth Year5_CIN_Section47="","",Year5_Portsmouth Year5_CIN_Section47)</f>
        <v>1417</v>
      </c>
      <c r="I21" s="900">
        <f t="shared" si="0"/>
        <v>4.9640123431964958E-2</v>
      </c>
      <c r="J21" s="896"/>
      <c r="K21" s="901">
        <f>IF(ISNUMBER(D21),D21/Population!D21*10000,NA())</f>
        <v>307.85335331763139</v>
      </c>
      <c r="L21" s="901">
        <f>IF(ISNUMBER(E21),E21/Population!E21*10000,NA())</f>
        <v>267.0488474859668</v>
      </c>
      <c r="M21" s="901">
        <f>IF(ISNUMBER(F21),F21/Population!F21*10000,NA())</f>
        <v>308.34559799261706</v>
      </c>
      <c r="N21" s="901">
        <f>IF(ISNUMBER(G21),G21/Population!G21*10000,NA())</f>
        <v>241.93355783238997</v>
      </c>
      <c r="O21" s="902">
        <f>IF(ISNUMBER(H21),H21/Population!H21*10000,NA())</f>
        <v>334.93275344505633</v>
      </c>
      <c r="P21" s="903">
        <f t="shared" si="10"/>
        <v>334.93275344505633</v>
      </c>
      <c r="Q21" s="904">
        <f t="shared" si="1"/>
        <v>17</v>
      </c>
      <c r="R21" s="64"/>
      <c r="S21" s="905">
        <f t="shared" si="12"/>
        <v>220.43839521701511</v>
      </c>
      <c r="T21" s="906">
        <f t="shared" si="2"/>
        <v>114.49435822804122</v>
      </c>
      <c r="U21" s="89"/>
      <c r="V21" s="103"/>
      <c r="W21" s="115"/>
      <c r="X21" s="51" t="str">
        <f t="shared" si="3"/>
        <v>Portsmouth</v>
      </c>
      <c r="Y21" s="27">
        <f>IF(ISNUMBER($H21),IDACI!D19,0)</f>
        <v>39325</v>
      </c>
      <c r="Z21" s="27">
        <f>IF(ISNUMBER($H21),IDACI!E19,0)</f>
        <v>7943.6500000000015</v>
      </c>
      <c r="AA21" s="155">
        <f>IF(ISNUMBER(D21),Population!D21,"")</f>
        <v>42033</v>
      </c>
      <c r="AB21" s="155">
        <f>IF(ISNUMBER(E21),Population!E21,"")</f>
        <v>41865</v>
      </c>
      <c r="AC21" s="155">
        <f>IF(ISNUMBER(F21),Population!F21,"")</f>
        <v>41447</v>
      </c>
      <c r="AD21" s="155">
        <f>IF(ISNUMBER(G21),Population!G21,"")</f>
        <v>41871</v>
      </c>
      <c r="AE21" s="155">
        <f>IF(ISNUMBER(H21),Population!H21,"")</f>
        <v>42307</v>
      </c>
      <c r="AF21" s="65" t="s">
        <v>12</v>
      </c>
      <c r="AG21" s="70">
        <f t="shared" si="4"/>
        <v>334.93275344505633</v>
      </c>
      <c r="AH21" s="156">
        <f t="shared" si="5"/>
        <v>17</v>
      </c>
      <c r="AJ21" s="121"/>
      <c r="AK21" s="480">
        <f t="shared" si="6"/>
        <v>-0.13601236476043277</v>
      </c>
      <c r="AL21" s="480">
        <f t="shared" si="7"/>
        <v>0.14311270125223613</v>
      </c>
      <c r="AM21" s="480">
        <f t="shared" si="8"/>
        <v>-0.20735524256651017</v>
      </c>
      <c r="AN21" s="480">
        <f t="shared" si="9"/>
        <v>0.39881539980256664</v>
      </c>
      <c r="AO21" s="480">
        <f t="shared" si="11"/>
        <v>4.9640123431964958E-2</v>
      </c>
      <c r="AP21" s="52"/>
      <c r="AQ21" s="52"/>
      <c r="AR21" s="52"/>
      <c r="AS21" s="52"/>
      <c r="AT21" s="52"/>
      <c r="AU21" s="52"/>
      <c r="AV21" s="52"/>
      <c r="AW21" s="52"/>
      <c r="AX21" s="52"/>
      <c r="AY21" s="52"/>
    </row>
    <row r="22" spans="1:51" s="61" customFormat="1" ht="15.75" customHeight="1">
      <c r="A22" s="1103">
        <f>VLOOKUP(B22,ReportData!$AQ$4:$AR$25,2,FALSE)</f>
        <v>0</v>
      </c>
      <c r="B22" s="885" t="str">
        <f>ReportData!$K$15</f>
        <v>Reading</v>
      </c>
      <c r="C22" s="896"/>
      <c r="D22" s="889">
        <f>IF(Year1_Reading Year1_CIN_Section47="","",Year1_Reading Year1_CIN_Section47)</f>
        <v>865</v>
      </c>
      <c r="E22" s="889">
        <f>IF(Year2_Reading Year2_CIN_Section47="","",Year2_Reading Year2_CIN_Section47)</f>
        <v>917</v>
      </c>
      <c r="F22" s="889">
        <f>IF(Year3_Reading Year3_CIN_Section47="","",Year3_Reading Year3_CIN_Section47)</f>
        <v>1103</v>
      </c>
      <c r="G22" s="889">
        <f>IF(Year4_Reading Year4_CIN_Section47="","",Year4_Reading Year4_CIN_Section47)</f>
        <v>1026</v>
      </c>
      <c r="H22" s="890">
        <f>IF(Year5_Reading Year5_CIN_Section47="","",Year5_Reading Year5_CIN_Section47)</f>
        <v>1093</v>
      </c>
      <c r="I22" s="900">
        <f t="shared" si="0"/>
        <v>6.4610868409532174E-2</v>
      </c>
      <c r="J22" s="896"/>
      <c r="K22" s="901">
        <f>IF(ISNUMBER(D22),D22/Population!D22*10000,NA())</f>
        <v>233.59438293275724</v>
      </c>
      <c r="L22" s="901">
        <f>IF(ISNUMBER(E22),E22/Population!E22*10000,NA())</f>
        <v>248.03224148657054</v>
      </c>
      <c r="M22" s="901">
        <f>IF(ISNUMBER(F22),F22/Population!F22*10000,NA())</f>
        <v>303.57241151538506</v>
      </c>
      <c r="N22" s="901">
        <f>IF(ISNUMBER(G22),G22/Population!G22*10000,NA())</f>
        <v>275.36231884057969</v>
      </c>
      <c r="O22" s="902">
        <f>IF(ISNUMBER(H22),H22/Population!H22*10000,NA())</f>
        <v>288.17000184555354</v>
      </c>
      <c r="P22" s="903">
        <f t="shared" si="10"/>
        <v>288.17000184555354</v>
      </c>
      <c r="Q22" s="904">
        <f t="shared" si="1"/>
        <v>15</v>
      </c>
      <c r="R22" s="64"/>
      <c r="S22" s="905">
        <f t="shared" si="12"/>
        <v>192.16666151077453</v>
      </c>
      <c r="T22" s="906">
        <f t="shared" si="2"/>
        <v>96.003340334779011</v>
      </c>
      <c r="U22" s="89"/>
      <c r="V22" s="103"/>
      <c r="W22" s="115"/>
      <c r="X22" s="51" t="str">
        <f t="shared" si="3"/>
        <v>Reading</v>
      </c>
      <c r="Y22" s="27">
        <f>IF(ISNUMBER($H22),IDACI!D20,0)</f>
        <v>33203</v>
      </c>
      <c r="Z22" s="27">
        <f>IF(ISNUMBER($H22),IDACI!E20,0)</f>
        <v>5312.4800000000005</v>
      </c>
      <c r="AA22" s="155">
        <f>IF(ISNUMBER(D22),Population!D22,"")</f>
        <v>37030</v>
      </c>
      <c r="AB22" s="155">
        <f>IF(ISNUMBER(E22),Population!E22,"")</f>
        <v>36971</v>
      </c>
      <c r="AC22" s="155">
        <f>IF(ISNUMBER(F22),Population!F22,"")</f>
        <v>36334</v>
      </c>
      <c r="AD22" s="155">
        <f>IF(ISNUMBER(G22),Population!G22,"")</f>
        <v>37260</v>
      </c>
      <c r="AE22" s="155">
        <f>IF(ISNUMBER(H22),Population!H22,"")</f>
        <v>37929</v>
      </c>
      <c r="AF22" s="65" t="s">
        <v>3</v>
      </c>
      <c r="AG22" s="70">
        <f t="shared" si="4"/>
        <v>288.17000184555354</v>
      </c>
      <c r="AH22" s="156">
        <f t="shared" si="5"/>
        <v>15</v>
      </c>
      <c r="AJ22" s="121"/>
      <c r="AK22" s="480">
        <f t="shared" si="6"/>
        <v>6.0115606936416183E-2</v>
      </c>
      <c r="AL22" s="480">
        <f t="shared" si="7"/>
        <v>0.20283533260632497</v>
      </c>
      <c r="AM22" s="480">
        <f t="shared" si="8"/>
        <v>-6.980961015412511E-2</v>
      </c>
      <c r="AN22" s="480">
        <f t="shared" si="9"/>
        <v>6.5302144249512667E-2</v>
      </c>
      <c r="AO22" s="480">
        <f t="shared" si="11"/>
        <v>6.4610868409532174E-2</v>
      </c>
      <c r="AP22" s="52"/>
      <c r="AQ22" s="52"/>
      <c r="AR22" s="52"/>
      <c r="AS22" s="52"/>
      <c r="AT22" s="52"/>
      <c r="AU22" s="52"/>
      <c r="AV22" s="52"/>
      <c r="AW22" s="52"/>
      <c r="AX22" s="52"/>
      <c r="AY22" s="52"/>
    </row>
    <row r="23" spans="1:51" s="61" customFormat="1" ht="15.75" customHeight="1">
      <c r="A23" s="1103">
        <f>VLOOKUP(B23,ReportData!$AQ$4:$AR$25,2,FALSE)</f>
        <v>0</v>
      </c>
      <c r="B23" s="885" t="str">
        <f>ReportData!$K$16</f>
        <v>Slough</v>
      </c>
      <c r="C23" s="896"/>
      <c r="D23" s="889">
        <f>IF(Year1_Slough Year1_CIN_Section47="","",Year1_Slough Year1_CIN_Section47)</f>
        <v>1295</v>
      </c>
      <c r="E23" s="889">
        <f>IF(Year2_Slough Year2_CIN_Section47="","",Year2_Slough Year2_CIN_Section47)</f>
        <v>1713</v>
      </c>
      <c r="F23" s="889">
        <f>IF(Year3_Slough Year3_CIN_Section47="","",Year3_Slough Year3_CIN_Section47)</f>
        <v>1308</v>
      </c>
      <c r="G23" s="889">
        <f>IF(Year4_Slough Year4_CIN_Section47="","",Year4_Slough Year4_CIN_Section47)</f>
        <v>1380</v>
      </c>
      <c r="H23" s="890">
        <f>IF(Year5_Slough Year5_CIN_Section47="","",Year5_Slough Year5_CIN_Section47)</f>
        <v>1235</v>
      </c>
      <c r="I23" s="900">
        <f t="shared" si="0"/>
        <v>9.0815025202680283E-3</v>
      </c>
      <c r="J23" s="896"/>
      <c r="K23" s="901">
        <f>IF(ISNUMBER(D23),D23/Population!D23*10000,NA())</f>
        <v>297.84493663607719</v>
      </c>
      <c r="L23" s="901">
        <f>IF(ISNUMBER(E23),E23/Population!E23*10000,NA())</f>
        <v>390.20501138952159</v>
      </c>
      <c r="M23" s="901">
        <f>IF(ISNUMBER(F23),F23/Population!F23*10000,NA())</f>
        <v>299.06029220111117</v>
      </c>
      <c r="N23" s="901">
        <f>IF(ISNUMBER(G23),G23/Population!G23*10000,NA())</f>
        <v>311.86440677966101</v>
      </c>
      <c r="O23" s="902">
        <f>IF(ISNUMBER(H23),H23/Population!H23*10000,NA())</f>
        <v>275.36845860554308</v>
      </c>
      <c r="P23" s="903">
        <f t="shared" si="10"/>
        <v>275.36845860554308</v>
      </c>
      <c r="Q23" s="904">
        <f t="shared" si="1"/>
        <v>14</v>
      </c>
      <c r="R23" s="64"/>
      <c r="S23" s="905">
        <f t="shared" si="12"/>
        <v>183.41588679217625</v>
      </c>
      <c r="T23" s="906">
        <f t="shared" si="2"/>
        <v>91.952571813366831</v>
      </c>
      <c r="U23" s="89"/>
      <c r="V23" s="103"/>
      <c r="W23" s="115"/>
      <c r="X23" s="51" t="str">
        <f t="shared" si="3"/>
        <v>Slough</v>
      </c>
      <c r="Y23" s="27">
        <f>IF(ISNUMBER($H23),IDACI!D21,0)</f>
        <v>37031</v>
      </c>
      <c r="Z23" s="27">
        <f>IF(ISNUMBER($H23),IDACI!E21,0)</f>
        <v>5443.5569999999998</v>
      </c>
      <c r="AA23" s="155">
        <f>IF(ISNUMBER(D23),Population!D23,"")</f>
        <v>43479</v>
      </c>
      <c r="AB23" s="155">
        <f>IF(ISNUMBER(E23),Population!E23,"")</f>
        <v>43900</v>
      </c>
      <c r="AC23" s="155">
        <f>IF(ISNUMBER(F23),Population!F23,"")</f>
        <v>43737</v>
      </c>
      <c r="AD23" s="155">
        <f>IF(ISNUMBER(G23),Population!G23,"")</f>
        <v>44250</v>
      </c>
      <c r="AE23" s="155">
        <f>IF(ISNUMBER(H23),Population!H23,"")</f>
        <v>44849</v>
      </c>
      <c r="AF23" s="65" t="s">
        <v>13</v>
      </c>
      <c r="AG23" s="70">
        <f t="shared" si="4"/>
        <v>275.36845860554308</v>
      </c>
      <c r="AH23" s="156">
        <f t="shared" si="5"/>
        <v>14</v>
      </c>
      <c r="AJ23" s="121"/>
      <c r="AK23" s="480">
        <f t="shared" si="6"/>
        <v>0.32277992277992279</v>
      </c>
      <c r="AL23" s="480">
        <f t="shared" si="7"/>
        <v>-0.23642732049036777</v>
      </c>
      <c r="AM23" s="480">
        <f t="shared" si="8"/>
        <v>5.5045871559633031E-2</v>
      </c>
      <c r="AN23" s="480">
        <f t="shared" si="9"/>
        <v>-0.10507246376811594</v>
      </c>
      <c r="AO23" s="480">
        <f t="shared" si="11"/>
        <v>9.0815025202680283E-3</v>
      </c>
      <c r="AP23" s="52"/>
      <c r="AQ23" s="52"/>
      <c r="AR23" s="52"/>
      <c r="AS23" s="52"/>
      <c r="AT23" s="52"/>
      <c r="AU23" s="52"/>
      <c r="AV23" s="52"/>
      <c r="AW23" s="52"/>
      <c r="AX23" s="52"/>
      <c r="AY23" s="52"/>
    </row>
    <row r="24" spans="1:51" s="61" customFormat="1" ht="15.75" customHeight="1">
      <c r="A24" s="1103">
        <f>VLOOKUP(B24,ReportData!$AQ$4:$AR$25,2,FALSE)</f>
        <v>0</v>
      </c>
      <c r="B24" s="885" t="str">
        <f>ReportData!$K$17</f>
        <v>Southampton</v>
      </c>
      <c r="C24" s="896"/>
      <c r="D24" s="889">
        <f>IF(Year1_Southampton Year1_CIN_Section47="","",Year1_Southampton Year1_CIN_Section47)</f>
        <v>2116</v>
      </c>
      <c r="E24" s="889">
        <f>IF(Year2_Southampton Year2_CIN_Section47="","",Year2_Southampton Year2_CIN_Section47)</f>
        <v>1655</v>
      </c>
      <c r="F24" s="889">
        <f>IF(Year3_Southampton Year3_CIN_Section47="","",Year3_Southampton Year3_CIN_Section47)</f>
        <v>1754</v>
      </c>
      <c r="G24" s="889">
        <f>IF(Year4_Southampton Year4_CIN_Section47="","",Year4_Southampton Year4_CIN_Section47)</f>
        <v>1737</v>
      </c>
      <c r="H24" s="890">
        <f>IF(Year5_Southampton Year5_CIN_Section47="","",Year5_Southampton Year5_CIN_Section47)</f>
        <v>1320</v>
      </c>
      <c r="I24" s="900">
        <f t="shared" si="0"/>
        <v>-0.10195159497995779</v>
      </c>
      <c r="J24" s="896"/>
      <c r="K24" s="901">
        <f>IF(ISNUMBER(D24),D24/Population!D24*10000,NA())</f>
        <v>426.71614100185531</v>
      </c>
      <c r="L24" s="901">
        <f>IF(ISNUMBER(E24),E24/Population!E24*10000,NA())</f>
        <v>332.75026640127066</v>
      </c>
      <c r="M24" s="901">
        <f>IF(ISNUMBER(F24),F24/Population!F24*10000,NA())</f>
        <v>355.14699927107796</v>
      </c>
      <c r="N24" s="901">
        <f>IF(ISNUMBER(G24),G24/Population!G24*10000,NA())</f>
        <v>348.29861041487038</v>
      </c>
      <c r="O24" s="902">
        <f>IF(ISNUMBER(H24),H24/Population!H24*10000,NA())</f>
        <v>262.04514323149306</v>
      </c>
      <c r="P24" s="903">
        <f t="shared" si="10"/>
        <v>262.04514323149306</v>
      </c>
      <c r="Q24" s="904">
        <f t="shared" si="1"/>
        <v>12</v>
      </c>
      <c r="R24" s="64"/>
      <c r="S24" s="905">
        <f t="shared" si="12"/>
        <v>222.45780476746086</v>
      </c>
      <c r="T24" s="906">
        <f t="shared" si="2"/>
        <v>39.5873384640322</v>
      </c>
      <c r="U24" s="89"/>
      <c r="V24" s="103"/>
      <c r="W24" s="115"/>
      <c r="X24" s="51" t="str">
        <f t="shared" si="3"/>
        <v>Southampton</v>
      </c>
      <c r="Y24" s="27">
        <f>IF(ISNUMBER($H24),IDACI!D22,0)</f>
        <v>44295</v>
      </c>
      <c r="Z24" s="27">
        <f>IF(ISNUMBER($H24),IDACI!E22,0)</f>
        <v>9080.4750000000004</v>
      </c>
      <c r="AA24" s="155">
        <f>IF(ISNUMBER(D24),Population!D24,"")</f>
        <v>49588</v>
      </c>
      <c r="AB24" s="155">
        <f>IF(ISNUMBER(E24),Population!E24,"")</f>
        <v>49737</v>
      </c>
      <c r="AC24" s="155">
        <f>IF(ISNUMBER(F24),Population!F24,"")</f>
        <v>49388</v>
      </c>
      <c r="AD24" s="155">
        <f>IF(ISNUMBER(G24),Population!G24,"")</f>
        <v>49871</v>
      </c>
      <c r="AE24" s="155">
        <f>IF(ISNUMBER(H24),Population!H24,"")</f>
        <v>50373</v>
      </c>
      <c r="AF24" s="65" t="s">
        <v>14</v>
      </c>
      <c r="AG24" s="70">
        <f t="shared" si="4"/>
        <v>262.04514323149306</v>
      </c>
      <c r="AH24" s="156">
        <f t="shared" si="5"/>
        <v>12</v>
      </c>
      <c r="AJ24" s="121"/>
      <c r="AK24" s="480">
        <f t="shared" si="6"/>
        <v>-0.21786389413988658</v>
      </c>
      <c r="AL24" s="480">
        <f t="shared" si="7"/>
        <v>5.9818731117824771E-2</v>
      </c>
      <c r="AM24" s="480">
        <f t="shared" si="8"/>
        <v>-9.6921322690992021E-3</v>
      </c>
      <c r="AN24" s="480">
        <f t="shared" si="9"/>
        <v>-0.24006908462867013</v>
      </c>
      <c r="AO24" s="480">
        <f t="shared" si="11"/>
        <v>-0.10195159497995779</v>
      </c>
      <c r="AP24" s="52"/>
      <c r="AQ24" s="52"/>
      <c r="AR24" s="52"/>
      <c r="AS24" s="52"/>
      <c r="AT24" s="52"/>
      <c r="AU24" s="52"/>
      <c r="AV24" s="52"/>
      <c r="AW24" s="52"/>
      <c r="AX24" s="52"/>
      <c r="AY24" s="52"/>
    </row>
    <row r="25" spans="1:51" s="61" customFormat="1" ht="15.75" customHeight="1">
      <c r="A25" s="1103">
        <f>VLOOKUP(B25,ReportData!$AQ$4:$AR$25,2,FALSE)</f>
        <v>0</v>
      </c>
      <c r="B25" s="885" t="str">
        <f>ReportData!$K$18</f>
        <v>Surrey</v>
      </c>
      <c r="C25" s="896"/>
      <c r="D25" s="889">
        <f>IF(Year1_Surrey Year1_CIN_Section47="","",Year1_Surrey Year1_CIN_Section47)</f>
        <v>2658</v>
      </c>
      <c r="E25" s="889">
        <f>IF(Year2_Surrey Year2_CIN_Section47="","",Year2_Surrey Year2_CIN_Section47)</f>
        <v>3424</v>
      </c>
      <c r="F25" s="889">
        <f>IF(Year3_Surrey Year3_CIN_Section47="","",Year3_Surrey Year3_CIN_Section47)</f>
        <v>3502</v>
      </c>
      <c r="G25" s="889">
        <f>IF(Year4_Surrey Year4_CIN_Section47="","",Year4_Surrey Year4_CIN_Section47)</f>
        <v>3017</v>
      </c>
      <c r="H25" s="890">
        <f>IF(Year5_Surrey Year5_CIN_Section47="","",Year5_Surrey Year5_CIN_Section47)</f>
        <v>2471</v>
      </c>
      <c r="I25" s="900">
        <f t="shared" si="0"/>
        <v>-2.1249469438403903E-3</v>
      </c>
      <c r="J25" s="896"/>
      <c r="K25" s="901">
        <f>IF(ISNUMBER(D25),D25/Population!D25*10000,NA())</f>
        <v>103.00528977503923</v>
      </c>
      <c r="L25" s="901">
        <f>IF(ISNUMBER(E25),E25/Population!E25*10000,NA())</f>
        <v>132.4467447266932</v>
      </c>
      <c r="M25" s="901">
        <f>IF(ISNUMBER(F25),F25/Population!F25*10000,NA())</f>
        <v>134.958071278826</v>
      </c>
      <c r="N25" s="901">
        <f>IF(ISNUMBER(G25),G25/Population!G25*10000,NA())</f>
        <v>114.48238177996008</v>
      </c>
      <c r="O25" s="902">
        <f>IF(ISNUMBER(H25),H25/Population!H25*10000,NA())</f>
        <v>93.009425155831238</v>
      </c>
      <c r="P25" s="903">
        <f t="shared" si="10"/>
        <v>93.009425155831238</v>
      </c>
      <c r="Q25" s="904">
        <f t="shared" si="1"/>
        <v>1</v>
      </c>
      <c r="R25" s="64"/>
      <c r="S25" s="905">
        <f t="shared" si="12"/>
        <v>140.33514971600019</v>
      </c>
      <c r="T25" s="906">
        <f t="shared" si="2"/>
        <v>-47.32572456016895</v>
      </c>
      <c r="U25" s="89"/>
      <c r="V25" s="103"/>
      <c r="W25" s="115"/>
      <c r="X25" s="51" t="str">
        <f t="shared" si="3"/>
        <v>Surrey</v>
      </c>
      <c r="Y25" s="27">
        <f>IF(ISNUMBER($H25),IDACI!D23,0)</f>
        <v>228466</v>
      </c>
      <c r="Z25" s="27">
        <f>IF(ISNUMBER($H25),IDACI!E23,0)</f>
        <v>18962.678</v>
      </c>
      <c r="AA25" s="155">
        <f>IF(ISNUMBER(D25),Population!D25,"")</f>
        <v>258045</v>
      </c>
      <c r="AB25" s="155">
        <f>IF(ISNUMBER(E25),Population!E25,"")</f>
        <v>258519</v>
      </c>
      <c r="AC25" s="155">
        <f>IF(ISNUMBER(F25),Population!F25,"")</f>
        <v>259488</v>
      </c>
      <c r="AD25" s="155">
        <f>IF(ISNUMBER(G25),Population!G25,"")</f>
        <v>263534</v>
      </c>
      <c r="AE25" s="155">
        <f>IF(ISNUMBER(H25),Population!H25,"")</f>
        <v>265672</v>
      </c>
      <c r="AF25" s="65" t="s">
        <v>7</v>
      </c>
      <c r="AG25" s="70">
        <f t="shared" si="4"/>
        <v>93.009425155831238</v>
      </c>
      <c r="AH25" s="156">
        <f t="shared" si="5"/>
        <v>1</v>
      </c>
      <c r="AJ25" s="121"/>
      <c r="AK25" s="480">
        <f t="shared" si="6"/>
        <v>0.28818660647103084</v>
      </c>
      <c r="AL25" s="480">
        <f t="shared" si="7"/>
        <v>2.27803738317757E-2</v>
      </c>
      <c r="AM25" s="480">
        <f t="shared" si="8"/>
        <v>-0.13849229011993147</v>
      </c>
      <c r="AN25" s="480">
        <f t="shared" si="9"/>
        <v>-0.18097447795823665</v>
      </c>
      <c r="AO25" s="480">
        <f t="shared" si="11"/>
        <v>-2.1249469438403903E-3</v>
      </c>
      <c r="AP25" s="52"/>
      <c r="AQ25" s="52"/>
      <c r="AR25" s="52"/>
      <c r="AS25" s="52"/>
      <c r="AT25" s="52"/>
      <c r="AU25" s="52"/>
      <c r="AV25" s="52"/>
      <c r="AW25" s="52"/>
      <c r="AX25" s="52"/>
      <c r="AY25" s="52"/>
    </row>
    <row r="26" spans="1:51" s="61" customFormat="1" ht="15.75" customHeight="1">
      <c r="A26" s="1103">
        <f>VLOOKUP(B26,ReportData!$AQ$4:$AR$25,2,FALSE)</f>
        <v>0</v>
      </c>
      <c r="B26" s="885" t="str">
        <f>ReportData!$K$19</f>
        <v>West Berkshire</v>
      </c>
      <c r="C26" s="896"/>
      <c r="D26" s="889">
        <f>IF(Year1_West_Berkshire Year1_CIN_Section47="","",Year1_West_Berkshire Year1_CIN_Section47)</f>
        <v>517</v>
      </c>
      <c r="E26" s="889">
        <f>IF(Year2_West_Berkshire Year2_CIN_Section47="","",Year2_West_Berkshire Year2_CIN_Section47)</f>
        <v>541</v>
      </c>
      <c r="F26" s="889">
        <f>IF(Year3_West_Berkshire Year3_CIN_Section47="","",Year3_West_Berkshire Year3_CIN_Section47)</f>
        <v>736</v>
      </c>
      <c r="G26" s="889">
        <f>IF(Year4_West_Berkshire Year4_CIN_Section47="","",Year4_West_Berkshire Year4_CIN_Section47)</f>
        <v>907</v>
      </c>
      <c r="H26" s="890">
        <f>IF(Year5_West_Berkshire Year5_CIN_Section47="","",Year5_West_Berkshire Year5_CIN_Section47)</f>
        <v>716</v>
      </c>
      <c r="I26" s="900">
        <f t="shared" ref="I26:I31" si="13">AO26</f>
        <v>0.10715447472350424</v>
      </c>
      <c r="J26" s="896"/>
      <c r="K26" s="901">
        <f>IF(ISNUMBER(D26),D26/Population!D26*10000,NA())</f>
        <v>147.45728872536438</v>
      </c>
      <c r="L26" s="901">
        <f>IF(ISNUMBER(E26),E26/Population!E26*10000,NA())</f>
        <v>155.35263036985987</v>
      </c>
      <c r="M26" s="901">
        <f>IF(ISNUMBER(F26),F26/Population!F26*10000,NA())</f>
        <v>212.74750686515392</v>
      </c>
      <c r="N26" s="901">
        <f>IF(ISNUMBER(G26),G26/Population!G26*10000,NA())</f>
        <v>259.7960586617782</v>
      </c>
      <c r="O26" s="902">
        <f>IF(ISNUMBER(H26),H26/Population!H26*10000,NA())</f>
        <v>202.689313517339</v>
      </c>
      <c r="P26" s="903">
        <f t="shared" ref="P26:P31" si="14">IF(ISNUMBER(O26),O26,"")</f>
        <v>202.689313517339</v>
      </c>
      <c r="Q26" s="904">
        <f t="shared" si="1"/>
        <v>8</v>
      </c>
      <c r="R26" s="64"/>
      <c r="S26" s="905">
        <f t="shared" si="12"/>
        <v>143.02769578326121</v>
      </c>
      <c r="T26" s="906">
        <f t="shared" si="2"/>
        <v>59.661617734077794</v>
      </c>
      <c r="U26" s="89"/>
      <c r="V26" s="103"/>
      <c r="W26" s="115"/>
      <c r="X26" s="51" t="str">
        <f t="shared" si="3"/>
        <v>West Berkshire</v>
      </c>
      <c r="Y26" s="27">
        <f>IF(ISNUMBER($H26),IDACI!D24,0)</f>
        <v>31625</v>
      </c>
      <c r="Z26" s="27">
        <f>IF(ISNUMBER($H26),IDACI!E24,0)</f>
        <v>2751.375</v>
      </c>
      <c r="AA26" s="155">
        <f>IF(ISNUMBER(D26),Population!D26,"")</f>
        <v>35061</v>
      </c>
      <c r="AB26" s="155">
        <f>IF(ISNUMBER(E26),Population!E26,"")</f>
        <v>34824</v>
      </c>
      <c r="AC26" s="155">
        <f>IF(ISNUMBER(F26),Population!F26,"")</f>
        <v>34595</v>
      </c>
      <c r="AD26" s="155">
        <f>IF(ISNUMBER(G26),Population!G26,"")</f>
        <v>34912</v>
      </c>
      <c r="AE26" s="155">
        <f>IF(ISNUMBER(H26),Population!H26,"")</f>
        <v>35325</v>
      </c>
      <c r="AF26" s="65" t="s">
        <v>15</v>
      </c>
      <c r="AG26" s="70">
        <f t="shared" si="4"/>
        <v>202.689313517339</v>
      </c>
      <c r="AH26" s="156">
        <f t="shared" si="5"/>
        <v>8</v>
      </c>
      <c r="AJ26" s="121"/>
      <c r="AK26" s="480">
        <f t="shared" si="6"/>
        <v>4.6421663442940041E-2</v>
      </c>
      <c r="AL26" s="480">
        <f t="shared" si="7"/>
        <v>0.36044362292051757</v>
      </c>
      <c r="AM26" s="480">
        <f t="shared" si="8"/>
        <v>0.23233695652173914</v>
      </c>
      <c r="AN26" s="480">
        <f t="shared" si="9"/>
        <v>-0.2105843439911797</v>
      </c>
      <c r="AO26" s="480">
        <f t="shared" ref="AO26:AO31" si="15">AVERAGE(AK26:AN26)</f>
        <v>0.10715447472350424</v>
      </c>
      <c r="AP26" s="52"/>
      <c r="AQ26" s="52"/>
      <c r="AR26" s="52"/>
      <c r="AS26" s="52"/>
      <c r="AT26" s="52"/>
      <c r="AU26" s="52"/>
      <c r="AV26" s="52"/>
      <c r="AW26" s="52"/>
      <c r="AX26" s="52"/>
      <c r="AY26" s="52"/>
    </row>
    <row r="27" spans="1:51" s="61" customFormat="1" ht="15.75" customHeight="1">
      <c r="A27" s="1103">
        <f>VLOOKUP(B27,ReportData!$AQ$4:$AR$25,2,FALSE)</f>
        <v>0</v>
      </c>
      <c r="B27" s="885" t="str">
        <f>ReportData!$K$20</f>
        <v>West Sussex</v>
      </c>
      <c r="C27" s="896"/>
      <c r="D27" s="889">
        <f>IF(Year1_West_Sussex Year1_CIN_Section47="","",Year1_West_Sussex Year1_CIN_Section47)</f>
        <v>3080</v>
      </c>
      <c r="E27" s="889">
        <f>IF(Year2_West_Sussex Year2_CIN_Section47="","",Year2_West_Sussex Year2_CIN_Section47)</f>
        <v>3349</v>
      </c>
      <c r="F27" s="889">
        <f>IF(Year3_West_Sussex Year3_CIN_Section47="","",Year3_West_Sussex Year3_CIN_Section47)</f>
        <v>3501</v>
      </c>
      <c r="G27" s="889">
        <f>IF(Year4_West_Sussex Year4_CIN_Section47="","",Year4_West_Sussex Year4_CIN_Section47)</f>
        <v>3549</v>
      </c>
      <c r="H27" s="890">
        <f>IF(Year5_West_Sussex Year5_CIN_Section47="","",Year5_West_Sussex Year5_CIN_Section47)</f>
        <v>3059</v>
      </c>
      <c r="I27" s="900">
        <f t="shared" si="13"/>
        <v>2.0919130629122734E-3</v>
      </c>
      <c r="J27" s="896"/>
      <c r="K27" s="901">
        <f>IF(ISNUMBER(D27),D27/Population!D27*10000,NA())</f>
        <v>177.46944702133669</v>
      </c>
      <c r="L27" s="901">
        <f>IF(ISNUMBER(E27),E27/Population!E27*10000,NA())</f>
        <v>192.61184887820423</v>
      </c>
      <c r="M27" s="901">
        <f>IF(ISNUMBER(F27),F27/Population!F27*10000,NA())</f>
        <v>200.24709152681973</v>
      </c>
      <c r="N27" s="901">
        <f>IF(ISNUMBER(G27),G27/Population!G27*10000,NA())</f>
        <v>200.11389971186756</v>
      </c>
      <c r="O27" s="902">
        <f>IF(ISNUMBER(H27),H27/Population!H27*10000,NA())</f>
        <v>170.88621737575974</v>
      </c>
      <c r="P27" s="903">
        <f t="shared" si="14"/>
        <v>170.88621737575974</v>
      </c>
      <c r="Q27" s="904">
        <f t="shared" si="1"/>
        <v>6</v>
      </c>
      <c r="R27" s="64"/>
      <c r="S27" s="905">
        <f t="shared" si="12"/>
        <v>158.50983567001197</v>
      </c>
      <c r="T27" s="906">
        <f t="shared" si="2"/>
        <v>12.376381705747775</v>
      </c>
      <c r="U27" s="89"/>
      <c r="V27" s="103"/>
      <c r="W27" s="115"/>
      <c r="X27" s="51" t="str">
        <f t="shared" si="3"/>
        <v>West Sussex</v>
      </c>
      <c r="Y27" s="27">
        <f>IF(ISNUMBER($H27),IDACI!D25,0)</f>
        <v>151487</v>
      </c>
      <c r="Z27" s="27">
        <f>IF(ISNUMBER($H27),IDACI!E25,0)</f>
        <v>16663.57</v>
      </c>
      <c r="AA27" s="155">
        <f>IF(ISNUMBER(D27),Population!D27,"")</f>
        <v>173551</v>
      </c>
      <c r="AB27" s="155">
        <f>IF(ISNUMBER(E27),Population!E27,"")</f>
        <v>173873</v>
      </c>
      <c r="AC27" s="155">
        <f>IF(ISNUMBER(F27),Population!F27,"")</f>
        <v>174834</v>
      </c>
      <c r="AD27" s="155">
        <f>IF(ISNUMBER(G27),Population!G27,"")</f>
        <v>177349</v>
      </c>
      <c r="AE27" s="155">
        <f>IF(ISNUMBER(H27),Population!H27,"")</f>
        <v>179008</v>
      </c>
      <c r="AF27" s="65" t="s">
        <v>5</v>
      </c>
      <c r="AG27" s="70">
        <f t="shared" si="4"/>
        <v>170.88621737575974</v>
      </c>
      <c r="AH27" s="156">
        <f t="shared" si="5"/>
        <v>6</v>
      </c>
      <c r="AJ27" s="121"/>
      <c r="AK27" s="480">
        <f t="shared" si="6"/>
        <v>8.7337662337662339E-2</v>
      </c>
      <c r="AL27" s="480">
        <f t="shared" si="7"/>
        <v>4.5386682591818453E-2</v>
      </c>
      <c r="AM27" s="480">
        <f t="shared" si="8"/>
        <v>1.3710368466152529E-2</v>
      </c>
      <c r="AN27" s="480">
        <f t="shared" si="9"/>
        <v>-0.13806706114398423</v>
      </c>
      <c r="AO27" s="480">
        <f t="shared" si="15"/>
        <v>2.0919130629122734E-3</v>
      </c>
      <c r="AP27" s="52"/>
      <c r="AQ27" s="52"/>
      <c r="AR27" s="52"/>
      <c r="AS27" s="52"/>
      <c r="AT27" s="52"/>
      <c r="AU27" s="52"/>
      <c r="AV27" s="52"/>
      <c r="AW27" s="52"/>
      <c r="AX27" s="52"/>
      <c r="AY27" s="52"/>
    </row>
    <row r="28" spans="1:51" s="61" customFormat="1" ht="15.75" customHeight="1">
      <c r="A28" s="1103">
        <f>VLOOKUP(B28,ReportData!$AQ$4:$AR$25,2,FALSE)</f>
        <v>0</v>
      </c>
      <c r="B28" s="885" t="str">
        <f>ReportData!$K$21</f>
        <v>Windsor &amp; Maidenhead</v>
      </c>
      <c r="C28" s="896"/>
      <c r="D28" s="889">
        <f>IF(Year1_Windsor_and_Maidenhead Year1_CIN_Section47="","",Year1_Windsor_and_Maidenhead Year1_CIN_Section47)</f>
        <v>597</v>
      </c>
      <c r="E28" s="889">
        <f>IF(Year2_Windsor_and_Maidenhead Year2_CIN_Section47="","",Year2_Windsor_and_Maidenhead Year2_CIN_Section47)</f>
        <v>643</v>
      </c>
      <c r="F28" s="889">
        <f>IF(Year3_Windsor_and_Maidenhead Year3_CIN_Section47="","",Year3_Windsor_and_Maidenhead Year3_CIN_Section47)</f>
        <v>706</v>
      </c>
      <c r="G28" s="889">
        <f>IF(Year4_Windsor_and_Maidenhead Year4_CIN_Section47="","",Year4_Windsor_and_Maidenhead Year4_CIN_Section47)</f>
        <v>661</v>
      </c>
      <c r="H28" s="890">
        <f>IF(Year5_Windsor_and_Maidenhead Year5_CIN_Section47="","",Year5_Windsor_and_Maidenhead Year5_CIN_Section47)</f>
        <v>649</v>
      </c>
      <c r="I28" s="900">
        <f t="shared" si="13"/>
        <v>2.328411623481394E-2</v>
      </c>
      <c r="J28" s="896"/>
      <c r="K28" s="901">
        <f>IF(ISNUMBER(D28),D28/Population!D28*10000,NA())</f>
        <v>174.184513041956</v>
      </c>
      <c r="L28" s="901">
        <f>IF(ISNUMBER(E28),E28/Population!E28*10000,NA())</f>
        <v>188.6571017809465</v>
      </c>
      <c r="M28" s="901">
        <f>IF(ISNUMBER(F28),F28/Population!F28*10000,NA())</f>
        <v>208.40713189278546</v>
      </c>
      <c r="N28" s="901">
        <f>IF(ISNUMBER(G28),G28/Population!G28*10000,NA())</f>
        <v>193.76777181719578</v>
      </c>
      <c r="O28" s="902">
        <f>IF(ISNUMBER(H28),H28/Population!H28*10000,NA())</f>
        <v>189.31769785012105</v>
      </c>
      <c r="P28" s="903">
        <f t="shared" si="14"/>
        <v>189.31769785012105</v>
      </c>
      <c r="Q28" s="904">
        <f t="shared" si="1"/>
        <v>7</v>
      </c>
      <c r="R28" s="64"/>
      <c r="S28" s="905">
        <f t="shared" si="12"/>
        <v>129.56496544695617</v>
      </c>
      <c r="T28" s="906">
        <f t="shared" si="2"/>
        <v>59.752732403164885</v>
      </c>
      <c r="U28" s="89"/>
      <c r="V28" s="103"/>
      <c r="W28" s="115"/>
      <c r="X28" s="51" t="str">
        <f t="shared" si="3"/>
        <v>Windsor &amp; Maidenhead</v>
      </c>
      <c r="Y28" s="27">
        <f>IF(ISNUMBER($H28),IDACI!D26,0)</f>
        <v>29792</v>
      </c>
      <c r="Z28" s="27">
        <f>IF(ISNUMBER($H28),IDACI!E26,0)</f>
        <v>1996.0640000000001</v>
      </c>
      <c r="AA28" s="155">
        <f>IF(ISNUMBER(D28),Population!D28,"")</f>
        <v>34274</v>
      </c>
      <c r="AB28" s="155">
        <f>IF(ISNUMBER(E28),Population!E28,"")</f>
        <v>34083</v>
      </c>
      <c r="AC28" s="155">
        <f>IF(ISNUMBER(F28),Population!F28,"")</f>
        <v>33876</v>
      </c>
      <c r="AD28" s="155">
        <f>IF(ISNUMBER(G28),Population!G28,"")</f>
        <v>34113</v>
      </c>
      <c r="AE28" s="155">
        <f>IF(ISNUMBER(H28),Population!H28,"")</f>
        <v>34281</v>
      </c>
      <c r="AF28" s="65" t="s">
        <v>27</v>
      </c>
      <c r="AG28" s="70">
        <f t="shared" si="4"/>
        <v>189.31769785012105</v>
      </c>
      <c r="AH28" s="156">
        <f t="shared" si="5"/>
        <v>7</v>
      </c>
      <c r="AJ28" s="121"/>
      <c r="AK28" s="480">
        <f t="shared" si="6"/>
        <v>7.705192629815745E-2</v>
      </c>
      <c r="AL28" s="480">
        <f t="shared" si="7"/>
        <v>9.7978227060653192E-2</v>
      </c>
      <c r="AM28" s="480">
        <f t="shared" si="8"/>
        <v>-6.3739376770538245E-2</v>
      </c>
      <c r="AN28" s="480">
        <f t="shared" si="9"/>
        <v>-1.8154311649016642E-2</v>
      </c>
      <c r="AO28" s="480">
        <f t="shared" si="15"/>
        <v>2.328411623481394E-2</v>
      </c>
      <c r="AP28" s="52"/>
      <c r="AQ28" s="52"/>
      <c r="AR28" s="52"/>
      <c r="AS28" s="52"/>
      <c r="AT28" s="52"/>
      <c r="AU28" s="52"/>
      <c r="AV28" s="52"/>
      <c r="AW28" s="52"/>
      <c r="AX28" s="52"/>
      <c r="AY28" s="52"/>
    </row>
    <row r="29" spans="1:51" s="61" customFormat="1" ht="15.75" customHeight="1">
      <c r="A29" s="1103">
        <f>VLOOKUP(B29,ReportData!$AQ$4:$AR$25,2,FALSE)</f>
        <v>0</v>
      </c>
      <c r="B29" s="885" t="str">
        <f>ReportData!$K$22</f>
        <v>Wokingham</v>
      </c>
      <c r="C29" s="896"/>
      <c r="D29" s="889">
        <f>IF(Year1_Wokingham Year1_CIN_Section47="","",Year1_Wokingham Year1_CIN_Section47)</f>
        <v>650</v>
      </c>
      <c r="E29" s="889">
        <f>IF(Year2_Wokingham Year2_CIN_Section47="","",Year2_Wokingham Year2_CIN_Section47)</f>
        <v>647</v>
      </c>
      <c r="F29" s="889">
        <f>IF(Year3_Wokingham Year3_CIN_Section47="","",Year3_Wokingham Year3_CIN_Section47)</f>
        <v>640</v>
      </c>
      <c r="G29" s="889">
        <f>IF(Year4_Wokingham Year4_CIN_Section47="","",Year4_Wokingham Year4_CIN_Section47)</f>
        <v>604</v>
      </c>
      <c r="H29" s="890">
        <f>IF(Year5_Wokingham Year5_CIN_Section47="","",Year5_Wokingham Year5_CIN_Section47)</f>
        <v>570</v>
      </c>
      <c r="I29" s="900">
        <f t="shared" si="13"/>
        <v>-3.199398518063306E-2</v>
      </c>
      <c r="J29" s="896"/>
      <c r="K29" s="901">
        <f>IF(ISNUMBER(D29),D29/Population!D29*10000,NA())</f>
        <v>163.43155989138086</v>
      </c>
      <c r="L29" s="901">
        <f>IF(ISNUMBER(E29),E29/Population!E29*10000,NA())</f>
        <v>159.8478110485226</v>
      </c>
      <c r="M29" s="901">
        <f>IF(ISNUMBER(F29),F29/Population!F29*10000,NA())</f>
        <v>155.60796518271781</v>
      </c>
      <c r="N29" s="901">
        <f>IF(ISNUMBER(G29),G29/Population!G29*10000,NA())</f>
        <v>142.0507996237065</v>
      </c>
      <c r="O29" s="902">
        <f>IF(ISNUMBER(H29),H29/Population!H29*10000,NA())</f>
        <v>131.59717412383986</v>
      </c>
      <c r="P29" s="903">
        <f t="shared" si="14"/>
        <v>131.59717412383986</v>
      </c>
      <c r="Q29" s="904">
        <f t="shared" si="1"/>
        <v>4</v>
      </c>
      <c r="R29" s="64"/>
      <c r="S29" s="905">
        <f t="shared" si="12"/>
        <v>122.16046376198841</v>
      </c>
      <c r="T29" s="906">
        <f t="shared" si="2"/>
        <v>9.4367103618514534</v>
      </c>
      <c r="U29" s="89"/>
      <c r="V29" s="103"/>
      <c r="W29" s="115"/>
      <c r="X29" s="51" t="str">
        <f t="shared" si="3"/>
        <v>Wokingham</v>
      </c>
      <c r="Y29" s="27">
        <f>IF(ISNUMBER($H29),IDACI!D27,0)</f>
        <v>33327</v>
      </c>
      <c r="Z29" s="27">
        <f>IF(ISNUMBER($H29),IDACI!E27,0)</f>
        <v>1866.3120000000004</v>
      </c>
      <c r="AA29" s="155">
        <f>IF(ISNUMBER(D29),Population!D29,"")</f>
        <v>39772</v>
      </c>
      <c r="AB29" s="155">
        <f>IF(ISNUMBER(E29),Population!E29,"")</f>
        <v>40476</v>
      </c>
      <c r="AC29" s="155">
        <f>IF(ISNUMBER(F29),Population!F29,"")</f>
        <v>41129</v>
      </c>
      <c r="AD29" s="155">
        <f>IF(ISNUMBER(G29),Population!G29,"")</f>
        <v>42520</v>
      </c>
      <c r="AE29" s="155">
        <f>IF(ISNUMBER(H29),Population!H29,"")</f>
        <v>43314</v>
      </c>
      <c r="AF29" s="65" t="s">
        <v>16</v>
      </c>
      <c r="AG29" s="70">
        <f t="shared" si="4"/>
        <v>131.59717412383986</v>
      </c>
      <c r="AH29" s="156">
        <f t="shared" si="5"/>
        <v>4</v>
      </c>
      <c r="AJ29" s="121"/>
      <c r="AK29" s="480">
        <f t="shared" si="6"/>
        <v>-4.6153846153846158E-3</v>
      </c>
      <c r="AL29" s="480">
        <f t="shared" si="7"/>
        <v>-1.0819165378670788E-2</v>
      </c>
      <c r="AM29" s="480">
        <f t="shared" si="8"/>
        <v>-5.6250000000000001E-2</v>
      </c>
      <c r="AN29" s="480">
        <f t="shared" si="9"/>
        <v>-5.6291390728476824E-2</v>
      </c>
      <c r="AO29" s="480">
        <f t="shared" si="15"/>
        <v>-3.199398518063306E-2</v>
      </c>
      <c r="AP29" s="52"/>
      <c r="AQ29" s="52"/>
      <c r="AR29" s="52"/>
      <c r="AS29" s="52"/>
      <c r="AT29" s="52"/>
      <c r="AU29" s="52"/>
      <c r="AV29" s="52"/>
      <c r="AW29" s="52"/>
      <c r="AX29" s="52"/>
      <c r="AY29" s="52"/>
    </row>
    <row r="30" spans="1:51" s="61" customFormat="1" ht="15.75" customHeight="1">
      <c r="A30" s="1103"/>
      <c r="B30" s="886" t="str">
        <f>ReportData!$K$23</f>
        <v>South East</v>
      </c>
      <c r="C30" s="896"/>
      <c r="D30" s="892">
        <f>IF(Year1_South_East Year1_CIN_Section47="","",Year1_South_East Year1_CIN_Section47)</f>
        <v>35264</v>
      </c>
      <c r="E30" s="892">
        <f>IF(Year2_South_East Year2_CIN_Section47="","",Year2_South_East Year2_CIN_Section47)</f>
        <v>36564</v>
      </c>
      <c r="F30" s="892">
        <f>IF(Year3_South_East Year3_CIN_Section47="","",Year3_South_East Year3_CIN_Section47)</f>
        <v>41270</v>
      </c>
      <c r="G30" s="892">
        <f>IF(Year4_South_East Year4_CIN_Section47="","",Year4_South_East Year4_CIN_Section47)</f>
        <v>41850</v>
      </c>
      <c r="H30" s="893">
        <f>IF(Year5_South_East Year5_CIN_Section47="","",Year5_South_East Year5_CIN_Section47)</f>
        <v>40470</v>
      </c>
      <c r="I30" s="907">
        <f t="shared" si="13"/>
        <v>6.8891562131381423E-2</v>
      </c>
      <c r="J30" s="896"/>
      <c r="K30" s="908">
        <f>IF(ISNUMBER(D30),D30/AA30*10000,NA())</f>
        <v>182.93179534505396</v>
      </c>
      <c r="L30" s="908">
        <f>IF(ISNUMBER(E30),E30/AB30*10000,NA())</f>
        <v>189.37904866084401</v>
      </c>
      <c r="M30" s="908">
        <f>IF(ISNUMBER(F30),F30/AC30*10000,NA())</f>
        <v>213.20496606905215</v>
      </c>
      <c r="N30" s="908">
        <f>IF(ISNUMBER(G30),G30/AD30*10000,NA())</f>
        <v>212.95401567158368</v>
      </c>
      <c r="O30" s="909">
        <f>IF(ISNUMBER(H30),H30/AE30*10000,NA())</f>
        <v>237.59035126033845</v>
      </c>
      <c r="P30" s="903">
        <f t="shared" si="14"/>
        <v>237.59035126033845</v>
      </c>
      <c r="Q30" s="910" t="str">
        <f t="shared" si="1"/>
        <v>--</v>
      </c>
      <c r="R30" s="64"/>
      <c r="S30" s="911">
        <f>((AQ57*$Y$41)+$Z$41)/$X$2</f>
        <v>170.36094955460945</v>
      </c>
      <c r="T30" s="912">
        <f t="shared" si="2"/>
        <v>67.229401705729003</v>
      </c>
      <c r="U30" s="89"/>
      <c r="V30" s="103"/>
      <c r="W30" s="115"/>
      <c r="X30" s="51" t="str">
        <f t="shared" si="3"/>
        <v>South East</v>
      </c>
      <c r="Y30" s="27">
        <f>SUM(Y24:Y25,Y11:Y23,Y26:Y29)</f>
        <v>1455495</v>
      </c>
      <c r="Z30" s="27">
        <f>SUM(Z24:Z25,Z11:Z23,Z26:Z29)</f>
        <v>185729.61900000004</v>
      </c>
      <c r="AA30" s="155">
        <f>SUM(AA11:AA23,AA24:AA25,AA26:AA29)</f>
        <v>1927713</v>
      </c>
      <c r="AB30" s="155">
        <f>SUM(AB11:AB23,AB24:AB25,AB26:AB29)</f>
        <v>1930731</v>
      </c>
      <c r="AC30" s="155">
        <f>SUM(AC11:AC23,AC24:AC25,AC26:AC29)</f>
        <v>1935696</v>
      </c>
      <c r="AD30" s="155">
        <f>SUM(AD11:AD23,AD24:AD25,AD26:AD29)</f>
        <v>1965213</v>
      </c>
      <c r="AE30" s="155">
        <f>SUM(AE11:AE23,AE24:AE25,AE26:AE29)</f>
        <v>1703352</v>
      </c>
      <c r="AH30" s="141"/>
      <c r="AJ30" s="121"/>
      <c r="AK30" s="581">
        <f>IF(ISERROR((L30-K30)/K30),"x",(L30-K30)/K30)</f>
        <v>3.5244027992121098E-2</v>
      </c>
      <c r="AL30" s="581">
        <f>IF(ISERROR((M30-L30)/L30),"x",(M30-L30)/L30)</f>
        <v>0.1258107355416998</v>
      </c>
      <c r="AM30" s="581">
        <f>IF(ISERROR((N30-M30)/M30),"x",(N30-M30)/M30)</f>
        <v>-1.1770382374076357E-3</v>
      </c>
      <c r="AN30" s="581">
        <f>IF(ISERROR((O30-N30)/N30),"x",(O30-N30)/N30)</f>
        <v>0.11568852322911241</v>
      </c>
      <c r="AO30" s="480">
        <f t="shared" si="15"/>
        <v>6.8891562131381423E-2</v>
      </c>
      <c r="AP30" s="52"/>
      <c r="AQ30" s="52"/>
      <c r="AR30" s="52"/>
      <c r="AS30" s="52"/>
      <c r="AT30" s="52"/>
      <c r="AU30" s="52"/>
      <c r="AV30" s="52"/>
      <c r="AW30" s="52"/>
      <c r="AX30" s="52"/>
      <c r="AY30" s="52"/>
    </row>
    <row r="31" spans="1:51" s="61" customFormat="1" ht="15.75" customHeight="1">
      <c r="A31" s="1103"/>
      <c r="B31" s="887" t="str">
        <f>ReportData!$K$24</f>
        <v>England</v>
      </c>
      <c r="C31" s="896"/>
      <c r="D31" s="894">
        <f>IF(Year1_England Year1_CIN_Section47="","",Year1_England Year1_CIN_Section47)</f>
        <v>201000</v>
      </c>
      <c r="E31" s="894">
        <f>IF(Year2_England Year2_CIN_Section47="","",Year2_England Year2_CIN_Section47)</f>
        <v>198790</v>
      </c>
      <c r="F31" s="894">
        <f>IF(Year3_England Year3_CIN_Section47="","",Year3_England Year3_CIN_Section47)</f>
        <v>217800</v>
      </c>
      <c r="G31" s="894">
        <f>IF(Year4_England Year4_CIN_Section47="","",Year4_England Year4_CIN_Section47)</f>
        <v>225400</v>
      </c>
      <c r="H31" s="895">
        <f>IF(Year5_England Year5_CIN_Section47="","",Year5_England Year5_CIN_Section47)</f>
        <v>224520</v>
      </c>
      <c r="I31" s="913">
        <f t="shared" si="13"/>
        <v>2.8905939008861098E-2</v>
      </c>
      <c r="J31" s="896"/>
      <c r="K31" s="914">
        <f>IF(ISNUMBER(D31),D31/Population!D31*10000,NA())</f>
        <v>170.47634653413954</v>
      </c>
      <c r="L31" s="914">
        <f>IF(ISNUMBER(E31),E31/Population!E31*10000,NA())</f>
        <v>168.64054461759343</v>
      </c>
      <c r="M31" s="914">
        <f>IF(ISNUMBER(F31),F31/Population!F31*10000,NA())</f>
        <v>185.15876811780248</v>
      </c>
      <c r="N31" s="914">
        <f>IF(ISNUMBER(G31),G31/Population!G31*10000,NA())</f>
        <v>189.63823100006235</v>
      </c>
      <c r="O31" s="1186">
        <f>IF(ISNUMBER(H31),H31/Population!H31*10000,NA())</f>
        <v>187.12111349897313</v>
      </c>
      <c r="P31" s="903">
        <f t="shared" si="14"/>
        <v>187.12111349897313</v>
      </c>
      <c r="Q31" s="916" t="str">
        <f t="shared" si="1"/>
        <v>--</v>
      </c>
      <c r="R31" s="64"/>
      <c r="S31" s="917">
        <f t="shared" si="12"/>
        <v>199.46624413326691</v>
      </c>
      <c r="T31" s="1087">
        <f t="shared" si="2"/>
        <v>-12.345130634293781</v>
      </c>
      <c r="U31" s="89"/>
      <c r="V31" s="103"/>
      <c r="W31" s="115"/>
      <c r="X31" s="51" t="str">
        <f t="shared" si="3"/>
        <v>England</v>
      </c>
      <c r="Y31" s="27">
        <f>IF(H31&gt;0,IDACI!D29,0)</f>
        <v>10405050</v>
      </c>
      <c r="Z31" s="27">
        <f>IF(H31&gt;0,IDACI!E29,0)</f>
        <v>1777641.7570000088</v>
      </c>
      <c r="AA31" s="155">
        <f>IF(ISNUMBER(D31),Population!D31,"")</f>
        <v>11790492</v>
      </c>
      <c r="AB31" s="155">
        <f>IF(ISNUMBER(E31),Population!E31,"")</f>
        <v>11787794</v>
      </c>
      <c r="AC31" s="155">
        <f>IF(ISNUMBER(F31),Population!F31,"")</f>
        <v>11762878</v>
      </c>
      <c r="AD31" s="155">
        <f>IF(ISNUMBER(G31),Population!G31,"")</f>
        <v>11885789</v>
      </c>
      <c r="AE31" s="155">
        <f>IF(ISNUMBER(H31),Population!H31,"")</f>
        <v>11998646</v>
      </c>
      <c r="AH31" s="141"/>
      <c r="AJ31" s="121"/>
      <c r="AK31" s="480">
        <f>IF(ISERROR((E31-D31)/D31),"x",(E31-D31)/D31)</f>
        <v>-1.099502487562189E-2</v>
      </c>
      <c r="AL31" s="480">
        <f>IF(ISERROR((F31-E31)/E31),"x",(F31-E31)/E31)</f>
        <v>9.5628552744101813E-2</v>
      </c>
      <c r="AM31" s="480">
        <f>IF(ISERROR((G31-F31)/F31),"x",(G31-F31)/F31)</f>
        <v>3.489439853076217E-2</v>
      </c>
      <c r="AN31" s="480">
        <f>IF(ISERROR((H31-G31)/G31),"x",(H31-G31)/G31)</f>
        <v>-3.9041703637976931E-3</v>
      </c>
      <c r="AO31" s="480">
        <f t="shared" si="15"/>
        <v>2.8905939008861098E-2</v>
      </c>
      <c r="AP31" s="52"/>
      <c r="AQ31" s="52"/>
      <c r="AR31" s="52"/>
      <c r="AS31" s="52"/>
      <c r="AT31" s="52"/>
      <c r="AU31" s="52"/>
      <c r="AV31" s="52"/>
      <c r="AW31" s="52"/>
      <c r="AX31" s="52"/>
      <c r="AY31" s="52"/>
    </row>
    <row r="32" spans="1:51" s="56" customFormat="1" ht="12.75" customHeight="1">
      <c r="A32" s="87"/>
      <c r="B32" s="1077"/>
      <c r="C32" s="1184"/>
      <c r="D32" s="1184"/>
      <c r="E32" s="1184"/>
      <c r="F32" s="1184"/>
      <c r="G32" s="1184"/>
      <c r="H32" s="1184"/>
      <c r="I32" s="1184"/>
      <c r="J32" s="1184"/>
      <c r="K32" s="1184"/>
      <c r="L32" s="1184"/>
      <c r="M32" s="1184"/>
      <c r="N32" s="1184"/>
      <c r="O32" s="1184"/>
      <c r="P32" s="1184"/>
      <c r="Q32" s="1091" t="s">
        <v>100</v>
      </c>
      <c r="R32" s="1113"/>
      <c r="S32" s="1184"/>
      <c r="T32" s="1184"/>
      <c r="U32" s="86"/>
      <c r="V32" s="121"/>
      <c r="W32" s="114"/>
      <c r="X32" s="55"/>
      <c r="Y32" s="52"/>
      <c r="Z32" s="52"/>
      <c r="AA32" s="52"/>
      <c r="AB32" s="52"/>
      <c r="AC32" s="52"/>
      <c r="AD32" s="52"/>
      <c r="AE32" s="52"/>
      <c r="AF32" s="52"/>
      <c r="AG32" s="52"/>
      <c r="AI32" s="52"/>
      <c r="AJ32" s="122"/>
      <c r="AP32" s="52"/>
      <c r="AQ32" s="52"/>
      <c r="AR32" s="52"/>
      <c r="AS32" s="52"/>
      <c r="AT32" s="52"/>
      <c r="AU32" s="52"/>
      <c r="AV32" s="52"/>
      <c r="AW32" s="52"/>
      <c r="AX32" s="52"/>
      <c r="AY32" s="52"/>
    </row>
    <row r="33" spans="1:49"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Y33" s="141"/>
      <c r="AI33" s="52"/>
      <c r="AJ33" s="119"/>
      <c r="AK33" s="52"/>
      <c r="AL33" s="52"/>
      <c r="AM33" s="52"/>
      <c r="AN33" s="52"/>
      <c r="AO33" s="52"/>
      <c r="AP33" s="52"/>
      <c r="AQ33" s="52"/>
    </row>
    <row r="34" spans="1:49" s="56" customFormat="1" ht="15" customHeight="1">
      <c r="A34" s="1565"/>
      <c r="B34" s="1751"/>
      <c r="C34" s="1751"/>
      <c r="D34" s="1751"/>
      <c r="E34" s="1751"/>
      <c r="F34" s="1751"/>
      <c r="G34" s="1751"/>
      <c r="H34" s="1751"/>
      <c r="I34" s="1751"/>
      <c r="J34" s="1751"/>
      <c r="K34" s="1751"/>
      <c r="L34" s="1751"/>
      <c r="M34" s="1751"/>
      <c r="N34" s="1751"/>
      <c r="O34" s="1751"/>
      <c r="P34" s="1751"/>
      <c r="Q34" s="1751"/>
      <c r="R34" s="1751"/>
      <c r="S34" s="1751"/>
      <c r="T34" s="1751"/>
      <c r="U34" s="1752"/>
      <c r="V34" s="185"/>
      <c r="W34" s="114"/>
      <c r="Y34" s="141"/>
      <c r="AJ34" s="122"/>
      <c r="AL34" s="56">
        <f>COLUMNS($B$4:K$4)</f>
        <v>10</v>
      </c>
      <c r="AM34" s="56">
        <f>COLUMNS($B$4:L$4)</f>
        <v>11</v>
      </c>
      <c r="AN34" s="56">
        <f>COLUMNS($B$4:M$4)</f>
        <v>12</v>
      </c>
      <c r="AO34" s="56">
        <f>COLUMNS($B$4:N$4)</f>
        <v>13</v>
      </c>
      <c r="AP34" s="56">
        <f>COLUMNS($B$4:O$4)</f>
        <v>14</v>
      </c>
      <c r="AQ34" s="56">
        <f>COLUMNS($B$4:R$4)</f>
        <v>17</v>
      </c>
    </row>
    <row r="35" spans="1:49" s="56" customFormat="1" ht="11.25" customHeight="1">
      <c r="A35" s="1739"/>
      <c r="B35" s="1740"/>
      <c r="C35" s="1740"/>
      <c r="D35" s="1740"/>
      <c r="E35" s="1740"/>
      <c r="F35" s="1740"/>
      <c r="G35" s="1740"/>
      <c r="H35" s="1740"/>
      <c r="I35" s="1741"/>
      <c r="J35" s="1740"/>
      <c r="K35" s="1740"/>
      <c r="L35" s="1740"/>
      <c r="M35" s="1740"/>
      <c r="N35" s="1740"/>
      <c r="O35" s="1740"/>
      <c r="P35" s="1742"/>
      <c r="Q35" s="1740"/>
      <c r="R35" s="1740"/>
      <c r="S35" s="1741"/>
      <c r="T35" s="1740"/>
      <c r="U35" s="1743"/>
      <c r="V35" s="185"/>
      <c r="W35" s="114"/>
      <c r="Y35" s="141"/>
      <c r="AI35" s="52"/>
      <c r="AJ35" s="121"/>
      <c r="AK35" s="61"/>
      <c r="AL35" s="1738" t="s">
        <v>85</v>
      </c>
      <c r="AM35" s="1738"/>
      <c r="AN35" s="1738"/>
      <c r="AO35" s="1738"/>
      <c r="AP35" s="1738"/>
      <c r="AQ35" s="1738" t="s">
        <v>862</v>
      </c>
    </row>
    <row r="36" spans="1:49" s="56" customFormat="1" ht="10.5" customHeight="1">
      <c r="A36" s="81"/>
      <c r="B36" s="82"/>
      <c r="C36" s="82"/>
      <c r="D36" s="82"/>
      <c r="E36" s="82"/>
      <c r="F36" s="82"/>
      <c r="G36" s="82"/>
      <c r="H36" s="82"/>
      <c r="I36" s="82"/>
      <c r="J36" s="83"/>
      <c r="K36" s="82"/>
      <c r="L36" s="82"/>
      <c r="M36" s="82"/>
      <c r="N36" s="82"/>
      <c r="O36" s="82"/>
      <c r="P36" s="82"/>
      <c r="Q36" s="82"/>
      <c r="R36" s="82"/>
      <c r="S36" s="82"/>
      <c r="T36" s="82"/>
      <c r="U36" s="84"/>
      <c r="V36" s="102"/>
      <c r="W36" s="1093" t="s">
        <v>94</v>
      </c>
      <c r="X36" s="1152"/>
      <c r="Y36" s="1152"/>
      <c r="Z36" s="1152"/>
      <c r="AA36" s="1152"/>
      <c r="AB36" s="1152"/>
      <c r="AC36" s="1113"/>
      <c r="AD36" s="1113"/>
      <c r="AE36" s="1113"/>
      <c r="AF36" s="1113"/>
      <c r="AG36" s="1113"/>
      <c r="AH36" s="1113"/>
      <c r="AI36" s="360"/>
      <c r="AJ36" s="921"/>
      <c r="AK36" s="61"/>
      <c r="AL36" s="109" t="s">
        <v>582</v>
      </c>
      <c r="AM36" s="109" t="s">
        <v>583</v>
      </c>
      <c r="AN36" s="109" t="s">
        <v>584</v>
      </c>
      <c r="AO36" s="109" t="s">
        <v>585</v>
      </c>
      <c r="AP36" s="109" t="s">
        <v>582</v>
      </c>
      <c r="AQ36" s="1738"/>
    </row>
    <row r="37" spans="1:49" s="56" customFormat="1" ht="3.75" customHeight="1">
      <c r="A37" s="85"/>
      <c r="B37" s="5"/>
      <c r="C37" s="5"/>
      <c r="D37" s="5"/>
      <c r="E37" s="5"/>
      <c r="F37" s="5"/>
      <c r="G37" s="5"/>
      <c r="H37" s="5"/>
      <c r="I37" s="5"/>
      <c r="J37" s="1"/>
      <c r="K37" s="5"/>
      <c r="L37" s="5"/>
      <c r="M37" s="5"/>
      <c r="N37" s="5"/>
      <c r="O37" s="5"/>
      <c r="P37" s="5"/>
      <c r="Q37" s="5"/>
      <c r="R37" s="5"/>
      <c r="S37" s="5"/>
      <c r="T37" s="5"/>
      <c r="U37" s="86"/>
      <c r="V37" s="102"/>
      <c r="W37" s="1155"/>
      <c r="X37" s="1113"/>
      <c r="Y37" s="1113"/>
      <c r="Z37" s="1113"/>
      <c r="AA37" s="1113"/>
      <c r="AB37" s="1113"/>
      <c r="AC37" s="1156" t="s">
        <v>762</v>
      </c>
      <c r="AD37" s="1113"/>
      <c r="AE37" s="1113"/>
      <c r="AF37" s="1113"/>
      <c r="AG37" s="1113"/>
      <c r="AH37" s="1113"/>
      <c r="AI37" s="1113"/>
      <c r="AJ37" s="921"/>
      <c r="AK37" s="61"/>
      <c r="AL37" s="109" t="s">
        <v>181</v>
      </c>
      <c r="AM37" s="109" t="s">
        <v>181</v>
      </c>
      <c r="AN37" s="109" t="s">
        <v>181</v>
      </c>
      <c r="AO37" s="109" t="s">
        <v>581</v>
      </c>
      <c r="AP37" s="109" t="s">
        <v>581</v>
      </c>
      <c r="AQ37" s="1738"/>
    </row>
    <row r="38" spans="1:49" s="56" customFormat="1" ht="14.25" customHeight="1">
      <c r="A38" s="87"/>
      <c r="B38" s="5"/>
      <c r="C38" s="5"/>
      <c r="D38" s="5"/>
      <c r="E38" s="5"/>
      <c r="F38" s="5"/>
      <c r="G38" s="5"/>
      <c r="H38" s="5"/>
      <c r="I38" s="5"/>
      <c r="J38" s="1"/>
      <c r="K38" s="5"/>
      <c r="L38" s="5"/>
      <c r="M38" s="5"/>
      <c r="N38" s="5"/>
      <c r="O38" s="5"/>
      <c r="P38" s="5"/>
      <c r="Q38" s="5"/>
      <c r="R38" s="5"/>
      <c r="S38" s="5"/>
      <c r="T38" s="5"/>
      <c r="U38" s="86"/>
      <c r="V38" s="102"/>
      <c r="W38" s="1155"/>
      <c r="X38" s="1157" t="s">
        <v>69</v>
      </c>
      <c r="Y38" s="1157" t="s">
        <v>67</v>
      </c>
      <c r="Z38" s="1157" t="s">
        <v>68</v>
      </c>
      <c r="AA38" s="1158">
        <v>3</v>
      </c>
      <c r="AB38" s="1159">
        <f>(AA38*Y39)+Z39</f>
        <v>101.7030399298382</v>
      </c>
      <c r="AC38" s="1160">
        <f>ROUND(ChartLabels!$X24,3)</f>
        <v>0.372</v>
      </c>
      <c r="AD38" s="1113"/>
      <c r="AE38" s="1113"/>
      <c r="AF38" s="1113"/>
      <c r="AG38" s="1113"/>
      <c r="AH38" s="1113"/>
      <c r="AI38" s="1161" t="b">
        <v>1</v>
      </c>
      <c r="AJ38" s="921" t="s">
        <v>0</v>
      </c>
      <c r="AK38" s="61" t="str">
        <f t="shared" ref="AK38:AK58" si="16">IF(AI38=TRUE,B11,"")</f>
        <v>Bracknell Forest</v>
      </c>
      <c r="AL38" s="110">
        <f t="shared" ref="AL38:AP47" si="17">VLOOKUP($AK38,$B$11:$O$31,AL$34,FALSE)</f>
        <v>299.65565242874936</v>
      </c>
      <c r="AM38" s="110">
        <f t="shared" si="17"/>
        <v>315.64832934695949</v>
      </c>
      <c r="AN38" s="110">
        <f t="shared" si="17"/>
        <v>308.3779606800129</v>
      </c>
      <c r="AO38" s="110">
        <f t="shared" si="17"/>
        <v>303.21214260501233</v>
      </c>
      <c r="AP38" s="110">
        <f t="shared" si="17"/>
        <v>243.65553112018711</v>
      </c>
      <c r="AQ38" s="111">
        <f>VLOOKUP(AK38,IDACI!$B$9:$C$29,2,FALSE)</f>
        <v>8.9</v>
      </c>
    </row>
    <row r="39" spans="1:49" s="56" customFormat="1" ht="14.25" customHeight="1">
      <c r="A39" s="87"/>
      <c r="B39" s="5"/>
      <c r="C39" s="5"/>
      <c r="D39" s="5"/>
      <c r="E39" s="5"/>
      <c r="F39" s="5"/>
      <c r="G39" s="5"/>
      <c r="H39" s="5"/>
      <c r="I39" s="5"/>
      <c r="J39" s="1"/>
      <c r="K39" s="5"/>
      <c r="L39" s="5"/>
      <c r="M39" s="5"/>
      <c r="N39" s="5"/>
      <c r="O39" s="5"/>
      <c r="P39" s="5"/>
      <c r="Q39" s="5"/>
      <c r="R39" s="5"/>
      <c r="S39" s="5"/>
      <c r="T39" s="5"/>
      <c r="U39" s="86"/>
      <c r="V39" s="102"/>
      <c r="W39" s="1155"/>
      <c r="X39" s="1162" t="str">
        <f>"Y= "&amp;Y39&amp;"x + "&amp;Z39</f>
        <v>Y= 12.2487021713182x + 64.9569334158836</v>
      </c>
      <c r="Y39" s="1163">
        <f>ChartLabels!$V24</f>
        <v>12.248702171318206</v>
      </c>
      <c r="Z39" s="1163">
        <f>ChartLabels!$W24</f>
        <v>64.956933415883583</v>
      </c>
      <c r="AA39" s="1164">
        <v>22</v>
      </c>
      <c r="AB39" s="1159">
        <f>(AA39*Y39)+Z39</f>
        <v>334.42838118488407</v>
      </c>
      <c r="AC39" s="1165" t="str">
        <f>AC37&amp;" = "&amp;AC38</f>
        <v>r² = 0.372</v>
      </c>
      <c r="AD39" s="1113"/>
      <c r="AE39" s="1113"/>
      <c r="AF39" s="1113"/>
      <c r="AG39" s="1113"/>
      <c r="AH39" s="1113"/>
      <c r="AI39" s="1161" t="b">
        <v>1</v>
      </c>
      <c r="AJ39" s="921" t="s">
        <v>28</v>
      </c>
      <c r="AK39" s="61" t="str">
        <f t="shared" si="16"/>
        <v>Brighton &amp; Hove</v>
      </c>
      <c r="AL39" s="110">
        <f t="shared" si="17"/>
        <v>174.37295979504978</v>
      </c>
      <c r="AM39" s="110">
        <f t="shared" si="17"/>
        <v>161.788007672421</v>
      </c>
      <c r="AN39" s="110">
        <f t="shared" si="17"/>
        <v>172.09549071618036</v>
      </c>
      <c r="AO39" s="110">
        <f t="shared" si="17"/>
        <v>239.07509546033094</v>
      </c>
      <c r="AP39" s="110">
        <f t="shared" si="17"/>
        <v>262.28946127801822</v>
      </c>
      <c r="AQ39" s="111">
        <f>VLOOKUP(AK39,IDACI!$B$9:$C$29,2,FALSE)</f>
        <v>15.299999999999999</v>
      </c>
    </row>
    <row r="40" spans="1:49" ht="14.25" customHeight="1">
      <c r="A40" s="87"/>
      <c r="B40" s="5"/>
      <c r="C40" s="5"/>
      <c r="D40" s="5"/>
      <c r="E40" s="5"/>
      <c r="F40" s="5"/>
      <c r="G40" s="5"/>
      <c r="H40" s="5"/>
      <c r="I40" s="5"/>
      <c r="J40" s="1"/>
      <c r="K40" s="5"/>
      <c r="L40" s="5"/>
      <c r="M40" s="5"/>
      <c r="N40" s="5"/>
      <c r="O40" s="5"/>
      <c r="P40" s="5"/>
      <c r="Q40" s="5"/>
      <c r="R40" s="5"/>
      <c r="S40" s="5"/>
      <c r="T40" s="5"/>
      <c r="U40" s="86"/>
      <c r="V40" s="102"/>
      <c r="W40" s="1155"/>
      <c r="X40" s="1157" t="str">
        <f>"National Trend "&amp;ReportData!$B$8</f>
        <v>National Trend 2024</v>
      </c>
      <c r="Y40" s="1166" t="s">
        <v>67</v>
      </c>
      <c r="Z40" s="1157" t="s">
        <v>68</v>
      </c>
      <c r="AA40" s="1158">
        <v>3</v>
      </c>
      <c r="AB40" s="1167">
        <f>((AA40*Y41)+Z41)/$X$2</f>
        <v>104.65891432479187</v>
      </c>
      <c r="AC40" s="1165" t="str">
        <f>$AC$37&amp;" = "&amp;AC41</f>
        <v>r² = 0.257</v>
      </c>
      <c r="AD40" s="1113"/>
      <c r="AE40" s="1113"/>
      <c r="AF40" s="1113"/>
      <c r="AG40" s="1113"/>
      <c r="AH40" s="1113"/>
      <c r="AI40" s="1161" t="b">
        <v>1</v>
      </c>
      <c r="AJ40" s="921" t="s">
        <v>8</v>
      </c>
      <c r="AK40" s="61" t="str">
        <f t="shared" si="16"/>
        <v>Buckinghamshire</v>
      </c>
      <c r="AL40" s="110">
        <f t="shared" si="17"/>
        <v>197.64690470537184</v>
      </c>
      <c r="AM40" s="110">
        <f t="shared" si="17"/>
        <v>200.33470753908321</v>
      </c>
      <c r="AN40" s="110">
        <f t="shared" si="17"/>
        <v>287.99287507084449</v>
      </c>
      <c r="AO40" s="110">
        <f t="shared" si="17"/>
        <v>226.34316801016561</v>
      </c>
      <c r="AP40" s="110">
        <f t="shared" si="17"/>
        <v>212.90433801404211</v>
      </c>
      <c r="AQ40" s="111">
        <f>VLOOKUP(AK40,IDACI!$B$9:$C$29,2,FALSE)</f>
        <v>8.5</v>
      </c>
      <c r="AR40" s="56"/>
      <c r="AS40" s="56"/>
      <c r="AT40" s="56"/>
      <c r="AU40" s="56"/>
      <c r="AV40" s="56"/>
      <c r="AW40" s="56"/>
    </row>
    <row r="41" spans="1:49" ht="14.25" customHeight="1">
      <c r="A41" s="87"/>
      <c r="B41" s="5"/>
      <c r="C41" s="5"/>
      <c r="D41" s="5"/>
      <c r="E41" s="5"/>
      <c r="F41" s="5"/>
      <c r="G41" s="5"/>
      <c r="H41" s="5"/>
      <c r="I41" s="5"/>
      <c r="J41" s="1"/>
      <c r="K41" s="10"/>
      <c r="L41" s="10"/>
      <c r="M41" s="10"/>
      <c r="N41" s="10"/>
      <c r="O41" s="5"/>
      <c r="P41" s="5"/>
      <c r="Q41" s="5"/>
      <c r="R41" s="5"/>
      <c r="S41" s="5"/>
      <c r="T41" s="5"/>
      <c r="U41" s="86"/>
      <c r="V41" s="102"/>
      <c r="W41" s="1155"/>
      <c r="X41" s="1162" t="str">
        <f>"Y= "&amp;Y41&amp;"x + "&amp;Z41</f>
        <v>Y= 6.73136516815251x + 84.4648188203343</v>
      </c>
      <c r="Y41" s="1163">
        <f>ReportData!$H$7</f>
        <v>6.7313651681525135</v>
      </c>
      <c r="Z41" s="1163">
        <f>ReportData!$H$8</f>
        <v>84.46481882033433</v>
      </c>
      <c r="AA41" s="1164">
        <v>22</v>
      </c>
      <c r="AB41" s="1159">
        <f>((AA41*Y41)+Z41)/$X$2</f>
        <v>232.55485251968963</v>
      </c>
      <c r="AC41" s="1169">
        <f>ROUND(ReportData!$H$9,3)</f>
        <v>0.25700000000000001</v>
      </c>
      <c r="AD41" s="1113"/>
      <c r="AE41" s="1113"/>
      <c r="AF41" s="1113"/>
      <c r="AG41" s="1113"/>
      <c r="AH41" s="1113"/>
      <c r="AI41" s="1161" t="b">
        <v>1</v>
      </c>
      <c r="AJ41" s="921" t="s">
        <v>4</v>
      </c>
      <c r="AK41" s="61" t="str">
        <f t="shared" si="16"/>
        <v>East Sussex</v>
      </c>
      <c r="AL41" s="110">
        <f t="shared" si="17"/>
        <v>129.32249006519564</v>
      </c>
      <c r="AM41" s="110">
        <f t="shared" si="17"/>
        <v>164.42261689725541</v>
      </c>
      <c r="AN41" s="110">
        <f t="shared" si="17"/>
        <v>156.63158720662227</v>
      </c>
      <c r="AO41" s="110">
        <f t="shared" si="17"/>
        <v>133.43058594699733</v>
      </c>
      <c r="AP41" s="110">
        <f t="shared" si="17"/>
        <v>122.86933189197536</v>
      </c>
      <c r="AQ41" s="111">
        <f>VLOOKUP(AK41,IDACI!$B$9:$C$29,2,FALSE)</f>
        <v>16.100000000000001</v>
      </c>
      <c r="AR41" s="56"/>
      <c r="AS41" s="56"/>
      <c r="AT41" s="56"/>
      <c r="AU41" s="56"/>
      <c r="AV41" s="56"/>
      <c r="AW41" s="56"/>
    </row>
    <row r="42" spans="1:49" ht="14.25" customHeight="1">
      <c r="A42" s="87"/>
      <c r="B42" s="76"/>
      <c r="C42" s="76"/>
      <c r="D42" s="77"/>
      <c r="E42" s="77"/>
      <c r="F42" s="77"/>
      <c r="G42" s="77"/>
      <c r="H42" s="77"/>
      <c r="I42" s="77"/>
      <c r="J42" s="1"/>
      <c r="K42" s="5"/>
      <c r="L42" s="5"/>
      <c r="M42" s="5"/>
      <c r="N42" s="5"/>
      <c r="O42" s="5"/>
      <c r="P42" s="5"/>
      <c r="Q42" s="5"/>
      <c r="R42" s="5"/>
      <c r="S42" s="5"/>
      <c r="T42" s="5"/>
      <c r="U42" s="86"/>
      <c r="V42" s="102"/>
      <c r="W42" s="1155"/>
      <c r="X42" s="360"/>
      <c r="Y42" s="360"/>
      <c r="Z42" s="360"/>
      <c r="AA42" s="360"/>
      <c r="AB42" s="360"/>
      <c r="AC42" s="1113"/>
      <c r="AD42" s="1113"/>
      <c r="AE42" s="1113"/>
      <c r="AF42" s="1113"/>
      <c r="AG42" s="1113"/>
      <c r="AH42" s="1113"/>
      <c r="AI42" s="1161" t="b">
        <v>1</v>
      </c>
      <c r="AJ42" s="921" t="s">
        <v>6</v>
      </c>
      <c r="AK42" s="61" t="str">
        <f t="shared" si="16"/>
        <v>Hampshire</v>
      </c>
      <c r="AL42" s="110">
        <f t="shared" si="17"/>
        <v>180.24629483783204</v>
      </c>
      <c r="AM42" s="110">
        <f t="shared" si="17"/>
        <v>216.40498647468834</v>
      </c>
      <c r="AN42" s="110">
        <f t="shared" si="17"/>
        <v>282.91845982436843</v>
      </c>
      <c r="AO42" s="110">
        <f t="shared" si="17"/>
        <v>297.68560815839879</v>
      </c>
      <c r="AP42" s="110" t="e">
        <f t="shared" si="17"/>
        <v>#N/A</v>
      </c>
      <c r="AQ42" s="111">
        <f>VLOOKUP(AK42,IDACI!$B$9:$C$29,2,FALSE)</f>
        <v>10.100000000000001</v>
      </c>
      <c r="AR42" s="56"/>
      <c r="AS42" s="56"/>
      <c r="AT42" s="56"/>
      <c r="AU42" s="56"/>
      <c r="AV42" s="56"/>
    </row>
    <row r="43" spans="1:49" ht="14.25" customHeight="1">
      <c r="A43" s="87"/>
      <c r="B43" s="77"/>
      <c r="C43" s="77"/>
      <c r="D43" s="77"/>
      <c r="E43" s="77"/>
      <c r="F43" s="77"/>
      <c r="G43" s="77"/>
      <c r="H43" s="77"/>
      <c r="I43" s="77"/>
      <c r="J43" s="1"/>
      <c r="K43" s="5"/>
      <c r="L43" s="5"/>
      <c r="M43" s="5"/>
      <c r="N43" s="5"/>
      <c r="O43" s="5"/>
      <c r="P43" s="5"/>
      <c r="Q43" s="5"/>
      <c r="R43" s="5"/>
      <c r="S43" s="5"/>
      <c r="T43" s="5"/>
      <c r="U43" s="86"/>
      <c r="V43" s="102"/>
      <c r="W43" s="1155"/>
      <c r="X43" s="1113"/>
      <c r="Y43" s="1113"/>
      <c r="Z43" s="1113"/>
      <c r="AA43" s="1113"/>
      <c r="AB43" s="1113"/>
      <c r="AC43" s="1113"/>
      <c r="AD43" s="1113"/>
      <c r="AE43" s="1113"/>
      <c r="AF43" s="1113"/>
      <c r="AG43" s="1113"/>
      <c r="AH43" s="1113"/>
      <c r="AI43" s="1161" t="b">
        <v>1</v>
      </c>
      <c r="AJ43" s="921" t="s">
        <v>1</v>
      </c>
      <c r="AK43" s="61" t="str">
        <f t="shared" si="16"/>
        <v>Isle of Wight</v>
      </c>
      <c r="AL43" s="110">
        <f t="shared" si="17"/>
        <v>263.77515328587299</v>
      </c>
      <c r="AM43" s="110">
        <f t="shared" si="17"/>
        <v>372.09107651096599</v>
      </c>
      <c r="AN43" s="110">
        <f t="shared" si="17"/>
        <v>423.9295989169064</v>
      </c>
      <c r="AO43" s="110">
        <f t="shared" si="17"/>
        <v>461.88493243817459</v>
      </c>
      <c r="AP43" s="110">
        <f t="shared" si="17"/>
        <v>497.48272036863216</v>
      </c>
      <c r="AQ43" s="111">
        <f>VLOOKUP(AK43,IDACI!$B$9:$C$29,2,FALSE)</f>
        <v>18</v>
      </c>
      <c r="AR43" s="56"/>
      <c r="AS43" s="56"/>
      <c r="AT43" s="56"/>
      <c r="AU43" s="56"/>
      <c r="AV43" s="56"/>
    </row>
    <row r="44" spans="1:49" ht="14.25" customHeight="1">
      <c r="A44" s="87"/>
      <c r="B44" s="77"/>
      <c r="C44" s="77"/>
      <c r="D44" s="77"/>
      <c r="E44" s="77"/>
      <c r="F44" s="77"/>
      <c r="G44" s="77"/>
      <c r="H44" s="77"/>
      <c r="I44" s="77"/>
      <c r="J44" s="1"/>
      <c r="K44" s="5"/>
      <c r="L44" s="5"/>
      <c r="M44" s="5"/>
      <c r="N44" s="5"/>
      <c r="O44" s="5"/>
      <c r="P44" s="5"/>
      <c r="Q44" s="5"/>
      <c r="R44" s="5"/>
      <c r="S44" s="5"/>
      <c r="T44" s="5"/>
      <c r="U44" s="86"/>
      <c r="V44" s="102"/>
      <c r="W44" s="1155"/>
      <c r="X44" s="1113"/>
      <c r="Y44" s="1113"/>
      <c r="Z44" s="1113"/>
      <c r="AA44" s="1113"/>
      <c r="AB44" s="1113"/>
      <c r="AC44" s="1170"/>
      <c r="AD44" s="1113"/>
      <c r="AE44" s="1113"/>
      <c r="AF44" s="1113"/>
      <c r="AG44" s="1113"/>
      <c r="AH44" s="1113"/>
      <c r="AI44" s="1161" t="b">
        <v>1</v>
      </c>
      <c r="AJ44" s="921" t="s">
        <v>9</v>
      </c>
      <c r="AK44" s="61" t="str">
        <f t="shared" si="16"/>
        <v>Kent</v>
      </c>
      <c r="AL44" s="110">
        <f t="shared" si="17"/>
        <v>198.41424598686638</v>
      </c>
      <c r="AM44" s="110">
        <f t="shared" si="17"/>
        <v>172.35605100112434</v>
      </c>
      <c r="AN44" s="110">
        <f t="shared" si="17"/>
        <v>197.74406336379135</v>
      </c>
      <c r="AO44" s="110">
        <f t="shared" si="17"/>
        <v>211.89530359507435</v>
      </c>
      <c r="AP44" s="110">
        <f t="shared" si="17"/>
        <v>210.68980168345141</v>
      </c>
      <c r="AQ44" s="111">
        <f>VLOOKUP(AK44,IDACI!$B$9:$C$29,2,FALSE)</f>
        <v>15.8</v>
      </c>
      <c r="AR44" s="56"/>
      <c r="AS44" s="56"/>
      <c r="AT44" s="56"/>
      <c r="AU44" s="56"/>
      <c r="AV44" s="56"/>
    </row>
    <row r="45" spans="1:49" ht="14.25" customHeight="1">
      <c r="A45" s="87"/>
      <c r="B45" s="40"/>
      <c r="C45" s="40"/>
      <c r="D45" s="40"/>
      <c r="E45" s="40"/>
      <c r="F45" s="40"/>
      <c r="G45" s="40"/>
      <c r="H45" s="40"/>
      <c r="I45" s="40"/>
      <c r="J45" s="1"/>
      <c r="K45" s="5"/>
      <c r="L45" s="5"/>
      <c r="M45" s="5"/>
      <c r="N45" s="5"/>
      <c r="O45" s="5"/>
      <c r="P45" s="5"/>
      <c r="Q45" s="5"/>
      <c r="R45" s="5"/>
      <c r="S45" s="5"/>
      <c r="T45" s="5"/>
      <c r="U45" s="86"/>
      <c r="V45" s="102"/>
      <c r="W45" s="1155"/>
      <c r="X45" s="1113"/>
      <c r="Y45" s="1113"/>
      <c r="Z45" s="1113"/>
      <c r="AA45" s="1113"/>
      <c r="AB45" s="1113"/>
      <c r="AC45" s="360"/>
      <c r="AD45" s="1113"/>
      <c r="AE45" s="1113"/>
      <c r="AF45" s="1113"/>
      <c r="AG45" s="1113"/>
      <c r="AH45" s="1113"/>
      <c r="AI45" s="1161" t="b">
        <v>1</v>
      </c>
      <c r="AJ45" s="921" t="s">
        <v>2</v>
      </c>
      <c r="AK45" s="61" t="str">
        <f t="shared" si="16"/>
        <v>Medway</v>
      </c>
      <c r="AL45" s="110">
        <f t="shared" si="17"/>
        <v>278.45834903882394</v>
      </c>
      <c r="AM45" s="110">
        <f t="shared" si="17"/>
        <v>201.27168537561818</v>
      </c>
      <c r="AN45" s="110">
        <f t="shared" si="17"/>
        <v>190.38814109093187</v>
      </c>
      <c r="AO45" s="110">
        <f t="shared" si="17"/>
        <v>267.10799784466167</v>
      </c>
      <c r="AP45" s="110">
        <f t="shared" si="17"/>
        <v>301.25811627453623</v>
      </c>
      <c r="AQ45" s="111">
        <f>VLOOKUP(AK45,IDACI!$B$9:$C$29,2,FALSE)</f>
        <v>18.899999999999999</v>
      </c>
      <c r="AR45" s="56"/>
      <c r="AS45" s="56"/>
      <c r="AT45" s="56"/>
      <c r="AU45" s="56"/>
      <c r="AV45" s="56"/>
    </row>
    <row r="46" spans="1:49" ht="14.25" customHeight="1">
      <c r="A46" s="87"/>
      <c r="B46" s="40"/>
      <c r="C46" s="40"/>
      <c r="D46" s="49"/>
      <c r="E46" s="50"/>
      <c r="F46" s="49"/>
      <c r="G46" s="50"/>
      <c r="H46" s="50"/>
      <c r="I46" s="50"/>
      <c r="J46" s="1"/>
      <c r="K46" s="5"/>
      <c r="L46" s="5"/>
      <c r="M46" s="5"/>
      <c r="N46" s="5"/>
      <c r="O46" s="5"/>
      <c r="P46" s="5"/>
      <c r="Q46" s="5"/>
      <c r="R46" s="5"/>
      <c r="S46" s="5"/>
      <c r="T46" s="5"/>
      <c r="U46" s="86"/>
      <c r="V46" s="102"/>
      <c r="W46" s="1155"/>
      <c r="X46" s="1113"/>
      <c r="Y46" s="1113"/>
      <c r="Z46" s="1113"/>
      <c r="AA46" s="1113"/>
      <c r="AB46" s="1113"/>
      <c r="AC46" s="1113"/>
      <c r="AD46" s="1113"/>
      <c r="AE46" s="1113"/>
      <c r="AF46" s="1113"/>
      <c r="AG46" s="1113"/>
      <c r="AH46" s="1113"/>
      <c r="AI46" s="1161" t="b">
        <v>1</v>
      </c>
      <c r="AJ46" s="921" t="s">
        <v>10</v>
      </c>
      <c r="AK46" s="61" t="str">
        <f t="shared" si="16"/>
        <v>Milton Keynes</v>
      </c>
      <c r="AL46" s="110">
        <f t="shared" si="17"/>
        <v>118.34233816649044</v>
      </c>
      <c r="AM46" s="110">
        <f t="shared" si="17"/>
        <v>148.76271553278985</v>
      </c>
      <c r="AN46" s="110">
        <f t="shared" si="17"/>
        <v>148.77575931643571</v>
      </c>
      <c r="AO46" s="110">
        <f t="shared" si="17"/>
        <v>154.04997815393722</v>
      </c>
      <c r="AP46" s="110">
        <f t="shared" si="17"/>
        <v>166.7651139470033</v>
      </c>
      <c r="AQ46" s="111">
        <f>VLOOKUP(AK46,IDACI!$B$9:$C$29,2,FALSE)</f>
        <v>15</v>
      </c>
      <c r="AR46" s="56"/>
      <c r="AS46" s="56"/>
      <c r="AT46" s="56"/>
      <c r="AU46" s="56"/>
      <c r="AV46" s="56"/>
    </row>
    <row r="47" spans="1:49" ht="14.25" customHeight="1">
      <c r="A47" s="87"/>
      <c r="B47" s="40"/>
      <c r="C47" s="40"/>
      <c r="D47" s="43"/>
      <c r="E47" s="43"/>
      <c r="F47" s="43"/>
      <c r="G47" s="43"/>
      <c r="H47" s="43"/>
      <c r="I47" s="43"/>
      <c r="J47" s="1"/>
      <c r="K47" s="5"/>
      <c r="L47" s="5"/>
      <c r="M47" s="5"/>
      <c r="N47" s="5"/>
      <c r="O47" s="5"/>
      <c r="P47" s="5"/>
      <c r="Q47" s="5"/>
      <c r="R47" s="5"/>
      <c r="S47" s="5"/>
      <c r="T47" s="5"/>
      <c r="U47" s="86"/>
      <c r="V47" s="102"/>
      <c r="W47" s="1155"/>
      <c r="X47" s="1113"/>
      <c r="Y47" s="1113"/>
      <c r="Z47" s="1113"/>
      <c r="AA47" s="1113"/>
      <c r="AB47" s="1113"/>
      <c r="AC47" s="1113"/>
      <c r="AD47" s="1113"/>
      <c r="AE47" s="1113"/>
      <c r="AF47" s="1113"/>
      <c r="AG47" s="1113"/>
      <c r="AH47" s="1113"/>
      <c r="AI47" s="1161" t="b">
        <v>1</v>
      </c>
      <c r="AJ47" s="921" t="s">
        <v>11</v>
      </c>
      <c r="AK47" s="61" t="str">
        <f t="shared" si="16"/>
        <v>Oxfordshire</v>
      </c>
      <c r="AL47" s="110">
        <f t="shared" si="17"/>
        <v>131.89871840142908</v>
      </c>
      <c r="AM47" s="110">
        <f t="shared" si="17"/>
        <v>121.05853917187146</v>
      </c>
      <c r="AN47" s="110">
        <f t="shared" si="17"/>
        <v>141.31184955891297</v>
      </c>
      <c r="AO47" s="110">
        <f t="shared" si="17"/>
        <v>142.37183859620964</v>
      </c>
      <c r="AP47" s="110">
        <f t="shared" si="17"/>
        <v>122.15992918264975</v>
      </c>
      <c r="AQ47" s="111">
        <f>VLOOKUP(AK47,IDACI!$B$9:$C$29,2,FALSE)</f>
        <v>10.100000000000001</v>
      </c>
      <c r="AR47" s="56"/>
      <c r="AS47" s="56"/>
      <c r="AT47" s="56"/>
      <c r="AU47" s="56"/>
      <c r="AV47" s="56"/>
    </row>
    <row r="48" spans="1:49" ht="14.25" customHeight="1">
      <c r="A48" s="87"/>
      <c r="B48" s="48"/>
      <c r="C48" s="48"/>
      <c r="D48" s="40"/>
      <c r="E48" s="40"/>
      <c r="F48" s="40"/>
      <c r="G48" s="40"/>
      <c r="H48" s="40"/>
      <c r="I48" s="40"/>
      <c r="J48" s="1"/>
      <c r="K48" s="5"/>
      <c r="L48" s="5"/>
      <c r="M48" s="5"/>
      <c r="N48" s="5"/>
      <c r="O48" s="5"/>
      <c r="P48" s="5"/>
      <c r="Q48" s="5"/>
      <c r="R48" s="5"/>
      <c r="S48" s="5"/>
      <c r="T48" s="5"/>
      <c r="U48" s="86"/>
      <c r="V48" s="102"/>
      <c r="W48" s="1155"/>
      <c r="X48" s="1113"/>
      <c r="Y48" s="1113"/>
      <c r="Z48" s="1113"/>
      <c r="AA48" s="1113"/>
      <c r="AB48" s="1113"/>
      <c r="AC48" s="1113"/>
      <c r="AD48" s="1113"/>
      <c r="AE48" s="1113"/>
      <c r="AF48" s="1113"/>
      <c r="AG48" s="1113"/>
      <c r="AH48" s="1113"/>
      <c r="AI48" s="1161" t="b">
        <v>1</v>
      </c>
      <c r="AJ48" s="921" t="s">
        <v>12</v>
      </c>
      <c r="AK48" s="61" t="str">
        <f t="shared" si="16"/>
        <v>Portsmouth</v>
      </c>
      <c r="AL48" s="110">
        <f t="shared" ref="AL48:AP58" si="18">VLOOKUP($AK48,$B$11:$O$31,AL$34,FALSE)</f>
        <v>307.85335331763139</v>
      </c>
      <c r="AM48" s="110">
        <f t="shared" si="18"/>
        <v>267.0488474859668</v>
      </c>
      <c r="AN48" s="110">
        <f t="shared" si="18"/>
        <v>308.34559799261706</v>
      </c>
      <c r="AO48" s="110">
        <f t="shared" si="18"/>
        <v>241.93355783238997</v>
      </c>
      <c r="AP48" s="110">
        <f t="shared" si="18"/>
        <v>334.93275344505633</v>
      </c>
      <c r="AQ48" s="111">
        <f>VLOOKUP(AK48,IDACI!$B$9:$C$29,2,FALSE)</f>
        <v>20.200000000000003</v>
      </c>
      <c r="AR48" s="56"/>
      <c r="AS48" s="56"/>
      <c r="AT48" s="56"/>
      <c r="AU48" s="56"/>
      <c r="AV48" s="56"/>
    </row>
    <row r="49" spans="1:48" ht="14.25" customHeight="1">
      <c r="A49" s="87"/>
      <c r="B49" s="48"/>
      <c r="C49" s="48"/>
      <c r="D49" s="40"/>
      <c r="E49" s="40"/>
      <c r="F49" s="40"/>
      <c r="G49" s="40"/>
      <c r="H49" s="40"/>
      <c r="I49" s="40"/>
      <c r="J49" s="1"/>
      <c r="K49" s="5"/>
      <c r="L49" s="5"/>
      <c r="M49" s="5"/>
      <c r="N49" s="5"/>
      <c r="O49" s="5"/>
      <c r="P49" s="5"/>
      <c r="Q49" s="5"/>
      <c r="R49" s="5"/>
      <c r="S49" s="5"/>
      <c r="T49" s="5"/>
      <c r="U49" s="86"/>
      <c r="V49" s="102"/>
      <c r="W49" s="1155"/>
      <c r="X49" s="1113"/>
      <c r="Y49" s="1113"/>
      <c r="Z49" s="1113"/>
      <c r="AA49" s="1113"/>
      <c r="AB49" s="1113"/>
      <c r="AC49" s="1113"/>
      <c r="AD49" s="1113"/>
      <c r="AE49" s="1113"/>
      <c r="AF49" s="1113"/>
      <c r="AG49" s="1113"/>
      <c r="AH49" s="1113"/>
      <c r="AI49" s="1161" t="b">
        <v>1</v>
      </c>
      <c r="AJ49" s="921" t="s">
        <v>3</v>
      </c>
      <c r="AK49" s="61" t="str">
        <f t="shared" si="16"/>
        <v>Reading</v>
      </c>
      <c r="AL49" s="110">
        <f t="shared" si="18"/>
        <v>233.59438293275724</v>
      </c>
      <c r="AM49" s="110">
        <f t="shared" si="18"/>
        <v>248.03224148657054</v>
      </c>
      <c r="AN49" s="110">
        <f t="shared" si="18"/>
        <v>303.57241151538506</v>
      </c>
      <c r="AO49" s="110">
        <f t="shared" si="18"/>
        <v>275.36231884057969</v>
      </c>
      <c r="AP49" s="110">
        <f t="shared" si="18"/>
        <v>288.17000184555354</v>
      </c>
      <c r="AQ49" s="111">
        <f>VLOOKUP(AK49,IDACI!$B$9:$C$29,2,FALSE)</f>
        <v>16</v>
      </c>
      <c r="AR49" s="56"/>
      <c r="AS49" s="56"/>
      <c r="AT49" s="56"/>
      <c r="AU49" s="56"/>
      <c r="AV49" s="56"/>
    </row>
    <row r="50" spans="1:48" ht="14.25" customHeight="1">
      <c r="A50" s="87"/>
      <c r="B50" s="48"/>
      <c r="C50" s="48"/>
      <c r="D50" s="40"/>
      <c r="E50" s="40"/>
      <c r="F50" s="40"/>
      <c r="G50" s="40"/>
      <c r="H50" s="40"/>
      <c r="I50" s="40"/>
      <c r="J50" s="1"/>
      <c r="K50" s="5"/>
      <c r="L50" s="5"/>
      <c r="M50" s="5"/>
      <c r="N50" s="5"/>
      <c r="O50" s="5"/>
      <c r="P50" s="5"/>
      <c r="Q50" s="5"/>
      <c r="R50" s="5"/>
      <c r="S50" s="5"/>
      <c r="T50" s="5"/>
      <c r="U50" s="86"/>
      <c r="V50" s="102"/>
      <c r="W50" s="1155"/>
      <c r="X50" s="1113"/>
      <c r="Y50" s="1113"/>
      <c r="Z50" s="1113"/>
      <c r="AA50" s="1113"/>
      <c r="AB50" s="1113"/>
      <c r="AC50" s="1113"/>
      <c r="AD50" s="1113"/>
      <c r="AE50" s="1113"/>
      <c r="AF50" s="1113"/>
      <c r="AG50" s="1113"/>
      <c r="AH50" s="1113"/>
      <c r="AI50" s="1161" t="b">
        <v>1</v>
      </c>
      <c r="AJ50" s="921" t="s">
        <v>13</v>
      </c>
      <c r="AK50" s="61" t="str">
        <f t="shared" si="16"/>
        <v>Slough</v>
      </c>
      <c r="AL50" s="110">
        <f t="shared" si="18"/>
        <v>297.84493663607719</v>
      </c>
      <c r="AM50" s="110">
        <f t="shared" si="18"/>
        <v>390.20501138952159</v>
      </c>
      <c r="AN50" s="110">
        <f t="shared" si="18"/>
        <v>299.06029220111117</v>
      </c>
      <c r="AO50" s="110">
        <f t="shared" si="18"/>
        <v>311.86440677966101</v>
      </c>
      <c r="AP50" s="110">
        <f t="shared" si="18"/>
        <v>275.36845860554308</v>
      </c>
      <c r="AQ50" s="111">
        <f>VLOOKUP(AK50,IDACI!$B$9:$C$29,2,FALSE)</f>
        <v>14.7</v>
      </c>
      <c r="AR50" s="56"/>
      <c r="AS50" s="56"/>
      <c r="AT50" s="56"/>
      <c r="AU50" s="56"/>
      <c r="AV50" s="56"/>
    </row>
    <row r="51" spans="1:48" ht="14.25" customHeight="1">
      <c r="A51" s="87"/>
      <c r="B51" s="48"/>
      <c r="C51" s="48"/>
      <c r="D51" s="40"/>
      <c r="E51" s="40"/>
      <c r="F51" s="40"/>
      <c r="G51" s="40"/>
      <c r="H51" s="40"/>
      <c r="I51" s="40"/>
      <c r="J51" s="1"/>
      <c r="K51" s="5"/>
      <c r="L51" s="5"/>
      <c r="M51" s="5"/>
      <c r="N51" s="5"/>
      <c r="O51" s="5"/>
      <c r="P51" s="5"/>
      <c r="Q51" s="5"/>
      <c r="R51" s="5"/>
      <c r="S51" s="5"/>
      <c r="T51" s="5"/>
      <c r="U51" s="86"/>
      <c r="V51" s="102"/>
      <c r="W51" s="1155"/>
      <c r="X51" s="1113"/>
      <c r="Y51" s="1113"/>
      <c r="Z51" s="1113"/>
      <c r="AA51" s="1113"/>
      <c r="AB51" s="1113"/>
      <c r="AC51" s="1113"/>
      <c r="AD51" s="1113"/>
      <c r="AE51" s="1113"/>
      <c r="AF51" s="1113"/>
      <c r="AG51" s="1113"/>
      <c r="AH51" s="1113"/>
      <c r="AI51" s="1161" t="b">
        <v>1</v>
      </c>
      <c r="AJ51" s="921" t="s">
        <v>14</v>
      </c>
      <c r="AK51" s="61" t="str">
        <f t="shared" si="16"/>
        <v>Southampton</v>
      </c>
      <c r="AL51" s="110">
        <f t="shared" si="18"/>
        <v>426.71614100185531</v>
      </c>
      <c r="AM51" s="110">
        <f t="shared" si="18"/>
        <v>332.75026640127066</v>
      </c>
      <c r="AN51" s="110">
        <f t="shared" si="18"/>
        <v>355.14699927107796</v>
      </c>
      <c r="AO51" s="110">
        <f t="shared" si="18"/>
        <v>348.29861041487038</v>
      </c>
      <c r="AP51" s="110">
        <f t="shared" si="18"/>
        <v>262.04514323149306</v>
      </c>
      <c r="AQ51" s="111">
        <f>VLOOKUP(AK51,IDACI!$B$9:$C$29,2,FALSE)</f>
        <v>20.5</v>
      </c>
      <c r="AR51" s="56"/>
      <c r="AS51" s="56"/>
      <c r="AT51" s="56"/>
      <c r="AU51" s="56"/>
      <c r="AV51" s="56"/>
    </row>
    <row r="52" spans="1:48" ht="14.25" customHeight="1">
      <c r="A52" s="87"/>
      <c r="B52" s="48"/>
      <c r="C52" s="48"/>
      <c r="D52" s="40"/>
      <c r="E52" s="40"/>
      <c r="F52" s="40"/>
      <c r="G52" s="40"/>
      <c r="H52" s="40"/>
      <c r="I52" s="40"/>
      <c r="J52" s="1"/>
      <c r="K52" s="5"/>
      <c r="L52" s="5"/>
      <c r="M52" s="5"/>
      <c r="N52" s="5"/>
      <c r="O52" s="5"/>
      <c r="P52" s="5"/>
      <c r="Q52" s="5"/>
      <c r="R52" s="5"/>
      <c r="S52" s="5"/>
      <c r="T52" s="5"/>
      <c r="U52" s="86"/>
      <c r="V52" s="102"/>
      <c r="W52" s="1155"/>
      <c r="X52" s="1113"/>
      <c r="Y52" s="1113"/>
      <c r="Z52" s="1113"/>
      <c r="AA52" s="1113"/>
      <c r="AB52" s="1113"/>
      <c r="AC52" s="1113"/>
      <c r="AD52" s="1113"/>
      <c r="AE52" s="1113"/>
      <c r="AF52" s="1113"/>
      <c r="AG52" s="1113"/>
      <c r="AH52" s="1113"/>
      <c r="AI52" s="1161" t="b">
        <v>1</v>
      </c>
      <c r="AJ52" s="921" t="s">
        <v>7</v>
      </c>
      <c r="AK52" s="61" t="str">
        <f t="shared" si="16"/>
        <v>Surrey</v>
      </c>
      <c r="AL52" s="110">
        <f t="shared" si="18"/>
        <v>103.00528977503923</v>
      </c>
      <c r="AM52" s="110">
        <f t="shared" si="18"/>
        <v>132.4467447266932</v>
      </c>
      <c r="AN52" s="110">
        <f t="shared" si="18"/>
        <v>134.958071278826</v>
      </c>
      <c r="AO52" s="110">
        <f t="shared" si="18"/>
        <v>114.48238177996008</v>
      </c>
      <c r="AP52" s="110">
        <f t="shared" si="18"/>
        <v>93.009425155831238</v>
      </c>
      <c r="AQ52" s="111">
        <f>VLOOKUP(AK52,IDACI!$B$9:$C$29,2,FALSE)</f>
        <v>8.3000000000000007</v>
      </c>
      <c r="AR52" s="56"/>
      <c r="AS52" s="56"/>
      <c r="AT52" s="56"/>
      <c r="AU52" s="56"/>
      <c r="AV52" s="56"/>
    </row>
    <row r="53" spans="1:48" ht="14.25" customHeight="1">
      <c r="A53" s="87"/>
      <c r="B53" s="48"/>
      <c r="C53" s="48"/>
      <c r="D53" s="40"/>
      <c r="E53" s="40"/>
      <c r="F53" s="40"/>
      <c r="G53" s="40"/>
      <c r="H53" s="40"/>
      <c r="I53" s="40"/>
      <c r="J53" s="1"/>
      <c r="K53" s="5"/>
      <c r="L53" s="5"/>
      <c r="M53" s="5"/>
      <c r="N53" s="5"/>
      <c r="O53" s="5"/>
      <c r="P53" s="5"/>
      <c r="Q53" s="5"/>
      <c r="R53" s="5"/>
      <c r="S53" s="5"/>
      <c r="T53" s="5"/>
      <c r="U53" s="86"/>
      <c r="V53" s="102"/>
      <c r="W53" s="1155"/>
      <c r="X53" s="1113"/>
      <c r="Y53" s="1113"/>
      <c r="Z53" s="1113"/>
      <c r="AA53" s="1113"/>
      <c r="AB53" s="1113"/>
      <c r="AC53" s="1113"/>
      <c r="AD53" s="1113"/>
      <c r="AE53" s="1113"/>
      <c r="AF53" s="1113"/>
      <c r="AG53" s="1113"/>
      <c r="AH53" s="1113"/>
      <c r="AI53" s="1161" t="b">
        <v>1</v>
      </c>
      <c r="AJ53" s="921" t="s">
        <v>15</v>
      </c>
      <c r="AK53" s="61" t="str">
        <f t="shared" si="16"/>
        <v>West Berkshire</v>
      </c>
      <c r="AL53" s="110">
        <f t="shared" si="18"/>
        <v>147.45728872536438</v>
      </c>
      <c r="AM53" s="110">
        <f t="shared" si="18"/>
        <v>155.35263036985987</v>
      </c>
      <c r="AN53" s="110">
        <f t="shared" si="18"/>
        <v>212.74750686515392</v>
      </c>
      <c r="AO53" s="110">
        <f t="shared" si="18"/>
        <v>259.7960586617782</v>
      </c>
      <c r="AP53" s="110">
        <f t="shared" si="18"/>
        <v>202.689313517339</v>
      </c>
      <c r="AQ53" s="111">
        <f>VLOOKUP(AK53,IDACI!$B$9:$C$29,2,FALSE)</f>
        <v>8.6999999999999993</v>
      </c>
      <c r="AR53" s="56"/>
      <c r="AS53" s="56"/>
      <c r="AT53" s="56"/>
      <c r="AU53" s="56"/>
      <c r="AV53" s="56"/>
    </row>
    <row r="54" spans="1:48" ht="14.25" customHeight="1">
      <c r="A54" s="208"/>
      <c r="B54" s="48"/>
      <c r="C54" s="48"/>
      <c r="D54" s="40"/>
      <c r="E54" s="40"/>
      <c r="F54" s="40"/>
      <c r="G54" s="40"/>
      <c r="H54" s="40"/>
      <c r="I54" s="40"/>
      <c r="J54" s="1"/>
      <c r="K54" s="5"/>
      <c r="L54" s="5"/>
      <c r="M54" s="5"/>
      <c r="N54" s="5"/>
      <c r="O54" s="5"/>
      <c r="P54" s="5"/>
      <c r="Q54" s="5"/>
      <c r="R54" s="5"/>
      <c r="S54" s="5"/>
      <c r="T54" s="5"/>
      <c r="U54" s="86"/>
      <c r="V54" s="102"/>
      <c r="W54" s="1155"/>
      <c r="X54" s="1113"/>
      <c r="Y54" s="1113"/>
      <c r="Z54" s="1113"/>
      <c r="AA54" s="1113"/>
      <c r="AB54" s="1113"/>
      <c r="AC54" s="1113"/>
      <c r="AD54" s="1113"/>
      <c r="AE54" s="1113"/>
      <c r="AF54" s="1113"/>
      <c r="AG54" s="1113"/>
      <c r="AH54" s="1113"/>
      <c r="AI54" s="1161" t="b">
        <v>1</v>
      </c>
      <c r="AJ54" s="921" t="s">
        <v>5</v>
      </c>
      <c r="AK54" s="61" t="str">
        <f t="shared" si="16"/>
        <v>West Sussex</v>
      </c>
      <c r="AL54" s="110">
        <f t="shared" si="18"/>
        <v>177.46944702133669</v>
      </c>
      <c r="AM54" s="110">
        <f t="shared" si="18"/>
        <v>192.61184887820423</v>
      </c>
      <c r="AN54" s="110">
        <f t="shared" si="18"/>
        <v>200.24709152681973</v>
      </c>
      <c r="AO54" s="110">
        <f t="shared" si="18"/>
        <v>200.11389971186756</v>
      </c>
      <c r="AP54" s="110">
        <f t="shared" si="18"/>
        <v>170.88621737575974</v>
      </c>
      <c r="AQ54" s="111">
        <f>VLOOKUP(AK54,IDACI!$B$9:$C$29,2,FALSE)</f>
        <v>11</v>
      </c>
      <c r="AR54" s="56"/>
      <c r="AS54" s="56"/>
      <c r="AT54" s="56"/>
      <c r="AU54" s="56"/>
      <c r="AV54" s="56"/>
    </row>
    <row r="55" spans="1:48" ht="14.25" customHeight="1">
      <c r="A55" s="208"/>
      <c r="B55" s="48"/>
      <c r="C55" s="48"/>
      <c r="D55" s="40"/>
      <c r="E55" s="40"/>
      <c r="F55" s="40"/>
      <c r="G55" s="40"/>
      <c r="H55" s="40"/>
      <c r="I55" s="40"/>
      <c r="J55" s="1"/>
      <c r="K55" s="5"/>
      <c r="L55" s="5"/>
      <c r="M55" s="5"/>
      <c r="N55" s="5"/>
      <c r="O55" s="5"/>
      <c r="P55" s="5"/>
      <c r="Q55" s="5"/>
      <c r="R55" s="5"/>
      <c r="S55" s="5"/>
      <c r="T55" s="5"/>
      <c r="U55" s="86"/>
      <c r="V55" s="102"/>
      <c r="W55" s="1155"/>
      <c r="X55" s="1113"/>
      <c r="Y55" s="1113"/>
      <c r="Z55" s="1113"/>
      <c r="AA55" s="1113"/>
      <c r="AB55" s="1113"/>
      <c r="AC55" s="1113"/>
      <c r="AD55" s="1113"/>
      <c r="AE55" s="1113"/>
      <c r="AF55" s="1113"/>
      <c r="AG55" s="1113"/>
      <c r="AH55" s="1113"/>
      <c r="AI55" s="1161" t="b">
        <v>1</v>
      </c>
      <c r="AJ55" s="921" t="s">
        <v>27</v>
      </c>
      <c r="AK55" s="61" t="str">
        <f t="shared" si="16"/>
        <v>Windsor &amp; Maidenhead</v>
      </c>
      <c r="AL55" s="110">
        <f t="shared" si="18"/>
        <v>174.184513041956</v>
      </c>
      <c r="AM55" s="110">
        <f t="shared" si="18"/>
        <v>188.6571017809465</v>
      </c>
      <c r="AN55" s="110">
        <f t="shared" si="18"/>
        <v>208.40713189278546</v>
      </c>
      <c r="AO55" s="110">
        <f t="shared" si="18"/>
        <v>193.76777181719578</v>
      </c>
      <c r="AP55" s="110">
        <f t="shared" si="18"/>
        <v>189.31769785012105</v>
      </c>
      <c r="AQ55" s="111">
        <f>VLOOKUP(AK55,IDACI!$B$9:$C$29,2,FALSE)</f>
        <v>6.7</v>
      </c>
      <c r="AR55" s="56"/>
      <c r="AS55" s="56"/>
      <c r="AT55" s="56"/>
      <c r="AU55" s="56"/>
      <c r="AV55" s="56"/>
    </row>
    <row r="56" spans="1:48" ht="14.25" customHeight="1">
      <c r="A56" s="87"/>
      <c r="B56" s="48"/>
      <c r="C56" s="48"/>
      <c r="D56" s="40"/>
      <c r="E56" s="40"/>
      <c r="F56" s="40"/>
      <c r="G56" s="40"/>
      <c r="H56" s="40"/>
      <c r="I56" s="40"/>
      <c r="J56" s="1"/>
      <c r="K56" s="5"/>
      <c r="L56" s="5"/>
      <c r="M56" s="5"/>
      <c r="N56" s="5"/>
      <c r="O56" s="5"/>
      <c r="P56" s="5"/>
      <c r="Q56" s="5"/>
      <c r="R56" s="5"/>
      <c r="S56" s="5"/>
      <c r="T56" s="5"/>
      <c r="U56" s="86"/>
      <c r="V56" s="102"/>
      <c r="W56" s="1155"/>
      <c r="X56" s="1113"/>
      <c r="Y56" s="1113"/>
      <c r="Z56" s="1113"/>
      <c r="AA56" s="1113"/>
      <c r="AB56" s="1113"/>
      <c r="AC56" s="1113"/>
      <c r="AD56" s="1113"/>
      <c r="AE56" s="1113"/>
      <c r="AF56" s="1113"/>
      <c r="AG56" s="1113"/>
      <c r="AH56" s="1113"/>
      <c r="AI56" s="1161" t="b">
        <v>1</v>
      </c>
      <c r="AJ56" s="921" t="s">
        <v>16</v>
      </c>
      <c r="AK56" s="61" t="str">
        <f t="shared" si="16"/>
        <v>Wokingham</v>
      </c>
      <c r="AL56" s="110">
        <f t="shared" si="18"/>
        <v>163.43155989138086</v>
      </c>
      <c r="AM56" s="110">
        <f t="shared" si="18"/>
        <v>159.8478110485226</v>
      </c>
      <c r="AN56" s="110">
        <f t="shared" si="18"/>
        <v>155.60796518271781</v>
      </c>
      <c r="AO56" s="110">
        <f t="shared" si="18"/>
        <v>142.0507996237065</v>
      </c>
      <c r="AP56" s="110">
        <f t="shared" si="18"/>
        <v>131.59717412383986</v>
      </c>
      <c r="AQ56" s="111">
        <f>VLOOKUP(AK56,IDACI!$B$9:$C$29,2,FALSE)</f>
        <v>5.6000000000000005</v>
      </c>
      <c r="AR56" s="56"/>
      <c r="AS56" s="56"/>
      <c r="AT56" s="56"/>
      <c r="AU56" s="56"/>
      <c r="AV56" s="56"/>
    </row>
    <row r="57" spans="1:48" ht="14.25" customHeight="1">
      <c r="A57" s="87"/>
      <c r="B57" s="48"/>
      <c r="C57" s="48"/>
      <c r="D57" s="40"/>
      <c r="E57" s="40"/>
      <c r="F57" s="40"/>
      <c r="G57" s="40"/>
      <c r="H57" s="40"/>
      <c r="I57" s="40"/>
      <c r="J57" s="1"/>
      <c r="K57" s="5"/>
      <c r="L57" s="5"/>
      <c r="M57" s="5"/>
      <c r="N57" s="5"/>
      <c r="O57" s="5"/>
      <c r="P57" s="5"/>
      <c r="Q57" s="5"/>
      <c r="R57" s="5"/>
      <c r="S57" s="5"/>
      <c r="T57" s="5"/>
      <c r="U57" s="86"/>
      <c r="V57" s="102"/>
      <c r="W57" s="1155"/>
      <c r="X57" s="1113"/>
      <c r="Y57" s="1113"/>
      <c r="Z57" s="1113"/>
      <c r="AA57" s="1113"/>
      <c r="AB57" s="1113"/>
      <c r="AC57" s="1113"/>
      <c r="AD57" s="1113"/>
      <c r="AE57" s="1113"/>
      <c r="AF57" s="1113"/>
      <c r="AG57" s="1113"/>
      <c r="AH57" s="1113"/>
      <c r="AI57" s="1161" t="b">
        <v>1</v>
      </c>
      <c r="AJ57" s="921" t="s">
        <v>71</v>
      </c>
      <c r="AK57" s="61" t="str">
        <f t="shared" si="16"/>
        <v>South East</v>
      </c>
      <c r="AL57" s="110">
        <f t="shared" si="18"/>
        <v>182.93179534505396</v>
      </c>
      <c r="AM57" s="110">
        <f t="shared" si="18"/>
        <v>189.37904866084401</v>
      </c>
      <c r="AN57" s="110">
        <f t="shared" si="18"/>
        <v>213.20496606905215</v>
      </c>
      <c r="AO57" s="110">
        <f t="shared" si="18"/>
        <v>212.95401567158368</v>
      </c>
      <c r="AP57" s="110">
        <f t="shared" si="18"/>
        <v>237.59035126033845</v>
      </c>
      <c r="AQ57" s="111">
        <f>Z30/Y30*100</f>
        <v>12.760581039440194</v>
      </c>
      <c r="AR57" s="56"/>
      <c r="AS57" s="56"/>
      <c r="AT57" s="56"/>
      <c r="AU57" s="56"/>
      <c r="AV57" s="56"/>
    </row>
    <row r="58" spans="1:48"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1155"/>
      <c r="X58" s="1113"/>
      <c r="Y58" s="1113"/>
      <c r="Z58" s="1113"/>
      <c r="AA58" s="1113"/>
      <c r="AB58" s="1113"/>
      <c r="AC58" s="1113"/>
      <c r="AD58" s="1113"/>
      <c r="AE58" s="1113"/>
      <c r="AF58" s="1113"/>
      <c r="AG58" s="1113"/>
      <c r="AH58" s="1113"/>
      <c r="AI58" s="1161" t="b">
        <v>1</v>
      </c>
      <c r="AJ58" s="921" t="s">
        <v>109</v>
      </c>
      <c r="AK58" s="61" t="str">
        <f t="shared" si="16"/>
        <v>England</v>
      </c>
      <c r="AL58" s="110">
        <f t="shared" si="18"/>
        <v>170.47634653413954</v>
      </c>
      <c r="AM58" s="110">
        <f t="shared" si="18"/>
        <v>168.64054461759343</v>
      </c>
      <c r="AN58" s="110">
        <f t="shared" si="18"/>
        <v>185.15876811780248</v>
      </c>
      <c r="AO58" s="110">
        <f t="shared" si="18"/>
        <v>189.63823100006235</v>
      </c>
      <c r="AP58" s="110">
        <f t="shared" si="18"/>
        <v>187.12111349897313</v>
      </c>
      <c r="AQ58" s="111">
        <f>VLOOKUP(AK58,IDACI!$B$9:$C$29,2,FALSE)</f>
        <v>17.084413405029373</v>
      </c>
    </row>
    <row r="59" spans="1:48" s="56" customFormat="1" ht="14.25" customHeight="1">
      <c r="A59" s="87"/>
      <c r="B59" s="48"/>
      <c r="C59" s="48"/>
      <c r="D59" s="40"/>
      <c r="E59" s="40"/>
      <c r="F59" s="40"/>
      <c r="G59" s="40"/>
      <c r="H59" s="40"/>
      <c r="I59" s="40"/>
      <c r="J59" s="1"/>
      <c r="K59" s="5"/>
      <c r="L59" s="5"/>
      <c r="M59" s="5"/>
      <c r="N59" s="5"/>
      <c r="O59" s="5"/>
      <c r="P59" s="5"/>
      <c r="Q59" s="5"/>
      <c r="R59" s="5"/>
      <c r="S59" s="5"/>
      <c r="T59" s="5"/>
      <c r="U59" s="86"/>
      <c r="V59" s="102"/>
      <c r="W59" s="218"/>
      <c r="AJ59" s="122"/>
      <c r="AK59" s="52" t="str">
        <f>Z4</f>
        <v>Selected LA- (none)</v>
      </c>
      <c r="AL59" s="112" t="e">
        <f>VLOOKUP($Y4,$B$11:$O$30,AL$34,FALSE)</f>
        <v>#N/A</v>
      </c>
      <c r="AM59" s="112" t="e">
        <f>VLOOKUP($Y4,$B$11:$O$30,AM$34,FALSE)</f>
        <v>#N/A</v>
      </c>
      <c r="AN59" s="112" t="e">
        <f>VLOOKUP($Y4,$B$11:$O$30,AN$34,FALSE)</f>
        <v>#N/A</v>
      </c>
      <c r="AO59" s="112" t="e">
        <f>VLOOKUP($Y4,$B$11:$O$30,AO$34,FALSE)</f>
        <v>#N/A</v>
      </c>
      <c r="AP59" s="112" t="e">
        <f>VLOOKUP($Y4,$B$11:$O$30,AP$34,FALSE)</f>
        <v>#N/A</v>
      </c>
      <c r="AQ59" s="111" t="e">
        <f>VLOOKUP($Y$4,IDACI!$B$9:$C$29,2,FALSE)</f>
        <v>#N/A</v>
      </c>
    </row>
    <row r="60" spans="1:48" s="56" customFormat="1" ht="2.25" customHeight="1">
      <c r="A60" s="87"/>
      <c r="B60" s="48"/>
      <c r="C60" s="48"/>
      <c r="D60" s="40"/>
      <c r="E60" s="40"/>
      <c r="F60" s="40"/>
      <c r="G60" s="40"/>
      <c r="H60" s="40"/>
      <c r="I60" s="40"/>
      <c r="J60" s="1"/>
      <c r="K60" s="5"/>
      <c r="L60" s="5"/>
      <c r="M60" s="5"/>
      <c r="N60" s="5"/>
      <c r="O60" s="5"/>
      <c r="P60" s="5"/>
      <c r="Q60" s="5"/>
      <c r="R60" s="5"/>
      <c r="S60" s="5"/>
      <c r="T60" s="5"/>
      <c r="U60" s="86"/>
      <c r="V60" s="102"/>
      <c r="W60" s="218"/>
      <c r="AJ60" s="122"/>
    </row>
    <row r="61" spans="1:48" s="56" customFormat="1" ht="14.25" customHeight="1">
      <c r="A61" s="87"/>
      <c r="B61" s="48"/>
      <c r="C61" s="48"/>
      <c r="D61" s="40"/>
      <c r="E61" s="40"/>
      <c r="F61" s="40"/>
      <c r="G61" s="40"/>
      <c r="H61" s="40"/>
      <c r="I61" s="40"/>
      <c r="J61" s="1"/>
      <c r="K61" s="79"/>
      <c r="L61" s="1882" t="s">
        <v>69</v>
      </c>
      <c r="M61" s="1882"/>
      <c r="N61" s="1882"/>
      <c r="O61" s="1882"/>
      <c r="P61" s="80"/>
      <c r="Q61" s="1753" t="s">
        <v>93</v>
      </c>
      <c r="R61" s="1753"/>
      <c r="S61" s="1753"/>
      <c r="T61" s="1753"/>
      <c r="U61" s="86"/>
      <c r="V61" s="102"/>
      <c r="W61" s="218"/>
      <c r="AI61" s="61"/>
      <c r="AJ61" s="121"/>
      <c r="AK61" s="61"/>
      <c r="AL61" s="61"/>
      <c r="AM61" s="61"/>
      <c r="AN61" s="61"/>
      <c r="AO61" s="61"/>
      <c r="AP61" s="61"/>
      <c r="AQ61" s="61"/>
    </row>
    <row r="62" spans="1:48" s="56" customFormat="1" ht="14.25" customHeight="1">
      <c r="A62" s="87"/>
      <c r="B62" s="48"/>
      <c r="C62" s="48"/>
      <c r="D62" s="40"/>
      <c r="E62" s="40"/>
      <c r="F62" s="40"/>
      <c r="G62" s="40"/>
      <c r="H62" s="40"/>
      <c r="I62" s="40"/>
      <c r="J62" s="1"/>
      <c r="K62" s="80"/>
      <c r="L62" s="1753" t="str">
        <f>Z4</f>
        <v>Selected LA- (none)</v>
      </c>
      <c r="M62" s="1753"/>
      <c r="N62" s="1753"/>
      <c r="O62" s="1753"/>
      <c r="P62" s="79"/>
      <c r="Q62" s="1753" t="s">
        <v>167</v>
      </c>
      <c r="R62" s="1753"/>
      <c r="S62" s="1753"/>
      <c r="T62" s="1753"/>
      <c r="U62" s="86"/>
      <c r="V62" s="102"/>
      <c r="W62" s="114"/>
      <c r="AH62" s="141"/>
      <c r="AI62" s="61"/>
      <c r="AJ62" s="121"/>
      <c r="AK62" s="61"/>
      <c r="AL62" s="61"/>
      <c r="AM62" s="61"/>
      <c r="AN62" s="61"/>
      <c r="AO62" s="61"/>
      <c r="AP62" s="61"/>
      <c r="AQ62" s="61"/>
      <c r="AR62" s="61"/>
    </row>
    <row r="63" spans="1:48" s="56" customFormat="1" ht="46.5" customHeight="1">
      <c r="A63" s="87"/>
      <c r="B63" s="48"/>
      <c r="C63" s="48"/>
      <c r="D63" s="40"/>
      <c r="E63" s="40"/>
      <c r="F63" s="40"/>
      <c r="G63" s="40"/>
      <c r="H63" s="40"/>
      <c r="I63" s="40"/>
      <c r="J63" s="1"/>
      <c r="K63" s="5"/>
      <c r="L63" s="5"/>
      <c r="M63" s="5"/>
      <c r="N63" s="5"/>
      <c r="O63" s="5"/>
      <c r="P63" s="5"/>
      <c r="Q63" s="5"/>
      <c r="R63" s="5"/>
      <c r="S63" s="5"/>
      <c r="T63" s="5"/>
      <c r="U63" s="86"/>
      <c r="V63" s="102"/>
      <c r="W63" s="114"/>
      <c r="AH63" s="141"/>
      <c r="AI63" s="52"/>
      <c r="AJ63" s="119"/>
      <c r="AK63" s="52"/>
      <c r="AL63" s="52"/>
      <c r="AM63" s="52"/>
      <c r="AN63" s="52"/>
      <c r="AO63" s="52"/>
      <c r="AP63" s="52"/>
      <c r="AQ63" s="52"/>
      <c r="AR63" s="52"/>
    </row>
    <row r="64" spans="1:48" s="61" customFormat="1" ht="46.5" customHeight="1">
      <c r="A64" s="88"/>
      <c r="B64" s="78"/>
      <c r="C64" s="78"/>
      <c r="D64" s="78"/>
      <c r="E64" s="78"/>
      <c r="F64" s="78"/>
      <c r="G64" s="78"/>
      <c r="H64" s="78"/>
      <c r="I64" s="78"/>
      <c r="J64" s="68"/>
      <c r="K64" s="59"/>
      <c r="L64" s="59"/>
      <c r="M64" s="59"/>
      <c r="N64" s="59"/>
      <c r="O64" s="59"/>
      <c r="P64" s="59"/>
      <c r="Q64" s="59"/>
      <c r="R64" s="59"/>
      <c r="S64" s="59"/>
      <c r="T64" s="59"/>
      <c r="U64" s="89"/>
      <c r="V64" s="103"/>
      <c r="W64" s="115"/>
      <c r="AD64" s="141"/>
      <c r="AE64" s="141"/>
      <c r="AF64" s="141"/>
      <c r="AG64" s="141"/>
      <c r="AH64" s="56"/>
      <c r="AI64" s="52"/>
      <c r="AJ64" s="119"/>
      <c r="AK64" s="52"/>
      <c r="AL64" s="52"/>
      <c r="AM64" s="52"/>
      <c r="AN64" s="52"/>
      <c r="AO64" s="52"/>
      <c r="AP64" s="52"/>
      <c r="AQ64" s="52"/>
      <c r="AR64" s="52"/>
      <c r="AU64" s="56"/>
      <c r="AV64" s="56"/>
    </row>
    <row r="65" spans="1:46" s="61" customFormat="1" ht="46.5" customHeight="1">
      <c r="A65" s="88"/>
      <c r="B65" s="78"/>
      <c r="C65" s="78"/>
      <c r="D65" s="78"/>
      <c r="E65" s="78"/>
      <c r="F65" s="78"/>
      <c r="G65" s="78"/>
      <c r="H65" s="78"/>
      <c r="I65" s="78"/>
      <c r="J65" s="68"/>
      <c r="K65" s="59"/>
      <c r="L65" s="59"/>
      <c r="M65" s="59"/>
      <c r="N65" s="59"/>
      <c r="O65" s="59"/>
      <c r="P65" s="59"/>
      <c r="Q65" s="59"/>
      <c r="R65" s="59"/>
      <c r="S65" s="59"/>
      <c r="T65" s="59"/>
      <c r="U65" s="89"/>
      <c r="V65" s="121"/>
      <c r="W65" s="115"/>
      <c r="AD65" s="141"/>
      <c r="AE65" s="141"/>
      <c r="AF65" s="141"/>
      <c r="AG65" s="141"/>
      <c r="AH65" s="56"/>
      <c r="AI65" s="52"/>
      <c r="AJ65" s="119"/>
      <c r="AK65" s="52"/>
      <c r="AL65" s="52"/>
      <c r="AM65" s="52"/>
      <c r="AN65" s="52"/>
      <c r="AO65" s="52"/>
      <c r="AP65" s="52"/>
      <c r="AQ65" s="52"/>
      <c r="AR65" s="52"/>
      <c r="AS65" s="52"/>
      <c r="AT65" s="52"/>
    </row>
    <row r="66" spans="1:46" ht="7.5" customHeight="1">
      <c r="A66" s="87"/>
      <c r="B66" s="12"/>
      <c r="C66" s="12"/>
      <c r="D66" s="11"/>
      <c r="E66" s="11"/>
      <c r="F66" s="11"/>
      <c r="G66" s="11"/>
      <c r="H66" s="11"/>
      <c r="I66" s="11"/>
      <c r="J66" s="1"/>
      <c r="K66" s="13"/>
      <c r="L66" s="13"/>
      <c r="M66" s="13"/>
      <c r="N66" s="13"/>
      <c r="O66" s="13"/>
      <c r="P66" s="13"/>
      <c r="Q66" s="13"/>
      <c r="R66" s="13"/>
      <c r="S66" s="13"/>
      <c r="T66" s="14"/>
      <c r="U66" s="86"/>
      <c r="V66" s="185"/>
      <c r="W66" s="114"/>
      <c r="X66" s="61"/>
      <c r="Y66" s="61"/>
      <c r="Z66" s="61"/>
      <c r="AA66" s="61"/>
      <c r="AB66" s="61"/>
      <c r="AC66" s="61"/>
      <c r="AJ66" s="119"/>
    </row>
    <row r="67" spans="1:46" ht="15" customHeight="1">
      <c r="A67" s="1565"/>
      <c r="B67" s="1751"/>
      <c r="C67" s="1751"/>
      <c r="D67" s="1751"/>
      <c r="E67" s="1751"/>
      <c r="F67" s="1751"/>
      <c r="G67" s="1751"/>
      <c r="H67" s="1751"/>
      <c r="I67" s="1751"/>
      <c r="J67" s="1751"/>
      <c r="K67" s="1751"/>
      <c r="L67" s="1751"/>
      <c r="M67" s="1751"/>
      <c r="N67" s="1751"/>
      <c r="O67" s="1751"/>
      <c r="P67" s="1751"/>
      <c r="Q67" s="1751"/>
      <c r="R67" s="1751"/>
      <c r="S67" s="1751"/>
      <c r="T67" s="1751"/>
      <c r="U67" s="1752"/>
      <c r="V67" s="185"/>
      <c r="W67" s="114"/>
      <c r="X67" s="61"/>
      <c r="Y67" s="61"/>
      <c r="Z67" s="61"/>
      <c r="AA67" s="61"/>
      <c r="AB67" s="61"/>
      <c r="AC67" s="61"/>
      <c r="AJ67" s="119"/>
    </row>
    <row r="68" spans="1:46" ht="11.25" customHeight="1">
      <c r="A68" s="1739"/>
      <c r="B68" s="1740"/>
      <c r="C68" s="1740"/>
      <c r="D68" s="1740"/>
      <c r="E68" s="1740"/>
      <c r="F68" s="1740"/>
      <c r="G68" s="1740"/>
      <c r="H68" s="1740"/>
      <c r="I68" s="1741"/>
      <c r="J68" s="1740"/>
      <c r="K68" s="1740"/>
      <c r="L68" s="1740"/>
      <c r="M68" s="1740"/>
      <c r="N68" s="1740"/>
      <c r="O68" s="1740"/>
      <c r="P68" s="1742"/>
      <c r="Q68" s="1740"/>
      <c r="R68" s="1740"/>
      <c r="S68" s="1741"/>
      <c r="T68" s="1740"/>
      <c r="U68" s="1743"/>
      <c r="V68" s="185"/>
      <c r="W68" s="114"/>
      <c r="X68" s="61"/>
      <c r="Y68" s="61"/>
      <c r="Z68" s="61"/>
      <c r="AA68" s="61"/>
      <c r="AB68" s="61"/>
      <c r="AC68" s="61"/>
      <c r="AH68" s="52"/>
      <c r="AJ68" s="119"/>
    </row>
    <row r="69" spans="1:46" ht="11.25" customHeight="1">
      <c r="A69" s="81"/>
      <c r="B69" s="82"/>
      <c r="C69" s="82"/>
      <c r="D69" s="82"/>
      <c r="E69" s="82"/>
      <c r="F69" s="82"/>
      <c r="G69" s="82"/>
      <c r="H69" s="82"/>
      <c r="I69" s="82"/>
      <c r="J69" s="83"/>
      <c r="K69" s="82"/>
      <c r="L69" s="82"/>
      <c r="M69" s="82"/>
      <c r="N69" s="82"/>
      <c r="O69" s="82"/>
      <c r="P69" s="82"/>
      <c r="Q69" s="82"/>
      <c r="R69" s="82"/>
      <c r="S69" s="82"/>
      <c r="T69" s="82"/>
      <c r="U69" s="84"/>
      <c r="V69" s="102"/>
      <c r="W69" s="114"/>
      <c r="X69" s="52"/>
      <c r="Y69" s="52"/>
      <c r="Z69" s="52"/>
      <c r="AI69" s="61"/>
      <c r="AJ69" s="121"/>
      <c r="AK69" s="61"/>
      <c r="AL69" s="61"/>
      <c r="AM69" s="61"/>
      <c r="AN69" s="61"/>
      <c r="AO69" s="61"/>
      <c r="AP69" s="61"/>
      <c r="AQ69" s="61"/>
      <c r="AR69" s="61"/>
    </row>
    <row r="70" spans="1:46" ht="15" customHeight="1">
      <c r="A70" s="87"/>
      <c r="B70" s="41"/>
      <c r="C70" s="47"/>
      <c r="D70" s="47"/>
      <c r="E70" s="47"/>
      <c r="F70" s="47"/>
      <c r="G70" s="47"/>
      <c r="H70" s="47"/>
      <c r="I70" s="47"/>
      <c r="J70" s="50"/>
      <c r="K70" s="50"/>
      <c r="L70" s="50"/>
      <c r="M70" s="50"/>
      <c r="N70" s="224"/>
      <c r="O70" s="50"/>
      <c r="P70" s="50"/>
      <c r="Q70" s="50"/>
      <c r="R70" s="50"/>
      <c r="S70" s="50"/>
      <c r="T70" s="50"/>
      <c r="U70" s="86"/>
      <c r="V70" s="102"/>
      <c r="W70" s="114"/>
      <c r="X70" s="52"/>
      <c r="Y70" s="52"/>
      <c r="Z70" s="52"/>
      <c r="AA70" s="52"/>
      <c r="AB70" s="52"/>
      <c r="AC70" s="52"/>
      <c r="AD70" s="52"/>
      <c r="AE70" s="52"/>
      <c r="AF70" s="52"/>
      <c r="AG70" s="52"/>
      <c r="AH70" s="141"/>
      <c r="AI70" s="61"/>
      <c r="AJ70" s="121"/>
      <c r="AK70" s="61"/>
      <c r="AL70" s="61"/>
      <c r="AM70" s="61"/>
      <c r="AN70" s="61"/>
      <c r="AO70" s="61"/>
      <c r="AP70" s="61"/>
      <c r="AQ70" s="61"/>
      <c r="AR70" s="61"/>
    </row>
    <row r="71" spans="1:46" ht="13.5" customHeight="1">
      <c r="A71" s="87"/>
      <c r="B71" s="47"/>
      <c r="C71" s="47"/>
      <c r="D71" s="47"/>
      <c r="E71" s="47"/>
      <c r="F71" s="47"/>
      <c r="G71" s="47"/>
      <c r="H71" s="47"/>
      <c r="I71" s="47"/>
      <c r="J71" s="50"/>
      <c r="K71" s="50"/>
      <c r="L71" s="50"/>
      <c r="M71" s="50"/>
      <c r="N71" s="224"/>
      <c r="O71" s="50"/>
      <c r="P71" s="50"/>
      <c r="Q71" s="50"/>
      <c r="R71" s="5"/>
      <c r="S71" s="50"/>
      <c r="T71" s="50"/>
      <c r="U71" s="86"/>
      <c r="V71" s="102"/>
      <c r="W71" s="114"/>
      <c r="X71" s="52"/>
      <c r="Y71" s="52"/>
      <c r="Z71" s="146"/>
      <c r="AA71" s="146"/>
      <c r="AB71" s="147"/>
      <c r="AC71" s="147"/>
      <c r="AH71" s="141"/>
      <c r="AI71" s="61"/>
      <c r="AJ71" s="121"/>
      <c r="AK71" s="61"/>
      <c r="AL71" s="61"/>
      <c r="AM71" s="61"/>
      <c r="AN71" s="61"/>
      <c r="AO71" s="61"/>
      <c r="AP71" s="61"/>
      <c r="AQ71" s="61"/>
      <c r="AR71" s="61"/>
      <c r="AS71" s="61"/>
      <c r="AT71" s="61"/>
    </row>
    <row r="72" spans="1:46" s="61" customFormat="1" ht="12" customHeight="1">
      <c r="A72" s="88"/>
      <c r="B72" s="47"/>
      <c r="C72" s="47"/>
      <c r="D72" s="47"/>
      <c r="E72" s="47"/>
      <c r="F72" s="47"/>
      <c r="G72" s="47"/>
      <c r="H72" s="47"/>
      <c r="I72" s="68"/>
      <c r="J72" s="68"/>
      <c r="K72" s="43"/>
      <c r="L72" s="43"/>
      <c r="M72" s="43"/>
      <c r="N72" s="43"/>
      <c r="O72" s="43"/>
      <c r="P72" s="43"/>
      <c r="Q72" s="225"/>
      <c r="R72" s="225"/>
      <c r="S72" s="120"/>
      <c r="T72" s="226"/>
      <c r="U72" s="89"/>
      <c r="V72" s="103"/>
      <c r="W72" s="115"/>
      <c r="X72" s="52"/>
      <c r="Y72" s="52"/>
      <c r="Z72" s="146"/>
      <c r="AA72" s="146"/>
      <c r="AB72" s="147"/>
      <c r="AC72" s="147"/>
      <c r="AD72" s="149"/>
      <c r="AE72" s="141"/>
      <c r="AF72" s="141"/>
      <c r="AG72" s="141"/>
      <c r="AH72" s="141"/>
      <c r="AJ72" s="121"/>
    </row>
    <row r="73" spans="1:46" s="61" customFormat="1" ht="24" customHeight="1">
      <c r="A73" s="88"/>
      <c r="B73" s="47"/>
      <c r="C73" s="47"/>
      <c r="D73" s="47"/>
      <c r="E73" s="47"/>
      <c r="F73" s="47"/>
      <c r="G73" s="47"/>
      <c r="H73" s="47"/>
      <c r="I73" s="68"/>
      <c r="J73" s="68"/>
      <c r="K73" s="127"/>
      <c r="L73" s="127"/>
      <c r="M73" s="127"/>
      <c r="N73" s="127"/>
      <c r="O73" s="127"/>
      <c r="P73" s="127"/>
      <c r="Q73" s="127"/>
      <c r="R73" s="128"/>
      <c r="S73" s="120"/>
      <c r="T73" s="127"/>
      <c r="U73" s="89"/>
      <c r="V73" s="103"/>
      <c r="W73" s="115"/>
      <c r="Y73" s="241" t="s">
        <v>112</v>
      </c>
      <c r="Z73" s="242" t="s">
        <v>113</v>
      </c>
      <c r="AA73" s="146"/>
      <c r="AB73" s="147"/>
      <c r="AC73" s="147"/>
      <c r="AD73" s="149"/>
      <c r="AE73" s="141"/>
      <c r="AF73" s="141"/>
      <c r="AG73" s="141"/>
      <c r="AH73" s="141"/>
      <c r="AJ73" s="121"/>
    </row>
    <row r="74" spans="1:46" s="61" customFormat="1" ht="12.75" customHeight="1">
      <c r="A74" s="88"/>
      <c r="B74" s="47"/>
      <c r="C74" s="47"/>
      <c r="D74" s="47"/>
      <c r="E74" s="47"/>
      <c r="F74" s="47"/>
      <c r="G74" s="47"/>
      <c r="H74" s="47"/>
      <c r="I74" s="68"/>
      <c r="J74" s="68"/>
      <c r="K74" s="127"/>
      <c r="L74" s="127"/>
      <c r="M74" s="127"/>
      <c r="N74" s="127"/>
      <c r="O74" s="127"/>
      <c r="P74" s="127"/>
      <c r="Q74" s="127"/>
      <c r="R74" s="128"/>
      <c r="S74" s="120"/>
      <c r="T74" s="127"/>
      <c r="U74" s="89"/>
      <c r="V74" s="103"/>
      <c r="W74" s="115"/>
      <c r="X74" s="243" t="str">
        <f t="shared" ref="X74:X94" si="19">B11</f>
        <v>Bracknell Forest</v>
      </c>
      <c r="Y74" s="244" t="e">
        <f t="shared" ref="Y74:Y94" si="20">IF(X74=$Y$4,I11,#N/A)</f>
        <v>#N/A</v>
      </c>
      <c r="Z74" s="244" t="e">
        <f t="shared" ref="Z74:Z94" si="21">IF(X74=$Y$4,T11,#N/A)</f>
        <v>#N/A</v>
      </c>
      <c r="AA74" s="146"/>
      <c r="AB74" s="147"/>
      <c r="AC74" s="147"/>
      <c r="AD74" s="149"/>
      <c r="AE74" s="141"/>
      <c r="AF74" s="141"/>
      <c r="AG74" s="141"/>
      <c r="AH74" s="141"/>
      <c r="AJ74" s="121"/>
    </row>
    <row r="75" spans="1:46" s="61" customFormat="1" ht="12.75" customHeight="1">
      <c r="A75" s="88"/>
      <c r="B75" s="47"/>
      <c r="C75" s="47"/>
      <c r="D75" s="47"/>
      <c r="E75" s="47"/>
      <c r="F75" s="47"/>
      <c r="G75" s="47"/>
      <c r="H75" s="47"/>
      <c r="I75" s="68"/>
      <c r="J75" s="68"/>
      <c r="K75" s="127"/>
      <c r="L75" s="127"/>
      <c r="M75" s="127"/>
      <c r="N75" s="127"/>
      <c r="O75" s="127"/>
      <c r="P75" s="127"/>
      <c r="Q75" s="127"/>
      <c r="R75" s="128"/>
      <c r="S75" s="120"/>
      <c r="T75" s="127"/>
      <c r="U75" s="89"/>
      <c r="V75" s="103"/>
      <c r="W75" s="115"/>
      <c r="X75" s="243" t="str">
        <f t="shared" si="19"/>
        <v>Brighton &amp; Hove</v>
      </c>
      <c r="Y75" s="244" t="e">
        <f t="shared" si="20"/>
        <v>#N/A</v>
      </c>
      <c r="Z75" s="244" t="e">
        <f t="shared" si="21"/>
        <v>#N/A</v>
      </c>
      <c r="AA75" s="146"/>
      <c r="AB75" s="147"/>
      <c r="AC75" s="147"/>
      <c r="AD75" s="149"/>
      <c r="AE75" s="141"/>
      <c r="AF75" s="141"/>
      <c r="AG75" s="141"/>
      <c r="AH75" s="141"/>
      <c r="AJ75" s="121"/>
      <c r="AR75" s="61" t="s">
        <v>95</v>
      </c>
    </row>
    <row r="76" spans="1:46" s="61" customFormat="1" ht="12.75" customHeight="1">
      <c r="A76" s="88"/>
      <c r="B76" s="47"/>
      <c r="C76" s="47"/>
      <c r="D76" s="47"/>
      <c r="E76" s="47"/>
      <c r="F76" s="47"/>
      <c r="G76" s="47"/>
      <c r="H76" s="47"/>
      <c r="I76" s="68"/>
      <c r="J76" s="68"/>
      <c r="K76" s="127"/>
      <c r="L76" s="127"/>
      <c r="M76" s="127"/>
      <c r="N76" s="127"/>
      <c r="O76" s="127"/>
      <c r="P76" s="127"/>
      <c r="Q76" s="127"/>
      <c r="R76" s="128"/>
      <c r="S76" s="120"/>
      <c r="T76" s="127"/>
      <c r="U76" s="89"/>
      <c r="V76" s="103"/>
      <c r="W76" s="115"/>
      <c r="X76" s="243" t="str">
        <f t="shared" si="19"/>
        <v>Buckinghamshire</v>
      </c>
      <c r="Y76" s="244" t="e">
        <f t="shared" si="20"/>
        <v>#N/A</v>
      </c>
      <c r="Z76" s="244" t="e">
        <f t="shared" si="21"/>
        <v>#N/A</v>
      </c>
      <c r="AA76" s="146"/>
      <c r="AB76" s="147"/>
      <c r="AC76" s="147"/>
      <c r="AD76" s="149"/>
      <c r="AE76" s="141"/>
      <c r="AF76" s="141"/>
      <c r="AG76" s="141"/>
      <c r="AH76" s="141"/>
      <c r="AJ76" s="121"/>
    </row>
    <row r="77" spans="1:46" s="61" customFormat="1" ht="12.75" customHeight="1">
      <c r="A77" s="88"/>
      <c r="B77" s="47"/>
      <c r="C77" s="47"/>
      <c r="D77" s="47"/>
      <c r="E77" s="47"/>
      <c r="F77" s="47"/>
      <c r="G77" s="47"/>
      <c r="H77" s="47"/>
      <c r="I77" s="68"/>
      <c r="J77" s="68"/>
      <c r="K77" s="127"/>
      <c r="L77" s="127"/>
      <c r="M77" s="127"/>
      <c r="N77" s="127"/>
      <c r="O77" s="127"/>
      <c r="P77" s="127"/>
      <c r="Q77" s="127"/>
      <c r="R77" s="128"/>
      <c r="S77" s="120"/>
      <c r="T77" s="127"/>
      <c r="U77" s="89"/>
      <c r="V77" s="103"/>
      <c r="W77" s="115"/>
      <c r="X77" s="243" t="str">
        <f t="shared" si="19"/>
        <v>East Sussex</v>
      </c>
      <c r="Y77" s="244" t="e">
        <f t="shared" si="20"/>
        <v>#N/A</v>
      </c>
      <c r="Z77" s="244" t="e">
        <f t="shared" si="21"/>
        <v>#N/A</v>
      </c>
      <c r="AA77" s="146"/>
      <c r="AB77" s="147"/>
      <c r="AC77" s="147"/>
      <c r="AD77" s="149"/>
      <c r="AE77" s="141"/>
      <c r="AF77" s="141"/>
      <c r="AG77" s="141"/>
      <c r="AH77" s="141"/>
      <c r="AJ77" s="121"/>
    </row>
    <row r="78" spans="1:46" s="61" customFormat="1" ht="12.75" customHeight="1">
      <c r="A78" s="88"/>
      <c r="B78" s="47"/>
      <c r="C78" s="47"/>
      <c r="D78" s="47"/>
      <c r="E78" s="47"/>
      <c r="F78" s="47"/>
      <c r="G78" s="47"/>
      <c r="H78" s="47"/>
      <c r="I78" s="68"/>
      <c r="J78" s="68"/>
      <c r="K78" s="127"/>
      <c r="L78" s="127"/>
      <c r="M78" s="127"/>
      <c r="N78" s="127"/>
      <c r="O78" s="127"/>
      <c r="P78" s="127"/>
      <c r="Q78" s="127"/>
      <c r="R78" s="128"/>
      <c r="S78" s="120"/>
      <c r="T78" s="127"/>
      <c r="U78" s="89"/>
      <c r="V78" s="103"/>
      <c r="W78" s="115"/>
      <c r="X78" s="243" t="str">
        <f t="shared" si="19"/>
        <v>Hampshire</v>
      </c>
      <c r="Y78" s="244" t="e">
        <f t="shared" si="20"/>
        <v>#N/A</v>
      </c>
      <c r="Z78" s="244" t="e">
        <f t="shared" si="21"/>
        <v>#N/A</v>
      </c>
      <c r="AA78" s="146"/>
      <c r="AB78" s="147"/>
      <c r="AC78" s="147"/>
      <c r="AD78" s="149"/>
      <c r="AE78" s="141"/>
      <c r="AF78" s="141"/>
      <c r="AG78" s="141"/>
      <c r="AH78" s="141"/>
      <c r="AJ78" s="121"/>
    </row>
    <row r="79" spans="1:46" s="61" customFormat="1" ht="12.75" customHeight="1">
      <c r="A79" s="88"/>
      <c r="B79" s="47"/>
      <c r="C79" s="47"/>
      <c r="D79" s="47"/>
      <c r="E79" s="47"/>
      <c r="F79" s="47"/>
      <c r="G79" s="47"/>
      <c r="H79" s="47"/>
      <c r="I79" s="68"/>
      <c r="J79" s="68"/>
      <c r="K79" s="127"/>
      <c r="L79" s="127"/>
      <c r="M79" s="127"/>
      <c r="N79" s="127"/>
      <c r="O79" s="127"/>
      <c r="P79" s="127"/>
      <c r="Q79" s="127"/>
      <c r="R79" s="128"/>
      <c r="S79" s="120"/>
      <c r="T79" s="127"/>
      <c r="U79" s="89"/>
      <c r="V79" s="103"/>
      <c r="W79" s="115"/>
      <c r="X79" s="243" t="str">
        <f t="shared" si="19"/>
        <v>Isle of Wight</v>
      </c>
      <c r="Y79" s="244" t="e">
        <f t="shared" si="20"/>
        <v>#N/A</v>
      </c>
      <c r="Z79" s="244" t="e">
        <f t="shared" si="21"/>
        <v>#N/A</v>
      </c>
      <c r="AA79" s="146"/>
      <c r="AB79" s="147"/>
      <c r="AC79" s="147"/>
      <c r="AD79" s="149"/>
      <c r="AE79" s="141"/>
      <c r="AF79" s="141"/>
      <c r="AG79" s="141"/>
      <c r="AH79" s="141"/>
      <c r="AJ79" s="121"/>
    </row>
    <row r="80" spans="1:46" s="61" customFormat="1" ht="12.75" customHeight="1">
      <c r="A80" s="88"/>
      <c r="B80" s="47"/>
      <c r="C80" s="47"/>
      <c r="D80" s="47"/>
      <c r="E80" s="47"/>
      <c r="F80" s="47"/>
      <c r="G80" s="47"/>
      <c r="H80" s="47"/>
      <c r="I80" s="68"/>
      <c r="J80" s="68"/>
      <c r="K80" s="127"/>
      <c r="L80" s="127"/>
      <c r="M80" s="127"/>
      <c r="N80" s="127"/>
      <c r="O80" s="127"/>
      <c r="P80" s="127"/>
      <c r="Q80" s="127"/>
      <c r="R80" s="128"/>
      <c r="S80" s="120"/>
      <c r="T80" s="127"/>
      <c r="U80" s="89"/>
      <c r="V80" s="103"/>
      <c r="W80" s="115"/>
      <c r="X80" s="243" t="str">
        <f t="shared" si="19"/>
        <v>Kent</v>
      </c>
      <c r="Y80" s="244" t="e">
        <f t="shared" si="20"/>
        <v>#N/A</v>
      </c>
      <c r="Z80" s="244" t="e">
        <f t="shared" si="21"/>
        <v>#N/A</v>
      </c>
      <c r="AA80" s="146"/>
      <c r="AB80" s="147"/>
      <c r="AC80" s="147"/>
      <c r="AD80" s="149"/>
      <c r="AE80" s="141"/>
      <c r="AF80" s="141"/>
      <c r="AG80" s="141"/>
      <c r="AH80" s="141"/>
      <c r="AJ80" s="121"/>
    </row>
    <row r="81" spans="1:44" s="61" customFormat="1" ht="12.75" customHeight="1">
      <c r="A81" s="88"/>
      <c r="B81" s="47"/>
      <c r="C81" s="47"/>
      <c r="D81" s="47"/>
      <c r="E81" s="47"/>
      <c r="F81" s="47"/>
      <c r="G81" s="47"/>
      <c r="H81" s="47"/>
      <c r="I81" s="68"/>
      <c r="J81" s="68"/>
      <c r="K81" s="127"/>
      <c r="L81" s="127"/>
      <c r="M81" s="127"/>
      <c r="N81" s="127"/>
      <c r="O81" s="127"/>
      <c r="P81" s="127"/>
      <c r="Q81" s="127"/>
      <c r="R81" s="128"/>
      <c r="S81" s="120"/>
      <c r="T81" s="127"/>
      <c r="U81" s="89"/>
      <c r="V81" s="103"/>
      <c r="W81" s="115"/>
      <c r="X81" s="243" t="str">
        <f t="shared" si="19"/>
        <v>Medway</v>
      </c>
      <c r="Y81" s="244" t="e">
        <f t="shared" si="20"/>
        <v>#N/A</v>
      </c>
      <c r="Z81" s="244" t="e">
        <f t="shared" si="21"/>
        <v>#N/A</v>
      </c>
      <c r="AA81" s="146"/>
      <c r="AB81" s="147"/>
      <c r="AC81" s="147"/>
      <c r="AD81" s="149"/>
      <c r="AE81" s="141"/>
      <c r="AF81" s="141"/>
      <c r="AG81" s="141"/>
      <c r="AH81" s="141"/>
      <c r="AJ81" s="121"/>
    </row>
    <row r="82" spans="1:44" s="61" customFormat="1" ht="12.75" customHeight="1">
      <c r="A82" s="88"/>
      <c r="B82" s="47"/>
      <c r="C82" s="47"/>
      <c r="D82" s="47"/>
      <c r="E82" s="47"/>
      <c r="F82" s="47"/>
      <c r="G82" s="47"/>
      <c r="H82" s="47"/>
      <c r="I82" s="68"/>
      <c r="J82" s="68"/>
      <c r="K82" s="127"/>
      <c r="L82" s="127"/>
      <c r="M82" s="127"/>
      <c r="N82" s="127"/>
      <c r="O82" s="127"/>
      <c r="P82" s="127"/>
      <c r="Q82" s="127"/>
      <c r="R82" s="128"/>
      <c r="S82" s="120"/>
      <c r="T82" s="127"/>
      <c r="U82" s="89"/>
      <c r="V82" s="103"/>
      <c r="W82" s="115"/>
      <c r="X82" s="243" t="str">
        <f t="shared" si="19"/>
        <v>Milton Keynes</v>
      </c>
      <c r="Y82" s="244" t="e">
        <f t="shared" si="20"/>
        <v>#N/A</v>
      </c>
      <c r="Z82" s="244" t="e">
        <f t="shared" si="21"/>
        <v>#N/A</v>
      </c>
      <c r="AA82" s="146"/>
      <c r="AB82" s="147"/>
      <c r="AC82" s="147"/>
      <c r="AD82" s="149"/>
      <c r="AE82" s="141"/>
      <c r="AF82" s="141"/>
      <c r="AG82" s="141"/>
      <c r="AH82" s="141"/>
      <c r="AJ82" s="121"/>
    </row>
    <row r="83" spans="1:44" s="61" customFormat="1" ht="12.75" customHeight="1">
      <c r="A83" s="88"/>
      <c r="B83" s="47"/>
      <c r="C83" s="47"/>
      <c r="D83" s="47"/>
      <c r="E83" s="47"/>
      <c r="F83" s="47"/>
      <c r="G83" s="47"/>
      <c r="H83" s="47"/>
      <c r="I83" s="68"/>
      <c r="J83" s="68"/>
      <c r="K83" s="127"/>
      <c r="L83" s="127"/>
      <c r="M83" s="127"/>
      <c r="N83" s="127"/>
      <c r="O83" s="127"/>
      <c r="P83" s="127"/>
      <c r="Q83" s="127"/>
      <c r="R83" s="128"/>
      <c r="S83" s="120"/>
      <c r="T83" s="127"/>
      <c r="U83" s="89"/>
      <c r="V83" s="103"/>
      <c r="W83" s="115"/>
      <c r="X83" s="243" t="str">
        <f t="shared" si="19"/>
        <v>Oxfordshire</v>
      </c>
      <c r="Y83" s="244" t="e">
        <f t="shared" si="20"/>
        <v>#N/A</v>
      </c>
      <c r="Z83" s="244" t="e">
        <f t="shared" si="21"/>
        <v>#N/A</v>
      </c>
      <c r="AA83" s="146"/>
      <c r="AB83" s="147"/>
      <c r="AC83" s="147"/>
      <c r="AD83" s="149"/>
      <c r="AE83" s="141"/>
      <c r="AF83" s="141"/>
      <c r="AG83" s="141"/>
      <c r="AH83" s="141"/>
      <c r="AJ83" s="121"/>
    </row>
    <row r="84" spans="1:44" s="61" customFormat="1" ht="12.75" customHeight="1">
      <c r="A84" s="88"/>
      <c r="B84" s="47"/>
      <c r="C84" s="47"/>
      <c r="D84" s="47"/>
      <c r="E84" s="47"/>
      <c r="F84" s="47"/>
      <c r="G84" s="47"/>
      <c r="H84" s="47"/>
      <c r="I84" s="68"/>
      <c r="J84" s="68"/>
      <c r="K84" s="127"/>
      <c r="L84" s="127"/>
      <c r="M84" s="127"/>
      <c r="N84" s="127"/>
      <c r="O84" s="127"/>
      <c r="P84" s="127"/>
      <c r="Q84" s="127"/>
      <c r="R84" s="128"/>
      <c r="S84" s="120"/>
      <c r="T84" s="127"/>
      <c r="U84" s="89"/>
      <c r="V84" s="103"/>
      <c r="W84" s="115"/>
      <c r="X84" s="243" t="str">
        <f t="shared" si="19"/>
        <v>Portsmouth</v>
      </c>
      <c r="Y84" s="244" t="e">
        <f t="shared" si="20"/>
        <v>#N/A</v>
      </c>
      <c r="Z84" s="244" t="e">
        <f t="shared" si="21"/>
        <v>#N/A</v>
      </c>
      <c r="AA84" s="146"/>
      <c r="AB84" s="147"/>
      <c r="AC84" s="147"/>
      <c r="AD84" s="149"/>
      <c r="AE84" s="141"/>
      <c r="AF84" s="141"/>
      <c r="AG84" s="141"/>
      <c r="AH84" s="141"/>
      <c r="AJ84" s="121"/>
    </row>
    <row r="85" spans="1:44" s="61" customFormat="1" ht="12.75" customHeight="1">
      <c r="A85" s="88"/>
      <c r="B85" s="47"/>
      <c r="C85" s="47"/>
      <c r="D85" s="47"/>
      <c r="E85" s="47"/>
      <c r="F85" s="47"/>
      <c r="G85" s="47"/>
      <c r="H85" s="47"/>
      <c r="I85" s="68"/>
      <c r="J85" s="68"/>
      <c r="K85" s="127"/>
      <c r="L85" s="127"/>
      <c r="M85" s="127"/>
      <c r="N85" s="127"/>
      <c r="O85" s="127"/>
      <c r="P85" s="127"/>
      <c r="Q85" s="127"/>
      <c r="R85" s="128"/>
      <c r="S85" s="120"/>
      <c r="T85" s="127"/>
      <c r="U85" s="89"/>
      <c r="V85" s="103"/>
      <c r="W85" s="115"/>
      <c r="X85" s="243" t="str">
        <f t="shared" si="19"/>
        <v>Reading</v>
      </c>
      <c r="Y85" s="244" t="e">
        <f t="shared" si="20"/>
        <v>#N/A</v>
      </c>
      <c r="Z85" s="244" t="e">
        <f t="shared" si="21"/>
        <v>#N/A</v>
      </c>
      <c r="AA85" s="146"/>
      <c r="AB85" s="147"/>
      <c r="AC85" s="147"/>
      <c r="AD85" s="149"/>
      <c r="AE85" s="141"/>
      <c r="AF85" s="141"/>
      <c r="AG85" s="141"/>
      <c r="AH85" s="141"/>
      <c r="AJ85" s="121"/>
    </row>
    <row r="86" spans="1:44" s="61" customFormat="1" ht="12.75" customHeight="1">
      <c r="A86" s="88"/>
      <c r="B86" s="47"/>
      <c r="C86" s="47"/>
      <c r="D86" s="47"/>
      <c r="E86" s="47"/>
      <c r="F86" s="47"/>
      <c r="G86" s="47"/>
      <c r="H86" s="47"/>
      <c r="I86" s="68"/>
      <c r="J86" s="68"/>
      <c r="K86" s="127"/>
      <c r="L86" s="127"/>
      <c r="M86" s="127"/>
      <c r="N86" s="127"/>
      <c r="O86" s="127"/>
      <c r="P86" s="127"/>
      <c r="Q86" s="127"/>
      <c r="R86" s="128"/>
      <c r="S86" s="120"/>
      <c r="T86" s="127"/>
      <c r="U86" s="89"/>
      <c r="V86" s="103"/>
      <c r="W86" s="115"/>
      <c r="X86" s="243" t="str">
        <f t="shared" si="19"/>
        <v>Slough</v>
      </c>
      <c r="Y86" s="244" t="e">
        <f t="shared" si="20"/>
        <v>#N/A</v>
      </c>
      <c r="Z86" s="244" t="e">
        <f t="shared" si="21"/>
        <v>#N/A</v>
      </c>
      <c r="AA86" s="146"/>
      <c r="AB86" s="147"/>
      <c r="AC86" s="147"/>
      <c r="AD86" s="149"/>
      <c r="AE86" s="141"/>
      <c r="AF86" s="141"/>
      <c r="AG86" s="141"/>
      <c r="AH86" s="141"/>
      <c r="AJ86" s="121"/>
    </row>
    <row r="87" spans="1:44" s="61" customFormat="1" ht="12.75" customHeight="1">
      <c r="A87" s="88"/>
      <c r="B87" s="47"/>
      <c r="C87" s="47"/>
      <c r="D87" s="47"/>
      <c r="E87" s="47"/>
      <c r="F87" s="47"/>
      <c r="G87" s="47"/>
      <c r="H87" s="47"/>
      <c r="I87" s="68"/>
      <c r="J87" s="68"/>
      <c r="K87" s="127"/>
      <c r="L87" s="127"/>
      <c r="M87" s="127"/>
      <c r="N87" s="127"/>
      <c r="O87" s="127"/>
      <c r="P87" s="127"/>
      <c r="Q87" s="127"/>
      <c r="R87" s="128"/>
      <c r="S87" s="120"/>
      <c r="T87" s="127"/>
      <c r="U87" s="89"/>
      <c r="V87" s="103"/>
      <c r="W87" s="115"/>
      <c r="X87" s="243" t="str">
        <f t="shared" si="19"/>
        <v>Southampton</v>
      </c>
      <c r="Y87" s="244" t="e">
        <f t="shared" si="20"/>
        <v>#N/A</v>
      </c>
      <c r="Z87" s="244" t="e">
        <f t="shared" si="21"/>
        <v>#N/A</v>
      </c>
      <c r="AA87" s="146"/>
      <c r="AB87" s="147"/>
      <c r="AC87" s="147"/>
      <c r="AD87" s="149"/>
      <c r="AE87" s="141"/>
      <c r="AF87" s="141"/>
      <c r="AG87" s="141"/>
      <c r="AH87" s="141"/>
      <c r="AJ87" s="121"/>
    </row>
    <row r="88" spans="1:44" s="61" customFormat="1" ht="12.75" customHeight="1">
      <c r="A88" s="88"/>
      <c r="B88" s="47"/>
      <c r="C88" s="47"/>
      <c r="D88" s="47"/>
      <c r="E88" s="47"/>
      <c r="F88" s="47"/>
      <c r="G88" s="47"/>
      <c r="H88" s="47"/>
      <c r="I88" s="68"/>
      <c r="J88" s="68"/>
      <c r="K88" s="127"/>
      <c r="L88" s="127"/>
      <c r="M88" s="127"/>
      <c r="N88" s="127"/>
      <c r="O88" s="127"/>
      <c r="P88" s="127"/>
      <c r="Q88" s="127"/>
      <c r="R88" s="128"/>
      <c r="S88" s="120"/>
      <c r="T88" s="127"/>
      <c r="U88" s="89"/>
      <c r="V88" s="103"/>
      <c r="W88" s="115"/>
      <c r="X88" s="243" t="str">
        <f t="shared" si="19"/>
        <v>Surrey</v>
      </c>
      <c r="Y88" s="244" t="e">
        <f t="shared" si="20"/>
        <v>#N/A</v>
      </c>
      <c r="Z88" s="244" t="e">
        <f t="shared" si="21"/>
        <v>#N/A</v>
      </c>
      <c r="AA88" s="146"/>
      <c r="AB88" s="147"/>
      <c r="AC88" s="147"/>
      <c r="AD88" s="149"/>
      <c r="AE88" s="141"/>
      <c r="AF88" s="141"/>
      <c r="AG88" s="141"/>
      <c r="AH88" s="141"/>
      <c r="AJ88" s="121"/>
    </row>
    <row r="89" spans="1:44" s="61" customFormat="1" ht="12.75" customHeight="1">
      <c r="A89" s="217"/>
      <c r="B89" s="47"/>
      <c r="C89" s="47"/>
      <c r="D89" s="47"/>
      <c r="E89" s="47"/>
      <c r="F89" s="47"/>
      <c r="G89" s="47"/>
      <c r="H89" s="47"/>
      <c r="I89" s="68"/>
      <c r="J89" s="68"/>
      <c r="K89" s="127"/>
      <c r="L89" s="127"/>
      <c r="M89" s="127"/>
      <c r="N89" s="127"/>
      <c r="O89" s="127"/>
      <c r="P89" s="127"/>
      <c r="Q89" s="127"/>
      <c r="R89" s="128"/>
      <c r="S89" s="120"/>
      <c r="T89" s="127"/>
      <c r="U89" s="89"/>
      <c r="V89" s="103"/>
      <c r="W89" s="115"/>
      <c r="X89" s="243" t="str">
        <f t="shared" si="19"/>
        <v>West Berkshire</v>
      </c>
      <c r="Y89" s="244" t="e">
        <f t="shared" si="20"/>
        <v>#N/A</v>
      </c>
      <c r="Z89" s="244" t="e">
        <f t="shared" si="21"/>
        <v>#N/A</v>
      </c>
      <c r="AA89" s="146"/>
      <c r="AB89" s="147"/>
      <c r="AC89" s="147"/>
      <c r="AD89" s="149"/>
      <c r="AE89" s="141"/>
      <c r="AF89" s="141"/>
      <c r="AG89" s="141"/>
      <c r="AH89" s="141"/>
      <c r="AJ89" s="121"/>
    </row>
    <row r="90" spans="1:44" s="61" customFormat="1" ht="12.75" customHeight="1">
      <c r="A90" s="217"/>
      <c r="B90" s="47"/>
      <c r="C90" s="47"/>
      <c r="D90" s="47"/>
      <c r="E90" s="47"/>
      <c r="F90" s="47"/>
      <c r="G90" s="47"/>
      <c r="H90" s="47"/>
      <c r="I90" s="68"/>
      <c r="J90" s="68"/>
      <c r="K90" s="127"/>
      <c r="L90" s="127"/>
      <c r="M90" s="127"/>
      <c r="N90" s="127"/>
      <c r="O90" s="127"/>
      <c r="P90" s="127"/>
      <c r="Q90" s="127"/>
      <c r="R90" s="128"/>
      <c r="S90" s="120"/>
      <c r="T90" s="127"/>
      <c r="U90" s="89"/>
      <c r="V90" s="103"/>
      <c r="W90" s="115"/>
      <c r="X90" s="243" t="str">
        <f t="shared" si="19"/>
        <v>West Sussex</v>
      </c>
      <c r="Y90" s="244" t="e">
        <f t="shared" si="20"/>
        <v>#N/A</v>
      </c>
      <c r="Z90" s="244" t="e">
        <f t="shared" si="21"/>
        <v>#N/A</v>
      </c>
      <c r="AA90" s="146"/>
      <c r="AB90" s="147"/>
      <c r="AC90" s="147"/>
      <c r="AD90" s="149"/>
      <c r="AE90" s="141"/>
      <c r="AF90" s="141"/>
      <c r="AG90" s="141"/>
      <c r="AH90" s="141"/>
      <c r="AJ90" s="121"/>
    </row>
    <row r="91" spans="1:44" s="61" customFormat="1" ht="12.75" customHeight="1">
      <c r="A91" s="88"/>
      <c r="B91" s="47"/>
      <c r="C91" s="47"/>
      <c r="D91" s="47"/>
      <c r="E91" s="47"/>
      <c r="F91" s="47"/>
      <c r="G91" s="47"/>
      <c r="H91" s="47"/>
      <c r="I91" s="68"/>
      <c r="J91" s="68"/>
      <c r="K91" s="127"/>
      <c r="L91" s="127"/>
      <c r="M91" s="127"/>
      <c r="N91" s="127"/>
      <c r="O91" s="127"/>
      <c r="P91" s="127"/>
      <c r="Q91" s="127"/>
      <c r="R91" s="128"/>
      <c r="S91" s="120"/>
      <c r="T91" s="127"/>
      <c r="U91" s="89"/>
      <c r="V91" s="103"/>
      <c r="W91" s="115"/>
      <c r="X91" s="243" t="str">
        <f t="shared" si="19"/>
        <v>Windsor &amp; Maidenhead</v>
      </c>
      <c r="Y91" s="244" t="e">
        <f t="shared" si="20"/>
        <v>#N/A</v>
      </c>
      <c r="Z91" s="244" t="e">
        <f t="shared" si="21"/>
        <v>#N/A</v>
      </c>
      <c r="AA91" s="146"/>
      <c r="AB91" s="147"/>
      <c r="AC91" s="147"/>
      <c r="AD91" s="149"/>
      <c r="AF91" s="141"/>
      <c r="AG91" s="141"/>
      <c r="AH91" s="141"/>
      <c r="AJ91" s="121"/>
    </row>
    <row r="92" spans="1:44" s="61" customFormat="1" ht="12.75" customHeight="1">
      <c r="A92" s="88"/>
      <c r="B92" s="47"/>
      <c r="C92" s="47"/>
      <c r="D92" s="47"/>
      <c r="E92" s="47"/>
      <c r="F92" s="47"/>
      <c r="G92" s="47"/>
      <c r="H92" s="47"/>
      <c r="I92" s="68"/>
      <c r="J92" s="68"/>
      <c r="K92" s="127"/>
      <c r="L92" s="127"/>
      <c r="M92" s="127"/>
      <c r="N92" s="127"/>
      <c r="O92" s="127"/>
      <c r="P92" s="127"/>
      <c r="Q92" s="127"/>
      <c r="R92" s="128"/>
      <c r="S92" s="120"/>
      <c r="T92" s="127"/>
      <c r="U92" s="89"/>
      <c r="V92" s="103"/>
      <c r="W92" s="115"/>
      <c r="X92" s="243" t="str">
        <f t="shared" si="19"/>
        <v>Wokingham</v>
      </c>
      <c r="Y92" s="244" t="e">
        <f t="shared" si="20"/>
        <v>#N/A</v>
      </c>
      <c r="Z92" s="244" t="e">
        <f t="shared" si="21"/>
        <v>#N/A</v>
      </c>
      <c r="AA92" s="146"/>
      <c r="AB92" s="147"/>
      <c r="AC92" s="147"/>
      <c r="AD92" s="149"/>
      <c r="AF92" s="141"/>
      <c r="AG92" s="141"/>
      <c r="AH92" s="141"/>
      <c r="AJ92" s="121"/>
    </row>
    <row r="93" spans="1:44" s="61" customFormat="1" ht="12.75" customHeight="1">
      <c r="A93" s="88"/>
      <c r="B93" s="47"/>
      <c r="C93" s="47"/>
      <c r="D93" s="47"/>
      <c r="E93" s="47"/>
      <c r="F93" s="47"/>
      <c r="G93" s="47"/>
      <c r="H93" s="47"/>
      <c r="I93" s="68"/>
      <c r="J93" s="68"/>
      <c r="K93" s="127"/>
      <c r="L93" s="127"/>
      <c r="M93" s="127"/>
      <c r="N93" s="127"/>
      <c r="O93" s="127"/>
      <c r="P93" s="127"/>
      <c r="Q93" s="127"/>
      <c r="R93" s="128"/>
      <c r="S93" s="120"/>
      <c r="T93" s="127"/>
      <c r="U93" s="89"/>
      <c r="V93" s="103"/>
      <c r="W93" s="115"/>
      <c r="X93" s="243" t="str">
        <f t="shared" si="19"/>
        <v>South East</v>
      </c>
      <c r="Y93" s="244" t="e">
        <f t="shared" si="20"/>
        <v>#N/A</v>
      </c>
      <c r="Z93" s="244" t="e">
        <f t="shared" si="21"/>
        <v>#N/A</v>
      </c>
      <c r="AA93" s="146"/>
      <c r="AB93" s="147"/>
      <c r="AC93" s="147"/>
      <c r="AD93" s="149"/>
      <c r="AH93" s="141"/>
      <c r="AJ93" s="121"/>
    </row>
    <row r="94" spans="1:44" s="61" customFormat="1" ht="12.75" customHeight="1">
      <c r="A94" s="88"/>
      <c r="B94" s="47"/>
      <c r="C94" s="47"/>
      <c r="D94" s="47"/>
      <c r="E94" s="47"/>
      <c r="F94" s="47"/>
      <c r="G94" s="47"/>
      <c r="H94" s="47"/>
      <c r="I94" s="68"/>
      <c r="J94" s="68"/>
      <c r="K94" s="127"/>
      <c r="L94" s="127"/>
      <c r="M94" s="127"/>
      <c r="N94" s="127"/>
      <c r="O94" s="127"/>
      <c r="P94" s="127"/>
      <c r="Q94" s="127"/>
      <c r="R94" s="128"/>
      <c r="S94" s="120"/>
      <c r="T94" s="127"/>
      <c r="U94" s="89"/>
      <c r="V94" s="103"/>
      <c r="W94" s="115"/>
      <c r="X94" s="243" t="str">
        <f t="shared" si="19"/>
        <v>England</v>
      </c>
      <c r="Y94" s="244" t="e">
        <f t="shared" si="20"/>
        <v>#N/A</v>
      </c>
      <c r="Z94" s="244" t="e">
        <f t="shared" si="21"/>
        <v>#N/A</v>
      </c>
      <c r="AA94" s="146"/>
      <c r="AB94" s="147"/>
      <c r="AC94" s="147"/>
      <c r="AD94" s="149"/>
      <c r="AH94" s="141"/>
      <c r="AJ94" s="121"/>
    </row>
    <row r="95" spans="1:44" s="61" customFormat="1" ht="12.75" customHeight="1">
      <c r="A95" s="88"/>
      <c r="B95" s="47"/>
      <c r="C95" s="47"/>
      <c r="D95" s="47"/>
      <c r="E95" s="47"/>
      <c r="F95" s="47"/>
      <c r="G95" s="47"/>
      <c r="H95" s="47"/>
      <c r="I95" s="68"/>
      <c r="J95" s="68"/>
      <c r="K95" s="129"/>
      <c r="L95" s="129"/>
      <c r="M95" s="129"/>
      <c r="N95" s="129"/>
      <c r="O95" s="129"/>
      <c r="P95" s="129"/>
      <c r="Q95" s="129"/>
      <c r="R95" s="130"/>
      <c r="S95" s="120"/>
      <c r="T95" s="131"/>
      <c r="U95" s="89"/>
      <c r="V95" s="103"/>
      <c r="W95" s="115"/>
      <c r="AA95" s="146"/>
      <c r="AB95" s="147"/>
      <c r="AC95" s="147"/>
      <c r="AD95" s="149"/>
      <c r="AH95" s="141"/>
      <c r="AI95" s="52"/>
      <c r="AJ95" s="122"/>
      <c r="AK95" s="56"/>
      <c r="AL95" s="56"/>
      <c r="AM95" s="56"/>
      <c r="AN95" s="56"/>
      <c r="AO95" s="56"/>
      <c r="AP95" s="56"/>
      <c r="AQ95" s="56"/>
      <c r="AR95" s="56"/>
    </row>
    <row r="96" spans="1:44" s="61" customFormat="1" ht="12.75" customHeight="1">
      <c r="A96" s="88"/>
      <c r="B96" s="47"/>
      <c r="C96" s="47"/>
      <c r="D96" s="47"/>
      <c r="E96" s="47"/>
      <c r="F96" s="47"/>
      <c r="G96" s="47"/>
      <c r="H96" s="47"/>
      <c r="I96" s="68"/>
      <c r="J96" s="68"/>
      <c r="K96" s="129"/>
      <c r="L96" s="129"/>
      <c r="M96" s="129"/>
      <c r="N96" s="129"/>
      <c r="O96" s="129"/>
      <c r="P96" s="129"/>
      <c r="Q96" s="129"/>
      <c r="R96" s="130"/>
      <c r="S96" s="120"/>
      <c r="T96" s="131"/>
      <c r="U96" s="89"/>
      <c r="V96" s="103"/>
      <c r="W96" s="115"/>
      <c r="X96" s="56"/>
      <c r="Y96" s="56"/>
      <c r="Z96" s="56"/>
      <c r="AA96" s="146"/>
      <c r="AB96" s="147"/>
      <c r="AC96" s="147"/>
      <c r="AD96" s="149"/>
      <c r="AH96" s="56"/>
      <c r="AI96" s="52"/>
      <c r="AJ96" s="122"/>
      <c r="AK96" s="56"/>
      <c r="AL96" s="56"/>
      <c r="AM96" s="56"/>
      <c r="AN96" s="56"/>
      <c r="AO96" s="56"/>
      <c r="AP96" s="56"/>
      <c r="AQ96" s="56"/>
      <c r="AR96" s="56"/>
    </row>
    <row r="97" spans="1:46" s="61" customFormat="1" ht="11.25" customHeight="1">
      <c r="A97" s="217"/>
      <c r="B97" s="47"/>
      <c r="C97" s="47"/>
      <c r="D97" s="47"/>
      <c r="E97" s="47"/>
      <c r="F97" s="47"/>
      <c r="G97" s="47"/>
      <c r="H97" s="47"/>
      <c r="I97" s="68"/>
      <c r="J97" s="68"/>
      <c r="K97" s="129"/>
      <c r="L97" s="129"/>
      <c r="M97" s="129"/>
      <c r="N97" s="129"/>
      <c r="O97" s="129"/>
      <c r="P97" s="129"/>
      <c r="Q97" s="129"/>
      <c r="R97" s="130"/>
      <c r="S97" s="120"/>
      <c r="T97" s="131"/>
      <c r="U97" s="89"/>
      <c r="V97" s="103"/>
      <c r="W97" s="115"/>
      <c r="X97" s="56"/>
      <c r="Y97" s="141"/>
      <c r="Z97" s="56"/>
      <c r="AA97" s="146"/>
      <c r="AB97" s="147"/>
      <c r="AC97" s="147"/>
      <c r="AD97" s="149"/>
      <c r="AH97" s="56"/>
      <c r="AI97" s="52"/>
      <c r="AJ97" s="122"/>
      <c r="AK97" s="56"/>
      <c r="AL97" s="56"/>
      <c r="AM97" s="56"/>
      <c r="AN97" s="56"/>
      <c r="AO97" s="56"/>
      <c r="AP97" s="56"/>
      <c r="AQ97" s="56"/>
      <c r="AR97" s="56"/>
      <c r="AS97" s="56"/>
      <c r="AT97" s="56"/>
    </row>
    <row r="98" spans="1:46" s="56" customFormat="1" ht="35.1" customHeight="1">
      <c r="A98" s="166"/>
      <c r="B98" s="47"/>
      <c r="C98" s="47"/>
      <c r="D98" s="47"/>
      <c r="E98" s="47"/>
      <c r="F98" s="47"/>
      <c r="G98" s="47"/>
      <c r="H98" s="47"/>
      <c r="I98" s="171"/>
      <c r="J98" s="133"/>
      <c r="K98" s="133"/>
      <c r="L98" s="133"/>
      <c r="M98" s="133"/>
      <c r="N98" s="133"/>
      <c r="O98" s="133"/>
      <c r="P98" s="133"/>
      <c r="Q98" s="133"/>
      <c r="R98" s="101"/>
      <c r="S98" s="133"/>
      <c r="T98" s="133"/>
      <c r="U98" s="86"/>
      <c r="V98" s="102"/>
      <c r="W98" s="114"/>
      <c r="Y98" s="141"/>
      <c r="AC98" s="147"/>
      <c r="AD98" s="149"/>
      <c r="AE98" s="52"/>
      <c r="AF98" s="52"/>
      <c r="AG98" s="52"/>
      <c r="AI98" s="52"/>
      <c r="AJ98" s="119"/>
      <c r="AK98" s="52"/>
      <c r="AL98" s="52"/>
      <c r="AM98" s="52"/>
      <c r="AN98" s="52"/>
      <c r="AO98" s="52"/>
      <c r="AP98" s="52"/>
      <c r="AQ98" s="52"/>
    </row>
    <row r="99" spans="1:46" s="56" customFormat="1" ht="36" customHeight="1">
      <c r="A99" s="166"/>
      <c r="B99" s="47"/>
      <c r="C99" s="47"/>
      <c r="D99" s="47"/>
      <c r="E99" s="47"/>
      <c r="F99" s="47"/>
      <c r="G99" s="47"/>
      <c r="H99" s="47"/>
      <c r="I99" s="171"/>
      <c r="J99" s="133"/>
      <c r="K99" s="133"/>
      <c r="L99" s="133"/>
      <c r="M99" s="133"/>
      <c r="N99" s="133"/>
      <c r="O99" s="133"/>
      <c r="P99" s="133"/>
      <c r="Q99" s="133"/>
      <c r="R99" s="101"/>
      <c r="S99" s="133"/>
      <c r="T99" s="133"/>
      <c r="U99" s="86"/>
      <c r="V99" s="102"/>
      <c r="W99" s="114"/>
      <c r="Y99" s="141"/>
      <c r="AD99" s="149"/>
      <c r="AE99" s="52"/>
      <c r="AF99" s="52"/>
      <c r="AG99" s="52"/>
      <c r="AJ99" s="122"/>
    </row>
    <row r="100" spans="1:46" s="56" customFormat="1" ht="46.5" customHeight="1">
      <c r="A100" s="166"/>
      <c r="B100" s="171"/>
      <c r="C100" s="171"/>
      <c r="D100" s="171"/>
      <c r="E100" s="171"/>
      <c r="F100" s="171"/>
      <c r="G100" s="171"/>
      <c r="H100" s="171"/>
      <c r="I100" s="171"/>
      <c r="J100" s="133"/>
      <c r="K100" s="133"/>
      <c r="L100" s="133"/>
      <c r="M100" s="133"/>
      <c r="N100" s="133"/>
      <c r="O100" s="133"/>
      <c r="P100" s="133"/>
      <c r="Q100" s="133"/>
      <c r="R100" s="101"/>
      <c r="S100" s="133"/>
      <c r="T100" s="133"/>
      <c r="U100" s="86"/>
      <c r="V100" s="121"/>
      <c r="W100" s="114"/>
      <c r="X100" s="52"/>
      <c r="Y100" s="52"/>
      <c r="AD100" s="149"/>
      <c r="AE100" s="52"/>
      <c r="AF100" s="52"/>
      <c r="AG100" s="52"/>
      <c r="AI100" s="52"/>
      <c r="AJ100" s="121"/>
      <c r="AK100" s="61"/>
    </row>
    <row r="101" spans="1:46" s="56" customFormat="1" ht="7.5" customHeight="1">
      <c r="A101" s="87"/>
      <c r="B101" s="12"/>
      <c r="C101" s="12"/>
      <c r="D101" s="11"/>
      <c r="E101" s="11"/>
      <c r="F101" s="11"/>
      <c r="G101" s="11"/>
      <c r="H101" s="11"/>
      <c r="I101" s="11"/>
      <c r="J101" s="1"/>
      <c r="K101" s="13"/>
      <c r="L101" s="13"/>
      <c r="M101" s="13"/>
      <c r="N101" s="13"/>
      <c r="O101" s="13"/>
      <c r="P101" s="13"/>
      <c r="Q101" s="13"/>
      <c r="R101" s="13"/>
      <c r="S101" s="13"/>
      <c r="T101" s="14"/>
      <c r="U101" s="86"/>
      <c r="V101" s="185"/>
      <c r="W101" s="114"/>
      <c r="X101" s="52"/>
      <c r="Y101" s="52"/>
      <c r="AI101" s="52"/>
      <c r="AJ101" s="119"/>
      <c r="AK101" s="52"/>
      <c r="AR101" s="52"/>
      <c r="AS101" s="52"/>
    </row>
    <row r="102" spans="1:46" s="56" customFormat="1" ht="15" customHeight="1">
      <c r="A102" s="1565"/>
      <c r="B102" s="1751"/>
      <c r="C102" s="1751"/>
      <c r="D102" s="1751"/>
      <c r="E102" s="1751"/>
      <c r="F102" s="1751"/>
      <c r="G102" s="1751"/>
      <c r="H102" s="1751"/>
      <c r="I102" s="1751"/>
      <c r="J102" s="1751"/>
      <c r="K102" s="1751"/>
      <c r="L102" s="1751"/>
      <c r="M102" s="1751"/>
      <c r="N102" s="1751"/>
      <c r="O102" s="1751"/>
      <c r="P102" s="1751"/>
      <c r="Q102" s="1751"/>
      <c r="R102" s="1751"/>
      <c r="S102" s="1751"/>
      <c r="T102" s="1751"/>
      <c r="U102" s="1752"/>
      <c r="V102" s="185"/>
      <c r="W102" s="114"/>
      <c r="AH102" s="52"/>
      <c r="AI102" s="52"/>
      <c r="AJ102" s="119"/>
      <c r="AK102" s="52"/>
      <c r="AR102" s="52"/>
      <c r="AS102" s="52"/>
    </row>
    <row r="103" spans="1:46" s="56" customFormat="1" ht="11.25" customHeight="1">
      <c r="A103" s="1739"/>
      <c r="B103" s="1740"/>
      <c r="C103" s="1740"/>
      <c r="D103" s="1740"/>
      <c r="E103" s="1740"/>
      <c r="F103" s="1740"/>
      <c r="G103" s="1740"/>
      <c r="H103" s="1740"/>
      <c r="I103" s="1741"/>
      <c r="J103" s="1740"/>
      <c r="K103" s="1740"/>
      <c r="L103" s="1740"/>
      <c r="M103" s="1740"/>
      <c r="N103" s="1740"/>
      <c r="O103" s="1740"/>
      <c r="P103" s="1742"/>
      <c r="Q103" s="1740"/>
      <c r="R103" s="1740"/>
      <c r="S103" s="1741"/>
      <c r="T103" s="1740"/>
      <c r="U103" s="1743"/>
      <c r="V103" s="185"/>
      <c r="W103" s="114"/>
      <c r="AH103" s="52"/>
      <c r="AI103" s="52"/>
      <c r="AJ103" s="119"/>
      <c r="AK103" s="52"/>
      <c r="AR103" s="52"/>
      <c r="AS103" s="52"/>
      <c r="AT103" s="52"/>
    </row>
    <row r="104" spans="1:46" ht="11.25" customHeight="1">
      <c r="A104" s="106"/>
      <c r="B104" s="705"/>
      <c r="C104" s="5"/>
      <c r="D104" s="5"/>
      <c r="E104" s="9"/>
      <c r="F104" s="5"/>
      <c r="G104" s="40"/>
      <c r="H104" s="554"/>
      <c r="I104" s="40"/>
      <c r="J104" s="40"/>
      <c r="K104" s="40"/>
      <c r="L104" s="40"/>
      <c r="M104" s="40"/>
      <c r="N104" s="40"/>
      <c r="O104" s="40"/>
      <c r="P104" s="40"/>
      <c r="Q104" s="40"/>
      <c r="R104" s="40"/>
      <c r="S104" s="40"/>
      <c r="T104" s="40"/>
      <c r="U104" s="40"/>
      <c r="V104" s="119"/>
      <c r="W104" s="114"/>
      <c r="AE104" s="57"/>
      <c r="AH104" s="52"/>
      <c r="AJ104" s="119"/>
    </row>
    <row r="105" spans="1:46" ht="11.25" customHeight="1">
      <c r="A105" s="106"/>
      <c r="B105" s="705"/>
      <c r="C105" s="5"/>
      <c r="D105" s="5"/>
      <c r="E105" s="9"/>
      <c r="F105" s="5"/>
      <c r="G105" s="40"/>
      <c r="H105" s="554"/>
      <c r="I105" s="40"/>
      <c r="J105" s="40"/>
      <c r="K105" s="40"/>
      <c r="L105" s="40"/>
      <c r="M105" s="40"/>
      <c r="N105" s="40"/>
      <c r="O105" s="40"/>
      <c r="P105" s="40"/>
      <c r="Q105" s="40"/>
      <c r="R105" s="40"/>
      <c r="S105" s="40"/>
      <c r="T105" s="40"/>
      <c r="U105" s="40"/>
      <c r="V105" s="119"/>
      <c r="W105" s="114"/>
      <c r="AE105" s="57"/>
      <c r="AH105" s="52"/>
      <c r="AJ105" s="119"/>
    </row>
    <row r="106" spans="1:46" ht="11.25" customHeight="1">
      <c r="A106" s="106"/>
      <c r="B106" s="1317"/>
      <c r="C106" s="5"/>
      <c r="D106" s="5"/>
      <c r="E106" s="9"/>
      <c r="F106" s="5"/>
      <c r="G106" s="40"/>
      <c r="H106" s="554"/>
      <c r="I106" s="40"/>
      <c r="J106" s="40"/>
      <c r="K106" s="40"/>
      <c r="L106" s="40"/>
      <c r="M106" s="40"/>
      <c r="N106" s="40"/>
      <c r="O106" s="40"/>
      <c r="P106" s="40"/>
      <c r="Q106" s="40"/>
      <c r="R106" s="40"/>
      <c r="S106" s="40"/>
      <c r="T106" s="40"/>
      <c r="U106" s="40"/>
      <c r="V106" s="119"/>
      <c r="W106" s="114"/>
      <c r="AE106" s="57"/>
      <c r="AH106" s="52"/>
      <c r="AJ106" s="119"/>
    </row>
    <row r="107" spans="1:46" ht="11.25" customHeight="1">
      <c r="A107" s="106"/>
      <c r="B107" s="1318"/>
      <c r="C107" s="5"/>
      <c r="D107" s="5"/>
      <c r="E107" s="9"/>
      <c r="F107" s="2"/>
      <c r="G107" s="554"/>
      <c r="H107" s="554"/>
      <c r="I107" s="40"/>
      <c r="J107" s="40"/>
      <c r="K107" s="40"/>
      <c r="L107" s="40"/>
      <c r="M107" s="40"/>
      <c r="N107" s="40"/>
      <c r="O107" s="40"/>
      <c r="P107" s="40"/>
      <c r="Q107" s="40"/>
      <c r="R107" s="40"/>
      <c r="S107" s="40"/>
      <c r="T107" s="40"/>
      <c r="U107" s="40"/>
      <c r="V107" s="119"/>
      <c r="W107" s="114"/>
      <c r="AE107" s="57"/>
      <c r="AH107" s="52"/>
      <c r="AJ107" s="119"/>
    </row>
    <row r="108" spans="1:46" ht="11.25" customHeight="1">
      <c r="A108" s="106"/>
      <c r="B108" s="420"/>
      <c r="C108" s="420"/>
      <c r="D108" s="420"/>
      <c r="E108" s="420"/>
      <c r="F108" s="420"/>
      <c r="G108" s="420"/>
      <c r="H108" s="554"/>
      <c r="I108" s="40"/>
      <c r="J108" s="40"/>
      <c r="K108" s="40"/>
      <c r="L108" s="40"/>
      <c r="M108" s="40"/>
      <c r="N108" s="40"/>
      <c r="O108" s="40"/>
      <c r="P108" s="40"/>
      <c r="Q108" s="40"/>
      <c r="R108" s="40"/>
      <c r="S108" s="40"/>
      <c r="T108" s="40"/>
      <c r="U108" s="40"/>
      <c r="V108" s="119"/>
      <c r="W108" s="114"/>
      <c r="AE108" s="57"/>
      <c r="AH108" s="52"/>
      <c r="AJ108" s="119"/>
    </row>
    <row r="109" spans="1:46" ht="11.25" customHeight="1">
      <c r="A109" s="106"/>
      <c r="B109" s="420"/>
      <c r="C109" s="420"/>
      <c r="D109" s="420"/>
      <c r="E109" s="420"/>
      <c r="F109" s="420"/>
      <c r="G109" s="420"/>
      <c r="H109" s="554"/>
      <c r="I109" s="40"/>
      <c r="J109" s="40"/>
      <c r="K109" s="40"/>
      <c r="L109" s="40"/>
      <c r="M109" s="40"/>
      <c r="N109" s="40"/>
      <c r="O109" s="40"/>
      <c r="P109" s="40"/>
      <c r="Q109" s="40"/>
      <c r="R109" s="40"/>
      <c r="S109" s="40"/>
      <c r="T109" s="40"/>
      <c r="U109" s="40"/>
      <c r="V109" s="119"/>
      <c r="W109" s="114"/>
      <c r="AE109" s="57"/>
      <c r="AH109" s="52"/>
      <c r="AJ109" s="119"/>
    </row>
    <row r="110" spans="1:46" ht="11.25" customHeight="1">
      <c r="A110" s="106"/>
      <c r="B110" s="420"/>
      <c r="C110" s="420"/>
      <c r="D110" s="420"/>
      <c r="E110" s="420"/>
      <c r="F110" s="420"/>
      <c r="G110" s="420"/>
      <c r="H110" s="554"/>
      <c r="I110" s="40"/>
      <c r="J110" s="40"/>
      <c r="K110" s="40"/>
      <c r="L110" s="40"/>
      <c r="M110" s="40"/>
      <c r="N110" s="40"/>
      <c r="O110" s="40"/>
      <c r="P110" s="40"/>
      <c r="Q110" s="40"/>
      <c r="R110" s="40"/>
      <c r="S110" s="40"/>
      <c r="T110" s="40"/>
      <c r="U110" s="40"/>
      <c r="V110" s="119"/>
      <c r="W110" s="116"/>
      <c r="AE110" s="57"/>
      <c r="AH110" s="52"/>
      <c r="AJ110" s="119"/>
    </row>
    <row r="111" spans="1:46" ht="11.25" customHeight="1">
      <c r="A111" s="106"/>
      <c r="B111" s="420"/>
      <c r="C111" s="420"/>
      <c r="D111" s="420"/>
      <c r="E111" s="420"/>
      <c r="F111" s="420"/>
      <c r="G111" s="420"/>
      <c r="H111" s="554"/>
      <c r="I111" s="40"/>
      <c r="J111" s="40"/>
      <c r="K111" s="40"/>
      <c r="L111" s="40"/>
      <c r="M111" s="40"/>
      <c r="N111" s="40"/>
      <c r="O111" s="40"/>
      <c r="P111" s="40"/>
      <c r="Q111" s="40"/>
      <c r="R111" s="40"/>
      <c r="S111" s="40"/>
      <c r="T111" s="40"/>
      <c r="U111" s="40"/>
      <c r="V111" s="119"/>
      <c r="W111" s="114"/>
      <c r="AE111" s="57"/>
      <c r="AH111" s="52"/>
      <c r="AJ111" s="119"/>
      <c r="AK111" s="119"/>
    </row>
    <row r="112" spans="1:46" ht="11.25" customHeight="1">
      <c r="A112" s="106"/>
      <c r="B112" s="420"/>
      <c r="C112" s="420"/>
      <c r="D112" s="420"/>
      <c r="E112" s="420"/>
      <c r="F112" s="420"/>
      <c r="G112" s="420"/>
      <c r="H112" s="554"/>
      <c r="I112" s="40"/>
      <c r="J112" s="40"/>
      <c r="K112" s="40"/>
      <c r="L112" s="40"/>
      <c r="M112" s="40"/>
      <c r="N112" s="40"/>
      <c r="O112" s="40"/>
      <c r="P112" s="40"/>
      <c r="Q112" s="40"/>
      <c r="R112" s="40"/>
      <c r="S112" s="40"/>
      <c r="T112" s="40"/>
      <c r="U112" s="40"/>
      <c r="V112" s="119"/>
      <c r="W112" s="114"/>
      <c r="Z112" s="52"/>
      <c r="AE112" s="57"/>
      <c r="AH112" s="52"/>
      <c r="AJ112" s="119"/>
      <c r="AK112" s="119"/>
    </row>
    <row r="113" spans="1:37" ht="11.25" customHeight="1">
      <c r="A113" s="106"/>
      <c r="B113" s="420"/>
      <c r="C113" s="420"/>
      <c r="D113" s="420"/>
      <c r="E113" s="420"/>
      <c r="F113" s="420"/>
      <c r="G113" s="420"/>
      <c r="H113" s="554"/>
      <c r="I113" s="40"/>
      <c r="J113" s="40"/>
      <c r="K113" s="40"/>
      <c r="L113" s="40"/>
      <c r="M113" s="40"/>
      <c r="N113" s="40"/>
      <c r="O113" s="40"/>
      <c r="P113" s="40"/>
      <c r="Q113" s="40"/>
      <c r="R113" s="40"/>
      <c r="S113" s="40"/>
      <c r="T113" s="40"/>
      <c r="U113" s="40"/>
      <c r="V113" s="119"/>
      <c r="W113" s="114"/>
      <c r="Z113" s="52"/>
      <c r="AE113" s="57"/>
      <c r="AH113" s="52"/>
      <c r="AJ113" s="119"/>
      <c r="AK113" s="119"/>
    </row>
    <row r="114" spans="1:37" ht="11.25" customHeight="1">
      <c r="A114" s="106"/>
      <c r="B114" s="420"/>
      <c r="C114" s="420"/>
      <c r="D114" s="420"/>
      <c r="E114" s="420"/>
      <c r="F114" s="420"/>
      <c r="G114" s="420"/>
      <c r="H114" s="554"/>
      <c r="I114" s="40"/>
      <c r="J114" s="40"/>
      <c r="K114" s="40"/>
      <c r="L114" s="40"/>
      <c r="M114" s="40"/>
      <c r="N114" s="40"/>
      <c r="O114" s="40"/>
      <c r="P114" s="40"/>
      <c r="Q114" s="40"/>
      <c r="R114" s="40"/>
      <c r="S114" s="40"/>
      <c r="T114" s="40"/>
      <c r="U114" s="40"/>
      <c r="V114" s="119"/>
      <c r="W114" s="114"/>
      <c r="Z114" s="52"/>
      <c r="AA114" s="52"/>
      <c r="AE114" s="57"/>
      <c r="AH114" s="52"/>
      <c r="AJ114" s="119"/>
      <c r="AK114" s="119"/>
    </row>
    <row r="115" spans="1:37" ht="11.25" customHeight="1">
      <c r="A115" s="106"/>
      <c r="B115" s="420"/>
      <c r="C115" s="420"/>
      <c r="D115" s="420"/>
      <c r="E115" s="420"/>
      <c r="F115" s="420"/>
      <c r="G115" s="420"/>
      <c r="H115" s="554"/>
      <c r="I115" s="40"/>
      <c r="J115" s="40"/>
      <c r="K115" s="40"/>
      <c r="L115" s="40"/>
      <c r="M115" s="40"/>
      <c r="N115" s="40"/>
      <c r="O115" s="40"/>
      <c r="P115" s="40"/>
      <c r="Q115" s="40"/>
      <c r="R115" s="40"/>
      <c r="S115" s="40"/>
      <c r="T115" s="40"/>
      <c r="U115" s="40"/>
      <c r="V115" s="119"/>
      <c r="W115" s="114"/>
      <c r="Z115" s="52"/>
      <c r="AA115" s="52"/>
      <c r="AE115" s="57"/>
      <c r="AH115" s="52"/>
      <c r="AJ115" s="119"/>
      <c r="AK115" s="119"/>
    </row>
    <row r="116" spans="1:37" ht="11.25" customHeight="1">
      <c r="A116" s="106"/>
      <c r="B116" s="420"/>
      <c r="C116" s="420"/>
      <c r="D116" s="420"/>
      <c r="E116" s="420"/>
      <c r="F116" s="420"/>
      <c r="G116" s="420"/>
      <c r="H116" s="554"/>
      <c r="I116" s="40"/>
      <c r="J116" s="40"/>
      <c r="K116" s="40"/>
      <c r="L116" s="40"/>
      <c r="M116" s="40"/>
      <c r="N116" s="40"/>
      <c r="O116" s="40"/>
      <c r="P116" s="40"/>
      <c r="Q116" s="40"/>
      <c r="R116" s="40"/>
      <c r="S116" s="40"/>
      <c r="T116" s="40"/>
      <c r="U116" s="40"/>
      <c r="V116" s="119"/>
      <c r="W116" s="114"/>
      <c r="Z116" s="52"/>
      <c r="AA116" s="52"/>
      <c r="AE116" s="57"/>
      <c r="AH116" s="52"/>
      <c r="AJ116" s="119"/>
      <c r="AK116" s="119"/>
    </row>
    <row r="117" spans="1:37" ht="11.25" customHeight="1">
      <c r="A117" s="106"/>
      <c r="B117" s="420"/>
      <c r="C117" s="420"/>
      <c r="D117" s="420"/>
      <c r="E117" s="420"/>
      <c r="F117" s="420"/>
      <c r="G117" s="420"/>
      <c r="H117" s="554"/>
      <c r="I117" s="40"/>
      <c r="J117" s="40"/>
      <c r="K117" s="40"/>
      <c r="L117" s="40"/>
      <c r="M117" s="40"/>
      <c r="N117" s="40"/>
      <c r="O117" s="40"/>
      <c r="P117" s="40"/>
      <c r="Q117" s="40"/>
      <c r="R117" s="40"/>
      <c r="S117" s="40"/>
      <c r="T117" s="40"/>
      <c r="U117" s="40"/>
      <c r="V117" s="119"/>
      <c r="W117" s="114"/>
      <c r="Z117" s="52"/>
      <c r="AA117" s="52"/>
      <c r="AE117" s="57"/>
      <c r="AH117" s="52"/>
      <c r="AJ117" s="119"/>
    </row>
    <row r="118" spans="1:37" ht="11.25" customHeight="1">
      <c r="A118" s="106"/>
      <c r="B118" s="420"/>
      <c r="C118" s="420"/>
      <c r="D118" s="420"/>
      <c r="E118" s="420"/>
      <c r="F118" s="420"/>
      <c r="G118" s="420"/>
      <c r="H118" s="554"/>
      <c r="I118" s="40"/>
      <c r="J118" s="40"/>
      <c r="K118" s="40"/>
      <c r="L118" s="40"/>
      <c r="M118" s="40"/>
      <c r="N118" s="40"/>
      <c r="O118" s="40"/>
      <c r="P118" s="40"/>
      <c r="Q118" s="40"/>
      <c r="R118" s="40"/>
      <c r="S118" s="40"/>
      <c r="T118" s="40"/>
      <c r="U118" s="40"/>
      <c r="V118" s="119"/>
      <c r="W118" s="114"/>
      <c r="AA118" s="52"/>
      <c r="AE118" s="57"/>
      <c r="AH118" s="52"/>
      <c r="AJ118" s="119"/>
    </row>
    <row r="119" spans="1:37" ht="11.25" customHeight="1">
      <c r="A119" s="106"/>
      <c r="B119" s="420"/>
      <c r="C119" s="420"/>
      <c r="D119" s="420"/>
      <c r="E119" s="420"/>
      <c r="F119" s="420"/>
      <c r="G119" s="420"/>
      <c r="H119" s="554"/>
      <c r="I119" s="40"/>
      <c r="J119" s="40"/>
      <c r="K119" s="40"/>
      <c r="L119" s="40"/>
      <c r="M119" s="40"/>
      <c r="N119" s="40"/>
      <c r="O119" s="40"/>
      <c r="P119" s="40"/>
      <c r="Q119" s="40"/>
      <c r="R119" s="40"/>
      <c r="S119" s="40"/>
      <c r="T119" s="40"/>
      <c r="U119" s="40"/>
      <c r="V119" s="119"/>
      <c r="W119" s="114"/>
      <c r="AA119" s="52"/>
      <c r="AE119" s="57"/>
      <c r="AH119" s="52"/>
      <c r="AJ119" s="119"/>
    </row>
    <row r="120" spans="1:37" ht="11.25" customHeight="1">
      <c r="A120" s="106"/>
      <c r="B120" s="420"/>
      <c r="C120" s="420"/>
      <c r="D120" s="420"/>
      <c r="E120" s="420"/>
      <c r="F120" s="420"/>
      <c r="G120" s="420"/>
      <c r="H120" s="554"/>
      <c r="I120" s="40"/>
      <c r="J120" s="40"/>
      <c r="K120" s="40"/>
      <c r="L120" s="40"/>
      <c r="M120" s="40"/>
      <c r="N120" s="40"/>
      <c r="O120" s="40"/>
      <c r="P120" s="40"/>
      <c r="Q120" s="40"/>
      <c r="R120" s="40"/>
      <c r="S120" s="40"/>
      <c r="T120" s="40"/>
      <c r="U120" s="40"/>
      <c r="V120" s="119"/>
      <c r="W120" s="114"/>
      <c r="AE120" s="57"/>
      <c r="AH120" s="52"/>
      <c r="AJ120" s="119"/>
    </row>
    <row r="121" spans="1:37" ht="11.25" customHeight="1">
      <c r="A121" s="106"/>
      <c r="B121" s="420"/>
      <c r="C121" s="420"/>
      <c r="D121" s="420"/>
      <c r="E121" s="420"/>
      <c r="F121" s="420"/>
      <c r="G121" s="420"/>
      <c r="H121" s="554"/>
      <c r="I121" s="40"/>
      <c r="J121" s="40"/>
      <c r="K121" s="40"/>
      <c r="L121" s="40"/>
      <c r="M121" s="40"/>
      <c r="N121" s="40"/>
      <c r="O121" s="40"/>
      <c r="P121" s="40"/>
      <c r="Q121" s="40"/>
      <c r="R121" s="40"/>
      <c r="S121" s="40"/>
      <c r="T121" s="40"/>
      <c r="U121" s="40"/>
      <c r="V121" s="119"/>
      <c r="W121" s="114"/>
      <c r="AE121" s="57"/>
      <c r="AH121" s="52"/>
      <c r="AJ121" s="119"/>
    </row>
    <row r="122" spans="1:37" ht="11.25" customHeight="1">
      <c r="A122" s="106"/>
      <c r="B122" s="420"/>
      <c r="C122" s="420"/>
      <c r="D122" s="420"/>
      <c r="E122" s="420"/>
      <c r="F122" s="420"/>
      <c r="G122" s="420"/>
      <c r="H122" s="554"/>
      <c r="I122" s="40"/>
      <c r="J122" s="40"/>
      <c r="K122" s="40"/>
      <c r="L122" s="40"/>
      <c r="M122" s="40"/>
      <c r="N122" s="40"/>
      <c r="O122" s="40"/>
      <c r="P122" s="40"/>
      <c r="Q122" s="40"/>
      <c r="R122" s="40"/>
      <c r="S122" s="40"/>
      <c r="T122" s="40"/>
      <c r="U122" s="40"/>
      <c r="V122" s="119"/>
      <c r="W122" s="114"/>
      <c r="AE122" s="57"/>
      <c r="AH122" s="52"/>
      <c r="AJ122" s="119"/>
    </row>
    <row r="123" spans="1:37" ht="11.25" customHeight="1">
      <c r="A123" s="106"/>
      <c r="B123" s="420"/>
      <c r="C123" s="420"/>
      <c r="D123" s="420"/>
      <c r="E123" s="420"/>
      <c r="F123" s="420"/>
      <c r="G123" s="420"/>
      <c r="H123" s="554"/>
      <c r="I123" s="40"/>
      <c r="J123" s="40"/>
      <c r="K123" s="40"/>
      <c r="L123" s="40"/>
      <c r="M123" s="40"/>
      <c r="N123" s="40"/>
      <c r="O123" s="40"/>
      <c r="P123" s="40"/>
      <c r="Q123" s="40"/>
      <c r="R123" s="40"/>
      <c r="S123" s="40"/>
      <c r="T123" s="40"/>
      <c r="U123" s="40"/>
      <c r="V123" s="119"/>
      <c r="W123" s="114"/>
      <c r="AE123" s="57"/>
      <c r="AH123" s="52"/>
      <c r="AJ123" s="119"/>
    </row>
    <row r="124" spans="1:37" ht="11.25" customHeight="1">
      <c r="A124" s="106"/>
      <c r="B124" s="420"/>
      <c r="C124" s="420"/>
      <c r="D124" s="420"/>
      <c r="E124" s="420"/>
      <c r="F124" s="420"/>
      <c r="G124" s="420"/>
      <c r="H124" s="554"/>
      <c r="I124" s="40"/>
      <c r="J124" s="40"/>
      <c r="K124" s="40"/>
      <c r="L124" s="40"/>
      <c r="M124" s="40"/>
      <c r="N124" s="40"/>
      <c r="O124" s="40"/>
      <c r="P124" s="40"/>
      <c r="Q124" s="40"/>
      <c r="R124" s="40"/>
      <c r="S124" s="40"/>
      <c r="T124" s="40"/>
      <c r="U124" s="40"/>
      <c r="V124" s="119"/>
      <c r="W124" s="114"/>
      <c r="AE124" s="57"/>
      <c r="AH124" s="52"/>
      <c r="AJ124" s="119"/>
    </row>
    <row r="125" spans="1:37" ht="11.25" customHeight="1">
      <c r="A125" s="106"/>
      <c r="B125" s="420"/>
      <c r="C125" s="420"/>
      <c r="D125" s="420"/>
      <c r="E125" s="420"/>
      <c r="F125" s="420"/>
      <c r="G125" s="420"/>
      <c r="H125" s="554"/>
      <c r="I125" s="40"/>
      <c r="J125" s="40"/>
      <c r="K125" s="40"/>
      <c r="L125" s="40"/>
      <c r="M125" s="40"/>
      <c r="N125" s="40"/>
      <c r="O125" s="40"/>
      <c r="P125" s="40"/>
      <c r="Q125" s="40"/>
      <c r="R125" s="40"/>
      <c r="S125" s="40"/>
      <c r="T125" s="40"/>
      <c r="U125" s="40"/>
      <c r="V125" s="119"/>
      <c r="W125" s="114"/>
      <c r="AE125" s="57"/>
      <c r="AH125" s="52"/>
      <c r="AJ125" s="119"/>
    </row>
    <row r="126" spans="1:37" ht="11.25" customHeight="1">
      <c r="A126" s="106"/>
      <c r="B126" s="420"/>
      <c r="C126" s="420"/>
      <c r="D126" s="420"/>
      <c r="E126" s="420"/>
      <c r="F126" s="420"/>
      <c r="G126" s="420"/>
      <c r="H126" s="554"/>
      <c r="I126" s="40"/>
      <c r="J126" s="40"/>
      <c r="K126" s="40"/>
      <c r="L126" s="40"/>
      <c r="M126" s="40"/>
      <c r="N126" s="40"/>
      <c r="O126" s="40"/>
      <c r="P126" s="40"/>
      <c r="Q126" s="40"/>
      <c r="R126" s="40"/>
      <c r="S126" s="40"/>
      <c r="T126" s="40"/>
      <c r="U126" s="40"/>
      <c r="V126" s="119"/>
      <c r="W126" s="114"/>
      <c r="AE126" s="57"/>
      <c r="AH126" s="52"/>
      <c r="AJ126" s="119"/>
    </row>
    <row r="127" spans="1:37" ht="11.25" customHeight="1">
      <c r="A127" s="106"/>
      <c r="B127" s="420"/>
      <c r="C127" s="420"/>
      <c r="D127" s="420"/>
      <c r="E127" s="420"/>
      <c r="F127" s="420"/>
      <c r="G127" s="420"/>
      <c r="H127" s="554"/>
      <c r="I127" s="40"/>
      <c r="J127" s="40"/>
      <c r="K127" s="40"/>
      <c r="L127" s="40"/>
      <c r="M127" s="40"/>
      <c r="N127" s="40"/>
      <c r="O127" s="40"/>
      <c r="P127" s="40"/>
      <c r="Q127" s="40"/>
      <c r="R127" s="40"/>
      <c r="S127" s="40"/>
      <c r="T127" s="40"/>
      <c r="U127" s="40"/>
      <c r="V127" s="119"/>
      <c r="W127" s="114"/>
      <c r="AE127" s="57"/>
      <c r="AH127" s="52"/>
      <c r="AJ127" s="119"/>
    </row>
    <row r="128" spans="1:37" ht="11.25" customHeight="1">
      <c r="A128" s="106"/>
      <c r="B128" s="420"/>
      <c r="C128" s="420"/>
      <c r="D128" s="420"/>
      <c r="E128" s="420"/>
      <c r="F128" s="420"/>
      <c r="G128" s="420"/>
      <c r="H128" s="554"/>
      <c r="I128" s="40"/>
      <c r="J128" s="40"/>
      <c r="K128" s="40"/>
      <c r="L128" s="40"/>
      <c r="M128" s="40"/>
      <c r="N128" s="40"/>
      <c r="O128" s="40"/>
      <c r="P128" s="40"/>
      <c r="Q128" s="40"/>
      <c r="R128" s="40"/>
      <c r="S128" s="40"/>
      <c r="T128" s="40"/>
      <c r="U128" s="40"/>
      <c r="V128" s="119"/>
      <c r="W128" s="114"/>
      <c r="AE128" s="57"/>
      <c r="AH128" s="52"/>
      <c r="AJ128" s="119"/>
    </row>
    <row r="129" spans="1:36" ht="11.25" customHeight="1">
      <c r="A129" s="106"/>
      <c r="B129" s="420"/>
      <c r="C129" s="420"/>
      <c r="D129" s="420"/>
      <c r="E129" s="420"/>
      <c r="F129" s="420"/>
      <c r="G129" s="420"/>
      <c r="H129" s="554"/>
      <c r="I129" s="40"/>
      <c r="J129" s="40"/>
      <c r="K129" s="40"/>
      <c r="L129" s="40"/>
      <c r="M129" s="40"/>
      <c r="N129" s="40"/>
      <c r="O129" s="40"/>
      <c r="P129" s="40"/>
      <c r="Q129" s="40"/>
      <c r="R129" s="40"/>
      <c r="S129" s="40"/>
      <c r="T129" s="40"/>
      <c r="U129" s="40"/>
      <c r="V129" s="119"/>
      <c r="W129" s="114"/>
      <c r="AE129" s="57"/>
      <c r="AH129" s="52"/>
      <c r="AJ129" s="119"/>
    </row>
    <row r="130" spans="1:36" ht="11.25" customHeight="1">
      <c r="A130" s="106"/>
      <c r="B130" s="420"/>
      <c r="C130" s="420"/>
      <c r="D130" s="420"/>
      <c r="E130" s="420"/>
      <c r="F130" s="420"/>
      <c r="G130" s="420"/>
      <c r="H130" s="554"/>
      <c r="I130" s="40"/>
      <c r="J130" s="40"/>
      <c r="K130" s="40"/>
      <c r="L130" s="40"/>
      <c r="M130" s="40"/>
      <c r="N130" s="40"/>
      <c r="O130" s="40"/>
      <c r="P130" s="40"/>
      <c r="Q130" s="40"/>
      <c r="R130" s="40"/>
      <c r="S130" s="40"/>
      <c r="T130" s="40"/>
      <c r="U130" s="40"/>
      <c r="V130" s="119"/>
      <c r="W130" s="114"/>
      <c r="AE130" s="57"/>
      <c r="AH130" s="52"/>
      <c r="AJ130" s="119"/>
    </row>
    <row r="131" spans="1:36" ht="11.25" customHeight="1">
      <c r="A131" s="106"/>
      <c r="B131" s="420"/>
      <c r="C131" s="420"/>
      <c r="D131" s="420"/>
      <c r="E131" s="420"/>
      <c r="F131" s="420"/>
      <c r="G131" s="420"/>
      <c r="H131" s="554"/>
      <c r="I131" s="40"/>
      <c r="J131" s="40"/>
      <c r="K131" s="40"/>
      <c r="L131" s="40"/>
      <c r="M131" s="40"/>
      <c r="N131" s="40"/>
      <c r="O131" s="40"/>
      <c r="P131" s="40"/>
      <c r="Q131" s="40"/>
      <c r="R131" s="40"/>
      <c r="S131" s="40"/>
      <c r="T131" s="40"/>
      <c r="U131" s="40"/>
      <c r="V131" s="119"/>
      <c r="W131" s="114"/>
      <c r="AE131" s="57"/>
      <c r="AH131" s="52"/>
      <c r="AJ131" s="119"/>
    </row>
    <row r="132" spans="1:36" ht="11.25" customHeight="1">
      <c r="A132" s="106"/>
      <c r="B132" s="420"/>
      <c r="C132" s="420"/>
      <c r="D132" s="420"/>
      <c r="E132" s="420"/>
      <c r="F132" s="420"/>
      <c r="G132" s="420"/>
      <c r="H132" s="554"/>
      <c r="I132" s="40"/>
      <c r="J132" s="40"/>
      <c r="K132" s="40"/>
      <c r="L132" s="40"/>
      <c r="M132" s="40"/>
      <c r="N132" s="40"/>
      <c r="O132" s="40"/>
      <c r="P132" s="40"/>
      <c r="Q132" s="40"/>
      <c r="R132" s="40"/>
      <c r="S132" s="40"/>
      <c r="T132" s="40"/>
      <c r="U132" s="40"/>
      <c r="V132" s="119"/>
      <c r="W132" s="114"/>
      <c r="AE132" s="57"/>
      <c r="AH132" s="52"/>
      <c r="AJ132" s="119"/>
    </row>
    <row r="133" spans="1:36" ht="11.25" customHeight="1">
      <c r="A133" s="106"/>
      <c r="B133" s="420"/>
      <c r="C133" s="420"/>
      <c r="D133" s="420"/>
      <c r="E133" s="420"/>
      <c r="F133" s="420"/>
      <c r="G133" s="420"/>
      <c r="H133" s="554"/>
      <c r="I133" s="40"/>
      <c r="J133" s="40"/>
      <c r="K133" s="40"/>
      <c r="L133" s="40"/>
      <c r="M133" s="40"/>
      <c r="N133" s="40"/>
      <c r="O133" s="40"/>
      <c r="P133" s="40"/>
      <c r="Q133" s="40"/>
      <c r="R133" s="40"/>
      <c r="S133" s="40"/>
      <c r="T133" s="40"/>
      <c r="U133" s="40"/>
      <c r="V133" s="119"/>
      <c r="W133" s="114"/>
      <c r="AE133" s="57"/>
      <c r="AH133" s="52"/>
      <c r="AJ133" s="119"/>
    </row>
    <row r="134" spans="1:36" ht="11.25" customHeight="1">
      <c r="A134" s="106"/>
      <c r="B134" s="420"/>
      <c r="C134" s="420"/>
      <c r="D134" s="420"/>
      <c r="E134" s="420"/>
      <c r="F134" s="420"/>
      <c r="G134" s="420"/>
      <c r="H134" s="554"/>
      <c r="I134" s="40"/>
      <c r="J134" s="40"/>
      <c r="K134" s="40"/>
      <c r="L134" s="40"/>
      <c r="M134" s="40"/>
      <c r="N134" s="40"/>
      <c r="O134" s="40"/>
      <c r="P134" s="40"/>
      <c r="Q134" s="40"/>
      <c r="R134" s="40"/>
      <c r="S134" s="40"/>
      <c r="T134" s="40"/>
      <c r="U134" s="40"/>
      <c r="V134" s="119"/>
      <c r="W134" s="114"/>
      <c r="AE134" s="57"/>
      <c r="AH134" s="52"/>
      <c r="AJ134" s="119"/>
    </row>
    <row r="135" spans="1:36" ht="11.25" customHeight="1">
      <c r="A135" s="106"/>
      <c r="B135" s="420"/>
      <c r="C135" s="420"/>
      <c r="D135" s="420"/>
      <c r="E135" s="420"/>
      <c r="F135" s="420"/>
      <c r="G135" s="420"/>
      <c r="H135" s="554"/>
      <c r="I135" s="40"/>
      <c r="J135" s="40"/>
      <c r="K135" s="40"/>
      <c r="L135" s="40"/>
      <c r="M135" s="40"/>
      <c r="N135" s="40"/>
      <c r="O135" s="40"/>
      <c r="P135" s="40"/>
      <c r="Q135" s="40"/>
      <c r="R135" s="40"/>
      <c r="S135" s="40"/>
      <c r="T135" s="40"/>
      <c r="U135" s="40"/>
      <c r="V135" s="119"/>
      <c r="W135" s="114"/>
      <c r="AE135" s="57"/>
      <c r="AH135" s="52"/>
      <c r="AJ135" s="119"/>
    </row>
    <row r="136" spans="1:36" ht="11.25" customHeight="1">
      <c r="A136" s="106"/>
      <c r="B136" s="420"/>
      <c r="C136" s="420"/>
      <c r="D136" s="420"/>
      <c r="E136" s="420"/>
      <c r="F136" s="420"/>
      <c r="G136" s="420"/>
      <c r="H136" s="554"/>
      <c r="I136" s="40"/>
      <c r="J136" s="40"/>
      <c r="K136" s="40"/>
      <c r="L136" s="40"/>
      <c r="M136" s="40"/>
      <c r="N136" s="40"/>
      <c r="O136" s="40"/>
      <c r="P136" s="40"/>
      <c r="Q136" s="40"/>
      <c r="R136" s="40"/>
      <c r="S136" s="40"/>
      <c r="T136" s="40"/>
      <c r="U136" s="40"/>
      <c r="V136" s="119"/>
      <c r="W136" s="114"/>
      <c r="AE136" s="57"/>
      <c r="AH136" s="52"/>
      <c r="AJ136" s="119"/>
    </row>
    <row r="137" spans="1:36" ht="11.25" customHeight="1">
      <c r="A137" s="106"/>
      <c r="B137" s="420"/>
      <c r="C137" s="420"/>
      <c r="D137" s="420"/>
      <c r="E137" s="420"/>
      <c r="F137" s="420"/>
      <c r="G137" s="420"/>
      <c r="H137" s="554"/>
      <c r="I137" s="40"/>
      <c r="J137" s="40"/>
      <c r="K137" s="40"/>
      <c r="L137" s="40"/>
      <c r="M137" s="40"/>
      <c r="N137" s="40"/>
      <c r="O137" s="40"/>
      <c r="P137" s="40"/>
      <c r="Q137" s="40"/>
      <c r="R137" s="40"/>
      <c r="S137" s="40"/>
      <c r="T137" s="40"/>
      <c r="U137" s="40"/>
      <c r="V137" s="119"/>
      <c r="W137" s="114"/>
      <c r="AE137" s="57"/>
      <c r="AH137" s="52"/>
      <c r="AJ137" s="119"/>
    </row>
    <row r="138" spans="1:36" ht="11.25" customHeight="1">
      <c r="A138" s="106"/>
      <c r="B138" s="420"/>
      <c r="C138" s="420"/>
      <c r="D138" s="420"/>
      <c r="E138" s="420"/>
      <c r="F138" s="420"/>
      <c r="G138" s="420"/>
      <c r="H138" s="554"/>
      <c r="I138" s="40"/>
      <c r="J138" s="40"/>
      <c r="K138" s="40"/>
      <c r="L138" s="40"/>
      <c r="M138" s="40"/>
      <c r="N138" s="40"/>
      <c r="O138" s="40"/>
      <c r="P138" s="40"/>
      <c r="Q138" s="40"/>
      <c r="R138" s="40"/>
      <c r="S138" s="40"/>
      <c r="T138" s="40"/>
      <c r="U138" s="40"/>
      <c r="V138" s="119"/>
      <c r="W138" s="114"/>
      <c r="AE138" s="57"/>
      <c r="AH138" s="52"/>
      <c r="AJ138" s="119"/>
    </row>
    <row r="139" spans="1:36" ht="11.25" customHeight="1">
      <c r="A139" s="106"/>
      <c r="B139" s="420"/>
      <c r="C139" s="420"/>
      <c r="D139" s="420"/>
      <c r="E139" s="420"/>
      <c r="F139" s="420"/>
      <c r="G139" s="420"/>
      <c r="H139" s="554"/>
      <c r="I139" s="40"/>
      <c r="J139" s="40"/>
      <c r="K139" s="40"/>
      <c r="L139" s="40"/>
      <c r="M139" s="40"/>
      <c r="N139" s="40"/>
      <c r="O139" s="40"/>
      <c r="P139" s="40"/>
      <c r="Q139" s="40"/>
      <c r="R139" s="40"/>
      <c r="S139" s="40"/>
      <c r="T139" s="40"/>
      <c r="U139" s="40"/>
      <c r="V139" s="119"/>
      <c r="W139" s="114"/>
      <c r="AE139" s="57"/>
      <c r="AH139" s="52"/>
      <c r="AJ139" s="119"/>
    </row>
    <row r="140" spans="1:36" ht="11.25" customHeight="1">
      <c r="A140" s="106"/>
      <c r="B140" s="420"/>
      <c r="C140" s="420"/>
      <c r="D140" s="420"/>
      <c r="E140" s="420"/>
      <c r="F140" s="420"/>
      <c r="G140" s="420"/>
      <c r="H140" s="554"/>
      <c r="I140" s="40"/>
      <c r="J140" s="40"/>
      <c r="K140" s="40"/>
      <c r="L140" s="40"/>
      <c r="M140" s="40"/>
      <c r="N140" s="40"/>
      <c r="O140" s="40"/>
      <c r="P140" s="40"/>
      <c r="Q140" s="40"/>
      <c r="R140" s="40"/>
      <c r="S140" s="40"/>
      <c r="T140" s="40"/>
      <c r="U140" s="40"/>
      <c r="V140" s="119"/>
      <c r="W140" s="114"/>
      <c r="AE140" s="57"/>
      <c r="AH140" s="52"/>
      <c r="AJ140" s="119"/>
    </row>
    <row r="141" spans="1:36" ht="11.25" customHeight="1">
      <c r="A141" s="711"/>
      <c r="B141" s="712"/>
      <c r="C141" s="713"/>
      <c r="D141" s="713"/>
      <c r="E141" s="713"/>
      <c r="F141" s="152"/>
      <c r="G141" s="152"/>
      <c r="H141" s="714"/>
      <c r="I141" s="152"/>
      <c r="J141" s="152"/>
      <c r="K141" s="152"/>
      <c r="L141" s="152"/>
      <c r="M141" s="152"/>
      <c r="N141" s="152"/>
      <c r="O141" s="152"/>
      <c r="P141" s="152"/>
      <c r="Q141" s="152"/>
      <c r="R141" s="152"/>
      <c r="S141" s="859"/>
      <c r="T141" s="151"/>
      <c r="U141" s="151"/>
      <c r="V141" s="865"/>
      <c r="W141" s="1232"/>
      <c r="X141" s="289"/>
      <c r="Y141" s="289"/>
      <c r="Z141" s="289"/>
      <c r="AA141" s="289"/>
      <c r="AB141" s="289"/>
      <c r="AC141" s="289"/>
      <c r="AD141" s="289"/>
      <c r="AE141" s="710"/>
      <c r="AF141" s="289"/>
      <c r="AG141" s="289"/>
      <c r="AH141" s="363"/>
      <c r="AI141" s="363"/>
      <c r="AJ141" s="1333"/>
    </row>
    <row r="142" spans="1:36" ht="11.25" customHeight="1">
      <c r="J142" s="52"/>
      <c r="V142" s="52"/>
      <c r="AE142" s="57"/>
      <c r="AH142" s="52"/>
    </row>
    <row r="143" spans="1:36" ht="11.25" customHeight="1">
      <c r="J143" s="52"/>
      <c r="V143" s="52"/>
      <c r="AE143" s="57"/>
      <c r="AH143" s="52"/>
    </row>
    <row r="144" spans="1:36" ht="11.25" customHeight="1">
      <c r="J144" s="52"/>
      <c r="V144" s="52"/>
      <c r="AE144" s="57"/>
      <c r="AH144" s="52"/>
    </row>
    <row r="145" spans="10:34" ht="11.25" customHeight="1">
      <c r="J145" s="52"/>
      <c r="V145" s="52"/>
      <c r="AE145" s="57"/>
      <c r="AH145" s="52"/>
    </row>
    <row r="146" spans="10:34" ht="11.25" customHeight="1">
      <c r="J146" s="52"/>
      <c r="V146" s="52"/>
      <c r="AE146" s="57"/>
      <c r="AH146" s="52"/>
    </row>
    <row r="147" spans="10:34" ht="11.25" customHeight="1">
      <c r="J147" s="52"/>
      <c r="V147" s="52"/>
      <c r="AE147" s="57"/>
      <c r="AH147" s="52"/>
    </row>
    <row r="148" spans="10:34" ht="11.25" customHeight="1">
      <c r="J148" s="52"/>
      <c r="V148" s="52"/>
      <c r="AE148" s="57"/>
      <c r="AH148" s="52"/>
    </row>
    <row r="149" spans="10:34" ht="11.25" customHeight="1">
      <c r="J149" s="52"/>
      <c r="V149" s="52"/>
      <c r="AE149" s="57"/>
      <c r="AH149" s="52"/>
    </row>
    <row r="150" spans="10:34" ht="11.25" customHeight="1">
      <c r="J150" s="52"/>
      <c r="V150" s="52"/>
      <c r="AE150" s="57"/>
      <c r="AH150" s="52"/>
    </row>
    <row r="151" spans="10:34" ht="11.25" customHeight="1">
      <c r="J151" s="52"/>
      <c r="V151" s="52"/>
      <c r="AE151" s="57"/>
      <c r="AH151" s="52"/>
    </row>
    <row r="152" spans="10:34" ht="11.25" customHeight="1">
      <c r="J152" s="52"/>
      <c r="V152" s="52"/>
      <c r="AE152" s="57"/>
    </row>
    <row r="153" spans="10:34" ht="11.25" customHeight="1">
      <c r="J153" s="52"/>
      <c r="V153" s="52"/>
      <c r="AE153" s="57"/>
    </row>
    <row r="261" spans="37:37" ht="11.25" customHeight="1">
      <c r="AK261" s="52" t="b">
        <v>1</v>
      </c>
    </row>
  </sheetData>
  <mergeCells count="32">
    <mergeCell ref="Z8:Z10"/>
    <mergeCell ref="A67:U67"/>
    <mergeCell ref="Q7:Q10"/>
    <mergeCell ref="A68:U68"/>
    <mergeCell ref="A102:U102"/>
    <mergeCell ref="Q62:T62"/>
    <mergeCell ref="Q61:T61"/>
    <mergeCell ref="L62:O62"/>
    <mergeCell ref="L61:O61"/>
    <mergeCell ref="I7:I10"/>
    <mergeCell ref="Y8:Y10"/>
    <mergeCell ref="A34:U34"/>
    <mergeCell ref="B7:B10"/>
    <mergeCell ref="K7:P7"/>
    <mergeCell ref="O10:P10"/>
    <mergeCell ref="D7:H7"/>
    <mergeCell ref="A103:U103"/>
    <mergeCell ref="AQ35:AQ37"/>
    <mergeCell ref="AL35:AP35"/>
    <mergeCell ref="A35:U35"/>
    <mergeCell ref="B5:T6"/>
    <mergeCell ref="S7:T9"/>
    <mergeCell ref="D8:D9"/>
    <mergeCell ref="E8:E9"/>
    <mergeCell ref="F8:F9"/>
    <mergeCell ref="G8:G9"/>
    <mergeCell ref="H8:H9"/>
    <mergeCell ref="K8:K9"/>
    <mergeCell ref="L8:L9"/>
    <mergeCell ref="M8:M9"/>
    <mergeCell ref="N8:N9"/>
    <mergeCell ref="O8:P9"/>
  </mergeCells>
  <conditionalFormatting sqref="A11:A31">
    <cfRule type="cellIs" dxfId="472" priority="1" operator="equal">
      <formula>0</formula>
    </cfRule>
    <cfRule type="containsErrors" dxfId="471" priority="2">
      <formula>ISERROR(A11)</formula>
    </cfRule>
  </conditionalFormatting>
  <conditionalFormatting sqref="A35">
    <cfRule type="cellIs" dxfId="470" priority="43" operator="equal">
      <formula>0</formula>
    </cfRule>
    <cfRule type="containsErrors" dxfId="469" priority="44">
      <formula>ISERROR(A35)</formula>
    </cfRule>
  </conditionalFormatting>
  <conditionalFormatting sqref="A68">
    <cfRule type="cellIs" dxfId="468" priority="41" operator="equal">
      <formula>0</formula>
    </cfRule>
    <cfRule type="containsErrors" dxfId="467" priority="42">
      <formula>ISERROR(A68)</formula>
    </cfRule>
  </conditionalFormatting>
  <conditionalFormatting sqref="A103">
    <cfRule type="cellIs" dxfId="466" priority="39" operator="equal">
      <formula>0</formula>
    </cfRule>
    <cfRule type="containsErrors" dxfId="465" priority="40">
      <formula>ISERROR(A103)</formula>
    </cfRule>
  </conditionalFormatting>
  <conditionalFormatting sqref="B11:B29 D11:H29 K11:O29 S11:T29 AF11:AG29 B48:C63">
    <cfRule type="containsErrors" dxfId="464" priority="61">
      <formula>ISERROR(B11)</formula>
    </cfRule>
  </conditionalFormatting>
  <conditionalFormatting sqref="B11:B29 D11:I29 K11:O29 Q11:Q29 S11:T29 P11:P31 B48:C63">
    <cfRule type="expression" dxfId="463" priority="3967">
      <formula>$B11=$Y$4</formula>
    </cfRule>
  </conditionalFormatting>
  <conditionalFormatting sqref="D8:H8">
    <cfRule type="containsErrors" dxfId="462" priority="4">
      <formula>ISERROR(D8)</formula>
    </cfRule>
  </conditionalFormatting>
  <conditionalFormatting sqref="D10:H10">
    <cfRule type="containsErrors" dxfId="461" priority="5">
      <formula>ISERROR(D10)</formula>
    </cfRule>
  </conditionalFormatting>
  <conditionalFormatting sqref="D31:I31 K31:O31">
    <cfRule type="containsErrors" dxfId="460" priority="19">
      <formula>ISERROR(D31)</formula>
    </cfRule>
  </conditionalFormatting>
  <conditionalFormatting sqref="I11:I29 Q11:Q29">
    <cfRule type="containsErrors" dxfId="459" priority="62">
      <formula>ISERROR(I11)</formula>
    </cfRule>
  </conditionalFormatting>
  <conditionalFormatting sqref="K8:O8">
    <cfRule type="containsErrors" dxfId="458" priority="3">
      <formula>ISERROR(K8)</formula>
    </cfRule>
  </conditionalFormatting>
  <conditionalFormatting sqref="K10:O10">
    <cfRule type="containsErrors" dxfId="457" priority="6">
      <formula>ISERROR(K10)</formula>
    </cfRule>
  </conditionalFormatting>
  <conditionalFormatting sqref="P11:P31">
    <cfRule type="containsErrors" dxfId="456" priority="3965">
      <formula>ISERROR(P11)</formula>
    </cfRule>
    <cfRule type="dataBar" priority="3966">
      <dataBar showValue="0">
        <cfvo type="min"/>
        <cfvo type="max"/>
        <color theme="9"/>
      </dataBar>
      <extLst>
        <ext xmlns:x14="http://schemas.microsoft.com/office/spreadsheetml/2009/9/main" uri="{B025F937-C7B1-47D3-B67F-A62EFF666E3E}">
          <x14:id>{7F5F98AA-D30D-4BDE-8662-1A5A9D8ACEE6}</x14:id>
        </ext>
      </extLst>
    </cfRule>
  </conditionalFormatting>
  <conditionalFormatting sqref="P30:P31">
    <cfRule type="containsErrors" dxfId="455" priority="28">
      <formula>ISERROR(P30)</formula>
    </cfRule>
  </conditionalFormatting>
  <conditionalFormatting sqref="S30:T30">
    <cfRule type="containsErrors" dxfId="454" priority="12">
      <formula>ISERROR(S30)</formula>
    </cfRule>
  </conditionalFormatting>
  <conditionalFormatting sqref="S31:T31">
    <cfRule type="containsErrors" dxfId="453" priority="11">
      <formula>ISERROR(S31)</formula>
    </cfRule>
  </conditionalFormatting>
  <conditionalFormatting sqref="X2:AC3">
    <cfRule type="containsErrors" dxfId="452" priority="9">
      <formula>ISERROR(X2)</formula>
    </cfRule>
  </conditionalFormatting>
  <conditionalFormatting sqref="AA10:AE10">
    <cfRule type="cellIs" dxfId="451" priority="21" stopIfTrue="1" operator="equal">
      <formula>0</formula>
    </cfRule>
  </conditionalFormatting>
  <conditionalFormatting sqref="AF11:AG22 AG12:AG23">
    <cfRule type="expression" dxfId="450" priority="47">
      <formula>$B11=$W$4</formula>
    </cfRule>
  </conditionalFormatting>
  <conditionalFormatting sqref="AG24">
    <cfRule type="expression" dxfId="449" priority="3963">
      <formula>#REF!=$W$4</formula>
    </cfRule>
  </conditionalFormatting>
  <conditionalFormatting sqref="AG25:AG27">
    <cfRule type="expression" dxfId="448" priority="3890">
      <formula>$B24=$W$4</formula>
    </cfRule>
  </conditionalFormatting>
  <conditionalFormatting sqref="AG28">
    <cfRule type="expression" dxfId="447" priority="1955">
      <formula>#REF!=$W$4</formula>
    </cfRule>
  </conditionalFormatting>
  <conditionalFormatting sqref="AG29">
    <cfRule type="expression" dxfId="446" priority="1954">
      <formula>$B26=$W$4</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2" manualBreakCount="2">
    <brk id="35" max="18" man="1"/>
    <brk id="68" max="20" man="1"/>
  </rowBreaks>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defaultSize="0" autoFill="0" autoLine="0" autoPict="0" macro="[0]!CheckBox1_Click" altText="">
                <anchor>
                  <from>
                    <xdr:col>22</xdr:col>
                    <xdr:colOff>85725</xdr:colOff>
                    <xdr:row>36</xdr:row>
                    <xdr:rowOff>28575</xdr:rowOff>
                  </from>
                  <to>
                    <xdr:col>35</xdr:col>
                    <xdr:colOff>57150</xdr:colOff>
                    <xdr:row>38</xdr:row>
                    <xdr:rowOff>9525</xdr:rowOff>
                  </to>
                </anchor>
              </controlPr>
            </control>
          </mc:Choice>
        </mc:AlternateContent>
        <mc:AlternateContent xmlns:mc="http://schemas.openxmlformats.org/markup-compatibility/2006">
          <mc:Choice Requires="x14">
            <control shapeId="97282" r:id="rId5" name="Check Box 2">
              <controlPr defaultSize="0" autoFill="0" autoLine="0" autoPict="0" macro="[0]!CheckBox1_Click" altText="">
                <anchor>
                  <from>
                    <xdr:col>22</xdr:col>
                    <xdr:colOff>85725</xdr:colOff>
                    <xdr:row>37</xdr:row>
                    <xdr:rowOff>152400</xdr:rowOff>
                  </from>
                  <to>
                    <xdr:col>35</xdr:col>
                    <xdr:colOff>57150</xdr:colOff>
                    <xdr:row>39</xdr:row>
                    <xdr:rowOff>9525</xdr:rowOff>
                  </to>
                </anchor>
              </controlPr>
            </control>
          </mc:Choice>
        </mc:AlternateContent>
        <mc:AlternateContent xmlns:mc="http://schemas.openxmlformats.org/markup-compatibility/2006">
          <mc:Choice Requires="x14">
            <control shapeId="97283" r:id="rId6" name="Check Box 3">
              <controlPr defaultSize="0" autoFill="0" autoLine="0" autoPict="0" macro="[0]!CheckBox1_Click" altText="">
                <anchor>
                  <from>
                    <xdr:col>22</xdr:col>
                    <xdr:colOff>85725</xdr:colOff>
                    <xdr:row>38</xdr:row>
                    <xdr:rowOff>152400</xdr:rowOff>
                  </from>
                  <to>
                    <xdr:col>35</xdr:col>
                    <xdr:colOff>57150</xdr:colOff>
                    <xdr:row>40</xdr:row>
                    <xdr:rowOff>9525</xdr:rowOff>
                  </to>
                </anchor>
              </controlPr>
            </control>
          </mc:Choice>
        </mc:AlternateContent>
        <mc:AlternateContent xmlns:mc="http://schemas.openxmlformats.org/markup-compatibility/2006">
          <mc:Choice Requires="x14">
            <control shapeId="97284" r:id="rId7" name="Check Box 4">
              <controlPr defaultSize="0" autoFill="0" autoLine="0" autoPict="0" macro="[0]!CheckBox1_Click" altText="">
                <anchor>
                  <from>
                    <xdr:col>22</xdr:col>
                    <xdr:colOff>85725</xdr:colOff>
                    <xdr:row>39</xdr:row>
                    <xdr:rowOff>152400</xdr:rowOff>
                  </from>
                  <to>
                    <xdr:col>35</xdr:col>
                    <xdr:colOff>57150</xdr:colOff>
                    <xdr:row>41</xdr:row>
                    <xdr:rowOff>9525</xdr:rowOff>
                  </to>
                </anchor>
              </controlPr>
            </control>
          </mc:Choice>
        </mc:AlternateContent>
        <mc:AlternateContent xmlns:mc="http://schemas.openxmlformats.org/markup-compatibility/2006">
          <mc:Choice Requires="x14">
            <control shapeId="97285" r:id="rId8" name="Check Box 5">
              <controlPr defaultSize="0" autoFill="0" autoLine="0" autoPict="0" macro="[0]!CheckBox1_Click" altText="">
                <anchor>
                  <from>
                    <xdr:col>22</xdr:col>
                    <xdr:colOff>85725</xdr:colOff>
                    <xdr:row>40</xdr:row>
                    <xdr:rowOff>152400</xdr:rowOff>
                  </from>
                  <to>
                    <xdr:col>35</xdr:col>
                    <xdr:colOff>57150</xdr:colOff>
                    <xdr:row>42</xdr:row>
                    <xdr:rowOff>9525</xdr:rowOff>
                  </to>
                </anchor>
              </controlPr>
            </control>
          </mc:Choice>
        </mc:AlternateContent>
        <mc:AlternateContent xmlns:mc="http://schemas.openxmlformats.org/markup-compatibility/2006">
          <mc:Choice Requires="x14">
            <control shapeId="97286" r:id="rId9" name="Check Box 6">
              <controlPr defaultSize="0" autoFill="0" autoLine="0" autoPict="0" macro="[0]!CheckBox1_Click" altText="">
                <anchor>
                  <from>
                    <xdr:col>22</xdr:col>
                    <xdr:colOff>85725</xdr:colOff>
                    <xdr:row>41</xdr:row>
                    <xdr:rowOff>152400</xdr:rowOff>
                  </from>
                  <to>
                    <xdr:col>35</xdr:col>
                    <xdr:colOff>57150</xdr:colOff>
                    <xdr:row>43</xdr:row>
                    <xdr:rowOff>9525</xdr:rowOff>
                  </to>
                </anchor>
              </controlPr>
            </control>
          </mc:Choice>
        </mc:AlternateContent>
        <mc:AlternateContent xmlns:mc="http://schemas.openxmlformats.org/markup-compatibility/2006">
          <mc:Choice Requires="x14">
            <control shapeId="97287" r:id="rId10" name="Check Box 7">
              <controlPr defaultSize="0" autoFill="0" autoLine="0" autoPict="0" macro="[0]!CheckBox1_Click" altText="">
                <anchor>
                  <from>
                    <xdr:col>22</xdr:col>
                    <xdr:colOff>85725</xdr:colOff>
                    <xdr:row>42</xdr:row>
                    <xdr:rowOff>152400</xdr:rowOff>
                  </from>
                  <to>
                    <xdr:col>35</xdr:col>
                    <xdr:colOff>57150</xdr:colOff>
                    <xdr:row>44</xdr:row>
                    <xdr:rowOff>9525</xdr:rowOff>
                  </to>
                </anchor>
              </controlPr>
            </control>
          </mc:Choice>
        </mc:AlternateContent>
        <mc:AlternateContent xmlns:mc="http://schemas.openxmlformats.org/markup-compatibility/2006">
          <mc:Choice Requires="x14">
            <control shapeId="97288" r:id="rId11" name="Check Box 8">
              <controlPr defaultSize="0" autoFill="0" autoLine="0" autoPict="0" macro="[0]!CheckBox1_Click" altText="">
                <anchor>
                  <from>
                    <xdr:col>22</xdr:col>
                    <xdr:colOff>85725</xdr:colOff>
                    <xdr:row>43</xdr:row>
                    <xdr:rowOff>152400</xdr:rowOff>
                  </from>
                  <to>
                    <xdr:col>35</xdr:col>
                    <xdr:colOff>57150</xdr:colOff>
                    <xdr:row>45</xdr:row>
                    <xdr:rowOff>9525</xdr:rowOff>
                  </to>
                </anchor>
              </controlPr>
            </control>
          </mc:Choice>
        </mc:AlternateContent>
        <mc:AlternateContent xmlns:mc="http://schemas.openxmlformats.org/markup-compatibility/2006">
          <mc:Choice Requires="x14">
            <control shapeId="97289" r:id="rId12" name="Check Box 9">
              <controlPr defaultSize="0" autoFill="0" autoLine="0" autoPict="0" macro="[0]!CheckBox1_Click" altText="">
                <anchor>
                  <from>
                    <xdr:col>22</xdr:col>
                    <xdr:colOff>85725</xdr:colOff>
                    <xdr:row>44</xdr:row>
                    <xdr:rowOff>152400</xdr:rowOff>
                  </from>
                  <to>
                    <xdr:col>35</xdr:col>
                    <xdr:colOff>57150</xdr:colOff>
                    <xdr:row>46</xdr:row>
                    <xdr:rowOff>9525</xdr:rowOff>
                  </to>
                </anchor>
              </controlPr>
            </control>
          </mc:Choice>
        </mc:AlternateContent>
        <mc:AlternateContent xmlns:mc="http://schemas.openxmlformats.org/markup-compatibility/2006">
          <mc:Choice Requires="x14">
            <control shapeId="97290" r:id="rId13" name="Check Box 10">
              <controlPr defaultSize="0" autoFill="0" autoLine="0" autoPict="0" macro="[0]!CheckBox1_Click" altText="">
                <anchor>
                  <from>
                    <xdr:col>22</xdr:col>
                    <xdr:colOff>85725</xdr:colOff>
                    <xdr:row>45</xdr:row>
                    <xdr:rowOff>152400</xdr:rowOff>
                  </from>
                  <to>
                    <xdr:col>35</xdr:col>
                    <xdr:colOff>57150</xdr:colOff>
                    <xdr:row>47</xdr:row>
                    <xdr:rowOff>9525</xdr:rowOff>
                  </to>
                </anchor>
              </controlPr>
            </control>
          </mc:Choice>
        </mc:AlternateContent>
        <mc:AlternateContent xmlns:mc="http://schemas.openxmlformats.org/markup-compatibility/2006">
          <mc:Choice Requires="x14">
            <control shapeId="97291" r:id="rId14" name="Check Box 11">
              <controlPr defaultSize="0" autoFill="0" autoLine="0" autoPict="0" macro="[0]!CheckBox1_Click" altText="">
                <anchor>
                  <from>
                    <xdr:col>22</xdr:col>
                    <xdr:colOff>85725</xdr:colOff>
                    <xdr:row>46</xdr:row>
                    <xdr:rowOff>152400</xdr:rowOff>
                  </from>
                  <to>
                    <xdr:col>35</xdr:col>
                    <xdr:colOff>57150</xdr:colOff>
                    <xdr:row>48</xdr:row>
                    <xdr:rowOff>9525</xdr:rowOff>
                  </to>
                </anchor>
              </controlPr>
            </control>
          </mc:Choice>
        </mc:AlternateContent>
        <mc:AlternateContent xmlns:mc="http://schemas.openxmlformats.org/markup-compatibility/2006">
          <mc:Choice Requires="x14">
            <control shapeId="97292" r:id="rId15" name="Check Box 12">
              <controlPr defaultSize="0" autoFill="0" autoLine="0" autoPict="0" macro="[0]!CheckBox1_Click" altText="">
                <anchor>
                  <from>
                    <xdr:col>22</xdr:col>
                    <xdr:colOff>85725</xdr:colOff>
                    <xdr:row>47</xdr:row>
                    <xdr:rowOff>152400</xdr:rowOff>
                  </from>
                  <to>
                    <xdr:col>35</xdr:col>
                    <xdr:colOff>57150</xdr:colOff>
                    <xdr:row>49</xdr:row>
                    <xdr:rowOff>9525</xdr:rowOff>
                  </to>
                </anchor>
              </controlPr>
            </control>
          </mc:Choice>
        </mc:AlternateContent>
        <mc:AlternateContent xmlns:mc="http://schemas.openxmlformats.org/markup-compatibility/2006">
          <mc:Choice Requires="x14">
            <control shapeId="97293" r:id="rId16" name="Check Box 13">
              <controlPr defaultSize="0" autoFill="0" autoLine="0" autoPict="0" macro="[0]!CheckBox1_Click" altText="">
                <anchor>
                  <from>
                    <xdr:col>22</xdr:col>
                    <xdr:colOff>85725</xdr:colOff>
                    <xdr:row>48</xdr:row>
                    <xdr:rowOff>152400</xdr:rowOff>
                  </from>
                  <to>
                    <xdr:col>35</xdr:col>
                    <xdr:colOff>57150</xdr:colOff>
                    <xdr:row>50</xdr:row>
                    <xdr:rowOff>9525</xdr:rowOff>
                  </to>
                </anchor>
              </controlPr>
            </control>
          </mc:Choice>
        </mc:AlternateContent>
        <mc:AlternateContent xmlns:mc="http://schemas.openxmlformats.org/markup-compatibility/2006">
          <mc:Choice Requires="x14">
            <control shapeId="97295" r:id="rId17" name="Check Box 15">
              <controlPr defaultSize="0" autoFill="0" autoLine="0" autoPict="0" macro="[0]!CheckBox1_Click" altText="">
                <anchor>
                  <from>
                    <xdr:col>22</xdr:col>
                    <xdr:colOff>85725</xdr:colOff>
                    <xdr:row>49</xdr:row>
                    <xdr:rowOff>152400</xdr:rowOff>
                  </from>
                  <to>
                    <xdr:col>35</xdr:col>
                    <xdr:colOff>57150</xdr:colOff>
                    <xdr:row>51</xdr:row>
                    <xdr:rowOff>9525</xdr:rowOff>
                  </to>
                </anchor>
              </controlPr>
            </control>
          </mc:Choice>
        </mc:AlternateContent>
        <mc:AlternateContent xmlns:mc="http://schemas.openxmlformats.org/markup-compatibility/2006">
          <mc:Choice Requires="x14">
            <control shapeId="97296" r:id="rId18" name="Check Box 16">
              <controlPr defaultSize="0" autoFill="0" autoLine="0" autoPict="0" macro="[0]!CheckBox1_Click" altText="">
                <anchor>
                  <from>
                    <xdr:col>22</xdr:col>
                    <xdr:colOff>85725</xdr:colOff>
                    <xdr:row>50</xdr:row>
                    <xdr:rowOff>152400</xdr:rowOff>
                  </from>
                  <to>
                    <xdr:col>35</xdr:col>
                    <xdr:colOff>57150</xdr:colOff>
                    <xdr:row>52</xdr:row>
                    <xdr:rowOff>9525</xdr:rowOff>
                  </to>
                </anchor>
              </controlPr>
            </control>
          </mc:Choice>
        </mc:AlternateContent>
        <mc:AlternateContent xmlns:mc="http://schemas.openxmlformats.org/markup-compatibility/2006">
          <mc:Choice Requires="x14">
            <control shapeId="97297" r:id="rId19" name="Check Box 17">
              <controlPr defaultSize="0" autoFill="0" autoLine="0" autoPict="0" macro="[0]!CheckBox1_Click" altText="">
                <anchor>
                  <from>
                    <xdr:col>22</xdr:col>
                    <xdr:colOff>85725</xdr:colOff>
                    <xdr:row>51</xdr:row>
                    <xdr:rowOff>152400</xdr:rowOff>
                  </from>
                  <to>
                    <xdr:col>35</xdr:col>
                    <xdr:colOff>57150</xdr:colOff>
                    <xdr:row>53</xdr:row>
                    <xdr:rowOff>9525</xdr:rowOff>
                  </to>
                </anchor>
              </controlPr>
            </control>
          </mc:Choice>
        </mc:AlternateContent>
        <mc:AlternateContent xmlns:mc="http://schemas.openxmlformats.org/markup-compatibility/2006">
          <mc:Choice Requires="x14">
            <control shapeId="97298" r:id="rId20" name="Check Box 18">
              <controlPr defaultSize="0" autoFill="0" autoLine="0" autoPict="0" macro="[0]!CheckBox1_Click" altText="">
                <anchor>
                  <from>
                    <xdr:col>22</xdr:col>
                    <xdr:colOff>85725</xdr:colOff>
                    <xdr:row>52</xdr:row>
                    <xdr:rowOff>152400</xdr:rowOff>
                  </from>
                  <to>
                    <xdr:col>35</xdr:col>
                    <xdr:colOff>57150</xdr:colOff>
                    <xdr:row>54</xdr:row>
                    <xdr:rowOff>9525</xdr:rowOff>
                  </to>
                </anchor>
              </controlPr>
            </control>
          </mc:Choice>
        </mc:AlternateContent>
        <mc:AlternateContent xmlns:mc="http://schemas.openxmlformats.org/markup-compatibility/2006">
          <mc:Choice Requires="x14">
            <control shapeId="97299" r:id="rId21" name="Check Box 19">
              <controlPr defaultSize="0" autoFill="0" autoLine="0" autoPict="0" macro="[0]!CheckBox1_Click" altText="">
                <anchor>
                  <from>
                    <xdr:col>22</xdr:col>
                    <xdr:colOff>85725</xdr:colOff>
                    <xdr:row>53</xdr:row>
                    <xdr:rowOff>152400</xdr:rowOff>
                  </from>
                  <to>
                    <xdr:col>35</xdr:col>
                    <xdr:colOff>57150</xdr:colOff>
                    <xdr:row>55</xdr:row>
                    <xdr:rowOff>9525</xdr:rowOff>
                  </to>
                </anchor>
              </controlPr>
            </control>
          </mc:Choice>
        </mc:AlternateContent>
        <mc:AlternateContent xmlns:mc="http://schemas.openxmlformats.org/markup-compatibility/2006">
          <mc:Choice Requires="x14">
            <control shapeId="97300" r:id="rId22" name="Check Box 20">
              <controlPr defaultSize="0" autoFill="0" autoLine="0" autoPict="0" macro="[0]!CheckBox1_Click" altText="">
                <anchor>
                  <from>
                    <xdr:col>22</xdr:col>
                    <xdr:colOff>85725</xdr:colOff>
                    <xdr:row>54</xdr:row>
                    <xdr:rowOff>152400</xdr:rowOff>
                  </from>
                  <to>
                    <xdr:col>35</xdr:col>
                    <xdr:colOff>57150</xdr:colOff>
                    <xdr:row>56</xdr:row>
                    <xdr:rowOff>9525</xdr:rowOff>
                  </to>
                </anchor>
              </controlPr>
            </control>
          </mc:Choice>
        </mc:AlternateContent>
        <mc:AlternateContent xmlns:mc="http://schemas.openxmlformats.org/markup-compatibility/2006">
          <mc:Choice Requires="x14">
            <control shapeId="97301" r:id="rId23" name="Check Box 21">
              <controlPr defaultSize="0" autoFill="0" autoLine="0" autoPict="0" macro="[0]!CheckBox1_Click" altText="">
                <anchor>
                  <from>
                    <xdr:col>22</xdr:col>
                    <xdr:colOff>85725</xdr:colOff>
                    <xdr:row>55</xdr:row>
                    <xdr:rowOff>152400</xdr:rowOff>
                  </from>
                  <to>
                    <xdr:col>35</xdr:col>
                    <xdr:colOff>57150</xdr:colOff>
                    <xdr:row>57</xdr:row>
                    <xdr:rowOff>9525</xdr:rowOff>
                  </to>
                </anchor>
              </controlPr>
            </control>
          </mc:Choice>
        </mc:AlternateContent>
        <mc:AlternateContent xmlns:mc="http://schemas.openxmlformats.org/markup-compatibility/2006">
          <mc:Choice Requires="x14">
            <control shapeId="97304" r:id="rId24" name="Check Box 24">
              <controlPr defaultSize="0" autoFill="0" autoLine="0" autoPict="0" macro="[0]!CheckBox1_Click" altText="">
                <anchor>
                  <from>
                    <xdr:col>22</xdr:col>
                    <xdr:colOff>85725</xdr:colOff>
                    <xdr:row>56</xdr:row>
                    <xdr:rowOff>152400</xdr:rowOff>
                  </from>
                  <to>
                    <xdr:col>35</xdr:col>
                    <xdr:colOff>57150</xdr:colOff>
                    <xdr:row>58</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7F5F98AA-D30D-4BDE-8662-1A5A9D8ACEE6}">
            <x14:dataBar minLength="0" maxLength="100" gradient="0" negativeBarColorSameAsPositive="1">
              <x14:cfvo type="autoMin"/>
              <x14:cfvo type="autoMax"/>
              <x14:axisColor rgb="FF000000"/>
            </x14:dataBar>
          </x14:cfRule>
          <xm:sqref>P11:P31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5">
    <tabColor rgb="FFFFC000"/>
  </sheetPr>
  <dimension ref="A1:BC328"/>
  <sheetViews>
    <sheetView showGridLines="0" showRowColHeaders="0" workbookViewId="0"/>
  </sheetViews>
  <sheetFormatPr defaultColWidth="9.140625" defaultRowHeight="11.25" customHeight="1"/>
  <cols>
    <col min="1" max="1" width="2" style="52" customWidth="1"/>
    <col min="2" max="2" width="19.42578125" style="52" customWidth="1"/>
    <col min="3" max="3" width="1.140625" style="52" customWidth="1"/>
    <col min="4" max="9" width="7.42578125" style="52" customWidth="1"/>
    <col min="10" max="10" width="1.140625" customWidth="1"/>
    <col min="11" max="14" width="7.42578125" style="52" customWidth="1"/>
    <col min="15" max="15" width="7.28515625" style="52" customWidth="1"/>
    <col min="16" max="16" width="6" style="52" customWidth="1"/>
    <col min="17" max="17" width="6.42578125" style="52" customWidth="1"/>
    <col min="18" max="18" width="1.140625" style="52" customWidth="1"/>
    <col min="19" max="19" width="8.7109375" style="52" customWidth="1"/>
    <col min="20" max="20" width="8.28515625" style="52" customWidth="1"/>
    <col min="21" max="21" width="2" style="52" customWidth="1"/>
    <col min="22" max="22" width="6.42578125" style="55" customWidth="1"/>
    <col min="23" max="23" width="4.85546875" style="55" customWidth="1"/>
    <col min="24" max="24" width="17.85546875" style="56" hidden="1" customWidth="1"/>
    <col min="25" max="25" width="19.42578125" style="56" hidden="1" customWidth="1"/>
    <col min="26" max="26" width="19.85546875" style="56" hidden="1" customWidth="1"/>
    <col min="27" max="28" width="16.5703125" style="56" hidden="1" customWidth="1"/>
    <col min="29" max="30" width="8.5703125" style="56" hidden="1" customWidth="1"/>
    <col min="31" max="31" width="7.140625" style="56" hidden="1" customWidth="1"/>
    <col min="32" max="32" width="17" style="56" hidden="1" customWidth="1"/>
    <col min="33" max="33" width="5.5703125" style="56" hidden="1" customWidth="1"/>
    <col min="34" max="34" width="4.85546875" style="56" hidden="1" customWidth="1"/>
    <col min="35" max="35" width="5.5703125" style="52" hidden="1" customWidth="1"/>
    <col min="36" max="36" width="31.5703125" style="52" customWidth="1"/>
    <col min="37" max="37" width="17" style="52" hidden="1" customWidth="1"/>
    <col min="38" max="42" width="13.5703125" style="52" hidden="1" customWidth="1"/>
    <col min="43" max="54" width="9.140625" style="52" hidden="1" customWidth="1"/>
    <col min="55" max="55" width="9.140625" style="52" customWidth="1"/>
    <col min="56" max="16384" width="9.140625" style="52"/>
  </cols>
  <sheetData>
    <row r="1" spans="1:49" ht="18.75" customHeight="1" thickBot="1">
      <c r="A1" s="81"/>
      <c r="B1" s="82"/>
      <c r="C1" s="82"/>
      <c r="D1" s="82"/>
      <c r="E1" s="82"/>
      <c r="F1" s="82"/>
      <c r="G1" s="82"/>
      <c r="H1" s="82"/>
      <c r="I1" s="82"/>
      <c r="J1" s="83"/>
      <c r="K1" s="82"/>
      <c r="L1" s="82"/>
      <c r="M1" s="82"/>
      <c r="N1" s="82"/>
      <c r="O1" s="82"/>
      <c r="P1" s="82"/>
      <c r="Q1" s="82"/>
      <c r="R1" s="82"/>
      <c r="S1" s="82"/>
      <c r="T1" s="82"/>
      <c r="U1" s="84"/>
      <c r="V1" s="207"/>
      <c r="W1" s="117"/>
      <c r="X1" s="135"/>
      <c r="Y1" s="534" t="str">
        <f>IF(ReportData!$C$3="Annual"," the year ending 31st March"," the quarter")</f>
        <v xml:space="preserve"> the year ending 31st March</v>
      </c>
      <c r="Z1" s="135"/>
      <c r="AA1" s="135"/>
      <c r="AB1" s="135"/>
      <c r="AC1" s="135"/>
      <c r="AD1" s="135"/>
      <c r="AE1" s="135"/>
      <c r="AF1" s="135"/>
      <c r="AG1" s="135"/>
      <c r="AH1" s="135"/>
      <c r="AI1" s="136"/>
      <c r="AJ1" s="118"/>
    </row>
    <row r="2" spans="1:49" ht="18.75" customHeight="1">
      <c r="A2" s="87"/>
      <c r="B2" s="888" t="s">
        <v>87</v>
      </c>
      <c r="C2" s="5"/>
      <c r="D2" s="5"/>
      <c r="E2" s="5"/>
      <c r="F2" s="5"/>
      <c r="G2" s="5"/>
      <c r="H2" s="5"/>
      <c r="I2" s="5"/>
      <c r="J2" s="1"/>
      <c r="K2" s="5"/>
      <c r="L2" s="5"/>
      <c r="M2" s="5"/>
      <c r="N2" s="5"/>
      <c r="O2" s="5"/>
      <c r="P2" s="5"/>
      <c r="Q2" s="5"/>
      <c r="R2" s="5"/>
      <c r="S2" s="5"/>
      <c r="T2" s="5"/>
      <c r="U2" s="86"/>
      <c r="V2" s="122"/>
      <c r="W2" s="114"/>
      <c r="X2" s="483">
        <f>IF(ReportData!$C$3="Annual",1,4)</f>
        <v>1</v>
      </c>
      <c r="Y2" s="461" t="str">
        <f>IF(ReportData!$C$3="Annual","",ReportData!$D$28)</f>
        <v/>
      </c>
      <c r="Z2" s="462" t="str">
        <f>IF(ReportData!$C$3="Annual","",ReportData!$E$28)</f>
        <v/>
      </c>
      <c r="AA2" s="462" t="str">
        <f>IF(ReportData!$C$3="Annual","",ReportData!$F$28)</f>
        <v/>
      </c>
      <c r="AB2" s="462" t="str">
        <f>IF(ReportData!$C$3="Annual","",ReportData!$G$28)</f>
        <v/>
      </c>
      <c r="AC2" s="463" t="str">
        <f>IF(ReportData!$C$3="Annual","",ReportData!$H$28)</f>
        <v/>
      </c>
      <c r="AJ2" s="119"/>
    </row>
    <row r="3" spans="1:49" ht="18.75" customHeight="1" thickBot="1">
      <c r="A3" s="91"/>
      <c r="B3" s="92"/>
      <c r="C3" s="92"/>
      <c r="D3" s="92"/>
      <c r="E3" s="92"/>
      <c r="F3" s="92"/>
      <c r="G3" s="92"/>
      <c r="H3" s="92"/>
      <c r="I3" s="200"/>
      <c r="J3" s="93"/>
      <c r="K3" s="92"/>
      <c r="L3" s="92"/>
      <c r="M3" s="92"/>
      <c r="N3" s="92"/>
      <c r="O3" s="92"/>
      <c r="P3" s="329"/>
      <c r="Q3" s="92"/>
      <c r="R3" s="92"/>
      <c r="S3" s="200"/>
      <c r="T3" s="92"/>
      <c r="U3" s="94"/>
      <c r="V3" s="122"/>
      <c r="W3" s="114"/>
      <c r="X3" s="464"/>
      <c r="Y3" s="464" t="str">
        <f>ReportData!$D$27</f>
        <v>2019/20</v>
      </c>
      <c r="Z3" s="465" t="str">
        <f>ReportData!$E$27</f>
        <v>2020/21</v>
      </c>
      <c r="AA3" s="465" t="str">
        <f>ReportData!$F$27</f>
        <v>2021/22</v>
      </c>
      <c r="AB3" s="465" t="str">
        <f>ReportData!$G$27</f>
        <v>2022/23</v>
      </c>
      <c r="AC3" s="466" t="str">
        <f>ReportData!$H$27</f>
        <v>2023/24</v>
      </c>
      <c r="AJ3" s="119"/>
      <c r="AQ3" s="52">
        <v>0</v>
      </c>
    </row>
    <row r="4" spans="1:49" ht="11.25" customHeight="1">
      <c r="A4" s="81"/>
      <c r="B4" s="82"/>
      <c r="C4" s="82"/>
      <c r="D4" s="82"/>
      <c r="E4" s="82"/>
      <c r="F4" s="82"/>
      <c r="G4" s="82"/>
      <c r="H4" s="82"/>
      <c r="I4" s="82"/>
      <c r="J4" s="83"/>
      <c r="K4" s="82"/>
      <c r="L4" s="82"/>
      <c r="M4" s="82"/>
      <c r="N4" s="82"/>
      <c r="O4" s="82"/>
      <c r="P4" s="82"/>
      <c r="Q4" s="82"/>
      <c r="R4" s="82"/>
      <c r="S4" s="82"/>
      <c r="T4" s="82"/>
      <c r="U4" s="84"/>
      <c r="V4" s="119"/>
      <c r="W4" s="114"/>
      <c r="Y4" s="140" t="str">
        <f>Home!$D$5</f>
        <v>(none)</v>
      </c>
      <c r="Z4" s="25" t="str">
        <f>"Selected LA- "&amp;Y4</f>
        <v>Selected LA- (none)</v>
      </c>
      <c r="AJ4" s="119"/>
    </row>
    <row r="5" spans="1:49" ht="18.75" customHeight="1">
      <c r="A5" s="87"/>
      <c r="B5" s="1900" t="str">
        <f>"Children subject to an Initial Child Protection Conference (ICPC) during"&amp;Y1&amp;" [RIIA209]"</f>
        <v>Children subject to an Initial Child Protection Conference (ICPC) during the year ending 31st March [RIIA209]</v>
      </c>
      <c r="C5" s="1900"/>
      <c r="D5" s="1900"/>
      <c r="E5" s="1900"/>
      <c r="F5" s="1900"/>
      <c r="G5" s="1900"/>
      <c r="H5" s="1900"/>
      <c r="I5" s="1900"/>
      <c r="J5" s="1900"/>
      <c r="K5" s="1900"/>
      <c r="L5" s="1900"/>
      <c r="M5" s="1900"/>
      <c r="N5" s="1900"/>
      <c r="O5" s="1900"/>
      <c r="P5" s="1900"/>
      <c r="Q5" s="1900"/>
      <c r="R5" s="1900"/>
      <c r="S5" s="1900"/>
      <c r="T5" s="1900"/>
      <c r="U5" s="86"/>
      <c r="V5" s="119"/>
      <c r="W5" s="114"/>
      <c r="Y5" s="52"/>
      <c r="Z5" s="52"/>
      <c r="AA5" s="52"/>
      <c r="AB5" s="52"/>
      <c r="AC5" s="52"/>
      <c r="AD5" s="52"/>
      <c r="AE5" s="52"/>
      <c r="AF5" s="52"/>
      <c r="AG5" s="52"/>
      <c r="AH5" s="52"/>
      <c r="AJ5" s="119"/>
      <c r="AK5" s="52" t="str">
        <f>CONCATENATE($I$7,"in Number of "&amp;$B2)</f>
        <v>Average Annual Change in Number of Initial CP Conferences</v>
      </c>
      <c r="AQ5" s="530" t="s">
        <v>604</v>
      </c>
    </row>
    <row r="6" spans="1:49" ht="18.75" customHeight="1">
      <c r="A6" s="87"/>
      <c r="B6" s="1900"/>
      <c r="C6" s="1900"/>
      <c r="D6" s="1900"/>
      <c r="E6" s="1900"/>
      <c r="F6" s="1900"/>
      <c r="G6" s="1900"/>
      <c r="H6" s="1900"/>
      <c r="I6" s="1900"/>
      <c r="J6" s="1900"/>
      <c r="K6" s="1900"/>
      <c r="L6" s="1900"/>
      <c r="M6" s="1900"/>
      <c r="N6" s="1900"/>
      <c r="O6" s="1900"/>
      <c r="P6" s="1900"/>
      <c r="Q6" s="1900"/>
      <c r="R6" s="1900"/>
      <c r="S6" s="1900"/>
      <c r="T6" s="1900"/>
      <c r="U6" s="86"/>
      <c r="V6" s="119"/>
      <c r="W6" s="114"/>
      <c r="Y6" s="141"/>
      <c r="AJ6" s="119"/>
    </row>
    <row r="7" spans="1:49" s="61" customFormat="1" ht="13.5" customHeight="1">
      <c r="A7" s="88"/>
      <c r="B7" s="1749" t="s">
        <v>177</v>
      </c>
      <c r="C7" s="896"/>
      <c r="D7" s="1777" t="s">
        <v>84</v>
      </c>
      <c r="E7" s="1777"/>
      <c r="F7" s="1777"/>
      <c r="G7" s="1777"/>
      <c r="H7" s="1778"/>
      <c r="I7" s="1761" t="str">
        <f>"Average "&amp;ReportData!C3&amp;" Change "</f>
        <v xml:space="preserve">Average Annual Change </v>
      </c>
      <c r="J7" s="896"/>
      <c r="K7" s="1765" t="s">
        <v>85</v>
      </c>
      <c r="L7" s="1766"/>
      <c r="M7" s="1766"/>
      <c r="N7" s="1766"/>
      <c r="O7" s="1766"/>
      <c r="P7" s="1767"/>
      <c r="Q7" s="1761" t="str">
        <f>IF(ISNA(O8),"Rank "&amp;O10,"Rank "&amp;LEFT(O8,5)&amp;" "&amp;RIGHT(O8,2))</f>
        <v>Rank 2023/ 24</v>
      </c>
      <c r="R7" s="64"/>
      <c r="S7" s="1783" t="str">
        <f>"Distance from "&amp;ReportData!$B$8&amp;" Expected Rate based on IDACI"</f>
        <v>Distance from 2024 Expected Rate based on IDACI</v>
      </c>
      <c r="T7" s="1784"/>
      <c r="U7" s="89"/>
      <c r="V7" s="186"/>
      <c r="W7" s="115"/>
      <c r="AA7" s="153" t="s">
        <v>76</v>
      </c>
      <c r="AB7" s="141"/>
      <c r="AC7" s="141"/>
      <c r="AD7" s="149"/>
      <c r="AE7" s="149"/>
      <c r="AF7" s="154" t="s">
        <v>88</v>
      </c>
      <c r="AG7" s="141"/>
      <c r="AH7" s="141"/>
      <c r="AJ7" s="121"/>
      <c r="AK7" s="350"/>
      <c r="AL7" s="350"/>
      <c r="AM7" s="350"/>
      <c r="AN7" s="350"/>
      <c r="AO7" s="350"/>
      <c r="AP7" s="52"/>
    </row>
    <row r="8" spans="1:49" s="61" customFormat="1" ht="13.5" customHeight="1">
      <c r="A8" s="217"/>
      <c r="B8" s="1749"/>
      <c r="C8" s="896"/>
      <c r="D8" s="1770" t="str">
        <f>ReportData!$D$27</f>
        <v>2019/20</v>
      </c>
      <c r="E8" s="1770" t="str">
        <f>ReportData!$E$27</f>
        <v>2020/21</v>
      </c>
      <c r="F8" s="1770" t="str">
        <f>ReportData!$F$27</f>
        <v>2021/22</v>
      </c>
      <c r="G8" s="1770" t="str">
        <f>ReportData!$G$27</f>
        <v>2022/23</v>
      </c>
      <c r="H8" s="1781" t="str">
        <f>ReportData!$H$27</f>
        <v>2023/24</v>
      </c>
      <c r="I8" s="1762"/>
      <c r="J8" s="896"/>
      <c r="K8" s="1770" t="str">
        <f>ReportData!$D$27</f>
        <v>2019/20</v>
      </c>
      <c r="L8" s="1770" t="str">
        <f>ReportData!$E$27</f>
        <v>2020/21</v>
      </c>
      <c r="M8" s="1770" t="str">
        <f>ReportData!$F$27</f>
        <v>2021/22</v>
      </c>
      <c r="N8" s="1770" t="str">
        <f>ReportData!$G$27</f>
        <v>2022/23</v>
      </c>
      <c r="O8" s="1789" t="str">
        <f>ReportData!$H$27</f>
        <v>2023/24</v>
      </c>
      <c r="P8" s="1790"/>
      <c r="Q8" s="1762"/>
      <c r="R8" s="64"/>
      <c r="S8" s="1785"/>
      <c r="T8" s="1786"/>
      <c r="U8" s="89"/>
      <c r="V8" s="103"/>
      <c r="W8" s="115"/>
      <c r="Y8" s="1772" t="s">
        <v>73</v>
      </c>
      <c r="Z8" s="1772" t="s">
        <v>74</v>
      </c>
      <c r="AA8" s="444" t="str">
        <f>ReportData!$D$27</f>
        <v>2019/20</v>
      </c>
      <c r="AB8" s="444" t="str">
        <f>ReportData!$E$27</f>
        <v>2020/21</v>
      </c>
      <c r="AC8" s="444" t="str">
        <f>ReportData!$F$27</f>
        <v>2021/22</v>
      </c>
      <c r="AD8" s="444" t="str">
        <f>ReportData!$G$27</f>
        <v>2022/23</v>
      </c>
      <c r="AE8" s="444" t="str">
        <f>ReportData!$H$27</f>
        <v>2023/24</v>
      </c>
      <c r="AF8" s="154"/>
      <c r="AG8" s="141"/>
      <c r="AH8" s="141"/>
      <c r="AJ8" s="121"/>
      <c r="AK8" s="109"/>
      <c r="AL8" s="109"/>
      <c r="AM8" s="109"/>
      <c r="AN8" s="109"/>
      <c r="AO8" s="109"/>
    </row>
    <row r="9" spans="1:49" s="61" customFormat="1" ht="9" customHeight="1">
      <c r="A9" s="217"/>
      <c r="B9" s="1749"/>
      <c r="C9" s="896"/>
      <c r="D9" s="1771"/>
      <c r="E9" s="1771"/>
      <c r="F9" s="1771"/>
      <c r="G9" s="1771"/>
      <c r="H9" s="1782"/>
      <c r="I9" s="1762"/>
      <c r="J9" s="896"/>
      <c r="K9" s="1771"/>
      <c r="L9" s="1771"/>
      <c r="M9" s="1771"/>
      <c r="N9" s="1771"/>
      <c r="O9" s="1791"/>
      <c r="P9" s="1792"/>
      <c r="Q9" s="1762"/>
      <c r="R9" s="64"/>
      <c r="S9" s="1787"/>
      <c r="T9" s="1788"/>
      <c r="U9" s="89"/>
      <c r="V9" s="103"/>
      <c r="W9" s="918"/>
      <c r="Y9" s="1773"/>
      <c r="Z9" s="1773"/>
      <c r="AA9" s="444"/>
      <c r="AB9" s="444"/>
      <c r="AC9" s="444"/>
      <c r="AD9" s="444"/>
      <c r="AE9" s="444"/>
      <c r="AF9" s="154"/>
      <c r="AG9" s="141"/>
      <c r="AH9" s="141"/>
      <c r="AJ9" s="121"/>
      <c r="AK9" s="109"/>
      <c r="AL9" s="109"/>
      <c r="AM9" s="109"/>
      <c r="AN9" s="109"/>
      <c r="AO9" s="109"/>
    </row>
    <row r="10" spans="1:49" s="61" customFormat="1" ht="13.5" customHeight="1">
      <c r="A10" s="88"/>
      <c r="B10" s="1764"/>
      <c r="C10" s="896"/>
      <c r="D10" s="897" t="e">
        <f>ReportData!$D$28</f>
        <v>#N/A</v>
      </c>
      <c r="E10" s="897" t="e">
        <f>ReportData!$E$28</f>
        <v>#N/A</v>
      </c>
      <c r="F10" s="897" t="e">
        <f>ReportData!$F$28</f>
        <v>#N/A</v>
      </c>
      <c r="G10" s="897" t="e">
        <f>ReportData!$G$28</f>
        <v>#N/A</v>
      </c>
      <c r="H10" s="920" t="e">
        <f>ReportData!$H$28</f>
        <v>#N/A</v>
      </c>
      <c r="I10" s="1763"/>
      <c r="J10" s="896"/>
      <c r="K10" s="897" t="e">
        <f>ReportData!$D$28</f>
        <v>#N/A</v>
      </c>
      <c r="L10" s="897" t="e">
        <f>ReportData!$E$28</f>
        <v>#N/A</v>
      </c>
      <c r="M10" s="897" t="e">
        <f>ReportData!$F$28</f>
        <v>#N/A</v>
      </c>
      <c r="N10" s="897" t="e">
        <f>ReportData!$G$28</f>
        <v>#N/A</v>
      </c>
      <c r="O10" s="1779" t="e">
        <f>ReportData!$H$28</f>
        <v>#N/A</v>
      </c>
      <c r="P10" s="1780"/>
      <c r="Q10" s="1763"/>
      <c r="R10" s="64"/>
      <c r="S10" s="898" t="s">
        <v>110</v>
      </c>
      <c r="T10" s="899" t="s">
        <v>111</v>
      </c>
      <c r="U10" s="89"/>
      <c r="V10" s="103"/>
      <c r="W10" s="115"/>
      <c r="Y10" s="1774"/>
      <c r="Z10" s="1774"/>
      <c r="AA10" s="444" t="e">
        <f>ReportData!$D$28</f>
        <v>#N/A</v>
      </c>
      <c r="AB10" s="444" t="e">
        <f>ReportData!$E$28</f>
        <v>#N/A</v>
      </c>
      <c r="AC10" s="444" t="e">
        <f>ReportData!$F$28</f>
        <v>#N/A</v>
      </c>
      <c r="AD10" s="444" t="e">
        <f>ReportData!$G$28</f>
        <v>#N/A</v>
      </c>
      <c r="AE10" s="444" t="e">
        <f>ReportData!$H$28</f>
        <v>#N/A</v>
      </c>
      <c r="AF10" s="141"/>
      <c r="AG10" s="141">
        <f>COLUMNS($B$4:O$4)</f>
        <v>14</v>
      </c>
      <c r="AH10" s="141"/>
      <c r="AJ10" s="121"/>
      <c r="AK10" s="479" t="s">
        <v>598</v>
      </c>
      <c r="AL10" s="479" t="s">
        <v>599</v>
      </c>
      <c r="AM10" s="479" t="s">
        <v>600</v>
      </c>
      <c r="AN10" s="479" t="s">
        <v>601</v>
      </c>
      <c r="AO10" s="479" t="s">
        <v>602</v>
      </c>
      <c r="AQ10" s="532" t="s">
        <v>605</v>
      </c>
      <c r="AR10" s="532" t="s">
        <v>606</v>
      </c>
      <c r="AS10" s="532" t="s">
        <v>607</v>
      </c>
      <c r="AT10" s="532" t="s">
        <v>608</v>
      </c>
      <c r="AU10" s="533" t="s">
        <v>609</v>
      </c>
      <c r="AV10" s="533" t="s">
        <v>610</v>
      </c>
      <c r="AW10" s="533" t="s">
        <v>611</v>
      </c>
    </row>
    <row r="11" spans="1:49" s="61" customFormat="1" ht="15.75" customHeight="1">
      <c r="A11" s="306">
        <f>VLOOKUP(B11,ReportData!$AQ$4:$AR$25,2,FALSE)</f>
        <v>0</v>
      </c>
      <c r="B11" s="885" t="str">
        <f>ReportData!$K$4</f>
        <v>Bracknell Forest</v>
      </c>
      <c r="C11" s="896"/>
      <c r="D11" s="889">
        <f>IF(Year1_Bracknell_Forest Year1_CP_Conference="","",Year1_Bracknell_Forest Year1_CP_Conference)</f>
        <v>257</v>
      </c>
      <c r="E11" s="889">
        <f>IF(Year2_Bracknell_Forest Year2_CP_Conference="","",Year2_Bracknell_Forest Year2_CP_Conference)</f>
        <v>265</v>
      </c>
      <c r="F11" s="889">
        <f>IF(Year3_Bracknell_Forest Year3_CP_Conference="","",Year3_Bracknell_Forest Year3_CP_Conference)</f>
        <v>276</v>
      </c>
      <c r="G11" s="889">
        <f>IF(Year4_Bracknell_Forest Year4_CP_Conference="","",Year4_Bracknell_Forest Year4_CP_Conference)</f>
        <v>245</v>
      </c>
      <c r="H11" s="890">
        <f>IF(Year5_Bracknell_Forest Year5_CP_Conference="","",Year5_Bracknell_Forest Year5_CP_Conference)</f>
        <v>139</v>
      </c>
      <c r="I11" s="900">
        <f>AO11</f>
        <v>-0.11808351579316878</v>
      </c>
      <c r="J11" s="896"/>
      <c r="K11" s="901">
        <f>IF(ISNUMBER(D11),D11/Population!D11*10000,NA())</f>
        <v>94.1460912887391</v>
      </c>
      <c r="L11" s="901">
        <f>IF(ISNUMBER(E11),E11/Population!E11*10000,NA())</f>
        <v>96.035370007972745</v>
      </c>
      <c r="M11" s="901">
        <f>IF(ISNUMBER(F11),F11/Population!F11*10000,NA())</f>
        <v>99.198504834130034</v>
      </c>
      <c r="N11" s="901">
        <f>IF(ISNUMBER(G11),G11/Population!G11*10000,NA())</f>
        <v>86.480762442640298</v>
      </c>
      <c r="O11" s="902">
        <f>IF(ISNUMBER(H11),H11/Population!H11*10000,NA())</f>
        <v>48.521660208747861</v>
      </c>
      <c r="P11" s="903">
        <f>IF(ISNUMBER(O11),O11,"")</f>
        <v>48.521660208747861</v>
      </c>
      <c r="Q11" s="904">
        <f t="shared" ref="Q11:Q31" si="0">IF(ISNA(VLOOKUP(B11,$AF$11:$AH$29,3,FALSE)),"--",IF(ISNUMBER(H11),VLOOKUP(B11,$AF$11:$AH$29,3,FALSE),NA()))</f>
        <v>5</v>
      </c>
      <c r="R11" s="64"/>
      <c r="S11" s="905">
        <f t="shared" ref="S11:S31" si="1">((AQ38*$Y$41)+$Z$41)/$X$2</f>
        <v>48.368129337282127</v>
      </c>
      <c r="T11" s="906">
        <f t="shared" ref="T11:T31" si="2">O11-S11</f>
        <v>0.1535308714657333</v>
      </c>
      <c r="U11" s="89"/>
      <c r="V11" s="103"/>
      <c r="W11" s="115"/>
      <c r="X11" s="51" t="str">
        <f t="shared" ref="X11:X31" si="3">B11</f>
        <v>Bracknell Forest</v>
      </c>
      <c r="Y11" s="27">
        <f>IF(ISNUMBER(H11),IDACI!D9,0)</f>
        <v>24849</v>
      </c>
      <c r="Z11" s="27">
        <f>IF(ISNUMBER(H11),IDACI!E9,0)</f>
        <v>2211.5610000000001</v>
      </c>
      <c r="AA11" s="155">
        <f>IF(ISNUMBER(D11),Population!D11,"")</f>
        <v>27298</v>
      </c>
      <c r="AB11" s="155">
        <f>IF(ISNUMBER(E11),Population!E11,"")</f>
        <v>27594</v>
      </c>
      <c r="AC11" s="155">
        <f>IF(ISNUMBER(F11),Population!F11,"")</f>
        <v>27823</v>
      </c>
      <c r="AD11" s="155">
        <f>IF(ISNUMBER(G11),Population!G11,"")</f>
        <v>28330</v>
      </c>
      <c r="AE11" s="155">
        <f>IF(ISNUMBER(H11),Population!H11,"")</f>
        <v>28647</v>
      </c>
      <c r="AF11" s="65" t="str">
        <f>B11</f>
        <v>Bracknell Forest</v>
      </c>
      <c r="AG11" s="70">
        <f t="shared" ref="AG11:AG29" si="4">IFERROR(VLOOKUP(AF11,$B$11:$O$29,$AG$10,FALSE),"")</f>
        <v>48.521660208747861</v>
      </c>
      <c r="AH11" s="156">
        <f t="shared" ref="AH11:AH29" si="5">RANK(AG11,$AG$11:$AG$29,1)</f>
        <v>5</v>
      </c>
      <c r="AJ11" s="121"/>
      <c r="AK11" s="480">
        <f t="shared" ref="AK11:AK29" si="6">IF(ISERROR((E11-D11)/D11),"x",(E11-D11)/D11)</f>
        <v>3.1128404669260701E-2</v>
      </c>
      <c r="AL11" s="480">
        <f t="shared" ref="AL11:AL29" si="7">IF(ISERROR((F11-E11)/E11),"x",(F11-E11)/E11)</f>
        <v>4.1509433962264149E-2</v>
      </c>
      <c r="AM11" s="480">
        <f t="shared" ref="AM11:AM29" si="8">IF(ISERROR((G11-F11)/F11),"x",(G11-F11)/F11)</f>
        <v>-0.11231884057971014</v>
      </c>
      <c r="AN11" s="480">
        <f t="shared" ref="AN11:AN29" si="9">IF(ISERROR((H11-G11)/G11),"x",(H11-G11)/G11)</f>
        <v>-0.43265306122448982</v>
      </c>
      <c r="AO11" s="480">
        <f>AVERAGE(AK11:AN11)</f>
        <v>-0.11808351579316878</v>
      </c>
      <c r="AQ11" s="531">
        <f t="shared" ref="AQ11:AQ31" si="10">IF(ISNUMBER(L11),L11,"")</f>
        <v>96.035370007972745</v>
      </c>
      <c r="AR11" s="531">
        <f t="shared" ref="AR11:AR31" si="11">IF(ISNUMBER(M11),M11,"")</f>
        <v>99.198504834130034</v>
      </c>
      <c r="AS11" s="531">
        <f t="shared" ref="AS11:AS31" si="12">IF(ISNUMBER(N11),N11,"")</f>
        <v>86.480762442640298</v>
      </c>
      <c r="AT11" s="531">
        <f t="shared" ref="AT11:AT31" si="13">IF(ISNUMBER(O11),O11,"")</f>
        <v>48.521660208747861</v>
      </c>
      <c r="AU11" s="531">
        <f t="shared" ref="AU11:AU23" si="14">SUM(AQ11:AT11)</f>
        <v>330.23629749349089</v>
      </c>
      <c r="AV11" s="350">
        <f t="shared" ref="AV11:AV23" si="15">COUNTBLANK(AQ11:AT11)</f>
        <v>0</v>
      </c>
      <c r="AW11" s="531">
        <f>AU11/(4-AV11)*4</f>
        <v>330.23629749349089</v>
      </c>
    </row>
    <row r="12" spans="1:49" s="61" customFormat="1" ht="15.75" customHeight="1">
      <c r="A12" s="306">
        <f>VLOOKUP(B12,ReportData!$AQ$4:$AR$25,2,FALSE)</f>
        <v>0</v>
      </c>
      <c r="B12" s="885" t="str">
        <f>ReportData!$K$5</f>
        <v>Brighton &amp; Hove</v>
      </c>
      <c r="C12" s="896"/>
      <c r="D12" s="889">
        <f>IF(Year1_Brighton_and_Hove Year1_CP_Conference="","",Year1_Brighton_and_Hove Year1_CP_Conference)</f>
        <v>466</v>
      </c>
      <c r="E12" s="889">
        <f>IF(Year2_Brighton_and_Hove Year2_CP_Conference="","",Year2_Brighton_and_Hove Year2_CP_Conference)</f>
        <v>378</v>
      </c>
      <c r="F12" s="889">
        <f>IF(Year3_Brighton_and_Hove Year3_CP_Conference="","",Year3_Brighton_and_Hove Year3_CP_Conference)</f>
        <v>390</v>
      </c>
      <c r="G12" s="889">
        <f>IF(Year4_Brighton_and_Hove Year4_CP_Conference="","",Year4_Brighton_and_Hove Year4_CP_Conference)</f>
        <v>374</v>
      </c>
      <c r="H12" s="890">
        <f>IF(Year5_Brighton_and_Hove Year5_CP_Conference="","",Year5_Brighton_and_Hove Year5_CP_Conference)</f>
        <v>343</v>
      </c>
      <c r="I12" s="900">
        <f t="shared" ref="I12:I25" si="16">AO12</f>
        <v>-7.025212788277671E-2</v>
      </c>
      <c r="J12" s="896"/>
      <c r="K12" s="901">
        <f>IF(ISNUMBER(D12),D12/Population!D12*10000,NA())</f>
        <v>96.277013346555918</v>
      </c>
      <c r="L12" s="901">
        <f>IF(ISNUMBER(E12),E12/Population!E12*10000,NA())</f>
        <v>78.809106830122587</v>
      </c>
      <c r="M12" s="901">
        <f>IF(ISNUMBER(F12),F12/Population!F12*10000,NA())</f>
        <v>82.758620689655174</v>
      </c>
      <c r="N12" s="901">
        <f>IF(ISNUMBER(G12),G12/Population!G12*10000,NA())</f>
        <v>79.338141705557902</v>
      </c>
      <c r="O12" s="902">
        <f>IF(ISNUMBER(H12),H12/Population!H12*10000,NA())</f>
        <v>73.501050015000217</v>
      </c>
      <c r="P12" s="903">
        <f t="shared" ref="P12:P25" si="17">IF(ISNUMBER(O12),O12,"")</f>
        <v>73.501050015000217</v>
      </c>
      <c r="Q12" s="904">
        <f t="shared" si="0"/>
        <v>13</v>
      </c>
      <c r="R12" s="64"/>
      <c r="S12" s="905">
        <f t="shared" si="1"/>
        <v>61.578052369535875</v>
      </c>
      <c r="T12" s="906">
        <f t="shared" si="2"/>
        <v>11.922997645464342</v>
      </c>
      <c r="U12" s="89"/>
      <c r="V12" s="103"/>
      <c r="W12" s="115"/>
      <c r="X12" s="51" t="str">
        <f t="shared" si="3"/>
        <v>Brighton &amp; Hove</v>
      </c>
      <c r="Y12" s="27">
        <f>IF(ISNUMBER(H12),IDACI!D10,0)</f>
        <v>45576</v>
      </c>
      <c r="Z12" s="27">
        <f>IF(ISNUMBER(H12),IDACI!E10,0)</f>
        <v>6973.1279999999997</v>
      </c>
      <c r="AA12" s="155">
        <f>IF(ISNUMBER(D12),Population!D12,"")</f>
        <v>48402</v>
      </c>
      <c r="AB12" s="155">
        <f>IF(ISNUMBER(E12),Population!E12,"")</f>
        <v>47964</v>
      </c>
      <c r="AC12" s="155">
        <f>IF(ISNUMBER(F12),Population!F12,"")</f>
        <v>47125</v>
      </c>
      <c r="AD12" s="155">
        <f>IF(ISNUMBER(G12),Population!G12,"")</f>
        <v>47140</v>
      </c>
      <c r="AE12" s="155">
        <f>IF(ISNUMBER(H12),Population!H12,"")</f>
        <v>46666</v>
      </c>
      <c r="AF12" s="65" t="s">
        <v>28</v>
      </c>
      <c r="AG12" s="70">
        <f t="shared" si="4"/>
        <v>73.501050015000217</v>
      </c>
      <c r="AH12" s="156">
        <f t="shared" si="5"/>
        <v>13</v>
      </c>
      <c r="AJ12" s="121"/>
      <c r="AK12" s="480">
        <f t="shared" si="6"/>
        <v>-0.18884120171673821</v>
      </c>
      <c r="AL12" s="480">
        <f t="shared" si="7"/>
        <v>3.1746031746031744E-2</v>
      </c>
      <c r="AM12" s="480">
        <f t="shared" si="8"/>
        <v>-4.1025641025641026E-2</v>
      </c>
      <c r="AN12" s="480">
        <f t="shared" si="9"/>
        <v>-8.2887700534759357E-2</v>
      </c>
      <c r="AO12" s="480">
        <f t="shared" ref="AO12:AO25" si="18">AVERAGE(AK12:AN12)</f>
        <v>-7.025212788277671E-2</v>
      </c>
      <c r="AQ12" s="531">
        <f t="shared" si="10"/>
        <v>78.809106830122587</v>
      </c>
      <c r="AR12" s="531">
        <f t="shared" si="11"/>
        <v>82.758620689655174</v>
      </c>
      <c r="AS12" s="531">
        <f t="shared" si="12"/>
        <v>79.338141705557902</v>
      </c>
      <c r="AT12" s="531">
        <f t="shared" si="13"/>
        <v>73.501050015000217</v>
      </c>
      <c r="AU12" s="531">
        <f t="shared" si="14"/>
        <v>314.40691924033587</v>
      </c>
      <c r="AV12" s="350">
        <f t="shared" si="15"/>
        <v>0</v>
      </c>
      <c r="AW12" s="531">
        <f t="shared" ref="AW12:AW25" si="19">AU12/(4-AV12)*4</f>
        <v>314.40691924033587</v>
      </c>
    </row>
    <row r="13" spans="1:49" s="61" customFormat="1" ht="15.75" customHeight="1">
      <c r="A13" s="306">
        <f>VLOOKUP(B13,ReportData!$AQ$4:$AR$25,2,FALSE)</f>
        <v>0</v>
      </c>
      <c r="B13" s="885" t="str">
        <f>ReportData!$K$6</f>
        <v>Buckinghamshire</v>
      </c>
      <c r="C13" s="896"/>
      <c r="D13" s="889">
        <f>IF(Year1_Buckinghamshire Year1_CP_Conference="","",Year1_Buckinghamshire Year1_CP_Conference)</f>
        <v>857</v>
      </c>
      <c r="E13" s="889">
        <f>IF(Year2_Buckinghamshire Year2_CP_Conference="","",Year2_Buckinghamshire Year2_CP_Conference)</f>
        <v>686</v>
      </c>
      <c r="F13" s="889">
        <f>IF(Year3_Buckinghamshire Year3_CP_Conference="","",Year3_Buckinghamshire Year3_CP_Conference)</f>
        <v>1045</v>
      </c>
      <c r="G13" s="889">
        <f>IF(Year4_Buckinghamshire Year4_CP_Conference="","",Year4_Buckinghamshire Year4_CP_Conference)</f>
        <v>712</v>
      </c>
      <c r="H13" s="890">
        <f>IF(Year5_Buckinghamshire Year5_CP_Conference="","",Year5_Buckinghamshire Year5_CP_Conference)</f>
        <v>648</v>
      </c>
      <c r="I13" s="900">
        <f t="shared" si="16"/>
        <v>-2.1189391978254618E-2</v>
      </c>
      <c r="J13" s="896"/>
      <c r="K13" s="901">
        <f>IF(ISNUMBER(D13),D13/Population!D13*10000,NA())</f>
        <v>70.16710742854336</v>
      </c>
      <c r="L13" s="901">
        <f>IF(ISNUMBER(E13),E13/Population!E13*10000,NA())</f>
        <v>56.002285807583988</v>
      </c>
      <c r="M13" s="901">
        <f>IF(ISNUMBER(F13),F13/Population!F13*10000,NA())</f>
        <v>84.608533721965827</v>
      </c>
      <c r="N13" s="901">
        <f>IF(ISNUMBER(G13),G13/Population!G13*10000,NA())</f>
        <v>56.546082674820312</v>
      </c>
      <c r="O13" s="902">
        <f>IF(ISNUMBER(H13),H13/Population!H13*10000,NA())</f>
        <v>50.777331995987964</v>
      </c>
      <c r="P13" s="903">
        <f t="shared" si="17"/>
        <v>50.777331995987964</v>
      </c>
      <c r="Q13" s="904">
        <f t="shared" si="0"/>
        <v>7</v>
      </c>
      <c r="R13" s="64"/>
      <c r="S13" s="905">
        <f t="shared" si="1"/>
        <v>47.542509147766268</v>
      </c>
      <c r="T13" s="906">
        <f t="shared" si="2"/>
        <v>3.2348228482216967</v>
      </c>
      <c r="U13" s="89"/>
      <c r="V13" s="103"/>
      <c r="W13" s="115"/>
      <c r="X13" s="51" t="str">
        <f t="shared" si="3"/>
        <v>Buckinghamshire</v>
      </c>
      <c r="Y13" s="27">
        <f>IF(ISNUMBER(H13),IDACI!D11,0)</f>
        <v>107385</v>
      </c>
      <c r="Z13" s="27">
        <f>IF(ISNUMBER(H13),IDACI!E11,0)</f>
        <v>9127.7250000000004</v>
      </c>
      <c r="AA13" s="155">
        <f>IF(ISNUMBER(D13),Population!D13,"")</f>
        <v>122137</v>
      </c>
      <c r="AB13" s="155">
        <f>IF(ISNUMBER(E13),Population!E13,"")</f>
        <v>122495</v>
      </c>
      <c r="AC13" s="155">
        <f>IF(ISNUMBER(F13),Population!F13,"")</f>
        <v>123510</v>
      </c>
      <c r="AD13" s="155">
        <f>IF(ISNUMBER(G13),Population!G13,"")</f>
        <v>125915</v>
      </c>
      <c r="AE13" s="155">
        <f>IF(ISNUMBER(H13),Population!H13,"")</f>
        <v>127616</v>
      </c>
      <c r="AF13" s="65" t="s">
        <v>8</v>
      </c>
      <c r="AG13" s="70">
        <f t="shared" si="4"/>
        <v>50.777331995987964</v>
      </c>
      <c r="AH13" s="156">
        <f t="shared" si="5"/>
        <v>7</v>
      </c>
      <c r="AJ13" s="121"/>
      <c r="AK13" s="480">
        <f t="shared" si="6"/>
        <v>-0.19953325554259044</v>
      </c>
      <c r="AL13" s="480">
        <f t="shared" si="7"/>
        <v>0.52332361516034986</v>
      </c>
      <c r="AM13" s="480">
        <f t="shared" si="8"/>
        <v>-0.3186602870813397</v>
      </c>
      <c r="AN13" s="480">
        <f t="shared" si="9"/>
        <v>-8.98876404494382E-2</v>
      </c>
      <c r="AO13" s="480">
        <f t="shared" si="18"/>
        <v>-2.1189391978254618E-2</v>
      </c>
      <c r="AQ13" s="531">
        <f t="shared" si="10"/>
        <v>56.002285807583988</v>
      </c>
      <c r="AR13" s="531">
        <f t="shared" si="11"/>
        <v>84.608533721965827</v>
      </c>
      <c r="AS13" s="531">
        <f t="shared" si="12"/>
        <v>56.546082674820312</v>
      </c>
      <c r="AT13" s="531">
        <f t="shared" si="13"/>
        <v>50.777331995987964</v>
      </c>
      <c r="AU13" s="531">
        <f>SUM(AQ13:AT13)</f>
        <v>247.93423420035808</v>
      </c>
      <c r="AV13" s="350">
        <f>COUNTBLANK(AQ13:AT13)</f>
        <v>0</v>
      </c>
      <c r="AW13" s="531">
        <f>AU13/(4-AV13)*4</f>
        <v>247.93423420035808</v>
      </c>
    </row>
    <row r="14" spans="1:49" s="61" customFormat="1" ht="15.75" customHeight="1">
      <c r="A14" s="306">
        <f>VLOOKUP(B14,ReportData!$AQ$4:$AR$25,2,FALSE)</f>
        <v>0</v>
      </c>
      <c r="B14" s="885" t="str">
        <f>ReportData!$K$7</f>
        <v>East Sussex</v>
      </c>
      <c r="C14" s="896"/>
      <c r="D14" s="889">
        <f>IF(Year1_East_Sussex Year1_CP_Conference="","",Year1_East_Sussex Year1_CP_Conference)</f>
        <v>687</v>
      </c>
      <c r="E14" s="889">
        <f>IF(Year2_East_Sussex Year2_CP_Conference="","",Year2_East_Sussex Year2_CP_Conference)</f>
        <v>751</v>
      </c>
      <c r="F14" s="889">
        <f>IF(Year3_East_Sussex Year3_CP_Conference="","",Year3_East_Sussex Year3_CP_Conference)</f>
        <v>691</v>
      </c>
      <c r="G14" s="889">
        <f>IF(Year4_East_Sussex Year4_CP_Conference="","",Year4_East_Sussex Year4_CP_Conference)</f>
        <v>821</v>
      </c>
      <c r="H14" s="890">
        <f>IF(Year5_East_Sussex Year5_CP_Conference="","",Year5_East_Sussex Year5_CP_Conference)</f>
        <v>825</v>
      </c>
      <c r="I14" s="900">
        <f t="shared" si="16"/>
        <v>5.1567608260174078E-2</v>
      </c>
      <c r="J14" s="896"/>
      <c r="K14" s="901">
        <f>IF(ISNUMBER(D14),D14/Population!D14*10000,NA())</f>
        <v>66.75022590141954</v>
      </c>
      <c r="L14" s="901">
        <f>IF(ISNUMBER(E14),E14/Population!E14*10000,NA())</f>
        <v>73.326238295628741</v>
      </c>
      <c r="M14" s="901">
        <f>IF(ISNUMBER(F14),F14/Population!F14*10000,NA())</f>
        <v>67.772339862101433</v>
      </c>
      <c r="N14" s="901">
        <f>IF(ISNUMBER(G14),G14/Population!G14*10000,NA())</f>
        <v>79.844395818137613</v>
      </c>
      <c r="O14" s="902">
        <f>IF(ISNUMBER(H14),H14/Population!H14*10000,NA())</f>
        <v>79.628592938632906</v>
      </c>
      <c r="P14" s="903">
        <f t="shared" si="17"/>
        <v>79.628592938632906</v>
      </c>
      <c r="Q14" s="904">
        <f t="shared" si="0"/>
        <v>15</v>
      </c>
      <c r="R14" s="64"/>
      <c r="S14" s="905">
        <f t="shared" si="1"/>
        <v>63.229292748567595</v>
      </c>
      <c r="T14" s="906">
        <f t="shared" si="2"/>
        <v>16.399300190065311</v>
      </c>
      <c r="U14" s="89"/>
      <c r="V14" s="103"/>
      <c r="W14" s="115"/>
      <c r="X14" s="51" t="str">
        <f t="shared" si="3"/>
        <v>East Sussex</v>
      </c>
      <c r="Y14" s="27">
        <f>IF(ISNUMBER(H14),IDACI!D12,0)</f>
        <v>93130</v>
      </c>
      <c r="Z14" s="27">
        <f>IF(ISNUMBER(H14),IDACI!E12,0)</f>
        <v>14993.93</v>
      </c>
      <c r="AA14" s="155">
        <f>IF(ISNUMBER(D14),Population!D14,"")</f>
        <v>102921</v>
      </c>
      <c r="AB14" s="155">
        <f>IF(ISNUMBER(E14),Population!E14,"")</f>
        <v>102419</v>
      </c>
      <c r="AC14" s="155">
        <f>IF(ISNUMBER(F14),Population!F14,"")</f>
        <v>101959</v>
      </c>
      <c r="AD14" s="155">
        <f>IF(ISNUMBER(G14),Population!G14,"")</f>
        <v>102825</v>
      </c>
      <c r="AE14" s="155">
        <f>IF(ISNUMBER(H14),Population!H14,"")</f>
        <v>103606</v>
      </c>
      <c r="AF14" s="65" t="s">
        <v>4</v>
      </c>
      <c r="AG14" s="70">
        <f t="shared" si="4"/>
        <v>79.628592938632906</v>
      </c>
      <c r="AH14" s="156">
        <f t="shared" si="5"/>
        <v>15</v>
      </c>
      <c r="AJ14" s="121"/>
      <c r="AK14" s="480">
        <f t="shared" si="6"/>
        <v>9.3158660844250368E-2</v>
      </c>
      <c r="AL14" s="480">
        <f t="shared" si="7"/>
        <v>-7.9893475366178426E-2</v>
      </c>
      <c r="AM14" s="480">
        <f t="shared" si="8"/>
        <v>0.18813314037626627</v>
      </c>
      <c r="AN14" s="480">
        <f t="shared" si="9"/>
        <v>4.8721071863580996E-3</v>
      </c>
      <c r="AO14" s="480">
        <f t="shared" si="18"/>
        <v>5.1567608260174078E-2</v>
      </c>
      <c r="AQ14" s="531">
        <f t="shared" si="10"/>
        <v>73.326238295628741</v>
      </c>
      <c r="AR14" s="531">
        <f t="shared" si="11"/>
        <v>67.772339862101433</v>
      </c>
      <c r="AS14" s="531">
        <f t="shared" si="12"/>
        <v>79.844395818137613</v>
      </c>
      <c r="AT14" s="531">
        <f t="shared" si="13"/>
        <v>79.628592938632906</v>
      </c>
      <c r="AU14" s="531">
        <f t="shared" si="14"/>
        <v>300.57156691450069</v>
      </c>
      <c r="AV14" s="350">
        <f t="shared" si="15"/>
        <v>0</v>
      </c>
      <c r="AW14" s="531">
        <f t="shared" si="19"/>
        <v>300.57156691450069</v>
      </c>
    </row>
    <row r="15" spans="1:49" s="61" customFormat="1" ht="15.75" customHeight="1">
      <c r="A15" s="306">
        <f>VLOOKUP(B15,ReportData!$AQ$4:$AR$25,2,FALSE)</f>
        <v>0</v>
      </c>
      <c r="B15" s="885" t="str">
        <f>ReportData!$K$8</f>
        <v>Hampshire</v>
      </c>
      <c r="C15" s="896"/>
      <c r="D15" s="889">
        <f>IF(Year1_Hampshire Year1_CP_Conference="","",Year1_Hampshire Year1_CP_Conference)</f>
        <v>1585</v>
      </c>
      <c r="E15" s="889">
        <f>IF(Year2_Hampshire Year2_CP_Conference="","",Year2_Hampshire Year2_CP_Conference)</f>
        <v>1705</v>
      </c>
      <c r="F15" s="891">
        <f>IF(Year3_Hampshire Year3_CP_Conference="","",Year3_Hampshire Year3_CP_Conference)</f>
        <v>1634</v>
      </c>
      <c r="G15" s="891">
        <f>IF(Year4_Hampshire Year4_CP_Conference="","",Year4_Hampshire Year4_CP_Conference)</f>
        <v>1664</v>
      </c>
      <c r="H15" s="890" t="str">
        <f>IF(Year5_Hampshire Year5_CP_Conference="","",Year5_Hampshire Year5_CP_Conference)</f>
        <v>u</v>
      </c>
      <c r="I15" s="900">
        <f t="shared" si="16"/>
        <v>1.7475801187327607E-2</v>
      </c>
      <c r="J15" s="896"/>
      <c r="K15" s="901">
        <f>IF(ISNUMBER(D15),D15/Population!D15*10000,NA())</f>
        <v>56.74088923892031</v>
      </c>
      <c r="L15" s="901">
        <f>IF(ISNUMBER(E15),E15/Population!E15*10000,NA())</f>
        <v>61.007027437060792</v>
      </c>
      <c r="M15" s="901">
        <f>IF(ISNUMBER(F15),F15/Population!F15*10000,NA())</f>
        <v>58.164162475216159</v>
      </c>
      <c r="N15" s="901">
        <f>IF(ISNUMBER(G15),G15/Population!G15*10000,NA())</f>
        <v>58.697576961201037</v>
      </c>
      <c r="O15" s="902" t="e">
        <f>IF(ISNUMBER(H15),H15/Population!H15*10000,NA())</f>
        <v>#N/A</v>
      </c>
      <c r="P15" s="903" t="str">
        <f t="shared" si="17"/>
        <v/>
      </c>
      <c r="Q15" s="904" t="e">
        <f t="shared" si="0"/>
        <v>#N/A</v>
      </c>
      <c r="R15" s="64"/>
      <c r="S15" s="905">
        <f t="shared" si="1"/>
        <v>50.844989905829706</v>
      </c>
      <c r="T15" s="906" t="e">
        <f t="shared" si="2"/>
        <v>#N/A</v>
      </c>
      <c r="U15" s="89"/>
      <c r="V15" s="103"/>
      <c r="W15" s="115"/>
      <c r="X15" s="51" t="str">
        <f t="shared" si="3"/>
        <v>Hampshire</v>
      </c>
      <c r="Y15" s="27">
        <f>IF(ISNUMBER(H15),IDACI!D13,0)</f>
        <v>0</v>
      </c>
      <c r="Z15" s="27">
        <f>IF(ISNUMBER(H15),IDACI!E13,0)</f>
        <v>0</v>
      </c>
      <c r="AA15" s="155">
        <f>IF(ISNUMBER(D15),Population!D15,"")</f>
        <v>279340</v>
      </c>
      <c r="AB15" s="155">
        <f>IF(ISNUMBER(E15),Population!E15,"")</f>
        <v>279476</v>
      </c>
      <c r="AC15" s="155">
        <f>IF(ISNUMBER(F15),Population!F15,"")</f>
        <v>280929</v>
      </c>
      <c r="AD15" s="155">
        <f>IF(ISNUMBER(G15),Population!G15,"")</f>
        <v>283487</v>
      </c>
      <c r="AE15" s="155" t="str">
        <f>IF(ISNUMBER(H15),Population!H15,"")</f>
        <v/>
      </c>
      <c r="AF15" s="65" t="s">
        <v>6</v>
      </c>
      <c r="AG15" s="70" t="str">
        <f t="shared" si="4"/>
        <v/>
      </c>
      <c r="AH15" s="156" t="e">
        <f t="shared" si="5"/>
        <v>#VALUE!</v>
      </c>
      <c r="AJ15" s="121"/>
      <c r="AK15" s="480">
        <f t="shared" si="6"/>
        <v>7.5709779179810727E-2</v>
      </c>
      <c r="AL15" s="480">
        <f t="shared" si="7"/>
        <v>-4.1642228739002932E-2</v>
      </c>
      <c r="AM15" s="480">
        <f t="shared" si="8"/>
        <v>1.8359853121175031E-2</v>
      </c>
      <c r="AN15" s="480" t="str">
        <f t="shared" si="9"/>
        <v>x</v>
      </c>
      <c r="AO15" s="480">
        <f t="shared" si="18"/>
        <v>1.7475801187327607E-2</v>
      </c>
      <c r="AQ15" s="531">
        <f t="shared" si="10"/>
        <v>61.007027437060792</v>
      </c>
      <c r="AR15" s="531">
        <f t="shared" si="11"/>
        <v>58.164162475216159</v>
      </c>
      <c r="AS15" s="531">
        <f t="shared" si="12"/>
        <v>58.697576961201037</v>
      </c>
      <c r="AT15" s="531" t="str">
        <f t="shared" si="13"/>
        <v/>
      </c>
      <c r="AU15" s="531">
        <f t="shared" si="14"/>
        <v>177.86876687347799</v>
      </c>
      <c r="AV15" s="350">
        <f t="shared" si="15"/>
        <v>1</v>
      </c>
      <c r="AW15" s="531">
        <f t="shared" si="19"/>
        <v>237.15835583130399</v>
      </c>
    </row>
    <row r="16" spans="1:49" s="61" customFormat="1" ht="15.75" customHeight="1">
      <c r="A16" s="306">
        <f>VLOOKUP(B16,ReportData!$AQ$4:$AR$25,2,FALSE)</f>
        <v>0</v>
      </c>
      <c r="B16" s="885" t="str">
        <f>ReportData!$K$9</f>
        <v>Isle of Wight</v>
      </c>
      <c r="C16" s="896"/>
      <c r="D16" s="889">
        <f>IF(Year1_Isle_of_Wight Year1_CP_Conference="","",Year1_Isle_of_Wight Year1_CP_Conference)</f>
        <v>154</v>
      </c>
      <c r="E16" s="889">
        <f>IF(Year2_Isle_of_Wight Year2_CP_Conference="","",Year2_Isle_of_Wight Year2_CP_Conference)</f>
        <v>257</v>
      </c>
      <c r="F16" s="889">
        <f>IF(Year3_Isle_of_Wight Year3_CP_Conference="","",Year3_Isle_of_Wight Year3_CP_Conference)</f>
        <v>274</v>
      </c>
      <c r="G16" s="889">
        <f>IF(Year4_Isle_of_Wight Year4_CP_Conference="","",Year4_Isle_of_Wight Year4_CP_Conference)</f>
        <v>327</v>
      </c>
      <c r="H16" s="890">
        <f>IF(Year5_Isle_of_Wight Year5_CP_Conference="","",Year5_Isle_of_Wight Year5_CP_Conference)</f>
        <v>276</v>
      </c>
      <c r="I16" s="900">
        <f t="shared" si="16"/>
        <v>0.19311159573384018</v>
      </c>
      <c r="J16" s="896"/>
      <c r="K16" s="901">
        <f>IF(ISNUMBER(D16),D16/Population!D16*10000,NA())</f>
        <v>63.371877700506154</v>
      </c>
      <c r="L16" s="901">
        <f>IF(ISNUMBER(E16),E16/Population!E16*10000,NA())</f>
        <v>107.56738657291143</v>
      </c>
      <c r="M16" s="901">
        <f>IF(ISNUMBER(F16),F16/Population!F16*10000,NA())</f>
        <v>115.92486038246741</v>
      </c>
      <c r="N16" s="901">
        <f>IF(ISNUMBER(G16),G16/Population!G16*10000,NA())</f>
        <v>138.94790515849408</v>
      </c>
      <c r="O16" s="902">
        <f>IF(ISNUMBER(H16),H16/Population!H16*10000,NA())</f>
        <v>117.7574878402594</v>
      </c>
      <c r="P16" s="903">
        <f t="shared" si="17"/>
        <v>117.7574878402594</v>
      </c>
      <c r="Q16" s="904">
        <f t="shared" si="0"/>
        <v>18</v>
      </c>
      <c r="R16" s="64"/>
      <c r="S16" s="905">
        <f t="shared" si="1"/>
        <v>67.150988648767935</v>
      </c>
      <c r="T16" s="906">
        <f t="shared" si="2"/>
        <v>50.606499191491466</v>
      </c>
      <c r="U16" s="89"/>
      <c r="V16" s="103"/>
      <c r="W16" s="115"/>
      <c r="X16" s="51" t="str">
        <f t="shared" si="3"/>
        <v>Isle of Wight</v>
      </c>
      <c r="Y16" s="27">
        <f>IF(ISNUMBER(H16),IDACI!D14,0)</f>
        <v>22123</v>
      </c>
      <c r="Z16" s="27">
        <f>IF(ISNUMBER(H16),IDACI!E14,0)</f>
        <v>3982.14</v>
      </c>
      <c r="AA16" s="155">
        <f>IF(ISNUMBER(D16),Population!D16,"")</f>
        <v>24301</v>
      </c>
      <c r="AB16" s="155">
        <f>IF(ISNUMBER(E16),Population!E16,"")</f>
        <v>23892</v>
      </c>
      <c r="AC16" s="155">
        <f>IF(ISNUMBER(F16),Population!F16,"")</f>
        <v>23636</v>
      </c>
      <c r="AD16" s="155">
        <f>IF(ISNUMBER(G16),Population!G16,"")</f>
        <v>23534</v>
      </c>
      <c r="AE16" s="155">
        <f>IF(ISNUMBER(H16),Population!H16,"")</f>
        <v>23438</v>
      </c>
      <c r="AF16" s="65" t="s">
        <v>1</v>
      </c>
      <c r="AG16" s="70">
        <f t="shared" si="4"/>
        <v>117.7574878402594</v>
      </c>
      <c r="AH16" s="156">
        <f t="shared" si="5"/>
        <v>18</v>
      </c>
      <c r="AJ16" s="121"/>
      <c r="AK16" s="480">
        <f t="shared" si="6"/>
        <v>0.66883116883116878</v>
      </c>
      <c r="AL16" s="480">
        <f t="shared" si="7"/>
        <v>6.6147859922178989E-2</v>
      </c>
      <c r="AM16" s="480">
        <f t="shared" si="8"/>
        <v>0.19343065693430658</v>
      </c>
      <c r="AN16" s="480">
        <f t="shared" si="9"/>
        <v>-0.15596330275229359</v>
      </c>
      <c r="AO16" s="480">
        <f t="shared" si="18"/>
        <v>0.19311159573384018</v>
      </c>
      <c r="AQ16" s="531">
        <f t="shared" si="10"/>
        <v>107.56738657291143</v>
      </c>
      <c r="AR16" s="531">
        <f t="shared" si="11"/>
        <v>115.92486038246741</v>
      </c>
      <c r="AS16" s="531">
        <f t="shared" si="12"/>
        <v>138.94790515849408</v>
      </c>
      <c r="AT16" s="531">
        <f t="shared" si="13"/>
        <v>117.7574878402594</v>
      </c>
      <c r="AU16" s="531">
        <f t="shared" si="14"/>
        <v>480.19763995413234</v>
      </c>
      <c r="AV16" s="350">
        <f t="shared" si="15"/>
        <v>0</v>
      </c>
      <c r="AW16" s="531">
        <f t="shared" si="19"/>
        <v>480.19763995413234</v>
      </c>
    </row>
    <row r="17" spans="1:49" s="61" customFormat="1" ht="15.75" customHeight="1">
      <c r="A17" s="306">
        <f>VLOOKUP(B17,ReportData!$AQ$4:$AR$25,2,FALSE)</f>
        <v>0</v>
      </c>
      <c r="B17" s="885" t="str">
        <f>ReportData!$K$10</f>
        <v>Kent</v>
      </c>
      <c r="C17" s="896"/>
      <c r="D17" s="889">
        <f>IF(Year1_Kent Year1_CP_Conference="","",Year1_Kent Year1_CP_Conference)</f>
        <v>1705</v>
      </c>
      <c r="E17" s="889">
        <f>IF(Year2_Kent Year2_CP_Conference="","",Year2_Kent Year2_CP_Conference)</f>
        <v>1498</v>
      </c>
      <c r="F17" s="889">
        <f>IF(Year3_Kent Year3_CP_Conference="","",Year3_Kent Year3_CP_Conference)</f>
        <v>1696</v>
      </c>
      <c r="G17" s="889">
        <f>IF(Year4_Kent Year4_CP_Conference="","",Year4_Kent Year4_CP_Conference)</f>
        <v>1783</v>
      </c>
      <c r="H17" s="890">
        <f>IF(Year5_Kent Year5_CP_Conference="","",Year5_Kent Year5_CP_Conference)</f>
        <v>1558</v>
      </c>
      <c r="I17" s="900">
        <f t="shared" si="16"/>
        <v>-1.6031507848924612E-2</v>
      </c>
      <c r="J17" s="896"/>
      <c r="K17" s="901">
        <f>IF(ISNUMBER(D17),D17/Population!D17*10000,NA())</f>
        <v>51.1485166930159</v>
      </c>
      <c r="L17" s="901">
        <f>IF(ISNUMBER(E17),E17/Population!E17*10000,NA())</f>
        <v>44.793435877807809</v>
      </c>
      <c r="M17" s="901">
        <f>IF(ISNUMBER(F17),F17/Population!F17*10000,NA())</f>
        <v>50.462523542730992</v>
      </c>
      <c r="N17" s="901">
        <f>IF(ISNUMBER(G17),G17/Population!G17*10000,NA())</f>
        <v>52.004036656575025</v>
      </c>
      <c r="O17" s="902">
        <f>IF(ISNUMBER(H17),H17/Population!H17*10000,NA())</f>
        <v>44.727443932799744</v>
      </c>
      <c r="P17" s="903">
        <f t="shared" si="17"/>
        <v>44.727443932799744</v>
      </c>
      <c r="Q17" s="904">
        <f t="shared" si="0"/>
        <v>3</v>
      </c>
      <c r="R17" s="64"/>
      <c r="S17" s="905">
        <f t="shared" si="1"/>
        <v>62.6100776064307</v>
      </c>
      <c r="T17" s="906">
        <f t="shared" si="2"/>
        <v>-17.882633673630956</v>
      </c>
      <c r="U17" s="89"/>
      <c r="V17" s="103"/>
      <c r="W17" s="115"/>
      <c r="X17" s="51" t="str">
        <f t="shared" si="3"/>
        <v>Kent</v>
      </c>
      <c r="Y17" s="27">
        <f>IF(ISNUMBER(H17),IDACI!D15,0)</f>
        <v>291866</v>
      </c>
      <c r="Z17" s="27">
        <f>IF(ISNUMBER(H17),IDACI!E15,0)</f>
        <v>46114.828000000001</v>
      </c>
      <c r="AA17" s="155">
        <f>IF(ISNUMBER(D17),Population!D17,"")</f>
        <v>333343</v>
      </c>
      <c r="AB17" s="155">
        <f>IF(ISNUMBER(E17),Population!E17,"")</f>
        <v>334424</v>
      </c>
      <c r="AC17" s="155">
        <f>IF(ISNUMBER(F17),Population!F17,"")</f>
        <v>336091</v>
      </c>
      <c r="AD17" s="155">
        <f>IF(ISNUMBER(G17),Population!G17,"")</f>
        <v>342858</v>
      </c>
      <c r="AE17" s="155">
        <f>IF(ISNUMBER(H17),Population!H17,"")</f>
        <v>348332</v>
      </c>
      <c r="AF17" s="65" t="s">
        <v>9</v>
      </c>
      <c r="AG17" s="70">
        <f t="shared" si="4"/>
        <v>44.727443932799744</v>
      </c>
      <c r="AH17" s="156">
        <f t="shared" si="5"/>
        <v>3</v>
      </c>
      <c r="AJ17" s="121"/>
      <c r="AK17" s="480">
        <f t="shared" si="6"/>
        <v>-0.12140762463343109</v>
      </c>
      <c r="AL17" s="480">
        <f t="shared" si="7"/>
        <v>0.1321762349799733</v>
      </c>
      <c r="AM17" s="480">
        <f t="shared" si="8"/>
        <v>5.1297169811320757E-2</v>
      </c>
      <c r="AN17" s="480">
        <f t="shared" si="9"/>
        <v>-0.12619181155356141</v>
      </c>
      <c r="AO17" s="480">
        <f t="shared" si="18"/>
        <v>-1.6031507848924612E-2</v>
      </c>
      <c r="AQ17" s="531">
        <f t="shared" si="10"/>
        <v>44.793435877807809</v>
      </c>
      <c r="AR17" s="531">
        <f t="shared" si="11"/>
        <v>50.462523542730992</v>
      </c>
      <c r="AS17" s="531">
        <f t="shared" si="12"/>
        <v>52.004036656575025</v>
      </c>
      <c r="AT17" s="531">
        <f t="shared" si="13"/>
        <v>44.727443932799744</v>
      </c>
      <c r="AU17" s="531">
        <f t="shared" si="14"/>
        <v>191.9874400099136</v>
      </c>
      <c r="AV17" s="350">
        <f t="shared" si="15"/>
        <v>0</v>
      </c>
      <c r="AW17" s="531">
        <f t="shared" si="19"/>
        <v>191.9874400099136</v>
      </c>
    </row>
    <row r="18" spans="1:49" s="61" customFormat="1" ht="15.75" customHeight="1">
      <c r="A18" s="306">
        <f>VLOOKUP(B18,ReportData!$AQ$4:$AR$25,2,FALSE)</f>
        <v>0</v>
      </c>
      <c r="B18" s="885" t="str">
        <f>ReportData!$K$11</f>
        <v>Medway</v>
      </c>
      <c r="C18" s="896"/>
      <c r="D18" s="889">
        <f>IF(Year1_Medway Year1_CP_Conference="","",Year1_Medway Year1_CP_Conference)</f>
        <v>667</v>
      </c>
      <c r="E18" s="1173">
        <f>IF(Year2_Medway Year2_CP_Conference="","",Year2_Medway Year2_CP_Conference)</f>
        <v>267</v>
      </c>
      <c r="F18" s="1173">
        <f>IF(Year3_Medway Year3_CP_Conference="","",Year3_Medway Year3_CP_Conference)</f>
        <v>312</v>
      </c>
      <c r="G18" s="1173">
        <f>IF(Year4_Medway Year4_CP_Conference="","",Year4_Medway Year4_CP_Conference)</f>
        <v>463</v>
      </c>
      <c r="H18" s="1174">
        <f>IF(Year5_Medway Year5_CP_Conference="","",Year5_Medway Year5_CP_Conference)</f>
        <v>475</v>
      </c>
      <c r="I18" s="900">
        <f t="shared" si="16"/>
        <v>1.9682865364473199E-2</v>
      </c>
      <c r="J18" s="896"/>
      <c r="K18" s="901">
        <f>IF(ISNUMBER(D18),D18/Population!D18*10000,NA())</f>
        <v>104.75562256564895</v>
      </c>
      <c r="L18" s="901">
        <f>IF(ISNUMBER(E18),E18/Population!E18*10000,NA())</f>
        <v>41.918517937043724</v>
      </c>
      <c r="M18" s="901">
        <f>IF(ISNUMBER(F18),F18/Population!F18*10000,NA())</f>
        <v>48.889794255449175</v>
      </c>
      <c r="N18" s="901">
        <f>IF(ISNUMBER(G18),G18/Population!G18*10000,NA())</f>
        <v>71.280117004079742</v>
      </c>
      <c r="O18" s="902">
        <f>IF(ISNUMBER(H18),H18/Population!H18*10000,NA())</f>
        <v>71.228275376010316</v>
      </c>
      <c r="P18" s="903">
        <f t="shared" si="17"/>
        <v>71.228275376010316</v>
      </c>
      <c r="Q18" s="904">
        <f t="shared" si="0"/>
        <v>11</v>
      </c>
      <c r="R18" s="64"/>
      <c r="S18" s="905">
        <f t="shared" si="1"/>
        <v>69.008634075178605</v>
      </c>
      <c r="T18" s="906">
        <f t="shared" si="2"/>
        <v>2.2196413008317109</v>
      </c>
      <c r="U18" s="89"/>
      <c r="V18" s="103"/>
      <c r="W18" s="115"/>
      <c r="X18" s="51" t="str">
        <f t="shared" si="3"/>
        <v>Medway</v>
      </c>
      <c r="Y18" s="27">
        <f>IF(ISNUMBER(H18),IDACI!D16,0)</f>
        <v>55993</v>
      </c>
      <c r="Z18" s="27">
        <f>IF(ISNUMBER(H18),IDACI!E16,0)</f>
        <v>10582.676999999998</v>
      </c>
      <c r="AA18" s="155">
        <f>IF(ISNUMBER(D18),Population!D18,"")</f>
        <v>63672</v>
      </c>
      <c r="AB18" s="155">
        <f>IF(ISNUMBER(E18),Population!E18,"")</f>
        <v>63695</v>
      </c>
      <c r="AC18" s="155">
        <f>IF(ISNUMBER(F18),Population!F18,"")</f>
        <v>63817</v>
      </c>
      <c r="AD18" s="155">
        <f>IF(ISNUMBER(G18),Population!G18,"")</f>
        <v>64955</v>
      </c>
      <c r="AE18" s="155">
        <f>IF(ISNUMBER(H18),Population!H18,"")</f>
        <v>66687</v>
      </c>
      <c r="AF18" s="65" t="s">
        <v>2</v>
      </c>
      <c r="AG18" s="70">
        <f t="shared" si="4"/>
        <v>71.228275376010316</v>
      </c>
      <c r="AH18" s="156">
        <f t="shared" si="5"/>
        <v>11</v>
      </c>
      <c r="AJ18" s="121"/>
      <c r="AK18" s="480">
        <f t="shared" si="6"/>
        <v>-0.59970014992503751</v>
      </c>
      <c r="AL18" s="480">
        <f t="shared" si="7"/>
        <v>0.16853932584269662</v>
      </c>
      <c r="AM18" s="480">
        <f t="shared" si="8"/>
        <v>0.48397435897435898</v>
      </c>
      <c r="AN18" s="480">
        <f t="shared" si="9"/>
        <v>2.591792656587473E-2</v>
      </c>
      <c r="AO18" s="480">
        <f t="shared" si="18"/>
        <v>1.9682865364473199E-2</v>
      </c>
      <c r="AQ18" s="531">
        <f t="shared" si="10"/>
        <v>41.918517937043724</v>
      </c>
      <c r="AR18" s="531">
        <f t="shared" si="11"/>
        <v>48.889794255449175</v>
      </c>
      <c r="AS18" s="531">
        <f t="shared" si="12"/>
        <v>71.280117004079742</v>
      </c>
      <c r="AT18" s="531">
        <f t="shared" si="13"/>
        <v>71.228275376010316</v>
      </c>
      <c r="AU18" s="531">
        <f t="shared" si="14"/>
        <v>233.31670457258295</v>
      </c>
      <c r="AV18" s="350">
        <f t="shared" si="15"/>
        <v>0</v>
      </c>
      <c r="AW18" s="531">
        <f t="shared" si="19"/>
        <v>233.31670457258295</v>
      </c>
    </row>
    <row r="19" spans="1:49" s="61" customFormat="1" ht="15.75" customHeight="1">
      <c r="A19" s="306">
        <f>VLOOKUP(B19,ReportData!$AQ$4:$AR$25,2,FALSE)</f>
        <v>0</v>
      </c>
      <c r="B19" s="885" t="str">
        <f>ReportData!$K$12</f>
        <v>Milton Keynes</v>
      </c>
      <c r="C19" s="896"/>
      <c r="D19" s="889">
        <f>IF(Year1_Milton_Keynes Year1_CP_Conference="","",Year1_Milton_Keynes Year1_CP_Conference)</f>
        <v>263</v>
      </c>
      <c r="E19" s="889">
        <f>IF(Year2_Milton_Keynes Year2_CP_Conference="","",Year2_Milton_Keynes Year2_CP_Conference)</f>
        <v>268</v>
      </c>
      <c r="F19" s="889">
        <f>IF(Year3_Milton_Keynes Year3_CP_Conference="","",Year3_Milton_Keynes Year3_CP_Conference)</f>
        <v>292</v>
      </c>
      <c r="G19" s="889">
        <f>IF(Year4_Milton_Keynes Year4_CP_Conference="","",Year4_Milton_Keynes Year4_CP_Conference)</f>
        <v>326</v>
      </c>
      <c r="H19" s="890">
        <f>IF(Year5_Milton_Keynes Year5_CP_Conference="","",Year5_Milton_Keynes Year5_CP_Conference)</f>
        <v>335</v>
      </c>
      <c r="I19" s="900">
        <f t="shared" si="16"/>
        <v>6.3152340944412591E-2</v>
      </c>
      <c r="J19" s="896"/>
      <c r="K19" s="901">
        <f>IF(ISNUMBER(D19),D19/Population!D19*10000,NA())</f>
        <v>38.095513999739275</v>
      </c>
      <c r="L19" s="901">
        <f>IF(ISNUMBER(E19),E19/Population!E19*10000,NA())</f>
        <v>38.669648654498232</v>
      </c>
      <c r="M19" s="901">
        <f>IF(ISNUMBER(F19),F19/Population!F19*10000,NA())</f>
        <v>41.932936023551378</v>
      </c>
      <c r="N19" s="901">
        <f>IF(ISNUMBER(G19),G19/Population!G19*10000,NA())</f>
        <v>45.947202999253008</v>
      </c>
      <c r="O19" s="902">
        <f>IF(ISNUMBER(H19),H19/Population!H19*10000,NA())</f>
        <v>46.018379878291682</v>
      </c>
      <c r="P19" s="903">
        <f t="shared" si="17"/>
        <v>46.018379878291682</v>
      </c>
      <c r="Q19" s="904">
        <f t="shared" si="0"/>
        <v>4</v>
      </c>
      <c r="R19" s="64"/>
      <c r="S19" s="905">
        <f t="shared" si="1"/>
        <v>60.95883722739898</v>
      </c>
      <c r="T19" s="906">
        <f t="shared" si="2"/>
        <v>-14.940457349107298</v>
      </c>
      <c r="U19" s="89"/>
      <c r="V19" s="103"/>
      <c r="W19" s="115"/>
      <c r="X19" s="51" t="str">
        <f t="shared" si="3"/>
        <v>Milton Keynes</v>
      </c>
      <c r="Y19" s="27">
        <f>IF(ISNUMBER(H19),IDACI!D17,0)</f>
        <v>59903</v>
      </c>
      <c r="Z19" s="27">
        <f>IF(ISNUMBER(H19),IDACI!E17,0)</f>
        <v>8985.4499999999989</v>
      </c>
      <c r="AA19" s="155">
        <f>IF(ISNUMBER(D19),Population!D19,"")</f>
        <v>69037</v>
      </c>
      <c r="AB19" s="155">
        <f>IF(ISNUMBER(E19),Population!E19,"")</f>
        <v>69305</v>
      </c>
      <c r="AC19" s="155">
        <f>IF(ISNUMBER(F19),Population!F19,"")</f>
        <v>69635</v>
      </c>
      <c r="AD19" s="155">
        <f>IF(ISNUMBER(G19),Population!G19,"")</f>
        <v>70951</v>
      </c>
      <c r="AE19" s="155">
        <f>IF(ISNUMBER(H19),Population!H19,"")</f>
        <v>72797</v>
      </c>
      <c r="AF19" s="65" t="s">
        <v>10</v>
      </c>
      <c r="AG19" s="70">
        <f t="shared" si="4"/>
        <v>46.018379878291682</v>
      </c>
      <c r="AH19" s="156">
        <f t="shared" si="5"/>
        <v>4</v>
      </c>
      <c r="AJ19" s="121"/>
      <c r="AK19" s="480">
        <f t="shared" si="6"/>
        <v>1.9011406844106463E-2</v>
      </c>
      <c r="AL19" s="480">
        <f t="shared" si="7"/>
        <v>8.9552238805970144E-2</v>
      </c>
      <c r="AM19" s="480">
        <f t="shared" si="8"/>
        <v>0.11643835616438356</v>
      </c>
      <c r="AN19" s="480">
        <f t="shared" si="9"/>
        <v>2.7607361963190184E-2</v>
      </c>
      <c r="AO19" s="480">
        <f t="shared" si="18"/>
        <v>6.3152340944412591E-2</v>
      </c>
      <c r="AQ19" s="531">
        <f t="shared" si="10"/>
        <v>38.669648654498232</v>
      </c>
      <c r="AR19" s="531">
        <f t="shared" si="11"/>
        <v>41.932936023551378</v>
      </c>
      <c r="AS19" s="531">
        <f t="shared" si="12"/>
        <v>45.947202999253008</v>
      </c>
      <c r="AT19" s="531">
        <f t="shared" si="13"/>
        <v>46.018379878291682</v>
      </c>
      <c r="AU19" s="531">
        <f t="shared" si="14"/>
        <v>172.5681675555943</v>
      </c>
      <c r="AV19" s="350">
        <f t="shared" si="15"/>
        <v>0</v>
      </c>
      <c r="AW19" s="531">
        <f t="shared" si="19"/>
        <v>172.5681675555943</v>
      </c>
    </row>
    <row r="20" spans="1:49" s="61" customFormat="1" ht="15.75" customHeight="1">
      <c r="A20" s="306">
        <f>VLOOKUP(B20,ReportData!$AQ$4:$AR$25,2,FALSE)</f>
        <v>0</v>
      </c>
      <c r="B20" s="885" t="str">
        <f>ReportData!$K$13</f>
        <v>Oxfordshire</v>
      </c>
      <c r="C20" s="896"/>
      <c r="D20" s="889">
        <f>IF(Year1_Oxfordshire Year1_CP_Conference="","",Year1_Oxfordshire Year1_CP_Conference)</f>
        <v>866</v>
      </c>
      <c r="E20" s="889">
        <f>IF(Year2_Oxfordshire Year2_CP_Conference="","",Year2_Oxfordshire Year2_CP_Conference)</f>
        <v>774</v>
      </c>
      <c r="F20" s="889">
        <f>IF(Year3_Oxfordshire Year3_CP_Conference="","",Year3_Oxfordshire Year3_CP_Conference)</f>
        <v>838</v>
      </c>
      <c r="G20" s="889">
        <f>IF(Year4_Oxfordshire Year4_CP_Conference="","",Year4_Oxfordshire Year4_CP_Conference)</f>
        <v>825</v>
      </c>
      <c r="H20" s="890">
        <f>IF(Year5_Oxfordshire Year5_CP_Conference="","",Year5_Oxfordshire Year5_CP_Conference)</f>
        <v>744</v>
      </c>
      <c r="I20" s="900">
        <f t="shared" si="16"/>
        <v>-3.4310792998008599E-2</v>
      </c>
      <c r="J20" s="896"/>
      <c r="K20" s="901">
        <f>IF(ISNUMBER(D20),D20/Population!D20*10000,NA())</f>
        <v>59.960257289048599</v>
      </c>
      <c r="L20" s="901">
        <f>IF(ISNUMBER(E20),E20/Population!E20*10000,NA())</f>
        <v>53.298810761677188</v>
      </c>
      <c r="M20" s="901">
        <f>IF(ISNUMBER(F20),F20/Population!F20*10000,NA())</f>
        <v>57.26273207464655</v>
      </c>
      <c r="N20" s="901">
        <f>IF(ISNUMBER(G20),G20/Population!G20*10000,NA())</f>
        <v>55.169923363961004</v>
      </c>
      <c r="O20" s="902">
        <f>IF(ISNUMBER(H20),H20/Population!H20*10000,NA())</f>
        <v>48.785285728336774</v>
      </c>
      <c r="P20" s="903">
        <f t="shared" si="17"/>
        <v>48.785285728336774</v>
      </c>
      <c r="Q20" s="904">
        <f t="shared" si="0"/>
        <v>6</v>
      </c>
      <c r="R20" s="64"/>
      <c r="S20" s="905">
        <f t="shared" si="1"/>
        <v>50.844989905829706</v>
      </c>
      <c r="T20" s="906">
        <f t="shared" si="2"/>
        <v>-2.0597041774929323</v>
      </c>
      <c r="U20" s="89"/>
      <c r="V20" s="103"/>
      <c r="W20" s="115"/>
      <c r="X20" s="51" t="str">
        <f t="shared" si="3"/>
        <v>Oxfordshire</v>
      </c>
      <c r="Y20" s="27">
        <f>IF(ISNUMBER(H20),IDACI!D18,0)</f>
        <v>126119</v>
      </c>
      <c r="Z20" s="27">
        <f>IF(ISNUMBER(H20),IDACI!E18,0)</f>
        <v>12738.019000000002</v>
      </c>
      <c r="AA20" s="155">
        <f>IF(ISNUMBER(D20),Population!D20,"")</f>
        <v>144429</v>
      </c>
      <c r="AB20" s="155">
        <f>IF(ISNUMBER(E20),Population!E20,"")</f>
        <v>145219</v>
      </c>
      <c r="AC20" s="155">
        <f>IF(ISNUMBER(F20),Population!F20,"")</f>
        <v>146343</v>
      </c>
      <c r="AD20" s="155">
        <f>IF(ISNUMBER(G20),Population!G20,"")</f>
        <v>149538</v>
      </c>
      <c r="AE20" s="155">
        <f>IF(ISNUMBER(H20),Population!H20,"")</f>
        <v>152505</v>
      </c>
      <c r="AF20" s="65" t="s">
        <v>11</v>
      </c>
      <c r="AG20" s="70">
        <f t="shared" si="4"/>
        <v>48.785285728336774</v>
      </c>
      <c r="AH20" s="156">
        <f t="shared" si="5"/>
        <v>6</v>
      </c>
      <c r="AJ20" s="121"/>
      <c r="AK20" s="480">
        <f t="shared" si="6"/>
        <v>-0.10623556581986143</v>
      </c>
      <c r="AL20" s="480">
        <f t="shared" si="7"/>
        <v>8.2687338501291993E-2</v>
      </c>
      <c r="AM20" s="480">
        <f t="shared" si="8"/>
        <v>-1.5513126491646777E-2</v>
      </c>
      <c r="AN20" s="480">
        <f t="shared" si="9"/>
        <v>-9.8181818181818176E-2</v>
      </c>
      <c r="AO20" s="480">
        <f t="shared" si="18"/>
        <v>-3.4310792998008599E-2</v>
      </c>
      <c r="AQ20" s="531">
        <f t="shared" si="10"/>
        <v>53.298810761677188</v>
      </c>
      <c r="AR20" s="531">
        <f t="shared" si="11"/>
        <v>57.26273207464655</v>
      </c>
      <c r="AS20" s="531">
        <f t="shared" si="12"/>
        <v>55.169923363961004</v>
      </c>
      <c r="AT20" s="531">
        <f t="shared" si="13"/>
        <v>48.785285728336774</v>
      </c>
      <c r="AU20" s="531">
        <f t="shared" si="14"/>
        <v>214.51675192862149</v>
      </c>
      <c r="AV20" s="350">
        <f t="shared" si="15"/>
        <v>0</v>
      </c>
      <c r="AW20" s="531">
        <f t="shared" si="19"/>
        <v>214.51675192862149</v>
      </c>
    </row>
    <row r="21" spans="1:49" s="61" customFormat="1" ht="15.75" customHeight="1">
      <c r="A21" s="306">
        <f>VLOOKUP(B21,ReportData!$AQ$4:$AR$25,2,FALSE)</f>
        <v>0</v>
      </c>
      <c r="B21" s="885" t="str">
        <f>ReportData!$K$14</f>
        <v>Portsmouth</v>
      </c>
      <c r="C21" s="896"/>
      <c r="D21" s="889">
        <f>IF(Year1_Portsmouth Year1_CP_Conference="","",Year1_Portsmouth Year1_CP_Conference)</f>
        <v>338</v>
      </c>
      <c r="E21" s="889">
        <f>IF(Year2_Portsmouth Year2_CP_Conference="","",Year2_Portsmouth Year2_CP_Conference)</f>
        <v>357</v>
      </c>
      <c r="F21" s="889">
        <f>IF(Year3_Portsmouth Year3_CP_Conference="","",Year3_Portsmouth Year3_CP_Conference)</f>
        <v>280</v>
      </c>
      <c r="G21" s="889">
        <f>IF(Year4_Portsmouth Year4_CP_Conference="","",Year4_Portsmouth Year4_CP_Conference)</f>
        <v>276</v>
      </c>
      <c r="H21" s="890">
        <f>IF(Year5_Portsmouth Year5_CP_Conference="","",Year5_Portsmouth Year5_CP_Conference)</f>
        <v>341</v>
      </c>
      <c r="I21" s="900">
        <f t="shared" si="16"/>
        <v>1.5437068833193165E-2</v>
      </c>
      <c r="J21" s="896"/>
      <c r="K21" s="901">
        <f>IF(ISNUMBER(D21),D21/Population!D21*10000,NA())</f>
        <v>80.413008826398311</v>
      </c>
      <c r="L21" s="901">
        <f>IF(ISNUMBER(E21),E21/Population!E21*10000,NA())</f>
        <v>85.27409530634182</v>
      </c>
      <c r="M21" s="901">
        <f>IF(ISNUMBER(F21),F21/Population!F21*10000,NA())</f>
        <v>67.556156054720489</v>
      </c>
      <c r="N21" s="901">
        <f>IF(ISNUMBER(G21),G21/Population!G21*10000,NA())</f>
        <v>65.916744286021355</v>
      </c>
      <c r="O21" s="902">
        <f>IF(ISNUMBER(H21),H21/Population!H21*10000,NA())</f>
        <v>80.601318930673401</v>
      </c>
      <c r="P21" s="903">
        <f t="shared" si="17"/>
        <v>80.601318930673401</v>
      </c>
      <c r="Q21" s="904">
        <f t="shared" si="0"/>
        <v>16</v>
      </c>
      <c r="R21" s="64"/>
      <c r="S21" s="905">
        <f t="shared" si="1"/>
        <v>71.691899691105164</v>
      </c>
      <c r="T21" s="906">
        <f t="shared" si="2"/>
        <v>8.909419239568237</v>
      </c>
      <c r="U21" s="89"/>
      <c r="V21" s="103"/>
      <c r="W21" s="115"/>
      <c r="X21" s="51" t="str">
        <f t="shared" si="3"/>
        <v>Portsmouth</v>
      </c>
      <c r="Y21" s="27">
        <f>IF(ISNUMBER(H21),IDACI!D19,0)</f>
        <v>39325</v>
      </c>
      <c r="Z21" s="27">
        <f>IF(ISNUMBER(H21),IDACI!E19,0)</f>
        <v>7943.6500000000015</v>
      </c>
      <c r="AA21" s="155">
        <f>IF(ISNUMBER(D21),Population!D21,"")</f>
        <v>42033</v>
      </c>
      <c r="AB21" s="155">
        <f>IF(ISNUMBER(E21),Population!E21,"")</f>
        <v>41865</v>
      </c>
      <c r="AC21" s="155">
        <f>IF(ISNUMBER(F21),Population!F21,"")</f>
        <v>41447</v>
      </c>
      <c r="AD21" s="155">
        <f>IF(ISNUMBER(G21),Population!G21,"")</f>
        <v>41871</v>
      </c>
      <c r="AE21" s="155">
        <f>IF(ISNUMBER(H21),Population!H21,"")</f>
        <v>42307</v>
      </c>
      <c r="AF21" s="65" t="s">
        <v>12</v>
      </c>
      <c r="AG21" s="70">
        <f t="shared" si="4"/>
        <v>80.601318930673401</v>
      </c>
      <c r="AH21" s="156">
        <f t="shared" si="5"/>
        <v>16</v>
      </c>
      <c r="AJ21" s="121"/>
      <c r="AK21" s="480">
        <f t="shared" si="6"/>
        <v>5.6213017751479293E-2</v>
      </c>
      <c r="AL21" s="480">
        <f t="shared" si="7"/>
        <v>-0.21568627450980393</v>
      </c>
      <c r="AM21" s="480">
        <f t="shared" si="8"/>
        <v>-1.4285714285714285E-2</v>
      </c>
      <c r="AN21" s="480">
        <f t="shared" si="9"/>
        <v>0.23550724637681159</v>
      </c>
      <c r="AO21" s="480">
        <f t="shared" si="18"/>
        <v>1.5437068833193165E-2</v>
      </c>
      <c r="AQ21" s="531">
        <f t="shared" si="10"/>
        <v>85.27409530634182</v>
      </c>
      <c r="AR21" s="531">
        <f t="shared" si="11"/>
        <v>67.556156054720489</v>
      </c>
      <c r="AS21" s="531">
        <f t="shared" si="12"/>
        <v>65.916744286021355</v>
      </c>
      <c r="AT21" s="531">
        <f t="shared" si="13"/>
        <v>80.601318930673401</v>
      </c>
      <c r="AU21" s="531">
        <f t="shared" si="14"/>
        <v>299.34831457775709</v>
      </c>
      <c r="AV21" s="350">
        <f t="shared" si="15"/>
        <v>0</v>
      </c>
      <c r="AW21" s="531">
        <f t="shared" si="19"/>
        <v>299.34831457775709</v>
      </c>
    </row>
    <row r="22" spans="1:49" s="61" customFormat="1" ht="15.75" customHeight="1">
      <c r="A22" s="306">
        <f>VLOOKUP(B22,ReportData!$AQ$4:$AR$25,2,FALSE)</f>
        <v>0</v>
      </c>
      <c r="B22" s="885" t="str">
        <f>ReportData!$K$15</f>
        <v>Reading</v>
      </c>
      <c r="C22" s="896"/>
      <c r="D22" s="889">
        <f>IF(Year1_Reading Year1_CP_Conference="","",Year1_Reading Year1_CP_Conference)</f>
        <v>321</v>
      </c>
      <c r="E22" s="889">
        <f>IF(Year2_Reading Year2_CP_Conference="","",Year2_Reading Year2_CP_Conference)</f>
        <v>384</v>
      </c>
      <c r="F22" s="889">
        <f>IF(Year3_Reading Year3_CP_Conference="","",Year3_Reading Year3_CP_Conference)</f>
        <v>362</v>
      </c>
      <c r="G22" s="889">
        <f>IF(Year4_Reading Year4_CP_Conference="","",Year4_Reading Year4_CP_Conference)</f>
        <v>339</v>
      </c>
      <c r="H22" s="890">
        <f>IF(Year5_Reading Year5_CP_Conference="","",Year5_Reading Year5_CP_Conference)</f>
        <v>309</v>
      </c>
      <c r="I22" s="900">
        <f t="shared" si="16"/>
        <v>-3.2653678117812238E-3</v>
      </c>
      <c r="J22" s="896"/>
      <c r="K22" s="901">
        <f>IF(ISNUMBER(D22),D22/Population!D22*10000,NA())</f>
        <v>86.686470429381586</v>
      </c>
      <c r="L22" s="901">
        <f>IF(ISNUMBER(E22),E22/Population!E22*10000,NA())</f>
        <v>103.86519163668822</v>
      </c>
      <c r="M22" s="901">
        <f>IF(ISNUMBER(F22),F22/Population!F22*10000,NA())</f>
        <v>99.631199427533431</v>
      </c>
      <c r="N22" s="901">
        <f>IF(ISNUMBER(G22),G22/Population!G22*10000,NA())</f>
        <v>90.98228663446055</v>
      </c>
      <c r="O22" s="902">
        <f>IF(ISNUMBER(H22),H22/Population!H22*10000,NA())</f>
        <v>81.468006011231509</v>
      </c>
      <c r="P22" s="903">
        <f t="shared" si="17"/>
        <v>81.468006011231509</v>
      </c>
      <c r="Q22" s="904">
        <f t="shared" si="0"/>
        <v>17</v>
      </c>
      <c r="R22" s="64"/>
      <c r="S22" s="905">
        <f t="shared" si="1"/>
        <v>63.02288770118863</v>
      </c>
      <c r="T22" s="906">
        <f t="shared" si="2"/>
        <v>18.445118310042879</v>
      </c>
      <c r="U22" s="89"/>
      <c r="V22" s="103"/>
      <c r="W22" s="115"/>
      <c r="X22" s="51" t="str">
        <f t="shared" si="3"/>
        <v>Reading</v>
      </c>
      <c r="Y22" s="27">
        <f>IF(ISNUMBER(H22),IDACI!D20,0)</f>
        <v>33203</v>
      </c>
      <c r="Z22" s="27">
        <f>IF(ISNUMBER(H22),IDACI!E20,0)</f>
        <v>5312.4800000000005</v>
      </c>
      <c r="AA22" s="155">
        <f>IF(ISNUMBER(D22),Population!D22,"")</f>
        <v>37030</v>
      </c>
      <c r="AB22" s="155">
        <f>IF(ISNUMBER(E22),Population!E22,"")</f>
        <v>36971</v>
      </c>
      <c r="AC22" s="155">
        <f>IF(ISNUMBER(F22),Population!F22,"")</f>
        <v>36334</v>
      </c>
      <c r="AD22" s="155">
        <f>IF(ISNUMBER(G22),Population!G22,"")</f>
        <v>37260</v>
      </c>
      <c r="AE22" s="155">
        <f>IF(ISNUMBER(H22),Population!H22,"")</f>
        <v>37929</v>
      </c>
      <c r="AF22" s="65" t="s">
        <v>3</v>
      </c>
      <c r="AG22" s="70">
        <f t="shared" si="4"/>
        <v>81.468006011231509</v>
      </c>
      <c r="AH22" s="156">
        <f t="shared" si="5"/>
        <v>17</v>
      </c>
      <c r="AJ22" s="121"/>
      <c r="AK22" s="480">
        <f t="shared" si="6"/>
        <v>0.19626168224299065</v>
      </c>
      <c r="AL22" s="480">
        <f t="shared" si="7"/>
        <v>-5.7291666666666664E-2</v>
      </c>
      <c r="AM22" s="480">
        <f t="shared" si="8"/>
        <v>-6.3535911602209949E-2</v>
      </c>
      <c r="AN22" s="480">
        <f t="shared" si="9"/>
        <v>-8.8495575221238937E-2</v>
      </c>
      <c r="AO22" s="480">
        <f t="shared" si="18"/>
        <v>-3.2653678117812238E-3</v>
      </c>
      <c r="AQ22" s="531">
        <f t="shared" si="10"/>
        <v>103.86519163668822</v>
      </c>
      <c r="AR22" s="531">
        <f t="shared" si="11"/>
        <v>99.631199427533431</v>
      </c>
      <c r="AS22" s="531">
        <f t="shared" si="12"/>
        <v>90.98228663446055</v>
      </c>
      <c r="AT22" s="531">
        <f t="shared" si="13"/>
        <v>81.468006011231509</v>
      </c>
      <c r="AU22" s="531">
        <f t="shared" si="14"/>
        <v>375.94668370991371</v>
      </c>
      <c r="AV22" s="350">
        <f t="shared" si="15"/>
        <v>0</v>
      </c>
      <c r="AW22" s="531">
        <f t="shared" si="19"/>
        <v>375.94668370991371</v>
      </c>
    </row>
    <row r="23" spans="1:49" s="61" customFormat="1" ht="15.75" customHeight="1">
      <c r="A23" s="306">
        <f>VLOOKUP(B23,ReportData!$AQ$4:$AR$25,2,FALSE)</f>
        <v>0</v>
      </c>
      <c r="B23" s="885" t="str">
        <f>ReportData!$K$16</f>
        <v>Slough</v>
      </c>
      <c r="C23" s="896"/>
      <c r="D23" s="889">
        <f>IF(Year1_Slough Year1_CP_Conference="","",Year1_Slough Year1_CP_Conference)</f>
        <v>388</v>
      </c>
      <c r="E23" s="889">
        <f>IF(Year2_Slough Year2_CP_Conference="","",Year2_Slough Year2_CP_Conference)</f>
        <v>447</v>
      </c>
      <c r="F23" s="889">
        <f>IF(Year3_Slough Year3_CP_Conference="","",Year3_Slough Year3_CP_Conference)</f>
        <v>390</v>
      </c>
      <c r="G23" s="889">
        <f>IF(Year4_Slough Year4_CP_Conference="","",Year4_Slough Year4_CP_Conference)</f>
        <v>370</v>
      </c>
      <c r="H23" s="890">
        <f>IF(Year5_Slough Year5_CP_Conference="","",Year5_Slough Year5_CP_Conference)</f>
        <v>314</v>
      </c>
      <c r="I23" s="900">
        <f t="shared" si="16"/>
        <v>-4.4522081371697372E-2</v>
      </c>
      <c r="J23" s="896"/>
      <c r="K23" s="901">
        <f>IF(ISNUMBER(D23),D23/Population!D23*10000,NA())</f>
        <v>89.238482945789926</v>
      </c>
      <c r="L23" s="901">
        <f>IF(ISNUMBER(E23),E23/Population!E23*10000,NA())</f>
        <v>101.82232346241459</v>
      </c>
      <c r="M23" s="901">
        <f>IF(ISNUMBER(F23),F23/Population!F23*10000,NA())</f>
        <v>89.169353179230399</v>
      </c>
      <c r="N23" s="901">
        <f>IF(ISNUMBER(G23),G23/Population!G23*10000,NA())</f>
        <v>83.615819209039557</v>
      </c>
      <c r="O23" s="902">
        <f>IF(ISNUMBER(H23),H23/Population!H23*10000,NA())</f>
        <v>70.012709313474105</v>
      </c>
      <c r="P23" s="903">
        <f t="shared" si="17"/>
        <v>70.012709313474105</v>
      </c>
      <c r="Q23" s="904">
        <f t="shared" si="0"/>
        <v>10</v>
      </c>
      <c r="R23" s="64"/>
      <c r="S23" s="905">
        <f t="shared" si="1"/>
        <v>60.339622085262086</v>
      </c>
      <c r="T23" s="906">
        <f t="shared" si="2"/>
        <v>9.6730872282120188</v>
      </c>
      <c r="U23" s="89"/>
      <c r="V23" s="103"/>
      <c r="W23" s="115"/>
      <c r="X23" s="51" t="str">
        <f t="shared" si="3"/>
        <v>Slough</v>
      </c>
      <c r="Y23" s="27">
        <f>IF(ISNUMBER(H23),IDACI!D21,0)</f>
        <v>37031</v>
      </c>
      <c r="Z23" s="27">
        <f>IF(ISNUMBER(H23),IDACI!E21,0)</f>
        <v>5443.5569999999998</v>
      </c>
      <c r="AA23" s="155">
        <f>IF(ISNUMBER(D23),Population!D23,"")</f>
        <v>43479</v>
      </c>
      <c r="AB23" s="155">
        <f>IF(ISNUMBER(E23),Population!E23,"")</f>
        <v>43900</v>
      </c>
      <c r="AC23" s="155">
        <f>IF(ISNUMBER(F23),Population!F23,"")</f>
        <v>43737</v>
      </c>
      <c r="AD23" s="155">
        <f>IF(ISNUMBER(G23),Population!G23,"")</f>
        <v>44250</v>
      </c>
      <c r="AE23" s="155">
        <f>IF(ISNUMBER(H23),Population!H23,"")</f>
        <v>44849</v>
      </c>
      <c r="AF23" s="65" t="s">
        <v>13</v>
      </c>
      <c r="AG23" s="70">
        <f t="shared" si="4"/>
        <v>70.012709313474105</v>
      </c>
      <c r="AH23" s="156">
        <f t="shared" si="5"/>
        <v>10</v>
      </c>
      <c r="AJ23" s="121"/>
      <c r="AK23" s="480">
        <f t="shared" si="6"/>
        <v>0.15206185567010308</v>
      </c>
      <c r="AL23" s="480">
        <f t="shared" si="7"/>
        <v>-0.12751677852348994</v>
      </c>
      <c r="AM23" s="480">
        <f t="shared" si="8"/>
        <v>-5.128205128205128E-2</v>
      </c>
      <c r="AN23" s="480">
        <f t="shared" si="9"/>
        <v>-0.15135135135135136</v>
      </c>
      <c r="AO23" s="480">
        <f t="shared" si="18"/>
        <v>-4.4522081371697372E-2</v>
      </c>
      <c r="AQ23" s="531">
        <f t="shared" si="10"/>
        <v>101.82232346241459</v>
      </c>
      <c r="AR23" s="531">
        <f t="shared" si="11"/>
        <v>89.169353179230399</v>
      </c>
      <c r="AS23" s="531">
        <f t="shared" si="12"/>
        <v>83.615819209039557</v>
      </c>
      <c r="AT23" s="531">
        <f t="shared" si="13"/>
        <v>70.012709313474105</v>
      </c>
      <c r="AU23" s="531">
        <f t="shared" si="14"/>
        <v>344.62020516415862</v>
      </c>
      <c r="AV23" s="350">
        <f t="shared" si="15"/>
        <v>0</v>
      </c>
      <c r="AW23" s="531">
        <f t="shared" si="19"/>
        <v>344.62020516415862</v>
      </c>
    </row>
    <row r="24" spans="1:49" s="61" customFormat="1" ht="15.75" customHeight="1">
      <c r="A24" s="306">
        <f>VLOOKUP(B24,ReportData!$AQ$4:$AR$25,2,FALSE)</f>
        <v>0</v>
      </c>
      <c r="B24" s="885" t="str">
        <f>ReportData!$K$17</f>
        <v>Southampton</v>
      </c>
      <c r="C24" s="896"/>
      <c r="D24" s="889">
        <f>IF(Year1_Southampton Year1_CP_Conference="","",Year1_Southampton Year1_CP_Conference)</f>
        <v>703</v>
      </c>
      <c r="E24" s="889">
        <f>IF(Year2_Southampton Year2_CP_Conference="","",Year2_Southampton Year2_CP_Conference)</f>
        <v>531</v>
      </c>
      <c r="F24" s="889">
        <f>IF(Year3_Southampton Year3_CP_Conference="","",Year3_Southampton Year3_CP_Conference)</f>
        <v>631</v>
      </c>
      <c r="G24" s="889">
        <f>IF(Year4_Southampton Year4_CP_Conference="","",Year4_Southampton Year4_CP_Conference)</f>
        <v>415</v>
      </c>
      <c r="H24" s="890">
        <f>IF(Year5_Southampton Year5_CP_Conference="","",Year5_Southampton Year5_CP_Conference)</f>
        <v>375</v>
      </c>
      <c r="I24" s="900">
        <f t="shared" si="16"/>
        <v>-0.12376028275494896</v>
      </c>
      <c r="J24" s="896"/>
      <c r="K24" s="901">
        <f>IF(ISNUMBER(D24),D24/Population!D24*10000,NA())</f>
        <v>141.76816971848027</v>
      </c>
      <c r="L24" s="901">
        <f>IF(ISNUMBER(E24),E24/Population!E24*10000,NA())</f>
        <v>106.76156583629894</v>
      </c>
      <c r="M24" s="901">
        <f>IF(ISNUMBER(F24),F24/Population!F24*10000,NA())</f>
        <v>127.76382927026809</v>
      </c>
      <c r="N24" s="901">
        <f>IF(ISNUMBER(G24),G24/Population!G24*10000,NA())</f>
        <v>83.214693910288545</v>
      </c>
      <c r="O24" s="902">
        <f>IF(ISNUMBER(H24),H24/Population!H24*10000,NA())</f>
        <v>74.444642963492342</v>
      </c>
      <c r="P24" s="903">
        <f t="shared" si="17"/>
        <v>74.444642963492342</v>
      </c>
      <c r="Q24" s="904">
        <f t="shared" si="0"/>
        <v>14</v>
      </c>
      <c r="R24" s="64"/>
      <c r="S24" s="905">
        <f t="shared" si="1"/>
        <v>72.311114833242044</v>
      </c>
      <c r="T24" s="906">
        <f t="shared" si="2"/>
        <v>2.1335281302502977</v>
      </c>
      <c r="U24" s="89"/>
      <c r="V24" s="103"/>
      <c r="W24" s="115"/>
      <c r="X24" s="51" t="str">
        <f t="shared" si="3"/>
        <v>Southampton</v>
      </c>
      <c r="Y24" s="27">
        <f>IF(ISNUMBER(H24),IDACI!D22,0)</f>
        <v>44295</v>
      </c>
      <c r="Z24" s="27">
        <f>IF(ISNUMBER(H24),IDACI!E22,0)</f>
        <v>9080.4750000000004</v>
      </c>
      <c r="AA24" s="155">
        <f>IF(ISNUMBER(D24),Population!D24,"")</f>
        <v>49588</v>
      </c>
      <c r="AB24" s="155">
        <f>IF(ISNUMBER(E24),Population!E24,"")</f>
        <v>49737</v>
      </c>
      <c r="AC24" s="155">
        <f>IF(ISNUMBER(F24),Population!F24,"")</f>
        <v>49388</v>
      </c>
      <c r="AD24" s="155">
        <f>IF(ISNUMBER(G24),Population!G24,"")</f>
        <v>49871</v>
      </c>
      <c r="AE24" s="155">
        <f>IF(ISNUMBER(H24),Population!H24,"")</f>
        <v>50373</v>
      </c>
      <c r="AF24" s="65" t="s">
        <v>14</v>
      </c>
      <c r="AG24" s="70">
        <f t="shared" si="4"/>
        <v>74.444642963492342</v>
      </c>
      <c r="AH24" s="156">
        <f t="shared" si="5"/>
        <v>14</v>
      </c>
      <c r="AJ24" s="121"/>
      <c r="AK24" s="480">
        <f t="shared" si="6"/>
        <v>-0.24466571834992887</v>
      </c>
      <c r="AL24" s="480">
        <f t="shared" si="7"/>
        <v>0.18832391713747645</v>
      </c>
      <c r="AM24" s="480">
        <f t="shared" si="8"/>
        <v>-0.34231378763866877</v>
      </c>
      <c r="AN24" s="480">
        <f t="shared" si="9"/>
        <v>-9.6385542168674704E-2</v>
      </c>
      <c r="AO24" s="480">
        <f t="shared" si="18"/>
        <v>-0.12376028275494896</v>
      </c>
      <c r="AQ24" s="531">
        <f t="shared" si="10"/>
        <v>106.76156583629894</v>
      </c>
      <c r="AR24" s="531">
        <f t="shared" si="11"/>
        <v>127.76382927026809</v>
      </c>
      <c r="AS24" s="531">
        <f t="shared" si="12"/>
        <v>83.214693910288545</v>
      </c>
      <c r="AT24" s="531">
        <f t="shared" si="13"/>
        <v>74.444642963492342</v>
      </c>
      <c r="AU24" s="531">
        <f>SUM(AQ24:AT24)</f>
        <v>392.18473198034792</v>
      </c>
      <c r="AV24" s="350">
        <f>COUNTBLANK(AQ24:AT24)</f>
        <v>0</v>
      </c>
      <c r="AW24" s="531">
        <f t="shared" si="19"/>
        <v>392.18473198034792</v>
      </c>
    </row>
    <row r="25" spans="1:49" s="61" customFormat="1" ht="15.75" customHeight="1">
      <c r="A25" s="306">
        <f>VLOOKUP(B25,ReportData!$AQ$4:$AR$25,2,FALSE)</f>
        <v>0</v>
      </c>
      <c r="B25" s="885" t="str">
        <f>ReportData!$K$18</f>
        <v>Surrey</v>
      </c>
      <c r="C25" s="896"/>
      <c r="D25" s="889">
        <f>IF(Year1_Surrey Year1_CP_Conference="","",Year1_Surrey Year1_CP_Conference)</f>
        <v>856</v>
      </c>
      <c r="E25" s="889">
        <f>IF(Year2_Surrey Year2_CP_Conference="","",Year2_Surrey Year2_CP_Conference)</f>
        <v>1156</v>
      </c>
      <c r="F25" s="889">
        <f>IF(Year3_Surrey Year3_CP_Conference="","",Year3_Surrey Year3_CP_Conference)</f>
        <v>1165</v>
      </c>
      <c r="G25" s="889">
        <f>IF(Year4_Surrey Year4_CP_Conference="","",Year4_Surrey Year4_CP_Conference)</f>
        <v>1000</v>
      </c>
      <c r="H25" s="890">
        <f>IF(Year5_Surrey Year5_CP_Conference="","",Year5_Surrey Year5_CP_Conference)</f>
        <v>714</v>
      </c>
      <c r="I25" s="900">
        <f t="shared" si="16"/>
        <v>-1.7344536109974946E-2</v>
      </c>
      <c r="J25" s="896"/>
      <c r="K25" s="901">
        <f>IF(ISNUMBER(D25),D25/Population!D25*10000,NA())</f>
        <v>33.172508670968242</v>
      </c>
      <c r="L25" s="901">
        <f>IF(ISNUMBER(E25),E25/Population!E25*10000,NA())</f>
        <v>44.716249095811143</v>
      </c>
      <c r="M25" s="901">
        <f>IF(ISNUMBER(F25),F25/Population!F25*10000,NA())</f>
        <v>44.896103095326183</v>
      </c>
      <c r="N25" s="901">
        <f>IF(ISNUMBER(G25),G25/Population!G25*10000,NA())</f>
        <v>37.945767908505168</v>
      </c>
      <c r="O25" s="902">
        <f>IF(ISNUMBER(H25),H25/Population!H25*10000,NA())</f>
        <v>26.875244662591466</v>
      </c>
      <c r="P25" s="903">
        <f t="shared" si="17"/>
        <v>26.875244662591466</v>
      </c>
      <c r="Q25" s="904">
        <f t="shared" si="0"/>
        <v>1</v>
      </c>
      <c r="R25" s="64"/>
      <c r="S25" s="905">
        <f t="shared" si="1"/>
        <v>47.129699053008338</v>
      </c>
      <c r="T25" s="906">
        <f t="shared" si="2"/>
        <v>-20.254454390416871</v>
      </c>
      <c r="U25" s="89"/>
      <c r="V25" s="103"/>
      <c r="W25" s="115"/>
      <c r="X25" s="51" t="str">
        <f t="shared" si="3"/>
        <v>Surrey</v>
      </c>
      <c r="Y25" s="27">
        <f>IF(ISNUMBER(H25),IDACI!D23,0)</f>
        <v>228466</v>
      </c>
      <c r="Z25" s="27">
        <f>IF(ISNUMBER(H25),IDACI!E23,0)</f>
        <v>18962.678</v>
      </c>
      <c r="AA25" s="155">
        <f>IF(ISNUMBER(D25),Population!D25,"")</f>
        <v>258045</v>
      </c>
      <c r="AB25" s="155">
        <f>IF(ISNUMBER(E25),Population!E25,"")</f>
        <v>258519</v>
      </c>
      <c r="AC25" s="155">
        <f>IF(ISNUMBER(F25),Population!F25,"")</f>
        <v>259488</v>
      </c>
      <c r="AD25" s="155">
        <f>IF(ISNUMBER(G25),Population!G25,"")</f>
        <v>263534</v>
      </c>
      <c r="AE25" s="155">
        <f>IF(ISNUMBER(H25),Population!H25,"")</f>
        <v>265672</v>
      </c>
      <c r="AF25" s="65" t="s">
        <v>7</v>
      </c>
      <c r="AG25" s="70">
        <f t="shared" si="4"/>
        <v>26.875244662591466</v>
      </c>
      <c r="AH25" s="156">
        <f t="shared" si="5"/>
        <v>1</v>
      </c>
      <c r="AJ25" s="121"/>
      <c r="AK25" s="480">
        <f t="shared" si="6"/>
        <v>0.35046728971962615</v>
      </c>
      <c r="AL25" s="480">
        <f t="shared" si="7"/>
        <v>7.7854671280276812E-3</v>
      </c>
      <c r="AM25" s="480">
        <f t="shared" si="8"/>
        <v>-0.14163090128755365</v>
      </c>
      <c r="AN25" s="480">
        <f t="shared" si="9"/>
        <v>-0.28599999999999998</v>
      </c>
      <c r="AO25" s="480">
        <f t="shared" si="18"/>
        <v>-1.7344536109974946E-2</v>
      </c>
      <c r="AQ25" s="531">
        <f t="shared" si="10"/>
        <v>44.716249095811143</v>
      </c>
      <c r="AR25" s="531">
        <f t="shared" si="11"/>
        <v>44.896103095326183</v>
      </c>
      <c r="AS25" s="531">
        <f t="shared" si="12"/>
        <v>37.945767908505168</v>
      </c>
      <c r="AT25" s="531">
        <f t="shared" si="13"/>
        <v>26.875244662591466</v>
      </c>
      <c r="AU25" s="531">
        <f>SUM(AQ25:AT25)</f>
        <v>154.43336476223394</v>
      </c>
      <c r="AV25" s="350">
        <f>COUNTBLANK(AQ25:AT25)</f>
        <v>0</v>
      </c>
      <c r="AW25" s="531">
        <f t="shared" si="19"/>
        <v>154.43336476223394</v>
      </c>
    </row>
    <row r="26" spans="1:49" s="61" customFormat="1" ht="15.75" customHeight="1">
      <c r="A26" s="306" t="e">
        <f>VLOOKUP(#REF!,ReportData!$AQ$4:$AR$25,2,FALSE)</f>
        <v>#REF!</v>
      </c>
      <c r="B26" s="885" t="str">
        <f>ReportData!$K$19</f>
        <v>West Berkshire</v>
      </c>
      <c r="C26" s="896"/>
      <c r="D26" s="889">
        <f>IF(Year1_West_Berkshire Year1_CP_Conference="","",Year1_West_Berkshire Year1_CP_Conference)</f>
        <v>214</v>
      </c>
      <c r="E26" s="889">
        <f>IF(Year2_West_Berkshire Year2_CP_Conference="","",Year2_West_Berkshire Year2_CP_Conference)</f>
        <v>258</v>
      </c>
      <c r="F26" s="889">
        <f>IF(Year3_West_Berkshire Year3_CP_Conference="","",Year3_West_Berkshire Year3_CP_Conference)</f>
        <v>283</v>
      </c>
      <c r="G26" s="889">
        <f>IF(Year4_West_Berkshire Year4_CP_Conference="","",Year4_West_Berkshire Year4_CP_Conference)</f>
        <v>489</v>
      </c>
      <c r="H26" s="890">
        <f>IF(Year5_West_Berkshire Year5_CP_Conference="","",Year5_West_Berkshire Year5_CP_Conference)</f>
        <v>257</v>
      </c>
      <c r="I26" s="900">
        <f t="shared" ref="I26:I31" si="20">AO26</f>
        <v>0.13899606699403605</v>
      </c>
      <c r="J26" s="896"/>
      <c r="K26" s="901">
        <f>IF(ISNUMBER(D26),D26/Population!D26*10000,NA())</f>
        <v>61.036479278970937</v>
      </c>
      <c r="L26" s="901">
        <f>IF(ISNUMBER(E26),E26/Population!E26*10000,NA())</f>
        <v>74.0868366643694</v>
      </c>
      <c r="M26" s="901">
        <f>IF(ISNUMBER(F26),F26/Population!F26*10000,NA())</f>
        <v>81.80372886255239</v>
      </c>
      <c r="N26" s="901">
        <f>IF(ISNUMBER(G26),G26/Population!G26*10000,NA())</f>
        <v>140.06645279560036</v>
      </c>
      <c r="O26" s="902">
        <f>IF(ISNUMBER(H26),H26/Population!H26*10000,NA())</f>
        <v>72.753007784854915</v>
      </c>
      <c r="P26" s="903">
        <f t="shared" ref="P26:P31" si="21">IF(ISNUMBER(O26),O26,"")</f>
        <v>72.753007784854915</v>
      </c>
      <c r="Q26" s="904">
        <f t="shared" si="0"/>
        <v>12</v>
      </c>
      <c r="R26" s="64"/>
      <c r="S26" s="905">
        <f t="shared" si="1"/>
        <v>47.955319242524197</v>
      </c>
      <c r="T26" s="906">
        <f t="shared" si="2"/>
        <v>24.797688542330718</v>
      </c>
      <c r="U26" s="89"/>
      <c r="V26" s="103"/>
      <c r="W26" s="115"/>
      <c r="X26" s="51" t="str">
        <f t="shared" si="3"/>
        <v>West Berkshire</v>
      </c>
      <c r="Y26" s="27">
        <f>IF(ISNUMBER(H26),IDACI!D24,0)</f>
        <v>31625</v>
      </c>
      <c r="Z26" s="27">
        <f>IF(ISNUMBER(H26),IDACI!E24,0)</f>
        <v>2751.375</v>
      </c>
      <c r="AA26" s="155">
        <f>IF(ISNUMBER(D26),Population!D26,"")</f>
        <v>35061</v>
      </c>
      <c r="AB26" s="155">
        <f>IF(ISNUMBER(E26),Population!E26,"")</f>
        <v>34824</v>
      </c>
      <c r="AC26" s="155">
        <f>IF(ISNUMBER(F26),Population!F26,"")</f>
        <v>34595</v>
      </c>
      <c r="AD26" s="155">
        <f>IF(ISNUMBER(G26),Population!G26,"")</f>
        <v>34912</v>
      </c>
      <c r="AE26" s="155">
        <f>IF(ISNUMBER(H26),Population!H26,"")</f>
        <v>35325</v>
      </c>
      <c r="AF26" s="65" t="s">
        <v>15</v>
      </c>
      <c r="AG26" s="70">
        <f t="shared" si="4"/>
        <v>72.753007784854915</v>
      </c>
      <c r="AH26" s="156">
        <f t="shared" si="5"/>
        <v>12</v>
      </c>
      <c r="AJ26" s="121"/>
      <c r="AK26" s="480">
        <f t="shared" si="6"/>
        <v>0.20560747663551401</v>
      </c>
      <c r="AL26" s="480">
        <f t="shared" si="7"/>
        <v>9.6899224806201556E-2</v>
      </c>
      <c r="AM26" s="480">
        <f t="shared" si="8"/>
        <v>0.72791519434628971</v>
      </c>
      <c r="AN26" s="480">
        <f t="shared" si="9"/>
        <v>-0.47443762781186094</v>
      </c>
      <c r="AO26" s="480">
        <f t="shared" ref="AO26:AO31" si="22">AVERAGE(AK26:AN26)</f>
        <v>0.13899606699403605</v>
      </c>
      <c r="AQ26" s="531">
        <f t="shared" si="10"/>
        <v>74.0868366643694</v>
      </c>
      <c r="AR26" s="531">
        <f t="shared" si="11"/>
        <v>81.80372886255239</v>
      </c>
      <c r="AS26" s="531">
        <f t="shared" si="12"/>
        <v>140.06645279560036</v>
      </c>
      <c r="AT26" s="531">
        <f t="shared" si="13"/>
        <v>72.753007784854915</v>
      </c>
      <c r="AU26" s="531">
        <f t="shared" ref="AU26:AU31" si="23">SUM(AQ26:AT26)</f>
        <v>368.71002610737702</v>
      </c>
      <c r="AV26" s="350">
        <f t="shared" ref="AV26:AV31" si="24">COUNTBLANK(AQ26:AT26)</f>
        <v>0</v>
      </c>
      <c r="AW26" s="531">
        <f t="shared" ref="AW26:AW31" si="25">AU26/(4-AV26)*4</f>
        <v>368.71002610737702</v>
      </c>
    </row>
    <row r="27" spans="1:49" s="61" customFormat="1" ht="15.75" customHeight="1">
      <c r="A27" s="306">
        <f>VLOOKUP(B26,ReportData!$AQ$4:$AR$25,2,FALSE)</f>
        <v>0</v>
      </c>
      <c r="B27" s="885" t="str">
        <f>ReportData!$K$20</f>
        <v>West Sussex</v>
      </c>
      <c r="C27" s="896"/>
      <c r="D27" s="889">
        <f>IF(Year1_West_Sussex Year1_CP_Conference="","",Year1_West_Sussex Year1_CP_Conference)</f>
        <v>1340</v>
      </c>
      <c r="E27" s="889">
        <f>IF(Year2_West_Sussex Year2_CP_Conference="","",Year2_West_Sussex Year2_CP_Conference)</f>
        <v>1406</v>
      </c>
      <c r="F27" s="889">
        <f>IF(Year3_West_Sussex Year3_CP_Conference="","",Year3_West_Sussex Year3_CP_Conference)</f>
        <v>1054</v>
      </c>
      <c r="G27" s="889">
        <f>IF(Year4_West_Sussex Year4_CP_Conference="","",Year4_West_Sussex Year4_CP_Conference)</f>
        <v>1151</v>
      </c>
      <c r="H27" s="890">
        <f>IF(Year5_West_Sussex Year5_CP_Conference="","",Year5_West_Sussex Year5_CP_Conference)</f>
        <v>1017</v>
      </c>
      <c r="I27" s="900">
        <f t="shared" si="20"/>
        <v>-5.6373007702930578E-2</v>
      </c>
      <c r="J27" s="896"/>
      <c r="K27" s="901">
        <f>IF(ISNUMBER(D27),D27/Population!D27*10000,NA())</f>
        <v>77.210733444347767</v>
      </c>
      <c r="L27" s="901">
        <f>IF(ISNUMBER(E27),E27/Population!E27*10000,NA())</f>
        <v>80.863618848239796</v>
      </c>
      <c r="M27" s="901">
        <f>IF(ISNUMBER(F27),F27/Population!F27*10000,NA())</f>
        <v>60.285756774997999</v>
      </c>
      <c r="N27" s="901">
        <f>IF(ISNUMBER(G27),G27/Population!G27*10000,NA())</f>
        <v>64.900281366119913</v>
      </c>
      <c r="O27" s="902">
        <f>IF(ISNUMBER(H27),H27/Population!H27*10000,NA())</f>
        <v>56.813103324991069</v>
      </c>
      <c r="P27" s="903">
        <f t="shared" si="21"/>
        <v>56.813103324991069</v>
      </c>
      <c r="Q27" s="904">
        <f t="shared" si="0"/>
        <v>8</v>
      </c>
      <c r="R27" s="64"/>
      <c r="S27" s="905">
        <f t="shared" si="1"/>
        <v>52.702635332240391</v>
      </c>
      <c r="T27" s="906">
        <f t="shared" si="2"/>
        <v>4.110467992750678</v>
      </c>
      <c r="U27" s="89"/>
      <c r="V27" s="103"/>
      <c r="W27" s="115"/>
      <c r="X27" s="51" t="str">
        <f t="shared" si="3"/>
        <v>West Sussex</v>
      </c>
      <c r="Y27" s="27">
        <f>IF(ISNUMBER(H27),IDACI!D25,0)</f>
        <v>151487</v>
      </c>
      <c r="Z27" s="27">
        <f>IF(ISNUMBER(H27),IDACI!E25,0)</f>
        <v>16663.57</v>
      </c>
      <c r="AA27" s="155">
        <f>IF(ISNUMBER(D27),Population!D27,"")</f>
        <v>173551</v>
      </c>
      <c r="AB27" s="155">
        <f>IF(ISNUMBER(E27),Population!E27,"")</f>
        <v>173873</v>
      </c>
      <c r="AC27" s="155">
        <f>IF(ISNUMBER(F27),Population!F27,"")</f>
        <v>174834</v>
      </c>
      <c r="AD27" s="155">
        <f>IF(ISNUMBER(G27),Population!G27,"")</f>
        <v>177349</v>
      </c>
      <c r="AE27" s="155">
        <f>IF(ISNUMBER(H27),Population!H27,"")</f>
        <v>179008</v>
      </c>
      <c r="AF27" s="65" t="s">
        <v>5</v>
      </c>
      <c r="AG27" s="70">
        <f t="shared" si="4"/>
        <v>56.813103324991069</v>
      </c>
      <c r="AH27" s="156">
        <f t="shared" si="5"/>
        <v>8</v>
      </c>
      <c r="AJ27" s="121"/>
      <c r="AK27" s="480">
        <f t="shared" si="6"/>
        <v>4.9253731343283584E-2</v>
      </c>
      <c r="AL27" s="480">
        <f t="shared" si="7"/>
        <v>-0.2503556187766714</v>
      </c>
      <c r="AM27" s="480">
        <f t="shared" si="8"/>
        <v>9.2030360531309294E-2</v>
      </c>
      <c r="AN27" s="480">
        <f t="shared" si="9"/>
        <v>-0.11642050390964379</v>
      </c>
      <c r="AO27" s="480">
        <f t="shared" si="22"/>
        <v>-5.6373007702930578E-2</v>
      </c>
      <c r="AQ27" s="531">
        <f t="shared" si="10"/>
        <v>80.863618848239796</v>
      </c>
      <c r="AR27" s="531">
        <f t="shared" si="11"/>
        <v>60.285756774997999</v>
      </c>
      <c r="AS27" s="531">
        <f t="shared" si="12"/>
        <v>64.900281366119913</v>
      </c>
      <c r="AT27" s="531">
        <f t="shared" si="13"/>
        <v>56.813103324991069</v>
      </c>
      <c r="AU27" s="531">
        <f t="shared" si="23"/>
        <v>262.8627603143488</v>
      </c>
      <c r="AV27" s="350">
        <f t="shared" si="24"/>
        <v>0</v>
      </c>
      <c r="AW27" s="531">
        <f t="shared" si="25"/>
        <v>262.8627603143488</v>
      </c>
    </row>
    <row r="28" spans="1:49" s="61" customFormat="1" ht="15.75" customHeight="1">
      <c r="A28" s="306">
        <f>VLOOKUP(B27,ReportData!$AQ$4:$AR$25,2,FALSE)</f>
        <v>0</v>
      </c>
      <c r="B28" s="885" t="str">
        <f>ReportData!$K$21</f>
        <v>Windsor &amp; Maidenhead</v>
      </c>
      <c r="C28" s="896"/>
      <c r="D28" s="889">
        <f>IF(Year1_Windsor_and_Maidenhead Year1_CP_Conference="","",Year1_Windsor_and_Maidenhead Year1_CP_Conference)</f>
        <v>259</v>
      </c>
      <c r="E28" s="889">
        <f>IF(Year2_Windsor_and_Maidenhead Year2_CP_Conference="","",Year2_Windsor_and_Maidenhead Year2_CP_Conference)</f>
        <v>250</v>
      </c>
      <c r="F28" s="889">
        <f>IF(Year3_Windsor_and_Maidenhead Year3_CP_Conference="","",Year3_Windsor_and_Maidenhead Year3_CP_Conference)</f>
        <v>218</v>
      </c>
      <c r="G28" s="889">
        <f>IF(Year4_Windsor_and_Maidenhead Year4_CP_Conference="","",Year4_Windsor_and_Maidenhead Year4_CP_Conference)</f>
        <v>253</v>
      </c>
      <c r="H28" s="890">
        <f>IF(Year5_Windsor_and_Maidenhead Year5_CP_Conference="","",Year5_Windsor_and_Maidenhead Year5_CP_Conference)</f>
        <v>230</v>
      </c>
      <c r="I28" s="900">
        <f t="shared" si="20"/>
        <v>-2.3276916735632328E-2</v>
      </c>
      <c r="J28" s="896"/>
      <c r="K28" s="901">
        <f>IF(ISNUMBER(D28),D28/Population!D28*10000,NA())</f>
        <v>75.567485557565504</v>
      </c>
      <c r="L28" s="901">
        <f>IF(ISNUMBER(E28),E28/Population!E28*10000,NA())</f>
        <v>73.350350614675946</v>
      </c>
      <c r="M28" s="901">
        <f>IF(ISNUMBER(F28),F28/Population!F28*10000,NA())</f>
        <v>64.352343842248203</v>
      </c>
      <c r="N28" s="901">
        <f>IF(ISNUMBER(G28),G28/Population!G28*10000,NA())</f>
        <v>74.165274235628644</v>
      </c>
      <c r="O28" s="902">
        <f>IF(ISNUMBER(H28),H28/Population!H28*10000,NA())</f>
        <v>67.092558560135345</v>
      </c>
      <c r="P28" s="903">
        <f t="shared" si="21"/>
        <v>67.092558560135345</v>
      </c>
      <c r="Q28" s="904">
        <f t="shared" si="0"/>
        <v>9</v>
      </c>
      <c r="R28" s="64"/>
      <c r="S28" s="905">
        <f t="shared" si="1"/>
        <v>43.827218294944899</v>
      </c>
      <c r="T28" s="906">
        <f t="shared" si="2"/>
        <v>23.265340265190446</v>
      </c>
      <c r="U28" s="89"/>
      <c r="V28" s="103"/>
      <c r="W28" s="115"/>
      <c r="X28" s="51" t="str">
        <f t="shared" si="3"/>
        <v>Windsor &amp; Maidenhead</v>
      </c>
      <c r="Y28" s="27">
        <f>IF(ISNUMBER(H28),IDACI!D26,0)</f>
        <v>29792</v>
      </c>
      <c r="Z28" s="27">
        <f>IF(ISNUMBER(H28),IDACI!E26,0)</f>
        <v>1996.0640000000001</v>
      </c>
      <c r="AA28" s="155">
        <f>IF(ISNUMBER(D28),Population!D28,"")</f>
        <v>34274</v>
      </c>
      <c r="AB28" s="155">
        <f>IF(ISNUMBER(E28),Population!E28,"")</f>
        <v>34083</v>
      </c>
      <c r="AC28" s="155">
        <f>IF(ISNUMBER(F28),Population!F28,"")</f>
        <v>33876</v>
      </c>
      <c r="AD28" s="155">
        <f>IF(ISNUMBER(G28),Population!G28,"")</f>
        <v>34113</v>
      </c>
      <c r="AE28" s="155">
        <f>IF(ISNUMBER(H28),Population!H28,"")</f>
        <v>34281</v>
      </c>
      <c r="AF28" s="65" t="s">
        <v>27</v>
      </c>
      <c r="AG28" s="70">
        <f t="shared" si="4"/>
        <v>67.092558560135345</v>
      </c>
      <c r="AH28" s="156">
        <f t="shared" si="5"/>
        <v>9</v>
      </c>
      <c r="AJ28" s="121"/>
      <c r="AK28" s="480">
        <f t="shared" si="6"/>
        <v>-3.4749034749034749E-2</v>
      </c>
      <c r="AL28" s="480">
        <f t="shared" si="7"/>
        <v>-0.128</v>
      </c>
      <c r="AM28" s="480">
        <f t="shared" si="8"/>
        <v>0.16055045871559634</v>
      </c>
      <c r="AN28" s="480">
        <f t="shared" si="9"/>
        <v>-9.0909090909090912E-2</v>
      </c>
      <c r="AO28" s="480">
        <f t="shared" si="22"/>
        <v>-2.3276916735632328E-2</v>
      </c>
      <c r="AQ28" s="531">
        <f t="shared" si="10"/>
        <v>73.350350614675946</v>
      </c>
      <c r="AR28" s="531">
        <f t="shared" si="11"/>
        <v>64.352343842248203</v>
      </c>
      <c r="AS28" s="531">
        <f t="shared" si="12"/>
        <v>74.165274235628644</v>
      </c>
      <c r="AT28" s="531">
        <f t="shared" si="13"/>
        <v>67.092558560135345</v>
      </c>
      <c r="AU28" s="531">
        <f t="shared" si="23"/>
        <v>278.96052725268811</v>
      </c>
      <c r="AV28" s="350">
        <f t="shared" si="24"/>
        <v>0</v>
      </c>
      <c r="AW28" s="531">
        <f t="shared" si="25"/>
        <v>278.96052725268811</v>
      </c>
    </row>
    <row r="29" spans="1:49" s="61" customFormat="1" ht="15.75" customHeight="1">
      <c r="A29" s="306">
        <f>VLOOKUP(B28,ReportData!$AQ$4:$AR$25,2,FALSE)</f>
        <v>0</v>
      </c>
      <c r="B29" s="885" t="str">
        <f>ReportData!$K$22</f>
        <v>Wokingham</v>
      </c>
      <c r="C29" s="896"/>
      <c r="D29" s="889">
        <f>IF(Year1_Wokingham Year1_CP_Conference="","",Year1_Wokingham Year1_CP_Conference)</f>
        <v>206</v>
      </c>
      <c r="E29" s="889">
        <f>IF(Year2_Wokingham Year2_CP_Conference="","",Year2_Wokingham Year2_CP_Conference)</f>
        <v>183</v>
      </c>
      <c r="F29" s="889">
        <f>IF(Year3_Wokingham Year3_CP_Conference="","",Year3_Wokingham Year3_CP_Conference)</f>
        <v>212</v>
      </c>
      <c r="G29" s="889">
        <f>IF(Year4_Wokingham Year4_CP_Conference="","",Year4_Wokingham Year4_CP_Conference)</f>
        <v>146</v>
      </c>
      <c r="H29" s="890">
        <f>IF(Year5_Wokingham Year5_CP_Conference="","",Year5_Wokingham Year5_CP_Conference)</f>
        <v>163</v>
      </c>
      <c r="I29" s="900">
        <f t="shared" si="20"/>
        <v>-3.7015734658574877E-2</v>
      </c>
      <c r="J29" s="896"/>
      <c r="K29" s="901">
        <f>IF(ISNUMBER(D29),D29/Population!D29*10000,NA())</f>
        <v>51.795232827114553</v>
      </c>
      <c r="L29" s="901">
        <f>IF(ISNUMBER(E29),E29/Population!E29*10000,NA())</f>
        <v>45.211977468129263</v>
      </c>
      <c r="M29" s="901">
        <f>IF(ISNUMBER(F29),F29/Population!F29*10000,NA())</f>
        <v>51.545138466775271</v>
      </c>
      <c r="N29" s="901">
        <f>IF(ISNUMBER(G29),G29/Population!G29*10000,NA())</f>
        <v>34.336782690498588</v>
      </c>
      <c r="O29" s="902">
        <f>IF(ISNUMBER(H29),H29/Population!H29*10000,NA())</f>
        <v>37.632174354712106</v>
      </c>
      <c r="P29" s="903">
        <f t="shared" si="21"/>
        <v>37.632174354712106</v>
      </c>
      <c r="Q29" s="904">
        <f t="shared" si="0"/>
        <v>2</v>
      </c>
      <c r="R29" s="64"/>
      <c r="S29" s="905">
        <f t="shared" si="1"/>
        <v>41.556762773776285</v>
      </c>
      <c r="T29" s="906">
        <f t="shared" si="2"/>
        <v>-3.9245884190641789</v>
      </c>
      <c r="U29" s="89"/>
      <c r="V29" s="103"/>
      <c r="W29" s="115"/>
      <c r="X29" s="51" t="str">
        <f t="shared" si="3"/>
        <v>Wokingham</v>
      </c>
      <c r="Y29" s="27">
        <f>IF(ISNUMBER(H29),IDACI!D27,0)</f>
        <v>33327</v>
      </c>
      <c r="Z29" s="27">
        <f>IF(ISNUMBER(H29),IDACI!E27,0)</f>
        <v>1866.3120000000004</v>
      </c>
      <c r="AA29" s="155">
        <f>IF(ISNUMBER(D29),Population!D29,"")</f>
        <v>39772</v>
      </c>
      <c r="AB29" s="155">
        <f>IF(ISNUMBER(E29),Population!E29,"")</f>
        <v>40476</v>
      </c>
      <c r="AC29" s="155">
        <f>IF(ISNUMBER(F29),Population!F29,"")</f>
        <v>41129</v>
      </c>
      <c r="AD29" s="155">
        <f>IF(ISNUMBER(G29),Population!G29,"")</f>
        <v>42520</v>
      </c>
      <c r="AE29" s="155">
        <f>IF(ISNUMBER(H29),Population!H29,"")</f>
        <v>43314</v>
      </c>
      <c r="AF29" s="65" t="s">
        <v>16</v>
      </c>
      <c r="AG29" s="70">
        <f t="shared" si="4"/>
        <v>37.632174354712106</v>
      </c>
      <c r="AH29" s="156">
        <f t="shared" si="5"/>
        <v>2</v>
      </c>
      <c r="AJ29" s="121"/>
      <c r="AK29" s="480">
        <f t="shared" si="6"/>
        <v>-0.11165048543689321</v>
      </c>
      <c r="AL29" s="480">
        <f t="shared" si="7"/>
        <v>0.15846994535519127</v>
      </c>
      <c r="AM29" s="480">
        <f t="shared" si="8"/>
        <v>-0.31132075471698112</v>
      </c>
      <c r="AN29" s="480">
        <f t="shared" si="9"/>
        <v>0.11643835616438356</v>
      </c>
      <c r="AO29" s="480">
        <f t="shared" si="22"/>
        <v>-3.7015734658574877E-2</v>
      </c>
      <c r="AQ29" s="531">
        <f t="shared" si="10"/>
        <v>45.211977468129263</v>
      </c>
      <c r="AR29" s="531">
        <f t="shared" si="11"/>
        <v>51.545138466775271</v>
      </c>
      <c r="AS29" s="531">
        <f t="shared" si="12"/>
        <v>34.336782690498588</v>
      </c>
      <c r="AT29" s="531">
        <f t="shared" si="13"/>
        <v>37.632174354712106</v>
      </c>
      <c r="AU29" s="531">
        <f t="shared" si="23"/>
        <v>168.72607298011522</v>
      </c>
      <c r="AV29" s="350">
        <f t="shared" si="24"/>
        <v>0</v>
      </c>
      <c r="AW29" s="531">
        <f t="shared" si="25"/>
        <v>168.72607298011522</v>
      </c>
    </row>
    <row r="30" spans="1:49" s="61" customFormat="1" ht="15.75" customHeight="1">
      <c r="A30" s="306">
        <f>VLOOKUP(B29,ReportData!$AQ$4:$AR$25,2,FALSE)</f>
        <v>0</v>
      </c>
      <c r="B30" s="886" t="str">
        <f>ReportData!$K$23</f>
        <v>South East</v>
      </c>
      <c r="C30" s="896"/>
      <c r="D30" s="892">
        <f>IF(Year1_South_East Year1_CP_Conference="","",Year1_South_East Year1_CP_Conference)</f>
        <v>12132</v>
      </c>
      <c r="E30" s="892">
        <f>IF(Year2_South_East Year2_CP_Conference="","",Year2_South_East Year2_CP_Conference)</f>
        <v>11821</v>
      </c>
      <c r="F30" s="892">
        <f>IF(Year3_South_East Year3_CP_Conference="","",Year3_South_East Year3_CP_Conference)</f>
        <v>12040</v>
      </c>
      <c r="G30" s="892">
        <f>IF(Year4_South_East Year4_CP_Conference="","",Year4_South_East Year4_CP_Conference)</f>
        <v>11980</v>
      </c>
      <c r="H30" s="893">
        <f>IF(Year5_South_East Year5_CP_Conference="","",Year5_South_East Year5_CP_Conference)</f>
        <v>10730</v>
      </c>
      <c r="I30" s="907">
        <f t="shared" si="20"/>
        <v>5.4486280932002605E-4</v>
      </c>
      <c r="J30" s="896"/>
      <c r="K30" s="908">
        <f>IF(ISNUMBER(D30),D30/AA30*10000,NA())</f>
        <v>62.934679591827205</v>
      </c>
      <c r="L30" s="908">
        <f>IF(ISNUMBER(E30),E30/AB30*10000,NA())</f>
        <v>61.225515102828929</v>
      </c>
      <c r="M30" s="908">
        <f>IF(ISNUMBER(F30),F30/AC30*10000,NA())</f>
        <v>62.199849563154544</v>
      </c>
      <c r="N30" s="908">
        <f>IF(ISNUMBER(G30),G30/AD30*10000,NA())</f>
        <v>60.960313207779514</v>
      </c>
      <c r="O30" s="909">
        <f>IF(ISNUMBER(H30),H30/AE30*10000,NA())</f>
        <v>62.993438819457168</v>
      </c>
      <c r="P30" s="903">
        <f t="shared" si="21"/>
        <v>62.993438819457168</v>
      </c>
      <c r="Q30" s="910" t="str">
        <f t="shared" si="0"/>
        <v>--</v>
      </c>
      <c r="R30" s="64"/>
      <c r="S30" s="911">
        <f t="shared" si="1"/>
        <v>56.336563460841987</v>
      </c>
      <c r="T30" s="912">
        <f t="shared" si="2"/>
        <v>6.6568753586151814</v>
      </c>
      <c r="U30" s="89"/>
      <c r="V30" s="103"/>
      <c r="W30" s="115"/>
      <c r="X30" s="51" t="str">
        <f t="shared" si="3"/>
        <v>South East</v>
      </c>
      <c r="Y30" s="27">
        <f>SUM(Y24:Y25,Y11:Y23,Y26:Y29)</f>
        <v>1455495</v>
      </c>
      <c r="Z30" s="27">
        <f>SUM(Z24:Z25,Z11:Z23,Z26:Z29)</f>
        <v>185729.61900000004</v>
      </c>
      <c r="AA30" s="155">
        <f>SUM(AA11:AA23,AA24:AA25,AA26:AA29)</f>
        <v>1927713</v>
      </c>
      <c r="AB30" s="155">
        <f>SUM(AB11:AB23,AB24:AB25,AB26:AB29)</f>
        <v>1930731</v>
      </c>
      <c r="AC30" s="155">
        <f>SUM(AC11:AC23,AC24:AC25,AC26:AC29)</f>
        <v>1935696</v>
      </c>
      <c r="AD30" s="155">
        <f>SUM(AD11:AD23,AD24:AD25,AD26:AD29)</f>
        <v>1965213</v>
      </c>
      <c r="AE30" s="155">
        <f>SUM(AE11:AE23,AE24:AE25,AE26:AE29)</f>
        <v>1703352</v>
      </c>
      <c r="AH30" s="141"/>
      <c r="AJ30" s="121"/>
      <c r="AK30" s="581">
        <f>IF(ISERROR((L30-K30)/K30),"x",(L30-K30)/K30)</f>
        <v>-2.7157753087539843E-2</v>
      </c>
      <c r="AL30" s="581">
        <f>IF(ISERROR((M30-L30)/L30),"x",(M30-L30)/L30)</f>
        <v>1.5913863014287578E-2</v>
      </c>
      <c r="AM30" s="581">
        <f>IF(ISERROR((N30-M30)/M30),"x",(N30-M30)/M30)</f>
        <v>-1.9928285423206182E-2</v>
      </c>
      <c r="AN30" s="581">
        <f>IF(ISERROR((O30-N30)/N30),"x",(O30-N30)/N30)</f>
        <v>3.3351626733738551E-2</v>
      </c>
      <c r="AO30" s="480">
        <f t="shared" si="22"/>
        <v>5.4486280932002605E-4</v>
      </c>
      <c r="AQ30" s="531">
        <f t="shared" si="10"/>
        <v>61.225515102828929</v>
      </c>
      <c r="AR30" s="531">
        <f t="shared" si="11"/>
        <v>62.199849563154544</v>
      </c>
      <c r="AS30" s="531">
        <f t="shared" si="12"/>
        <v>60.960313207779514</v>
      </c>
      <c r="AT30" s="531">
        <f t="shared" si="13"/>
        <v>62.993438819457168</v>
      </c>
      <c r="AU30" s="531">
        <f t="shared" si="23"/>
        <v>247.37911669322014</v>
      </c>
      <c r="AV30" s="350">
        <f t="shared" si="24"/>
        <v>0</v>
      </c>
      <c r="AW30" s="531">
        <f t="shared" si="25"/>
        <v>247.37911669322014</v>
      </c>
    </row>
    <row r="31" spans="1:49" s="61" customFormat="1" ht="15.75" customHeight="1">
      <c r="A31" s="88"/>
      <c r="B31" s="887" t="str">
        <f>ReportData!$K$24</f>
        <v>England</v>
      </c>
      <c r="C31" s="896"/>
      <c r="D31" s="894">
        <f>IF(Year1_England Year1_CP_Conference="","",Year1_England Year1_CP_Conference)</f>
        <v>77470</v>
      </c>
      <c r="E31" s="894">
        <f>IF(Year2_England Year2_CP_Conference="","",Year2_England Year2_CP_Conference)</f>
        <v>72580</v>
      </c>
      <c r="F31" s="894">
        <f>IF(Year3_England Year3_CP_Conference="","",Year3_England Year3_CP_Conference)</f>
        <v>73790</v>
      </c>
      <c r="G31" s="894">
        <f>IF(Year4_England Year4_CP_Conference="","",Year4_England Year4_CP_Conference)</f>
        <v>74380</v>
      </c>
      <c r="H31" s="895">
        <f>IF(Year5_England Year5_CP_Conference="","",Year5_England Year5_CP_Conference)</f>
        <v>72250</v>
      </c>
      <c r="I31" s="913">
        <f t="shared" si="20"/>
        <v>-1.6772753961092946E-2</v>
      </c>
      <c r="J31" s="896"/>
      <c r="K31" s="914">
        <f>IF(ISNUMBER(D31),D31/Population!D31*10000,NA())</f>
        <v>65.705485402984024</v>
      </c>
      <c r="L31" s="914">
        <f>IF(ISNUMBER(E31),E31/Population!E31*10000,NA())</f>
        <v>61.572165241435336</v>
      </c>
      <c r="M31" s="914">
        <f>IF(ISNUMBER(F31),F31/Population!F31*10000,NA())</f>
        <v>62.731246553777055</v>
      </c>
      <c r="N31" s="914">
        <f>IF(ISNUMBER(G31),G31/Population!G31*10000,NA())</f>
        <v>62.578933548290316</v>
      </c>
      <c r="O31" s="1086">
        <f>IF(ISNUMBER(H31),H31/Population!H31*10000,NA())</f>
        <v>60.215127606898314</v>
      </c>
      <c r="P31" s="903">
        <f t="shared" si="21"/>
        <v>60.215127606898314</v>
      </c>
      <c r="Q31" s="916" t="str">
        <f t="shared" si="0"/>
        <v>--</v>
      </c>
      <c r="R31" s="64"/>
      <c r="S31" s="917">
        <f t="shared" si="1"/>
        <v>65.261171703623347</v>
      </c>
      <c r="T31" s="1087">
        <f t="shared" si="2"/>
        <v>-5.0460440967250335</v>
      </c>
      <c r="U31" s="89"/>
      <c r="V31" s="103"/>
      <c r="W31" s="115"/>
      <c r="X31" s="51" t="str">
        <f t="shared" si="3"/>
        <v>England</v>
      </c>
      <c r="Y31" s="27">
        <f>IF(H31&gt;0,IDACI!D29,0)</f>
        <v>10405050</v>
      </c>
      <c r="Z31" s="27">
        <f>IF(H31&gt;0,IDACI!E29,0)</f>
        <v>1777641.7570000088</v>
      </c>
      <c r="AA31" s="155">
        <f>IF(ISNUMBER(D31),Population!D31,"")</f>
        <v>11790492</v>
      </c>
      <c r="AB31" s="155">
        <f>IF(ISNUMBER(E31),Population!E31,"")</f>
        <v>11787794</v>
      </c>
      <c r="AC31" s="155">
        <f>IF(ISNUMBER(F31),Population!F31,"")</f>
        <v>11762878</v>
      </c>
      <c r="AD31" s="155">
        <f>IF(ISNUMBER(G31),Population!G31,"")</f>
        <v>11885789</v>
      </c>
      <c r="AE31" s="155">
        <f>IF(ISNUMBER(H31),Population!H31,"")</f>
        <v>11998646</v>
      </c>
      <c r="AH31" s="141"/>
      <c r="AJ31" s="121"/>
      <c r="AK31" s="480">
        <f>IF(ISERROR((E31-D31)/D31),"x",(E31-D31)/D31)</f>
        <v>-6.3121208209629534E-2</v>
      </c>
      <c r="AL31" s="480">
        <f>IF(ISERROR((F31-E31)/E31),"x",(F31-E31)/E31)</f>
        <v>1.6671259300082668E-2</v>
      </c>
      <c r="AM31" s="480">
        <f>IF(ISERROR((G31-F31)/F31),"x",(G31-F31)/F31)</f>
        <v>7.995663369020193E-3</v>
      </c>
      <c r="AN31" s="480">
        <f>IF(ISERROR((H31-G31)/G31),"x",(H31-G31)/G31)</f>
        <v>-2.8636730303845118E-2</v>
      </c>
      <c r="AO31" s="480">
        <f t="shared" si="22"/>
        <v>-1.6772753961092946E-2</v>
      </c>
      <c r="AQ31" s="531">
        <f t="shared" si="10"/>
        <v>61.572165241435336</v>
      </c>
      <c r="AR31" s="531">
        <f t="shared" si="11"/>
        <v>62.731246553777055</v>
      </c>
      <c r="AS31" s="531">
        <f t="shared" si="12"/>
        <v>62.578933548290316</v>
      </c>
      <c r="AT31" s="531">
        <f t="shared" si="13"/>
        <v>60.215127606898314</v>
      </c>
      <c r="AU31" s="531">
        <f t="shared" si="23"/>
        <v>247.097472950401</v>
      </c>
      <c r="AV31" s="350">
        <f t="shared" si="24"/>
        <v>0</v>
      </c>
      <c r="AW31" s="531">
        <f t="shared" si="25"/>
        <v>247.097472950401</v>
      </c>
    </row>
    <row r="32" spans="1:49" s="56" customFormat="1" ht="12.75" customHeight="1">
      <c r="A32" s="87"/>
      <c r="B32" s="1077"/>
      <c r="C32" s="1184"/>
      <c r="D32" s="1184"/>
      <c r="E32" s="1184"/>
      <c r="F32" s="1184"/>
      <c r="G32" s="1184"/>
      <c r="H32" s="1184"/>
      <c r="I32" s="1184"/>
      <c r="J32" s="1184"/>
      <c r="K32" s="1184"/>
      <c r="L32" s="1184"/>
      <c r="M32" s="1184"/>
      <c r="N32" s="1184"/>
      <c r="O32" s="1184"/>
      <c r="P32" s="1184"/>
      <c r="Q32" s="1091" t="s">
        <v>100</v>
      </c>
      <c r="R32" s="1113"/>
      <c r="S32" s="1184"/>
      <c r="T32" s="1184"/>
      <c r="U32" s="86"/>
      <c r="V32" s="121"/>
      <c r="W32" s="114"/>
      <c r="X32" s="55"/>
      <c r="Y32" s="52"/>
      <c r="Z32" s="52"/>
      <c r="AA32" s="52"/>
      <c r="AB32" s="52"/>
      <c r="AC32" s="52"/>
      <c r="AD32" s="52"/>
      <c r="AE32" s="52"/>
      <c r="AF32" s="52"/>
      <c r="AG32" s="52"/>
      <c r="AI32" s="52"/>
      <c r="AJ32" s="122"/>
    </row>
    <row r="33" spans="1:53"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Y33" s="141"/>
      <c r="AI33" s="52"/>
      <c r="AJ33" s="119"/>
      <c r="AK33" s="52"/>
      <c r="AL33" s="52"/>
      <c r="AM33" s="52"/>
      <c r="AN33" s="52"/>
      <c r="AO33" s="52"/>
      <c r="AP33" s="52"/>
      <c r="AQ33" s="52"/>
    </row>
    <row r="34" spans="1:53" s="56" customFormat="1" ht="15" customHeight="1">
      <c r="A34" s="1565"/>
      <c r="B34" s="1751"/>
      <c r="C34" s="1751"/>
      <c r="D34" s="1751"/>
      <c r="E34" s="1751"/>
      <c r="F34" s="1751"/>
      <c r="G34" s="1751"/>
      <c r="H34" s="1751"/>
      <c r="I34" s="1751"/>
      <c r="J34" s="1751"/>
      <c r="K34" s="1751"/>
      <c r="L34" s="1751"/>
      <c r="M34" s="1751"/>
      <c r="N34" s="1751"/>
      <c r="O34" s="1751"/>
      <c r="P34" s="1751"/>
      <c r="Q34" s="1751"/>
      <c r="R34" s="1751"/>
      <c r="S34" s="1751"/>
      <c r="T34" s="1751"/>
      <c r="U34" s="1752"/>
      <c r="V34" s="185"/>
      <c r="W34" s="114"/>
      <c r="Y34" s="141"/>
      <c r="AJ34" s="122"/>
      <c r="AL34" s="56">
        <f>COLUMNS($B$4:K$4)</f>
        <v>10</v>
      </c>
      <c r="AM34" s="56">
        <f>COLUMNS($B$4:L$4)</f>
        <v>11</v>
      </c>
      <c r="AN34" s="56">
        <f>COLUMNS($B$4:M$4)</f>
        <v>12</v>
      </c>
      <c r="AO34" s="56">
        <f>COLUMNS($B$4:N$4)</f>
        <v>13</v>
      </c>
      <c r="AP34" s="56">
        <f>COLUMNS($B$4:O$4)</f>
        <v>14</v>
      </c>
      <c r="AQ34" s="56">
        <f>COLUMNS($B$4:R$4)</f>
        <v>17</v>
      </c>
      <c r="AR34" s="56">
        <f>COLUMNS($B$4:D$4)</f>
        <v>3</v>
      </c>
      <c r="AS34" s="56">
        <f>COLUMNS($B$4:E$4)</f>
        <v>4</v>
      </c>
      <c r="AT34" s="56">
        <f>COLUMNS($B$4:F$4)</f>
        <v>5</v>
      </c>
      <c r="AU34" s="56">
        <f>COLUMNS($B$4:G$4)</f>
        <v>6</v>
      </c>
      <c r="AV34" s="56">
        <f>COLUMNS($B$4:H$4)</f>
        <v>7</v>
      </c>
      <c r="AW34" s="56">
        <f>COLUMNS($B$4:D$4)</f>
        <v>3</v>
      </c>
      <c r="AX34" s="56">
        <f>COLUMNS($B$4:E$4)</f>
        <v>4</v>
      </c>
      <c r="AY34" s="56">
        <f>COLUMNS($B$4:F$4)</f>
        <v>5</v>
      </c>
      <c r="AZ34" s="56">
        <f>COLUMNS($B$4:G$4)</f>
        <v>6</v>
      </c>
      <c r="BA34" s="56">
        <f>COLUMNS($B$4:H$4)</f>
        <v>7</v>
      </c>
    </row>
    <row r="35" spans="1:53" s="56" customFormat="1" ht="11.25" customHeight="1">
      <c r="A35" s="1739"/>
      <c r="B35" s="1740"/>
      <c r="C35" s="1740"/>
      <c r="D35" s="1740"/>
      <c r="E35" s="1740"/>
      <c r="F35" s="1740"/>
      <c r="G35" s="1740"/>
      <c r="H35" s="1740"/>
      <c r="I35" s="1741"/>
      <c r="J35" s="1740"/>
      <c r="K35" s="1740"/>
      <c r="L35" s="1740"/>
      <c r="M35" s="1740"/>
      <c r="N35" s="1740"/>
      <c r="O35" s="1740"/>
      <c r="P35" s="1742"/>
      <c r="Q35" s="1740"/>
      <c r="R35" s="1740"/>
      <c r="S35" s="1741"/>
      <c r="T35" s="1740"/>
      <c r="U35" s="1743"/>
      <c r="V35" s="185"/>
      <c r="W35" s="114"/>
      <c r="Y35" s="141"/>
      <c r="AI35" s="52"/>
      <c r="AJ35" s="121"/>
      <c r="AK35" s="61"/>
      <c r="AL35" s="109" t="s">
        <v>85</v>
      </c>
      <c r="AM35" s="173"/>
      <c r="AN35" s="173"/>
      <c r="AO35" s="173"/>
      <c r="AP35" s="173"/>
      <c r="AQ35" s="109" t="s">
        <v>862</v>
      </c>
      <c r="AR35" s="38" t="s">
        <v>103</v>
      </c>
      <c r="AS35" s="17"/>
      <c r="AT35" s="17"/>
      <c r="AU35" s="17"/>
      <c r="AV35" s="16"/>
      <c r="AW35" s="38" t="s">
        <v>123</v>
      </c>
      <c r="AX35" s="17"/>
      <c r="AY35" s="17"/>
      <c r="AZ35" s="17"/>
      <c r="BA35" s="16"/>
    </row>
    <row r="36" spans="1:53" s="56" customFormat="1" ht="10.5" customHeight="1">
      <c r="A36" s="81"/>
      <c r="B36" s="82"/>
      <c r="C36" s="82"/>
      <c r="D36" s="82"/>
      <c r="E36" s="82"/>
      <c r="F36" s="82"/>
      <c r="G36" s="82"/>
      <c r="H36" s="82"/>
      <c r="I36" s="82"/>
      <c r="J36" s="83"/>
      <c r="K36" s="82"/>
      <c r="L36" s="82"/>
      <c r="M36" s="82"/>
      <c r="N36" s="82"/>
      <c r="O36" s="82"/>
      <c r="P36" s="82"/>
      <c r="Q36" s="82"/>
      <c r="R36" s="82"/>
      <c r="S36" s="82"/>
      <c r="T36" s="82"/>
      <c r="U36" s="84"/>
      <c r="V36" s="102"/>
      <c r="W36" s="1093" t="s">
        <v>94</v>
      </c>
      <c r="X36" s="1152"/>
      <c r="Y36" s="1152"/>
      <c r="Z36" s="1152"/>
      <c r="AA36" s="1152"/>
      <c r="AB36" s="1152"/>
      <c r="AC36" s="1113"/>
      <c r="AD36" s="1113"/>
      <c r="AE36" s="1113"/>
      <c r="AF36" s="1113"/>
      <c r="AG36" s="1113"/>
      <c r="AH36" s="1113"/>
      <c r="AI36" s="360"/>
      <c r="AJ36" s="921"/>
      <c r="AK36" s="61"/>
      <c r="AL36" s="109"/>
      <c r="AM36" s="109"/>
      <c r="AN36" s="109"/>
      <c r="AO36" s="109"/>
      <c r="AP36" s="109"/>
      <c r="AQ36" s="173"/>
      <c r="AR36" s="109"/>
      <c r="AS36" s="109"/>
      <c r="AT36" s="109"/>
      <c r="AU36" s="109"/>
      <c r="AV36" s="109"/>
      <c r="AW36" s="109"/>
      <c r="AX36" s="109"/>
      <c r="AY36" s="109"/>
      <c r="AZ36" s="109"/>
      <c r="BA36" s="109"/>
    </row>
    <row r="37" spans="1:53" s="56" customFormat="1" ht="3.75" customHeight="1">
      <c r="A37" s="85"/>
      <c r="B37" s="5"/>
      <c r="C37" s="5"/>
      <c r="D37" s="5"/>
      <c r="E37" s="5"/>
      <c r="F37" s="5"/>
      <c r="G37" s="5"/>
      <c r="H37" s="5"/>
      <c r="I37" s="5"/>
      <c r="J37" s="1"/>
      <c r="K37" s="5"/>
      <c r="L37" s="5"/>
      <c r="M37" s="5"/>
      <c r="N37" s="5"/>
      <c r="O37" s="5"/>
      <c r="P37" s="5"/>
      <c r="Q37" s="5"/>
      <c r="R37" s="5"/>
      <c r="S37" s="5"/>
      <c r="T37" s="5"/>
      <c r="U37" s="86"/>
      <c r="V37" s="102"/>
      <c r="W37" s="1155"/>
      <c r="X37" s="1113"/>
      <c r="Y37" s="1113"/>
      <c r="Z37" s="1113"/>
      <c r="AA37" s="1113"/>
      <c r="AB37" s="1113"/>
      <c r="AC37" s="1156" t="s">
        <v>762</v>
      </c>
      <c r="AD37" s="1113"/>
      <c r="AE37" s="1113"/>
      <c r="AF37" s="1113"/>
      <c r="AG37" s="1113"/>
      <c r="AH37" s="1113"/>
      <c r="AI37" s="1113"/>
      <c r="AJ37" s="921"/>
      <c r="AK37" s="61"/>
      <c r="AL37" s="109" t="e">
        <f>D10</f>
        <v>#N/A</v>
      </c>
      <c r="AM37" s="109" t="e">
        <f>E10</f>
        <v>#N/A</v>
      </c>
      <c r="AN37" s="109" t="e">
        <f>F10</f>
        <v>#N/A</v>
      </c>
      <c r="AO37" s="109" t="e">
        <f>G10</f>
        <v>#N/A</v>
      </c>
      <c r="AP37" s="109" t="e">
        <f>H10</f>
        <v>#N/A</v>
      </c>
      <c r="AQ37" s="173"/>
      <c r="AR37" s="109" t="e">
        <f>K10</f>
        <v>#N/A</v>
      </c>
      <c r="AS37" s="109" t="e">
        <f>L10</f>
        <v>#N/A</v>
      </c>
      <c r="AT37" s="109" t="e">
        <f>M10</f>
        <v>#N/A</v>
      </c>
      <c r="AU37" s="109" t="e">
        <f>N10</f>
        <v>#N/A</v>
      </c>
      <c r="AV37" s="109" t="e">
        <f>O10</f>
        <v>#N/A</v>
      </c>
      <c r="AW37" s="109" t="e">
        <f>AR37</f>
        <v>#N/A</v>
      </c>
      <c r="AX37" s="109" t="e">
        <f>AS37</f>
        <v>#N/A</v>
      </c>
      <c r="AY37" s="109" t="e">
        <f>AT37</f>
        <v>#N/A</v>
      </c>
      <c r="AZ37" s="109" t="e">
        <f>AU37</f>
        <v>#N/A</v>
      </c>
      <c r="BA37" s="109" t="e">
        <f>AV37</f>
        <v>#N/A</v>
      </c>
    </row>
    <row r="38" spans="1:53" s="56" customFormat="1" ht="14.25" customHeight="1">
      <c r="A38" s="87"/>
      <c r="B38" s="5"/>
      <c r="C38" s="5"/>
      <c r="D38" s="5"/>
      <c r="E38" s="5"/>
      <c r="F38" s="5"/>
      <c r="G38" s="5"/>
      <c r="H38" s="5"/>
      <c r="I38" s="5"/>
      <c r="J38" s="1"/>
      <c r="K38" s="5"/>
      <c r="L38" s="5"/>
      <c r="M38" s="5"/>
      <c r="N38" s="5"/>
      <c r="O38" s="5"/>
      <c r="P38" s="5"/>
      <c r="Q38" s="5"/>
      <c r="R38" s="5"/>
      <c r="S38" s="5"/>
      <c r="T38" s="5"/>
      <c r="U38" s="86"/>
      <c r="V38" s="102"/>
      <c r="W38" s="1155"/>
      <c r="X38" s="1157" t="s">
        <v>69</v>
      </c>
      <c r="Y38" s="1157" t="s">
        <v>67</v>
      </c>
      <c r="Z38" s="1157" t="s">
        <v>68</v>
      </c>
      <c r="AA38" s="1158">
        <v>3</v>
      </c>
      <c r="AB38" s="1159">
        <f>(AA38*Y39)+Z39</f>
        <v>36.324673084491259</v>
      </c>
      <c r="AC38" s="1160">
        <f>ROUND(ChartLabels!$X25,3)</f>
        <v>0.372</v>
      </c>
      <c r="AD38" s="1113"/>
      <c r="AE38" s="1113"/>
      <c r="AF38" s="1113"/>
      <c r="AG38" s="1113"/>
      <c r="AH38" s="1113"/>
      <c r="AI38" s="1161" t="b">
        <v>1</v>
      </c>
      <c r="AJ38" s="921" t="s">
        <v>0</v>
      </c>
      <c r="AK38" s="61" t="str">
        <f t="shared" ref="AK38:AK58" si="26">IF(AI38=TRUE,B11,"")</f>
        <v>Bracknell Forest</v>
      </c>
      <c r="AL38" s="110">
        <f t="shared" ref="AL38:AP47" si="27">VLOOKUP($AK38,$B$11:$O$31,AL$34,FALSE)</f>
        <v>94.1460912887391</v>
      </c>
      <c r="AM38" s="110">
        <f t="shared" si="27"/>
        <v>96.035370007972745</v>
      </c>
      <c r="AN38" s="110">
        <f t="shared" si="27"/>
        <v>99.198504834130034</v>
      </c>
      <c r="AO38" s="110">
        <f t="shared" si="27"/>
        <v>86.480762442640298</v>
      </c>
      <c r="AP38" s="110">
        <f t="shared" si="27"/>
        <v>48.521660208747861</v>
      </c>
      <c r="AQ38" s="111">
        <f>VLOOKUP(AK38,IDACI!$B$8:$C$29,2,FALSE)</f>
        <v>8.9</v>
      </c>
      <c r="AR38" s="237">
        <f t="shared" ref="AR38:AV47" si="28">VLOOKUP($AK38,$B$109:$H$129,AR$34,FALSE)</f>
        <v>0.3141809290953545</v>
      </c>
      <c r="AS38" s="237">
        <f t="shared" si="28"/>
        <v>0.30424799081515497</v>
      </c>
      <c r="AT38" s="237">
        <f t="shared" si="28"/>
        <v>0.32167832167832167</v>
      </c>
      <c r="AU38" s="237">
        <f t="shared" si="28"/>
        <v>0.28521536670547148</v>
      </c>
      <c r="AV38" s="237">
        <f t="shared" si="28"/>
        <v>0.1991404011461318</v>
      </c>
      <c r="AW38" s="237">
        <f t="shared" ref="AW38:BA47" si="29">VLOOKUP($AK38,$B$142:$H$162,AW$34,FALSE)</f>
        <v>0.77431906614785995</v>
      </c>
      <c r="AX38" s="237">
        <f t="shared" si="29"/>
        <v>0.79622641509433967</v>
      </c>
      <c r="AY38" s="237">
        <f t="shared" si="29"/>
        <v>0.84420289855072461</v>
      </c>
      <c r="AZ38" s="237">
        <f t="shared" si="29"/>
        <v>0.76326530612244903</v>
      </c>
      <c r="BA38" s="237">
        <f t="shared" si="29"/>
        <v>0.74100719424460426</v>
      </c>
    </row>
    <row r="39" spans="1:53" s="56" customFormat="1" ht="14.25" customHeight="1">
      <c r="A39" s="87"/>
      <c r="B39" s="5"/>
      <c r="C39" s="5"/>
      <c r="D39" s="5"/>
      <c r="E39" s="5"/>
      <c r="F39" s="5"/>
      <c r="G39" s="5"/>
      <c r="H39" s="5"/>
      <c r="I39" s="5"/>
      <c r="J39" s="1"/>
      <c r="K39" s="5"/>
      <c r="L39" s="5"/>
      <c r="M39" s="5"/>
      <c r="N39" s="5"/>
      <c r="O39" s="5"/>
      <c r="P39" s="5"/>
      <c r="Q39" s="5"/>
      <c r="R39" s="5"/>
      <c r="S39" s="5"/>
      <c r="T39" s="5"/>
      <c r="U39" s="86"/>
      <c r="V39" s="102"/>
      <c r="W39" s="1155"/>
      <c r="X39" s="1162" t="str">
        <f>"Y= "&amp;Y39&amp;"x + "&amp;Z39</f>
        <v>Y= 2.68472142321965x + 28.2705088148323</v>
      </c>
      <c r="Y39" s="1163">
        <f>ChartLabels!$V25</f>
        <v>2.6847214232196466</v>
      </c>
      <c r="Z39" s="1163">
        <f>ChartLabels!$W25</f>
        <v>28.270508814832318</v>
      </c>
      <c r="AA39" s="1164">
        <v>22</v>
      </c>
      <c r="AB39" s="1159">
        <f>(AA39*Y39)+Z39</f>
        <v>87.334380125664552</v>
      </c>
      <c r="AC39" s="1165" t="str">
        <f>AC37&amp;" = "&amp;AC38</f>
        <v>r² = 0.372</v>
      </c>
      <c r="AD39" s="1113"/>
      <c r="AE39" s="1113"/>
      <c r="AF39" s="1113"/>
      <c r="AG39" s="1113"/>
      <c r="AH39" s="1113"/>
      <c r="AI39" s="1161" t="b">
        <v>1</v>
      </c>
      <c r="AJ39" s="921" t="s">
        <v>28</v>
      </c>
      <c r="AK39" s="61" t="str">
        <f t="shared" si="26"/>
        <v>Brighton &amp; Hove</v>
      </c>
      <c r="AL39" s="110">
        <f t="shared" si="27"/>
        <v>96.277013346555918</v>
      </c>
      <c r="AM39" s="110">
        <f t="shared" si="27"/>
        <v>78.809106830122587</v>
      </c>
      <c r="AN39" s="110">
        <f t="shared" si="27"/>
        <v>82.758620689655174</v>
      </c>
      <c r="AO39" s="110">
        <f t="shared" si="27"/>
        <v>79.338141705557902</v>
      </c>
      <c r="AP39" s="110">
        <f t="shared" si="27"/>
        <v>73.501050015000217</v>
      </c>
      <c r="AQ39" s="111">
        <f>VLOOKUP(AK39,IDACI!$B$8:$C$29,2,FALSE)</f>
        <v>15.299999999999999</v>
      </c>
      <c r="AR39" s="237">
        <f t="shared" si="28"/>
        <v>0.55213270142180093</v>
      </c>
      <c r="AS39" s="237">
        <f t="shared" si="28"/>
        <v>0.48711340206185566</v>
      </c>
      <c r="AT39" s="237">
        <f t="shared" si="28"/>
        <v>0.48088779284833538</v>
      </c>
      <c r="AU39" s="237">
        <f t="shared" si="28"/>
        <v>0.3318544809228039</v>
      </c>
      <c r="AV39" s="237">
        <f t="shared" si="28"/>
        <v>0.28022875816993464</v>
      </c>
      <c r="AW39" s="237">
        <f t="shared" si="29"/>
        <v>0.89699570815450647</v>
      </c>
      <c r="AX39" s="237">
        <f t="shared" si="29"/>
        <v>0.90211640211640209</v>
      </c>
      <c r="AY39" s="237">
        <f t="shared" si="29"/>
        <v>0.88205128205128203</v>
      </c>
      <c r="AZ39" s="237">
        <f t="shared" si="29"/>
        <v>0.89572192513368987</v>
      </c>
      <c r="BA39" s="237">
        <f t="shared" si="29"/>
        <v>0.89504373177842567</v>
      </c>
    </row>
    <row r="40" spans="1:53" ht="14.25" customHeight="1">
      <c r="A40" s="87"/>
      <c r="B40" s="5"/>
      <c r="C40" s="5"/>
      <c r="D40" s="5"/>
      <c r="E40" s="5"/>
      <c r="F40" s="5"/>
      <c r="G40" s="5"/>
      <c r="H40" s="5"/>
      <c r="I40" s="5"/>
      <c r="J40" s="1"/>
      <c r="K40" s="5"/>
      <c r="L40" s="5"/>
      <c r="M40" s="5"/>
      <c r="N40" s="5"/>
      <c r="O40" s="5"/>
      <c r="P40" s="5"/>
      <c r="Q40" s="5"/>
      <c r="R40" s="5"/>
      <c r="S40" s="5"/>
      <c r="T40" s="5"/>
      <c r="U40" s="86"/>
      <c r="V40" s="102"/>
      <c r="W40" s="1155"/>
      <c r="X40" s="1157" t="str">
        <f>"National Trend "&amp;ReportData!$B$8</f>
        <v>National Trend 2024</v>
      </c>
      <c r="Y40" s="1166" t="s">
        <v>67</v>
      </c>
      <c r="Z40" s="1157" t="s">
        <v>68</v>
      </c>
      <c r="AA40" s="1158">
        <v>3</v>
      </c>
      <c r="AB40" s="1167">
        <f>((AA40*Y41)+Z41)/$X$2</f>
        <v>36.190231541923204</v>
      </c>
      <c r="AC40" s="1165" t="str">
        <f>$AC$37&amp;" = "&amp;AC41</f>
        <v>r² = 0.248</v>
      </c>
      <c r="AD40" s="1113"/>
      <c r="AE40" s="1113"/>
      <c r="AF40" s="1113"/>
      <c r="AG40" s="1113"/>
      <c r="AH40" s="1113"/>
      <c r="AI40" s="1161" t="b">
        <v>1</v>
      </c>
      <c r="AJ40" s="921" t="s">
        <v>8</v>
      </c>
      <c r="AK40" s="61" t="str">
        <f t="shared" si="26"/>
        <v>Buckinghamshire</v>
      </c>
      <c r="AL40" s="110">
        <f t="shared" si="27"/>
        <v>70.16710742854336</v>
      </c>
      <c r="AM40" s="110">
        <f t="shared" si="27"/>
        <v>56.002285807583988</v>
      </c>
      <c r="AN40" s="110">
        <f t="shared" si="27"/>
        <v>84.608533721965827</v>
      </c>
      <c r="AO40" s="110">
        <f t="shared" si="27"/>
        <v>56.546082674820312</v>
      </c>
      <c r="AP40" s="110">
        <f t="shared" si="27"/>
        <v>50.777331995987964</v>
      </c>
      <c r="AQ40" s="111">
        <f>VLOOKUP(AK40,IDACI!$B$8:$C$29,2,FALSE)</f>
        <v>8.5</v>
      </c>
      <c r="AR40" s="237">
        <f t="shared" si="28"/>
        <v>0.35501242750621376</v>
      </c>
      <c r="AS40" s="237">
        <f t="shared" si="28"/>
        <v>0.2795436022819886</v>
      </c>
      <c r="AT40" s="237">
        <f t="shared" si="28"/>
        <v>0.29378689907225192</v>
      </c>
      <c r="AU40" s="237">
        <f t="shared" si="28"/>
        <v>0.24982456140350878</v>
      </c>
      <c r="AV40" s="237">
        <f t="shared" si="28"/>
        <v>0.23849834376150167</v>
      </c>
      <c r="AW40" s="237">
        <f t="shared" si="29"/>
        <v>0.7537922987164527</v>
      </c>
      <c r="AX40" s="237">
        <f t="shared" si="29"/>
        <v>0.84110787172011658</v>
      </c>
      <c r="AY40" s="237">
        <f t="shared" si="29"/>
        <v>0.59808612440191389</v>
      </c>
      <c r="AZ40" s="237">
        <f t="shared" si="29"/>
        <v>0.7008426966292135</v>
      </c>
      <c r="BA40" s="237">
        <f t="shared" si="29"/>
        <v>0.69444444444444442</v>
      </c>
    </row>
    <row r="41" spans="1:53" ht="14.25" customHeight="1">
      <c r="A41" s="87"/>
      <c r="B41" s="5"/>
      <c r="C41" s="5"/>
      <c r="D41" s="5"/>
      <c r="E41" s="5"/>
      <c r="F41" s="5"/>
      <c r="G41" s="5"/>
      <c r="H41" s="5"/>
      <c r="I41" s="5"/>
      <c r="J41" s="1"/>
      <c r="K41" s="10"/>
      <c r="L41" s="10"/>
      <c r="M41" s="10"/>
      <c r="N41" s="10"/>
      <c r="O41" s="5"/>
      <c r="P41" s="5"/>
      <c r="Q41" s="5"/>
      <c r="R41" s="5"/>
      <c r="S41" s="5"/>
      <c r="T41" s="5"/>
      <c r="U41" s="86"/>
      <c r="V41" s="102"/>
      <c r="W41" s="1155"/>
      <c r="X41" s="1168" t="str">
        <f>"Y= "&amp;Y41&amp;"x + "&amp;Z41</f>
        <v>Y= 2.06405047378965x + 29.9980801205543</v>
      </c>
      <c r="Y41" s="1163">
        <f>ReportData!$C$11</f>
        <v>2.0640504737896483</v>
      </c>
      <c r="Z41" s="1163">
        <f>ReportData!C12</f>
        <v>29.998080120554256</v>
      </c>
      <c r="AA41" s="1164">
        <v>22</v>
      </c>
      <c r="AB41" s="1159">
        <f>((AA41*Y41)+Z41)/$X$2</f>
        <v>75.407190543926518</v>
      </c>
      <c r="AC41" s="1169">
        <f>ROUND(ReportData!$C$13,3)</f>
        <v>0.248</v>
      </c>
      <c r="AD41" s="1113"/>
      <c r="AE41" s="1113"/>
      <c r="AF41" s="1113"/>
      <c r="AG41" s="1113"/>
      <c r="AH41" s="1113"/>
      <c r="AI41" s="1161" t="b">
        <v>1</v>
      </c>
      <c r="AJ41" s="921" t="s">
        <v>4</v>
      </c>
      <c r="AK41" s="61" t="str">
        <f t="shared" si="26"/>
        <v>East Sussex</v>
      </c>
      <c r="AL41" s="110">
        <f t="shared" si="27"/>
        <v>66.75022590141954</v>
      </c>
      <c r="AM41" s="110">
        <f t="shared" si="27"/>
        <v>73.326238295628741</v>
      </c>
      <c r="AN41" s="110">
        <f t="shared" si="27"/>
        <v>67.772339862101433</v>
      </c>
      <c r="AO41" s="110">
        <f t="shared" si="27"/>
        <v>79.844395818137613</v>
      </c>
      <c r="AP41" s="110">
        <f t="shared" si="27"/>
        <v>79.628592938632906</v>
      </c>
      <c r="AQ41" s="111">
        <f>VLOOKUP(AK41,IDACI!$B$8:$C$29,2,FALSE)</f>
        <v>16.100000000000001</v>
      </c>
      <c r="AR41" s="237">
        <f t="shared" si="28"/>
        <v>0.5161532682193839</v>
      </c>
      <c r="AS41" s="237">
        <f t="shared" si="28"/>
        <v>0.44596199524940616</v>
      </c>
      <c r="AT41" s="237">
        <f t="shared" si="28"/>
        <v>0.43268628678772697</v>
      </c>
      <c r="AU41" s="237">
        <f t="shared" si="28"/>
        <v>0.59839650145772594</v>
      </c>
      <c r="AV41" s="237">
        <f t="shared" si="28"/>
        <v>0.64807541241162603</v>
      </c>
      <c r="AW41" s="237">
        <f t="shared" si="29"/>
        <v>0.81368267831149932</v>
      </c>
      <c r="AX41" s="237">
        <f t="shared" si="29"/>
        <v>0.79227696404793613</v>
      </c>
      <c r="AY41" s="237">
        <f t="shared" si="29"/>
        <v>0.81186685962373373</v>
      </c>
      <c r="AZ41" s="237">
        <f t="shared" si="29"/>
        <v>0.7040194884287454</v>
      </c>
      <c r="BA41" s="237">
        <f t="shared" si="29"/>
        <v>0.78181818181818186</v>
      </c>
    </row>
    <row r="42" spans="1:53" ht="14.25" customHeight="1">
      <c r="A42" s="87"/>
      <c r="B42" s="76"/>
      <c r="C42" s="76"/>
      <c r="D42" s="77"/>
      <c r="E42" s="77"/>
      <c r="F42" s="77"/>
      <c r="G42" s="77"/>
      <c r="H42" s="77"/>
      <c r="I42" s="77"/>
      <c r="J42" s="1"/>
      <c r="K42" s="5"/>
      <c r="L42" s="5"/>
      <c r="M42" s="5"/>
      <c r="N42" s="5"/>
      <c r="O42" s="5"/>
      <c r="P42" s="5"/>
      <c r="Q42" s="5"/>
      <c r="R42" s="5"/>
      <c r="S42" s="5"/>
      <c r="T42" s="5"/>
      <c r="U42" s="86"/>
      <c r="V42" s="102"/>
      <c r="W42" s="1155"/>
      <c r="X42" s="360"/>
      <c r="Y42" s="360"/>
      <c r="Z42" s="360"/>
      <c r="AA42" s="360"/>
      <c r="AB42" s="360"/>
      <c r="AC42" s="1113"/>
      <c r="AD42" s="1113"/>
      <c r="AE42" s="1113"/>
      <c r="AF42" s="1113"/>
      <c r="AG42" s="1113"/>
      <c r="AH42" s="1113"/>
      <c r="AI42" s="1161" t="b">
        <v>1</v>
      </c>
      <c r="AJ42" s="921" t="s">
        <v>6</v>
      </c>
      <c r="AK42" s="61" t="str">
        <f t="shared" si="26"/>
        <v>Hampshire</v>
      </c>
      <c r="AL42" s="110">
        <f t="shared" si="27"/>
        <v>56.74088923892031</v>
      </c>
      <c r="AM42" s="110">
        <f t="shared" si="27"/>
        <v>61.007027437060792</v>
      </c>
      <c r="AN42" s="110">
        <f t="shared" si="27"/>
        <v>58.164162475216159</v>
      </c>
      <c r="AO42" s="110">
        <f t="shared" si="27"/>
        <v>58.697576961201037</v>
      </c>
      <c r="AP42" s="110" t="e">
        <f t="shared" si="27"/>
        <v>#N/A</v>
      </c>
      <c r="AQ42" s="111">
        <f>VLOOKUP(AK42,IDACI!$B$8:$C$29,2,FALSE)</f>
        <v>10.100000000000001</v>
      </c>
      <c r="AR42" s="237">
        <f t="shared" si="28"/>
        <v>0.31479642502482624</v>
      </c>
      <c r="AS42" s="237">
        <f t="shared" si="28"/>
        <v>0.28191137566137564</v>
      </c>
      <c r="AT42" s="237">
        <f t="shared" si="28"/>
        <v>0.20558631102164066</v>
      </c>
      <c r="AU42" s="237">
        <f t="shared" si="28"/>
        <v>0.19717976063514633</v>
      </c>
      <c r="AV42" s="237" t="e">
        <f t="shared" si="28"/>
        <v>#N/A</v>
      </c>
      <c r="AW42" s="237">
        <f t="shared" si="29"/>
        <v>0.77097791798107251</v>
      </c>
      <c r="AX42" s="237">
        <f t="shared" si="29"/>
        <v>0.87096774193548387</v>
      </c>
      <c r="AY42" s="237">
        <f t="shared" si="29"/>
        <v>0.82374541003671975</v>
      </c>
      <c r="AZ42" s="237">
        <f t="shared" si="29"/>
        <v>0.78605769230769229</v>
      </c>
      <c r="BA42" s="237" t="e">
        <f t="shared" si="29"/>
        <v>#N/A</v>
      </c>
    </row>
    <row r="43" spans="1:53" ht="14.25" customHeight="1">
      <c r="A43" s="87"/>
      <c r="B43" s="77"/>
      <c r="C43" s="77"/>
      <c r="D43" s="77"/>
      <c r="E43" s="77"/>
      <c r="F43" s="77"/>
      <c r="G43" s="77"/>
      <c r="H43" s="77"/>
      <c r="I43" s="77"/>
      <c r="J43" s="1"/>
      <c r="K43" s="5"/>
      <c r="L43" s="5"/>
      <c r="M43" s="5"/>
      <c r="N43" s="5"/>
      <c r="O43" s="5"/>
      <c r="P43" s="5"/>
      <c r="Q43" s="5"/>
      <c r="R43" s="5"/>
      <c r="S43" s="5"/>
      <c r="T43" s="5"/>
      <c r="U43" s="86"/>
      <c r="V43" s="102"/>
      <c r="W43" s="1155"/>
      <c r="X43" s="1113"/>
      <c r="Y43" s="1113"/>
      <c r="Z43" s="1113"/>
      <c r="AA43" s="1113"/>
      <c r="AB43" s="1113"/>
      <c r="AC43" s="1113"/>
      <c r="AD43" s="1113"/>
      <c r="AE43" s="1113"/>
      <c r="AF43" s="1113"/>
      <c r="AG43" s="1113"/>
      <c r="AH43" s="1113"/>
      <c r="AI43" s="1161" t="b">
        <v>1</v>
      </c>
      <c r="AJ43" s="921" t="s">
        <v>1</v>
      </c>
      <c r="AK43" s="61" t="str">
        <f t="shared" si="26"/>
        <v>Isle of Wight</v>
      </c>
      <c r="AL43" s="110">
        <f t="shared" si="27"/>
        <v>63.371877700506154</v>
      </c>
      <c r="AM43" s="110">
        <f t="shared" si="27"/>
        <v>107.56738657291143</v>
      </c>
      <c r="AN43" s="110">
        <f t="shared" si="27"/>
        <v>115.92486038246741</v>
      </c>
      <c r="AO43" s="110">
        <f t="shared" si="27"/>
        <v>138.94790515849408</v>
      </c>
      <c r="AP43" s="110">
        <f t="shared" si="27"/>
        <v>117.7574878402594</v>
      </c>
      <c r="AQ43" s="111">
        <f>VLOOKUP(AK43,IDACI!$B$8:$C$29,2,FALSE)</f>
        <v>18</v>
      </c>
      <c r="AR43" s="237">
        <f t="shared" si="28"/>
        <v>0.24024960998439937</v>
      </c>
      <c r="AS43" s="237">
        <f t="shared" si="28"/>
        <v>0.28908886389201349</v>
      </c>
      <c r="AT43" s="237">
        <f t="shared" si="28"/>
        <v>0.27345309381237526</v>
      </c>
      <c r="AU43" s="237">
        <f t="shared" si="28"/>
        <v>0.30082796688132474</v>
      </c>
      <c r="AV43" s="237">
        <f t="shared" si="28"/>
        <v>0.23670668953687821</v>
      </c>
      <c r="AW43" s="237">
        <f t="shared" si="29"/>
        <v>0.83116883116883122</v>
      </c>
      <c r="AX43" s="237">
        <f t="shared" si="29"/>
        <v>0.75875486381322954</v>
      </c>
      <c r="AY43" s="237">
        <f t="shared" si="29"/>
        <v>0.7992700729927007</v>
      </c>
      <c r="AZ43" s="237">
        <f t="shared" si="29"/>
        <v>0.66360856269113155</v>
      </c>
      <c r="BA43" s="237">
        <f t="shared" si="29"/>
        <v>0.72826086956521741</v>
      </c>
    </row>
    <row r="44" spans="1:53" ht="14.25" customHeight="1">
      <c r="A44" s="87"/>
      <c r="B44" s="77"/>
      <c r="C44" s="77"/>
      <c r="D44" s="77"/>
      <c r="E44" s="77"/>
      <c r="F44" s="77"/>
      <c r="G44" s="77"/>
      <c r="H44" s="77"/>
      <c r="I44" s="77"/>
      <c r="J44" s="1"/>
      <c r="K44" s="5"/>
      <c r="L44" s="5"/>
      <c r="M44" s="5"/>
      <c r="N44" s="5"/>
      <c r="O44" s="5"/>
      <c r="P44" s="5"/>
      <c r="Q44" s="5"/>
      <c r="R44" s="5"/>
      <c r="S44" s="5"/>
      <c r="T44" s="5"/>
      <c r="U44" s="86"/>
      <c r="V44" s="102"/>
      <c r="W44" s="1155"/>
      <c r="X44" s="1113"/>
      <c r="Y44" s="1113"/>
      <c r="Z44" s="1113"/>
      <c r="AA44" s="1113"/>
      <c r="AB44" s="1113"/>
      <c r="AC44" s="1170"/>
      <c r="AD44" s="1113"/>
      <c r="AE44" s="1113"/>
      <c r="AF44" s="1113"/>
      <c r="AG44" s="1113"/>
      <c r="AH44" s="1113"/>
      <c r="AI44" s="1161" t="b">
        <v>1</v>
      </c>
      <c r="AJ44" s="921" t="s">
        <v>9</v>
      </c>
      <c r="AK44" s="61" t="str">
        <f t="shared" si="26"/>
        <v>Kent</v>
      </c>
      <c r="AL44" s="110">
        <f t="shared" si="27"/>
        <v>51.1485166930159</v>
      </c>
      <c r="AM44" s="110">
        <f t="shared" si="27"/>
        <v>44.793435877807809</v>
      </c>
      <c r="AN44" s="110">
        <f t="shared" si="27"/>
        <v>50.462523542730992</v>
      </c>
      <c r="AO44" s="110">
        <f t="shared" si="27"/>
        <v>52.004036656575025</v>
      </c>
      <c r="AP44" s="110">
        <f t="shared" si="27"/>
        <v>44.727443932799744</v>
      </c>
      <c r="AQ44" s="111">
        <f>VLOOKUP(AK44,IDACI!$B$8:$C$29,2,FALSE)</f>
        <v>15.8</v>
      </c>
      <c r="AR44" s="237">
        <f t="shared" si="28"/>
        <v>0.25778651345630482</v>
      </c>
      <c r="AS44" s="237">
        <f t="shared" si="28"/>
        <v>0.25988896599583622</v>
      </c>
      <c r="AT44" s="237">
        <f t="shared" si="28"/>
        <v>0.25519109238639781</v>
      </c>
      <c r="AU44" s="237">
        <f t="shared" si="28"/>
        <v>0.24542326221610461</v>
      </c>
      <c r="AV44" s="237">
        <f t="shared" si="28"/>
        <v>0.21229050279329609</v>
      </c>
      <c r="AW44" s="237">
        <f t="shared" si="29"/>
        <v>0.86744868035190614</v>
      </c>
      <c r="AX44" s="237">
        <f t="shared" si="29"/>
        <v>0.88518024032042719</v>
      </c>
      <c r="AY44" s="237">
        <f t="shared" si="29"/>
        <v>0.85790094339622647</v>
      </c>
      <c r="AZ44" s="237">
        <f t="shared" si="29"/>
        <v>0.81211441390914185</v>
      </c>
      <c r="BA44" s="237">
        <f t="shared" si="29"/>
        <v>0.87548138639281126</v>
      </c>
    </row>
    <row r="45" spans="1:53" ht="14.25" customHeight="1">
      <c r="A45" s="87"/>
      <c r="B45" s="40"/>
      <c r="C45" s="40"/>
      <c r="D45" s="40"/>
      <c r="E45" s="40"/>
      <c r="F45" s="40"/>
      <c r="G45" s="40"/>
      <c r="H45" s="40"/>
      <c r="I45" s="40"/>
      <c r="J45" s="1"/>
      <c r="K45" s="5"/>
      <c r="L45" s="5"/>
      <c r="M45" s="5"/>
      <c r="N45" s="5"/>
      <c r="O45" s="5"/>
      <c r="P45" s="5"/>
      <c r="Q45" s="5"/>
      <c r="R45" s="5"/>
      <c r="S45" s="5"/>
      <c r="T45" s="5"/>
      <c r="U45" s="86"/>
      <c r="V45" s="102"/>
      <c r="W45" s="1155"/>
      <c r="X45" s="1113"/>
      <c r="Y45" s="1113"/>
      <c r="Z45" s="1113"/>
      <c r="AA45" s="1113"/>
      <c r="AB45" s="1113"/>
      <c r="AC45" s="360"/>
      <c r="AD45" s="1113"/>
      <c r="AE45" s="1113"/>
      <c r="AF45" s="1113"/>
      <c r="AG45" s="1113"/>
      <c r="AH45" s="1113"/>
      <c r="AI45" s="1161" t="b">
        <v>1</v>
      </c>
      <c r="AJ45" s="921" t="s">
        <v>2</v>
      </c>
      <c r="AK45" s="61" t="str">
        <f t="shared" si="26"/>
        <v>Medway</v>
      </c>
      <c r="AL45" s="110">
        <f t="shared" si="27"/>
        <v>104.75562256564895</v>
      </c>
      <c r="AM45" s="110">
        <f t="shared" si="27"/>
        <v>41.918517937043724</v>
      </c>
      <c r="AN45" s="110">
        <f t="shared" si="27"/>
        <v>48.889794255449175</v>
      </c>
      <c r="AO45" s="110">
        <f t="shared" si="27"/>
        <v>71.280117004079742</v>
      </c>
      <c r="AP45" s="110">
        <f t="shared" si="27"/>
        <v>71.228275376010316</v>
      </c>
      <c r="AQ45" s="111">
        <f>VLOOKUP(AK45,IDACI!$B$8:$C$29,2,FALSE)</f>
        <v>18.899999999999999</v>
      </c>
      <c r="AR45" s="237">
        <f t="shared" si="28"/>
        <v>0.37619853355893967</v>
      </c>
      <c r="AS45" s="237">
        <f t="shared" si="28"/>
        <v>0.20826833073322934</v>
      </c>
      <c r="AT45" s="237">
        <f t="shared" si="28"/>
        <v>0.25679012345679014</v>
      </c>
      <c r="AU45" s="237">
        <f t="shared" si="28"/>
        <v>0.26685878962536025</v>
      </c>
      <c r="AV45" s="237">
        <f t="shared" si="28"/>
        <v>0.23643603782976605</v>
      </c>
      <c r="AW45" s="237">
        <f t="shared" si="29"/>
        <v>0.73913043478260865</v>
      </c>
      <c r="AX45" s="237">
        <f t="shared" si="29"/>
        <v>0.85018726591760296</v>
      </c>
      <c r="AY45" s="237">
        <f t="shared" si="29"/>
        <v>0.92948717948717952</v>
      </c>
      <c r="AZ45" s="237">
        <f t="shared" si="29"/>
        <v>0.90712742980561556</v>
      </c>
      <c r="BA45" s="237">
        <f t="shared" si="29"/>
        <v>0.85894736842105268</v>
      </c>
    </row>
    <row r="46" spans="1:53" ht="14.25" customHeight="1">
      <c r="A46" s="87"/>
      <c r="B46" s="40"/>
      <c r="C46" s="40"/>
      <c r="D46" s="49"/>
      <c r="E46" s="50"/>
      <c r="F46" s="49"/>
      <c r="G46" s="50"/>
      <c r="H46" s="50"/>
      <c r="I46" s="50"/>
      <c r="J46" s="1"/>
      <c r="K46" s="5"/>
      <c r="L46" s="5"/>
      <c r="M46" s="5"/>
      <c r="N46" s="5"/>
      <c r="O46" s="5"/>
      <c r="P46" s="5"/>
      <c r="Q46" s="5"/>
      <c r="R46" s="5"/>
      <c r="S46" s="5"/>
      <c r="T46" s="5"/>
      <c r="U46" s="86"/>
      <c r="V46" s="102"/>
      <c r="W46" s="1155"/>
      <c r="X46" s="1113"/>
      <c r="Y46" s="1113"/>
      <c r="Z46" s="1113"/>
      <c r="AA46" s="1113"/>
      <c r="AB46" s="1113"/>
      <c r="AC46" s="1113"/>
      <c r="AD46" s="1113"/>
      <c r="AE46" s="1113"/>
      <c r="AF46" s="1113"/>
      <c r="AG46" s="1113"/>
      <c r="AH46" s="1113"/>
      <c r="AI46" s="1161" t="b">
        <v>1</v>
      </c>
      <c r="AJ46" s="921" t="s">
        <v>10</v>
      </c>
      <c r="AK46" s="61" t="str">
        <f t="shared" si="26"/>
        <v>Milton Keynes</v>
      </c>
      <c r="AL46" s="110">
        <f t="shared" si="27"/>
        <v>38.095513999739275</v>
      </c>
      <c r="AM46" s="110">
        <f t="shared" si="27"/>
        <v>38.669648654498232</v>
      </c>
      <c r="AN46" s="110">
        <f t="shared" si="27"/>
        <v>41.932936023551378</v>
      </c>
      <c r="AO46" s="110">
        <f t="shared" si="27"/>
        <v>45.947202999253008</v>
      </c>
      <c r="AP46" s="110">
        <f t="shared" si="27"/>
        <v>46.018379878291682</v>
      </c>
      <c r="AQ46" s="111">
        <f>VLOOKUP(AK46,IDACI!$B$8:$C$29,2,FALSE)</f>
        <v>15</v>
      </c>
      <c r="AR46" s="237">
        <f t="shared" si="28"/>
        <v>0.32190942472460221</v>
      </c>
      <c r="AS46" s="237">
        <f t="shared" si="28"/>
        <v>0.25994180407371487</v>
      </c>
      <c r="AT46" s="237">
        <f t="shared" si="28"/>
        <v>0.28185328185328185</v>
      </c>
      <c r="AU46" s="237">
        <f t="shared" si="28"/>
        <v>0.29826166514181152</v>
      </c>
      <c r="AV46" s="237">
        <f t="shared" si="28"/>
        <v>0.27594728171334432</v>
      </c>
      <c r="AW46" s="237">
        <f t="shared" si="29"/>
        <v>0.90874524714828897</v>
      </c>
      <c r="AX46" s="237">
        <f t="shared" si="29"/>
        <v>0.92537313432835822</v>
      </c>
      <c r="AY46" s="237">
        <f t="shared" si="29"/>
        <v>0.74657534246575341</v>
      </c>
      <c r="AZ46" s="237">
        <f t="shared" si="29"/>
        <v>0.80674846625766872</v>
      </c>
      <c r="BA46" s="237">
        <f t="shared" si="29"/>
        <v>0.68955223880597016</v>
      </c>
    </row>
    <row r="47" spans="1:53" ht="14.25" customHeight="1">
      <c r="A47" s="87"/>
      <c r="B47" s="40"/>
      <c r="C47" s="40"/>
      <c r="D47" s="43"/>
      <c r="E47" s="43"/>
      <c r="F47" s="43"/>
      <c r="G47" s="43"/>
      <c r="H47" s="43"/>
      <c r="I47" s="43"/>
      <c r="J47" s="1"/>
      <c r="K47" s="5"/>
      <c r="L47" s="5"/>
      <c r="M47" s="5"/>
      <c r="N47" s="5"/>
      <c r="O47" s="5"/>
      <c r="P47" s="5"/>
      <c r="Q47" s="5"/>
      <c r="R47" s="5"/>
      <c r="S47" s="5"/>
      <c r="T47" s="5"/>
      <c r="U47" s="86"/>
      <c r="V47" s="102"/>
      <c r="W47" s="1155"/>
      <c r="X47" s="1113"/>
      <c r="Y47" s="1113"/>
      <c r="Z47" s="1113"/>
      <c r="AA47" s="1113"/>
      <c r="AB47" s="1113"/>
      <c r="AC47" s="1113"/>
      <c r="AD47" s="1113"/>
      <c r="AE47" s="1113"/>
      <c r="AF47" s="1113"/>
      <c r="AG47" s="1113"/>
      <c r="AH47" s="1113"/>
      <c r="AI47" s="1161" t="b">
        <v>1</v>
      </c>
      <c r="AJ47" s="921" t="s">
        <v>11</v>
      </c>
      <c r="AK47" s="61" t="str">
        <f t="shared" si="26"/>
        <v>Oxfordshire</v>
      </c>
      <c r="AL47" s="110">
        <f t="shared" si="27"/>
        <v>59.960257289048599</v>
      </c>
      <c r="AM47" s="110">
        <f t="shared" si="27"/>
        <v>53.298810761677188</v>
      </c>
      <c r="AN47" s="110">
        <f t="shared" si="27"/>
        <v>57.26273207464655</v>
      </c>
      <c r="AO47" s="110">
        <f t="shared" si="27"/>
        <v>55.169923363961004</v>
      </c>
      <c r="AP47" s="110">
        <f t="shared" si="27"/>
        <v>48.785285728336774</v>
      </c>
      <c r="AQ47" s="111">
        <f>VLOOKUP(AK47,IDACI!$B$8:$C$29,2,FALSE)</f>
        <v>10.100000000000001</v>
      </c>
      <c r="AR47" s="237">
        <f t="shared" si="28"/>
        <v>0.45459317585301839</v>
      </c>
      <c r="AS47" s="237">
        <f t="shared" si="28"/>
        <v>0.44027303754266212</v>
      </c>
      <c r="AT47" s="237">
        <f t="shared" si="28"/>
        <v>0.40522243713733075</v>
      </c>
      <c r="AU47" s="237">
        <f t="shared" si="28"/>
        <v>0.38750587130108033</v>
      </c>
      <c r="AV47" s="237">
        <f t="shared" si="28"/>
        <v>0.39935587761674718</v>
      </c>
      <c r="AW47" s="237">
        <f t="shared" si="29"/>
        <v>0.78060046189376442</v>
      </c>
      <c r="AX47" s="237">
        <f t="shared" si="29"/>
        <v>0.80620155038759689</v>
      </c>
      <c r="AY47" s="237">
        <f t="shared" si="29"/>
        <v>0.60023866348448685</v>
      </c>
      <c r="AZ47" s="237">
        <f t="shared" si="29"/>
        <v>0.79515151515151516</v>
      </c>
      <c r="BA47" s="237">
        <f t="shared" si="29"/>
        <v>0.80913978494623651</v>
      </c>
    </row>
    <row r="48" spans="1:53" ht="14.25" customHeight="1">
      <c r="A48" s="87"/>
      <c r="B48" s="48"/>
      <c r="C48" s="48"/>
      <c r="D48" s="40"/>
      <c r="E48" s="40"/>
      <c r="F48" s="40"/>
      <c r="G48" s="40"/>
      <c r="H48" s="40"/>
      <c r="I48" s="40"/>
      <c r="J48" s="1"/>
      <c r="K48" s="5"/>
      <c r="L48" s="5"/>
      <c r="M48" s="5"/>
      <c r="N48" s="5"/>
      <c r="O48" s="5"/>
      <c r="P48" s="5"/>
      <c r="Q48" s="5"/>
      <c r="R48" s="5"/>
      <c r="S48" s="5"/>
      <c r="T48" s="5"/>
      <c r="U48" s="86"/>
      <c r="V48" s="102"/>
      <c r="W48" s="1155"/>
      <c r="X48" s="1113"/>
      <c r="Y48" s="1113"/>
      <c r="Z48" s="1113"/>
      <c r="AA48" s="1113"/>
      <c r="AB48" s="1113"/>
      <c r="AC48" s="1113"/>
      <c r="AD48" s="1113"/>
      <c r="AE48" s="1113"/>
      <c r="AF48" s="1113"/>
      <c r="AG48" s="1113"/>
      <c r="AH48" s="1113"/>
      <c r="AI48" s="1161" t="b">
        <v>1</v>
      </c>
      <c r="AJ48" s="921" t="s">
        <v>12</v>
      </c>
      <c r="AK48" s="61" t="str">
        <f t="shared" si="26"/>
        <v>Portsmouth</v>
      </c>
      <c r="AL48" s="110">
        <f t="shared" ref="AL48:AP58" si="30">VLOOKUP($AK48,$B$11:$O$31,AL$34,FALSE)</f>
        <v>80.413008826398311</v>
      </c>
      <c r="AM48" s="110">
        <f t="shared" si="30"/>
        <v>85.27409530634182</v>
      </c>
      <c r="AN48" s="110">
        <f t="shared" si="30"/>
        <v>67.556156054720489</v>
      </c>
      <c r="AO48" s="110">
        <f t="shared" si="30"/>
        <v>65.916744286021355</v>
      </c>
      <c r="AP48" s="110">
        <f t="shared" si="30"/>
        <v>80.601318930673401</v>
      </c>
      <c r="AQ48" s="111">
        <f>VLOOKUP(AK48,IDACI!$B$8:$C$29,2,FALSE)</f>
        <v>20.200000000000003</v>
      </c>
      <c r="AR48" s="237">
        <f t="shared" ref="AR48:AV58" si="31">VLOOKUP($AK48,$B$109:$H$129,AR$34,FALSE)</f>
        <v>0.26120556414219476</v>
      </c>
      <c r="AS48" s="237">
        <f t="shared" si="31"/>
        <v>0.31932021466905186</v>
      </c>
      <c r="AT48" s="237">
        <f t="shared" si="31"/>
        <v>0.2190923317683881</v>
      </c>
      <c r="AU48" s="237">
        <f t="shared" si="31"/>
        <v>0.27245804540967422</v>
      </c>
      <c r="AV48" s="237">
        <f t="shared" si="31"/>
        <v>0.24064925899788286</v>
      </c>
      <c r="AW48" s="237">
        <f t="shared" ref="AW48:BA58" si="32">VLOOKUP($AK48,$B$142:$H$162,AW$34,FALSE)</f>
        <v>0.86094674556213013</v>
      </c>
      <c r="AX48" s="237">
        <f t="shared" si="32"/>
        <v>0.49859943977591037</v>
      </c>
      <c r="AY48" s="237">
        <f t="shared" si="32"/>
        <v>0.8</v>
      </c>
      <c r="AZ48" s="237">
        <f t="shared" si="32"/>
        <v>0.85507246376811596</v>
      </c>
      <c r="BA48" s="237">
        <f t="shared" si="32"/>
        <v>0.84457478005865105</v>
      </c>
    </row>
    <row r="49" spans="1:53" ht="14.25" customHeight="1">
      <c r="A49" s="87"/>
      <c r="B49" s="48"/>
      <c r="C49" s="48"/>
      <c r="D49" s="40"/>
      <c r="E49" s="40"/>
      <c r="F49" s="40"/>
      <c r="G49" s="40"/>
      <c r="H49" s="40"/>
      <c r="I49" s="40"/>
      <c r="J49" s="1"/>
      <c r="K49" s="5"/>
      <c r="L49" s="5"/>
      <c r="M49" s="5"/>
      <c r="N49" s="5"/>
      <c r="O49" s="5"/>
      <c r="P49" s="5"/>
      <c r="Q49" s="5"/>
      <c r="R49" s="5"/>
      <c r="S49" s="5"/>
      <c r="T49" s="5"/>
      <c r="U49" s="86"/>
      <c r="V49" s="102"/>
      <c r="W49" s="1155"/>
      <c r="X49" s="1113"/>
      <c r="Y49" s="1113"/>
      <c r="Z49" s="1113"/>
      <c r="AA49" s="1113"/>
      <c r="AB49" s="1113"/>
      <c r="AC49" s="1113"/>
      <c r="AD49" s="1113"/>
      <c r="AE49" s="1113"/>
      <c r="AF49" s="1113"/>
      <c r="AG49" s="1113"/>
      <c r="AH49" s="1113"/>
      <c r="AI49" s="1161" t="b">
        <v>1</v>
      </c>
      <c r="AJ49" s="921" t="s">
        <v>3</v>
      </c>
      <c r="AK49" s="61" t="str">
        <f t="shared" si="26"/>
        <v>Reading</v>
      </c>
      <c r="AL49" s="110">
        <f t="shared" si="30"/>
        <v>86.686470429381586</v>
      </c>
      <c r="AM49" s="110">
        <f t="shared" si="30"/>
        <v>103.86519163668822</v>
      </c>
      <c r="AN49" s="110">
        <f t="shared" si="30"/>
        <v>99.631199427533431</v>
      </c>
      <c r="AO49" s="110">
        <f t="shared" si="30"/>
        <v>90.98228663446055</v>
      </c>
      <c r="AP49" s="110">
        <f t="shared" si="30"/>
        <v>81.468006011231509</v>
      </c>
      <c r="AQ49" s="111">
        <f>VLOOKUP(AK49,IDACI!$B$8:$C$29,2,FALSE)</f>
        <v>16</v>
      </c>
      <c r="AR49" s="237">
        <f t="shared" si="31"/>
        <v>0.37109826589595374</v>
      </c>
      <c r="AS49" s="237">
        <f t="shared" si="31"/>
        <v>0.41875681570338058</v>
      </c>
      <c r="AT49" s="237">
        <f t="shared" si="31"/>
        <v>0.32819582955575705</v>
      </c>
      <c r="AU49" s="237">
        <f t="shared" si="31"/>
        <v>0.33040935672514621</v>
      </c>
      <c r="AV49" s="237">
        <f t="shared" si="31"/>
        <v>0.28270814272644101</v>
      </c>
      <c r="AW49" s="237">
        <f t="shared" si="32"/>
        <v>0.78504672897196259</v>
      </c>
      <c r="AX49" s="237">
        <f t="shared" si="32"/>
        <v>0.79427083333333337</v>
      </c>
      <c r="AY49" s="237">
        <f t="shared" si="32"/>
        <v>0.73204419889502759</v>
      </c>
      <c r="AZ49" s="237">
        <f t="shared" si="32"/>
        <v>0.68731563421828912</v>
      </c>
      <c r="BA49" s="237">
        <f t="shared" si="32"/>
        <v>0.68284789644012944</v>
      </c>
    </row>
    <row r="50" spans="1:53" ht="14.25" customHeight="1">
      <c r="A50" s="87"/>
      <c r="B50" s="48"/>
      <c r="C50" s="48"/>
      <c r="D50" s="40"/>
      <c r="E50" s="40"/>
      <c r="F50" s="40"/>
      <c r="G50" s="40"/>
      <c r="H50" s="40"/>
      <c r="I50" s="40"/>
      <c r="J50" s="1"/>
      <c r="K50" s="5"/>
      <c r="L50" s="5"/>
      <c r="M50" s="5"/>
      <c r="N50" s="5"/>
      <c r="O50" s="5"/>
      <c r="P50" s="5"/>
      <c r="Q50" s="5"/>
      <c r="R50" s="5"/>
      <c r="S50" s="5"/>
      <c r="T50" s="5"/>
      <c r="U50" s="86"/>
      <c r="V50" s="102"/>
      <c r="W50" s="1155"/>
      <c r="X50" s="1113"/>
      <c r="Y50" s="1113"/>
      <c r="Z50" s="1113"/>
      <c r="AA50" s="1113"/>
      <c r="AB50" s="1113"/>
      <c r="AC50" s="1113"/>
      <c r="AD50" s="1113"/>
      <c r="AE50" s="1113"/>
      <c r="AF50" s="1113"/>
      <c r="AG50" s="1113"/>
      <c r="AH50" s="1113"/>
      <c r="AI50" s="1161" t="b">
        <v>1</v>
      </c>
      <c r="AJ50" s="921" t="s">
        <v>13</v>
      </c>
      <c r="AK50" s="61" t="str">
        <f t="shared" si="26"/>
        <v>Slough</v>
      </c>
      <c r="AL50" s="110">
        <f t="shared" si="30"/>
        <v>89.238482945789926</v>
      </c>
      <c r="AM50" s="110">
        <f t="shared" si="30"/>
        <v>101.82232346241459</v>
      </c>
      <c r="AN50" s="110">
        <f t="shared" si="30"/>
        <v>89.169353179230399</v>
      </c>
      <c r="AO50" s="110">
        <f t="shared" si="30"/>
        <v>83.615819209039557</v>
      </c>
      <c r="AP50" s="110">
        <f t="shared" si="30"/>
        <v>70.012709313474105</v>
      </c>
      <c r="AQ50" s="111">
        <f>VLOOKUP(AK50,IDACI!$B$8:$C$29,2,FALSE)</f>
        <v>14.7</v>
      </c>
      <c r="AR50" s="237">
        <f t="shared" si="31"/>
        <v>0.29961389961389961</v>
      </c>
      <c r="AS50" s="237">
        <f t="shared" si="31"/>
        <v>0.26094570928196148</v>
      </c>
      <c r="AT50" s="237">
        <f t="shared" si="31"/>
        <v>0.29816513761467889</v>
      </c>
      <c r="AU50" s="237">
        <f t="shared" si="31"/>
        <v>0.26811594202898553</v>
      </c>
      <c r="AV50" s="237">
        <f t="shared" si="31"/>
        <v>0.25425101214574897</v>
      </c>
      <c r="AW50" s="237">
        <f t="shared" si="32"/>
        <v>0.40206185567010311</v>
      </c>
      <c r="AX50" s="237">
        <f t="shared" si="32"/>
        <v>0.65324384787472034</v>
      </c>
      <c r="AY50" s="237">
        <f t="shared" si="32"/>
        <v>0.7384615384615385</v>
      </c>
      <c r="AZ50" s="237">
        <f t="shared" si="32"/>
        <v>0.51081081081081081</v>
      </c>
      <c r="BA50" s="237">
        <f t="shared" si="32"/>
        <v>0.83121019108280259</v>
      </c>
    </row>
    <row r="51" spans="1:53" ht="14.25" customHeight="1">
      <c r="A51" s="87"/>
      <c r="B51" s="48"/>
      <c r="C51" s="48"/>
      <c r="D51" s="40"/>
      <c r="E51" s="40"/>
      <c r="F51" s="40"/>
      <c r="G51" s="40"/>
      <c r="H51" s="40"/>
      <c r="I51" s="40"/>
      <c r="J51" s="1"/>
      <c r="K51" s="5"/>
      <c r="L51" s="5"/>
      <c r="M51" s="5"/>
      <c r="N51" s="5"/>
      <c r="O51" s="5"/>
      <c r="P51" s="5"/>
      <c r="Q51" s="5"/>
      <c r="R51" s="5"/>
      <c r="S51" s="5"/>
      <c r="T51" s="5"/>
      <c r="U51" s="86"/>
      <c r="V51" s="102"/>
      <c r="W51" s="1155"/>
      <c r="X51" s="1113"/>
      <c r="Y51" s="1113"/>
      <c r="Z51" s="1113"/>
      <c r="AA51" s="1113"/>
      <c r="AB51" s="1113"/>
      <c r="AC51" s="1113"/>
      <c r="AD51" s="1113"/>
      <c r="AE51" s="1113"/>
      <c r="AF51" s="1113"/>
      <c r="AG51" s="1113"/>
      <c r="AH51" s="1113"/>
      <c r="AI51" s="1161" t="b">
        <v>1</v>
      </c>
      <c r="AJ51" s="921" t="s">
        <v>14</v>
      </c>
      <c r="AK51" s="61" t="str">
        <f t="shared" si="26"/>
        <v>Southampton</v>
      </c>
      <c r="AL51" s="110">
        <f t="shared" si="30"/>
        <v>141.76816971848027</v>
      </c>
      <c r="AM51" s="110">
        <f t="shared" si="30"/>
        <v>106.76156583629894</v>
      </c>
      <c r="AN51" s="110">
        <f t="shared" si="30"/>
        <v>127.76382927026809</v>
      </c>
      <c r="AO51" s="110">
        <f t="shared" si="30"/>
        <v>83.214693910288545</v>
      </c>
      <c r="AP51" s="110">
        <f t="shared" si="30"/>
        <v>74.444642963492342</v>
      </c>
      <c r="AQ51" s="111">
        <f>VLOOKUP(AK51,IDACI!$B$8:$C$29,2,FALSE)</f>
        <v>20.5</v>
      </c>
      <c r="AR51" s="237">
        <f t="shared" si="31"/>
        <v>0.33223062381852553</v>
      </c>
      <c r="AS51" s="237">
        <f t="shared" si="31"/>
        <v>0.32084592145015106</v>
      </c>
      <c r="AT51" s="237">
        <f t="shared" si="31"/>
        <v>0.3597491448118586</v>
      </c>
      <c r="AU51" s="237">
        <f t="shared" si="31"/>
        <v>0.23891767415083479</v>
      </c>
      <c r="AV51" s="237">
        <f t="shared" si="31"/>
        <v>0.28409090909090912</v>
      </c>
      <c r="AW51" s="237">
        <f t="shared" si="32"/>
        <v>0.55476529160739685</v>
      </c>
      <c r="AX51" s="237">
        <f t="shared" si="32"/>
        <v>0.71939736346516003</v>
      </c>
      <c r="AY51" s="237">
        <f t="shared" si="32"/>
        <v>0.7210776545166403</v>
      </c>
      <c r="AZ51" s="237">
        <f t="shared" si="32"/>
        <v>0.67228915662650601</v>
      </c>
      <c r="BA51" s="237">
        <f t="shared" si="32"/>
        <v>0.72</v>
      </c>
    </row>
    <row r="52" spans="1:53" ht="14.25" customHeight="1">
      <c r="A52" s="87"/>
      <c r="B52" s="48"/>
      <c r="C52" s="48"/>
      <c r="D52" s="40"/>
      <c r="E52" s="40"/>
      <c r="F52" s="40"/>
      <c r="G52" s="40"/>
      <c r="H52" s="40"/>
      <c r="I52" s="40"/>
      <c r="J52" s="1"/>
      <c r="K52" s="5"/>
      <c r="L52" s="5"/>
      <c r="M52" s="5"/>
      <c r="N52" s="5"/>
      <c r="O52" s="5"/>
      <c r="P52" s="5"/>
      <c r="Q52" s="5"/>
      <c r="R52" s="5"/>
      <c r="S52" s="5"/>
      <c r="T52" s="5"/>
      <c r="U52" s="86"/>
      <c r="V52" s="102"/>
      <c r="W52" s="1155"/>
      <c r="X52" s="1113"/>
      <c r="Y52" s="1113"/>
      <c r="Z52" s="1113"/>
      <c r="AA52" s="1113"/>
      <c r="AB52" s="1113"/>
      <c r="AC52" s="1113"/>
      <c r="AD52" s="1113"/>
      <c r="AE52" s="1113"/>
      <c r="AF52" s="1113"/>
      <c r="AG52" s="1113"/>
      <c r="AH52" s="1113"/>
      <c r="AI52" s="1161" t="b">
        <v>1</v>
      </c>
      <c r="AJ52" s="921" t="s">
        <v>7</v>
      </c>
      <c r="AK52" s="61" t="str">
        <f t="shared" si="26"/>
        <v>Surrey</v>
      </c>
      <c r="AL52" s="110">
        <f t="shared" si="30"/>
        <v>33.172508670968242</v>
      </c>
      <c r="AM52" s="110">
        <f t="shared" si="30"/>
        <v>44.716249095811143</v>
      </c>
      <c r="AN52" s="110">
        <f t="shared" si="30"/>
        <v>44.896103095326183</v>
      </c>
      <c r="AO52" s="110">
        <f t="shared" si="30"/>
        <v>37.945767908505168</v>
      </c>
      <c r="AP52" s="110">
        <f t="shared" si="30"/>
        <v>26.875244662591466</v>
      </c>
      <c r="AQ52" s="111">
        <f>VLOOKUP(AK52,IDACI!$B$8:$C$29,2,FALSE)</f>
        <v>8.3000000000000007</v>
      </c>
      <c r="AR52" s="237">
        <f t="shared" si="31"/>
        <v>0.3220466516177577</v>
      </c>
      <c r="AS52" s="237">
        <f t="shared" si="31"/>
        <v>0.33761682242990654</v>
      </c>
      <c r="AT52" s="237">
        <f t="shared" si="31"/>
        <v>0.33266704740148484</v>
      </c>
      <c r="AU52" s="237">
        <f t="shared" si="31"/>
        <v>0.33145508783559829</v>
      </c>
      <c r="AV52" s="237">
        <f t="shared" si="31"/>
        <v>0.28895184135977336</v>
      </c>
      <c r="AW52" s="237">
        <f t="shared" si="32"/>
        <v>0.82242990654205606</v>
      </c>
      <c r="AX52" s="237">
        <f t="shared" si="32"/>
        <v>0.89013840830449831</v>
      </c>
      <c r="AY52" s="237">
        <f t="shared" si="32"/>
        <v>0.8703862660944206</v>
      </c>
      <c r="AZ52" s="237">
        <f t="shared" si="32"/>
        <v>0.77300000000000002</v>
      </c>
      <c r="BA52" s="237">
        <f t="shared" si="32"/>
        <v>0.81792717086834732</v>
      </c>
    </row>
    <row r="53" spans="1:53" ht="14.25" customHeight="1">
      <c r="A53" s="87"/>
      <c r="B53" s="48"/>
      <c r="C53" s="48"/>
      <c r="D53" s="40"/>
      <c r="E53" s="40"/>
      <c r="F53" s="40"/>
      <c r="G53" s="40"/>
      <c r="H53" s="40"/>
      <c r="I53" s="40"/>
      <c r="J53" s="1"/>
      <c r="K53" s="5"/>
      <c r="L53" s="5"/>
      <c r="M53" s="5"/>
      <c r="N53" s="5"/>
      <c r="O53" s="5"/>
      <c r="P53" s="5"/>
      <c r="Q53" s="5"/>
      <c r="R53" s="5"/>
      <c r="S53" s="5"/>
      <c r="T53" s="5"/>
      <c r="U53" s="86"/>
      <c r="V53" s="102"/>
      <c r="W53" s="1155"/>
      <c r="X53" s="1113"/>
      <c r="Y53" s="1113"/>
      <c r="Z53" s="1113"/>
      <c r="AA53" s="1113"/>
      <c r="AB53" s="1113"/>
      <c r="AC53" s="1113"/>
      <c r="AD53" s="1113"/>
      <c r="AE53" s="1113"/>
      <c r="AF53" s="1113"/>
      <c r="AG53" s="1113"/>
      <c r="AH53" s="1113"/>
      <c r="AI53" s="1161" t="b">
        <v>1</v>
      </c>
      <c r="AJ53" s="921" t="s">
        <v>15</v>
      </c>
      <c r="AK53" s="61" t="str">
        <f t="shared" si="26"/>
        <v>West Berkshire</v>
      </c>
      <c r="AL53" s="110">
        <f t="shared" si="30"/>
        <v>61.036479278970937</v>
      </c>
      <c r="AM53" s="110">
        <f t="shared" si="30"/>
        <v>74.0868366643694</v>
      </c>
      <c r="AN53" s="110">
        <f t="shared" si="30"/>
        <v>81.80372886255239</v>
      </c>
      <c r="AO53" s="110">
        <f t="shared" si="30"/>
        <v>140.06645279560036</v>
      </c>
      <c r="AP53" s="110">
        <f t="shared" si="30"/>
        <v>72.753007784854915</v>
      </c>
      <c r="AQ53" s="111">
        <f>VLOOKUP(AK53,IDACI!$B$8:$C$29,2,FALSE)</f>
        <v>8.6999999999999993</v>
      </c>
      <c r="AR53" s="237">
        <f t="shared" si="31"/>
        <v>0.41392649903288203</v>
      </c>
      <c r="AS53" s="237">
        <f t="shared" si="31"/>
        <v>0.47689463955637706</v>
      </c>
      <c r="AT53" s="237">
        <f t="shared" si="31"/>
        <v>0.38451086956521741</v>
      </c>
      <c r="AU53" s="237">
        <f t="shared" si="31"/>
        <v>0.53914002205071665</v>
      </c>
      <c r="AV53" s="237">
        <f t="shared" si="31"/>
        <v>0.35893854748603354</v>
      </c>
      <c r="AW53" s="237">
        <f t="shared" si="32"/>
        <v>0.84579439252336452</v>
      </c>
      <c r="AX53" s="237">
        <f t="shared" si="32"/>
        <v>0.96511627906976749</v>
      </c>
      <c r="AY53" s="237">
        <f t="shared" si="32"/>
        <v>0.95759717314487636</v>
      </c>
      <c r="AZ53" s="237">
        <f t="shared" si="32"/>
        <v>0.88957055214723924</v>
      </c>
      <c r="BA53" s="237">
        <f t="shared" si="32"/>
        <v>0.82490272373540852</v>
      </c>
    </row>
    <row r="54" spans="1:53" ht="14.25" customHeight="1">
      <c r="A54" s="208"/>
      <c r="B54" s="48"/>
      <c r="C54" s="48"/>
      <c r="D54" s="40"/>
      <c r="E54" s="40"/>
      <c r="F54" s="40"/>
      <c r="G54" s="40"/>
      <c r="H54" s="40"/>
      <c r="I54" s="40"/>
      <c r="J54" s="1"/>
      <c r="K54" s="5"/>
      <c r="L54" s="5"/>
      <c r="M54" s="5"/>
      <c r="N54" s="5"/>
      <c r="O54" s="5"/>
      <c r="P54" s="5"/>
      <c r="Q54" s="5"/>
      <c r="R54" s="5"/>
      <c r="S54" s="5"/>
      <c r="T54" s="5"/>
      <c r="U54" s="86"/>
      <c r="V54" s="102"/>
      <c r="W54" s="1155"/>
      <c r="X54" s="1113"/>
      <c r="Y54" s="1113"/>
      <c r="Z54" s="1113"/>
      <c r="AA54" s="1113"/>
      <c r="AB54" s="1113"/>
      <c r="AC54" s="1113"/>
      <c r="AD54" s="1113"/>
      <c r="AE54" s="1113"/>
      <c r="AF54" s="1113"/>
      <c r="AG54" s="1113"/>
      <c r="AH54" s="1113"/>
      <c r="AI54" s="1161" t="b">
        <v>1</v>
      </c>
      <c r="AJ54" s="921" t="s">
        <v>5</v>
      </c>
      <c r="AK54" s="61" t="str">
        <f t="shared" si="26"/>
        <v>West Sussex</v>
      </c>
      <c r="AL54" s="110">
        <f t="shared" si="30"/>
        <v>77.210733444347767</v>
      </c>
      <c r="AM54" s="110">
        <f t="shared" si="30"/>
        <v>80.863618848239796</v>
      </c>
      <c r="AN54" s="110">
        <f t="shared" si="30"/>
        <v>60.285756774997999</v>
      </c>
      <c r="AO54" s="110">
        <f t="shared" si="30"/>
        <v>64.900281366119913</v>
      </c>
      <c r="AP54" s="110">
        <f t="shared" si="30"/>
        <v>56.813103324991069</v>
      </c>
      <c r="AQ54" s="111">
        <f>VLOOKUP(AK54,IDACI!$B$8:$C$29,2,FALSE)</f>
        <v>11</v>
      </c>
      <c r="AR54" s="237">
        <f t="shared" si="31"/>
        <v>0.43506493506493504</v>
      </c>
      <c r="AS54" s="237">
        <f t="shared" si="31"/>
        <v>0.4198268139743207</v>
      </c>
      <c r="AT54" s="237">
        <f t="shared" si="31"/>
        <v>0.30105684090259927</v>
      </c>
      <c r="AU54" s="237">
        <f t="shared" si="31"/>
        <v>0.32431670893209352</v>
      </c>
      <c r="AV54" s="237">
        <f t="shared" si="31"/>
        <v>0.33246158875449494</v>
      </c>
      <c r="AW54" s="237">
        <f t="shared" si="32"/>
        <v>0.60970149253731343</v>
      </c>
      <c r="AX54" s="237">
        <f t="shared" si="32"/>
        <v>0.74964438122332855</v>
      </c>
      <c r="AY54" s="237">
        <f t="shared" si="32"/>
        <v>0.76944971537001894</v>
      </c>
      <c r="AZ54" s="237">
        <f t="shared" si="32"/>
        <v>0.82276281494352732</v>
      </c>
      <c r="BA54" s="237">
        <f t="shared" si="32"/>
        <v>0.71386430678466073</v>
      </c>
    </row>
    <row r="55" spans="1:53" ht="14.25" customHeight="1">
      <c r="A55" s="208"/>
      <c r="B55" s="48"/>
      <c r="C55" s="48"/>
      <c r="D55" s="40"/>
      <c r="E55" s="40"/>
      <c r="F55" s="40"/>
      <c r="G55" s="40"/>
      <c r="H55" s="40"/>
      <c r="I55" s="40"/>
      <c r="J55" s="1"/>
      <c r="K55" s="5"/>
      <c r="L55" s="5"/>
      <c r="M55" s="5"/>
      <c r="N55" s="5"/>
      <c r="O55" s="5"/>
      <c r="P55" s="5"/>
      <c r="Q55" s="5"/>
      <c r="R55" s="5"/>
      <c r="S55" s="5"/>
      <c r="T55" s="5"/>
      <c r="U55" s="86"/>
      <c r="V55" s="102"/>
      <c r="W55" s="1155"/>
      <c r="X55" s="1113"/>
      <c r="Y55" s="1113"/>
      <c r="Z55" s="1113"/>
      <c r="AA55" s="1113"/>
      <c r="AB55" s="1113"/>
      <c r="AC55" s="1113"/>
      <c r="AD55" s="1113"/>
      <c r="AE55" s="1113"/>
      <c r="AF55" s="1113"/>
      <c r="AG55" s="1113"/>
      <c r="AH55" s="1113"/>
      <c r="AI55" s="1161" t="b">
        <v>1</v>
      </c>
      <c r="AJ55" s="921" t="s">
        <v>27</v>
      </c>
      <c r="AK55" s="61" t="str">
        <f t="shared" si="26"/>
        <v>Windsor &amp; Maidenhead</v>
      </c>
      <c r="AL55" s="110">
        <f t="shared" si="30"/>
        <v>75.567485557565504</v>
      </c>
      <c r="AM55" s="110">
        <f t="shared" si="30"/>
        <v>73.350350614675946</v>
      </c>
      <c r="AN55" s="110">
        <f t="shared" si="30"/>
        <v>64.352343842248203</v>
      </c>
      <c r="AO55" s="110">
        <f t="shared" si="30"/>
        <v>74.165274235628644</v>
      </c>
      <c r="AP55" s="110">
        <f t="shared" si="30"/>
        <v>67.092558560135345</v>
      </c>
      <c r="AQ55" s="111">
        <f>VLOOKUP(AK55,IDACI!$B$8:$C$29,2,FALSE)</f>
        <v>6.7</v>
      </c>
      <c r="AR55" s="237">
        <f t="shared" si="31"/>
        <v>0.43383584589614738</v>
      </c>
      <c r="AS55" s="237">
        <f t="shared" si="31"/>
        <v>0.38880248833592534</v>
      </c>
      <c r="AT55" s="237">
        <f t="shared" si="31"/>
        <v>0.30878186968838528</v>
      </c>
      <c r="AU55" s="237">
        <f t="shared" si="31"/>
        <v>0.38275340393343421</v>
      </c>
      <c r="AV55" s="237">
        <f t="shared" si="31"/>
        <v>0.3543913713405239</v>
      </c>
      <c r="AW55" s="237">
        <f t="shared" si="32"/>
        <v>0.5791505791505791</v>
      </c>
      <c r="AX55" s="237">
        <f t="shared" si="32"/>
        <v>0.85599999999999998</v>
      </c>
      <c r="AY55" s="237">
        <f t="shared" si="32"/>
        <v>0.78899082568807344</v>
      </c>
      <c r="AZ55" s="237">
        <f t="shared" si="32"/>
        <v>0.66007905138339917</v>
      </c>
      <c r="BA55" s="237">
        <f t="shared" si="32"/>
        <v>0.75652173913043474</v>
      </c>
    </row>
    <row r="56" spans="1:53" ht="14.25" customHeight="1">
      <c r="A56" s="87"/>
      <c r="B56" s="48"/>
      <c r="C56" s="48"/>
      <c r="D56" s="40"/>
      <c r="E56" s="40"/>
      <c r="F56" s="40"/>
      <c r="G56" s="40"/>
      <c r="H56" s="40"/>
      <c r="I56" s="40"/>
      <c r="J56" s="1"/>
      <c r="K56" s="5"/>
      <c r="L56" s="5"/>
      <c r="M56" s="5"/>
      <c r="N56" s="5"/>
      <c r="O56" s="5"/>
      <c r="P56" s="5"/>
      <c r="Q56" s="5"/>
      <c r="R56" s="5"/>
      <c r="S56" s="5"/>
      <c r="T56" s="5"/>
      <c r="U56" s="86"/>
      <c r="V56" s="102"/>
      <c r="W56" s="1155"/>
      <c r="X56" s="1113"/>
      <c r="Y56" s="1113"/>
      <c r="Z56" s="1113"/>
      <c r="AA56" s="1113"/>
      <c r="AB56" s="1113"/>
      <c r="AC56" s="1113"/>
      <c r="AD56" s="1113"/>
      <c r="AE56" s="1113"/>
      <c r="AF56" s="1113"/>
      <c r="AG56" s="1113"/>
      <c r="AH56" s="1113"/>
      <c r="AI56" s="1161" t="b">
        <v>1</v>
      </c>
      <c r="AJ56" s="921" t="s">
        <v>16</v>
      </c>
      <c r="AK56" s="61" t="str">
        <f t="shared" si="26"/>
        <v>Wokingham</v>
      </c>
      <c r="AL56" s="110">
        <f t="shared" si="30"/>
        <v>51.795232827114553</v>
      </c>
      <c r="AM56" s="110">
        <f t="shared" si="30"/>
        <v>45.211977468129263</v>
      </c>
      <c r="AN56" s="110">
        <f t="shared" si="30"/>
        <v>51.545138466775271</v>
      </c>
      <c r="AO56" s="110">
        <f t="shared" si="30"/>
        <v>34.336782690498588</v>
      </c>
      <c r="AP56" s="110">
        <f t="shared" si="30"/>
        <v>37.632174354712106</v>
      </c>
      <c r="AQ56" s="111">
        <f>VLOOKUP(AK56,IDACI!$B$8:$C$29,2,FALSE)</f>
        <v>5.6000000000000005</v>
      </c>
      <c r="AR56" s="237">
        <f t="shared" si="31"/>
        <v>0.31692307692307692</v>
      </c>
      <c r="AS56" s="237">
        <f t="shared" si="31"/>
        <v>0.28284389489953632</v>
      </c>
      <c r="AT56" s="237">
        <f t="shared" si="31"/>
        <v>0.33124999999999999</v>
      </c>
      <c r="AU56" s="237">
        <f t="shared" si="31"/>
        <v>0.24172185430463577</v>
      </c>
      <c r="AV56" s="237">
        <f t="shared" si="31"/>
        <v>0.28596491228070176</v>
      </c>
      <c r="AW56" s="237">
        <f t="shared" si="32"/>
        <v>0.87378640776699024</v>
      </c>
      <c r="AX56" s="237">
        <f t="shared" si="32"/>
        <v>0.84153005464480879</v>
      </c>
      <c r="AY56" s="237">
        <f t="shared" si="32"/>
        <v>0.78773584905660377</v>
      </c>
      <c r="AZ56" s="237">
        <f t="shared" si="32"/>
        <v>0.88356164383561642</v>
      </c>
      <c r="BA56" s="237">
        <f t="shared" si="32"/>
        <v>0.93251533742331283</v>
      </c>
    </row>
    <row r="57" spans="1:53" ht="14.25" customHeight="1">
      <c r="A57" s="87"/>
      <c r="B57" s="48"/>
      <c r="C57" s="48"/>
      <c r="D57" s="40"/>
      <c r="E57" s="40"/>
      <c r="F57" s="40"/>
      <c r="G57" s="40"/>
      <c r="H57" s="40"/>
      <c r="I57" s="40"/>
      <c r="J57" s="1"/>
      <c r="K57" s="5"/>
      <c r="L57" s="5"/>
      <c r="M57" s="5"/>
      <c r="N57" s="5"/>
      <c r="O57" s="5"/>
      <c r="P57" s="5"/>
      <c r="Q57" s="5"/>
      <c r="R57" s="5"/>
      <c r="S57" s="5"/>
      <c r="T57" s="5"/>
      <c r="U57" s="86"/>
      <c r="V57" s="102"/>
      <c r="W57" s="1155"/>
      <c r="X57" s="1113"/>
      <c r="Y57" s="1113"/>
      <c r="Z57" s="1113"/>
      <c r="AA57" s="1113"/>
      <c r="AB57" s="1113"/>
      <c r="AC57" s="1113"/>
      <c r="AD57" s="1113"/>
      <c r="AE57" s="1113"/>
      <c r="AF57" s="1113"/>
      <c r="AG57" s="1113"/>
      <c r="AH57" s="1113"/>
      <c r="AI57" s="1161" t="b">
        <v>1</v>
      </c>
      <c r="AJ57" s="921" t="s">
        <v>71</v>
      </c>
      <c r="AK57" s="61" t="str">
        <f t="shared" si="26"/>
        <v>South East</v>
      </c>
      <c r="AL57" s="110">
        <f t="shared" si="30"/>
        <v>62.934679591827205</v>
      </c>
      <c r="AM57" s="110">
        <f t="shared" si="30"/>
        <v>61.225515102828929</v>
      </c>
      <c r="AN57" s="110">
        <f t="shared" si="30"/>
        <v>62.199849563154544</v>
      </c>
      <c r="AO57" s="110">
        <f t="shared" si="30"/>
        <v>60.960313207779514</v>
      </c>
      <c r="AP57" s="110">
        <f t="shared" si="30"/>
        <v>62.993438819457168</v>
      </c>
      <c r="AQ57" s="111">
        <f>Z30/Y30*100</f>
        <v>12.760581039440194</v>
      </c>
      <c r="AR57" s="237">
        <f t="shared" si="31"/>
        <v>0.34403357531760437</v>
      </c>
      <c r="AS57" s="237">
        <f t="shared" si="31"/>
        <v>0.32329613827808773</v>
      </c>
      <c r="AT57" s="237">
        <f t="shared" si="31"/>
        <v>0.29173733947177127</v>
      </c>
      <c r="AU57" s="237">
        <f t="shared" si="31"/>
        <v>0.28626045400238948</v>
      </c>
      <c r="AV57" s="237">
        <f t="shared" si="31"/>
        <v>0.26513466765505311</v>
      </c>
      <c r="AW57" s="237">
        <f t="shared" si="32"/>
        <v>0.75914935707220577</v>
      </c>
      <c r="AX57" s="237">
        <f t="shared" si="32"/>
        <v>0.81938922257000257</v>
      </c>
      <c r="AY57" s="237">
        <f t="shared" si="32"/>
        <v>0.78654485049833889</v>
      </c>
      <c r="AZ57" s="237">
        <f t="shared" si="32"/>
        <v>0.77712854757929883</v>
      </c>
      <c r="BA57" s="237">
        <f t="shared" si="32"/>
        <v>0.7931034482758621</v>
      </c>
    </row>
    <row r="58" spans="1:53"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1155"/>
      <c r="X58" s="1113"/>
      <c r="Y58" s="1113"/>
      <c r="Z58" s="1113"/>
      <c r="AA58" s="1113"/>
      <c r="AB58" s="1113"/>
      <c r="AC58" s="1113"/>
      <c r="AD58" s="1113"/>
      <c r="AE58" s="1113"/>
      <c r="AF58" s="1113"/>
      <c r="AG58" s="1113"/>
      <c r="AH58" s="1113"/>
      <c r="AI58" s="1161" t="b">
        <v>1</v>
      </c>
      <c r="AJ58" s="921" t="s">
        <v>109</v>
      </c>
      <c r="AK58" s="61" t="str">
        <f t="shared" si="26"/>
        <v>England</v>
      </c>
      <c r="AL58" s="110">
        <f t="shared" si="30"/>
        <v>65.705485402984024</v>
      </c>
      <c r="AM58" s="110">
        <f t="shared" si="30"/>
        <v>61.572165241435336</v>
      </c>
      <c r="AN58" s="110">
        <f t="shared" si="30"/>
        <v>62.731246553777055</v>
      </c>
      <c r="AO58" s="110">
        <f t="shared" si="30"/>
        <v>62.578933548290316</v>
      </c>
      <c r="AP58" s="110">
        <f t="shared" si="30"/>
        <v>60.215127606898314</v>
      </c>
      <c r="AQ58" s="111">
        <f>VLOOKUP(AK58,IDACI!$B$8:$C$29,2,FALSE)</f>
        <v>17.084413405029373</v>
      </c>
      <c r="AR58" s="237">
        <f t="shared" si="31"/>
        <v>0.38542288557213933</v>
      </c>
      <c r="AS58" s="237">
        <f t="shared" si="31"/>
        <v>0.36510890889883796</v>
      </c>
      <c r="AT58" s="237">
        <f t="shared" si="31"/>
        <v>0.33879706152433425</v>
      </c>
      <c r="AU58" s="237">
        <f t="shared" si="31"/>
        <v>0.32999112688553683</v>
      </c>
      <c r="AV58" s="237">
        <f t="shared" si="31"/>
        <v>0.32179761268483875</v>
      </c>
      <c r="AW58" s="237">
        <f t="shared" si="32"/>
        <v>0.77655866787143413</v>
      </c>
      <c r="AX58" s="237">
        <f t="shared" si="32"/>
        <v>0.83039404794709282</v>
      </c>
      <c r="AY58" s="237">
        <f t="shared" si="32"/>
        <v>0.79197723268735598</v>
      </c>
      <c r="AZ58" s="237">
        <f t="shared" si="32"/>
        <v>0.78421618714708252</v>
      </c>
      <c r="BA58" s="237">
        <f t="shared" si="32"/>
        <v>0.79695501730103802</v>
      </c>
    </row>
    <row r="59" spans="1:53" s="56" customFormat="1" ht="14.25" customHeight="1">
      <c r="A59" s="87"/>
      <c r="B59" s="48"/>
      <c r="C59" s="48"/>
      <c r="D59" s="40"/>
      <c r="E59" s="40"/>
      <c r="F59" s="40"/>
      <c r="G59" s="40"/>
      <c r="H59" s="40"/>
      <c r="I59" s="40"/>
      <c r="J59" s="1"/>
      <c r="K59" s="5"/>
      <c r="L59" s="5"/>
      <c r="M59" s="5"/>
      <c r="N59" s="5"/>
      <c r="O59" s="5"/>
      <c r="P59" s="5"/>
      <c r="Q59" s="5"/>
      <c r="R59" s="5"/>
      <c r="S59" s="5"/>
      <c r="T59" s="5"/>
      <c r="U59" s="86"/>
      <c r="V59" s="102"/>
      <c r="W59" s="218"/>
      <c r="AJ59" s="122"/>
      <c r="AK59" s="52" t="str">
        <f>Z4</f>
        <v>Selected LA- (none)</v>
      </c>
      <c r="AL59" s="112" t="e">
        <f>VLOOKUP($Y4,$B$11:$O$30,AL$34,FALSE)</f>
        <v>#N/A</v>
      </c>
      <c r="AM59" s="112" t="e">
        <f>VLOOKUP($Y4,$B$11:$O$30,AM$34,FALSE)</f>
        <v>#N/A</v>
      </c>
      <c r="AN59" s="112" t="e">
        <f>VLOOKUP($Y4,$B$11:$O$30,AN$34,FALSE)</f>
        <v>#N/A</v>
      </c>
      <c r="AO59" s="112" t="e">
        <f>VLOOKUP($Y4,$B$11:$O$30,AO$34,FALSE)</f>
        <v>#N/A</v>
      </c>
      <c r="AP59" s="112" t="e">
        <f>VLOOKUP($Y4,$B$11:$O$30,AP$34,FALSE)</f>
        <v>#N/A</v>
      </c>
      <c r="AQ59" s="111" t="e">
        <f>VLOOKUP($Y$4,IDACI!$B$8:$C$29,2,FALSE)</f>
        <v>#N/A</v>
      </c>
      <c r="AR59" s="132" t="e">
        <f>VLOOKUP($Y$4,$B$109:$H$129,AR$34,FALSE)</f>
        <v>#N/A</v>
      </c>
      <c r="AS59" s="132" t="e">
        <f>VLOOKUP($Y$4,$B$109:$H$129,AS$34,FALSE)</f>
        <v>#N/A</v>
      </c>
      <c r="AT59" s="132" t="e">
        <f>VLOOKUP($Y$4,$B$109:$H$129,AT$34,FALSE)</f>
        <v>#N/A</v>
      </c>
      <c r="AU59" s="132" t="e">
        <f>VLOOKUP($Y$4,$B$109:$H$129,AU$34,FALSE)</f>
        <v>#N/A</v>
      </c>
      <c r="AV59" s="132" t="e">
        <f>VLOOKUP($Y$4,$B$109:$H$129,AV$34,FALSE)</f>
        <v>#N/A</v>
      </c>
      <c r="AW59" s="132" t="e">
        <f>VLOOKUP($Y$4,$B$142:$H$162,AW$34,FALSE)</f>
        <v>#N/A</v>
      </c>
      <c r="AX59" s="132" t="e">
        <f>VLOOKUP($Y$4,$B$142:$H$162,AX$34,FALSE)</f>
        <v>#N/A</v>
      </c>
      <c r="AY59" s="132" t="e">
        <f>VLOOKUP($Y$4,$B$142:$H$162,AY$34,FALSE)</f>
        <v>#N/A</v>
      </c>
      <c r="AZ59" s="132" t="e">
        <f>VLOOKUP($Y$4,$B$142:$H$162,AZ$34,FALSE)</f>
        <v>#N/A</v>
      </c>
      <c r="BA59" s="132" t="e">
        <f>VLOOKUP($Y$4,$B$142:$H$162,BA$34,FALSE)</f>
        <v>#N/A</v>
      </c>
    </row>
    <row r="60" spans="1:53" s="56" customFormat="1" ht="2.25" customHeight="1">
      <c r="A60" s="87"/>
      <c r="B60" s="48"/>
      <c r="C60" s="48"/>
      <c r="D60" s="40"/>
      <c r="E60" s="40"/>
      <c r="F60" s="40"/>
      <c r="G60" s="40"/>
      <c r="H60" s="40"/>
      <c r="I60" s="40"/>
      <c r="J60" s="1"/>
      <c r="K60" s="5"/>
      <c r="L60" s="5"/>
      <c r="M60" s="5"/>
      <c r="N60" s="5"/>
      <c r="O60" s="5"/>
      <c r="P60" s="5"/>
      <c r="Q60" s="5"/>
      <c r="R60" s="5"/>
      <c r="S60" s="5"/>
      <c r="T60" s="5"/>
      <c r="U60" s="86"/>
      <c r="V60" s="102"/>
      <c r="W60" s="218"/>
      <c r="AJ60" s="815"/>
    </row>
    <row r="61" spans="1:53" s="56" customFormat="1" ht="14.25" customHeight="1">
      <c r="A61" s="87"/>
      <c r="B61" s="48"/>
      <c r="C61" s="48"/>
      <c r="D61" s="40"/>
      <c r="E61" s="40"/>
      <c r="F61" s="40"/>
      <c r="G61" s="40"/>
      <c r="H61" s="40"/>
      <c r="I61" s="40"/>
      <c r="J61" s="1"/>
      <c r="K61" s="79"/>
      <c r="L61" s="1902" t="s">
        <v>69</v>
      </c>
      <c r="M61" s="1902"/>
      <c r="N61" s="1902"/>
      <c r="O61" s="1902"/>
      <c r="P61" s="80"/>
      <c r="Q61" s="1901" t="s">
        <v>93</v>
      </c>
      <c r="R61" s="1901"/>
      <c r="S61" s="1901"/>
      <c r="T61" s="1901"/>
      <c r="U61" s="86"/>
      <c r="V61" s="102"/>
      <c r="W61" s="218"/>
      <c r="AJ61" s="122"/>
    </row>
    <row r="62" spans="1:53" s="56" customFormat="1" ht="14.25" customHeight="1">
      <c r="A62" s="87"/>
      <c r="B62" s="48"/>
      <c r="C62" s="48"/>
      <c r="D62" s="40"/>
      <c r="E62" s="40"/>
      <c r="F62" s="40"/>
      <c r="G62" s="40"/>
      <c r="H62" s="40"/>
      <c r="I62" s="40"/>
      <c r="J62" s="1"/>
      <c r="K62" s="80"/>
      <c r="L62" s="1901" t="str">
        <f>Z4</f>
        <v>Selected LA- (none)</v>
      </c>
      <c r="M62" s="1901"/>
      <c r="N62" s="1901"/>
      <c r="O62" s="1901"/>
      <c r="P62" s="79"/>
      <c r="Q62" s="1901" t="s">
        <v>167</v>
      </c>
      <c r="R62" s="1901"/>
      <c r="S62" s="1901"/>
      <c r="T62" s="1901"/>
      <c r="U62" s="86"/>
      <c r="V62" s="102"/>
      <c r="W62" s="114"/>
      <c r="AH62" s="141"/>
      <c r="AI62" s="61"/>
      <c r="AJ62" s="121"/>
      <c r="AK62" s="61"/>
      <c r="AL62" s="61"/>
      <c r="AM62" s="61"/>
      <c r="AN62" s="61"/>
      <c r="AO62" s="61"/>
      <c r="AP62" s="61"/>
      <c r="AQ62" s="61"/>
      <c r="AR62" s="61"/>
      <c r="AS62" s="61"/>
      <c r="AT62" s="61"/>
      <c r="AU62" s="61"/>
      <c r="AV62" s="61"/>
      <c r="AW62" s="61"/>
      <c r="AX62" s="61"/>
      <c r="AY62" s="61"/>
      <c r="AZ62" s="61"/>
      <c r="BA62" s="61"/>
    </row>
    <row r="63" spans="1:53" s="56" customFormat="1" ht="46.5" customHeight="1">
      <c r="A63" s="87"/>
      <c r="B63" s="48"/>
      <c r="C63" s="48"/>
      <c r="D63" s="40"/>
      <c r="E63" s="40"/>
      <c r="F63" s="40"/>
      <c r="G63" s="40"/>
      <c r="H63" s="40"/>
      <c r="I63" s="40"/>
      <c r="J63" s="1"/>
      <c r="K63" s="5"/>
      <c r="L63" s="5"/>
      <c r="M63" s="5"/>
      <c r="N63" s="5"/>
      <c r="O63" s="5"/>
      <c r="P63" s="5"/>
      <c r="Q63" s="5"/>
      <c r="R63" s="5"/>
      <c r="S63" s="5"/>
      <c r="T63" s="5"/>
      <c r="U63" s="86"/>
      <c r="V63" s="102"/>
      <c r="W63" s="114"/>
      <c r="AH63" s="141"/>
      <c r="AI63" s="61"/>
      <c r="AJ63" s="121"/>
      <c r="AK63" s="61"/>
      <c r="AL63" s="61"/>
      <c r="AM63" s="61"/>
      <c r="AN63" s="61"/>
      <c r="AO63" s="61"/>
      <c r="AP63" s="61"/>
      <c r="AQ63" s="61"/>
      <c r="AR63" s="61"/>
      <c r="AS63" s="61"/>
      <c r="AT63" s="61"/>
      <c r="AU63" s="61"/>
      <c r="AV63" s="61"/>
      <c r="AW63" s="61"/>
      <c r="AX63" s="61"/>
      <c r="AY63" s="61"/>
      <c r="AZ63" s="61"/>
      <c r="BA63" s="61"/>
    </row>
    <row r="64" spans="1:53" s="61" customFormat="1" ht="46.5" customHeight="1">
      <c r="A64" s="88"/>
      <c r="B64" s="78"/>
      <c r="C64" s="78"/>
      <c r="D64" s="78"/>
      <c r="E64" s="78"/>
      <c r="F64" s="78"/>
      <c r="G64" s="78"/>
      <c r="H64" s="78"/>
      <c r="I64" s="78"/>
      <c r="J64" s="68"/>
      <c r="K64" s="59"/>
      <c r="L64" s="59"/>
      <c r="M64" s="59"/>
      <c r="N64" s="59"/>
      <c r="O64" s="59"/>
      <c r="P64" s="59"/>
      <c r="Q64" s="59"/>
      <c r="R64" s="59"/>
      <c r="S64" s="59"/>
      <c r="T64" s="59"/>
      <c r="U64" s="89"/>
      <c r="V64" s="103"/>
      <c r="W64" s="115"/>
      <c r="AD64" s="141"/>
      <c r="AE64" s="141"/>
      <c r="AF64" s="141"/>
      <c r="AG64" s="141"/>
      <c r="AH64" s="56"/>
      <c r="AI64" s="52"/>
      <c r="AJ64" s="119"/>
      <c r="AK64" s="52"/>
      <c r="AL64" s="52"/>
      <c r="AM64" s="52"/>
      <c r="AN64" s="52"/>
      <c r="AO64" s="52"/>
      <c r="AP64" s="52"/>
      <c r="AQ64" s="52"/>
      <c r="AR64" s="52"/>
      <c r="AS64" s="52"/>
      <c r="AT64" s="52"/>
      <c r="AU64" s="52"/>
      <c r="AV64" s="52"/>
      <c r="AW64" s="52"/>
      <c r="AX64" s="52"/>
      <c r="AY64" s="52"/>
      <c r="AZ64" s="52"/>
      <c r="BA64" s="52"/>
    </row>
    <row r="65" spans="1:53" s="61" customFormat="1" ht="46.5" customHeight="1">
      <c r="A65" s="88"/>
      <c r="B65" s="78"/>
      <c r="C65" s="78"/>
      <c r="D65" s="78"/>
      <c r="E65" s="78"/>
      <c r="F65" s="78"/>
      <c r="G65" s="78"/>
      <c r="H65" s="78"/>
      <c r="I65" s="78"/>
      <c r="J65" s="68"/>
      <c r="K65" s="59"/>
      <c r="L65" s="59"/>
      <c r="M65" s="59"/>
      <c r="N65" s="59"/>
      <c r="O65" s="59"/>
      <c r="P65" s="59"/>
      <c r="Q65" s="59"/>
      <c r="R65" s="59"/>
      <c r="S65" s="59"/>
      <c r="T65" s="59"/>
      <c r="U65" s="89"/>
      <c r="V65" s="121"/>
      <c r="W65" s="115"/>
      <c r="AD65" s="141"/>
      <c r="AE65" s="141"/>
      <c r="AF65" s="141"/>
      <c r="AG65" s="141"/>
      <c r="AH65" s="56"/>
      <c r="AI65" s="52"/>
      <c r="AJ65" s="119"/>
      <c r="AK65" s="52"/>
      <c r="AL65" s="52"/>
      <c r="AM65" s="52"/>
      <c r="AN65" s="52"/>
      <c r="AO65" s="52"/>
      <c r="AP65" s="52"/>
      <c r="AQ65" s="52"/>
      <c r="AR65" s="52"/>
      <c r="AS65" s="52"/>
      <c r="AT65" s="52"/>
      <c r="AU65" s="52"/>
      <c r="AV65" s="52"/>
      <c r="AW65" s="52"/>
      <c r="AX65" s="52"/>
      <c r="AY65" s="52"/>
      <c r="AZ65" s="52"/>
      <c r="BA65" s="52"/>
    </row>
    <row r="66" spans="1:53" ht="7.5" customHeight="1">
      <c r="A66" s="87"/>
      <c r="B66" s="12"/>
      <c r="C66" s="12"/>
      <c r="D66" s="11"/>
      <c r="E66" s="11"/>
      <c r="F66" s="11"/>
      <c r="G66" s="11"/>
      <c r="H66" s="11"/>
      <c r="I66" s="11"/>
      <c r="J66" s="1"/>
      <c r="K66" s="13"/>
      <c r="L66" s="13"/>
      <c r="M66" s="13"/>
      <c r="N66" s="13"/>
      <c r="O66" s="13"/>
      <c r="P66" s="13"/>
      <c r="Q66" s="13"/>
      <c r="R66" s="13"/>
      <c r="S66" s="13"/>
      <c r="T66" s="14"/>
      <c r="U66" s="86"/>
      <c r="V66" s="185"/>
      <c r="W66" s="114"/>
      <c r="X66" s="61"/>
      <c r="Y66" s="61"/>
      <c r="Z66" s="61"/>
      <c r="AA66" s="61"/>
      <c r="AB66" s="61"/>
      <c r="AC66" s="61"/>
      <c r="AJ66" s="119"/>
    </row>
    <row r="67" spans="1:53" ht="15" customHeight="1">
      <c r="A67" s="1565"/>
      <c r="B67" s="1751"/>
      <c r="C67" s="1751"/>
      <c r="D67" s="1751"/>
      <c r="E67" s="1751"/>
      <c r="F67" s="1751"/>
      <c r="G67" s="1751"/>
      <c r="H67" s="1751"/>
      <c r="I67" s="1751"/>
      <c r="J67" s="1751"/>
      <c r="K67" s="1751"/>
      <c r="L67" s="1751"/>
      <c r="M67" s="1751"/>
      <c r="N67" s="1751"/>
      <c r="O67" s="1751"/>
      <c r="P67" s="1751"/>
      <c r="Q67" s="1751"/>
      <c r="R67" s="1751"/>
      <c r="S67" s="1751"/>
      <c r="T67" s="1751"/>
      <c r="U67" s="1752"/>
      <c r="V67" s="185"/>
      <c r="W67" s="114"/>
      <c r="X67" s="61"/>
      <c r="Y67" s="61"/>
      <c r="Z67" s="61"/>
      <c r="AA67" s="61"/>
      <c r="AB67" s="61"/>
      <c r="AC67" s="61"/>
      <c r="AJ67" s="119"/>
    </row>
    <row r="68" spans="1:53" ht="11.45" customHeight="1">
      <c r="A68" s="1739"/>
      <c r="B68" s="1740"/>
      <c r="C68" s="1740"/>
      <c r="D68" s="1740"/>
      <c r="E68" s="1740"/>
      <c r="F68" s="1740"/>
      <c r="G68" s="1740"/>
      <c r="H68" s="1740"/>
      <c r="I68" s="1741"/>
      <c r="J68" s="1740"/>
      <c r="K68" s="1740"/>
      <c r="L68" s="1740"/>
      <c r="M68" s="1740"/>
      <c r="N68" s="1740"/>
      <c r="O68" s="1740"/>
      <c r="P68" s="1742"/>
      <c r="Q68" s="1740"/>
      <c r="R68" s="1740"/>
      <c r="S68" s="1741"/>
      <c r="T68" s="1740"/>
      <c r="U68" s="1743"/>
      <c r="V68" s="185"/>
      <c r="W68" s="114"/>
      <c r="X68" s="61"/>
      <c r="Y68" s="61"/>
      <c r="Z68" s="61"/>
      <c r="AA68" s="61"/>
      <c r="AB68" s="61"/>
      <c r="AC68" s="61"/>
      <c r="AH68" s="52"/>
      <c r="AJ68" s="119"/>
    </row>
    <row r="69" spans="1:53" ht="11.25" customHeight="1">
      <c r="A69" s="81"/>
      <c r="B69" s="82"/>
      <c r="C69" s="82"/>
      <c r="D69" s="82"/>
      <c r="E69" s="82"/>
      <c r="F69" s="82"/>
      <c r="G69" s="82"/>
      <c r="H69" s="82"/>
      <c r="I69" s="82"/>
      <c r="J69" s="83"/>
      <c r="K69" s="82"/>
      <c r="L69" s="82"/>
      <c r="M69" s="82"/>
      <c r="N69" s="82"/>
      <c r="O69" s="82"/>
      <c r="P69" s="82"/>
      <c r="Q69" s="82"/>
      <c r="R69" s="82"/>
      <c r="S69" s="82"/>
      <c r="T69" s="82"/>
      <c r="U69" s="84"/>
      <c r="V69" s="102"/>
      <c r="W69" s="114"/>
      <c r="X69" s="52"/>
      <c r="Y69" s="52"/>
      <c r="Z69" s="52"/>
      <c r="AJ69" s="119"/>
    </row>
    <row r="70" spans="1:53" ht="15" customHeight="1">
      <c r="A70" s="87"/>
      <c r="B70" s="41"/>
      <c r="C70" s="47"/>
      <c r="D70" s="47"/>
      <c r="E70" s="47"/>
      <c r="F70" s="47"/>
      <c r="G70" s="47"/>
      <c r="H70" s="47"/>
      <c r="I70" s="47"/>
      <c r="J70" s="50"/>
      <c r="K70" s="50"/>
      <c r="L70" s="50"/>
      <c r="M70" s="50"/>
      <c r="N70" s="224"/>
      <c r="O70" s="50"/>
      <c r="P70" s="50"/>
      <c r="Q70" s="50"/>
      <c r="R70" s="50"/>
      <c r="S70" s="50"/>
      <c r="T70" s="50"/>
      <c r="U70" s="86"/>
      <c r="V70" s="102"/>
      <c r="W70" s="114"/>
      <c r="X70" s="52"/>
      <c r="Y70" s="52"/>
      <c r="Z70" s="52"/>
      <c r="AA70" s="52"/>
      <c r="AB70" s="52"/>
      <c r="AC70" s="52"/>
      <c r="AD70" s="52"/>
      <c r="AE70" s="52"/>
      <c r="AF70" s="52"/>
      <c r="AG70" s="52"/>
      <c r="AH70" s="141"/>
      <c r="AI70" s="61"/>
      <c r="AJ70" s="121"/>
      <c r="AK70" s="61"/>
      <c r="AL70" s="61"/>
      <c r="AM70" s="61"/>
      <c r="AN70" s="61"/>
      <c r="AO70" s="61"/>
      <c r="AP70" s="61"/>
      <c r="AQ70" s="61"/>
      <c r="AR70" s="61"/>
      <c r="AS70" s="61"/>
      <c r="AT70" s="61"/>
      <c r="AU70" s="61"/>
      <c r="AV70" s="61"/>
      <c r="AW70" s="61"/>
      <c r="AX70" s="61"/>
      <c r="AY70" s="61"/>
      <c r="AZ70" s="61"/>
      <c r="BA70" s="61"/>
    </row>
    <row r="71" spans="1:53" ht="13.5" customHeight="1">
      <c r="A71" s="87"/>
      <c r="B71" s="47"/>
      <c r="C71" s="47"/>
      <c r="D71" s="47"/>
      <c r="E71" s="47"/>
      <c r="F71" s="47"/>
      <c r="G71" s="47"/>
      <c r="H71" s="47"/>
      <c r="I71" s="47"/>
      <c r="J71" s="50"/>
      <c r="K71" s="50"/>
      <c r="L71" s="50"/>
      <c r="M71" s="50"/>
      <c r="N71" s="224"/>
      <c r="O71" s="50"/>
      <c r="P71" s="50"/>
      <c r="Q71" s="50"/>
      <c r="R71" s="5"/>
      <c r="S71" s="50"/>
      <c r="T71" s="50"/>
      <c r="U71" s="86"/>
      <c r="V71" s="102"/>
      <c r="W71" s="114"/>
      <c r="X71" s="52"/>
      <c r="Y71" s="52"/>
      <c r="Z71" s="146"/>
      <c r="AA71" s="146"/>
      <c r="AB71" s="147"/>
      <c r="AC71" s="147"/>
      <c r="AH71" s="141"/>
      <c r="AI71" s="61"/>
      <c r="AJ71" s="121"/>
      <c r="AK71" s="61"/>
      <c r="AL71" s="61"/>
      <c r="AM71" s="61"/>
      <c r="AN71" s="61"/>
      <c r="AO71" s="61"/>
      <c r="AP71" s="61"/>
      <c r="AQ71" s="61"/>
      <c r="AR71" s="61"/>
      <c r="AS71" s="61"/>
      <c r="AT71" s="61"/>
      <c r="AU71" s="61"/>
      <c r="AV71" s="61"/>
      <c r="AW71" s="61"/>
      <c r="AX71" s="61"/>
      <c r="AY71" s="61"/>
      <c r="AZ71" s="61"/>
      <c r="BA71" s="61"/>
    </row>
    <row r="72" spans="1:53" s="61" customFormat="1" ht="12" customHeight="1">
      <c r="A72" s="88"/>
      <c r="B72" s="47"/>
      <c r="C72" s="47"/>
      <c r="D72" s="47"/>
      <c r="E72" s="47"/>
      <c r="F72" s="47"/>
      <c r="G72" s="47"/>
      <c r="H72" s="47"/>
      <c r="I72" s="68"/>
      <c r="J72" s="68"/>
      <c r="K72" s="43"/>
      <c r="L72" s="43"/>
      <c r="M72" s="43"/>
      <c r="N72" s="43"/>
      <c r="O72" s="43"/>
      <c r="P72" s="43"/>
      <c r="Q72" s="225"/>
      <c r="R72" s="225"/>
      <c r="S72" s="120"/>
      <c r="T72" s="226"/>
      <c r="U72" s="89"/>
      <c r="V72" s="103"/>
      <c r="W72" s="115"/>
      <c r="X72" s="52"/>
      <c r="Y72" s="52"/>
      <c r="Z72" s="146"/>
      <c r="AA72" s="146"/>
      <c r="AB72" s="147"/>
      <c r="AC72" s="147"/>
      <c r="AD72" s="149"/>
      <c r="AE72" s="141"/>
      <c r="AF72" s="141"/>
      <c r="AG72" s="141"/>
      <c r="AH72" s="141"/>
      <c r="AJ72" s="121"/>
    </row>
    <row r="73" spans="1:53" s="61" customFormat="1" ht="24" customHeight="1">
      <c r="A73" s="88"/>
      <c r="B73" s="47"/>
      <c r="C73" s="47"/>
      <c r="D73" s="47"/>
      <c r="E73" s="47"/>
      <c r="F73" s="47"/>
      <c r="G73" s="47"/>
      <c r="H73" s="47"/>
      <c r="I73" s="68"/>
      <c r="J73" s="68"/>
      <c r="K73" s="127"/>
      <c r="L73" s="127"/>
      <c r="M73" s="127"/>
      <c r="N73" s="127"/>
      <c r="O73" s="127"/>
      <c r="P73" s="127"/>
      <c r="Q73" s="127"/>
      <c r="R73" s="128"/>
      <c r="S73" s="120"/>
      <c r="T73" s="127"/>
      <c r="U73" s="89"/>
      <c r="V73" s="103"/>
      <c r="W73" s="115"/>
      <c r="Y73" s="242" t="s">
        <v>112</v>
      </c>
      <c r="Z73" s="242" t="s">
        <v>113</v>
      </c>
      <c r="AA73" s="146"/>
      <c r="AB73" s="147"/>
      <c r="AC73" s="147"/>
      <c r="AD73" s="149"/>
      <c r="AE73" s="141"/>
      <c r="AF73" s="141"/>
      <c r="AG73" s="141"/>
      <c r="AH73" s="141"/>
      <c r="AJ73" s="121"/>
    </row>
    <row r="74" spans="1:53" s="61" customFormat="1" ht="12.75" customHeight="1">
      <c r="A74" s="88"/>
      <c r="B74" s="47"/>
      <c r="C74" s="47"/>
      <c r="D74" s="47"/>
      <c r="E74" s="47"/>
      <c r="F74" s="47"/>
      <c r="G74" s="47"/>
      <c r="H74" s="47"/>
      <c r="I74" s="68"/>
      <c r="J74" s="68"/>
      <c r="K74" s="127"/>
      <c r="L74" s="127"/>
      <c r="M74" s="127"/>
      <c r="N74" s="127"/>
      <c r="O74" s="127"/>
      <c r="P74" s="127"/>
      <c r="Q74" s="127"/>
      <c r="R74" s="128"/>
      <c r="S74" s="120"/>
      <c r="T74" s="127"/>
      <c r="U74" s="89"/>
      <c r="V74" s="103"/>
      <c r="W74" s="115"/>
      <c r="X74" s="351" t="str">
        <f t="shared" ref="X74:X94" si="33">B11</f>
        <v>Bracknell Forest</v>
      </c>
      <c r="Y74" s="244" t="e">
        <f t="shared" ref="Y74:Y94" si="34">IF(X74=$Y$4,I11,#N/A)</f>
        <v>#N/A</v>
      </c>
      <c r="Z74" s="244" t="e">
        <f t="shared" ref="Z74:Z94" si="35">IF(X74=$Y$4,T11,#N/A)</f>
        <v>#N/A</v>
      </c>
      <c r="AA74" s="146"/>
      <c r="AB74" s="147"/>
      <c r="AC74" s="147"/>
      <c r="AD74" s="149"/>
      <c r="AE74" s="141"/>
      <c r="AF74" s="141"/>
      <c r="AG74" s="141"/>
      <c r="AH74" s="141"/>
      <c r="AJ74" s="121"/>
    </row>
    <row r="75" spans="1:53" s="61" customFormat="1" ht="12.75" customHeight="1">
      <c r="A75" s="88"/>
      <c r="B75" s="47"/>
      <c r="C75" s="47"/>
      <c r="D75" s="47"/>
      <c r="E75" s="47"/>
      <c r="F75" s="47"/>
      <c r="G75" s="47"/>
      <c r="H75" s="47"/>
      <c r="I75" s="68"/>
      <c r="J75" s="68"/>
      <c r="K75" s="127"/>
      <c r="L75" s="127"/>
      <c r="M75" s="127"/>
      <c r="N75" s="127"/>
      <c r="O75" s="127"/>
      <c r="P75" s="127"/>
      <c r="Q75" s="127"/>
      <c r="R75" s="128"/>
      <c r="S75" s="120"/>
      <c r="T75" s="127"/>
      <c r="U75" s="89"/>
      <c r="V75" s="103"/>
      <c r="W75" s="115"/>
      <c r="X75" s="351" t="str">
        <f t="shared" si="33"/>
        <v>Brighton &amp; Hove</v>
      </c>
      <c r="Y75" s="244" t="e">
        <f t="shared" si="34"/>
        <v>#N/A</v>
      </c>
      <c r="Z75" s="244" t="e">
        <f t="shared" si="35"/>
        <v>#N/A</v>
      </c>
      <c r="AA75" s="146"/>
      <c r="AB75" s="147"/>
      <c r="AC75" s="147"/>
      <c r="AD75" s="149"/>
      <c r="AE75" s="141"/>
      <c r="AF75" s="141"/>
      <c r="AG75" s="141"/>
      <c r="AH75" s="141"/>
      <c r="AJ75" s="121"/>
    </row>
    <row r="76" spans="1:53" s="61" customFormat="1" ht="12.75" customHeight="1">
      <c r="A76" s="88"/>
      <c r="B76" s="47"/>
      <c r="C76" s="47"/>
      <c r="D76" s="47"/>
      <c r="E76" s="47"/>
      <c r="F76" s="47"/>
      <c r="G76" s="47"/>
      <c r="H76" s="47"/>
      <c r="I76" s="68"/>
      <c r="J76" s="68"/>
      <c r="K76" s="127"/>
      <c r="L76" s="127"/>
      <c r="M76" s="127"/>
      <c r="N76" s="127"/>
      <c r="O76" s="127"/>
      <c r="P76" s="127"/>
      <c r="Q76" s="127"/>
      <c r="R76" s="128"/>
      <c r="S76" s="120"/>
      <c r="T76" s="127"/>
      <c r="U76" s="89"/>
      <c r="V76" s="103"/>
      <c r="W76" s="115"/>
      <c r="X76" s="351" t="str">
        <f t="shared" si="33"/>
        <v>Buckinghamshire</v>
      </c>
      <c r="Y76" s="244" t="e">
        <f t="shared" si="34"/>
        <v>#N/A</v>
      </c>
      <c r="Z76" s="244" t="e">
        <f t="shared" si="35"/>
        <v>#N/A</v>
      </c>
      <c r="AA76" s="146"/>
      <c r="AB76" s="147"/>
      <c r="AC76" s="147"/>
      <c r="AD76" s="149"/>
      <c r="AE76" s="141"/>
      <c r="AF76" s="141"/>
      <c r="AG76" s="141"/>
      <c r="AH76" s="141"/>
      <c r="AJ76" s="121"/>
      <c r="AR76" s="61" t="s">
        <v>95</v>
      </c>
    </row>
    <row r="77" spans="1:53" s="61" customFormat="1" ht="12.75" customHeight="1">
      <c r="A77" s="88"/>
      <c r="B77" s="47"/>
      <c r="C77" s="47"/>
      <c r="D77" s="47"/>
      <c r="E77" s="47"/>
      <c r="F77" s="47"/>
      <c r="G77" s="47"/>
      <c r="H77" s="47"/>
      <c r="I77" s="68"/>
      <c r="J77" s="68"/>
      <c r="K77" s="127"/>
      <c r="L77" s="127"/>
      <c r="M77" s="127"/>
      <c r="N77" s="127"/>
      <c r="O77" s="127"/>
      <c r="P77" s="127"/>
      <c r="Q77" s="127"/>
      <c r="R77" s="128"/>
      <c r="S77" s="120"/>
      <c r="T77" s="127"/>
      <c r="U77" s="89"/>
      <c r="V77" s="103"/>
      <c r="W77" s="115"/>
      <c r="X77" s="351" t="str">
        <f t="shared" si="33"/>
        <v>East Sussex</v>
      </c>
      <c r="Y77" s="244" t="e">
        <f t="shared" si="34"/>
        <v>#N/A</v>
      </c>
      <c r="Z77" s="244" t="e">
        <f t="shared" si="35"/>
        <v>#N/A</v>
      </c>
      <c r="AA77" s="146"/>
      <c r="AB77" s="147"/>
      <c r="AC77" s="147"/>
      <c r="AD77" s="149"/>
      <c r="AE77" s="141"/>
      <c r="AF77" s="141"/>
      <c r="AG77" s="141"/>
      <c r="AH77" s="141"/>
      <c r="AJ77" s="121"/>
    </row>
    <row r="78" spans="1:53" s="61" customFormat="1" ht="12.75" customHeight="1">
      <c r="A78" s="88"/>
      <c r="B78" s="47"/>
      <c r="C78" s="47"/>
      <c r="D78" s="47"/>
      <c r="E78" s="47"/>
      <c r="F78" s="47"/>
      <c r="G78" s="47"/>
      <c r="H78" s="47"/>
      <c r="I78" s="68"/>
      <c r="J78" s="68"/>
      <c r="K78" s="127"/>
      <c r="L78" s="127"/>
      <c r="M78" s="127"/>
      <c r="N78" s="127"/>
      <c r="O78" s="127"/>
      <c r="P78" s="127"/>
      <c r="Q78" s="127"/>
      <c r="R78" s="128"/>
      <c r="S78" s="120"/>
      <c r="T78" s="127"/>
      <c r="U78" s="89"/>
      <c r="V78" s="103"/>
      <c r="W78" s="115"/>
      <c r="X78" s="351" t="str">
        <f t="shared" si="33"/>
        <v>Hampshire</v>
      </c>
      <c r="Y78" s="244" t="e">
        <f t="shared" si="34"/>
        <v>#N/A</v>
      </c>
      <c r="Z78" s="244" t="e">
        <f t="shared" si="35"/>
        <v>#N/A</v>
      </c>
      <c r="AA78" s="146"/>
      <c r="AB78" s="147"/>
      <c r="AC78" s="147"/>
      <c r="AD78" s="149"/>
      <c r="AE78" s="141"/>
      <c r="AF78" s="141"/>
      <c r="AG78" s="141"/>
      <c r="AH78" s="141"/>
      <c r="AJ78" s="121"/>
    </row>
    <row r="79" spans="1:53" s="61" customFormat="1" ht="12.75" customHeight="1">
      <c r="A79" s="88"/>
      <c r="B79" s="47"/>
      <c r="C79" s="47"/>
      <c r="D79" s="47"/>
      <c r="E79" s="47"/>
      <c r="F79" s="47"/>
      <c r="G79" s="47"/>
      <c r="H79" s="47"/>
      <c r="I79" s="68"/>
      <c r="J79" s="68"/>
      <c r="K79" s="127"/>
      <c r="L79" s="127"/>
      <c r="M79" s="127"/>
      <c r="N79" s="127"/>
      <c r="O79" s="127"/>
      <c r="P79" s="127"/>
      <c r="Q79" s="127"/>
      <c r="R79" s="128"/>
      <c r="S79" s="120"/>
      <c r="T79" s="127"/>
      <c r="U79" s="89"/>
      <c r="V79" s="103"/>
      <c r="W79" s="115"/>
      <c r="X79" s="351" t="str">
        <f t="shared" si="33"/>
        <v>Isle of Wight</v>
      </c>
      <c r="Y79" s="244" t="e">
        <f t="shared" si="34"/>
        <v>#N/A</v>
      </c>
      <c r="Z79" s="244" t="e">
        <f t="shared" si="35"/>
        <v>#N/A</v>
      </c>
      <c r="AA79" s="146"/>
      <c r="AB79" s="147"/>
      <c r="AC79" s="147"/>
      <c r="AD79" s="149"/>
      <c r="AE79" s="141"/>
      <c r="AF79" s="141"/>
      <c r="AG79" s="141"/>
      <c r="AH79" s="141"/>
      <c r="AJ79" s="121"/>
    </row>
    <row r="80" spans="1:53" s="61" customFormat="1" ht="12.75" customHeight="1">
      <c r="A80" s="88"/>
      <c r="B80" s="47"/>
      <c r="C80" s="47"/>
      <c r="D80" s="47"/>
      <c r="E80" s="47"/>
      <c r="F80" s="47"/>
      <c r="G80" s="47"/>
      <c r="H80" s="47"/>
      <c r="I80" s="68"/>
      <c r="J80" s="68"/>
      <c r="K80" s="127"/>
      <c r="L80" s="127"/>
      <c r="M80" s="127"/>
      <c r="N80" s="127"/>
      <c r="O80" s="127"/>
      <c r="P80" s="127"/>
      <c r="Q80" s="127"/>
      <c r="R80" s="128"/>
      <c r="S80" s="120"/>
      <c r="T80" s="127"/>
      <c r="U80" s="89"/>
      <c r="V80" s="103"/>
      <c r="W80" s="115"/>
      <c r="X80" s="351" t="str">
        <f t="shared" si="33"/>
        <v>Kent</v>
      </c>
      <c r="Y80" s="244" t="e">
        <f t="shared" si="34"/>
        <v>#N/A</v>
      </c>
      <c r="Z80" s="244" t="e">
        <f t="shared" si="35"/>
        <v>#N/A</v>
      </c>
      <c r="AA80" s="146"/>
      <c r="AB80" s="147"/>
      <c r="AC80" s="147"/>
      <c r="AD80" s="149"/>
      <c r="AE80" s="141"/>
      <c r="AF80" s="141"/>
      <c r="AG80" s="141"/>
      <c r="AH80" s="141"/>
      <c r="AJ80" s="121"/>
    </row>
    <row r="81" spans="1:53" s="61" customFormat="1" ht="12.75" customHeight="1">
      <c r="A81" s="88"/>
      <c r="B81" s="47"/>
      <c r="C81" s="47"/>
      <c r="D81" s="47"/>
      <c r="E81" s="47"/>
      <c r="F81" s="47"/>
      <c r="G81" s="47"/>
      <c r="H81" s="47"/>
      <c r="I81" s="68"/>
      <c r="J81" s="68"/>
      <c r="K81" s="127"/>
      <c r="L81" s="127"/>
      <c r="M81" s="127"/>
      <c r="N81" s="127"/>
      <c r="O81" s="127"/>
      <c r="P81" s="127"/>
      <c r="Q81" s="127"/>
      <c r="R81" s="128"/>
      <c r="S81" s="120"/>
      <c r="T81" s="127"/>
      <c r="U81" s="89"/>
      <c r="V81" s="103"/>
      <c r="W81" s="115"/>
      <c r="X81" s="351" t="str">
        <f t="shared" si="33"/>
        <v>Medway</v>
      </c>
      <c r="Y81" s="244" t="e">
        <f t="shared" si="34"/>
        <v>#N/A</v>
      </c>
      <c r="Z81" s="244" t="e">
        <f t="shared" si="35"/>
        <v>#N/A</v>
      </c>
      <c r="AA81" s="146"/>
      <c r="AB81" s="147"/>
      <c r="AC81" s="147"/>
      <c r="AD81" s="149"/>
      <c r="AE81" s="141"/>
      <c r="AF81" s="141"/>
      <c r="AG81" s="141"/>
      <c r="AH81" s="141"/>
      <c r="AJ81" s="121"/>
    </row>
    <row r="82" spans="1:53" s="61" customFormat="1" ht="12.75" customHeight="1">
      <c r="A82" s="88"/>
      <c r="B82" s="47"/>
      <c r="C82" s="47"/>
      <c r="D82" s="47"/>
      <c r="E82" s="47"/>
      <c r="F82" s="47"/>
      <c r="G82" s="47"/>
      <c r="H82" s="47"/>
      <c r="I82" s="68"/>
      <c r="J82" s="68"/>
      <c r="K82" s="127"/>
      <c r="L82" s="127"/>
      <c r="M82" s="127"/>
      <c r="N82" s="127"/>
      <c r="O82" s="127"/>
      <c r="P82" s="127"/>
      <c r="Q82" s="127"/>
      <c r="R82" s="128"/>
      <c r="S82" s="120"/>
      <c r="T82" s="127"/>
      <c r="U82" s="89"/>
      <c r="V82" s="103"/>
      <c r="W82" s="115"/>
      <c r="X82" s="351" t="str">
        <f t="shared" si="33"/>
        <v>Milton Keynes</v>
      </c>
      <c r="Y82" s="244" t="e">
        <f t="shared" si="34"/>
        <v>#N/A</v>
      </c>
      <c r="Z82" s="244" t="e">
        <f t="shared" si="35"/>
        <v>#N/A</v>
      </c>
      <c r="AA82" s="146"/>
      <c r="AB82" s="147"/>
      <c r="AC82" s="147"/>
      <c r="AD82" s="149"/>
      <c r="AE82" s="141"/>
      <c r="AF82" s="141"/>
      <c r="AG82" s="141"/>
      <c r="AH82" s="141"/>
      <c r="AJ82" s="121"/>
    </row>
    <row r="83" spans="1:53" s="61" customFormat="1" ht="12.75" customHeight="1">
      <c r="A83" s="88"/>
      <c r="B83" s="47"/>
      <c r="C83" s="47"/>
      <c r="D83" s="47"/>
      <c r="E83" s="47"/>
      <c r="F83" s="47"/>
      <c r="G83" s="47"/>
      <c r="H83" s="47"/>
      <c r="I83" s="68"/>
      <c r="J83" s="68"/>
      <c r="K83" s="127"/>
      <c r="L83" s="127"/>
      <c r="M83" s="127"/>
      <c r="N83" s="127"/>
      <c r="O83" s="127"/>
      <c r="P83" s="127"/>
      <c r="Q83" s="127"/>
      <c r="R83" s="128"/>
      <c r="S83" s="120"/>
      <c r="T83" s="127"/>
      <c r="U83" s="89"/>
      <c r="V83" s="103"/>
      <c r="W83" s="115"/>
      <c r="X83" s="351" t="str">
        <f t="shared" si="33"/>
        <v>Oxfordshire</v>
      </c>
      <c r="Y83" s="244" t="e">
        <f t="shared" si="34"/>
        <v>#N/A</v>
      </c>
      <c r="Z83" s="244" t="e">
        <f t="shared" si="35"/>
        <v>#N/A</v>
      </c>
      <c r="AA83" s="146"/>
      <c r="AB83" s="147"/>
      <c r="AC83" s="147"/>
      <c r="AD83" s="149"/>
      <c r="AE83" s="141"/>
      <c r="AF83" s="141"/>
      <c r="AG83" s="141"/>
      <c r="AH83" s="141"/>
      <c r="AJ83" s="121"/>
    </row>
    <row r="84" spans="1:53" s="61" customFormat="1" ht="12.75" customHeight="1">
      <c r="A84" s="88"/>
      <c r="B84" s="47"/>
      <c r="C84" s="47"/>
      <c r="D84" s="47"/>
      <c r="E84" s="47"/>
      <c r="F84" s="47"/>
      <c r="G84" s="47"/>
      <c r="H84" s="47"/>
      <c r="I84" s="68"/>
      <c r="J84" s="68"/>
      <c r="K84" s="127"/>
      <c r="L84" s="127"/>
      <c r="M84" s="127"/>
      <c r="N84" s="127"/>
      <c r="O84" s="127"/>
      <c r="P84" s="127"/>
      <c r="Q84" s="127"/>
      <c r="R84" s="128"/>
      <c r="S84" s="120"/>
      <c r="T84" s="127"/>
      <c r="U84" s="89"/>
      <c r="V84" s="103"/>
      <c r="W84" s="115"/>
      <c r="X84" s="351" t="str">
        <f t="shared" si="33"/>
        <v>Portsmouth</v>
      </c>
      <c r="Y84" s="244" t="e">
        <f t="shared" si="34"/>
        <v>#N/A</v>
      </c>
      <c r="Z84" s="244" t="e">
        <f t="shared" si="35"/>
        <v>#N/A</v>
      </c>
      <c r="AA84" s="146"/>
      <c r="AB84" s="147"/>
      <c r="AC84" s="147"/>
      <c r="AD84" s="149"/>
      <c r="AE84" s="141"/>
      <c r="AF84" s="141"/>
      <c r="AG84" s="141"/>
      <c r="AH84" s="141"/>
      <c r="AJ84" s="121"/>
    </row>
    <row r="85" spans="1:53" s="61" customFormat="1" ht="12.75" customHeight="1">
      <c r="A85" s="88"/>
      <c r="B85" s="47"/>
      <c r="C85" s="47"/>
      <c r="D85" s="47"/>
      <c r="E85" s="47"/>
      <c r="F85" s="47"/>
      <c r="G85" s="47"/>
      <c r="H85" s="47"/>
      <c r="I85" s="68"/>
      <c r="J85" s="68"/>
      <c r="K85" s="127"/>
      <c r="L85" s="127"/>
      <c r="M85" s="127"/>
      <c r="N85" s="127"/>
      <c r="O85" s="127"/>
      <c r="P85" s="127"/>
      <c r="Q85" s="127"/>
      <c r="R85" s="128"/>
      <c r="S85" s="120"/>
      <c r="T85" s="127"/>
      <c r="U85" s="89"/>
      <c r="V85" s="103"/>
      <c r="W85" s="115"/>
      <c r="X85" s="351" t="str">
        <f t="shared" si="33"/>
        <v>Reading</v>
      </c>
      <c r="Y85" s="244" t="e">
        <f t="shared" si="34"/>
        <v>#N/A</v>
      </c>
      <c r="Z85" s="244" t="e">
        <f t="shared" si="35"/>
        <v>#N/A</v>
      </c>
      <c r="AA85" s="146"/>
      <c r="AB85" s="147"/>
      <c r="AC85" s="147"/>
      <c r="AD85" s="149"/>
      <c r="AE85" s="141"/>
      <c r="AF85" s="141"/>
      <c r="AG85" s="141"/>
      <c r="AH85" s="141"/>
      <c r="AJ85" s="121"/>
    </row>
    <row r="86" spans="1:53" s="61" customFormat="1" ht="12.75" customHeight="1">
      <c r="A86" s="88"/>
      <c r="B86" s="47"/>
      <c r="C86" s="47"/>
      <c r="D86" s="47"/>
      <c r="E86" s="47"/>
      <c r="F86" s="47"/>
      <c r="G86" s="47"/>
      <c r="H86" s="47"/>
      <c r="I86" s="68"/>
      <c r="J86" s="68"/>
      <c r="K86" s="127"/>
      <c r="L86" s="127"/>
      <c r="M86" s="127"/>
      <c r="N86" s="127"/>
      <c r="O86" s="127"/>
      <c r="P86" s="127"/>
      <c r="Q86" s="127"/>
      <c r="R86" s="128"/>
      <c r="S86" s="120"/>
      <c r="T86" s="127"/>
      <c r="U86" s="89"/>
      <c r="V86" s="103"/>
      <c r="W86" s="115"/>
      <c r="X86" s="351" t="str">
        <f t="shared" si="33"/>
        <v>Slough</v>
      </c>
      <c r="Y86" s="244" t="e">
        <f t="shared" si="34"/>
        <v>#N/A</v>
      </c>
      <c r="Z86" s="244" t="e">
        <f t="shared" si="35"/>
        <v>#N/A</v>
      </c>
      <c r="AA86" s="146"/>
      <c r="AB86" s="147"/>
      <c r="AC86" s="147"/>
      <c r="AD86" s="149"/>
      <c r="AE86" s="141"/>
      <c r="AF86" s="141"/>
      <c r="AG86" s="141"/>
      <c r="AH86" s="141"/>
      <c r="AJ86" s="121"/>
    </row>
    <row r="87" spans="1:53" s="61" customFormat="1" ht="12.75" customHeight="1">
      <c r="A87" s="88"/>
      <c r="B87" s="47"/>
      <c r="C87" s="47"/>
      <c r="D87" s="47"/>
      <c r="E87" s="47"/>
      <c r="F87" s="47"/>
      <c r="G87" s="47"/>
      <c r="H87" s="47"/>
      <c r="I87" s="68"/>
      <c r="J87" s="68"/>
      <c r="K87" s="127"/>
      <c r="L87" s="127"/>
      <c r="M87" s="127"/>
      <c r="N87" s="127"/>
      <c r="O87" s="127"/>
      <c r="P87" s="127"/>
      <c r="Q87" s="127"/>
      <c r="R87" s="128"/>
      <c r="S87" s="120"/>
      <c r="T87" s="127"/>
      <c r="U87" s="89"/>
      <c r="V87" s="103"/>
      <c r="W87" s="115"/>
      <c r="X87" s="351" t="str">
        <f t="shared" si="33"/>
        <v>Southampton</v>
      </c>
      <c r="Y87" s="244" t="e">
        <f t="shared" si="34"/>
        <v>#N/A</v>
      </c>
      <c r="Z87" s="244" t="e">
        <f t="shared" si="35"/>
        <v>#N/A</v>
      </c>
      <c r="AA87" s="146"/>
      <c r="AB87" s="147"/>
      <c r="AC87" s="147"/>
      <c r="AD87" s="149"/>
      <c r="AE87" s="141"/>
      <c r="AF87" s="141"/>
      <c r="AG87" s="141"/>
      <c r="AH87" s="141"/>
      <c r="AJ87" s="121"/>
    </row>
    <row r="88" spans="1:53" s="61" customFormat="1" ht="12.75" customHeight="1">
      <c r="A88" s="88"/>
      <c r="B88" s="47"/>
      <c r="C88" s="47"/>
      <c r="D88" s="47"/>
      <c r="E88" s="47"/>
      <c r="F88" s="47"/>
      <c r="G88" s="47"/>
      <c r="H88" s="47"/>
      <c r="I88" s="68"/>
      <c r="J88" s="68"/>
      <c r="K88" s="127"/>
      <c r="L88" s="127"/>
      <c r="M88" s="127"/>
      <c r="N88" s="127"/>
      <c r="O88" s="127"/>
      <c r="P88" s="127"/>
      <c r="Q88" s="127"/>
      <c r="R88" s="128"/>
      <c r="S88" s="120"/>
      <c r="T88" s="127"/>
      <c r="U88" s="89"/>
      <c r="V88" s="103"/>
      <c r="W88" s="115"/>
      <c r="X88" s="351" t="str">
        <f t="shared" si="33"/>
        <v>Surrey</v>
      </c>
      <c r="Y88" s="244" t="e">
        <f t="shared" si="34"/>
        <v>#N/A</v>
      </c>
      <c r="Z88" s="244" t="e">
        <f t="shared" si="35"/>
        <v>#N/A</v>
      </c>
      <c r="AA88" s="146"/>
      <c r="AB88" s="147"/>
      <c r="AC88" s="147"/>
      <c r="AD88" s="149"/>
      <c r="AE88" s="141"/>
      <c r="AF88" s="141"/>
      <c r="AG88" s="141"/>
      <c r="AH88" s="141"/>
      <c r="AJ88" s="121"/>
    </row>
    <row r="89" spans="1:53" s="61" customFormat="1" ht="12.75" customHeight="1">
      <c r="A89" s="217"/>
      <c r="B89" s="47"/>
      <c r="C89" s="47"/>
      <c r="D89" s="47"/>
      <c r="E89" s="47"/>
      <c r="F89" s="47"/>
      <c r="G89" s="47"/>
      <c r="H89" s="47"/>
      <c r="I89" s="68"/>
      <c r="J89" s="68"/>
      <c r="K89" s="127"/>
      <c r="L89" s="127"/>
      <c r="M89" s="127"/>
      <c r="N89" s="127"/>
      <c r="O89" s="127"/>
      <c r="P89" s="127"/>
      <c r="Q89" s="127"/>
      <c r="R89" s="128"/>
      <c r="S89" s="120"/>
      <c r="T89" s="127"/>
      <c r="U89" s="89"/>
      <c r="V89" s="103"/>
      <c r="W89" s="115"/>
      <c r="X89" s="351" t="str">
        <f t="shared" si="33"/>
        <v>West Berkshire</v>
      </c>
      <c r="Y89" s="244" t="e">
        <f t="shared" si="34"/>
        <v>#N/A</v>
      </c>
      <c r="Z89" s="244" t="e">
        <f t="shared" si="35"/>
        <v>#N/A</v>
      </c>
      <c r="AA89" s="146"/>
      <c r="AB89" s="147"/>
      <c r="AC89" s="147"/>
      <c r="AD89" s="149"/>
      <c r="AE89" s="141"/>
      <c r="AF89" s="141"/>
      <c r="AG89" s="141"/>
      <c r="AH89" s="141"/>
      <c r="AJ89" s="121"/>
    </row>
    <row r="90" spans="1:53" s="61" customFormat="1" ht="12.75" customHeight="1">
      <c r="A90" s="217"/>
      <c r="B90" s="47"/>
      <c r="C90" s="47"/>
      <c r="D90" s="47"/>
      <c r="E90" s="47"/>
      <c r="F90" s="47"/>
      <c r="G90" s="47"/>
      <c r="H90" s="47"/>
      <c r="I90" s="68"/>
      <c r="J90" s="68"/>
      <c r="K90" s="127"/>
      <c r="L90" s="127"/>
      <c r="M90" s="127"/>
      <c r="N90" s="127"/>
      <c r="O90" s="127"/>
      <c r="P90" s="127"/>
      <c r="Q90" s="127"/>
      <c r="R90" s="128"/>
      <c r="S90" s="120"/>
      <c r="T90" s="127"/>
      <c r="U90" s="89"/>
      <c r="V90" s="103"/>
      <c r="W90" s="115"/>
      <c r="X90" s="351" t="str">
        <f t="shared" si="33"/>
        <v>West Sussex</v>
      </c>
      <c r="Y90" s="244" t="e">
        <f t="shared" si="34"/>
        <v>#N/A</v>
      </c>
      <c r="Z90" s="244" t="e">
        <f t="shared" si="35"/>
        <v>#N/A</v>
      </c>
      <c r="AA90" s="146"/>
      <c r="AB90" s="147"/>
      <c r="AC90" s="147"/>
      <c r="AD90" s="149"/>
      <c r="AE90" s="141"/>
      <c r="AF90" s="141"/>
      <c r="AG90" s="141"/>
      <c r="AH90" s="141"/>
      <c r="AJ90" s="121"/>
    </row>
    <row r="91" spans="1:53" s="61" customFormat="1" ht="12.75" customHeight="1">
      <c r="A91" s="88"/>
      <c r="B91" s="47"/>
      <c r="C91" s="47"/>
      <c r="D91" s="47"/>
      <c r="E91" s="47"/>
      <c r="F91" s="47"/>
      <c r="G91" s="47"/>
      <c r="H91" s="47"/>
      <c r="I91" s="68"/>
      <c r="J91" s="68"/>
      <c r="K91" s="127"/>
      <c r="L91" s="127"/>
      <c r="M91" s="127"/>
      <c r="N91" s="127"/>
      <c r="O91" s="127"/>
      <c r="P91" s="127"/>
      <c r="Q91" s="127"/>
      <c r="R91" s="128"/>
      <c r="S91" s="120"/>
      <c r="T91" s="127"/>
      <c r="U91" s="89"/>
      <c r="V91" s="103"/>
      <c r="W91" s="115"/>
      <c r="X91" s="351" t="str">
        <f t="shared" si="33"/>
        <v>Windsor &amp; Maidenhead</v>
      </c>
      <c r="Y91" s="244" t="e">
        <f t="shared" si="34"/>
        <v>#N/A</v>
      </c>
      <c r="Z91" s="244" t="e">
        <f t="shared" si="35"/>
        <v>#N/A</v>
      </c>
      <c r="AA91" s="146"/>
      <c r="AB91" s="147"/>
      <c r="AC91" s="147"/>
      <c r="AD91" s="149"/>
      <c r="AF91" s="141"/>
      <c r="AG91" s="141"/>
      <c r="AH91" s="141"/>
      <c r="AJ91" s="121"/>
    </row>
    <row r="92" spans="1:53" s="61" customFormat="1" ht="12.75" customHeight="1">
      <c r="A92" s="88"/>
      <c r="B92" s="47"/>
      <c r="C92" s="47"/>
      <c r="D92" s="47"/>
      <c r="E92" s="47"/>
      <c r="F92" s="47"/>
      <c r="G92" s="47"/>
      <c r="H92" s="47"/>
      <c r="I92" s="68"/>
      <c r="J92" s="68"/>
      <c r="K92" s="127"/>
      <c r="L92" s="127"/>
      <c r="M92" s="127"/>
      <c r="N92" s="127"/>
      <c r="O92" s="127"/>
      <c r="P92" s="127"/>
      <c r="Q92" s="127"/>
      <c r="R92" s="128"/>
      <c r="S92" s="120"/>
      <c r="T92" s="127"/>
      <c r="U92" s="89"/>
      <c r="V92" s="103"/>
      <c r="W92" s="115"/>
      <c r="X92" s="351" t="str">
        <f t="shared" si="33"/>
        <v>Wokingham</v>
      </c>
      <c r="Y92" s="244" t="e">
        <f t="shared" si="34"/>
        <v>#N/A</v>
      </c>
      <c r="Z92" s="244" t="e">
        <f t="shared" si="35"/>
        <v>#N/A</v>
      </c>
      <c r="AA92" s="146"/>
      <c r="AB92" s="147"/>
      <c r="AC92" s="147"/>
      <c r="AD92" s="149"/>
      <c r="AF92" s="141"/>
      <c r="AG92" s="141"/>
      <c r="AH92" s="141"/>
      <c r="AJ92" s="121"/>
    </row>
    <row r="93" spans="1:53" s="61" customFormat="1" ht="12.75" customHeight="1">
      <c r="A93" s="88"/>
      <c r="B93" s="47"/>
      <c r="C93" s="47"/>
      <c r="D93" s="47"/>
      <c r="E93" s="47"/>
      <c r="F93" s="47"/>
      <c r="G93" s="47"/>
      <c r="H93" s="47"/>
      <c r="I93" s="68"/>
      <c r="J93" s="68"/>
      <c r="K93" s="127"/>
      <c r="L93" s="127"/>
      <c r="M93" s="127"/>
      <c r="N93" s="127"/>
      <c r="O93" s="127"/>
      <c r="P93" s="127"/>
      <c r="Q93" s="127"/>
      <c r="R93" s="128"/>
      <c r="S93" s="120"/>
      <c r="T93" s="127"/>
      <c r="U93" s="89"/>
      <c r="V93" s="103"/>
      <c r="W93" s="115"/>
      <c r="X93" s="351" t="str">
        <f t="shared" si="33"/>
        <v>South East</v>
      </c>
      <c r="Y93" s="244" t="e">
        <f t="shared" si="34"/>
        <v>#N/A</v>
      </c>
      <c r="Z93" s="244" t="e">
        <f t="shared" si="35"/>
        <v>#N/A</v>
      </c>
      <c r="AA93" s="146"/>
      <c r="AB93" s="147"/>
      <c r="AC93" s="147"/>
      <c r="AD93" s="149"/>
      <c r="AH93" s="141"/>
      <c r="AJ93" s="121"/>
    </row>
    <row r="94" spans="1:53" s="61" customFormat="1" ht="12.75" customHeight="1">
      <c r="A94" s="88"/>
      <c r="B94" s="47"/>
      <c r="C94" s="47"/>
      <c r="D94" s="47"/>
      <c r="E94" s="47"/>
      <c r="F94" s="47"/>
      <c r="G94" s="47"/>
      <c r="H94" s="47"/>
      <c r="I94" s="68"/>
      <c r="J94" s="68"/>
      <c r="K94" s="127"/>
      <c r="L94" s="127"/>
      <c r="M94" s="127"/>
      <c r="N94" s="127"/>
      <c r="O94" s="127"/>
      <c r="P94" s="127"/>
      <c r="Q94" s="127"/>
      <c r="R94" s="128"/>
      <c r="S94" s="120"/>
      <c r="T94" s="127"/>
      <c r="U94" s="89"/>
      <c r="V94" s="103"/>
      <c r="W94" s="115"/>
      <c r="X94" s="351" t="str">
        <f t="shared" si="33"/>
        <v>England</v>
      </c>
      <c r="Y94" s="244" t="e">
        <f t="shared" si="34"/>
        <v>#N/A</v>
      </c>
      <c r="Z94" s="244" t="e">
        <f t="shared" si="35"/>
        <v>#N/A</v>
      </c>
      <c r="AA94" s="146"/>
      <c r="AB94" s="147"/>
      <c r="AC94" s="147"/>
      <c r="AD94" s="149"/>
      <c r="AH94" s="141"/>
      <c r="AJ94" s="121"/>
    </row>
    <row r="95" spans="1:53" s="61" customFormat="1" ht="12.75" customHeight="1">
      <c r="A95" s="88"/>
      <c r="B95" s="47"/>
      <c r="C95" s="47"/>
      <c r="D95" s="47"/>
      <c r="E95" s="47"/>
      <c r="F95" s="47"/>
      <c r="G95" s="47"/>
      <c r="H95" s="47"/>
      <c r="I95" s="68"/>
      <c r="J95" s="68"/>
      <c r="K95" s="129"/>
      <c r="L95" s="129"/>
      <c r="M95" s="129"/>
      <c r="N95" s="129"/>
      <c r="O95" s="129"/>
      <c r="P95" s="129"/>
      <c r="Q95" s="129"/>
      <c r="R95" s="130"/>
      <c r="S95" s="120"/>
      <c r="T95" s="131"/>
      <c r="U95" s="89"/>
      <c r="V95" s="103"/>
      <c r="W95" s="115"/>
      <c r="AA95" s="146"/>
      <c r="AB95" s="147"/>
      <c r="AC95" s="147"/>
      <c r="AD95" s="149"/>
      <c r="AH95" s="141"/>
      <c r="AJ95" s="121"/>
    </row>
    <row r="96" spans="1:53" s="61" customFormat="1" ht="12.75" customHeight="1">
      <c r="A96" s="88"/>
      <c r="B96" s="47"/>
      <c r="C96" s="47"/>
      <c r="D96" s="47"/>
      <c r="E96" s="47"/>
      <c r="F96" s="47"/>
      <c r="G96" s="47"/>
      <c r="H96" s="47"/>
      <c r="I96" s="68"/>
      <c r="J96" s="68"/>
      <c r="K96" s="129"/>
      <c r="L96" s="129"/>
      <c r="M96" s="129"/>
      <c r="N96" s="129"/>
      <c r="O96" s="129"/>
      <c r="P96" s="129"/>
      <c r="Q96" s="129"/>
      <c r="R96" s="130"/>
      <c r="S96" s="120"/>
      <c r="T96" s="131"/>
      <c r="U96" s="89"/>
      <c r="V96" s="103"/>
      <c r="W96" s="115"/>
      <c r="X96" s="56"/>
      <c r="Y96" s="56"/>
      <c r="Z96" s="56"/>
      <c r="AA96" s="146"/>
      <c r="AB96" s="147"/>
      <c r="AC96" s="147"/>
      <c r="AD96" s="149"/>
      <c r="AH96" s="56"/>
      <c r="AI96" s="52"/>
      <c r="AJ96" s="122"/>
      <c r="AK96" s="56"/>
      <c r="AL96" s="56"/>
      <c r="AM96" s="56"/>
      <c r="AN96" s="56"/>
      <c r="AO96" s="56"/>
      <c r="AP96" s="56"/>
      <c r="AQ96" s="56"/>
      <c r="AR96" s="56"/>
      <c r="AS96" s="56"/>
      <c r="AT96" s="56"/>
      <c r="AU96" s="56"/>
      <c r="AV96" s="56"/>
      <c r="AW96" s="56"/>
      <c r="AX96" s="56"/>
      <c r="AY96" s="56"/>
      <c r="AZ96" s="56"/>
      <c r="BA96" s="56"/>
    </row>
    <row r="97" spans="1:53" s="61" customFormat="1" ht="11.25" customHeight="1">
      <c r="A97" s="217"/>
      <c r="B97" s="47"/>
      <c r="C97" s="47"/>
      <c r="D97" s="47"/>
      <c r="E97" s="47"/>
      <c r="F97" s="47"/>
      <c r="G97" s="47"/>
      <c r="H97" s="47"/>
      <c r="I97" s="68"/>
      <c r="J97" s="68"/>
      <c r="K97" s="129"/>
      <c r="L97" s="129"/>
      <c r="M97" s="129"/>
      <c r="N97" s="129"/>
      <c r="O97" s="129"/>
      <c r="P97" s="129"/>
      <c r="Q97" s="129"/>
      <c r="R97" s="130"/>
      <c r="S97" s="120"/>
      <c r="T97" s="131"/>
      <c r="U97" s="89"/>
      <c r="V97" s="103"/>
      <c r="W97" s="115"/>
      <c r="X97" s="56"/>
      <c r="Y97" s="141"/>
      <c r="Z97" s="56"/>
      <c r="AA97" s="146"/>
      <c r="AB97" s="147"/>
      <c r="AC97" s="147"/>
      <c r="AD97" s="149"/>
      <c r="AH97" s="56"/>
      <c r="AI97" s="52"/>
      <c r="AJ97" s="122"/>
      <c r="AK97" s="56"/>
      <c r="AL97" s="56"/>
      <c r="AM97" s="56"/>
      <c r="AN97" s="56"/>
      <c r="AO97" s="56"/>
      <c r="AP97" s="56"/>
      <c r="AQ97" s="56"/>
      <c r="AR97" s="56"/>
      <c r="AS97" s="56"/>
      <c r="AT97" s="56"/>
      <c r="AU97" s="56"/>
      <c r="AV97" s="56"/>
      <c r="AW97" s="56"/>
      <c r="AX97" s="56"/>
      <c r="AY97" s="56"/>
      <c r="AZ97" s="56"/>
      <c r="BA97" s="56"/>
    </row>
    <row r="98" spans="1:53" s="56" customFormat="1" ht="35.450000000000003" customHeight="1">
      <c r="A98" s="166"/>
      <c r="B98" s="47"/>
      <c r="C98" s="47"/>
      <c r="D98" s="47"/>
      <c r="E98" s="47"/>
      <c r="F98" s="47"/>
      <c r="G98" s="47"/>
      <c r="H98" s="47"/>
      <c r="I98" s="171"/>
      <c r="J98" s="133"/>
      <c r="K98" s="133"/>
      <c r="L98" s="133"/>
      <c r="M98" s="133"/>
      <c r="N98" s="133"/>
      <c r="O98" s="133"/>
      <c r="P98" s="133"/>
      <c r="Q98" s="133"/>
      <c r="R98" s="101"/>
      <c r="S98" s="133"/>
      <c r="T98" s="133"/>
      <c r="U98" s="86"/>
      <c r="V98" s="102"/>
      <c r="W98" s="114"/>
      <c r="Y98" s="141"/>
      <c r="AC98" s="147"/>
      <c r="AD98" s="149"/>
      <c r="AE98" s="52"/>
      <c r="AF98" s="52"/>
      <c r="AG98" s="52"/>
      <c r="AI98" s="52"/>
      <c r="AJ98" s="122"/>
    </row>
    <row r="99" spans="1:53" s="56" customFormat="1" ht="35.450000000000003" customHeight="1">
      <c r="A99" s="166"/>
      <c r="B99" s="47"/>
      <c r="C99" s="47"/>
      <c r="D99" s="47"/>
      <c r="E99" s="47"/>
      <c r="F99" s="47"/>
      <c r="G99" s="47"/>
      <c r="H99" s="47"/>
      <c r="I99" s="171"/>
      <c r="J99" s="133"/>
      <c r="K99" s="133"/>
      <c r="L99" s="133"/>
      <c r="M99" s="133"/>
      <c r="N99" s="133"/>
      <c r="O99" s="133"/>
      <c r="P99" s="133"/>
      <c r="Q99" s="133"/>
      <c r="R99" s="101"/>
      <c r="S99" s="133"/>
      <c r="T99" s="133"/>
      <c r="U99" s="86"/>
      <c r="V99" s="102"/>
      <c r="W99" s="114"/>
      <c r="Y99" s="141"/>
      <c r="AD99" s="149"/>
      <c r="AE99" s="52"/>
      <c r="AF99" s="52"/>
      <c r="AG99" s="52"/>
      <c r="AI99" s="52"/>
      <c r="AJ99" s="119"/>
      <c r="AK99" s="52"/>
      <c r="AL99" s="52"/>
      <c r="AM99" s="52"/>
      <c r="AN99" s="52"/>
      <c r="AO99" s="52"/>
      <c r="AP99" s="52"/>
      <c r="AQ99" s="52"/>
    </row>
    <row r="100" spans="1:53" s="56" customFormat="1" ht="46.5" customHeight="1">
      <c r="A100" s="166"/>
      <c r="B100" s="171"/>
      <c r="C100" s="171"/>
      <c r="D100" s="171"/>
      <c r="E100" s="171"/>
      <c r="F100" s="171"/>
      <c r="G100" s="171"/>
      <c r="H100" s="171"/>
      <c r="I100" s="171"/>
      <c r="J100" s="133"/>
      <c r="K100" s="133"/>
      <c r="L100" s="133"/>
      <c r="M100" s="133"/>
      <c r="N100" s="133"/>
      <c r="O100" s="133"/>
      <c r="P100" s="133"/>
      <c r="Q100" s="133"/>
      <c r="R100" s="101"/>
      <c r="S100" s="133"/>
      <c r="T100" s="133"/>
      <c r="U100" s="86"/>
      <c r="V100" s="121"/>
      <c r="W100" s="114"/>
      <c r="X100" s="52"/>
      <c r="Y100" s="52"/>
      <c r="AD100" s="149"/>
      <c r="AE100" s="52"/>
      <c r="AF100" s="52"/>
      <c r="AG100" s="52"/>
      <c r="AJ100" s="122"/>
      <c r="AS100" s="52"/>
    </row>
    <row r="101" spans="1:53" s="56" customFormat="1" ht="7.5" customHeight="1">
      <c r="A101" s="87"/>
      <c r="B101" s="12"/>
      <c r="C101" s="12"/>
      <c r="D101" s="11"/>
      <c r="E101" s="11"/>
      <c r="F101" s="11"/>
      <c r="G101" s="11"/>
      <c r="H101" s="11"/>
      <c r="I101" s="11"/>
      <c r="J101" s="1"/>
      <c r="K101" s="13"/>
      <c r="L101" s="13"/>
      <c r="M101" s="13"/>
      <c r="N101" s="13"/>
      <c r="O101" s="13"/>
      <c r="P101" s="13"/>
      <c r="Q101" s="13"/>
      <c r="R101" s="13"/>
      <c r="S101" s="13"/>
      <c r="T101" s="14"/>
      <c r="U101" s="86"/>
      <c r="V101" s="185"/>
      <c r="W101" s="114"/>
      <c r="X101" s="52"/>
      <c r="Y101" s="52"/>
      <c r="AI101" s="52"/>
      <c r="AJ101" s="121"/>
      <c r="AK101" s="61"/>
      <c r="AS101" s="52"/>
    </row>
    <row r="102" spans="1:53" s="56" customFormat="1" ht="15" customHeight="1">
      <c r="A102" s="1565"/>
      <c r="B102" s="1751"/>
      <c r="C102" s="1751"/>
      <c r="D102" s="1751"/>
      <c r="E102" s="1751"/>
      <c r="F102" s="1751"/>
      <c r="G102" s="1751"/>
      <c r="H102" s="1751"/>
      <c r="I102" s="1751"/>
      <c r="J102" s="1751"/>
      <c r="K102" s="1751"/>
      <c r="L102" s="1751"/>
      <c r="M102" s="1751"/>
      <c r="N102" s="1751"/>
      <c r="O102" s="1751"/>
      <c r="P102" s="1751"/>
      <c r="Q102" s="1751"/>
      <c r="R102" s="1751"/>
      <c r="S102" s="1751"/>
      <c r="T102" s="1751"/>
      <c r="U102" s="1752"/>
      <c r="V102" s="185"/>
      <c r="W102" s="114"/>
      <c r="X102" s="52"/>
      <c r="Y102" s="52"/>
      <c r="AI102" s="52"/>
      <c r="AJ102" s="119"/>
      <c r="AK102" s="52"/>
      <c r="AL102" s="52"/>
      <c r="AM102" s="52"/>
      <c r="AN102" s="52"/>
      <c r="AO102" s="52"/>
      <c r="AP102" s="52"/>
      <c r="AQ102" s="52"/>
      <c r="AR102" s="52"/>
      <c r="AS102" s="52"/>
      <c r="AT102" s="52"/>
      <c r="AU102" s="52"/>
      <c r="AV102" s="52"/>
      <c r="AW102" s="52"/>
      <c r="AX102" s="52"/>
      <c r="AY102" s="52"/>
      <c r="AZ102" s="52"/>
      <c r="BA102" s="52"/>
    </row>
    <row r="103" spans="1:53" s="56" customFormat="1" ht="11.1" customHeight="1">
      <c r="A103" s="1739"/>
      <c r="B103" s="1740"/>
      <c r="C103" s="1740"/>
      <c r="D103" s="1740"/>
      <c r="E103" s="1740"/>
      <c r="F103" s="1740"/>
      <c r="G103" s="1740"/>
      <c r="H103" s="1740"/>
      <c r="I103" s="1741"/>
      <c r="J103" s="1740"/>
      <c r="K103" s="1740"/>
      <c r="L103" s="1740"/>
      <c r="M103" s="1740"/>
      <c r="N103" s="1740"/>
      <c r="O103" s="1740"/>
      <c r="P103" s="1742"/>
      <c r="Q103" s="1740"/>
      <c r="R103" s="1740"/>
      <c r="S103" s="1741"/>
      <c r="T103" s="1740"/>
      <c r="U103" s="1743"/>
      <c r="V103" s="185"/>
      <c r="W103" s="114"/>
      <c r="X103" s="52"/>
      <c r="Y103" s="52"/>
      <c r="AH103" s="52"/>
      <c r="AI103" s="52"/>
      <c r="AJ103" s="119"/>
      <c r="AK103" s="52"/>
      <c r="AL103" s="52"/>
      <c r="AM103" s="52"/>
      <c r="AN103" s="52"/>
      <c r="AO103" s="52"/>
      <c r="AP103" s="52"/>
      <c r="AQ103" s="52"/>
      <c r="AR103" s="52"/>
      <c r="AS103" s="52"/>
      <c r="AT103" s="52"/>
      <c r="AU103" s="52"/>
      <c r="AV103" s="52"/>
      <c r="AW103" s="52"/>
      <c r="AX103" s="52"/>
      <c r="AY103" s="52"/>
      <c r="AZ103" s="52"/>
      <c r="BA103" s="52"/>
    </row>
    <row r="104" spans="1:53" ht="10.5" customHeight="1">
      <c r="A104" s="81"/>
      <c r="B104" s="82"/>
      <c r="C104" s="82"/>
      <c r="D104" s="82"/>
      <c r="E104" s="82"/>
      <c r="F104" s="82"/>
      <c r="G104" s="82"/>
      <c r="H104" s="82"/>
      <c r="I104" s="82"/>
      <c r="J104" s="83"/>
      <c r="K104" s="82"/>
      <c r="L104" s="82"/>
      <c r="M104" s="82"/>
      <c r="N104" s="82"/>
      <c r="O104" s="82"/>
      <c r="P104" s="82"/>
      <c r="Q104" s="82"/>
      <c r="R104" s="82"/>
      <c r="S104" s="82"/>
      <c r="T104" s="82"/>
      <c r="U104" s="84"/>
      <c r="V104" s="102"/>
      <c r="W104" s="114"/>
      <c r="X104" s="52"/>
      <c r="Y104" s="52"/>
      <c r="AJ104" s="119"/>
    </row>
    <row r="105" spans="1:53" ht="18.75" customHeight="1">
      <c r="A105" s="87"/>
      <c r="B105" s="1887" t="s">
        <v>612</v>
      </c>
      <c r="C105" s="1887"/>
      <c r="D105" s="1887"/>
      <c r="E105" s="1887"/>
      <c r="F105" s="1887"/>
      <c r="G105" s="1887"/>
      <c r="H105" s="1887"/>
      <c r="I105" s="1887"/>
      <c r="J105" s="50"/>
      <c r="K105" s="50"/>
      <c r="L105" s="50"/>
      <c r="M105" s="50"/>
      <c r="N105" s="224"/>
      <c r="O105" s="50"/>
      <c r="P105" s="50"/>
      <c r="Q105" s="50"/>
      <c r="R105" s="50"/>
      <c r="S105" s="50"/>
      <c r="T105" s="50"/>
      <c r="U105" s="86"/>
      <c r="V105" s="102"/>
      <c r="W105" s="114"/>
      <c r="X105" s="52"/>
      <c r="Y105" s="52"/>
      <c r="AE105" s="52"/>
      <c r="AF105" s="52"/>
      <c r="AG105" s="52"/>
      <c r="AJ105" s="119"/>
    </row>
    <row r="106" spans="1:53" ht="18.75" customHeight="1">
      <c r="A106" s="87"/>
      <c r="B106" s="1887"/>
      <c r="C106" s="1887"/>
      <c r="D106" s="1887"/>
      <c r="E106" s="1887"/>
      <c r="F106" s="1887"/>
      <c r="G106" s="1887"/>
      <c r="H106" s="1887"/>
      <c r="I106" s="1887"/>
      <c r="J106" s="50"/>
      <c r="K106" s="50"/>
      <c r="L106" s="50"/>
      <c r="M106" s="50"/>
      <c r="N106" s="224"/>
      <c r="O106" s="50"/>
      <c r="P106" s="50"/>
      <c r="Q106" s="50"/>
      <c r="R106" s="5"/>
      <c r="S106" s="50"/>
      <c r="T106" s="50"/>
      <c r="U106" s="86"/>
      <c r="V106" s="102"/>
      <c r="W106" s="114"/>
      <c r="X106" s="52"/>
      <c r="Y106" s="52"/>
      <c r="AH106" s="141"/>
      <c r="AI106" s="61"/>
      <c r="AJ106" s="121"/>
      <c r="AK106" s="61"/>
      <c r="AL106" s="61"/>
      <c r="AM106" s="61"/>
      <c r="AN106" s="61"/>
      <c r="AO106" s="61"/>
      <c r="AP106" s="61"/>
      <c r="AQ106" s="61"/>
      <c r="AR106" s="61"/>
      <c r="AS106" s="61"/>
      <c r="AT106" s="61"/>
      <c r="AU106" s="61"/>
      <c r="AV106" s="61"/>
      <c r="AW106" s="61"/>
      <c r="AX106" s="61"/>
      <c r="AY106" s="61"/>
      <c r="AZ106" s="61"/>
      <c r="BA106" s="61"/>
    </row>
    <row r="107" spans="1:53" ht="16.5" customHeight="1">
      <c r="A107" s="208"/>
      <c r="B107" s="1749" t="s">
        <v>177</v>
      </c>
      <c r="C107" s="1175"/>
      <c r="D107" s="1088" t="str">
        <f>ReportData!$D$27</f>
        <v>2019/20</v>
      </c>
      <c r="E107" s="1088" t="str">
        <f>ReportData!$E$27</f>
        <v>2020/21</v>
      </c>
      <c r="F107" s="1088" t="str">
        <f>ReportData!$F$27</f>
        <v>2021/22</v>
      </c>
      <c r="G107" s="1088" t="str">
        <f>ReportData!$G$27</f>
        <v>2022/23</v>
      </c>
      <c r="H107" s="1089" t="str">
        <f>ReportData!$H$27</f>
        <v>2023/24</v>
      </c>
      <c r="I107" s="525"/>
      <c r="J107" s="50"/>
      <c r="K107" s="50"/>
      <c r="L107" s="50"/>
      <c r="M107" s="50"/>
      <c r="N107" s="224"/>
      <c r="O107" s="50"/>
      <c r="P107" s="50"/>
      <c r="Q107" s="50"/>
      <c r="R107" s="5"/>
      <c r="S107" s="50"/>
      <c r="T107" s="50"/>
      <c r="U107" s="86"/>
      <c r="V107" s="102"/>
      <c r="W107" s="114"/>
      <c r="X107" s="52"/>
      <c r="Y107" s="52"/>
      <c r="AH107" s="141"/>
      <c r="AI107" s="61"/>
      <c r="AJ107" s="121"/>
      <c r="AK107" s="61"/>
      <c r="AL107" s="61"/>
      <c r="AM107" s="61"/>
      <c r="AN107" s="61"/>
      <c r="AO107" s="61"/>
      <c r="AP107" s="61"/>
      <c r="AQ107" s="61"/>
      <c r="AR107" s="61"/>
      <c r="AS107" s="61"/>
      <c r="AT107" s="61"/>
      <c r="AU107" s="61"/>
      <c r="AV107" s="61"/>
      <c r="AW107" s="61"/>
      <c r="AX107" s="61"/>
      <c r="AY107" s="61"/>
      <c r="AZ107" s="61"/>
      <c r="BA107" s="61"/>
    </row>
    <row r="108" spans="1:53" s="61" customFormat="1" ht="17.25" customHeight="1">
      <c r="A108" s="88"/>
      <c r="B108" s="1750"/>
      <c r="C108" s="896"/>
      <c r="D108" s="897" t="e">
        <f>ReportData!$D$28</f>
        <v>#N/A</v>
      </c>
      <c r="E108" s="897" t="e">
        <f>ReportData!$E$28</f>
        <v>#N/A</v>
      </c>
      <c r="F108" s="897" t="e">
        <f>ReportData!$F$28</f>
        <v>#N/A</v>
      </c>
      <c r="G108" s="897" t="e">
        <f>ReportData!$G$28</f>
        <v>#N/A</v>
      </c>
      <c r="H108" s="920" t="e">
        <f>ReportData!$H$28</f>
        <v>#N/A</v>
      </c>
      <c r="I108" s="68"/>
      <c r="J108" s="68"/>
      <c r="K108" s="43"/>
      <c r="L108" s="43"/>
      <c r="M108" s="43"/>
      <c r="N108" s="43"/>
      <c r="O108" s="43"/>
      <c r="P108" s="43"/>
      <c r="Q108" s="225"/>
      <c r="R108" s="225"/>
      <c r="S108" s="120"/>
      <c r="T108" s="226"/>
      <c r="U108" s="89"/>
      <c r="V108" s="103"/>
      <c r="W108" s="115"/>
      <c r="X108" s="52"/>
      <c r="Y108" s="52"/>
      <c r="Z108" s="56"/>
      <c r="AA108" s="56"/>
      <c r="AB108" s="56"/>
      <c r="AC108" s="56"/>
      <c r="AD108" s="56"/>
      <c r="AE108" s="141"/>
      <c r="AF108" s="141"/>
      <c r="AG108" s="141"/>
      <c r="AH108" s="141"/>
      <c r="AJ108" s="121"/>
    </row>
    <row r="109" spans="1:53" s="61" customFormat="1" ht="13.5" customHeight="1">
      <c r="A109" s="306">
        <f>VLOOKUP(B109,ReportData!$AQ$4:$AR$25,2,FALSE)</f>
        <v>0</v>
      </c>
      <c r="B109" s="885" t="str">
        <f t="shared" ref="B109:B129" si="36">B11</f>
        <v>Bracknell Forest</v>
      </c>
      <c r="C109" s="896"/>
      <c r="D109" s="922">
        <f>IF(AND(ISNUMBER(D11),ISNUMBER('Section 47 Enquiries'!D11)),D11/'Section 47 Enquiries'!D11,NA())</f>
        <v>0.3141809290953545</v>
      </c>
      <c r="E109" s="922">
        <f>IF(AND(ISNUMBER(E11),ISNUMBER('Section 47 Enquiries'!E11)),E11/'Section 47 Enquiries'!E11,NA())</f>
        <v>0.30424799081515497</v>
      </c>
      <c r="F109" s="922">
        <f>IF(AND(ISNUMBER(F11),ISNUMBER('Section 47 Enquiries'!F11)),F11/'Section 47 Enquiries'!F11,NA())</f>
        <v>0.32167832167832167</v>
      </c>
      <c r="G109" s="922">
        <f>IF(AND(ISNUMBER(G11),ISNUMBER('Section 47 Enquiries'!G11)),G11/'Section 47 Enquiries'!G11,NA())</f>
        <v>0.28521536670547148</v>
      </c>
      <c r="H109" s="923">
        <f>IF(AND(ISNUMBER(H11),ISNUMBER('Section 47 Enquiries'!H11)),H11/'Section 47 Enquiries'!H11,NA())</f>
        <v>0.1991404011461318</v>
      </c>
      <c r="I109" s="68"/>
      <c r="J109" s="68"/>
      <c r="K109" s="127"/>
      <c r="L109" s="127"/>
      <c r="M109" s="127"/>
      <c r="N109" s="127"/>
      <c r="O109" s="127"/>
      <c r="P109" s="127"/>
      <c r="Q109" s="127"/>
      <c r="R109" s="128"/>
      <c r="S109" s="120"/>
      <c r="T109" s="127"/>
      <c r="U109" s="89"/>
      <c r="V109" s="103"/>
      <c r="W109" s="115"/>
      <c r="X109" s="52"/>
      <c r="Y109" s="52"/>
      <c r="Z109" s="56"/>
      <c r="AA109" s="56"/>
      <c r="AB109" s="56"/>
      <c r="AC109" s="56"/>
      <c r="AD109" s="56"/>
      <c r="AE109" s="141"/>
      <c r="AF109" s="141"/>
      <c r="AG109" s="141"/>
      <c r="AH109" s="141"/>
      <c r="AJ109" s="121"/>
    </row>
    <row r="110" spans="1:53" s="61" customFormat="1" ht="13.5" customHeight="1">
      <c r="A110" s="306">
        <f>VLOOKUP(B110,ReportData!$AQ$4:$AR$25,2,FALSE)</f>
        <v>0</v>
      </c>
      <c r="B110" s="885" t="str">
        <f t="shared" si="36"/>
        <v>Brighton &amp; Hove</v>
      </c>
      <c r="C110" s="896"/>
      <c r="D110" s="922">
        <f>IF(AND(ISNUMBER(D12),ISNUMBER('Section 47 Enquiries'!D12)),D12/'Section 47 Enquiries'!D12,NA())</f>
        <v>0.55213270142180093</v>
      </c>
      <c r="E110" s="922">
        <f>IF(AND(ISNUMBER(E12),ISNUMBER('Section 47 Enquiries'!E12)),E12/'Section 47 Enquiries'!E12,NA())</f>
        <v>0.48711340206185566</v>
      </c>
      <c r="F110" s="922">
        <f>IF(AND(ISNUMBER(F12),ISNUMBER('Section 47 Enquiries'!F12)),F12/'Section 47 Enquiries'!F12,NA())</f>
        <v>0.48088779284833538</v>
      </c>
      <c r="G110" s="922">
        <f>IF(AND(ISNUMBER(G12),ISNUMBER('Section 47 Enquiries'!G12)),G12/'Section 47 Enquiries'!G12,NA())</f>
        <v>0.3318544809228039</v>
      </c>
      <c r="H110" s="923">
        <f>IF(AND(ISNUMBER(H12),ISNUMBER('Section 47 Enquiries'!H12)),H12/'Section 47 Enquiries'!H12,NA())</f>
        <v>0.28022875816993464</v>
      </c>
      <c r="I110" s="68"/>
      <c r="J110" s="68"/>
      <c r="K110" s="127"/>
      <c r="L110" s="127"/>
      <c r="M110" s="127"/>
      <c r="N110" s="127"/>
      <c r="O110" s="127"/>
      <c r="P110" s="127"/>
      <c r="Q110" s="127"/>
      <c r="R110" s="128"/>
      <c r="S110" s="120"/>
      <c r="T110" s="127"/>
      <c r="U110" s="89"/>
      <c r="V110" s="103"/>
      <c r="W110" s="115"/>
      <c r="X110" s="52"/>
      <c r="Y110" s="52"/>
      <c r="Z110" s="56"/>
      <c r="AA110" s="56"/>
      <c r="AB110" s="56"/>
      <c r="AC110" s="56"/>
      <c r="AD110" s="56"/>
      <c r="AE110" s="141"/>
      <c r="AF110" s="141"/>
      <c r="AG110" s="141"/>
      <c r="AH110" s="141"/>
      <c r="AJ110" s="121"/>
    </row>
    <row r="111" spans="1:53" s="61" customFormat="1" ht="13.5" customHeight="1">
      <c r="A111" s="306">
        <f>VLOOKUP(B111,ReportData!$AQ$4:$AR$25,2,FALSE)</f>
        <v>0</v>
      </c>
      <c r="B111" s="885" t="str">
        <f t="shared" si="36"/>
        <v>Buckinghamshire</v>
      </c>
      <c r="C111" s="896"/>
      <c r="D111" s="922">
        <f>IF(AND(ISNUMBER(D13),ISNUMBER('Section 47 Enquiries'!D13)),D13/'Section 47 Enquiries'!D13,NA())</f>
        <v>0.35501242750621376</v>
      </c>
      <c r="E111" s="922">
        <f>IF(AND(ISNUMBER(E13),ISNUMBER('Section 47 Enquiries'!E13)),E13/'Section 47 Enquiries'!E13,NA())</f>
        <v>0.2795436022819886</v>
      </c>
      <c r="F111" s="922">
        <f>IF(AND(ISNUMBER(F13),ISNUMBER('Section 47 Enquiries'!F13)),F13/'Section 47 Enquiries'!F13,NA())</f>
        <v>0.29378689907225192</v>
      </c>
      <c r="G111" s="922">
        <f>IF(AND(ISNUMBER(G13),ISNUMBER('Section 47 Enquiries'!G13)),G13/'Section 47 Enquiries'!G13,NA())</f>
        <v>0.24982456140350878</v>
      </c>
      <c r="H111" s="923">
        <f>IF(AND(ISNUMBER(H13),ISNUMBER('Section 47 Enquiries'!H13)),H13/'Section 47 Enquiries'!H13,NA())</f>
        <v>0.23849834376150167</v>
      </c>
      <c r="I111" s="68"/>
      <c r="J111" s="68"/>
      <c r="K111" s="127"/>
      <c r="L111" s="127"/>
      <c r="M111" s="127"/>
      <c r="N111" s="127"/>
      <c r="O111" s="127"/>
      <c r="P111" s="127"/>
      <c r="Q111" s="127"/>
      <c r="R111" s="128"/>
      <c r="S111" s="120"/>
      <c r="T111" s="127"/>
      <c r="U111" s="89"/>
      <c r="V111" s="103"/>
      <c r="W111" s="115"/>
      <c r="X111" s="52"/>
      <c r="Y111" s="52"/>
      <c r="Z111" s="56"/>
      <c r="AA111" s="56"/>
      <c r="AB111" s="56"/>
      <c r="AC111" s="56"/>
      <c r="AD111" s="56"/>
      <c r="AE111" s="141"/>
      <c r="AF111" s="141"/>
      <c r="AG111" s="141"/>
      <c r="AH111" s="141"/>
      <c r="AJ111" s="121"/>
    </row>
    <row r="112" spans="1:53" s="61" customFormat="1" ht="13.5" customHeight="1">
      <c r="A112" s="306">
        <f>VLOOKUP(B112,ReportData!$AQ$4:$AR$25,2,FALSE)</f>
        <v>0</v>
      </c>
      <c r="B112" s="885" t="str">
        <f t="shared" si="36"/>
        <v>East Sussex</v>
      </c>
      <c r="C112" s="896"/>
      <c r="D112" s="922">
        <f>IF(AND(ISNUMBER(D14),ISNUMBER('Section 47 Enquiries'!D14)),D14/'Section 47 Enquiries'!D14,NA())</f>
        <v>0.5161532682193839</v>
      </c>
      <c r="E112" s="922">
        <f>IF(AND(ISNUMBER(E14),ISNUMBER('Section 47 Enquiries'!E14)),E14/'Section 47 Enquiries'!E14,NA())</f>
        <v>0.44596199524940616</v>
      </c>
      <c r="F112" s="922">
        <f>IF(AND(ISNUMBER(F14),ISNUMBER('Section 47 Enquiries'!F14)),F14/'Section 47 Enquiries'!F14,NA())</f>
        <v>0.43268628678772697</v>
      </c>
      <c r="G112" s="922">
        <f>IF(AND(ISNUMBER(G14),ISNUMBER('Section 47 Enquiries'!G14)),G14/'Section 47 Enquiries'!G14,NA())</f>
        <v>0.59839650145772594</v>
      </c>
      <c r="H112" s="923">
        <f>IF(AND(ISNUMBER(H14),ISNUMBER('Section 47 Enquiries'!H14)),H14/'Section 47 Enquiries'!H14,NA())</f>
        <v>0.64807541241162603</v>
      </c>
      <c r="I112" s="68"/>
      <c r="J112" s="68"/>
      <c r="K112" s="127"/>
      <c r="L112" s="127"/>
      <c r="M112" s="127"/>
      <c r="N112" s="127"/>
      <c r="O112" s="127"/>
      <c r="P112" s="127"/>
      <c r="Q112" s="127"/>
      <c r="R112" s="128"/>
      <c r="S112" s="120"/>
      <c r="T112" s="127"/>
      <c r="U112" s="89"/>
      <c r="V112" s="103"/>
      <c r="W112" s="115"/>
      <c r="X112" s="52"/>
      <c r="Y112" s="52"/>
      <c r="Z112" s="56"/>
      <c r="AA112" s="56"/>
      <c r="AB112" s="56"/>
      <c r="AC112" s="56"/>
      <c r="AD112" s="56"/>
      <c r="AE112" s="141"/>
      <c r="AF112" s="141"/>
      <c r="AG112" s="141"/>
      <c r="AH112" s="141"/>
      <c r="AJ112" s="121"/>
      <c r="AR112" s="61" t="s">
        <v>95</v>
      </c>
    </row>
    <row r="113" spans="1:36" s="61" customFormat="1" ht="13.5" customHeight="1">
      <c r="A113" s="306">
        <f>VLOOKUP(B113,ReportData!$AQ$4:$AR$25,2,FALSE)</f>
        <v>0</v>
      </c>
      <c r="B113" s="885" t="str">
        <f t="shared" si="36"/>
        <v>Hampshire</v>
      </c>
      <c r="C113" s="896"/>
      <c r="D113" s="922">
        <f>IF(AND(ISNUMBER(D15),ISNUMBER('Section 47 Enquiries'!D15)),D15/'Section 47 Enquiries'!D15,NA())</f>
        <v>0.31479642502482624</v>
      </c>
      <c r="E113" s="922">
        <f>IF(AND(ISNUMBER(E15),ISNUMBER('Section 47 Enquiries'!E15)),E15/'Section 47 Enquiries'!E15,NA())</f>
        <v>0.28191137566137564</v>
      </c>
      <c r="F113" s="922">
        <f>IF(AND(ISNUMBER(F15),ISNUMBER('Section 47 Enquiries'!F15)),F15/'Section 47 Enquiries'!F15,NA())</f>
        <v>0.20558631102164066</v>
      </c>
      <c r="G113" s="922">
        <f>IF(AND(ISNUMBER(G15),ISNUMBER('Section 47 Enquiries'!G15)),G15/'Section 47 Enquiries'!G15,NA())</f>
        <v>0.19717976063514633</v>
      </c>
      <c r="H113" s="923" t="e">
        <f>IF(AND(ISNUMBER(H15),ISNUMBER('Section 47 Enquiries'!H15)),H15/'Section 47 Enquiries'!H15,NA())</f>
        <v>#N/A</v>
      </c>
      <c r="I113" s="68"/>
      <c r="J113" s="68"/>
      <c r="K113" s="127"/>
      <c r="L113" s="127"/>
      <c r="M113" s="127"/>
      <c r="N113" s="127"/>
      <c r="O113" s="127"/>
      <c r="P113" s="127"/>
      <c r="Q113" s="127"/>
      <c r="R113" s="128"/>
      <c r="S113" s="120"/>
      <c r="T113" s="127"/>
      <c r="U113" s="89"/>
      <c r="V113" s="103"/>
      <c r="W113" s="115"/>
      <c r="X113" s="52"/>
      <c r="Y113" s="52"/>
      <c r="Z113" s="56"/>
      <c r="AA113" s="56"/>
      <c r="AB113" s="56"/>
      <c r="AC113" s="56"/>
      <c r="AD113" s="56"/>
      <c r="AE113" s="141"/>
      <c r="AF113" s="141"/>
      <c r="AG113" s="141"/>
      <c r="AH113" s="141"/>
      <c r="AJ113" s="121"/>
    </row>
    <row r="114" spans="1:36" s="61" customFormat="1" ht="13.5" customHeight="1">
      <c r="A114" s="306">
        <f>VLOOKUP(B114,ReportData!$AQ$4:$AR$25,2,FALSE)</f>
        <v>0</v>
      </c>
      <c r="B114" s="885" t="str">
        <f t="shared" si="36"/>
        <v>Isle of Wight</v>
      </c>
      <c r="C114" s="896"/>
      <c r="D114" s="922">
        <f>IF(AND(ISNUMBER(D16),ISNUMBER('Section 47 Enquiries'!D16)),D16/'Section 47 Enquiries'!D16,NA())</f>
        <v>0.24024960998439937</v>
      </c>
      <c r="E114" s="922">
        <f>IF(AND(ISNUMBER(E16),ISNUMBER('Section 47 Enquiries'!E16)),E16/'Section 47 Enquiries'!E16,NA())</f>
        <v>0.28908886389201349</v>
      </c>
      <c r="F114" s="922">
        <f>IF(AND(ISNUMBER(F16),ISNUMBER('Section 47 Enquiries'!F16)),F16/'Section 47 Enquiries'!F16,NA())</f>
        <v>0.27345309381237526</v>
      </c>
      <c r="G114" s="922">
        <f>IF(AND(ISNUMBER(G16),ISNUMBER('Section 47 Enquiries'!G16)),G16/'Section 47 Enquiries'!G16,NA())</f>
        <v>0.30082796688132474</v>
      </c>
      <c r="H114" s="923">
        <f>IF(AND(ISNUMBER(H16),ISNUMBER('Section 47 Enquiries'!H16)),H16/'Section 47 Enquiries'!H16,NA())</f>
        <v>0.23670668953687821</v>
      </c>
      <c r="I114" s="68"/>
      <c r="J114" s="68"/>
      <c r="K114" s="127"/>
      <c r="L114" s="127"/>
      <c r="M114" s="127"/>
      <c r="N114" s="127"/>
      <c r="O114" s="127"/>
      <c r="P114" s="127"/>
      <c r="Q114" s="127"/>
      <c r="R114" s="128"/>
      <c r="S114" s="120"/>
      <c r="T114" s="127"/>
      <c r="U114" s="89"/>
      <c r="V114" s="103"/>
      <c r="W114" s="115"/>
      <c r="X114" s="52"/>
      <c r="Y114" s="52"/>
      <c r="Z114" s="56"/>
      <c r="AA114" s="56"/>
      <c r="AB114" s="56"/>
      <c r="AC114" s="56"/>
      <c r="AD114" s="56"/>
      <c r="AE114" s="141"/>
      <c r="AF114" s="141"/>
      <c r="AG114" s="141"/>
      <c r="AH114" s="141"/>
      <c r="AJ114" s="121"/>
    </row>
    <row r="115" spans="1:36" s="61" customFormat="1" ht="13.5" customHeight="1">
      <c r="A115" s="306">
        <f>VLOOKUP(B115,ReportData!$AQ$4:$AR$25,2,FALSE)</f>
        <v>0</v>
      </c>
      <c r="B115" s="885" t="str">
        <f t="shared" si="36"/>
        <v>Kent</v>
      </c>
      <c r="C115" s="896"/>
      <c r="D115" s="922">
        <f>IF(AND(ISNUMBER(D17),ISNUMBER('Section 47 Enquiries'!D17)),D17/'Section 47 Enquiries'!D17,NA())</f>
        <v>0.25778651345630482</v>
      </c>
      <c r="E115" s="922">
        <f>IF(AND(ISNUMBER(E17),ISNUMBER('Section 47 Enquiries'!E17)),E17/'Section 47 Enquiries'!E17,NA())</f>
        <v>0.25988896599583622</v>
      </c>
      <c r="F115" s="922">
        <f>IF(AND(ISNUMBER(F17),ISNUMBER('Section 47 Enquiries'!F17)),F17/'Section 47 Enquiries'!F17,NA())</f>
        <v>0.25519109238639781</v>
      </c>
      <c r="G115" s="922">
        <f>IF(AND(ISNUMBER(G17),ISNUMBER('Section 47 Enquiries'!G17)),G17/'Section 47 Enquiries'!G17,NA())</f>
        <v>0.24542326221610461</v>
      </c>
      <c r="H115" s="923">
        <f>IF(AND(ISNUMBER(H17),ISNUMBER('Section 47 Enquiries'!H17)),H17/'Section 47 Enquiries'!H17,NA())</f>
        <v>0.21229050279329609</v>
      </c>
      <c r="I115" s="68"/>
      <c r="J115" s="68"/>
      <c r="K115" s="127"/>
      <c r="L115" s="127"/>
      <c r="M115" s="127"/>
      <c r="N115" s="127"/>
      <c r="O115" s="127"/>
      <c r="P115" s="127"/>
      <c r="Q115" s="127"/>
      <c r="R115" s="128"/>
      <c r="S115" s="120"/>
      <c r="T115" s="127"/>
      <c r="U115" s="89"/>
      <c r="V115" s="103"/>
      <c r="W115" s="115"/>
      <c r="X115" s="52"/>
      <c r="Y115" s="52"/>
      <c r="Z115" s="56"/>
      <c r="AA115" s="56"/>
      <c r="AB115" s="56"/>
      <c r="AC115" s="56"/>
      <c r="AD115" s="56"/>
      <c r="AE115" s="141"/>
      <c r="AF115" s="141"/>
      <c r="AG115" s="141"/>
      <c r="AH115" s="141"/>
      <c r="AJ115" s="121"/>
    </row>
    <row r="116" spans="1:36" s="61" customFormat="1" ht="13.5" customHeight="1">
      <c r="A116" s="306">
        <f>VLOOKUP(B116,ReportData!$AQ$4:$AR$25,2,FALSE)</f>
        <v>0</v>
      </c>
      <c r="B116" s="885" t="str">
        <f t="shared" si="36"/>
        <v>Medway</v>
      </c>
      <c r="C116" s="896"/>
      <c r="D116" s="922">
        <f>IF(AND(ISNUMBER(D18),ISNUMBER('Section 47 Enquiries'!D18)),D18/'Section 47 Enquiries'!D18,NA())</f>
        <v>0.37619853355893967</v>
      </c>
      <c r="E116" s="922">
        <f>IF(AND(ISNUMBER(E18),ISNUMBER('Section 47 Enquiries'!E18)),E18/'Section 47 Enquiries'!E18,NA())</f>
        <v>0.20826833073322934</v>
      </c>
      <c r="F116" s="922">
        <f>IF(AND(ISNUMBER(F18),ISNUMBER('Section 47 Enquiries'!F18)),F18/'Section 47 Enquiries'!F18,NA())</f>
        <v>0.25679012345679014</v>
      </c>
      <c r="G116" s="922">
        <f>IF(AND(ISNUMBER(G18),ISNUMBER('Section 47 Enquiries'!G18)),G18/'Section 47 Enquiries'!G18,NA())</f>
        <v>0.26685878962536025</v>
      </c>
      <c r="H116" s="923">
        <f>IF(AND(ISNUMBER(H18),ISNUMBER('Section 47 Enquiries'!H18)),H18/'Section 47 Enquiries'!H18,NA())</f>
        <v>0.23643603782976605</v>
      </c>
      <c r="I116" s="68"/>
      <c r="J116" s="68"/>
      <c r="K116" s="127"/>
      <c r="L116" s="127"/>
      <c r="M116" s="127"/>
      <c r="N116" s="127"/>
      <c r="O116" s="127"/>
      <c r="P116" s="127"/>
      <c r="Q116" s="127"/>
      <c r="R116" s="128"/>
      <c r="S116" s="120"/>
      <c r="T116" s="127"/>
      <c r="U116" s="89"/>
      <c r="V116" s="103"/>
      <c r="W116" s="115"/>
      <c r="X116" s="52"/>
      <c r="Y116" s="52"/>
      <c r="Z116" s="56"/>
      <c r="AA116" s="56"/>
      <c r="AB116" s="56"/>
      <c r="AC116" s="56"/>
      <c r="AD116" s="56"/>
      <c r="AE116" s="141"/>
      <c r="AF116" s="141"/>
      <c r="AG116" s="141"/>
      <c r="AH116" s="141"/>
      <c r="AJ116" s="121"/>
    </row>
    <row r="117" spans="1:36" s="61" customFormat="1" ht="13.5" customHeight="1">
      <c r="A117" s="306">
        <f>VLOOKUP(B117,ReportData!$AQ$4:$AR$25,2,FALSE)</f>
        <v>0</v>
      </c>
      <c r="B117" s="885" t="str">
        <f t="shared" si="36"/>
        <v>Milton Keynes</v>
      </c>
      <c r="C117" s="896"/>
      <c r="D117" s="922">
        <f>IF(AND(ISNUMBER(D19),ISNUMBER('Section 47 Enquiries'!D19)),D19/'Section 47 Enquiries'!D19,NA())</f>
        <v>0.32190942472460221</v>
      </c>
      <c r="E117" s="922">
        <f>IF(AND(ISNUMBER(E19),ISNUMBER('Section 47 Enquiries'!E19)),E19/'Section 47 Enquiries'!E19,NA())</f>
        <v>0.25994180407371487</v>
      </c>
      <c r="F117" s="922">
        <f>IF(AND(ISNUMBER(F19),ISNUMBER('Section 47 Enquiries'!F19)),F19/'Section 47 Enquiries'!F19,NA())</f>
        <v>0.28185328185328185</v>
      </c>
      <c r="G117" s="922">
        <f>IF(AND(ISNUMBER(G19),ISNUMBER('Section 47 Enquiries'!G19)),G19/'Section 47 Enquiries'!G19,NA())</f>
        <v>0.29826166514181152</v>
      </c>
      <c r="H117" s="923">
        <f>IF(AND(ISNUMBER(H19),ISNUMBER('Section 47 Enquiries'!H19)),H19/'Section 47 Enquiries'!H19,NA())</f>
        <v>0.27594728171334432</v>
      </c>
      <c r="I117" s="68"/>
      <c r="J117" s="68"/>
      <c r="K117" s="127"/>
      <c r="L117" s="127"/>
      <c r="M117" s="127"/>
      <c r="N117" s="127"/>
      <c r="O117" s="127"/>
      <c r="P117" s="127"/>
      <c r="Q117" s="127"/>
      <c r="R117" s="128"/>
      <c r="S117" s="120"/>
      <c r="T117" s="127"/>
      <c r="U117" s="89"/>
      <c r="V117" s="103"/>
      <c r="W117" s="115"/>
      <c r="X117" s="52"/>
      <c r="Y117" s="52"/>
      <c r="Z117" s="56"/>
      <c r="AA117" s="56"/>
      <c r="AB117" s="56"/>
      <c r="AC117" s="56"/>
      <c r="AD117" s="56"/>
      <c r="AE117" s="141"/>
      <c r="AF117" s="141"/>
      <c r="AG117" s="141"/>
      <c r="AH117" s="141"/>
      <c r="AJ117" s="121"/>
    </row>
    <row r="118" spans="1:36" s="61" customFormat="1" ht="13.5" customHeight="1">
      <c r="A118" s="306">
        <f>VLOOKUP(B118,ReportData!$AQ$4:$AR$25,2,FALSE)</f>
        <v>0</v>
      </c>
      <c r="B118" s="885" t="str">
        <f t="shared" si="36"/>
        <v>Oxfordshire</v>
      </c>
      <c r="C118" s="896"/>
      <c r="D118" s="922">
        <f>IF(AND(ISNUMBER(D20),ISNUMBER('Section 47 Enquiries'!D20)),D20/'Section 47 Enquiries'!D20,NA())</f>
        <v>0.45459317585301839</v>
      </c>
      <c r="E118" s="922">
        <f>IF(AND(ISNUMBER(E20),ISNUMBER('Section 47 Enquiries'!E20)),E20/'Section 47 Enquiries'!E20,NA())</f>
        <v>0.44027303754266212</v>
      </c>
      <c r="F118" s="922">
        <f>IF(AND(ISNUMBER(F20),ISNUMBER('Section 47 Enquiries'!F20)),F20/'Section 47 Enquiries'!F20,NA())</f>
        <v>0.40522243713733075</v>
      </c>
      <c r="G118" s="922">
        <f>IF(AND(ISNUMBER(G20),ISNUMBER('Section 47 Enquiries'!G20)),G20/'Section 47 Enquiries'!G20,NA())</f>
        <v>0.38750587130108033</v>
      </c>
      <c r="H118" s="923">
        <f>IF(AND(ISNUMBER(H20),ISNUMBER('Section 47 Enquiries'!H20)),H20/'Section 47 Enquiries'!H20,NA())</f>
        <v>0.39935587761674718</v>
      </c>
      <c r="I118" s="68"/>
      <c r="J118" s="68"/>
      <c r="K118" s="127"/>
      <c r="L118" s="127"/>
      <c r="M118" s="127"/>
      <c r="N118" s="127"/>
      <c r="O118" s="127"/>
      <c r="P118" s="127"/>
      <c r="Q118" s="127"/>
      <c r="R118" s="128"/>
      <c r="S118" s="120"/>
      <c r="T118" s="127"/>
      <c r="U118" s="89"/>
      <c r="V118" s="103"/>
      <c r="W118" s="115"/>
      <c r="X118" s="52"/>
      <c r="Y118" s="52"/>
      <c r="Z118" s="56"/>
      <c r="AA118" s="56"/>
      <c r="AB118" s="56"/>
      <c r="AC118" s="56"/>
      <c r="AD118" s="56"/>
      <c r="AE118" s="141"/>
      <c r="AF118" s="141"/>
      <c r="AG118" s="141"/>
      <c r="AH118" s="141"/>
      <c r="AJ118" s="121"/>
    </row>
    <row r="119" spans="1:36" s="61" customFormat="1" ht="13.5" customHeight="1">
      <c r="A119" s="306">
        <f>VLOOKUP(B119,ReportData!$AQ$4:$AR$25,2,FALSE)</f>
        <v>0</v>
      </c>
      <c r="B119" s="885" t="str">
        <f t="shared" si="36"/>
        <v>Portsmouth</v>
      </c>
      <c r="C119" s="896"/>
      <c r="D119" s="922">
        <f>IF(AND(ISNUMBER(D21),ISNUMBER('Section 47 Enquiries'!D21)),D21/'Section 47 Enquiries'!D21,NA())</f>
        <v>0.26120556414219476</v>
      </c>
      <c r="E119" s="922">
        <f>IF(AND(ISNUMBER(E21),ISNUMBER('Section 47 Enquiries'!E21)),E21/'Section 47 Enquiries'!E21,NA())</f>
        <v>0.31932021466905186</v>
      </c>
      <c r="F119" s="922">
        <f>IF(AND(ISNUMBER(F21),ISNUMBER('Section 47 Enquiries'!F21)),F21/'Section 47 Enquiries'!F21,NA())</f>
        <v>0.2190923317683881</v>
      </c>
      <c r="G119" s="922">
        <f>IF(AND(ISNUMBER(G21),ISNUMBER('Section 47 Enquiries'!G21)),G21/'Section 47 Enquiries'!G21,NA())</f>
        <v>0.27245804540967422</v>
      </c>
      <c r="H119" s="923">
        <f>IF(AND(ISNUMBER(H21),ISNUMBER('Section 47 Enquiries'!H21)),H21/'Section 47 Enquiries'!H21,NA())</f>
        <v>0.24064925899788286</v>
      </c>
      <c r="I119" s="68"/>
      <c r="J119" s="68"/>
      <c r="K119" s="127"/>
      <c r="L119" s="127"/>
      <c r="M119" s="127"/>
      <c r="N119" s="127"/>
      <c r="O119" s="127"/>
      <c r="P119" s="127"/>
      <c r="Q119" s="127"/>
      <c r="R119" s="128"/>
      <c r="S119" s="120"/>
      <c r="T119" s="127"/>
      <c r="U119" s="89"/>
      <c r="V119" s="103"/>
      <c r="W119" s="115"/>
      <c r="X119" s="52"/>
      <c r="Y119" s="52"/>
      <c r="Z119" s="56"/>
      <c r="AA119" s="56"/>
      <c r="AB119" s="56"/>
      <c r="AC119" s="56"/>
      <c r="AD119" s="56"/>
      <c r="AE119" s="141"/>
      <c r="AF119" s="141"/>
      <c r="AG119" s="141"/>
      <c r="AH119" s="141"/>
      <c r="AJ119" s="121"/>
    </row>
    <row r="120" spans="1:36" s="61" customFormat="1" ht="13.5" customHeight="1">
      <c r="A120" s="306">
        <f>VLOOKUP(B120,ReportData!$AQ$4:$AR$25,2,FALSE)</f>
        <v>0</v>
      </c>
      <c r="B120" s="885" t="str">
        <f t="shared" si="36"/>
        <v>Reading</v>
      </c>
      <c r="C120" s="896"/>
      <c r="D120" s="922">
        <f>IF(AND(ISNUMBER(D22),ISNUMBER('Section 47 Enquiries'!D22)),D22/'Section 47 Enquiries'!D22,NA())</f>
        <v>0.37109826589595374</v>
      </c>
      <c r="E120" s="922">
        <f>IF(AND(ISNUMBER(E22),ISNUMBER('Section 47 Enquiries'!E22)),E22/'Section 47 Enquiries'!E22,NA())</f>
        <v>0.41875681570338058</v>
      </c>
      <c r="F120" s="922">
        <f>IF(AND(ISNUMBER(F22),ISNUMBER('Section 47 Enquiries'!F22)),F22/'Section 47 Enquiries'!F22,NA())</f>
        <v>0.32819582955575705</v>
      </c>
      <c r="G120" s="922">
        <f>IF(AND(ISNUMBER(G22),ISNUMBER('Section 47 Enquiries'!G22)),G22/'Section 47 Enquiries'!G22,NA())</f>
        <v>0.33040935672514621</v>
      </c>
      <c r="H120" s="923">
        <f>IF(AND(ISNUMBER(H22),ISNUMBER('Section 47 Enquiries'!H22)),H22/'Section 47 Enquiries'!H22,NA())</f>
        <v>0.28270814272644101</v>
      </c>
      <c r="I120" s="68"/>
      <c r="J120" s="68"/>
      <c r="K120" s="127"/>
      <c r="L120" s="127"/>
      <c r="M120" s="127"/>
      <c r="N120" s="127"/>
      <c r="O120" s="127"/>
      <c r="P120" s="127"/>
      <c r="Q120" s="127"/>
      <c r="R120" s="128"/>
      <c r="S120" s="120"/>
      <c r="T120" s="127"/>
      <c r="U120" s="89"/>
      <c r="V120" s="103"/>
      <c r="W120" s="115"/>
      <c r="X120" s="52"/>
      <c r="Y120" s="52"/>
      <c r="Z120" s="56"/>
      <c r="AA120" s="56"/>
      <c r="AB120" s="56"/>
      <c r="AC120" s="56"/>
      <c r="AD120" s="56"/>
      <c r="AE120" s="141"/>
      <c r="AF120" s="141"/>
      <c r="AG120" s="141"/>
      <c r="AH120" s="141"/>
      <c r="AJ120" s="121"/>
    </row>
    <row r="121" spans="1:36" s="61" customFormat="1" ht="13.5" customHeight="1">
      <c r="A121" s="306">
        <f>VLOOKUP(B121,ReportData!$AQ$4:$AR$25,2,FALSE)</f>
        <v>0</v>
      </c>
      <c r="B121" s="885" t="str">
        <f t="shared" si="36"/>
        <v>Slough</v>
      </c>
      <c r="C121" s="896"/>
      <c r="D121" s="922">
        <f>IF(AND(ISNUMBER(D23),ISNUMBER('Section 47 Enquiries'!D23)),D23/'Section 47 Enquiries'!D23,NA())</f>
        <v>0.29961389961389961</v>
      </c>
      <c r="E121" s="922">
        <f>IF(AND(ISNUMBER(E23),ISNUMBER('Section 47 Enquiries'!E23)),E23/'Section 47 Enquiries'!E23,NA())</f>
        <v>0.26094570928196148</v>
      </c>
      <c r="F121" s="922">
        <f>IF(AND(ISNUMBER(F23),ISNUMBER('Section 47 Enquiries'!F23)),F23/'Section 47 Enquiries'!F23,NA())</f>
        <v>0.29816513761467889</v>
      </c>
      <c r="G121" s="922">
        <f>IF(AND(ISNUMBER(G23),ISNUMBER('Section 47 Enquiries'!G23)),G23/'Section 47 Enquiries'!G23,NA())</f>
        <v>0.26811594202898553</v>
      </c>
      <c r="H121" s="923">
        <f>IF(AND(ISNUMBER(H23),ISNUMBER('Section 47 Enquiries'!H23)),H23/'Section 47 Enquiries'!H23,NA())</f>
        <v>0.25425101214574897</v>
      </c>
      <c r="I121" s="68"/>
      <c r="J121" s="68"/>
      <c r="K121" s="127"/>
      <c r="L121" s="127"/>
      <c r="M121" s="127"/>
      <c r="N121" s="127"/>
      <c r="O121" s="127"/>
      <c r="P121" s="127"/>
      <c r="Q121" s="127"/>
      <c r="R121" s="128"/>
      <c r="S121" s="120"/>
      <c r="T121" s="127"/>
      <c r="U121" s="89"/>
      <c r="V121" s="103"/>
      <c r="W121" s="115"/>
      <c r="X121" s="52"/>
      <c r="Y121" s="52"/>
      <c r="Z121" s="56"/>
      <c r="AA121" s="56"/>
      <c r="AB121" s="56"/>
      <c r="AC121" s="56"/>
      <c r="AD121" s="56"/>
      <c r="AE121" s="141"/>
      <c r="AF121" s="141"/>
      <c r="AG121" s="141"/>
      <c r="AH121" s="141"/>
      <c r="AJ121" s="121"/>
    </row>
    <row r="122" spans="1:36" s="61" customFormat="1" ht="13.5" customHeight="1">
      <c r="A122" s="306">
        <f>VLOOKUP(B122,ReportData!$AQ$4:$AR$25,2,FALSE)</f>
        <v>0</v>
      </c>
      <c r="B122" s="885" t="str">
        <f t="shared" si="36"/>
        <v>Southampton</v>
      </c>
      <c r="C122" s="896"/>
      <c r="D122" s="922">
        <f>IF(AND(ISNUMBER(D24),ISNUMBER('Section 47 Enquiries'!D24)),D24/'Section 47 Enquiries'!D24,NA())</f>
        <v>0.33223062381852553</v>
      </c>
      <c r="E122" s="922">
        <f>IF(AND(ISNUMBER(E24),ISNUMBER('Section 47 Enquiries'!E24)),E24/'Section 47 Enquiries'!E24,NA())</f>
        <v>0.32084592145015106</v>
      </c>
      <c r="F122" s="922">
        <f>IF(AND(ISNUMBER(F24),ISNUMBER('Section 47 Enquiries'!F24)),F24/'Section 47 Enquiries'!F24,NA())</f>
        <v>0.3597491448118586</v>
      </c>
      <c r="G122" s="922">
        <f>IF(AND(ISNUMBER(G24),ISNUMBER('Section 47 Enquiries'!G24)),G24/'Section 47 Enquiries'!G24,NA())</f>
        <v>0.23891767415083479</v>
      </c>
      <c r="H122" s="923">
        <f>IF(AND(ISNUMBER(H24),ISNUMBER('Section 47 Enquiries'!H24)),H24/'Section 47 Enquiries'!H24,NA())</f>
        <v>0.28409090909090912</v>
      </c>
      <c r="I122" s="68"/>
      <c r="J122" s="68"/>
      <c r="K122" s="127"/>
      <c r="L122" s="127"/>
      <c r="M122" s="127"/>
      <c r="N122" s="127"/>
      <c r="O122" s="127"/>
      <c r="P122" s="127"/>
      <c r="Q122" s="127"/>
      <c r="R122" s="128"/>
      <c r="S122" s="120"/>
      <c r="T122" s="127"/>
      <c r="U122" s="89"/>
      <c r="V122" s="103"/>
      <c r="W122" s="115"/>
      <c r="X122" s="52"/>
      <c r="Y122" s="52"/>
      <c r="Z122" s="56"/>
      <c r="AA122" s="56"/>
      <c r="AB122" s="56"/>
      <c r="AC122" s="56"/>
      <c r="AD122" s="56"/>
      <c r="AE122" s="141"/>
      <c r="AF122" s="141"/>
      <c r="AG122" s="141"/>
      <c r="AH122" s="141"/>
      <c r="AJ122" s="121"/>
    </row>
    <row r="123" spans="1:36" s="61" customFormat="1" ht="13.5" customHeight="1">
      <c r="A123" s="306">
        <f>VLOOKUP(B123,ReportData!$AQ$4:$AR$25,2,FALSE)</f>
        <v>0</v>
      </c>
      <c r="B123" s="885" t="str">
        <f t="shared" si="36"/>
        <v>Surrey</v>
      </c>
      <c r="C123" s="896"/>
      <c r="D123" s="922">
        <f>IF(AND(ISNUMBER(D25),ISNUMBER('Section 47 Enquiries'!D25)),D25/'Section 47 Enquiries'!D25,NA())</f>
        <v>0.3220466516177577</v>
      </c>
      <c r="E123" s="922">
        <f>IF(AND(ISNUMBER(E25),ISNUMBER('Section 47 Enquiries'!E25)),E25/'Section 47 Enquiries'!E25,NA())</f>
        <v>0.33761682242990654</v>
      </c>
      <c r="F123" s="922">
        <f>IF(AND(ISNUMBER(F25),ISNUMBER('Section 47 Enquiries'!F25)),F25/'Section 47 Enquiries'!F25,NA())</f>
        <v>0.33266704740148484</v>
      </c>
      <c r="G123" s="922">
        <f>IF(AND(ISNUMBER(G25),ISNUMBER('Section 47 Enquiries'!G25)),G25/'Section 47 Enquiries'!G25,NA())</f>
        <v>0.33145508783559829</v>
      </c>
      <c r="H123" s="923">
        <f>IF(AND(ISNUMBER(H25),ISNUMBER('Section 47 Enquiries'!H25)),H25/'Section 47 Enquiries'!H25,NA())</f>
        <v>0.28895184135977336</v>
      </c>
      <c r="I123" s="68"/>
      <c r="J123" s="68"/>
      <c r="K123" s="127"/>
      <c r="L123" s="127"/>
      <c r="M123" s="127"/>
      <c r="N123" s="127"/>
      <c r="O123" s="127"/>
      <c r="P123" s="127"/>
      <c r="Q123" s="127"/>
      <c r="R123" s="128"/>
      <c r="S123" s="120"/>
      <c r="T123" s="127"/>
      <c r="U123" s="89"/>
      <c r="V123" s="103"/>
      <c r="W123" s="115"/>
      <c r="X123" s="52"/>
      <c r="Y123" s="52"/>
      <c r="Z123" s="56"/>
      <c r="AA123" s="56"/>
      <c r="AB123" s="56"/>
      <c r="AC123" s="56"/>
      <c r="AD123" s="56"/>
      <c r="AE123" s="141"/>
      <c r="AF123" s="141"/>
      <c r="AG123" s="141"/>
      <c r="AH123" s="141"/>
      <c r="AJ123" s="121"/>
    </row>
    <row r="124" spans="1:36" s="61" customFormat="1" ht="13.5" customHeight="1">
      <c r="A124" s="306">
        <f>VLOOKUP(B124,ReportData!$AQ$4:$AR$25,2,FALSE)</f>
        <v>0</v>
      </c>
      <c r="B124" s="885" t="str">
        <f t="shared" si="36"/>
        <v>West Berkshire</v>
      </c>
      <c r="C124" s="896"/>
      <c r="D124" s="922">
        <f>IF(AND(ISNUMBER(D26),ISNUMBER('Section 47 Enquiries'!D26)),D26/'Section 47 Enquiries'!D26,NA())</f>
        <v>0.41392649903288203</v>
      </c>
      <c r="E124" s="922">
        <f>IF(AND(ISNUMBER(E26),ISNUMBER('Section 47 Enquiries'!E26)),E26/'Section 47 Enquiries'!E26,NA())</f>
        <v>0.47689463955637706</v>
      </c>
      <c r="F124" s="922">
        <f>IF(AND(ISNUMBER(F26),ISNUMBER('Section 47 Enquiries'!F26)),F26/'Section 47 Enquiries'!F26,NA())</f>
        <v>0.38451086956521741</v>
      </c>
      <c r="G124" s="922">
        <f>IF(AND(ISNUMBER(G26),ISNUMBER('Section 47 Enquiries'!G26)),G26/'Section 47 Enquiries'!G26,NA())</f>
        <v>0.53914002205071665</v>
      </c>
      <c r="H124" s="923">
        <f>IF(AND(ISNUMBER(H26),ISNUMBER('Section 47 Enquiries'!H26)),H26/'Section 47 Enquiries'!H26,NA())</f>
        <v>0.35893854748603354</v>
      </c>
      <c r="I124" s="68"/>
      <c r="J124" s="68"/>
      <c r="K124" s="127"/>
      <c r="L124" s="127"/>
      <c r="M124" s="127"/>
      <c r="N124" s="127"/>
      <c r="O124" s="127"/>
      <c r="P124" s="127"/>
      <c r="Q124" s="127"/>
      <c r="R124" s="128"/>
      <c r="S124" s="120"/>
      <c r="T124" s="127"/>
      <c r="U124" s="89"/>
      <c r="V124" s="103"/>
      <c r="W124" s="115"/>
      <c r="X124" s="52"/>
      <c r="Y124" s="52"/>
      <c r="Z124" s="56"/>
      <c r="AA124" s="56"/>
      <c r="AB124" s="56"/>
      <c r="AC124" s="56"/>
      <c r="AD124" s="56"/>
      <c r="AF124" s="141"/>
      <c r="AG124" s="141"/>
      <c r="AH124" s="141"/>
      <c r="AJ124" s="121"/>
    </row>
    <row r="125" spans="1:36" s="61" customFormat="1" ht="13.5" customHeight="1">
      <c r="A125" s="306">
        <f>VLOOKUP(B125,ReportData!$AQ$4:$AR$25,2,FALSE)</f>
        <v>0</v>
      </c>
      <c r="B125" s="885" t="str">
        <f t="shared" si="36"/>
        <v>West Sussex</v>
      </c>
      <c r="C125" s="896"/>
      <c r="D125" s="922">
        <f>IF(AND(ISNUMBER(D27),ISNUMBER('Section 47 Enquiries'!D27)),D27/'Section 47 Enquiries'!D27,NA())</f>
        <v>0.43506493506493504</v>
      </c>
      <c r="E125" s="922">
        <f>IF(AND(ISNUMBER(E27),ISNUMBER('Section 47 Enquiries'!E27)),E27/'Section 47 Enquiries'!E27,NA())</f>
        <v>0.4198268139743207</v>
      </c>
      <c r="F125" s="922">
        <f>IF(AND(ISNUMBER(F27),ISNUMBER('Section 47 Enquiries'!F27)),F27/'Section 47 Enquiries'!F27,NA())</f>
        <v>0.30105684090259927</v>
      </c>
      <c r="G125" s="922">
        <f>IF(AND(ISNUMBER(G27),ISNUMBER('Section 47 Enquiries'!G27)),G27/'Section 47 Enquiries'!G27,NA())</f>
        <v>0.32431670893209352</v>
      </c>
      <c r="H125" s="923">
        <f>IF(AND(ISNUMBER(H27),ISNUMBER('Section 47 Enquiries'!H27)),H27/'Section 47 Enquiries'!H27,NA())</f>
        <v>0.33246158875449494</v>
      </c>
      <c r="I125" s="68"/>
      <c r="J125" s="68"/>
      <c r="K125" s="127"/>
      <c r="L125" s="127"/>
      <c r="M125" s="127"/>
      <c r="N125" s="127"/>
      <c r="O125" s="127"/>
      <c r="P125" s="127"/>
      <c r="Q125" s="127"/>
      <c r="R125" s="128"/>
      <c r="S125" s="120"/>
      <c r="T125" s="127"/>
      <c r="U125" s="89"/>
      <c r="V125" s="103"/>
      <c r="W125" s="115"/>
      <c r="X125" s="52"/>
      <c r="Y125" s="52"/>
      <c r="Z125" s="56"/>
      <c r="AA125" s="56"/>
      <c r="AB125" s="56"/>
      <c r="AC125" s="56"/>
      <c r="AD125" s="56"/>
      <c r="AF125" s="141"/>
      <c r="AG125" s="141"/>
      <c r="AH125" s="141"/>
      <c r="AJ125" s="121"/>
    </row>
    <row r="126" spans="1:36" s="61" customFormat="1" ht="13.5" customHeight="1">
      <c r="A126" s="306">
        <f>VLOOKUP(B126,ReportData!$AQ$4:$AR$25,2,FALSE)</f>
        <v>0</v>
      </c>
      <c r="B126" s="885" t="str">
        <f t="shared" si="36"/>
        <v>Windsor &amp; Maidenhead</v>
      </c>
      <c r="C126" s="896"/>
      <c r="D126" s="922">
        <f>IF(AND(ISNUMBER(D28),ISNUMBER('Section 47 Enquiries'!D28)),D28/'Section 47 Enquiries'!D28,NA())</f>
        <v>0.43383584589614738</v>
      </c>
      <c r="E126" s="922">
        <f>IF(AND(ISNUMBER(E28),ISNUMBER('Section 47 Enquiries'!E28)),E28/'Section 47 Enquiries'!E28,NA())</f>
        <v>0.38880248833592534</v>
      </c>
      <c r="F126" s="922">
        <f>IF(AND(ISNUMBER(F28),ISNUMBER('Section 47 Enquiries'!F28)),F28/'Section 47 Enquiries'!F28,NA())</f>
        <v>0.30878186968838528</v>
      </c>
      <c r="G126" s="922">
        <f>IF(AND(ISNUMBER(G28),ISNUMBER('Section 47 Enquiries'!G28)),G28/'Section 47 Enquiries'!G28,NA())</f>
        <v>0.38275340393343421</v>
      </c>
      <c r="H126" s="923">
        <f>IF(AND(ISNUMBER(H28),ISNUMBER('Section 47 Enquiries'!H28)),H28/'Section 47 Enquiries'!H28,NA())</f>
        <v>0.3543913713405239</v>
      </c>
      <c r="I126" s="68"/>
      <c r="J126" s="68"/>
      <c r="K126" s="127"/>
      <c r="L126" s="127"/>
      <c r="M126" s="127"/>
      <c r="N126" s="127"/>
      <c r="O126" s="127"/>
      <c r="P126" s="127"/>
      <c r="Q126" s="127"/>
      <c r="R126" s="128"/>
      <c r="S126" s="120"/>
      <c r="T126" s="127"/>
      <c r="U126" s="89"/>
      <c r="V126" s="103"/>
      <c r="W126" s="115"/>
      <c r="X126" s="52"/>
      <c r="Y126" s="52"/>
      <c r="Z126" s="56"/>
      <c r="AA126" s="56"/>
      <c r="AB126" s="56"/>
      <c r="AC126" s="56"/>
      <c r="AD126" s="56"/>
      <c r="AH126" s="141"/>
      <c r="AJ126" s="121"/>
    </row>
    <row r="127" spans="1:36" s="61" customFormat="1" ht="13.5" customHeight="1">
      <c r="A127" s="306">
        <f>VLOOKUP(B127,ReportData!$AQ$4:$AR$25,2,FALSE)</f>
        <v>0</v>
      </c>
      <c r="B127" s="885" t="str">
        <f t="shared" si="36"/>
        <v>Wokingham</v>
      </c>
      <c r="C127" s="896"/>
      <c r="D127" s="922">
        <f>IF(AND(ISNUMBER(D29),ISNUMBER('Section 47 Enquiries'!D29)),D29/'Section 47 Enquiries'!D29,NA())</f>
        <v>0.31692307692307692</v>
      </c>
      <c r="E127" s="922">
        <f>IF(AND(ISNUMBER(E29),ISNUMBER('Section 47 Enquiries'!E29)),E29/'Section 47 Enquiries'!E29,NA())</f>
        <v>0.28284389489953632</v>
      </c>
      <c r="F127" s="922">
        <f>IF(AND(ISNUMBER(F29),ISNUMBER('Section 47 Enquiries'!F29)),F29/'Section 47 Enquiries'!F29,NA())</f>
        <v>0.33124999999999999</v>
      </c>
      <c r="G127" s="922">
        <f>IF(AND(ISNUMBER(G29),ISNUMBER('Section 47 Enquiries'!G29)),G29/'Section 47 Enquiries'!G29,NA())</f>
        <v>0.24172185430463577</v>
      </c>
      <c r="H127" s="923">
        <f>IF(AND(ISNUMBER(H29),ISNUMBER('Section 47 Enquiries'!H29)),H29/'Section 47 Enquiries'!H29,NA())</f>
        <v>0.28596491228070176</v>
      </c>
      <c r="I127" s="68"/>
      <c r="J127" s="68"/>
      <c r="K127" s="127"/>
      <c r="L127" s="127"/>
      <c r="M127" s="127"/>
      <c r="N127" s="127"/>
      <c r="O127" s="127"/>
      <c r="P127" s="127"/>
      <c r="Q127" s="127"/>
      <c r="R127" s="128"/>
      <c r="S127" s="120"/>
      <c r="T127" s="127"/>
      <c r="U127" s="89"/>
      <c r="V127" s="103"/>
      <c r="W127" s="115"/>
      <c r="X127" s="52"/>
      <c r="Y127" s="52"/>
      <c r="Z127" s="56"/>
      <c r="AA127" s="56"/>
      <c r="AB127" s="56"/>
      <c r="AC127" s="56"/>
      <c r="AD127" s="56"/>
      <c r="AH127" s="141"/>
      <c r="AJ127" s="121"/>
    </row>
    <row r="128" spans="1:36" s="61" customFormat="1" ht="13.5" customHeight="1">
      <c r="A128" s="88"/>
      <c r="B128" s="886" t="str">
        <f t="shared" si="36"/>
        <v>South East</v>
      </c>
      <c r="C128" s="896"/>
      <c r="D128" s="924">
        <f>IF(AND(ISNUMBER(D30),ISNUMBER('Section 47 Enquiries'!D30)),D30/'Section 47 Enquiries'!D30,NA())</f>
        <v>0.34403357531760437</v>
      </c>
      <c r="E128" s="924">
        <f>IF(AND(ISNUMBER(E30),ISNUMBER('Section 47 Enquiries'!E30)),E30/'Section 47 Enquiries'!E30,NA())</f>
        <v>0.32329613827808773</v>
      </c>
      <c r="F128" s="924">
        <f>IF(AND(ISNUMBER(F30),ISNUMBER('Section 47 Enquiries'!F30)),F30/'Section 47 Enquiries'!F30,NA())</f>
        <v>0.29173733947177127</v>
      </c>
      <c r="G128" s="924">
        <f>IF(AND(ISNUMBER(G30),ISNUMBER('Section 47 Enquiries'!G30)),G30/'Section 47 Enquiries'!G30,NA())</f>
        <v>0.28626045400238948</v>
      </c>
      <c r="H128" s="925">
        <f>IF(AND(ISNUMBER(H30),ISNUMBER('Section 47 Enquiries'!H30)),H30/'Section 47 Enquiries'!H30,NA())</f>
        <v>0.26513466765505311</v>
      </c>
      <c r="I128" s="68"/>
      <c r="J128" s="68"/>
      <c r="K128" s="129"/>
      <c r="L128" s="129"/>
      <c r="M128" s="129"/>
      <c r="N128" s="129"/>
      <c r="O128" s="129"/>
      <c r="P128" s="129"/>
      <c r="Q128" s="129"/>
      <c r="R128" s="130"/>
      <c r="S128" s="120"/>
      <c r="T128" s="131"/>
      <c r="U128" s="89"/>
      <c r="V128" s="103"/>
      <c r="W128" s="115"/>
      <c r="X128" s="52"/>
      <c r="Y128" s="52"/>
      <c r="Z128" s="56"/>
      <c r="AA128" s="56"/>
      <c r="AB128" s="56"/>
      <c r="AC128" s="56"/>
      <c r="AD128" s="56"/>
      <c r="AH128" s="141"/>
      <c r="AJ128" s="121"/>
    </row>
    <row r="129" spans="1:53" s="61" customFormat="1" ht="13.5" customHeight="1">
      <c r="A129" s="88"/>
      <c r="B129" s="887" t="str">
        <f t="shared" si="36"/>
        <v>England</v>
      </c>
      <c r="C129" s="896"/>
      <c r="D129" s="926">
        <f>IF(AND(ISNUMBER(D31),ISNUMBER('Section 47 Enquiries'!D31)),D31/'Section 47 Enquiries'!D31,NA())</f>
        <v>0.38542288557213933</v>
      </c>
      <c r="E129" s="926">
        <f>IF(AND(ISNUMBER(E31),ISNUMBER('Section 47 Enquiries'!E31)),E31/'Section 47 Enquiries'!E31,NA())</f>
        <v>0.36510890889883796</v>
      </c>
      <c r="F129" s="926">
        <f>IF(AND(ISNUMBER(F31),ISNUMBER('Section 47 Enquiries'!F31)),F31/'Section 47 Enquiries'!F31,NA())</f>
        <v>0.33879706152433425</v>
      </c>
      <c r="G129" s="926">
        <f>IF(AND(ISNUMBER(G31),ISNUMBER('Section 47 Enquiries'!G31)),G31/'Section 47 Enquiries'!G31,NA())</f>
        <v>0.32999112688553683</v>
      </c>
      <c r="H129" s="927">
        <f>IF(AND(ISNUMBER(H31),ISNUMBER('Section 47 Enquiries'!H31)),H31/'Section 47 Enquiries'!H31,NA())</f>
        <v>0.32179761268483875</v>
      </c>
      <c r="I129" s="68"/>
      <c r="J129" s="68"/>
      <c r="K129" s="129"/>
      <c r="L129" s="129"/>
      <c r="M129" s="129"/>
      <c r="N129" s="129"/>
      <c r="O129" s="129"/>
      <c r="P129" s="129"/>
      <c r="Q129" s="129"/>
      <c r="R129" s="130"/>
      <c r="S129" s="120"/>
      <c r="T129" s="131"/>
      <c r="U129" s="89"/>
      <c r="V129" s="103"/>
      <c r="W129" s="115"/>
      <c r="X129" s="56"/>
      <c r="Y129" s="56"/>
      <c r="Z129" s="56"/>
      <c r="AA129" s="56"/>
      <c r="AB129" s="56"/>
      <c r="AC129" s="56"/>
      <c r="AD129" s="56"/>
      <c r="AH129" s="56"/>
      <c r="AI129" s="52"/>
      <c r="AJ129" s="122"/>
      <c r="AK129" s="56"/>
      <c r="AL129" s="56"/>
      <c r="AM129" s="56"/>
      <c r="AN129" s="56"/>
      <c r="AO129" s="56"/>
      <c r="AP129" s="56"/>
      <c r="AQ129" s="56"/>
      <c r="AR129" s="56"/>
      <c r="AS129" s="56"/>
      <c r="AT129" s="56"/>
      <c r="AU129" s="56"/>
      <c r="AV129" s="56"/>
      <c r="AW129" s="56"/>
      <c r="AX129" s="56"/>
      <c r="AY129" s="56"/>
      <c r="AZ129" s="56"/>
      <c r="BA129" s="56"/>
    </row>
    <row r="130" spans="1:53" s="61" customFormat="1" ht="6" customHeight="1">
      <c r="A130" s="217"/>
      <c r="B130" s="68"/>
      <c r="C130" s="68"/>
      <c r="D130" s="68"/>
      <c r="E130" s="68"/>
      <c r="F130" s="68"/>
      <c r="G130" s="68"/>
      <c r="H130" s="68"/>
      <c r="I130" s="68"/>
      <c r="J130" s="68"/>
      <c r="K130" s="129"/>
      <c r="L130" s="129"/>
      <c r="M130" s="129"/>
      <c r="N130" s="129"/>
      <c r="O130" s="129"/>
      <c r="P130" s="129"/>
      <c r="Q130" s="129"/>
      <c r="R130" s="130"/>
      <c r="S130" s="120"/>
      <c r="T130" s="131"/>
      <c r="U130" s="89"/>
      <c r="V130" s="103"/>
      <c r="W130" s="115"/>
      <c r="X130" s="56"/>
      <c r="Y130" s="141"/>
      <c r="Z130" s="56"/>
      <c r="AA130" s="56"/>
      <c r="AB130" s="56"/>
      <c r="AC130" s="56"/>
      <c r="AD130" s="56"/>
      <c r="AH130" s="56"/>
      <c r="AI130" s="52"/>
      <c r="AJ130" s="122"/>
      <c r="AK130" s="56"/>
      <c r="AL130" s="56"/>
      <c r="AM130" s="56"/>
      <c r="AN130" s="56"/>
      <c r="AO130" s="56"/>
      <c r="AP130" s="56"/>
      <c r="AQ130" s="56"/>
      <c r="AR130" s="56"/>
      <c r="AS130" s="56"/>
      <c r="AT130" s="56"/>
      <c r="AU130" s="56"/>
      <c r="AV130" s="56"/>
      <c r="AW130" s="56"/>
      <c r="AX130" s="56"/>
      <c r="AY130" s="56"/>
      <c r="AZ130" s="56"/>
      <c r="BA130" s="56"/>
    </row>
    <row r="131" spans="1:53" s="56" customFormat="1" ht="42" customHeight="1">
      <c r="A131" s="166"/>
      <c r="B131" s="171"/>
      <c r="C131" s="171"/>
      <c r="D131" s="171"/>
      <c r="E131" s="171"/>
      <c r="F131" s="171"/>
      <c r="G131" s="171"/>
      <c r="H131" s="171"/>
      <c r="I131" s="171"/>
      <c r="J131" s="133"/>
      <c r="K131" s="133"/>
      <c r="L131" s="133"/>
      <c r="M131" s="133"/>
      <c r="N131" s="133"/>
      <c r="O131" s="133"/>
      <c r="P131" s="133"/>
      <c r="Q131" s="133"/>
      <c r="R131" s="101"/>
      <c r="S131" s="133"/>
      <c r="T131" s="133"/>
      <c r="U131" s="86"/>
      <c r="V131" s="102"/>
      <c r="W131" s="114"/>
      <c r="Y131" s="141"/>
      <c r="AC131" s="147"/>
      <c r="AD131" s="149"/>
      <c r="AE131" s="52"/>
      <c r="AF131" s="52"/>
      <c r="AG131" s="52"/>
      <c r="AI131" s="52"/>
      <c r="AJ131" s="122"/>
    </row>
    <row r="132" spans="1:53" s="56" customFormat="1" ht="42" customHeight="1">
      <c r="A132" s="166"/>
      <c r="B132" s="171"/>
      <c r="C132" s="171"/>
      <c r="D132" s="171"/>
      <c r="E132" s="171"/>
      <c r="F132" s="171"/>
      <c r="G132" s="171"/>
      <c r="H132" s="171"/>
      <c r="I132" s="171"/>
      <c r="J132" s="133"/>
      <c r="K132" s="133"/>
      <c r="L132" s="133"/>
      <c r="M132" s="133"/>
      <c r="N132" s="133"/>
      <c r="O132" s="133"/>
      <c r="P132" s="133"/>
      <c r="Q132" s="133"/>
      <c r="R132" s="101"/>
      <c r="S132" s="133"/>
      <c r="T132" s="133"/>
      <c r="U132" s="86"/>
      <c r="V132" s="102"/>
      <c r="W132" s="114"/>
      <c r="Y132" s="141"/>
      <c r="AD132" s="149"/>
      <c r="AE132" s="52"/>
      <c r="AF132" s="52"/>
      <c r="AG132" s="52"/>
      <c r="AI132" s="52"/>
      <c r="AJ132" s="119"/>
      <c r="AK132" s="52"/>
      <c r="AL132" s="52"/>
      <c r="AM132" s="52"/>
      <c r="AN132" s="52"/>
      <c r="AO132" s="52"/>
      <c r="AP132" s="52"/>
      <c r="AQ132" s="52"/>
    </row>
    <row r="133" spans="1:53" s="56" customFormat="1" ht="42.75" customHeight="1">
      <c r="A133" s="166"/>
      <c r="B133" s="171"/>
      <c r="C133" s="171"/>
      <c r="D133" s="171"/>
      <c r="E133" s="171"/>
      <c r="F133" s="171"/>
      <c r="G133" s="171"/>
      <c r="H133" s="171"/>
      <c r="I133" s="171"/>
      <c r="J133" s="133"/>
      <c r="K133" s="133"/>
      <c r="L133" s="133"/>
      <c r="M133" s="133"/>
      <c r="N133" s="133"/>
      <c r="O133" s="133"/>
      <c r="P133" s="133"/>
      <c r="Q133" s="133"/>
      <c r="R133" s="101"/>
      <c r="S133" s="133"/>
      <c r="T133" s="133"/>
      <c r="U133" s="86"/>
      <c r="V133" s="121"/>
      <c r="W133" s="114"/>
      <c r="AD133" s="149"/>
      <c r="AE133" s="52"/>
      <c r="AF133" s="52"/>
      <c r="AG133" s="52"/>
      <c r="AJ133" s="122"/>
      <c r="AS133" s="52"/>
    </row>
    <row r="134" spans="1:53" s="56" customFormat="1" ht="7.5" customHeight="1">
      <c r="A134" s="87"/>
      <c r="B134" s="12"/>
      <c r="C134" s="12"/>
      <c r="D134" s="11"/>
      <c r="E134" s="11"/>
      <c r="F134" s="11"/>
      <c r="G134" s="11"/>
      <c r="H134" s="11"/>
      <c r="I134" s="11"/>
      <c r="J134" s="1"/>
      <c r="K134" s="13"/>
      <c r="L134" s="13"/>
      <c r="M134" s="13"/>
      <c r="N134" s="13"/>
      <c r="O134" s="13"/>
      <c r="P134" s="13"/>
      <c r="Q134" s="13"/>
      <c r="R134" s="13"/>
      <c r="S134" s="13"/>
      <c r="T134" s="14"/>
      <c r="U134" s="86"/>
      <c r="V134" s="185"/>
      <c r="W134" s="114"/>
      <c r="AI134" s="52"/>
      <c r="AJ134" s="121"/>
      <c r="AK134" s="61"/>
      <c r="AS134" s="52"/>
    </row>
    <row r="135" spans="1:53" s="56" customFormat="1" ht="15" customHeight="1">
      <c r="A135" s="1565"/>
      <c r="B135" s="1751"/>
      <c r="C135" s="1751"/>
      <c r="D135" s="1751"/>
      <c r="E135" s="1751"/>
      <c r="F135" s="1751"/>
      <c r="G135" s="1751"/>
      <c r="H135" s="1751"/>
      <c r="I135" s="1751"/>
      <c r="J135" s="1751"/>
      <c r="K135" s="1751"/>
      <c r="L135" s="1751"/>
      <c r="M135" s="1751"/>
      <c r="N135" s="1751"/>
      <c r="O135" s="1751"/>
      <c r="P135" s="1751"/>
      <c r="Q135" s="1751"/>
      <c r="R135" s="1751"/>
      <c r="S135" s="1751"/>
      <c r="T135" s="1751"/>
      <c r="U135" s="1752"/>
      <c r="V135" s="185"/>
      <c r="W135" s="114"/>
      <c r="AI135" s="52"/>
      <c r="AJ135" s="119"/>
      <c r="AK135" s="52"/>
      <c r="AL135" s="52"/>
      <c r="AM135" s="52"/>
      <c r="AN135" s="52"/>
      <c r="AO135" s="52"/>
      <c r="AP135" s="52"/>
      <c r="AQ135" s="52"/>
      <c r="AR135" s="52"/>
      <c r="AS135" s="52"/>
      <c r="AT135" s="52"/>
      <c r="AU135" s="52"/>
      <c r="AV135" s="52"/>
      <c r="AW135" s="52"/>
      <c r="AX135" s="52"/>
      <c r="AY135" s="52"/>
      <c r="AZ135" s="52"/>
      <c r="BA135" s="52"/>
    </row>
    <row r="136" spans="1:53" s="56" customFormat="1" ht="11.25" customHeight="1">
      <c r="A136" s="1739"/>
      <c r="B136" s="1740"/>
      <c r="C136" s="1740"/>
      <c r="D136" s="1740"/>
      <c r="E136" s="1740"/>
      <c r="F136" s="1740"/>
      <c r="G136" s="1740"/>
      <c r="H136" s="1740"/>
      <c r="I136" s="1741"/>
      <c r="J136" s="1740"/>
      <c r="K136" s="1740"/>
      <c r="L136" s="1740"/>
      <c r="M136" s="1740"/>
      <c r="N136" s="1740"/>
      <c r="O136" s="1740"/>
      <c r="P136" s="1742"/>
      <c r="Q136" s="1740"/>
      <c r="R136" s="1740"/>
      <c r="S136" s="1741"/>
      <c r="T136" s="1740"/>
      <c r="U136" s="1743"/>
      <c r="V136" s="185"/>
      <c r="W136" s="114"/>
      <c r="AH136" s="52"/>
      <c r="AI136" s="52"/>
      <c r="AJ136" s="119"/>
      <c r="AK136" s="52"/>
      <c r="AL136" s="52"/>
      <c r="AM136" s="52"/>
      <c r="AN136" s="52"/>
      <c r="AO136" s="52"/>
      <c r="AP136" s="52"/>
      <c r="AQ136" s="52"/>
      <c r="AR136" s="52"/>
      <c r="AS136" s="52"/>
      <c r="AT136" s="52"/>
      <c r="AU136" s="52"/>
      <c r="AV136" s="52"/>
      <c r="AW136" s="52"/>
      <c r="AX136" s="52"/>
      <c r="AY136" s="52"/>
      <c r="AZ136" s="52"/>
      <c r="BA136" s="52"/>
    </row>
    <row r="137" spans="1:53" ht="10.5" customHeight="1">
      <c r="A137" s="81"/>
      <c r="B137" s="82"/>
      <c r="C137" s="82"/>
      <c r="D137" s="82"/>
      <c r="E137" s="82"/>
      <c r="F137" s="82"/>
      <c r="G137" s="82"/>
      <c r="H137" s="82"/>
      <c r="I137" s="82"/>
      <c r="J137" s="83"/>
      <c r="K137" s="82"/>
      <c r="L137" s="82"/>
      <c r="M137" s="82"/>
      <c r="N137" s="82"/>
      <c r="O137" s="82"/>
      <c r="P137" s="82"/>
      <c r="Q137" s="82"/>
      <c r="R137" s="82"/>
      <c r="S137" s="82"/>
      <c r="T137" s="82"/>
      <c r="U137" s="84"/>
      <c r="V137" s="102"/>
      <c r="W137" s="114"/>
      <c r="X137" s="148" t="s">
        <v>122</v>
      </c>
      <c r="Y137" s="146"/>
      <c r="Z137" s="52"/>
      <c r="AJ137" s="119"/>
    </row>
    <row r="138" spans="1:53" ht="18.75" customHeight="1">
      <c r="A138" s="87"/>
      <c r="B138" s="1886" t="s">
        <v>1271</v>
      </c>
      <c r="C138" s="1886"/>
      <c r="D138" s="1886"/>
      <c r="E138" s="1886"/>
      <c r="F138" s="1886"/>
      <c r="G138" s="1886"/>
      <c r="H138" s="1886"/>
      <c r="I138" s="1176"/>
      <c r="J138" s="50"/>
      <c r="K138" s="50"/>
      <c r="L138" s="50"/>
      <c r="M138" s="50"/>
      <c r="N138" s="224"/>
      <c r="O138" s="50"/>
      <c r="P138" s="50"/>
      <c r="Q138" s="50"/>
      <c r="R138" s="50"/>
      <c r="S138" s="50"/>
      <c r="T138" s="50"/>
      <c r="U138" s="86"/>
      <c r="V138" s="102"/>
      <c r="W138" s="114"/>
      <c r="X138" s="52"/>
      <c r="Y138" s="52"/>
      <c r="Z138" s="52"/>
      <c r="AA138" s="52"/>
      <c r="AB138" s="52"/>
      <c r="AC138" s="52"/>
      <c r="AD138" s="52"/>
      <c r="AE138" s="52"/>
      <c r="AF138" s="52"/>
      <c r="AG138" s="52"/>
      <c r="AJ138" s="119"/>
    </row>
    <row r="139" spans="1:53" ht="18.75" customHeight="1">
      <c r="A139" s="87"/>
      <c r="B139" s="1886"/>
      <c r="C139" s="1886"/>
      <c r="D139" s="1886"/>
      <c r="E139" s="1886"/>
      <c r="F139" s="1886"/>
      <c r="G139" s="1886"/>
      <c r="H139" s="1886"/>
      <c r="I139" s="1176"/>
      <c r="J139" s="50"/>
      <c r="K139" s="50"/>
      <c r="L139" s="50"/>
      <c r="M139" s="50"/>
      <c r="N139" s="224"/>
      <c r="O139" s="50"/>
      <c r="P139" s="50"/>
      <c r="Q139" s="50"/>
      <c r="R139" s="5"/>
      <c r="S139" s="50"/>
      <c r="T139" s="50"/>
      <c r="U139" s="86"/>
      <c r="V139" s="102"/>
      <c r="W139" s="114"/>
      <c r="X139" s="52"/>
      <c r="Y139" s="52"/>
      <c r="Z139" s="52"/>
      <c r="AA139" s="52"/>
      <c r="AB139" s="52"/>
      <c r="AC139" s="52"/>
      <c r="AH139" s="141"/>
      <c r="AI139" s="61"/>
      <c r="AJ139" s="121"/>
      <c r="AK139" s="61"/>
      <c r="AL139" s="61"/>
      <c r="AM139" s="61"/>
      <c r="AN139" s="61"/>
      <c r="AO139" s="61"/>
      <c r="AP139" s="61"/>
      <c r="AQ139" s="61"/>
      <c r="AR139" s="61"/>
      <c r="AS139" s="61"/>
      <c r="AT139" s="61"/>
      <c r="AU139" s="61"/>
      <c r="AV139" s="61"/>
      <c r="AW139" s="61"/>
      <c r="AX139" s="61"/>
      <c r="AY139" s="61"/>
      <c r="AZ139" s="61"/>
      <c r="BA139" s="61"/>
    </row>
    <row r="140" spans="1:53" ht="16.5" customHeight="1">
      <c r="A140" s="427"/>
      <c r="B140" s="1749" t="s">
        <v>177</v>
      </c>
      <c r="C140" s="1175"/>
      <c r="D140" s="1088" t="str">
        <f>ReportData!$D$27</f>
        <v>2019/20</v>
      </c>
      <c r="E140" s="1088" t="str">
        <f>ReportData!$E$27</f>
        <v>2020/21</v>
      </c>
      <c r="F140" s="1088" t="str">
        <f>ReportData!$F$27</f>
        <v>2021/22</v>
      </c>
      <c r="G140" s="1088" t="str">
        <f>ReportData!$G$27</f>
        <v>2022/23</v>
      </c>
      <c r="H140" s="1089" t="str">
        <f>ReportData!$H$27</f>
        <v>2023/24</v>
      </c>
      <c r="I140" s="525"/>
      <c r="J140" s="50"/>
      <c r="K140" s="50"/>
      <c r="L140" s="50"/>
      <c r="M140" s="50"/>
      <c r="N140" s="224"/>
      <c r="O140" s="50"/>
      <c r="P140" s="50"/>
      <c r="Q140" s="50"/>
      <c r="R140" s="5"/>
      <c r="S140" s="50"/>
      <c r="T140" s="50"/>
      <c r="U140" s="86"/>
      <c r="V140" s="102"/>
      <c r="W140" s="114"/>
      <c r="X140" s="52"/>
      <c r="Y140" s="52"/>
      <c r="Z140" s="52"/>
      <c r="AA140" s="52"/>
      <c r="AB140" s="52"/>
      <c r="AC140" s="52"/>
      <c r="AH140" s="141"/>
      <c r="AI140" s="61"/>
      <c r="AJ140" s="121"/>
      <c r="AK140" s="61"/>
      <c r="AL140" s="61"/>
      <c r="AM140" s="61"/>
      <c r="AN140" s="61"/>
      <c r="AO140" s="61"/>
      <c r="AP140" s="61"/>
      <c r="AQ140" s="61"/>
      <c r="AR140" s="61"/>
      <c r="AS140" s="61"/>
      <c r="AT140" s="61"/>
      <c r="AU140" s="61"/>
      <c r="AV140" s="61"/>
      <c r="AW140" s="61"/>
      <c r="AX140" s="61"/>
      <c r="AY140" s="61"/>
      <c r="AZ140" s="61"/>
      <c r="BA140" s="61"/>
    </row>
    <row r="141" spans="1:53" s="61" customFormat="1" ht="17.25" customHeight="1">
      <c r="A141" s="1148"/>
      <c r="B141" s="1750"/>
      <c r="C141" s="896"/>
      <c r="D141" s="897" t="e">
        <f>ReportData!$D$28</f>
        <v>#N/A</v>
      </c>
      <c r="E141" s="897" t="e">
        <f>ReportData!$E$28</f>
        <v>#N/A</v>
      </c>
      <c r="F141" s="897" t="e">
        <f>ReportData!$F$28</f>
        <v>#N/A</v>
      </c>
      <c r="G141" s="897" t="e">
        <f>ReportData!$G$28</f>
        <v>#N/A</v>
      </c>
      <c r="H141" s="920" t="e">
        <f>ReportData!$H$28</f>
        <v>#N/A</v>
      </c>
      <c r="I141" s="68"/>
      <c r="J141" s="68"/>
      <c r="K141" s="43"/>
      <c r="L141" s="43"/>
      <c r="M141" s="43"/>
      <c r="N141" s="43"/>
      <c r="O141" s="43"/>
      <c r="P141" s="43"/>
      <c r="Q141" s="225"/>
      <c r="R141" s="225"/>
      <c r="S141" s="120"/>
      <c r="T141" s="226"/>
      <c r="U141" s="89"/>
      <c r="V141" s="103"/>
      <c r="W141" s="115"/>
      <c r="X141" s="143"/>
      <c r="Y141" s="262" t="e">
        <f>D141</f>
        <v>#N/A</v>
      </c>
      <c r="Z141" s="262" t="e">
        <f>E141</f>
        <v>#N/A</v>
      </c>
      <c r="AA141" s="262" t="e">
        <f>F141</f>
        <v>#N/A</v>
      </c>
      <c r="AB141" s="262" t="e">
        <f>G141</f>
        <v>#N/A</v>
      </c>
      <c r="AC141" s="262" t="e">
        <f>H141</f>
        <v>#N/A</v>
      </c>
      <c r="AD141" s="149"/>
      <c r="AE141" s="141"/>
      <c r="AF141" s="141"/>
      <c r="AG141" s="141"/>
      <c r="AH141" s="141"/>
      <c r="AJ141" s="121"/>
    </row>
    <row r="142" spans="1:53" s="61" customFormat="1" ht="13.5" customHeight="1">
      <c r="A142" s="1103">
        <f>VLOOKUP(B142,ReportData!$AQ$4:$AR$25,2,FALSE)</f>
        <v>0</v>
      </c>
      <c r="B142" s="885" t="str">
        <f t="shared" ref="B142:B162" si="37">B11</f>
        <v>Bracknell Forest</v>
      </c>
      <c r="C142" s="896"/>
      <c r="D142" s="922">
        <f t="shared" ref="D142:D162" si="38">IF(AND(ISNUMBER(D11),ISNUMBER(Y142)),Y142/D11,NA())</f>
        <v>0.77431906614785995</v>
      </c>
      <c r="E142" s="922">
        <f t="shared" ref="E142:E162" si="39">IF(AND(ISNUMBER(E11),ISNUMBER(Z142)),Z142/E11,NA())</f>
        <v>0.79622641509433967</v>
      </c>
      <c r="F142" s="922">
        <f t="shared" ref="F142:F162" si="40">IF(AND(ISNUMBER(F11),ISNUMBER(AA142)),AA142/F11,NA())</f>
        <v>0.84420289855072461</v>
      </c>
      <c r="G142" s="922">
        <f t="shared" ref="G142:G162" si="41">IF(AND(ISNUMBER(G11),ISNUMBER(AB142)),AB142/G11,NA())</f>
        <v>0.76326530612244903</v>
      </c>
      <c r="H142" s="923">
        <f t="shared" ref="H142:H162" si="42">IF(AND(ISNUMBER(H11),ISNUMBER(AC142)),AC142/H11,NA())</f>
        <v>0.74100719424460426</v>
      </c>
      <c r="I142" s="68"/>
      <c r="J142" s="68"/>
      <c r="K142" s="127"/>
      <c r="L142" s="127"/>
      <c r="M142" s="127"/>
      <c r="N142" s="127"/>
      <c r="O142" s="127"/>
      <c r="P142" s="127"/>
      <c r="Q142" s="127"/>
      <c r="R142" s="128"/>
      <c r="S142" s="120"/>
      <c r="T142" s="127"/>
      <c r="U142" s="89"/>
      <c r="V142" s="103"/>
      <c r="W142" s="115"/>
      <c r="X142" s="261" t="str">
        <f t="shared" ref="X142:X162" si="43">B11</f>
        <v>Bracknell Forest</v>
      </c>
      <c r="Y142" s="66">
        <f>IF(Year1_Bracknell_Forest Year1_CP_Conference_within15days="","",Year1_Bracknell_Forest Year1_CP_Conference_within15days)</f>
        <v>199</v>
      </c>
      <c r="Z142" s="66">
        <f>IF(Year2_Bracknell_Forest Year2_CP_Conference_within15days="","",Year2_Bracknell_Forest Year2_CP_Conference_within15days)</f>
        <v>211</v>
      </c>
      <c r="AA142" s="66">
        <f>IF(Year3_Bracknell_Forest Year3_CP_Conference_within15days="","",Year3_Bracknell_Forest Year3_CP_Conference_within15days)</f>
        <v>233</v>
      </c>
      <c r="AB142" s="66">
        <f>IF(Year4_Bracknell_Forest Year4_CP_Conference_within15days="","",Year4_Bracknell_Forest Year4_CP_Conference_within15days)</f>
        <v>187</v>
      </c>
      <c r="AC142" s="67">
        <f>IF(Year5_Bracknell_Forest Year5_CP_Conference_within15days="","",Year5_Bracknell_Forest Year5_CP_Conference_within15days)</f>
        <v>103</v>
      </c>
      <c r="AD142" s="149"/>
      <c r="AE142" s="141"/>
      <c r="AF142" s="141"/>
      <c r="AG142" s="141"/>
      <c r="AH142" s="141"/>
      <c r="AJ142" s="121"/>
    </row>
    <row r="143" spans="1:53" s="61" customFormat="1" ht="13.5" customHeight="1">
      <c r="A143" s="1103">
        <f>VLOOKUP(B143,ReportData!$AQ$4:$AR$25,2,FALSE)</f>
        <v>0</v>
      </c>
      <c r="B143" s="885" t="str">
        <f t="shared" si="37"/>
        <v>Brighton &amp; Hove</v>
      </c>
      <c r="C143" s="896"/>
      <c r="D143" s="922">
        <f t="shared" si="38"/>
        <v>0.89699570815450647</v>
      </c>
      <c r="E143" s="922">
        <f t="shared" si="39"/>
        <v>0.90211640211640209</v>
      </c>
      <c r="F143" s="922">
        <f t="shared" si="40"/>
        <v>0.88205128205128203</v>
      </c>
      <c r="G143" s="922">
        <f t="shared" si="41"/>
        <v>0.89572192513368987</v>
      </c>
      <c r="H143" s="923">
        <f t="shared" si="42"/>
        <v>0.89504373177842567</v>
      </c>
      <c r="I143" s="68"/>
      <c r="J143" s="68"/>
      <c r="K143" s="127"/>
      <c r="L143" s="127"/>
      <c r="M143" s="127"/>
      <c r="N143" s="127"/>
      <c r="O143" s="127"/>
      <c r="P143" s="127"/>
      <c r="Q143" s="127"/>
      <c r="R143" s="128"/>
      <c r="S143" s="120"/>
      <c r="T143" s="127"/>
      <c r="U143" s="89"/>
      <c r="V143" s="103"/>
      <c r="W143" s="115"/>
      <c r="X143" s="261" t="str">
        <f t="shared" si="43"/>
        <v>Brighton &amp; Hove</v>
      </c>
      <c r="Y143" s="66">
        <f>IF(Year1_Brighton_and_Hove Year1_CP_Conference_within15days="","",Year1_Brighton_and_Hove Year1_CP_Conference_within15days)</f>
        <v>418</v>
      </c>
      <c r="Z143" s="66">
        <f>IF(Year2_Brighton_and_Hove Year2_CP_Conference_within15days="","",Year2_Brighton_and_Hove Year2_CP_Conference_within15days)</f>
        <v>341</v>
      </c>
      <c r="AA143" s="66">
        <f>IF(Year3_Brighton_and_Hove Year3_CP_Conference_within15days="","",Year3_Brighton_and_Hove Year3_CP_Conference_within15days)</f>
        <v>344</v>
      </c>
      <c r="AB143" s="66">
        <f>IF(Year4_Brighton_and_Hove Year4_CP_Conference_within15days="","",Year4_Brighton_and_Hove Year4_CP_Conference_within15days)</f>
        <v>335</v>
      </c>
      <c r="AC143" s="67">
        <f>IF(Year5_Brighton_and_Hove Year5_CP_Conference_within15days="","",Year5_Brighton_and_Hove Year5_CP_Conference_within15days)</f>
        <v>307</v>
      </c>
      <c r="AD143" s="149"/>
      <c r="AE143" s="141"/>
      <c r="AF143" s="141"/>
      <c r="AG143" s="141"/>
      <c r="AH143" s="141"/>
      <c r="AJ143" s="121"/>
    </row>
    <row r="144" spans="1:53" s="61" customFormat="1" ht="13.5" customHeight="1">
      <c r="A144" s="1103">
        <f>VLOOKUP(B144,ReportData!$AQ$4:$AR$25,2,FALSE)</f>
        <v>0</v>
      </c>
      <c r="B144" s="885" t="str">
        <f t="shared" si="37"/>
        <v>Buckinghamshire</v>
      </c>
      <c r="C144" s="896"/>
      <c r="D144" s="922">
        <f t="shared" si="38"/>
        <v>0.7537922987164527</v>
      </c>
      <c r="E144" s="922">
        <f t="shared" si="39"/>
        <v>0.84110787172011658</v>
      </c>
      <c r="F144" s="922">
        <f t="shared" si="40"/>
        <v>0.59808612440191389</v>
      </c>
      <c r="G144" s="922">
        <f t="shared" si="41"/>
        <v>0.7008426966292135</v>
      </c>
      <c r="H144" s="923">
        <f t="shared" si="42"/>
        <v>0.69444444444444442</v>
      </c>
      <c r="I144" s="68"/>
      <c r="J144" s="68"/>
      <c r="K144" s="127"/>
      <c r="L144" s="127"/>
      <c r="M144" s="127"/>
      <c r="N144" s="127"/>
      <c r="O144" s="127"/>
      <c r="P144" s="127"/>
      <c r="Q144" s="127"/>
      <c r="R144" s="128"/>
      <c r="S144" s="120"/>
      <c r="T144" s="127"/>
      <c r="U144" s="89"/>
      <c r="V144" s="103"/>
      <c r="W144" s="115"/>
      <c r="X144" s="261" t="str">
        <f t="shared" si="43"/>
        <v>Buckinghamshire</v>
      </c>
      <c r="Y144" s="66">
        <f>IF(Year1_Buckinghamshire Year1_CP_Conference_within15days="","",Year1_Buckinghamshire Year1_CP_Conference_within15days)</f>
        <v>646</v>
      </c>
      <c r="Z144" s="66">
        <f>IF(Year2_Buckinghamshire Year2_CP_Conference_within15days="","",Year2_Buckinghamshire Year2_CP_Conference_within15days)</f>
        <v>577</v>
      </c>
      <c r="AA144" s="66">
        <f>IF(Year3_Buckinghamshire Year3_CP_Conference_within15days="","",Year3_Buckinghamshire Year3_CP_Conference_within15days)</f>
        <v>625</v>
      </c>
      <c r="AB144" s="66">
        <f>IF(Year4_Buckinghamshire Year4_CP_Conference_within15days="","",Year4_Buckinghamshire Year4_CP_Conference_within15days)</f>
        <v>499</v>
      </c>
      <c r="AC144" s="67">
        <f>IF(Year5_Buckinghamshire Year5_CP_Conference_within15days="","",Year5_Buckinghamshire Year5_CP_Conference_within15days)</f>
        <v>450</v>
      </c>
      <c r="AD144" s="149"/>
      <c r="AE144" s="141"/>
      <c r="AF144" s="141"/>
      <c r="AG144" s="141"/>
      <c r="AH144" s="141"/>
      <c r="AJ144" s="121"/>
    </row>
    <row r="145" spans="1:44" s="61" customFormat="1" ht="13.5" customHeight="1">
      <c r="A145" s="1103">
        <f>VLOOKUP(B145,ReportData!$AQ$4:$AR$25,2,FALSE)</f>
        <v>0</v>
      </c>
      <c r="B145" s="885" t="str">
        <f t="shared" si="37"/>
        <v>East Sussex</v>
      </c>
      <c r="C145" s="896"/>
      <c r="D145" s="922">
        <f t="shared" si="38"/>
        <v>0.81368267831149932</v>
      </c>
      <c r="E145" s="922">
        <f t="shared" si="39"/>
        <v>0.79227696404793613</v>
      </c>
      <c r="F145" s="922">
        <f t="shared" si="40"/>
        <v>0.81186685962373373</v>
      </c>
      <c r="G145" s="922">
        <f t="shared" si="41"/>
        <v>0.7040194884287454</v>
      </c>
      <c r="H145" s="923">
        <f t="shared" si="42"/>
        <v>0.78181818181818186</v>
      </c>
      <c r="I145" s="68"/>
      <c r="J145" s="68"/>
      <c r="K145" s="127"/>
      <c r="L145" s="127"/>
      <c r="M145" s="127"/>
      <c r="N145" s="127"/>
      <c r="O145" s="127"/>
      <c r="P145" s="127"/>
      <c r="Q145" s="127"/>
      <c r="R145" s="128"/>
      <c r="S145" s="120"/>
      <c r="T145" s="127"/>
      <c r="U145" s="89"/>
      <c r="V145" s="103"/>
      <c r="W145" s="115"/>
      <c r="X145" s="261" t="str">
        <f t="shared" si="43"/>
        <v>East Sussex</v>
      </c>
      <c r="Y145" s="66">
        <f>IF(Year1_East_Sussex Year1_CP_Conference_within15days="","",Year1_East_Sussex Year1_CP_Conference_within15days)</f>
        <v>559</v>
      </c>
      <c r="Z145" s="66">
        <f>IF(Year2_East_Sussex Year2_CP_Conference_within15days="","",Year2_East_Sussex Year2_CP_Conference_within15days)</f>
        <v>595</v>
      </c>
      <c r="AA145" s="66">
        <f>IF(Year3_East_Sussex Year3_CP_Conference_within15days="","",Year3_East_Sussex Year3_CP_Conference_within15days)</f>
        <v>561</v>
      </c>
      <c r="AB145" s="66">
        <f>IF(Year4_East_Sussex Year4_CP_Conference_within15days="","",Year4_East_Sussex Year4_CP_Conference_within15days)</f>
        <v>578</v>
      </c>
      <c r="AC145" s="67">
        <f>IF(Year5_East_Sussex Year5_CP_Conference_within15days="","",Year5_East_Sussex Year5_CP_Conference_within15days)</f>
        <v>645</v>
      </c>
      <c r="AD145" s="149"/>
      <c r="AE145" s="141"/>
      <c r="AF145" s="141"/>
      <c r="AG145" s="141"/>
      <c r="AH145" s="141"/>
      <c r="AJ145" s="121"/>
      <c r="AR145" s="61" t="s">
        <v>95</v>
      </c>
    </row>
    <row r="146" spans="1:44" s="61" customFormat="1" ht="13.5" customHeight="1">
      <c r="A146" s="1103">
        <f>VLOOKUP(B146,ReportData!$AQ$4:$AR$25,2,FALSE)</f>
        <v>0</v>
      </c>
      <c r="B146" s="885" t="str">
        <f t="shared" si="37"/>
        <v>Hampshire</v>
      </c>
      <c r="C146" s="896"/>
      <c r="D146" s="922">
        <f t="shared" si="38"/>
        <v>0.77097791798107251</v>
      </c>
      <c r="E146" s="922">
        <f t="shared" si="39"/>
        <v>0.87096774193548387</v>
      </c>
      <c r="F146" s="922">
        <f t="shared" si="40"/>
        <v>0.82374541003671975</v>
      </c>
      <c r="G146" s="922">
        <f t="shared" si="41"/>
        <v>0.78605769230769229</v>
      </c>
      <c r="H146" s="923" t="e">
        <f t="shared" si="42"/>
        <v>#N/A</v>
      </c>
      <c r="I146" s="68"/>
      <c r="J146" s="68"/>
      <c r="K146" s="127"/>
      <c r="L146" s="127"/>
      <c r="M146" s="127"/>
      <c r="N146" s="127"/>
      <c r="O146" s="127"/>
      <c r="P146" s="127"/>
      <c r="Q146" s="127"/>
      <c r="R146" s="128"/>
      <c r="S146" s="120"/>
      <c r="T146" s="127"/>
      <c r="U146" s="89"/>
      <c r="V146" s="103"/>
      <c r="W146" s="115"/>
      <c r="X146" s="261" t="str">
        <f t="shared" si="43"/>
        <v>Hampshire</v>
      </c>
      <c r="Y146" s="66">
        <f>IF(Year1_Hampshire Year1_CP_Conference_within15days="","",Year1_Hampshire Year1_CP_Conference_within15days)</f>
        <v>1222</v>
      </c>
      <c r="Z146" s="66">
        <f>IF(Year2_Hampshire Year2_CP_Conference_within15days="","",Year2_Hampshire Year2_CP_Conference_within15days)</f>
        <v>1485</v>
      </c>
      <c r="AA146" s="72">
        <f>IF(Year3_Hampshire Year3_CP_Conference_within15days="","",Year3_Hampshire Year3_CP_Conference_within15days)</f>
        <v>1346</v>
      </c>
      <c r="AB146" s="72">
        <f>IF(Year4_Hampshire Year4_CP_Conference_within15days="","",Year4_Hampshire Year4_CP_Conference_within15days)</f>
        <v>1308</v>
      </c>
      <c r="AC146" s="67" t="str">
        <f>IF(Year5_Hampshire Year5_CP_Conference_within15days="","",Year5_Hampshire Year5_CP_Conference_within15days)</f>
        <v>u</v>
      </c>
      <c r="AD146" s="149"/>
      <c r="AE146" s="141"/>
      <c r="AF146" s="141"/>
      <c r="AG146" s="141"/>
      <c r="AH146" s="141"/>
      <c r="AJ146" s="121"/>
    </row>
    <row r="147" spans="1:44" s="61" customFormat="1" ht="13.5" customHeight="1">
      <c r="A147" s="1103">
        <f>VLOOKUP(B147,ReportData!$AQ$4:$AR$25,2,FALSE)</f>
        <v>0</v>
      </c>
      <c r="B147" s="885" t="str">
        <f t="shared" si="37"/>
        <v>Isle of Wight</v>
      </c>
      <c r="C147" s="896"/>
      <c r="D147" s="922">
        <f t="shared" si="38"/>
        <v>0.83116883116883122</v>
      </c>
      <c r="E147" s="922">
        <f t="shared" si="39"/>
        <v>0.75875486381322954</v>
      </c>
      <c r="F147" s="922">
        <f t="shared" si="40"/>
        <v>0.7992700729927007</v>
      </c>
      <c r="G147" s="922">
        <f t="shared" si="41"/>
        <v>0.66360856269113155</v>
      </c>
      <c r="H147" s="923">
        <f t="shared" si="42"/>
        <v>0.72826086956521741</v>
      </c>
      <c r="I147" s="68"/>
      <c r="J147" s="68"/>
      <c r="K147" s="127"/>
      <c r="L147" s="127"/>
      <c r="M147" s="127"/>
      <c r="N147" s="127"/>
      <c r="O147" s="127"/>
      <c r="P147" s="127"/>
      <c r="Q147" s="127"/>
      <c r="R147" s="128"/>
      <c r="S147" s="120"/>
      <c r="T147" s="127"/>
      <c r="U147" s="89"/>
      <c r="V147" s="103"/>
      <c r="W147" s="115"/>
      <c r="X147" s="261" t="str">
        <f t="shared" si="43"/>
        <v>Isle of Wight</v>
      </c>
      <c r="Y147" s="66">
        <f>IF(Year1_Isle_of_Wight Year1_CP_Conference_within15days="","",Year1_Isle_of_Wight Year1_CP_Conference_within15days)</f>
        <v>128</v>
      </c>
      <c r="Z147" s="66">
        <f>IF(Year2_Isle_of_Wight Year2_CP_Conference_within15days="","",Year2_Isle_of_Wight Year2_CP_Conference_within15days)</f>
        <v>195</v>
      </c>
      <c r="AA147" s="66">
        <f>IF(Year3_Isle_of_Wight Year3_CP_Conference_within15days="","",Year3_Isle_of_Wight Year3_CP_Conference_within15days)</f>
        <v>219</v>
      </c>
      <c r="AB147" s="66">
        <f>IF(Year4_Isle_of_Wight Year4_CP_Conference_within15days="","",Year4_Isle_of_Wight Year4_CP_Conference_within15days)</f>
        <v>217</v>
      </c>
      <c r="AC147" s="67">
        <f>IF(Year5_Isle_of_Wight Year5_CP_Conference_within15days="","",Year5_Isle_of_Wight Year5_CP_Conference_within15days)</f>
        <v>201</v>
      </c>
      <c r="AD147" s="149"/>
      <c r="AE147" s="141"/>
      <c r="AF147" s="141"/>
      <c r="AG147" s="141"/>
      <c r="AH147" s="141"/>
      <c r="AJ147" s="121"/>
    </row>
    <row r="148" spans="1:44" s="61" customFormat="1" ht="13.5" customHeight="1">
      <c r="A148" s="1103">
        <f>VLOOKUP(B148,ReportData!$AQ$4:$AR$25,2,FALSE)</f>
        <v>0</v>
      </c>
      <c r="B148" s="885" t="str">
        <f t="shared" si="37"/>
        <v>Kent</v>
      </c>
      <c r="C148" s="896"/>
      <c r="D148" s="922">
        <f t="shared" si="38"/>
        <v>0.86744868035190614</v>
      </c>
      <c r="E148" s="922">
        <f t="shared" si="39"/>
        <v>0.88518024032042719</v>
      </c>
      <c r="F148" s="922">
        <f t="shared" si="40"/>
        <v>0.85790094339622647</v>
      </c>
      <c r="G148" s="922">
        <f t="shared" si="41"/>
        <v>0.81211441390914185</v>
      </c>
      <c r="H148" s="923">
        <f t="shared" si="42"/>
        <v>0.87548138639281126</v>
      </c>
      <c r="I148" s="68"/>
      <c r="J148" s="68"/>
      <c r="K148" s="127"/>
      <c r="L148" s="127"/>
      <c r="M148" s="127"/>
      <c r="N148" s="127"/>
      <c r="O148" s="127"/>
      <c r="P148" s="127"/>
      <c r="Q148" s="127"/>
      <c r="R148" s="128"/>
      <c r="S148" s="120"/>
      <c r="T148" s="127"/>
      <c r="U148" s="89"/>
      <c r="V148" s="103"/>
      <c r="W148" s="115"/>
      <c r="X148" s="261" t="str">
        <f t="shared" si="43"/>
        <v>Kent</v>
      </c>
      <c r="Y148" s="66">
        <f>IF(Year1_Kent Year1_CP_Conference_within15days="","",Year1_Kent Year1_CP_Conference_within15days)</f>
        <v>1479</v>
      </c>
      <c r="Z148" s="66">
        <f>IF(Year2_Kent Year2_CP_Conference_within15days="","",Year2_Kent Year2_CP_Conference_within15days)</f>
        <v>1326</v>
      </c>
      <c r="AA148" s="66">
        <f>IF(Year3_Kent Year3_CP_Conference_within15days="","",Year3_Kent Year3_CP_Conference_within15days)</f>
        <v>1455</v>
      </c>
      <c r="AB148" s="66">
        <f>IF(Year4_Kent Year4_CP_Conference_within15days="","",Year4_Kent Year4_CP_Conference_within15days)</f>
        <v>1448</v>
      </c>
      <c r="AC148" s="67">
        <f>IF(Year5_Kent Year5_CP_Conference_within15days="","",Year5_Kent Year5_CP_Conference_within15days)</f>
        <v>1364</v>
      </c>
      <c r="AD148" s="149"/>
      <c r="AE148" s="141"/>
      <c r="AF148" s="141"/>
      <c r="AG148" s="141"/>
      <c r="AH148" s="141"/>
      <c r="AJ148" s="121"/>
    </row>
    <row r="149" spans="1:44" s="61" customFormat="1" ht="13.5" customHeight="1">
      <c r="A149" s="1103">
        <f>VLOOKUP(B149,ReportData!$AQ$4:$AR$25,2,FALSE)</f>
        <v>0</v>
      </c>
      <c r="B149" s="885" t="str">
        <f t="shared" si="37"/>
        <v>Medway</v>
      </c>
      <c r="C149" s="896"/>
      <c r="D149" s="922">
        <f t="shared" si="38"/>
        <v>0.73913043478260865</v>
      </c>
      <c r="E149" s="922">
        <f t="shared" si="39"/>
        <v>0.85018726591760296</v>
      </c>
      <c r="F149" s="922">
        <f t="shared" si="40"/>
        <v>0.92948717948717952</v>
      </c>
      <c r="G149" s="922">
        <f t="shared" si="41"/>
        <v>0.90712742980561556</v>
      </c>
      <c r="H149" s="923">
        <f t="shared" si="42"/>
        <v>0.85894736842105268</v>
      </c>
      <c r="I149" s="68"/>
      <c r="J149" s="68"/>
      <c r="K149" s="127"/>
      <c r="L149" s="127"/>
      <c r="M149" s="127"/>
      <c r="N149" s="127"/>
      <c r="O149" s="127"/>
      <c r="P149" s="127"/>
      <c r="Q149" s="127"/>
      <c r="R149" s="128"/>
      <c r="S149" s="120"/>
      <c r="T149" s="127"/>
      <c r="U149" s="89"/>
      <c r="V149" s="103"/>
      <c r="W149" s="115"/>
      <c r="X149" s="261" t="str">
        <f t="shared" si="43"/>
        <v>Medway</v>
      </c>
      <c r="Y149" s="66">
        <f>IF(Year1_Medway Year1_CP_Conference_within15days="","",Year1_Medway Year1_CP_Conference_within15days)</f>
        <v>493</v>
      </c>
      <c r="Z149" s="66">
        <f>IF(Year2_Medway Year2_CP_Conference_within15days="","",Year2_Medway Year2_CP_Conference_within15days)</f>
        <v>227</v>
      </c>
      <c r="AA149" s="66">
        <f>IF(Year3_Medway Year3_CP_Conference_within15days="","",Year3_Medway Year3_CP_Conference_within15days)</f>
        <v>290</v>
      </c>
      <c r="AB149" s="66">
        <f>IF(Year4_Medway Year4_CP_Conference_within15days="","",Year4_Medway Year4_CP_Conference_within15days)</f>
        <v>420</v>
      </c>
      <c r="AC149" s="67">
        <f>IF(Year5_Medway Year5_CP_Conference_within15days="","",Year5_Medway Year5_CP_Conference_within15days)</f>
        <v>408</v>
      </c>
      <c r="AD149" s="149"/>
      <c r="AE149" s="141"/>
      <c r="AF149" s="141"/>
      <c r="AG149" s="141"/>
      <c r="AH149" s="141"/>
      <c r="AJ149" s="121"/>
    </row>
    <row r="150" spans="1:44" s="61" customFormat="1" ht="13.5" customHeight="1">
      <c r="A150" s="1103">
        <f>VLOOKUP(B150,ReportData!$AQ$4:$AR$25,2,FALSE)</f>
        <v>0</v>
      </c>
      <c r="B150" s="885" t="str">
        <f t="shared" si="37"/>
        <v>Milton Keynes</v>
      </c>
      <c r="C150" s="896"/>
      <c r="D150" s="922">
        <f t="shared" si="38"/>
        <v>0.90874524714828897</v>
      </c>
      <c r="E150" s="922">
        <f t="shared" si="39"/>
        <v>0.92537313432835822</v>
      </c>
      <c r="F150" s="922">
        <f t="shared" si="40"/>
        <v>0.74657534246575341</v>
      </c>
      <c r="G150" s="922">
        <f t="shared" si="41"/>
        <v>0.80674846625766872</v>
      </c>
      <c r="H150" s="923">
        <f t="shared" si="42"/>
        <v>0.68955223880597016</v>
      </c>
      <c r="I150" s="68"/>
      <c r="J150" s="68"/>
      <c r="K150" s="127"/>
      <c r="L150" s="127"/>
      <c r="M150" s="127"/>
      <c r="N150" s="127"/>
      <c r="O150" s="127"/>
      <c r="P150" s="127"/>
      <c r="Q150" s="127"/>
      <c r="R150" s="128"/>
      <c r="S150" s="120"/>
      <c r="T150" s="127"/>
      <c r="U150" s="89"/>
      <c r="V150" s="103"/>
      <c r="W150" s="115"/>
      <c r="X150" s="261" t="str">
        <f t="shared" si="43"/>
        <v>Milton Keynes</v>
      </c>
      <c r="Y150" s="66">
        <f>IF(Year1_Milton_Keynes Year1_CP_Conference_within15days="","",Year1_Milton_Keynes Year1_CP_Conference_within15days)</f>
        <v>239</v>
      </c>
      <c r="Z150" s="66">
        <f>IF(Year2_Milton_Keynes Year2_CP_Conference_within15days="","",Year2_Milton_Keynes Year2_CP_Conference_within15days)</f>
        <v>248</v>
      </c>
      <c r="AA150" s="66">
        <f>IF(Year3_Milton_Keynes Year3_CP_Conference_within15days="","",Year3_Milton_Keynes Year3_CP_Conference_within15days)</f>
        <v>218</v>
      </c>
      <c r="AB150" s="66">
        <f>IF(Year4_Milton_Keynes Year4_CP_Conference_within15days="","",Year4_Milton_Keynes Year4_CP_Conference_within15days)</f>
        <v>263</v>
      </c>
      <c r="AC150" s="67">
        <f>IF(Year5_Milton_Keynes Year5_CP_Conference_within15days="","",Year5_Milton_Keynes Year5_CP_Conference_within15days)</f>
        <v>231</v>
      </c>
      <c r="AD150" s="149"/>
      <c r="AE150" s="141"/>
      <c r="AF150" s="141"/>
      <c r="AG150" s="141"/>
      <c r="AH150" s="141"/>
      <c r="AJ150" s="121"/>
    </row>
    <row r="151" spans="1:44" s="61" customFormat="1" ht="13.5" customHeight="1">
      <c r="A151" s="1103">
        <f>VLOOKUP(B151,ReportData!$AQ$4:$AR$25,2,FALSE)</f>
        <v>0</v>
      </c>
      <c r="B151" s="885" t="str">
        <f t="shared" si="37"/>
        <v>Oxfordshire</v>
      </c>
      <c r="C151" s="896"/>
      <c r="D151" s="922">
        <f t="shared" si="38"/>
        <v>0.78060046189376442</v>
      </c>
      <c r="E151" s="922">
        <f t="shared" si="39"/>
        <v>0.80620155038759689</v>
      </c>
      <c r="F151" s="922">
        <f t="shared" si="40"/>
        <v>0.60023866348448685</v>
      </c>
      <c r="G151" s="922">
        <f t="shared" si="41"/>
        <v>0.79515151515151516</v>
      </c>
      <c r="H151" s="923">
        <f t="shared" si="42"/>
        <v>0.80913978494623651</v>
      </c>
      <c r="I151" s="68"/>
      <c r="J151" s="68"/>
      <c r="K151" s="127"/>
      <c r="L151" s="127"/>
      <c r="M151" s="127"/>
      <c r="N151" s="127"/>
      <c r="O151" s="127"/>
      <c r="P151" s="127"/>
      <c r="Q151" s="127"/>
      <c r="R151" s="128"/>
      <c r="S151" s="120"/>
      <c r="T151" s="127"/>
      <c r="U151" s="89"/>
      <c r="V151" s="103"/>
      <c r="W151" s="115"/>
      <c r="X151" s="261" t="str">
        <f t="shared" si="43"/>
        <v>Oxfordshire</v>
      </c>
      <c r="Y151" s="66">
        <f>IF(Year1_Oxfordshire Year1_CP_Conference_within15days="","",Year1_Oxfordshire Year1_CP_Conference_within15days)</f>
        <v>676</v>
      </c>
      <c r="Z151" s="66">
        <f>IF(Year2_Oxfordshire Year2_CP_Conference_within15days="","",Year2_Oxfordshire Year2_CP_Conference_within15days)</f>
        <v>624</v>
      </c>
      <c r="AA151" s="66">
        <f>IF(Year3_Oxfordshire Year3_CP_Conference_within15days="","",Year3_Oxfordshire Year3_CP_Conference_within15days)</f>
        <v>503</v>
      </c>
      <c r="AB151" s="66">
        <f>IF(Year4_Oxfordshire Year4_CP_Conference_within15days="","",Year4_Oxfordshire Year4_CP_Conference_within15days)</f>
        <v>656</v>
      </c>
      <c r="AC151" s="67">
        <f>IF(Year5_Oxfordshire Year5_CP_Conference_within15days="","",Year5_Oxfordshire Year5_CP_Conference_within15days)</f>
        <v>602</v>
      </c>
      <c r="AD151" s="149"/>
      <c r="AE151" s="141"/>
      <c r="AF151" s="141"/>
      <c r="AG151" s="141"/>
      <c r="AH151" s="141"/>
      <c r="AJ151" s="121"/>
    </row>
    <row r="152" spans="1:44" s="61" customFormat="1" ht="13.5" customHeight="1">
      <c r="A152" s="1103">
        <f>VLOOKUP(B152,ReportData!$AQ$4:$AR$25,2,FALSE)</f>
        <v>0</v>
      </c>
      <c r="B152" s="885" t="str">
        <f t="shared" si="37"/>
        <v>Portsmouth</v>
      </c>
      <c r="C152" s="896"/>
      <c r="D152" s="922">
        <f t="shared" si="38"/>
        <v>0.86094674556213013</v>
      </c>
      <c r="E152" s="922">
        <f t="shared" si="39"/>
        <v>0.49859943977591037</v>
      </c>
      <c r="F152" s="922">
        <f t="shared" si="40"/>
        <v>0.8</v>
      </c>
      <c r="G152" s="922">
        <f t="shared" si="41"/>
        <v>0.85507246376811596</v>
      </c>
      <c r="H152" s="923">
        <f t="shared" si="42"/>
        <v>0.84457478005865105</v>
      </c>
      <c r="I152" s="68"/>
      <c r="J152" s="68"/>
      <c r="K152" s="127"/>
      <c r="L152" s="127"/>
      <c r="M152" s="127"/>
      <c r="N152" s="127"/>
      <c r="O152" s="127"/>
      <c r="P152" s="127"/>
      <c r="Q152" s="127"/>
      <c r="R152" s="128"/>
      <c r="S152" s="120"/>
      <c r="T152" s="127"/>
      <c r="U152" s="89"/>
      <c r="V152" s="103"/>
      <c r="W152" s="115"/>
      <c r="X152" s="261" t="str">
        <f t="shared" si="43"/>
        <v>Portsmouth</v>
      </c>
      <c r="Y152" s="66">
        <f>IF(Year1_Portsmouth Year1_CP_Conference_within15days="","",Year1_Portsmouth Year1_CP_Conference_within15days)</f>
        <v>291</v>
      </c>
      <c r="Z152" s="66">
        <f>IF(Year2_Portsmouth Year2_CP_Conference_within15days="","",Year2_Portsmouth Year2_CP_Conference_within15days)</f>
        <v>178</v>
      </c>
      <c r="AA152" s="66">
        <f>IF(Year3_Portsmouth Year3_CP_Conference_within15days="","",Year3_Portsmouth Year3_CP_Conference_within15days)</f>
        <v>224</v>
      </c>
      <c r="AB152" s="66">
        <f>IF(Year4_Portsmouth Year4_CP_Conference_within15days="","",Year4_Portsmouth Year4_CP_Conference_within15days)</f>
        <v>236</v>
      </c>
      <c r="AC152" s="67">
        <f>IF(Year5_Portsmouth Year5_CP_Conference_within15days="","",Year5_Portsmouth Year5_CP_Conference_within15days)</f>
        <v>288</v>
      </c>
      <c r="AD152" s="149"/>
      <c r="AE152" s="141"/>
      <c r="AF152" s="141"/>
      <c r="AG152" s="141"/>
      <c r="AH152" s="141"/>
      <c r="AJ152" s="121"/>
    </row>
    <row r="153" spans="1:44" s="61" customFormat="1" ht="13.5" customHeight="1">
      <c r="A153" s="1103">
        <f>VLOOKUP(B153,ReportData!$AQ$4:$AR$25,2,FALSE)</f>
        <v>0</v>
      </c>
      <c r="B153" s="885" t="str">
        <f t="shared" si="37"/>
        <v>Reading</v>
      </c>
      <c r="C153" s="896"/>
      <c r="D153" s="922">
        <f t="shared" si="38"/>
        <v>0.78504672897196259</v>
      </c>
      <c r="E153" s="922">
        <f t="shared" si="39"/>
        <v>0.79427083333333337</v>
      </c>
      <c r="F153" s="922">
        <f t="shared" si="40"/>
        <v>0.73204419889502759</v>
      </c>
      <c r="G153" s="922">
        <f t="shared" si="41"/>
        <v>0.68731563421828912</v>
      </c>
      <c r="H153" s="923">
        <f t="shared" si="42"/>
        <v>0.68284789644012944</v>
      </c>
      <c r="I153" s="68"/>
      <c r="J153" s="68"/>
      <c r="K153" s="127"/>
      <c r="L153" s="127"/>
      <c r="M153" s="127"/>
      <c r="N153" s="127"/>
      <c r="O153" s="127"/>
      <c r="P153" s="127"/>
      <c r="Q153" s="127"/>
      <c r="R153" s="128"/>
      <c r="S153" s="120"/>
      <c r="T153" s="127"/>
      <c r="U153" s="89"/>
      <c r="V153" s="103"/>
      <c r="W153" s="115"/>
      <c r="X153" s="261" t="str">
        <f t="shared" si="43"/>
        <v>Reading</v>
      </c>
      <c r="Y153" s="66">
        <f>IF(Year1_Reading Year1_CP_Conference_within15days="","",Year1_Reading Year1_CP_Conference_within15days)</f>
        <v>252</v>
      </c>
      <c r="Z153" s="66">
        <f>IF(Year2_Reading Year2_CP_Conference_within15days="","",Year2_Reading Year2_CP_Conference_within15days)</f>
        <v>305</v>
      </c>
      <c r="AA153" s="66">
        <f>IF(Year3_Reading Year3_CP_Conference_within15days="","",Year3_Reading Year3_CP_Conference_within15days)</f>
        <v>265</v>
      </c>
      <c r="AB153" s="66">
        <f>IF(Year4_Reading Year4_CP_Conference_within15days="","",Year4_Reading Year4_CP_Conference_within15days)</f>
        <v>233</v>
      </c>
      <c r="AC153" s="67">
        <f>IF(Year5_Reading Year5_CP_Conference_within15days="","",Year5_Reading Year5_CP_Conference_within15days)</f>
        <v>211</v>
      </c>
      <c r="AD153" s="149"/>
      <c r="AE153" s="141"/>
      <c r="AF153" s="141"/>
      <c r="AG153" s="141"/>
      <c r="AH153" s="141"/>
      <c r="AJ153" s="121"/>
    </row>
    <row r="154" spans="1:44" s="61" customFormat="1" ht="13.5" customHeight="1">
      <c r="A154" s="1103">
        <f>VLOOKUP(B154,ReportData!$AQ$4:$AR$25,2,FALSE)</f>
        <v>0</v>
      </c>
      <c r="B154" s="885" t="str">
        <f t="shared" si="37"/>
        <v>Slough</v>
      </c>
      <c r="C154" s="896"/>
      <c r="D154" s="922">
        <f t="shared" si="38"/>
        <v>0.40206185567010311</v>
      </c>
      <c r="E154" s="922">
        <f t="shared" si="39"/>
        <v>0.65324384787472034</v>
      </c>
      <c r="F154" s="922">
        <f t="shared" si="40"/>
        <v>0.7384615384615385</v>
      </c>
      <c r="G154" s="922">
        <f t="shared" si="41"/>
        <v>0.51081081081081081</v>
      </c>
      <c r="H154" s="923">
        <f t="shared" si="42"/>
        <v>0.83121019108280259</v>
      </c>
      <c r="I154" s="68"/>
      <c r="J154" s="68"/>
      <c r="K154" s="127"/>
      <c r="L154" s="127"/>
      <c r="M154" s="127"/>
      <c r="N154" s="127"/>
      <c r="O154" s="127"/>
      <c r="P154" s="127"/>
      <c r="Q154" s="127"/>
      <c r="R154" s="128"/>
      <c r="S154" s="120"/>
      <c r="T154" s="127"/>
      <c r="U154" s="89"/>
      <c r="V154" s="103"/>
      <c r="W154" s="115"/>
      <c r="X154" s="261" t="str">
        <f t="shared" si="43"/>
        <v>Slough</v>
      </c>
      <c r="Y154" s="66">
        <f>IF(Year1_Slough Year1_CP_Conference_within15days="","",Year1_Slough Year1_CP_Conference_within15days)</f>
        <v>156</v>
      </c>
      <c r="Z154" s="66">
        <f>IF(Year2_Slough Year2_CP_Conference_within15days="","",Year2_Slough Year2_CP_Conference_within15days)</f>
        <v>292</v>
      </c>
      <c r="AA154" s="66">
        <f>IF(Year3_Slough Year3_CP_Conference_within15days="","",Year3_Slough Year3_CP_Conference_within15days)</f>
        <v>288</v>
      </c>
      <c r="AB154" s="66">
        <f>IF(Year4_Slough Year4_CP_Conference_within15days="","",Year4_Slough Year4_CP_Conference_within15days)</f>
        <v>189</v>
      </c>
      <c r="AC154" s="67">
        <f>IF(Year5_Slough Year5_CP_Conference_within15days="","",Year5_Slough Year5_CP_Conference_within15days)</f>
        <v>261</v>
      </c>
      <c r="AD154" s="149"/>
      <c r="AE154" s="141"/>
      <c r="AF154" s="141"/>
      <c r="AG154" s="141"/>
      <c r="AH154" s="141"/>
      <c r="AJ154" s="121"/>
    </row>
    <row r="155" spans="1:44" s="61" customFormat="1" ht="13.5" customHeight="1">
      <c r="A155" s="1103">
        <f>VLOOKUP(B155,ReportData!$AQ$4:$AR$25,2,FALSE)</f>
        <v>0</v>
      </c>
      <c r="B155" s="885" t="str">
        <f t="shared" si="37"/>
        <v>Southampton</v>
      </c>
      <c r="C155" s="896"/>
      <c r="D155" s="922">
        <f t="shared" si="38"/>
        <v>0.55476529160739685</v>
      </c>
      <c r="E155" s="922">
        <f t="shared" si="39"/>
        <v>0.71939736346516003</v>
      </c>
      <c r="F155" s="922">
        <f t="shared" si="40"/>
        <v>0.7210776545166403</v>
      </c>
      <c r="G155" s="922">
        <f t="shared" si="41"/>
        <v>0.67228915662650601</v>
      </c>
      <c r="H155" s="923">
        <f t="shared" si="42"/>
        <v>0.72</v>
      </c>
      <c r="I155" s="68"/>
      <c r="J155" s="68"/>
      <c r="K155" s="127"/>
      <c r="L155" s="127"/>
      <c r="M155" s="127"/>
      <c r="N155" s="127"/>
      <c r="O155" s="127"/>
      <c r="P155" s="127"/>
      <c r="Q155" s="127"/>
      <c r="R155" s="128"/>
      <c r="S155" s="120"/>
      <c r="T155" s="127"/>
      <c r="U155" s="89"/>
      <c r="V155" s="103"/>
      <c r="W155" s="115"/>
      <c r="X155" s="261" t="str">
        <f t="shared" si="43"/>
        <v>Southampton</v>
      </c>
      <c r="Y155" s="66">
        <f>IF(Year1_Southampton Year1_CP_Conference_within15days="","",Year1_Southampton Year1_CP_Conference_within15days)</f>
        <v>390</v>
      </c>
      <c r="Z155" s="66">
        <f>IF(Year2_Southampton Year2_CP_Conference_within15days="","",Year2_Southampton Year2_CP_Conference_within15days)</f>
        <v>382</v>
      </c>
      <c r="AA155" s="66">
        <f>IF(Year3_Southampton Year3_CP_Conference_within15days="","",Year3_Southampton Year3_CP_Conference_within15days)</f>
        <v>455</v>
      </c>
      <c r="AB155" s="66">
        <f>IF(Year4_Southampton Year4_CP_Conference_within15days="","",Year4_Southampton Year4_CP_Conference_within15days)</f>
        <v>279</v>
      </c>
      <c r="AC155" s="67">
        <f>IF(Year5_Southampton Year5_CP_Conference_within15days="","",Year5_Southampton Year5_CP_Conference_within15days)</f>
        <v>270</v>
      </c>
      <c r="AD155" s="149"/>
      <c r="AE155" s="141"/>
      <c r="AF155" s="141"/>
      <c r="AG155" s="141"/>
      <c r="AH155" s="141"/>
      <c r="AJ155" s="121"/>
    </row>
    <row r="156" spans="1:44" s="61" customFormat="1" ht="13.5" customHeight="1">
      <c r="A156" s="1103">
        <f>VLOOKUP(B156,ReportData!$AQ$4:$AR$25,2,FALSE)</f>
        <v>0</v>
      </c>
      <c r="B156" s="885" t="str">
        <f t="shared" si="37"/>
        <v>Surrey</v>
      </c>
      <c r="C156" s="896"/>
      <c r="D156" s="922">
        <f t="shared" si="38"/>
        <v>0.82242990654205606</v>
      </c>
      <c r="E156" s="922">
        <f t="shared" si="39"/>
        <v>0.89013840830449831</v>
      </c>
      <c r="F156" s="922">
        <f t="shared" si="40"/>
        <v>0.8703862660944206</v>
      </c>
      <c r="G156" s="922">
        <f t="shared" si="41"/>
        <v>0.77300000000000002</v>
      </c>
      <c r="H156" s="923">
        <f t="shared" si="42"/>
        <v>0.81792717086834732</v>
      </c>
      <c r="I156" s="68"/>
      <c r="J156" s="68"/>
      <c r="K156" s="127"/>
      <c r="L156" s="127"/>
      <c r="M156" s="127"/>
      <c r="N156" s="127"/>
      <c r="O156" s="127"/>
      <c r="P156" s="127"/>
      <c r="Q156" s="127"/>
      <c r="R156" s="128"/>
      <c r="S156" s="120"/>
      <c r="T156" s="127"/>
      <c r="U156" s="89"/>
      <c r="V156" s="103"/>
      <c r="W156" s="115"/>
      <c r="X156" s="261" t="str">
        <f t="shared" si="43"/>
        <v>Surrey</v>
      </c>
      <c r="Y156" s="66">
        <f>IF(Year1_Surrey Year1_CP_Conference_within15days="","",Year1_Surrey Year1_CP_Conference_within15days)</f>
        <v>704</v>
      </c>
      <c r="Z156" s="66">
        <f>IF(Year2_Surrey Year2_CP_Conference_within15days="","",Year2_Surrey Year2_CP_Conference_within15days)</f>
        <v>1029</v>
      </c>
      <c r="AA156" s="66">
        <f>IF(Year3_Surrey Year3_CP_Conference_within15days="","",Year3_Surrey Year3_CP_Conference_within15days)</f>
        <v>1014</v>
      </c>
      <c r="AB156" s="66">
        <f>IF(Year4_Surrey Year4_CP_Conference_within15days="","",Year4_Surrey Year4_CP_Conference_within15days)</f>
        <v>773</v>
      </c>
      <c r="AC156" s="67">
        <f>IF(Year5_Surrey Year5_CP_Conference_within15days="","",Year5_Surrey Year5_CP_Conference_within15days)</f>
        <v>584</v>
      </c>
      <c r="AD156" s="149"/>
      <c r="AE156" s="141"/>
      <c r="AF156" s="141"/>
      <c r="AG156" s="141"/>
      <c r="AH156" s="141"/>
      <c r="AJ156" s="121"/>
    </row>
    <row r="157" spans="1:44" s="61" customFormat="1" ht="13.5" customHeight="1">
      <c r="A157" s="1103" t="e">
        <f>VLOOKUP(#REF!,ReportData!$AQ$4:$AR$25,2,FALSE)</f>
        <v>#REF!</v>
      </c>
      <c r="B157" s="885" t="str">
        <f t="shared" si="37"/>
        <v>West Berkshire</v>
      </c>
      <c r="C157" s="896"/>
      <c r="D157" s="922">
        <f t="shared" si="38"/>
        <v>0.84579439252336452</v>
      </c>
      <c r="E157" s="922">
        <f t="shared" si="39"/>
        <v>0.96511627906976749</v>
      </c>
      <c r="F157" s="922">
        <f t="shared" si="40"/>
        <v>0.95759717314487636</v>
      </c>
      <c r="G157" s="922">
        <f t="shared" si="41"/>
        <v>0.88957055214723924</v>
      </c>
      <c r="H157" s="923">
        <f t="shared" si="42"/>
        <v>0.82490272373540852</v>
      </c>
      <c r="I157" s="68"/>
      <c r="J157" s="68"/>
      <c r="K157" s="127"/>
      <c r="L157" s="127"/>
      <c r="M157" s="127"/>
      <c r="N157" s="127"/>
      <c r="O157" s="127"/>
      <c r="P157" s="127"/>
      <c r="Q157" s="127"/>
      <c r="R157" s="128"/>
      <c r="S157" s="120"/>
      <c r="T157" s="127"/>
      <c r="U157" s="89"/>
      <c r="V157" s="103"/>
      <c r="W157" s="115"/>
      <c r="X157" s="261" t="str">
        <f t="shared" si="43"/>
        <v>West Berkshire</v>
      </c>
      <c r="Y157" s="66">
        <f>IF(Year1_West_Berkshire Year1_CP_Conference_within15days="","",Year1_West_Berkshire Year1_CP_Conference_within15days)</f>
        <v>181</v>
      </c>
      <c r="Z157" s="66">
        <f>IF(Year2_West_Berkshire Year2_CP_Conference_within15days="","",Year2_West_Berkshire Year2_CP_Conference_within15days)</f>
        <v>249</v>
      </c>
      <c r="AA157" s="66">
        <f>IF(Year3_West_Berkshire Year3_CP_Conference_within15days="","",Year3_West_Berkshire Year3_CP_Conference_within15days)</f>
        <v>271</v>
      </c>
      <c r="AB157" s="66">
        <f>IF(Year4_West_Berkshire Year4_CP_Conference_within15days="","",Year4_West_Berkshire Year4_CP_Conference_within15days)</f>
        <v>435</v>
      </c>
      <c r="AC157" s="67">
        <f>IF(Year5_West_Berkshire Year5_CP_Conference_within15days="","",Year5_West_Berkshire Year5_CP_Conference_within15days)</f>
        <v>212</v>
      </c>
      <c r="AD157" s="149"/>
      <c r="AE157" s="141"/>
      <c r="AF157" s="141"/>
      <c r="AG157" s="141"/>
      <c r="AH157" s="141"/>
      <c r="AJ157" s="121"/>
    </row>
    <row r="158" spans="1:44" s="61" customFormat="1" ht="13.5" customHeight="1">
      <c r="A158" s="1103">
        <f>VLOOKUP(B157,ReportData!$AQ$4:$AR$25,2,FALSE)</f>
        <v>0</v>
      </c>
      <c r="B158" s="885" t="str">
        <f t="shared" si="37"/>
        <v>West Sussex</v>
      </c>
      <c r="C158" s="896"/>
      <c r="D158" s="922">
        <f t="shared" si="38"/>
        <v>0.60970149253731343</v>
      </c>
      <c r="E158" s="922">
        <f t="shared" si="39"/>
        <v>0.74964438122332855</v>
      </c>
      <c r="F158" s="922">
        <f t="shared" si="40"/>
        <v>0.76944971537001894</v>
      </c>
      <c r="G158" s="922">
        <f t="shared" si="41"/>
        <v>0.82276281494352732</v>
      </c>
      <c r="H158" s="923">
        <f t="shared" si="42"/>
        <v>0.71386430678466073</v>
      </c>
      <c r="I158" s="68"/>
      <c r="J158" s="68"/>
      <c r="K158" s="127"/>
      <c r="L158" s="127"/>
      <c r="M158" s="127"/>
      <c r="N158" s="127"/>
      <c r="O158" s="127"/>
      <c r="P158" s="127"/>
      <c r="Q158" s="127"/>
      <c r="R158" s="128"/>
      <c r="S158" s="120"/>
      <c r="T158" s="127"/>
      <c r="U158" s="89"/>
      <c r="V158" s="103"/>
      <c r="W158" s="115"/>
      <c r="X158" s="261" t="str">
        <f t="shared" si="43"/>
        <v>West Sussex</v>
      </c>
      <c r="Y158" s="66">
        <f>IF(Year1_West_Sussex Year1_CP_Conference_within15days="","",Year1_West_Sussex Year1_CP_Conference_within15days)</f>
        <v>817</v>
      </c>
      <c r="Z158" s="66">
        <f>IF(Year2_West_Sussex Year2_CP_Conference_within15days="","",Year2_West_Sussex Year2_CP_Conference_within15days)</f>
        <v>1054</v>
      </c>
      <c r="AA158" s="66">
        <f>IF(Year3_West_Sussex Year3_CP_Conference_within15days="","",Year3_West_Sussex Year3_CP_Conference_within15days)</f>
        <v>811</v>
      </c>
      <c r="AB158" s="66">
        <f>IF(Year4_West_Sussex Year4_CP_Conference_within15days="","",Year4_West_Sussex Year4_CP_Conference_within15days)</f>
        <v>947</v>
      </c>
      <c r="AC158" s="67">
        <f>IF(Year5_West_Sussex Year5_CP_Conference_within15days="","",Year5_West_Sussex Year5_CP_Conference_within15days)</f>
        <v>726</v>
      </c>
      <c r="AD158" s="149"/>
      <c r="AF158" s="141"/>
      <c r="AG158" s="141"/>
      <c r="AH158" s="141"/>
      <c r="AJ158" s="121"/>
    </row>
    <row r="159" spans="1:44" s="61" customFormat="1" ht="13.5" customHeight="1">
      <c r="A159" s="1103">
        <f>VLOOKUP(B158,ReportData!$AQ$4:$AR$25,2,FALSE)</f>
        <v>0</v>
      </c>
      <c r="B159" s="885" t="str">
        <f t="shared" si="37"/>
        <v>Windsor &amp; Maidenhead</v>
      </c>
      <c r="C159" s="896"/>
      <c r="D159" s="922">
        <f t="shared" si="38"/>
        <v>0.5791505791505791</v>
      </c>
      <c r="E159" s="922">
        <f t="shared" si="39"/>
        <v>0.85599999999999998</v>
      </c>
      <c r="F159" s="922">
        <f t="shared" si="40"/>
        <v>0.78899082568807344</v>
      </c>
      <c r="G159" s="922">
        <f t="shared" si="41"/>
        <v>0.66007905138339917</v>
      </c>
      <c r="H159" s="923">
        <f t="shared" si="42"/>
        <v>0.75652173913043474</v>
      </c>
      <c r="I159" s="68"/>
      <c r="J159" s="68"/>
      <c r="K159" s="127"/>
      <c r="L159" s="127"/>
      <c r="M159" s="127"/>
      <c r="N159" s="127"/>
      <c r="O159" s="127"/>
      <c r="P159" s="127"/>
      <c r="Q159" s="127"/>
      <c r="R159" s="128"/>
      <c r="S159" s="120"/>
      <c r="T159" s="127"/>
      <c r="U159" s="89"/>
      <c r="V159" s="103"/>
      <c r="W159" s="115"/>
      <c r="X159" s="261" t="str">
        <f t="shared" si="43"/>
        <v>Windsor &amp; Maidenhead</v>
      </c>
      <c r="Y159" s="66">
        <f>IF(Year1_Windsor_and_Maidenhead Year1_CP_Conference_within15days="","",Year1_Windsor_and_Maidenhead Year1_CP_Conference_within15days)</f>
        <v>150</v>
      </c>
      <c r="Z159" s="66">
        <f>IF(Year2_Windsor_and_Maidenhead Year2_CP_Conference_within15days="","",Year2_Windsor_and_Maidenhead Year2_CP_Conference_within15days)</f>
        <v>214</v>
      </c>
      <c r="AA159" s="66">
        <f>IF(Year3_Windsor_and_Maidenhead Year3_CP_Conference_within15days="","",Year3_Windsor_and_Maidenhead Year3_CP_Conference_within15days)</f>
        <v>172</v>
      </c>
      <c r="AB159" s="66">
        <f>IF(Year4_Windsor_and_Maidenhead Year4_CP_Conference_within15days="","",Year4_Windsor_and_Maidenhead Year4_CP_Conference_within15days)</f>
        <v>167</v>
      </c>
      <c r="AC159" s="67">
        <f>IF(Year5_Windsor_and_Maidenhead Year5_CP_Conference_within15days="","",Year5_Windsor_and_Maidenhead Year5_CP_Conference_within15days)</f>
        <v>174</v>
      </c>
      <c r="AD159" s="149"/>
      <c r="AF159" s="141"/>
      <c r="AG159" s="141"/>
      <c r="AH159" s="141"/>
      <c r="AJ159" s="121"/>
    </row>
    <row r="160" spans="1:44" s="61" customFormat="1" ht="13.5" customHeight="1">
      <c r="A160" s="1103">
        <f>VLOOKUP(B159,ReportData!$AQ$4:$AR$25,2,FALSE)</f>
        <v>0</v>
      </c>
      <c r="B160" s="885" t="str">
        <f t="shared" si="37"/>
        <v>Wokingham</v>
      </c>
      <c r="C160" s="896"/>
      <c r="D160" s="922">
        <f t="shared" si="38"/>
        <v>0.87378640776699024</v>
      </c>
      <c r="E160" s="922">
        <f t="shared" si="39"/>
        <v>0.84153005464480879</v>
      </c>
      <c r="F160" s="922">
        <f t="shared" si="40"/>
        <v>0.78773584905660377</v>
      </c>
      <c r="G160" s="922">
        <f t="shared" si="41"/>
        <v>0.88356164383561642</v>
      </c>
      <c r="H160" s="923">
        <f t="shared" si="42"/>
        <v>0.93251533742331283</v>
      </c>
      <c r="I160" s="68"/>
      <c r="J160" s="68"/>
      <c r="K160" s="127"/>
      <c r="L160" s="127"/>
      <c r="M160" s="127"/>
      <c r="N160" s="127"/>
      <c r="O160" s="127"/>
      <c r="P160" s="127"/>
      <c r="Q160" s="127"/>
      <c r="R160" s="128"/>
      <c r="S160" s="120"/>
      <c r="T160" s="127"/>
      <c r="U160" s="89"/>
      <c r="V160" s="103"/>
      <c r="W160" s="115"/>
      <c r="X160" s="261" t="str">
        <f t="shared" si="43"/>
        <v>Wokingham</v>
      </c>
      <c r="Y160" s="66">
        <f>IF(Year1_Wokingham Year1_CP_Conference_within15days="","",Year1_Wokingham Year1_CP_Conference_within15days)</f>
        <v>180</v>
      </c>
      <c r="Z160" s="66">
        <f>IF(Year2_Wokingham Year2_CP_Conference_within15days="","",Year2_Wokingham Year2_CP_Conference_within15days)</f>
        <v>154</v>
      </c>
      <c r="AA160" s="66">
        <f>IF(Year3_Wokingham Year3_CP_Conference_within15days="","",Year3_Wokingham Year3_CP_Conference_within15days)</f>
        <v>167</v>
      </c>
      <c r="AB160" s="66">
        <f>IF(Year4_Wokingham Year4_CP_Conference_within15days="","",Year4_Wokingham Year4_CP_Conference_within15days)</f>
        <v>129</v>
      </c>
      <c r="AC160" s="67">
        <f>IF(Year5_Wokingham Year5_CP_Conference_within15days="","",Year5_Wokingham Year5_CP_Conference_within15days)</f>
        <v>152</v>
      </c>
      <c r="AD160" s="149"/>
      <c r="AH160" s="141"/>
      <c r="AJ160" s="121"/>
    </row>
    <row r="161" spans="1:53" s="61" customFormat="1" ht="13.5" customHeight="1">
      <c r="A161" s="1103">
        <f>VLOOKUP(B160,ReportData!$AQ$4:$AR$25,2,FALSE)</f>
        <v>0</v>
      </c>
      <c r="B161" s="886" t="str">
        <f t="shared" si="37"/>
        <v>South East</v>
      </c>
      <c r="C161" s="896"/>
      <c r="D161" s="924">
        <f t="shared" si="38"/>
        <v>0.75914935707220577</v>
      </c>
      <c r="E161" s="924">
        <f t="shared" si="39"/>
        <v>0.81938922257000257</v>
      </c>
      <c r="F161" s="924">
        <f t="shared" si="40"/>
        <v>0.78654485049833889</v>
      </c>
      <c r="G161" s="924">
        <f t="shared" si="41"/>
        <v>0.77712854757929883</v>
      </c>
      <c r="H161" s="925">
        <f t="shared" si="42"/>
        <v>0.7931034482758621</v>
      </c>
      <c r="I161" s="68"/>
      <c r="J161" s="68"/>
      <c r="K161" s="127"/>
      <c r="L161" s="127"/>
      <c r="M161" s="127"/>
      <c r="N161" s="127"/>
      <c r="O161" s="127"/>
      <c r="P161" s="127"/>
      <c r="Q161" s="127"/>
      <c r="R161" s="128"/>
      <c r="S161" s="120"/>
      <c r="T161" s="127"/>
      <c r="U161" s="89"/>
      <c r="V161" s="103"/>
      <c r="W161" s="115"/>
      <c r="X161" s="261" t="str">
        <f t="shared" si="43"/>
        <v>South East</v>
      </c>
      <c r="Y161" s="66">
        <f>IF(Year1_South_East Year1_CP_Conference_within15days="","",Year1_South_East Year1_CP_Conference_within15days)</f>
        <v>9210</v>
      </c>
      <c r="Z161" s="66">
        <f>IF(Year2_South_East Year2_CP_Conference_within15days="","",Year2_South_East Year2_CP_Conference_within15days)</f>
        <v>9686</v>
      </c>
      <c r="AA161" s="66">
        <f>IF(Year3_South_East Year3_CP_Conference_within15days="","",Year3_South_East Year3_CP_Conference_within15days)</f>
        <v>9470</v>
      </c>
      <c r="AB161" s="66">
        <f>IF(Year4_South_East Year4_CP_Conference_within15days="","",Year4_South_East Year4_CP_Conference_within15days)</f>
        <v>9310</v>
      </c>
      <c r="AC161" s="67">
        <f>IF(Year5_South_East Year5_CP_Conference_within15days="","",Year5_South_East Year5_CP_Conference_within15days)</f>
        <v>8510</v>
      </c>
      <c r="AD161" s="149"/>
      <c r="AH161" s="141"/>
      <c r="AJ161" s="121"/>
    </row>
    <row r="162" spans="1:53" s="61" customFormat="1" ht="13.5" customHeight="1">
      <c r="A162" s="1148"/>
      <c r="B162" s="887" t="str">
        <f t="shared" si="37"/>
        <v>England</v>
      </c>
      <c r="C162" s="896"/>
      <c r="D162" s="926">
        <f t="shared" si="38"/>
        <v>0.77655866787143413</v>
      </c>
      <c r="E162" s="926">
        <f t="shared" si="39"/>
        <v>0.83039404794709282</v>
      </c>
      <c r="F162" s="926">
        <f t="shared" si="40"/>
        <v>0.79197723268735598</v>
      </c>
      <c r="G162" s="926">
        <f t="shared" si="41"/>
        <v>0.78421618714708252</v>
      </c>
      <c r="H162" s="927">
        <f t="shared" si="42"/>
        <v>0.79695501730103802</v>
      </c>
      <c r="I162" s="68"/>
      <c r="J162" s="68"/>
      <c r="K162" s="129"/>
      <c r="L162" s="129"/>
      <c r="M162" s="129"/>
      <c r="N162" s="129"/>
      <c r="O162" s="129"/>
      <c r="P162" s="129"/>
      <c r="Q162" s="129"/>
      <c r="R162" s="130"/>
      <c r="S162" s="120"/>
      <c r="T162" s="131"/>
      <c r="U162" s="89"/>
      <c r="V162" s="103"/>
      <c r="W162" s="115"/>
      <c r="X162" s="261" t="str">
        <f t="shared" si="43"/>
        <v>England</v>
      </c>
      <c r="Y162" s="377">
        <f>IF(Year1_England Year1_CP_Conference_within15days="","",Year1_England Year1_CP_Conference_within15days)</f>
        <v>60160</v>
      </c>
      <c r="Z162" s="377">
        <f>IF(Year2_England Year2_CP_Conference_within15days="","",Year2_England Year2_CP_Conference_within15days)</f>
        <v>60270</v>
      </c>
      <c r="AA162" s="377">
        <f>IF(Year3_England Year3_CP_Conference_within15days="","",Year3_England Year3_CP_Conference_within15days)</f>
        <v>58440</v>
      </c>
      <c r="AB162" s="377">
        <f>IF(Year4_England Year4_CP_Conference_within15days="","",Year4_England Year4_CP_Conference_within15days)</f>
        <v>58330</v>
      </c>
      <c r="AC162" s="386">
        <f>IF(Year5_England Year5_CP_Conference_within15days="","",Year5_England Year5_CP_Conference_within15days)</f>
        <v>57580</v>
      </c>
      <c r="AD162" s="149"/>
      <c r="AH162" s="56"/>
      <c r="AI162" s="52"/>
      <c r="AJ162" s="122"/>
      <c r="AK162" s="56"/>
      <c r="AL162" s="56"/>
      <c r="AM162" s="56"/>
      <c r="AN162" s="56"/>
      <c r="AO162" s="56"/>
      <c r="AP162" s="56"/>
      <c r="AQ162" s="56"/>
      <c r="AR162" s="56"/>
      <c r="AS162" s="56"/>
      <c r="AT162" s="56"/>
      <c r="AU162" s="56"/>
      <c r="AV162" s="56"/>
      <c r="AW162" s="56"/>
      <c r="AX162" s="56"/>
      <c r="AY162" s="56"/>
      <c r="AZ162" s="56"/>
      <c r="BA162" s="56"/>
    </row>
    <row r="163" spans="1:53" s="61" customFormat="1" ht="6" customHeight="1">
      <c r="A163" s="217"/>
      <c r="B163" s="68"/>
      <c r="C163" s="68"/>
      <c r="D163" s="68"/>
      <c r="E163" s="68"/>
      <c r="F163" s="68"/>
      <c r="G163" s="68"/>
      <c r="H163" s="68"/>
      <c r="I163" s="68"/>
      <c r="J163" s="68"/>
      <c r="K163" s="129"/>
      <c r="L163" s="129"/>
      <c r="M163" s="129"/>
      <c r="N163" s="129"/>
      <c r="O163" s="129"/>
      <c r="P163" s="129"/>
      <c r="Q163" s="129"/>
      <c r="R163" s="130"/>
      <c r="S163" s="120"/>
      <c r="T163" s="131"/>
      <c r="U163" s="89"/>
      <c r="V163" s="103"/>
      <c r="W163" s="115"/>
      <c r="X163" s="56"/>
      <c r="Y163" s="141"/>
      <c r="Z163" s="56"/>
      <c r="AA163" s="146"/>
      <c r="AB163" s="147"/>
      <c r="AC163" s="147"/>
      <c r="AD163" s="149"/>
      <c r="AH163" s="56"/>
      <c r="AI163" s="52"/>
      <c r="AJ163" s="122"/>
      <c r="AK163" s="56"/>
      <c r="AL163" s="56"/>
      <c r="AM163" s="56"/>
      <c r="AN163" s="56"/>
      <c r="AO163" s="56"/>
      <c r="AP163" s="56"/>
      <c r="AQ163" s="56"/>
      <c r="AR163" s="56"/>
      <c r="AS163" s="56"/>
      <c r="AT163" s="56"/>
      <c r="AU163" s="56"/>
      <c r="AV163" s="56"/>
      <c r="AW163" s="56"/>
      <c r="AX163" s="56"/>
      <c r="AY163" s="56"/>
      <c r="AZ163" s="56"/>
      <c r="BA163" s="56"/>
    </row>
    <row r="164" spans="1:53" s="56" customFormat="1" ht="42" customHeight="1">
      <c r="A164" s="166"/>
      <c r="B164" s="171"/>
      <c r="C164" s="171"/>
      <c r="D164" s="171"/>
      <c r="E164" s="171"/>
      <c r="F164" s="171"/>
      <c r="G164" s="171"/>
      <c r="H164" s="171"/>
      <c r="I164" s="171"/>
      <c r="J164" s="133"/>
      <c r="K164" s="133"/>
      <c r="L164" s="133"/>
      <c r="M164" s="133"/>
      <c r="N164" s="133"/>
      <c r="O164" s="133"/>
      <c r="P164" s="133"/>
      <c r="Q164" s="133"/>
      <c r="R164" s="101"/>
      <c r="S164" s="133"/>
      <c r="T164" s="133"/>
      <c r="U164" s="86"/>
      <c r="V164" s="102"/>
      <c r="W164" s="114"/>
      <c r="Y164" s="141"/>
      <c r="AC164" s="147"/>
      <c r="AD164" s="149"/>
      <c r="AE164" s="52"/>
      <c r="AF164" s="52"/>
      <c r="AG164" s="52"/>
      <c r="AI164" s="52"/>
      <c r="AJ164" s="122"/>
    </row>
    <row r="165" spans="1:53" s="56" customFormat="1" ht="42.75" customHeight="1">
      <c r="A165" s="166"/>
      <c r="B165" s="171"/>
      <c r="C165" s="171"/>
      <c r="D165" s="171"/>
      <c r="E165" s="171"/>
      <c r="F165" s="171"/>
      <c r="G165" s="171"/>
      <c r="H165" s="171"/>
      <c r="I165" s="171"/>
      <c r="J165" s="133"/>
      <c r="K165" s="133"/>
      <c r="L165" s="133"/>
      <c r="M165" s="133"/>
      <c r="N165" s="133"/>
      <c r="O165" s="133"/>
      <c r="P165" s="133"/>
      <c r="Q165" s="133"/>
      <c r="R165" s="101"/>
      <c r="S165" s="133"/>
      <c r="T165" s="133"/>
      <c r="U165" s="86"/>
      <c r="V165" s="102"/>
      <c r="W165" s="114"/>
      <c r="Y165" s="141"/>
      <c r="AD165" s="149"/>
      <c r="AE165" s="52"/>
      <c r="AF165" s="52"/>
      <c r="AG165" s="52"/>
      <c r="AI165" s="52"/>
      <c r="AJ165" s="119"/>
      <c r="AK165" s="52"/>
      <c r="AL165" s="52"/>
      <c r="AM165" s="52"/>
      <c r="AN165" s="52"/>
      <c r="AO165" s="52"/>
      <c r="AP165" s="52"/>
      <c r="AQ165" s="52"/>
    </row>
    <row r="166" spans="1:53" s="56" customFormat="1" ht="42" customHeight="1">
      <c r="A166" s="166"/>
      <c r="B166" s="171"/>
      <c r="C166" s="171"/>
      <c r="D166" s="171"/>
      <c r="E166" s="171"/>
      <c r="F166" s="171"/>
      <c r="G166" s="171"/>
      <c r="H166" s="171"/>
      <c r="I166" s="171"/>
      <c r="J166" s="133"/>
      <c r="K166" s="133"/>
      <c r="L166" s="133"/>
      <c r="M166" s="133"/>
      <c r="N166" s="133"/>
      <c r="O166" s="133"/>
      <c r="P166" s="133"/>
      <c r="Q166" s="133"/>
      <c r="R166" s="101"/>
      <c r="S166" s="133"/>
      <c r="T166" s="133"/>
      <c r="U166" s="86"/>
      <c r="V166" s="121"/>
      <c r="W166" s="114"/>
      <c r="AD166" s="149"/>
      <c r="AE166" s="52"/>
      <c r="AF166" s="52"/>
      <c r="AG166" s="52"/>
      <c r="AJ166" s="122"/>
      <c r="AS166" s="52"/>
    </row>
    <row r="167" spans="1:53" s="56" customFormat="1" ht="7.5" customHeight="1">
      <c r="A167" s="87"/>
      <c r="B167" s="12"/>
      <c r="C167" s="12"/>
      <c r="D167" s="11"/>
      <c r="E167" s="11"/>
      <c r="F167" s="11"/>
      <c r="G167" s="11"/>
      <c r="H167" s="11"/>
      <c r="I167" s="11"/>
      <c r="J167" s="1"/>
      <c r="K167" s="13"/>
      <c r="L167" s="13"/>
      <c r="M167" s="13"/>
      <c r="N167" s="13"/>
      <c r="O167" s="13"/>
      <c r="P167" s="13"/>
      <c r="Q167" s="13"/>
      <c r="R167" s="13"/>
      <c r="S167" s="13"/>
      <c r="T167" s="14"/>
      <c r="U167" s="86"/>
      <c r="V167" s="185"/>
      <c r="W167" s="114"/>
      <c r="AI167" s="52"/>
      <c r="AJ167" s="121"/>
      <c r="AK167" s="61"/>
      <c r="AS167" s="52"/>
    </row>
    <row r="168" spans="1:53" s="56" customFormat="1" ht="15" customHeight="1">
      <c r="A168" s="1565"/>
      <c r="B168" s="1751"/>
      <c r="C168" s="1751"/>
      <c r="D168" s="1751"/>
      <c r="E168" s="1751"/>
      <c r="F168" s="1751"/>
      <c r="G168" s="1751"/>
      <c r="H168" s="1751"/>
      <c r="I168" s="1751"/>
      <c r="J168" s="1751"/>
      <c r="K168" s="1751"/>
      <c r="L168" s="1751"/>
      <c r="M168" s="1751"/>
      <c r="N168" s="1751"/>
      <c r="O168" s="1751"/>
      <c r="P168" s="1751"/>
      <c r="Q168" s="1751"/>
      <c r="R168" s="1751"/>
      <c r="S168" s="1751"/>
      <c r="T168" s="1751"/>
      <c r="U168" s="1752"/>
      <c r="V168" s="185"/>
      <c r="W168" s="114"/>
      <c r="AH168" s="52"/>
      <c r="AI168" s="52"/>
      <c r="AJ168" s="119"/>
      <c r="AK168" s="52"/>
      <c r="AR168" s="52"/>
      <c r="AS168" s="52"/>
      <c r="AT168" s="52"/>
      <c r="AU168" s="52"/>
      <c r="AV168" s="52"/>
      <c r="AW168" s="52"/>
      <c r="AX168" s="52"/>
      <c r="AY168" s="52"/>
      <c r="AZ168" s="52"/>
      <c r="BA168" s="52"/>
    </row>
    <row r="169" spans="1:53" s="56" customFormat="1" ht="11.25" customHeight="1">
      <c r="A169" s="1739"/>
      <c r="B169" s="1740"/>
      <c r="C169" s="1740"/>
      <c r="D169" s="1740"/>
      <c r="E169" s="1740"/>
      <c r="F169" s="1740"/>
      <c r="G169" s="1740"/>
      <c r="H169" s="1740"/>
      <c r="I169" s="1741"/>
      <c r="J169" s="1740"/>
      <c r="K169" s="1740"/>
      <c r="L169" s="1740"/>
      <c r="M169" s="1740"/>
      <c r="N169" s="1740"/>
      <c r="O169" s="1740"/>
      <c r="P169" s="1742"/>
      <c r="Q169" s="1740"/>
      <c r="R169" s="1740"/>
      <c r="S169" s="1741"/>
      <c r="T169" s="1740"/>
      <c r="U169" s="1743"/>
      <c r="V169" s="185"/>
      <c r="W169" s="114"/>
      <c r="AH169" s="52"/>
      <c r="AI169" s="52"/>
      <c r="AJ169" s="119"/>
      <c r="AK169" s="52"/>
      <c r="AR169" s="52"/>
      <c r="AS169" s="52"/>
      <c r="AT169" s="52"/>
      <c r="AU169" s="52"/>
      <c r="AV169" s="52"/>
      <c r="AW169" s="52"/>
      <c r="AX169" s="52"/>
      <c r="AY169" s="52"/>
      <c r="AZ169" s="52"/>
      <c r="BA169" s="52"/>
    </row>
    <row r="170" spans="1:53" ht="11.25" customHeight="1">
      <c r="A170" s="106"/>
      <c r="B170" s="705"/>
      <c r="C170" s="5"/>
      <c r="D170" s="5"/>
      <c r="E170" s="9"/>
      <c r="F170" s="5"/>
      <c r="G170" s="40"/>
      <c r="H170" s="554"/>
      <c r="I170" s="40"/>
      <c r="J170" s="40"/>
      <c r="K170" s="40"/>
      <c r="L170" s="40"/>
      <c r="M170" s="40"/>
      <c r="N170" s="40"/>
      <c r="O170" s="40"/>
      <c r="P170" s="40"/>
      <c r="Q170" s="40"/>
      <c r="R170" s="40"/>
      <c r="S170" s="40"/>
      <c r="T170" s="40"/>
      <c r="U170" s="40"/>
      <c r="V170" s="119"/>
      <c r="W170" s="114"/>
      <c r="AE170" s="57"/>
      <c r="AH170" s="52"/>
      <c r="AJ170" s="119"/>
      <c r="AL170" s="56"/>
      <c r="AM170" s="56"/>
      <c r="AN170" s="56"/>
      <c r="AO170" s="56"/>
      <c r="AP170" s="56"/>
      <c r="AQ170" s="56"/>
    </row>
    <row r="171" spans="1:53" ht="11.25" customHeight="1">
      <c r="A171" s="106"/>
      <c r="B171" s="705"/>
      <c r="C171" s="5"/>
      <c r="D171" s="5"/>
      <c r="E171" s="9"/>
      <c r="F171" s="5"/>
      <c r="G171" s="40"/>
      <c r="H171" s="554"/>
      <c r="I171" s="40"/>
      <c r="J171" s="40"/>
      <c r="K171" s="40"/>
      <c r="L171" s="40"/>
      <c r="M171" s="40"/>
      <c r="N171" s="40"/>
      <c r="O171" s="40"/>
      <c r="P171" s="40"/>
      <c r="Q171" s="40"/>
      <c r="R171" s="40"/>
      <c r="S171" s="40"/>
      <c r="T171" s="40"/>
      <c r="U171" s="40"/>
      <c r="V171" s="119"/>
      <c r="W171" s="114"/>
      <c r="AE171" s="57"/>
      <c r="AH171" s="52"/>
      <c r="AJ171" s="119"/>
      <c r="AL171" s="56"/>
      <c r="AM171" s="56"/>
    </row>
    <row r="172" spans="1:53" ht="11.25" customHeight="1">
      <c r="A172" s="106"/>
      <c r="B172" s="1317"/>
      <c r="C172" s="5"/>
      <c r="D172" s="5"/>
      <c r="E172" s="9"/>
      <c r="F172" s="5"/>
      <c r="G172" s="40"/>
      <c r="H172" s="554"/>
      <c r="I172" s="40"/>
      <c r="J172" s="40"/>
      <c r="K172" s="40"/>
      <c r="L172" s="40"/>
      <c r="M172" s="40"/>
      <c r="N172" s="40"/>
      <c r="O172" s="40"/>
      <c r="P172" s="40"/>
      <c r="Q172" s="40"/>
      <c r="R172" s="40"/>
      <c r="S172" s="40"/>
      <c r="T172" s="40"/>
      <c r="U172" s="40"/>
      <c r="V172" s="119"/>
      <c r="W172" s="114"/>
      <c r="AE172" s="57"/>
      <c r="AH172" s="52"/>
      <c r="AJ172" s="119"/>
      <c r="AL172" s="56"/>
      <c r="AM172" s="56"/>
    </row>
    <row r="173" spans="1:53" ht="11.25" customHeight="1">
      <c r="A173" s="106"/>
      <c r="B173" s="1318"/>
      <c r="C173" s="5"/>
      <c r="D173" s="5"/>
      <c r="E173" s="9"/>
      <c r="F173" s="2"/>
      <c r="G173" s="554"/>
      <c r="H173" s="554"/>
      <c r="I173" s="40"/>
      <c r="J173" s="40"/>
      <c r="K173" s="40"/>
      <c r="L173" s="40"/>
      <c r="M173" s="40"/>
      <c r="N173" s="40"/>
      <c r="O173" s="40"/>
      <c r="P173" s="40"/>
      <c r="Q173" s="40"/>
      <c r="R173" s="40"/>
      <c r="S173" s="40"/>
      <c r="T173" s="40"/>
      <c r="U173" s="40"/>
      <c r="V173" s="119"/>
      <c r="W173" s="114"/>
      <c r="AE173" s="57"/>
      <c r="AH173" s="52"/>
      <c r="AJ173" s="119"/>
      <c r="AL173" s="56"/>
      <c r="AM173" s="56"/>
    </row>
    <row r="174" spans="1:53" ht="11.25" customHeight="1">
      <c r="A174" s="106"/>
      <c r="B174" s="420"/>
      <c r="C174" s="420"/>
      <c r="D174" s="420"/>
      <c r="E174" s="420"/>
      <c r="F174" s="420"/>
      <c r="G174" s="420"/>
      <c r="H174" s="554"/>
      <c r="I174" s="40"/>
      <c r="J174" s="40"/>
      <c r="K174" s="40"/>
      <c r="L174" s="40"/>
      <c r="M174" s="40"/>
      <c r="N174" s="40"/>
      <c r="O174" s="40"/>
      <c r="P174" s="40"/>
      <c r="Q174" s="40"/>
      <c r="R174" s="40"/>
      <c r="S174" s="40"/>
      <c r="T174" s="40"/>
      <c r="U174" s="40"/>
      <c r="V174" s="119"/>
      <c r="W174" s="114"/>
      <c r="AE174" s="57"/>
      <c r="AH174" s="52"/>
      <c r="AJ174" s="119"/>
      <c r="AL174" s="56"/>
      <c r="AM174" s="56"/>
    </row>
    <row r="175" spans="1:53" ht="11.25" customHeight="1">
      <c r="A175" s="106"/>
      <c r="B175" s="420"/>
      <c r="C175" s="420"/>
      <c r="D175" s="420"/>
      <c r="E175" s="420"/>
      <c r="F175" s="420"/>
      <c r="G175" s="420"/>
      <c r="H175" s="554"/>
      <c r="I175" s="40"/>
      <c r="J175" s="40"/>
      <c r="K175" s="40"/>
      <c r="L175" s="40"/>
      <c r="M175" s="40"/>
      <c r="N175" s="40"/>
      <c r="O175" s="40"/>
      <c r="P175" s="40"/>
      <c r="Q175" s="40"/>
      <c r="R175" s="40"/>
      <c r="S175" s="40"/>
      <c r="T175" s="40"/>
      <c r="U175" s="40"/>
      <c r="V175" s="119"/>
      <c r="W175" s="114"/>
      <c r="AE175" s="57"/>
      <c r="AH175" s="52"/>
      <c r="AJ175" s="119"/>
      <c r="AL175" s="56"/>
      <c r="AM175" s="56"/>
    </row>
    <row r="176" spans="1:53" ht="11.25" customHeight="1">
      <c r="A176" s="106"/>
      <c r="B176" s="420"/>
      <c r="C176" s="420"/>
      <c r="D176" s="420"/>
      <c r="E176" s="420"/>
      <c r="F176" s="420"/>
      <c r="G176" s="420"/>
      <c r="H176" s="554"/>
      <c r="I176" s="40"/>
      <c r="J176" s="40"/>
      <c r="K176" s="40"/>
      <c r="L176" s="40"/>
      <c r="M176" s="40"/>
      <c r="N176" s="40"/>
      <c r="O176" s="40"/>
      <c r="P176" s="40"/>
      <c r="Q176" s="40"/>
      <c r="R176" s="40"/>
      <c r="S176" s="40"/>
      <c r="T176" s="40"/>
      <c r="U176" s="40"/>
      <c r="V176" s="119"/>
      <c r="W176" s="116"/>
      <c r="AE176" s="57"/>
      <c r="AH176" s="52"/>
      <c r="AJ176" s="119"/>
      <c r="AL176" s="56"/>
      <c r="AM176" s="56"/>
    </row>
    <row r="177" spans="1:39" ht="11.25" customHeight="1">
      <c r="A177" s="106"/>
      <c r="B177" s="420"/>
      <c r="C177" s="420"/>
      <c r="D177" s="420"/>
      <c r="E177" s="420"/>
      <c r="F177" s="420"/>
      <c r="G177" s="420"/>
      <c r="H177" s="554"/>
      <c r="I177" s="40"/>
      <c r="J177" s="40"/>
      <c r="K177" s="40"/>
      <c r="L177" s="40"/>
      <c r="M177" s="40"/>
      <c r="N177" s="40"/>
      <c r="O177" s="40"/>
      <c r="P177" s="40"/>
      <c r="Q177" s="40"/>
      <c r="R177" s="40"/>
      <c r="S177" s="40"/>
      <c r="T177" s="40"/>
      <c r="U177" s="40"/>
      <c r="V177" s="119"/>
      <c r="W177" s="114"/>
      <c r="AE177" s="57"/>
      <c r="AH177" s="52"/>
      <c r="AJ177" s="119"/>
      <c r="AL177" s="56"/>
      <c r="AM177" s="56"/>
    </row>
    <row r="178" spans="1:39" ht="11.25" customHeight="1">
      <c r="A178" s="106"/>
      <c r="B178" s="420"/>
      <c r="C178" s="420"/>
      <c r="D178" s="420"/>
      <c r="E178" s="420"/>
      <c r="F178" s="420"/>
      <c r="G178" s="420"/>
      <c r="H178" s="554"/>
      <c r="I178" s="40"/>
      <c r="J178" s="40"/>
      <c r="K178" s="40"/>
      <c r="L178" s="40"/>
      <c r="M178" s="40"/>
      <c r="N178" s="40"/>
      <c r="O178" s="40"/>
      <c r="P178" s="40"/>
      <c r="Q178" s="40"/>
      <c r="R178" s="40"/>
      <c r="S178" s="40"/>
      <c r="T178" s="40"/>
      <c r="U178" s="40"/>
      <c r="V178" s="119"/>
      <c r="W178" s="114"/>
      <c r="Z178" s="52"/>
      <c r="AE178" s="57"/>
      <c r="AH178" s="52"/>
      <c r="AJ178" s="119"/>
      <c r="AL178" s="56"/>
      <c r="AM178" s="56"/>
    </row>
    <row r="179" spans="1:39" ht="11.25" customHeight="1">
      <c r="A179" s="106"/>
      <c r="B179" s="420"/>
      <c r="C179" s="420"/>
      <c r="D179" s="420"/>
      <c r="E179" s="420"/>
      <c r="F179" s="420"/>
      <c r="G179" s="420"/>
      <c r="H179" s="554"/>
      <c r="I179" s="40"/>
      <c r="J179" s="40"/>
      <c r="K179" s="40"/>
      <c r="L179" s="40"/>
      <c r="M179" s="40"/>
      <c r="N179" s="40"/>
      <c r="O179" s="40"/>
      <c r="P179" s="40"/>
      <c r="Q179" s="40"/>
      <c r="R179" s="40"/>
      <c r="S179" s="40"/>
      <c r="T179" s="40"/>
      <c r="U179" s="40"/>
      <c r="V179" s="119"/>
      <c r="W179" s="114"/>
      <c r="Z179" s="52"/>
      <c r="AE179" s="57"/>
      <c r="AH179" s="52"/>
      <c r="AJ179" s="119"/>
      <c r="AL179" s="56"/>
      <c r="AM179" s="56"/>
    </row>
    <row r="180" spans="1:39" ht="11.25" customHeight="1">
      <c r="A180" s="106"/>
      <c r="B180" s="420"/>
      <c r="C180" s="420"/>
      <c r="D180" s="420"/>
      <c r="E180" s="420"/>
      <c r="F180" s="420"/>
      <c r="G180" s="420"/>
      <c r="H180" s="554"/>
      <c r="I180" s="40"/>
      <c r="J180" s="40"/>
      <c r="K180" s="40"/>
      <c r="L180" s="40"/>
      <c r="M180" s="40"/>
      <c r="N180" s="40"/>
      <c r="O180" s="40"/>
      <c r="P180" s="40"/>
      <c r="Q180" s="40"/>
      <c r="R180" s="40"/>
      <c r="S180" s="40"/>
      <c r="T180" s="40"/>
      <c r="U180" s="40"/>
      <c r="V180" s="119"/>
      <c r="W180" s="114"/>
      <c r="Z180" s="52"/>
      <c r="AA180" s="52"/>
      <c r="AE180" s="57"/>
      <c r="AH180" s="52"/>
      <c r="AJ180" s="119"/>
      <c r="AL180" s="56"/>
      <c r="AM180" s="56"/>
    </row>
    <row r="181" spans="1:39" ht="11.25" customHeight="1">
      <c r="A181" s="106"/>
      <c r="B181" s="420"/>
      <c r="C181" s="420"/>
      <c r="D181" s="420"/>
      <c r="E181" s="420"/>
      <c r="F181" s="420"/>
      <c r="G181" s="420"/>
      <c r="H181" s="554"/>
      <c r="I181" s="40"/>
      <c r="J181" s="40"/>
      <c r="K181" s="40"/>
      <c r="L181" s="40"/>
      <c r="M181" s="40"/>
      <c r="N181" s="40"/>
      <c r="O181" s="40"/>
      <c r="P181" s="40"/>
      <c r="Q181" s="40"/>
      <c r="R181" s="40"/>
      <c r="S181" s="40"/>
      <c r="T181" s="40"/>
      <c r="U181" s="40"/>
      <c r="V181" s="119"/>
      <c r="W181" s="114"/>
      <c r="Z181" s="52"/>
      <c r="AA181" s="52"/>
      <c r="AE181" s="57"/>
      <c r="AH181" s="52"/>
      <c r="AJ181" s="119"/>
      <c r="AL181" s="56"/>
      <c r="AM181" s="56"/>
    </row>
    <row r="182" spans="1:39" ht="11.25" customHeight="1">
      <c r="A182" s="106"/>
      <c r="B182" s="420"/>
      <c r="C182" s="420"/>
      <c r="D182" s="420"/>
      <c r="E182" s="420"/>
      <c r="F182" s="420"/>
      <c r="G182" s="420"/>
      <c r="H182" s="554"/>
      <c r="I182" s="40"/>
      <c r="J182" s="40"/>
      <c r="K182" s="40"/>
      <c r="L182" s="40"/>
      <c r="M182" s="40"/>
      <c r="N182" s="40"/>
      <c r="O182" s="40"/>
      <c r="P182" s="40"/>
      <c r="Q182" s="40"/>
      <c r="R182" s="40"/>
      <c r="S182" s="40"/>
      <c r="T182" s="40"/>
      <c r="U182" s="40"/>
      <c r="V182" s="119"/>
      <c r="W182" s="114"/>
      <c r="Z182" s="52"/>
      <c r="AA182" s="52"/>
      <c r="AE182" s="57"/>
      <c r="AH182" s="52"/>
      <c r="AJ182" s="119"/>
      <c r="AL182" s="56"/>
      <c r="AM182" s="56"/>
    </row>
    <row r="183" spans="1:39" ht="11.25" customHeight="1">
      <c r="A183" s="106"/>
      <c r="B183" s="420"/>
      <c r="C183" s="420"/>
      <c r="D183" s="420"/>
      <c r="E183" s="420"/>
      <c r="F183" s="420"/>
      <c r="G183" s="420"/>
      <c r="H183" s="554"/>
      <c r="I183" s="40"/>
      <c r="J183" s="40"/>
      <c r="K183" s="40"/>
      <c r="L183" s="40"/>
      <c r="M183" s="40"/>
      <c r="N183" s="40"/>
      <c r="O183" s="40"/>
      <c r="P183" s="40"/>
      <c r="Q183" s="40"/>
      <c r="R183" s="40"/>
      <c r="S183" s="40"/>
      <c r="T183" s="40"/>
      <c r="U183" s="40"/>
      <c r="V183" s="119"/>
      <c r="W183" s="114"/>
      <c r="Z183" s="52"/>
      <c r="AA183" s="52"/>
      <c r="AE183" s="57"/>
      <c r="AH183" s="52"/>
      <c r="AJ183" s="119"/>
      <c r="AL183" s="56"/>
      <c r="AM183" s="56"/>
    </row>
    <row r="184" spans="1:39" ht="11.25" customHeight="1">
      <c r="A184" s="106"/>
      <c r="B184" s="420"/>
      <c r="C184" s="420"/>
      <c r="D184" s="420"/>
      <c r="E184" s="420"/>
      <c r="F184" s="420"/>
      <c r="G184" s="420"/>
      <c r="H184" s="554"/>
      <c r="I184" s="40"/>
      <c r="J184" s="40"/>
      <c r="K184" s="40"/>
      <c r="L184" s="40"/>
      <c r="M184" s="40"/>
      <c r="N184" s="40"/>
      <c r="O184" s="40"/>
      <c r="P184" s="40"/>
      <c r="Q184" s="40"/>
      <c r="R184" s="40"/>
      <c r="S184" s="40"/>
      <c r="T184" s="40"/>
      <c r="U184" s="40"/>
      <c r="V184" s="119"/>
      <c r="W184" s="114"/>
      <c r="AA184" s="52"/>
      <c r="AE184" s="57"/>
      <c r="AH184" s="52"/>
      <c r="AJ184" s="119"/>
      <c r="AL184" s="56"/>
      <c r="AM184" s="56"/>
    </row>
    <row r="185" spans="1:39" ht="11.25" customHeight="1">
      <c r="A185" s="106"/>
      <c r="B185" s="420"/>
      <c r="C185" s="420"/>
      <c r="D185" s="420"/>
      <c r="E185" s="420"/>
      <c r="F185" s="420"/>
      <c r="G185" s="420"/>
      <c r="H185" s="554"/>
      <c r="I185" s="40"/>
      <c r="J185" s="40"/>
      <c r="K185" s="40"/>
      <c r="L185" s="40"/>
      <c r="M185" s="40"/>
      <c r="N185" s="40"/>
      <c r="O185" s="40"/>
      <c r="P185" s="40"/>
      <c r="Q185" s="40"/>
      <c r="R185" s="40"/>
      <c r="S185" s="40"/>
      <c r="T185" s="40"/>
      <c r="U185" s="40"/>
      <c r="V185" s="119"/>
      <c r="W185" s="114"/>
      <c r="AA185" s="52"/>
      <c r="AE185" s="57"/>
      <c r="AH185" s="52"/>
      <c r="AJ185" s="119"/>
      <c r="AL185" s="56"/>
      <c r="AM185" s="56"/>
    </row>
    <row r="186" spans="1:39" ht="11.25" customHeight="1">
      <c r="A186" s="106"/>
      <c r="B186" s="420"/>
      <c r="C186" s="420"/>
      <c r="D186" s="420"/>
      <c r="E186" s="420"/>
      <c r="F186" s="420"/>
      <c r="G186" s="420"/>
      <c r="H186" s="554"/>
      <c r="I186" s="40"/>
      <c r="J186" s="40"/>
      <c r="K186" s="40"/>
      <c r="L186" s="40"/>
      <c r="M186" s="40"/>
      <c r="N186" s="40"/>
      <c r="O186" s="40"/>
      <c r="P186" s="40"/>
      <c r="Q186" s="40"/>
      <c r="R186" s="40"/>
      <c r="S186" s="40"/>
      <c r="T186" s="40"/>
      <c r="U186" s="40"/>
      <c r="V186" s="119"/>
      <c r="W186" s="114"/>
      <c r="AE186" s="57"/>
      <c r="AH186" s="52"/>
      <c r="AJ186" s="119"/>
      <c r="AL186" s="56"/>
      <c r="AM186" s="56"/>
    </row>
    <row r="187" spans="1:39" ht="11.25" customHeight="1">
      <c r="A187" s="106"/>
      <c r="B187" s="420"/>
      <c r="C187" s="420"/>
      <c r="D187" s="420"/>
      <c r="E187" s="420"/>
      <c r="F187" s="420"/>
      <c r="G187" s="420"/>
      <c r="H187" s="554"/>
      <c r="I187" s="40"/>
      <c r="J187" s="40"/>
      <c r="K187" s="40"/>
      <c r="L187" s="40"/>
      <c r="M187" s="40"/>
      <c r="N187" s="40"/>
      <c r="O187" s="40"/>
      <c r="P187" s="40"/>
      <c r="Q187" s="40"/>
      <c r="R187" s="40"/>
      <c r="S187" s="40"/>
      <c r="T187" s="40"/>
      <c r="U187" s="40"/>
      <c r="V187" s="119"/>
      <c r="W187" s="114"/>
      <c r="AE187" s="57"/>
      <c r="AH187" s="52"/>
      <c r="AJ187" s="119"/>
      <c r="AL187" s="56"/>
      <c r="AM187" s="56"/>
    </row>
    <row r="188" spans="1:39" ht="11.25" customHeight="1">
      <c r="A188" s="106"/>
      <c r="B188" s="420"/>
      <c r="C188" s="420"/>
      <c r="D188" s="420"/>
      <c r="E188" s="420"/>
      <c r="F188" s="420"/>
      <c r="G188" s="420"/>
      <c r="H188" s="554"/>
      <c r="I188" s="40"/>
      <c r="J188" s="40"/>
      <c r="K188" s="40"/>
      <c r="L188" s="40"/>
      <c r="M188" s="40"/>
      <c r="N188" s="40"/>
      <c r="O188" s="40"/>
      <c r="P188" s="40"/>
      <c r="Q188" s="40"/>
      <c r="R188" s="40"/>
      <c r="S188" s="40"/>
      <c r="T188" s="40"/>
      <c r="U188" s="40"/>
      <c r="V188" s="119"/>
      <c r="W188" s="114"/>
      <c r="AE188" s="57"/>
      <c r="AH188" s="52"/>
      <c r="AJ188" s="119"/>
      <c r="AL188" s="56"/>
      <c r="AM188" s="56"/>
    </row>
    <row r="189" spans="1:39" ht="11.25" customHeight="1">
      <c r="A189" s="106"/>
      <c r="B189" s="420"/>
      <c r="C189" s="420"/>
      <c r="D189" s="420"/>
      <c r="E189" s="420"/>
      <c r="F189" s="420"/>
      <c r="G189" s="420"/>
      <c r="H189" s="554"/>
      <c r="I189" s="40"/>
      <c r="J189" s="40"/>
      <c r="K189" s="40"/>
      <c r="L189" s="40"/>
      <c r="M189" s="40"/>
      <c r="N189" s="40"/>
      <c r="O189" s="40"/>
      <c r="P189" s="40"/>
      <c r="Q189" s="40"/>
      <c r="R189" s="40"/>
      <c r="S189" s="40"/>
      <c r="T189" s="40"/>
      <c r="U189" s="40"/>
      <c r="V189" s="119"/>
      <c r="W189" s="114"/>
      <c r="AE189" s="57"/>
      <c r="AH189" s="52"/>
      <c r="AJ189" s="119"/>
    </row>
    <row r="190" spans="1:39" ht="11.25" customHeight="1">
      <c r="A190" s="106"/>
      <c r="B190" s="420"/>
      <c r="C190" s="420"/>
      <c r="D190" s="420"/>
      <c r="E190" s="420"/>
      <c r="F190" s="420"/>
      <c r="G190" s="420"/>
      <c r="H190" s="554"/>
      <c r="I190" s="40"/>
      <c r="J190" s="40"/>
      <c r="K190" s="40"/>
      <c r="L190" s="40"/>
      <c r="M190" s="40"/>
      <c r="N190" s="40"/>
      <c r="O190" s="40"/>
      <c r="P190" s="40"/>
      <c r="Q190" s="40"/>
      <c r="R190" s="40"/>
      <c r="S190" s="40"/>
      <c r="T190" s="40"/>
      <c r="U190" s="40"/>
      <c r="V190" s="119"/>
      <c r="W190" s="114"/>
      <c r="AE190" s="57"/>
      <c r="AH190" s="52"/>
      <c r="AJ190" s="119"/>
    </row>
    <row r="191" spans="1:39" ht="11.25" customHeight="1">
      <c r="A191" s="106"/>
      <c r="B191" s="420"/>
      <c r="C191" s="420"/>
      <c r="D191" s="420"/>
      <c r="E191" s="420"/>
      <c r="F191" s="420"/>
      <c r="G191" s="420"/>
      <c r="H191" s="554"/>
      <c r="I191" s="40"/>
      <c r="J191" s="40"/>
      <c r="K191" s="40"/>
      <c r="L191" s="40"/>
      <c r="M191" s="40"/>
      <c r="N191" s="40"/>
      <c r="O191" s="40"/>
      <c r="P191" s="40"/>
      <c r="Q191" s="40"/>
      <c r="R191" s="40"/>
      <c r="S191" s="40"/>
      <c r="T191" s="40"/>
      <c r="U191" s="40"/>
      <c r="V191" s="119"/>
      <c r="W191" s="114"/>
      <c r="AE191" s="57"/>
      <c r="AH191" s="52"/>
      <c r="AJ191" s="119"/>
    </row>
    <row r="192" spans="1:39" ht="11.25" customHeight="1">
      <c r="A192" s="106"/>
      <c r="B192" s="420"/>
      <c r="C192" s="420"/>
      <c r="D192" s="420"/>
      <c r="E192" s="420"/>
      <c r="F192" s="420"/>
      <c r="G192" s="420"/>
      <c r="H192" s="554"/>
      <c r="I192" s="40"/>
      <c r="J192" s="40"/>
      <c r="K192" s="40"/>
      <c r="L192" s="40"/>
      <c r="M192" s="40"/>
      <c r="N192" s="40"/>
      <c r="O192" s="40"/>
      <c r="P192" s="40"/>
      <c r="Q192" s="40"/>
      <c r="R192" s="40"/>
      <c r="S192" s="40"/>
      <c r="T192" s="40"/>
      <c r="U192" s="40"/>
      <c r="V192" s="119"/>
      <c r="W192" s="114"/>
      <c r="AE192" s="57"/>
      <c r="AH192" s="52"/>
      <c r="AJ192" s="119"/>
    </row>
    <row r="193" spans="1:55" ht="11.25" customHeight="1">
      <c r="A193" s="106"/>
      <c r="B193" s="420"/>
      <c r="C193" s="420"/>
      <c r="D193" s="420"/>
      <c r="E193" s="420"/>
      <c r="F193" s="420"/>
      <c r="G193" s="420"/>
      <c r="H193" s="554"/>
      <c r="I193" s="40"/>
      <c r="J193" s="40"/>
      <c r="K193" s="40"/>
      <c r="L193" s="40"/>
      <c r="M193" s="40"/>
      <c r="N193" s="40"/>
      <c r="O193" s="40"/>
      <c r="P193" s="40"/>
      <c r="Q193" s="40"/>
      <c r="R193" s="40"/>
      <c r="S193" s="40"/>
      <c r="T193" s="40"/>
      <c r="U193" s="40"/>
      <c r="V193" s="119"/>
      <c r="W193" s="114"/>
      <c r="AE193" s="57"/>
      <c r="AH193" s="52"/>
      <c r="AJ193" s="119"/>
    </row>
    <row r="194" spans="1:55" ht="11.25" customHeight="1">
      <c r="A194" s="106"/>
      <c r="B194" s="420"/>
      <c r="C194" s="420"/>
      <c r="D194" s="420"/>
      <c r="E194" s="420"/>
      <c r="F194" s="420"/>
      <c r="G194" s="420"/>
      <c r="H194" s="554"/>
      <c r="I194" s="40"/>
      <c r="J194" s="40"/>
      <c r="K194" s="40"/>
      <c r="L194" s="40"/>
      <c r="M194" s="40"/>
      <c r="N194" s="40"/>
      <c r="O194" s="40"/>
      <c r="P194" s="40"/>
      <c r="Q194" s="40"/>
      <c r="R194" s="40"/>
      <c r="S194" s="40"/>
      <c r="T194" s="40"/>
      <c r="U194" s="40"/>
      <c r="V194" s="119"/>
      <c r="W194" s="114"/>
      <c r="AE194" s="57"/>
      <c r="AH194" s="52"/>
      <c r="AJ194" s="119"/>
    </row>
    <row r="195" spans="1:55" ht="11.25" customHeight="1">
      <c r="A195" s="106"/>
      <c r="B195" s="420"/>
      <c r="C195" s="420"/>
      <c r="D195" s="420"/>
      <c r="E195" s="420"/>
      <c r="F195" s="420"/>
      <c r="G195" s="420"/>
      <c r="H195" s="554"/>
      <c r="I195" s="40"/>
      <c r="J195" s="40"/>
      <c r="K195" s="40"/>
      <c r="L195" s="40"/>
      <c r="M195" s="40"/>
      <c r="N195" s="40"/>
      <c r="O195" s="40"/>
      <c r="P195" s="40"/>
      <c r="Q195" s="40"/>
      <c r="R195" s="40"/>
      <c r="S195" s="40"/>
      <c r="T195" s="40"/>
      <c r="U195" s="40"/>
      <c r="V195" s="119"/>
      <c r="W195" s="114"/>
      <c r="AE195" s="57"/>
      <c r="AH195" s="52"/>
      <c r="AJ195" s="119"/>
    </row>
    <row r="196" spans="1:55" ht="11.25" customHeight="1">
      <c r="A196" s="106"/>
      <c r="B196" s="420"/>
      <c r="C196" s="420"/>
      <c r="D196" s="420"/>
      <c r="E196" s="420"/>
      <c r="F196" s="420"/>
      <c r="G196" s="420"/>
      <c r="H196" s="554"/>
      <c r="I196" s="40"/>
      <c r="J196" s="40"/>
      <c r="K196" s="40"/>
      <c r="L196" s="40"/>
      <c r="M196" s="40"/>
      <c r="N196" s="40"/>
      <c r="O196" s="40"/>
      <c r="P196" s="40"/>
      <c r="Q196" s="40"/>
      <c r="R196" s="40"/>
      <c r="S196" s="40"/>
      <c r="T196" s="40"/>
      <c r="U196" s="40"/>
      <c r="V196" s="119"/>
      <c r="W196" s="114"/>
      <c r="AE196" s="57"/>
      <c r="AH196" s="52"/>
      <c r="AJ196" s="119"/>
    </row>
    <row r="197" spans="1:55" ht="11.25" customHeight="1">
      <c r="A197" s="106"/>
      <c r="B197" s="420"/>
      <c r="C197" s="420"/>
      <c r="D197" s="420"/>
      <c r="E197" s="420"/>
      <c r="F197" s="420"/>
      <c r="G197" s="420"/>
      <c r="H197" s="554"/>
      <c r="I197" s="40"/>
      <c r="J197" s="40"/>
      <c r="K197" s="40"/>
      <c r="L197" s="40"/>
      <c r="M197" s="40"/>
      <c r="N197" s="40"/>
      <c r="O197" s="40"/>
      <c r="P197" s="40"/>
      <c r="Q197" s="40"/>
      <c r="R197" s="40"/>
      <c r="S197" s="40"/>
      <c r="T197" s="40"/>
      <c r="U197" s="40"/>
      <c r="V197" s="119"/>
      <c r="W197" s="114"/>
      <c r="AE197" s="57"/>
      <c r="AH197" s="52"/>
      <c r="AJ197" s="119"/>
    </row>
    <row r="198" spans="1:55" ht="11.25" customHeight="1">
      <c r="A198" s="106"/>
      <c r="B198" s="420"/>
      <c r="C198" s="420"/>
      <c r="D198" s="420"/>
      <c r="E198" s="420"/>
      <c r="F198" s="420"/>
      <c r="G198" s="420"/>
      <c r="H198" s="554"/>
      <c r="I198" s="40"/>
      <c r="J198" s="40"/>
      <c r="K198" s="40"/>
      <c r="L198" s="40"/>
      <c r="M198" s="40"/>
      <c r="N198" s="40"/>
      <c r="O198" s="40"/>
      <c r="P198" s="40"/>
      <c r="Q198" s="40"/>
      <c r="R198" s="40"/>
      <c r="S198" s="40"/>
      <c r="T198" s="40"/>
      <c r="U198" s="40"/>
      <c r="V198" s="119"/>
      <c r="W198" s="114"/>
      <c r="AE198" s="57"/>
      <c r="AH198" s="52"/>
      <c r="AJ198" s="119"/>
    </row>
    <row r="199" spans="1:55" ht="11.25" customHeight="1">
      <c r="A199" s="106"/>
      <c r="B199" s="420"/>
      <c r="C199" s="420"/>
      <c r="D199" s="420"/>
      <c r="E199" s="420"/>
      <c r="F199" s="420"/>
      <c r="G199" s="420"/>
      <c r="H199" s="554"/>
      <c r="I199" s="40"/>
      <c r="J199" s="40"/>
      <c r="K199" s="40"/>
      <c r="L199" s="40"/>
      <c r="M199" s="40"/>
      <c r="N199" s="40"/>
      <c r="O199" s="40"/>
      <c r="P199" s="40"/>
      <c r="Q199" s="40"/>
      <c r="R199" s="40"/>
      <c r="S199" s="40"/>
      <c r="T199" s="40"/>
      <c r="U199" s="40"/>
      <c r="V199" s="119"/>
      <c r="W199" s="114"/>
      <c r="AE199" s="57"/>
      <c r="AH199" s="52"/>
      <c r="AJ199" s="119"/>
    </row>
    <row r="200" spans="1:55" ht="11.25" customHeight="1">
      <c r="A200" s="106"/>
      <c r="B200" s="420"/>
      <c r="C200" s="420"/>
      <c r="D200" s="420"/>
      <c r="E200" s="420"/>
      <c r="F200" s="420"/>
      <c r="G200" s="420"/>
      <c r="H200" s="554"/>
      <c r="I200" s="40"/>
      <c r="J200" s="40"/>
      <c r="K200" s="40"/>
      <c r="L200" s="40"/>
      <c r="M200" s="40"/>
      <c r="N200" s="40"/>
      <c r="O200" s="40"/>
      <c r="P200" s="40"/>
      <c r="Q200" s="40"/>
      <c r="R200" s="40"/>
      <c r="S200" s="40"/>
      <c r="T200" s="40"/>
      <c r="U200" s="40"/>
      <c r="V200" s="119"/>
      <c r="W200" s="114"/>
      <c r="AE200" s="57"/>
      <c r="AH200" s="52"/>
      <c r="AJ200" s="119"/>
    </row>
    <row r="201" spans="1:55" ht="11.25" customHeight="1">
      <c r="A201" s="106"/>
      <c r="B201" s="420"/>
      <c r="C201" s="420"/>
      <c r="D201" s="420"/>
      <c r="E201" s="420"/>
      <c r="F201" s="420"/>
      <c r="G201" s="420"/>
      <c r="H201" s="554"/>
      <c r="I201" s="40"/>
      <c r="J201" s="40"/>
      <c r="K201" s="40"/>
      <c r="L201" s="40"/>
      <c r="M201" s="40"/>
      <c r="N201" s="40"/>
      <c r="O201" s="40"/>
      <c r="P201" s="40"/>
      <c r="Q201" s="40"/>
      <c r="R201" s="40"/>
      <c r="S201" s="40"/>
      <c r="T201" s="40"/>
      <c r="U201" s="40"/>
      <c r="V201" s="119"/>
      <c r="W201" s="114"/>
      <c r="AE201" s="57"/>
      <c r="AH201" s="52"/>
      <c r="AJ201" s="119"/>
    </row>
    <row r="202" spans="1:55" ht="11.25" customHeight="1">
      <c r="A202" s="106"/>
      <c r="B202" s="420"/>
      <c r="C202" s="420"/>
      <c r="D202" s="420"/>
      <c r="E202" s="420"/>
      <c r="F202" s="420"/>
      <c r="G202" s="420"/>
      <c r="H202" s="554"/>
      <c r="I202" s="40"/>
      <c r="J202" s="40"/>
      <c r="K202" s="40"/>
      <c r="L202" s="40"/>
      <c r="M202" s="40"/>
      <c r="N202" s="40"/>
      <c r="O202" s="40"/>
      <c r="P202" s="40"/>
      <c r="Q202" s="40"/>
      <c r="R202" s="40"/>
      <c r="S202" s="40"/>
      <c r="T202" s="40"/>
      <c r="U202" s="40"/>
      <c r="V202" s="119"/>
      <c r="W202" s="114"/>
      <c r="AE202" s="57"/>
      <c r="AH202" s="52"/>
      <c r="AJ202" s="119"/>
    </row>
    <row r="203" spans="1:55" ht="11.25" customHeight="1">
      <c r="A203" s="106"/>
      <c r="B203" s="420"/>
      <c r="C203" s="420"/>
      <c r="D203" s="420"/>
      <c r="E203" s="420"/>
      <c r="F203" s="420"/>
      <c r="G203" s="420"/>
      <c r="H203" s="554"/>
      <c r="I203" s="40"/>
      <c r="J203" s="40"/>
      <c r="K203" s="40"/>
      <c r="L203" s="40"/>
      <c r="M203" s="40"/>
      <c r="N203" s="40"/>
      <c r="O203" s="40"/>
      <c r="P203" s="40"/>
      <c r="Q203" s="40"/>
      <c r="R203" s="40"/>
      <c r="S203" s="40"/>
      <c r="T203" s="40"/>
      <c r="U203" s="40"/>
      <c r="V203" s="119"/>
      <c r="W203" s="114"/>
      <c r="AE203" s="57"/>
      <c r="AH203" s="52"/>
      <c r="AJ203" s="119"/>
    </row>
    <row r="204" spans="1:55" ht="11.25" customHeight="1">
      <c r="A204" s="106"/>
      <c r="B204" s="420"/>
      <c r="C204" s="420"/>
      <c r="D204" s="420"/>
      <c r="E204" s="420"/>
      <c r="F204" s="420"/>
      <c r="G204" s="420"/>
      <c r="H204" s="554"/>
      <c r="I204" s="40"/>
      <c r="J204" s="40"/>
      <c r="K204" s="40"/>
      <c r="L204" s="40"/>
      <c r="M204" s="40"/>
      <c r="N204" s="40"/>
      <c r="O204" s="40"/>
      <c r="P204" s="40"/>
      <c r="Q204" s="40"/>
      <c r="R204" s="40"/>
      <c r="S204" s="40"/>
      <c r="T204" s="40"/>
      <c r="U204" s="40"/>
      <c r="V204" s="119"/>
      <c r="W204" s="114"/>
      <c r="AE204" s="57"/>
      <c r="AH204" s="52"/>
      <c r="AJ204" s="119"/>
    </row>
    <row r="205" spans="1:55" ht="11.25" customHeight="1">
      <c r="A205" s="106"/>
      <c r="B205" s="420"/>
      <c r="C205" s="420"/>
      <c r="D205" s="420"/>
      <c r="E205" s="420"/>
      <c r="F205" s="420"/>
      <c r="G205" s="420"/>
      <c r="H205" s="554"/>
      <c r="I205" s="40"/>
      <c r="J205" s="40"/>
      <c r="K205" s="40"/>
      <c r="L205" s="40"/>
      <c r="M205" s="40"/>
      <c r="N205" s="40"/>
      <c r="O205" s="40"/>
      <c r="P205" s="40"/>
      <c r="Q205" s="40"/>
      <c r="R205" s="40"/>
      <c r="S205" s="40"/>
      <c r="T205" s="40"/>
      <c r="U205" s="40"/>
      <c r="V205" s="119"/>
      <c r="W205" s="114"/>
      <c r="AE205" s="57"/>
      <c r="AH205" s="52"/>
      <c r="AJ205" s="119"/>
    </row>
    <row r="206" spans="1:55" s="55" customFormat="1" ht="11.25" customHeight="1">
      <c r="A206" s="106"/>
      <c r="B206" s="420"/>
      <c r="C206" s="420"/>
      <c r="D206" s="420"/>
      <c r="E206" s="420"/>
      <c r="F206" s="420"/>
      <c r="G206" s="420"/>
      <c r="H206" s="554"/>
      <c r="I206" s="40"/>
      <c r="J206" s="40"/>
      <c r="K206" s="40"/>
      <c r="L206" s="40"/>
      <c r="M206" s="40"/>
      <c r="N206" s="40"/>
      <c r="O206" s="40"/>
      <c r="P206" s="40"/>
      <c r="Q206" s="40"/>
      <c r="R206" s="40"/>
      <c r="S206" s="40"/>
      <c r="T206" s="40"/>
      <c r="U206" s="40"/>
      <c r="V206" s="119"/>
      <c r="W206" s="114"/>
      <c r="X206" s="56"/>
      <c r="Y206" s="56"/>
      <c r="Z206" s="56"/>
      <c r="AA206" s="56"/>
      <c r="AB206" s="56"/>
      <c r="AC206" s="56"/>
      <c r="AD206" s="56"/>
      <c r="AE206" s="57"/>
      <c r="AF206" s="56"/>
      <c r="AG206" s="56"/>
      <c r="AH206" s="52"/>
      <c r="AI206" s="52"/>
      <c r="AJ206" s="139"/>
      <c r="AK206" s="52"/>
      <c r="AL206" s="52"/>
      <c r="AM206" s="52"/>
      <c r="AN206" s="52"/>
      <c r="AO206" s="52"/>
      <c r="AP206" s="52"/>
      <c r="AQ206" s="52"/>
      <c r="AR206" s="52"/>
      <c r="AS206" s="52"/>
      <c r="AT206" s="52"/>
      <c r="AU206" s="52"/>
      <c r="AV206" s="52"/>
      <c r="AW206" s="52"/>
      <c r="AX206" s="52"/>
      <c r="AY206" s="52"/>
      <c r="AZ206" s="52"/>
      <c r="BA206" s="52"/>
      <c r="BB206" s="52"/>
      <c r="BC206" s="52"/>
    </row>
    <row r="207" spans="1:55" ht="11.25" customHeight="1">
      <c r="A207" s="711"/>
      <c r="B207" s="712"/>
      <c r="C207" s="713"/>
      <c r="D207" s="713"/>
      <c r="E207" s="713"/>
      <c r="F207" s="152"/>
      <c r="G207" s="152"/>
      <c r="H207" s="714"/>
      <c r="I207" s="152"/>
      <c r="J207" s="152"/>
      <c r="K207" s="152"/>
      <c r="L207" s="152"/>
      <c r="M207" s="152"/>
      <c r="N207" s="152"/>
      <c r="O207" s="152"/>
      <c r="P207" s="152"/>
      <c r="Q207" s="152"/>
      <c r="R207" s="152"/>
      <c r="S207" s="859"/>
      <c r="T207" s="151"/>
      <c r="U207" s="151"/>
      <c r="V207" s="865"/>
      <c r="W207" s="1232"/>
      <c r="X207" s="289"/>
      <c r="Y207" s="289"/>
      <c r="Z207" s="289"/>
      <c r="AA207" s="289"/>
      <c r="AB207" s="289"/>
      <c r="AC207" s="289"/>
      <c r="AD207" s="289"/>
      <c r="AE207" s="710"/>
      <c r="AF207" s="289"/>
      <c r="AG207" s="289"/>
      <c r="AH207" s="363"/>
      <c r="AI207" s="363"/>
      <c r="AJ207" s="1333"/>
    </row>
    <row r="208" spans="1:55" ht="11.25" customHeight="1">
      <c r="J208" s="52"/>
      <c r="V208" s="52"/>
      <c r="AE208" s="57"/>
      <c r="AH208" s="52"/>
    </row>
    <row r="209" spans="10:34" ht="11.25" customHeight="1">
      <c r="J209" s="52"/>
      <c r="V209" s="52"/>
      <c r="AE209" s="57"/>
      <c r="AH209" s="52"/>
    </row>
    <row r="210" spans="10:34" ht="11.25" customHeight="1">
      <c r="J210" s="52"/>
      <c r="V210" s="52"/>
      <c r="AE210" s="57"/>
      <c r="AH210" s="52"/>
    </row>
    <row r="211" spans="10:34" ht="11.25" customHeight="1">
      <c r="J211" s="52"/>
      <c r="V211" s="52"/>
      <c r="AE211" s="57"/>
      <c r="AH211" s="52"/>
    </row>
    <row r="212" spans="10:34" ht="11.25" customHeight="1">
      <c r="J212" s="52"/>
      <c r="V212" s="52"/>
      <c r="AE212" s="57"/>
      <c r="AH212" s="52"/>
    </row>
    <row r="213" spans="10:34" ht="11.25" customHeight="1">
      <c r="J213" s="52"/>
      <c r="V213" s="52"/>
      <c r="AE213" s="57"/>
      <c r="AH213" s="52"/>
    </row>
    <row r="214" spans="10:34" ht="11.25" customHeight="1">
      <c r="J214" s="52"/>
      <c r="V214" s="52"/>
      <c r="AE214" s="57"/>
      <c r="AH214" s="52"/>
    </row>
    <row r="215" spans="10:34" ht="11.25" customHeight="1">
      <c r="J215" s="52"/>
      <c r="V215" s="52"/>
      <c r="AE215" s="57"/>
      <c r="AH215" s="52"/>
    </row>
    <row r="216" spans="10:34" ht="11.25" customHeight="1">
      <c r="J216" s="52"/>
      <c r="V216" s="52"/>
      <c r="AE216" s="57"/>
      <c r="AH216" s="52"/>
    </row>
    <row r="217" spans="10:34" ht="11.25" customHeight="1">
      <c r="J217" s="52"/>
      <c r="V217" s="52"/>
      <c r="AE217" s="57"/>
      <c r="AH217" s="52"/>
    </row>
    <row r="218" spans="10:34" ht="11.25" customHeight="1">
      <c r="J218" s="52"/>
      <c r="V218" s="52"/>
      <c r="AE218" s="57"/>
    </row>
    <row r="219" spans="10:34" ht="11.25" customHeight="1">
      <c r="J219" s="52"/>
      <c r="V219" s="52"/>
      <c r="AE219" s="57"/>
    </row>
    <row r="328" spans="37:37" ht="11.25" customHeight="1">
      <c r="AK328" s="52" t="b">
        <v>1</v>
      </c>
    </row>
  </sheetData>
  <mergeCells count="38">
    <mergeCell ref="L62:O62"/>
    <mergeCell ref="L61:O61"/>
    <mergeCell ref="Q61:T61"/>
    <mergeCell ref="Q62:T62"/>
    <mergeCell ref="A68:U68"/>
    <mergeCell ref="B5:T6"/>
    <mergeCell ref="S7:T9"/>
    <mergeCell ref="D8:D9"/>
    <mergeCell ref="E8:E9"/>
    <mergeCell ref="F8:F9"/>
    <mergeCell ref="G8:G9"/>
    <mergeCell ref="H8:H9"/>
    <mergeCell ref="K8:K9"/>
    <mergeCell ref="L8:L9"/>
    <mergeCell ref="M8:M9"/>
    <mergeCell ref="N8:N9"/>
    <mergeCell ref="B107:B108"/>
    <mergeCell ref="A67:U67"/>
    <mergeCell ref="B138:H139"/>
    <mergeCell ref="B105:I106"/>
    <mergeCell ref="A135:U135"/>
    <mergeCell ref="A136:U136"/>
    <mergeCell ref="A168:U168"/>
    <mergeCell ref="A169:U169"/>
    <mergeCell ref="B140:B141"/>
    <mergeCell ref="Z8:Z10"/>
    <mergeCell ref="D7:H7"/>
    <mergeCell ref="I7:I10"/>
    <mergeCell ref="Q7:Q10"/>
    <mergeCell ref="A34:U34"/>
    <mergeCell ref="A35:U35"/>
    <mergeCell ref="Y8:Y10"/>
    <mergeCell ref="K7:P7"/>
    <mergeCell ref="O10:P10"/>
    <mergeCell ref="B7:B10"/>
    <mergeCell ref="O8:P9"/>
    <mergeCell ref="A102:U102"/>
    <mergeCell ref="A103:U103"/>
  </mergeCells>
  <conditionalFormatting sqref="A1:A6 B11:B29 D11:H29 K11:O29 S11:T29 AF11:AG29 B109:B127 D109:H127 B142:B160 D142:H160">
    <cfRule type="containsErrors" dxfId="445" priority="64">
      <formula>ISERROR(A1)</formula>
    </cfRule>
  </conditionalFormatting>
  <conditionalFormatting sqref="A11:A30 A109:A127 A142:A161">
    <cfRule type="cellIs" dxfId="444" priority="61" operator="equal">
      <formula>0</formula>
    </cfRule>
  </conditionalFormatting>
  <conditionalFormatting sqref="A11:A169">
    <cfRule type="containsErrors" dxfId="443" priority="41">
      <formula>ISERROR(A11)</formula>
    </cfRule>
  </conditionalFormatting>
  <conditionalFormatting sqref="A35">
    <cfRule type="cellIs" dxfId="442" priority="48" operator="equal">
      <formula>0</formula>
    </cfRule>
  </conditionalFormatting>
  <conditionalFormatting sqref="A68">
    <cfRule type="cellIs" dxfId="441" priority="46" operator="equal">
      <formula>0</formula>
    </cfRule>
  </conditionalFormatting>
  <conditionalFormatting sqref="A103">
    <cfRule type="cellIs" dxfId="440" priority="44" operator="equal">
      <formula>0</formula>
    </cfRule>
  </conditionalFormatting>
  <conditionalFormatting sqref="A136">
    <cfRule type="cellIs" dxfId="439" priority="42" operator="equal">
      <formula>0</formula>
    </cfRule>
  </conditionalFormatting>
  <conditionalFormatting sqref="A169">
    <cfRule type="cellIs" dxfId="438" priority="40" operator="equal">
      <formula>0</formula>
    </cfRule>
  </conditionalFormatting>
  <conditionalFormatting sqref="A220:A1048576">
    <cfRule type="containsErrors" dxfId="437" priority="58">
      <formula>ISERROR(A220)</formula>
    </cfRule>
  </conditionalFormatting>
  <conditionalFormatting sqref="B11:B29 D11:I29 K11:O29 Q11:Q29 S11:T29 P11:P31 B48:C63 B109:B127 D109:H127 B142:B160 D142:H160">
    <cfRule type="expression" dxfId="436" priority="4114">
      <formula>$B11=$Y$4</formula>
    </cfRule>
  </conditionalFormatting>
  <conditionalFormatting sqref="B30:B31 B128:B129 B161:B162">
    <cfRule type="expression" dxfId="435" priority="4125" stopIfTrue="1">
      <formula>$B30=$Y$4</formula>
    </cfRule>
  </conditionalFormatting>
  <conditionalFormatting sqref="B48:C63">
    <cfRule type="containsErrors" dxfId="434" priority="71">
      <formula>ISERROR(B48)</formula>
    </cfRule>
  </conditionalFormatting>
  <conditionalFormatting sqref="D8:H8">
    <cfRule type="containsErrors" dxfId="433" priority="2">
      <formula>ISERROR(D8)</formula>
    </cfRule>
  </conditionalFormatting>
  <conditionalFormatting sqref="D10:H10">
    <cfRule type="containsErrors" dxfId="432" priority="3">
      <formula>ISERROR(D10)</formula>
    </cfRule>
  </conditionalFormatting>
  <conditionalFormatting sqref="D107:H107">
    <cfRule type="containsErrors" dxfId="431" priority="21">
      <formula>ISERROR(D107)</formula>
    </cfRule>
  </conditionalFormatting>
  <conditionalFormatting sqref="D108:H108">
    <cfRule type="containsErrors" dxfId="430" priority="22">
      <formula>ISERROR(D108)</formula>
    </cfRule>
  </conditionalFormatting>
  <conditionalFormatting sqref="D129:H129 D162:H162">
    <cfRule type="containsErrors" dxfId="429" priority="17">
      <formula>ISERROR(D129)</formula>
    </cfRule>
  </conditionalFormatting>
  <conditionalFormatting sqref="D140:H140">
    <cfRule type="containsErrors" dxfId="428" priority="19">
      <formula>ISERROR(D140)</formula>
    </cfRule>
  </conditionalFormatting>
  <conditionalFormatting sqref="D141:H141">
    <cfRule type="containsErrors" dxfId="427" priority="20">
      <formula>ISERROR(D141)</formula>
    </cfRule>
  </conditionalFormatting>
  <conditionalFormatting sqref="D31:I31 K31:O31">
    <cfRule type="containsErrors" dxfId="426" priority="16">
      <formula>ISERROR(D31)</formula>
    </cfRule>
  </conditionalFormatting>
  <conditionalFormatting sqref="I11:I29 Q11:Q29">
    <cfRule type="containsErrors" dxfId="425" priority="73">
      <formula>ISERROR(I11)</formula>
    </cfRule>
  </conditionalFormatting>
  <conditionalFormatting sqref="K8:O8">
    <cfRule type="containsErrors" dxfId="424" priority="1">
      <formula>ISERROR(K8)</formula>
    </cfRule>
  </conditionalFormatting>
  <conditionalFormatting sqref="K10:O10">
    <cfRule type="containsErrors" dxfId="423" priority="4">
      <formula>ISERROR(K10)</formula>
    </cfRule>
  </conditionalFormatting>
  <conditionalFormatting sqref="P11:P31">
    <cfRule type="containsErrors" dxfId="422" priority="4074">
      <formula>ISERROR(P11)</formula>
    </cfRule>
    <cfRule type="dataBar" priority="4075">
      <dataBar showValue="0">
        <cfvo type="min"/>
        <cfvo type="max"/>
        <color theme="9"/>
      </dataBar>
      <extLst>
        <ext xmlns:x14="http://schemas.microsoft.com/office/spreadsheetml/2009/9/main" uri="{B025F937-C7B1-47D3-B67F-A62EFF666E3E}">
          <x14:id>{E244C23F-BE96-461F-ADF8-C0B7834A64D3}</x14:id>
        </ext>
      </extLst>
    </cfRule>
  </conditionalFormatting>
  <conditionalFormatting sqref="P30:P31">
    <cfRule type="containsErrors" dxfId="421" priority="33">
      <formula>ISERROR(P30)</formula>
    </cfRule>
  </conditionalFormatting>
  <conditionalFormatting sqref="S30:T30">
    <cfRule type="containsErrors" dxfId="420" priority="8">
      <formula>ISERROR(S30)</formula>
    </cfRule>
  </conditionalFormatting>
  <conditionalFormatting sqref="S31:T31">
    <cfRule type="containsErrors" dxfId="419" priority="7">
      <formula>ISERROR(S31)</formula>
    </cfRule>
  </conditionalFormatting>
  <conditionalFormatting sqref="X2:AC3">
    <cfRule type="containsErrors" dxfId="418" priority="5">
      <formula>ISERROR(X2)</formula>
    </cfRule>
  </conditionalFormatting>
  <conditionalFormatting sqref="Y141:AC141">
    <cfRule type="cellIs" dxfId="417" priority="69" stopIfTrue="1" operator="equal">
      <formula>0</formula>
    </cfRule>
  </conditionalFormatting>
  <conditionalFormatting sqref="Y142:AC142">
    <cfRule type="expression" dxfId="416" priority="52">
      <formula>$B139=$Y$4</formula>
    </cfRule>
  </conditionalFormatting>
  <conditionalFormatting sqref="Y142:AC160">
    <cfRule type="containsErrors" dxfId="415" priority="53">
      <formula>ISERROR(Y142)</formula>
    </cfRule>
  </conditionalFormatting>
  <conditionalFormatting sqref="Y143:AC154 Y159:AC160">
    <cfRule type="expression" dxfId="414" priority="1995">
      <formula>$B141=$Y$4</formula>
    </cfRule>
  </conditionalFormatting>
  <conditionalFormatting sqref="Y155:AC155">
    <cfRule type="expression" dxfId="413" priority="4112">
      <formula>$B154=$Y$4</formula>
    </cfRule>
  </conditionalFormatting>
  <conditionalFormatting sqref="Y156:AC156">
    <cfRule type="expression" dxfId="412" priority="4113">
      <formula>#REF!=$Y$4</formula>
    </cfRule>
  </conditionalFormatting>
  <conditionalFormatting sqref="Y157:AC157">
    <cfRule type="expression" dxfId="411" priority="4095">
      <formula>#REF!=$Y$4</formula>
    </cfRule>
  </conditionalFormatting>
  <conditionalFormatting sqref="Y158:AC158">
    <cfRule type="expression" dxfId="410" priority="2008">
      <formula>#REF!=$Y$4</formula>
    </cfRule>
  </conditionalFormatting>
  <conditionalFormatting sqref="AA10:AE10">
    <cfRule type="cellIs" dxfId="409" priority="18" stopIfTrue="1" operator="equal">
      <formula>0</formula>
    </cfRule>
  </conditionalFormatting>
  <conditionalFormatting sqref="AF11:AG22 AG12:AG23">
    <cfRule type="expression" dxfId="408" priority="56">
      <formula>$B11=$W$4</formula>
    </cfRule>
  </conditionalFormatting>
  <conditionalFormatting sqref="AG24">
    <cfRule type="expression" dxfId="407" priority="4072">
      <formula>#REF!=$W$4</formula>
    </cfRule>
  </conditionalFormatting>
  <conditionalFormatting sqref="AG25:AG27">
    <cfRule type="expression" dxfId="406" priority="3976">
      <formula>$B24=$W$4</formula>
    </cfRule>
  </conditionalFormatting>
  <conditionalFormatting sqref="AG28">
    <cfRule type="expression" dxfId="405" priority="1985">
      <formula>#REF!=$W$4</formula>
    </cfRule>
  </conditionalFormatting>
  <conditionalFormatting sqref="AG29">
    <cfRule type="expression" dxfId="404" priority="1984">
      <formula>$B26=$W$4</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4" manualBreakCount="4">
    <brk id="35" max="18" man="1"/>
    <brk id="68" max="20" man="1"/>
    <brk id="103" max="20" man="1"/>
    <brk id="136" max="20" man="1"/>
  </rowBreaks>
  <ignoredErrors>
    <ignoredError sqref="A142:A154 A109:A121 A11:A23 A124:A127 A26:A30 A24:A25 A122:A123 A157:A161 A155:A15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macro="[0]!CheckBox1_Click" altText="">
                <anchor>
                  <from>
                    <xdr:col>22</xdr:col>
                    <xdr:colOff>85725</xdr:colOff>
                    <xdr:row>36</xdr:row>
                    <xdr:rowOff>28575</xdr:rowOff>
                  </from>
                  <to>
                    <xdr:col>35</xdr:col>
                    <xdr:colOff>57150</xdr:colOff>
                    <xdr:row>38</xdr:row>
                    <xdr:rowOff>9525</xdr:rowOff>
                  </to>
                </anchor>
              </controlPr>
            </control>
          </mc:Choice>
        </mc:AlternateContent>
        <mc:AlternateContent xmlns:mc="http://schemas.openxmlformats.org/markup-compatibility/2006">
          <mc:Choice Requires="x14">
            <control shapeId="98306" r:id="rId5" name="Check Box 2">
              <controlPr defaultSize="0" autoFill="0" autoLine="0" autoPict="0" macro="[0]!CheckBox1_Click" altText="">
                <anchor>
                  <from>
                    <xdr:col>22</xdr:col>
                    <xdr:colOff>85725</xdr:colOff>
                    <xdr:row>37</xdr:row>
                    <xdr:rowOff>152400</xdr:rowOff>
                  </from>
                  <to>
                    <xdr:col>35</xdr:col>
                    <xdr:colOff>57150</xdr:colOff>
                    <xdr:row>39</xdr:row>
                    <xdr:rowOff>9525</xdr:rowOff>
                  </to>
                </anchor>
              </controlPr>
            </control>
          </mc:Choice>
        </mc:AlternateContent>
        <mc:AlternateContent xmlns:mc="http://schemas.openxmlformats.org/markup-compatibility/2006">
          <mc:Choice Requires="x14">
            <control shapeId="98307" r:id="rId6" name="Check Box 3">
              <controlPr defaultSize="0" autoFill="0" autoLine="0" autoPict="0" macro="[0]!CheckBox1_Click" altText="">
                <anchor>
                  <from>
                    <xdr:col>22</xdr:col>
                    <xdr:colOff>85725</xdr:colOff>
                    <xdr:row>38</xdr:row>
                    <xdr:rowOff>152400</xdr:rowOff>
                  </from>
                  <to>
                    <xdr:col>35</xdr:col>
                    <xdr:colOff>57150</xdr:colOff>
                    <xdr:row>40</xdr:row>
                    <xdr:rowOff>9525</xdr:rowOff>
                  </to>
                </anchor>
              </controlPr>
            </control>
          </mc:Choice>
        </mc:AlternateContent>
        <mc:AlternateContent xmlns:mc="http://schemas.openxmlformats.org/markup-compatibility/2006">
          <mc:Choice Requires="x14">
            <control shapeId="98308" r:id="rId7" name="Check Box 4">
              <controlPr defaultSize="0" autoFill="0" autoLine="0" autoPict="0" macro="[0]!CheckBox1_Click" altText="">
                <anchor>
                  <from>
                    <xdr:col>22</xdr:col>
                    <xdr:colOff>85725</xdr:colOff>
                    <xdr:row>39</xdr:row>
                    <xdr:rowOff>152400</xdr:rowOff>
                  </from>
                  <to>
                    <xdr:col>35</xdr:col>
                    <xdr:colOff>57150</xdr:colOff>
                    <xdr:row>41</xdr:row>
                    <xdr:rowOff>9525</xdr:rowOff>
                  </to>
                </anchor>
              </controlPr>
            </control>
          </mc:Choice>
        </mc:AlternateContent>
        <mc:AlternateContent xmlns:mc="http://schemas.openxmlformats.org/markup-compatibility/2006">
          <mc:Choice Requires="x14">
            <control shapeId="98309" r:id="rId8" name="Check Box 5">
              <controlPr defaultSize="0" autoFill="0" autoLine="0" autoPict="0" macro="[0]!CheckBox1_Click" altText="">
                <anchor>
                  <from>
                    <xdr:col>22</xdr:col>
                    <xdr:colOff>85725</xdr:colOff>
                    <xdr:row>40</xdr:row>
                    <xdr:rowOff>152400</xdr:rowOff>
                  </from>
                  <to>
                    <xdr:col>35</xdr:col>
                    <xdr:colOff>57150</xdr:colOff>
                    <xdr:row>42</xdr:row>
                    <xdr:rowOff>9525</xdr:rowOff>
                  </to>
                </anchor>
              </controlPr>
            </control>
          </mc:Choice>
        </mc:AlternateContent>
        <mc:AlternateContent xmlns:mc="http://schemas.openxmlformats.org/markup-compatibility/2006">
          <mc:Choice Requires="x14">
            <control shapeId="98310" r:id="rId9" name="Check Box 6">
              <controlPr defaultSize="0" autoFill="0" autoLine="0" autoPict="0" macro="[0]!CheckBox1_Click" altText="">
                <anchor>
                  <from>
                    <xdr:col>22</xdr:col>
                    <xdr:colOff>85725</xdr:colOff>
                    <xdr:row>41</xdr:row>
                    <xdr:rowOff>152400</xdr:rowOff>
                  </from>
                  <to>
                    <xdr:col>35</xdr:col>
                    <xdr:colOff>57150</xdr:colOff>
                    <xdr:row>43</xdr:row>
                    <xdr:rowOff>9525</xdr:rowOff>
                  </to>
                </anchor>
              </controlPr>
            </control>
          </mc:Choice>
        </mc:AlternateContent>
        <mc:AlternateContent xmlns:mc="http://schemas.openxmlformats.org/markup-compatibility/2006">
          <mc:Choice Requires="x14">
            <control shapeId="98311" r:id="rId10" name="Check Box 7">
              <controlPr defaultSize="0" autoFill="0" autoLine="0" autoPict="0" macro="[0]!CheckBox1_Click" altText="">
                <anchor>
                  <from>
                    <xdr:col>22</xdr:col>
                    <xdr:colOff>85725</xdr:colOff>
                    <xdr:row>42</xdr:row>
                    <xdr:rowOff>152400</xdr:rowOff>
                  </from>
                  <to>
                    <xdr:col>35</xdr:col>
                    <xdr:colOff>57150</xdr:colOff>
                    <xdr:row>44</xdr:row>
                    <xdr:rowOff>9525</xdr:rowOff>
                  </to>
                </anchor>
              </controlPr>
            </control>
          </mc:Choice>
        </mc:AlternateContent>
        <mc:AlternateContent xmlns:mc="http://schemas.openxmlformats.org/markup-compatibility/2006">
          <mc:Choice Requires="x14">
            <control shapeId="98312" r:id="rId11" name="Check Box 8">
              <controlPr defaultSize="0" autoFill="0" autoLine="0" autoPict="0" macro="[0]!CheckBox1_Click" altText="">
                <anchor>
                  <from>
                    <xdr:col>22</xdr:col>
                    <xdr:colOff>85725</xdr:colOff>
                    <xdr:row>43</xdr:row>
                    <xdr:rowOff>152400</xdr:rowOff>
                  </from>
                  <to>
                    <xdr:col>35</xdr:col>
                    <xdr:colOff>57150</xdr:colOff>
                    <xdr:row>45</xdr:row>
                    <xdr:rowOff>9525</xdr:rowOff>
                  </to>
                </anchor>
              </controlPr>
            </control>
          </mc:Choice>
        </mc:AlternateContent>
        <mc:AlternateContent xmlns:mc="http://schemas.openxmlformats.org/markup-compatibility/2006">
          <mc:Choice Requires="x14">
            <control shapeId="98313" r:id="rId12" name="Check Box 9">
              <controlPr defaultSize="0" autoFill="0" autoLine="0" autoPict="0" macro="[0]!CheckBox1_Click" altText="">
                <anchor>
                  <from>
                    <xdr:col>22</xdr:col>
                    <xdr:colOff>85725</xdr:colOff>
                    <xdr:row>44</xdr:row>
                    <xdr:rowOff>152400</xdr:rowOff>
                  </from>
                  <to>
                    <xdr:col>35</xdr:col>
                    <xdr:colOff>57150</xdr:colOff>
                    <xdr:row>46</xdr:row>
                    <xdr:rowOff>9525</xdr:rowOff>
                  </to>
                </anchor>
              </controlPr>
            </control>
          </mc:Choice>
        </mc:AlternateContent>
        <mc:AlternateContent xmlns:mc="http://schemas.openxmlformats.org/markup-compatibility/2006">
          <mc:Choice Requires="x14">
            <control shapeId="98314" r:id="rId13" name="Check Box 10">
              <controlPr defaultSize="0" autoFill="0" autoLine="0" autoPict="0" macro="[0]!CheckBox1_Click" altText="">
                <anchor>
                  <from>
                    <xdr:col>22</xdr:col>
                    <xdr:colOff>85725</xdr:colOff>
                    <xdr:row>45</xdr:row>
                    <xdr:rowOff>152400</xdr:rowOff>
                  </from>
                  <to>
                    <xdr:col>35</xdr:col>
                    <xdr:colOff>57150</xdr:colOff>
                    <xdr:row>47</xdr:row>
                    <xdr:rowOff>9525</xdr:rowOff>
                  </to>
                </anchor>
              </controlPr>
            </control>
          </mc:Choice>
        </mc:AlternateContent>
        <mc:AlternateContent xmlns:mc="http://schemas.openxmlformats.org/markup-compatibility/2006">
          <mc:Choice Requires="x14">
            <control shapeId="98315" r:id="rId14" name="Check Box 11">
              <controlPr defaultSize="0" autoFill="0" autoLine="0" autoPict="0" macro="[0]!CheckBox1_Click" altText="">
                <anchor>
                  <from>
                    <xdr:col>22</xdr:col>
                    <xdr:colOff>85725</xdr:colOff>
                    <xdr:row>46</xdr:row>
                    <xdr:rowOff>152400</xdr:rowOff>
                  </from>
                  <to>
                    <xdr:col>35</xdr:col>
                    <xdr:colOff>57150</xdr:colOff>
                    <xdr:row>48</xdr:row>
                    <xdr:rowOff>9525</xdr:rowOff>
                  </to>
                </anchor>
              </controlPr>
            </control>
          </mc:Choice>
        </mc:AlternateContent>
        <mc:AlternateContent xmlns:mc="http://schemas.openxmlformats.org/markup-compatibility/2006">
          <mc:Choice Requires="x14">
            <control shapeId="98316" r:id="rId15" name="Check Box 12">
              <controlPr defaultSize="0" autoFill="0" autoLine="0" autoPict="0" macro="[0]!CheckBox1_Click" altText="">
                <anchor>
                  <from>
                    <xdr:col>22</xdr:col>
                    <xdr:colOff>85725</xdr:colOff>
                    <xdr:row>47</xdr:row>
                    <xdr:rowOff>152400</xdr:rowOff>
                  </from>
                  <to>
                    <xdr:col>35</xdr:col>
                    <xdr:colOff>57150</xdr:colOff>
                    <xdr:row>49</xdr:row>
                    <xdr:rowOff>9525</xdr:rowOff>
                  </to>
                </anchor>
              </controlPr>
            </control>
          </mc:Choice>
        </mc:AlternateContent>
        <mc:AlternateContent xmlns:mc="http://schemas.openxmlformats.org/markup-compatibility/2006">
          <mc:Choice Requires="x14">
            <control shapeId="98317" r:id="rId16" name="Check Box 13">
              <controlPr defaultSize="0" autoFill="0" autoLine="0" autoPict="0" macro="[0]!CheckBox1_Click" altText="">
                <anchor>
                  <from>
                    <xdr:col>22</xdr:col>
                    <xdr:colOff>85725</xdr:colOff>
                    <xdr:row>48</xdr:row>
                    <xdr:rowOff>152400</xdr:rowOff>
                  </from>
                  <to>
                    <xdr:col>35</xdr:col>
                    <xdr:colOff>57150</xdr:colOff>
                    <xdr:row>50</xdr:row>
                    <xdr:rowOff>9525</xdr:rowOff>
                  </to>
                </anchor>
              </controlPr>
            </control>
          </mc:Choice>
        </mc:AlternateContent>
        <mc:AlternateContent xmlns:mc="http://schemas.openxmlformats.org/markup-compatibility/2006">
          <mc:Choice Requires="x14">
            <control shapeId="98319" r:id="rId17" name="Check Box 15">
              <controlPr defaultSize="0" autoFill="0" autoLine="0" autoPict="0" macro="[0]!CheckBox1_Click" altText="">
                <anchor>
                  <from>
                    <xdr:col>22</xdr:col>
                    <xdr:colOff>85725</xdr:colOff>
                    <xdr:row>49</xdr:row>
                    <xdr:rowOff>161925</xdr:rowOff>
                  </from>
                  <to>
                    <xdr:col>35</xdr:col>
                    <xdr:colOff>57150</xdr:colOff>
                    <xdr:row>51</xdr:row>
                    <xdr:rowOff>19050</xdr:rowOff>
                  </to>
                </anchor>
              </controlPr>
            </control>
          </mc:Choice>
        </mc:AlternateContent>
        <mc:AlternateContent xmlns:mc="http://schemas.openxmlformats.org/markup-compatibility/2006">
          <mc:Choice Requires="x14">
            <control shapeId="98320" r:id="rId18" name="Check Box 16">
              <controlPr defaultSize="0" autoFill="0" autoLine="0" autoPict="0" macro="[0]!CheckBox1_Click" altText="">
                <anchor>
                  <from>
                    <xdr:col>22</xdr:col>
                    <xdr:colOff>85725</xdr:colOff>
                    <xdr:row>50</xdr:row>
                    <xdr:rowOff>161925</xdr:rowOff>
                  </from>
                  <to>
                    <xdr:col>35</xdr:col>
                    <xdr:colOff>57150</xdr:colOff>
                    <xdr:row>52</xdr:row>
                    <xdr:rowOff>19050</xdr:rowOff>
                  </to>
                </anchor>
              </controlPr>
            </control>
          </mc:Choice>
        </mc:AlternateContent>
        <mc:AlternateContent xmlns:mc="http://schemas.openxmlformats.org/markup-compatibility/2006">
          <mc:Choice Requires="x14">
            <control shapeId="98321" r:id="rId19" name="Check Box 17">
              <controlPr defaultSize="0" autoFill="0" autoLine="0" autoPict="0" macro="[0]!CheckBox1_Click" altText="">
                <anchor>
                  <from>
                    <xdr:col>22</xdr:col>
                    <xdr:colOff>85725</xdr:colOff>
                    <xdr:row>51</xdr:row>
                    <xdr:rowOff>171450</xdr:rowOff>
                  </from>
                  <to>
                    <xdr:col>35</xdr:col>
                    <xdr:colOff>57150</xdr:colOff>
                    <xdr:row>53</xdr:row>
                    <xdr:rowOff>28575</xdr:rowOff>
                  </to>
                </anchor>
              </controlPr>
            </control>
          </mc:Choice>
        </mc:AlternateContent>
        <mc:AlternateContent xmlns:mc="http://schemas.openxmlformats.org/markup-compatibility/2006">
          <mc:Choice Requires="x14">
            <control shapeId="98322" r:id="rId20" name="Check Box 18">
              <controlPr defaultSize="0" autoFill="0" autoLine="0" autoPict="0" macro="[0]!CheckBox1_Click" altText="">
                <anchor>
                  <from>
                    <xdr:col>22</xdr:col>
                    <xdr:colOff>85725</xdr:colOff>
                    <xdr:row>52</xdr:row>
                    <xdr:rowOff>171450</xdr:rowOff>
                  </from>
                  <to>
                    <xdr:col>35</xdr:col>
                    <xdr:colOff>57150</xdr:colOff>
                    <xdr:row>54</xdr:row>
                    <xdr:rowOff>28575</xdr:rowOff>
                  </to>
                </anchor>
              </controlPr>
            </control>
          </mc:Choice>
        </mc:AlternateContent>
        <mc:AlternateContent xmlns:mc="http://schemas.openxmlformats.org/markup-compatibility/2006">
          <mc:Choice Requires="x14">
            <control shapeId="98323" r:id="rId21" name="Check Box 19">
              <controlPr defaultSize="0" autoFill="0" autoLine="0" autoPict="0" macro="[0]!CheckBox1_Click" altText="">
                <anchor>
                  <from>
                    <xdr:col>22</xdr:col>
                    <xdr:colOff>85725</xdr:colOff>
                    <xdr:row>53</xdr:row>
                    <xdr:rowOff>171450</xdr:rowOff>
                  </from>
                  <to>
                    <xdr:col>35</xdr:col>
                    <xdr:colOff>57150</xdr:colOff>
                    <xdr:row>55</xdr:row>
                    <xdr:rowOff>28575</xdr:rowOff>
                  </to>
                </anchor>
              </controlPr>
            </control>
          </mc:Choice>
        </mc:AlternateContent>
        <mc:AlternateContent xmlns:mc="http://schemas.openxmlformats.org/markup-compatibility/2006">
          <mc:Choice Requires="x14">
            <control shapeId="98324" r:id="rId22" name="Check Box 20">
              <controlPr defaultSize="0" autoFill="0" autoLine="0" autoPict="0" macro="[0]!CheckBox1_Click" altText="">
                <anchor>
                  <from>
                    <xdr:col>22</xdr:col>
                    <xdr:colOff>85725</xdr:colOff>
                    <xdr:row>54</xdr:row>
                    <xdr:rowOff>171450</xdr:rowOff>
                  </from>
                  <to>
                    <xdr:col>35</xdr:col>
                    <xdr:colOff>57150</xdr:colOff>
                    <xdr:row>56</xdr:row>
                    <xdr:rowOff>28575</xdr:rowOff>
                  </to>
                </anchor>
              </controlPr>
            </control>
          </mc:Choice>
        </mc:AlternateContent>
        <mc:AlternateContent xmlns:mc="http://schemas.openxmlformats.org/markup-compatibility/2006">
          <mc:Choice Requires="x14">
            <control shapeId="98325" r:id="rId23" name="Check Box 21">
              <controlPr defaultSize="0" autoFill="0" autoLine="0" autoPict="0" macro="[0]!CheckBox1_Click" altText="">
                <anchor>
                  <from>
                    <xdr:col>22</xdr:col>
                    <xdr:colOff>85725</xdr:colOff>
                    <xdr:row>55</xdr:row>
                    <xdr:rowOff>171450</xdr:rowOff>
                  </from>
                  <to>
                    <xdr:col>35</xdr:col>
                    <xdr:colOff>57150</xdr:colOff>
                    <xdr:row>57</xdr:row>
                    <xdr:rowOff>28575</xdr:rowOff>
                  </to>
                </anchor>
              </controlPr>
            </control>
          </mc:Choice>
        </mc:AlternateContent>
        <mc:AlternateContent xmlns:mc="http://schemas.openxmlformats.org/markup-compatibility/2006">
          <mc:Choice Requires="x14">
            <control shapeId="98328" r:id="rId24" name="Check Box 24">
              <controlPr defaultSize="0" autoFill="0" autoLine="0" autoPict="0" macro="[0]!CheckBox1_Click" altText="">
                <anchor>
                  <from>
                    <xdr:col>22</xdr:col>
                    <xdr:colOff>85725</xdr:colOff>
                    <xdr:row>56</xdr:row>
                    <xdr:rowOff>171450</xdr:rowOff>
                  </from>
                  <to>
                    <xdr:col>35</xdr:col>
                    <xdr:colOff>57150</xdr:colOff>
                    <xdr:row>58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E244C23F-BE96-461F-ADF8-C0B7834A64D3}">
            <x14:dataBar minLength="0" maxLength="100" gradient="0" negativeBarColorSameAsPositive="1">
              <x14:cfvo type="autoMin"/>
              <x14:cfvo type="autoMax"/>
              <x14:axisColor rgb="FF000000"/>
            </x14:dataBar>
          </x14:cfRule>
          <xm:sqref>P11:P31</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6">
    <tabColor rgb="FFFFC000"/>
  </sheetPr>
  <dimension ref="A1:BX460"/>
  <sheetViews>
    <sheetView showGridLines="0" showRowColHeaders="0" workbookViewId="0"/>
  </sheetViews>
  <sheetFormatPr defaultColWidth="9.140625" defaultRowHeight="11.25" customHeight="1"/>
  <cols>
    <col min="1" max="1" width="2" style="52" customWidth="1"/>
    <col min="2" max="2" width="19.42578125" style="52" customWidth="1"/>
    <col min="3" max="3" width="1.140625" style="52" customWidth="1"/>
    <col min="4" max="9" width="7.42578125" style="52" customWidth="1"/>
    <col min="10" max="10" width="1.140625" customWidth="1"/>
    <col min="11" max="14" width="7.42578125" style="52" customWidth="1"/>
    <col min="15" max="15" width="7.28515625" style="52" customWidth="1"/>
    <col min="16" max="16" width="6" style="52" customWidth="1"/>
    <col min="17" max="17" width="6.42578125" style="52" customWidth="1"/>
    <col min="18" max="18" width="1.140625" style="52" customWidth="1"/>
    <col min="19" max="19" width="8.7109375" style="52" customWidth="1"/>
    <col min="20" max="20" width="8.28515625" style="52" customWidth="1"/>
    <col min="21" max="21" width="2" style="52" customWidth="1"/>
    <col min="22" max="22" width="6.42578125" style="55" customWidth="1"/>
    <col min="23" max="23" width="4.85546875" style="55" customWidth="1"/>
    <col min="24" max="24" width="17.85546875" style="56" hidden="1" customWidth="1"/>
    <col min="25" max="29" width="11.42578125" style="56" hidden="1" customWidth="1"/>
    <col min="30" max="30" width="17" style="56" hidden="1" customWidth="1"/>
    <col min="31" max="31" width="8.5703125" style="56" hidden="1" customWidth="1"/>
    <col min="32" max="32" width="14.42578125" style="56" hidden="1" customWidth="1"/>
    <col min="33" max="34" width="6.5703125" style="56" hidden="1" customWidth="1"/>
    <col min="35" max="35" width="6.5703125" style="52" hidden="1" customWidth="1"/>
    <col min="36" max="36" width="31.5703125" style="52" customWidth="1"/>
    <col min="37" max="37" width="17" style="52" hidden="1" customWidth="1"/>
    <col min="38" max="42" width="13.5703125" style="52" hidden="1" customWidth="1"/>
    <col min="43" max="75" width="9.140625" style="52" hidden="1" customWidth="1"/>
    <col min="76" max="77" width="9.140625" style="52" customWidth="1"/>
    <col min="78" max="16384" width="9.140625" style="52"/>
  </cols>
  <sheetData>
    <row r="1" spans="1:50" ht="18.75" customHeight="1" thickBot="1">
      <c r="A1" s="81"/>
      <c r="B1" s="82"/>
      <c r="C1" s="82"/>
      <c r="D1" s="82"/>
      <c r="E1" s="82"/>
      <c r="F1" s="82"/>
      <c r="G1" s="82"/>
      <c r="H1" s="82"/>
      <c r="I1" s="82"/>
      <c r="J1" s="83"/>
      <c r="K1" s="82"/>
      <c r="L1" s="82"/>
      <c r="M1" s="82"/>
      <c r="N1" s="82"/>
      <c r="O1" s="82"/>
      <c r="P1" s="82"/>
      <c r="Q1" s="82"/>
      <c r="R1" s="82"/>
      <c r="S1" s="82"/>
      <c r="T1" s="82"/>
      <c r="U1" s="84"/>
      <c r="V1" s="207"/>
      <c r="W1" s="117"/>
      <c r="X1" s="135"/>
      <c r="Y1" s="534" t="str">
        <f>IF(ReportData!$C$3="Annual"," at 31st March"," at last day in quarter")</f>
        <v xml:space="preserve"> at 31st March</v>
      </c>
      <c r="Z1" s="135"/>
      <c r="AA1" s="135"/>
      <c r="AB1" s="135"/>
      <c r="AC1" s="135"/>
      <c r="AD1" s="135"/>
      <c r="AE1" s="135"/>
      <c r="AF1" s="135"/>
      <c r="AG1" s="135"/>
      <c r="AH1" s="135"/>
      <c r="AI1" s="136"/>
      <c r="AJ1" s="118"/>
    </row>
    <row r="2" spans="1:50" ht="18.75" customHeight="1">
      <c r="A2" s="87"/>
      <c r="B2" s="888" t="s">
        <v>20</v>
      </c>
      <c r="C2" s="5"/>
      <c r="D2" s="5"/>
      <c r="E2" s="5"/>
      <c r="F2" s="5"/>
      <c r="G2" s="5"/>
      <c r="H2" s="5"/>
      <c r="I2" s="5"/>
      <c r="J2" s="1"/>
      <c r="K2" s="5"/>
      <c r="L2" s="5"/>
      <c r="M2" s="5"/>
      <c r="N2" s="5"/>
      <c r="O2" s="5"/>
      <c r="P2" s="5"/>
      <c r="Q2" s="5"/>
      <c r="R2" s="5"/>
      <c r="S2" s="5"/>
      <c r="T2" s="5"/>
      <c r="U2" s="86"/>
      <c r="V2" s="122"/>
      <c r="W2" s="114"/>
      <c r="X2" s="578">
        <v>1</v>
      </c>
      <c r="Y2" s="461" t="str">
        <f>IF(ReportData!$C$3="Annual","",ReportData!$D$28)</f>
        <v/>
      </c>
      <c r="Z2" s="462" t="str">
        <f>IF(ReportData!$C$3="Annual","",ReportData!$E$28)</f>
        <v/>
      </c>
      <c r="AA2" s="462" t="str">
        <f>IF(ReportData!$C$3="Annual","",ReportData!$F$28)</f>
        <v/>
      </c>
      <c r="AB2" s="462" t="str">
        <f>IF(ReportData!$C$3="Annual","",ReportData!$G$28)</f>
        <v/>
      </c>
      <c r="AC2" s="463" t="str">
        <f>IF(ReportData!$C$3="Annual","",ReportData!$H$28)</f>
        <v/>
      </c>
      <c r="AJ2" s="119"/>
    </row>
    <row r="3" spans="1:50" ht="18.75" customHeight="1" thickBot="1">
      <c r="A3" s="91"/>
      <c r="B3" s="92"/>
      <c r="C3" s="92"/>
      <c r="D3" s="92"/>
      <c r="E3" s="92"/>
      <c r="F3" s="92"/>
      <c r="G3" s="92"/>
      <c r="H3" s="92"/>
      <c r="I3" s="200"/>
      <c r="J3" s="93"/>
      <c r="K3" s="92"/>
      <c r="L3" s="92"/>
      <c r="M3" s="92"/>
      <c r="N3" s="92"/>
      <c r="O3" s="92"/>
      <c r="P3" s="329"/>
      <c r="Q3" s="92"/>
      <c r="R3" s="92"/>
      <c r="S3" s="200"/>
      <c r="T3" s="92"/>
      <c r="U3" s="94"/>
      <c r="V3" s="122"/>
      <c r="W3" s="114"/>
      <c r="X3" s="464"/>
      <c r="Y3" s="464" t="str">
        <f>ReportData!$D$27</f>
        <v>2019/20</v>
      </c>
      <c r="Z3" s="465" t="str">
        <f>ReportData!$E$27</f>
        <v>2020/21</v>
      </c>
      <c r="AA3" s="465" t="str">
        <f>ReportData!$F$27</f>
        <v>2021/22</v>
      </c>
      <c r="AB3" s="465" t="str">
        <f>ReportData!$G$27</f>
        <v>2022/23</v>
      </c>
      <c r="AC3" s="466" t="str">
        <f>ReportData!$H$27</f>
        <v>2023/24</v>
      </c>
      <c r="AJ3" s="119"/>
    </row>
    <row r="4" spans="1:50" ht="11.25" customHeight="1">
      <c r="A4" s="81"/>
      <c r="B4" s="82"/>
      <c r="C4" s="82"/>
      <c r="D4" s="82"/>
      <c r="E4" s="82"/>
      <c r="F4" s="82"/>
      <c r="G4" s="82"/>
      <c r="H4" s="82"/>
      <c r="I4" s="82"/>
      <c r="J4" s="83"/>
      <c r="K4" s="82"/>
      <c r="L4" s="82"/>
      <c r="M4" s="82"/>
      <c r="N4" s="82"/>
      <c r="O4" s="82"/>
      <c r="P4" s="82"/>
      <c r="Q4" s="82"/>
      <c r="R4" s="82"/>
      <c r="S4" s="82"/>
      <c r="T4" s="82"/>
      <c r="U4" s="84"/>
      <c r="V4" s="119"/>
      <c r="W4" s="114"/>
      <c r="X4" s="140"/>
      <c r="Y4" s="140" t="str">
        <f>Home!$D$5</f>
        <v>(none)</v>
      </c>
      <c r="Z4" s="25" t="str">
        <f>"Selected LA- "&amp;Y4</f>
        <v>Selected LA- (none)</v>
      </c>
      <c r="AJ4" s="119"/>
    </row>
    <row r="5" spans="1:50" ht="18.75" customHeight="1">
      <c r="A5" s="87"/>
      <c r="B5" s="1775" t="str">
        <f>"Children subject to Child Protection Plan"&amp;Y1&amp;" [RIIA211]"</f>
        <v>Children subject to Child Protection Plan at 31st March [RIIA211]</v>
      </c>
      <c r="C5" s="1776"/>
      <c r="D5" s="1776"/>
      <c r="E5" s="1776"/>
      <c r="F5" s="1776"/>
      <c r="G5" s="1776"/>
      <c r="H5" s="1776"/>
      <c r="I5" s="1776"/>
      <c r="J5" s="1776"/>
      <c r="K5" s="1776"/>
      <c r="L5" s="1776"/>
      <c r="M5" s="1776"/>
      <c r="N5" s="1776"/>
      <c r="O5" s="390"/>
      <c r="P5" s="390"/>
      <c r="Q5" s="390"/>
      <c r="R5" s="390"/>
      <c r="S5" s="390"/>
      <c r="T5" s="390"/>
      <c r="U5" s="86"/>
      <c r="V5" s="119"/>
      <c r="W5" s="114"/>
      <c r="X5" s="52"/>
      <c r="Y5" s="52"/>
      <c r="Z5" s="52"/>
      <c r="AA5" s="52"/>
      <c r="AB5" s="52"/>
      <c r="AC5" s="52"/>
      <c r="AD5" s="52"/>
      <c r="AE5" s="52"/>
      <c r="AF5" s="52"/>
      <c r="AG5" s="52"/>
      <c r="AH5" s="52"/>
      <c r="AJ5" s="119"/>
      <c r="AK5" s="52" t="str">
        <f>CONCATENATE($I$7,"in Number of "&amp;$B2)</f>
        <v>Average Annual Change in Number of Child Protection Plans</v>
      </c>
    </row>
    <row r="6" spans="1:50" ht="18.75" customHeight="1">
      <c r="A6" s="87"/>
      <c r="B6" s="1776"/>
      <c r="C6" s="1776"/>
      <c r="D6" s="1776"/>
      <c r="E6" s="1776"/>
      <c r="F6" s="1776"/>
      <c r="G6" s="1776"/>
      <c r="H6" s="1776"/>
      <c r="I6" s="1776"/>
      <c r="J6" s="1776"/>
      <c r="K6" s="1776"/>
      <c r="L6" s="1776"/>
      <c r="M6" s="1776"/>
      <c r="N6" s="1776"/>
      <c r="O6" s="390"/>
      <c r="P6" s="390"/>
      <c r="Q6" s="390"/>
      <c r="R6" s="390"/>
      <c r="S6" s="390"/>
      <c r="T6" s="390"/>
      <c r="U6" s="86"/>
      <c r="V6" s="119"/>
      <c r="W6" s="114"/>
      <c r="Y6" s="141"/>
      <c r="AJ6" s="119"/>
    </row>
    <row r="7" spans="1:50" s="61" customFormat="1" ht="13.5" customHeight="1">
      <c r="A7" s="88"/>
      <c r="B7" s="1749" t="s">
        <v>177</v>
      </c>
      <c r="C7" s="896"/>
      <c r="D7" s="1777" t="s">
        <v>84</v>
      </c>
      <c r="E7" s="1777"/>
      <c r="F7" s="1777"/>
      <c r="G7" s="1777"/>
      <c r="H7" s="1778"/>
      <c r="I7" s="1761" t="str">
        <f>"Average "&amp;ReportData!C3&amp;" Change "</f>
        <v xml:space="preserve">Average Annual Change </v>
      </c>
      <c r="J7" s="896"/>
      <c r="K7" s="1765" t="s">
        <v>85</v>
      </c>
      <c r="L7" s="1766"/>
      <c r="M7" s="1766"/>
      <c r="N7" s="1766"/>
      <c r="O7" s="1766"/>
      <c r="P7" s="1767"/>
      <c r="Q7" s="1761" t="str">
        <f>IF(ISNA(O8),"Rank "&amp;O10,"Rank "&amp;LEFT(O8,5)&amp;" "&amp;RIGHT(O8,2))</f>
        <v>Rank 2023/ 24</v>
      </c>
      <c r="R7" s="64"/>
      <c r="S7" s="1783" t="str">
        <f>"Distance from "&amp;ReportData!$B$8&amp;" Expected Rate based on IDACI"</f>
        <v>Distance from 2024 Expected Rate based on IDACI</v>
      </c>
      <c r="T7" s="1784"/>
      <c r="U7" s="89"/>
      <c r="V7" s="186"/>
      <c r="W7" s="115"/>
      <c r="AA7" s="153" t="s">
        <v>76</v>
      </c>
      <c r="AB7" s="141"/>
      <c r="AC7" s="141"/>
      <c r="AD7" s="149"/>
      <c r="AE7" s="149"/>
      <c r="AF7" s="154" t="s">
        <v>88</v>
      </c>
      <c r="AG7" s="141"/>
      <c r="AH7" s="141"/>
      <c r="AJ7" s="121"/>
      <c r="AK7" s="350"/>
      <c r="AL7" s="350"/>
      <c r="AM7" s="350"/>
      <c r="AN7" s="350"/>
      <c r="AO7" s="350"/>
      <c r="AP7" s="52"/>
      <c r="AQ7" s="52"/>
      <c r="AR7" s="52"/>
      <c r="AS7" s="52"/>
      <c r="AT7" s="52"/>
      <c r="AU7" s="52"/>
      <c r="AV7" s="52"/>
      <c r="AW7" s="52"/>
      <c r="AX7" s="52"/>
    </row>
    <row r="8" spans="1:50" s="61" customFormat="1" ht="13.5" customHeight="1">
      <c r="A8" s="217"/>
      <c r="B8" s="1749"/>
      <c r="C8" s="896"/>
      <c r="D8" s="1770" t="str">
        <f>ReportData!$D$27</f>
        <v>2019/20</v>
      </c>
      <c r="E8" s="1770" t="str">
        <f>ReportData!$E$27</f>
        <v>2020/21</v>
      </c>
      <c r="F8" s="1770" t="str">
        <f>ReportData!$F$27</f>
        <v>2021/22</v>
      </c>
      <c r="G8" s="1770" t="str">
        <f>ReportData!$G$27</f>
        <v>2022/23</v>
      </c>
      <c r="H8" s="1781" t="str">
        <f>ReportData!$H$27</f>
        <v>2023/24</v>
      </c>
      <c r="I8" s="1762"/>
      <c r="J8" s="896"/>
      <c r="K8" s="1770" t="str">
        <f>ReportData!$D$27</f>
        <v>2019/20</v>
      </c>
      <c r="L8" s="1770" t="str">
        <f>ReportData!$E$27</f>
        <v>2020/21</v>
      </c>
      <c r="M8" s="1770" t="str">
        <f>ReportData!$F$27</f>
        <v>2021/22</v>
      </c>
      <c r="N8" s="1770" t="str">
        <f>ReportData!$G$27</f>
        <v>2022/23</v>
      </c>
      <c r="O8" s="1789" t="str">
        <f>ReportData!$H$27</f>
        <v>2023/24</v>
      </c>
      <c r="P8" s="1790"/>
      <c r="Q8" s="1762"/>
      <c r="R8" s="64"/>
      <c r="S8" s="1785"/>
      <c r="T8" s="1786"/>
      <c r="U8" s="89"/>
      <c r="V8" s="103"/>
      <c r="W8" s="115"/>
      <c r="Y8" s="1772" t="s">
        <v>73</v>
      </c>
      <c r="Z8" s="1772" t="s">
        <v>74</v>
      </c>
      <c r="AA8" s="444" t="str">
        <f>ReportData!$D$27</f>
        <v>2019/20</v>
      </c>
      <c r="AB8" s="444" t="str">
        <f>ReportData!$E$27</f>
        <v>2020/21</v>
      </c>
      <c r="AC8" s="444" t="str">
        <f>ReportData!$F$27</f>
        <v>2021/22</v>
      </c>
      <c r="AD8" s="444" t="str">
        <f>ReportData!$G$27</f>
        <v>2022/23</v>
      </c>
      <c r="AE8" s="444" t="str">
        <f>ReportData!$H$27</f>
        <v>2023/24</v>
      </c>
      <c r="AF8" s="154"/>
      <c r="AG8" s="141"/>
      <c r="AH8" s="141"/>
      <c r="AJ8" s="121"/>
      <c r="AK8" s="109"/>
      <c r="AL8" s="109"/>
      <c r="AM8" s="109"/>
      <c r="AN8" s="109"/>
      <c r="AO8" s="109"/>
      <c r="AP8" s="52"/>
      <c r="AQ8" s="52"/>
      <c r="AR8" s="52"/>
      <c r="AS8" s="52"/>
      <c r="AT8" s="52"/>
      <c r="AU8" s="52"/>
      <c r="AV8" s="52"/>
      <c r="AW8" s="52"/>
      <c r="AX8" s="52"/>
    </row>
    <row r="9" spans="1:50" s="61" customFormat="1" ht="9" customHeight="1">
      <c r="A9" s="217"/>
      <c r="B9" s="1749"/>
      <c r="C9" s="896"/>
      <c r="D9" s="1771"/>
      <c r="E9" s="1771"/>
      <c r="F9" s="1771"/>
      <c r="G9" s="1771"/>
      <c r="H9" s="1782"/>
      <c r="I9" s="1762"/>
      <c r="J9" s="896"/>
      <c r="K9" s="1771"/>
      <c r="L9" s="1771"/>
      <c r="M9" s="1771"/>
      <c r="N9" s="1771"/>
      <c r="O9" s="1791"/>
      <c r="P9" s="1792"/>
      <c r="Q9" s="1762"/>
      <c r="R9" s="64"/>
      <c r="S9" s="1787"/>
      <c r="T9" s="1788"/>
      <c r="U9" s="89"/>
      <c r="V9" s="103"/>
      <c r="W9" s="918"/>
      <c r="Y9" s="1773"/>
      <c r="Z9" s="1773"/>
      <c r="AA9" s="444"/>
      <c r="AB9" s="444"/>
      <c r="AC9" s="444"/>
      <c r="AD9" s="444"/>
      <c r="AE9" s="444"/>
      <c r="AF9" s="154"/>
      <c r="AG9" s="141"/>
      <c r="AH9" s="141"/>
      <c r="AJ9" s="121"/>
      <c r="AK9" s="109"/>
      <c r="AL9" s="109"/>
      <c r="AM9" s="109"/>
      <c r="AN9" s="109"/>
      <c r="AO9" s="109"/>
      <c r="AP9" s="52"/>
      <c r="AQ9" s="52"/>
      <c r="AR9" s="52"/>
      <c r="AS9" s="52"/>
      <c r="AT9" s="52"/>
      <c r="AU9" s="52"/>
      <c r="AV9" s="52"/>
      <c r="AW9" s="52"/>
      <c r="AX9" s="52"/>
    </row>
    <row r="10" spans="1:50" s="61" customFormat="1" ht="13.5" customHeight="1">
      <c r="A10" s="88"/>
      <c r="B10" s="1764"/>
      <c r="C10" s="896"/>
      <c r="D10" s="897" t="e">
        <f>ReportData!$D$28</f>
        <v>#N/A</v>
      </c>
      <c r="E10" s="897" t="e">
        <f>ReportData!$E$28</f>
        <v>#N/A</v>
      </c>
      <c r="F10" s="897" t="e">
        <f>ReportData!$F$28</f>
        <v>#N/A</v>
      </c>
      <c r="G10" s="897" t="e">
        <f>ReportData!$G$28</f>
        <v>#N/A</v>
      </c>
      <c r="H10" s="920" t="e">
        <f>ReportData!$H$28</f>
        <v>#N/A</v>
      </c>
      <c r="I10" s="1763"/>
      <c r="J10" s="896"/>
      <c r="K10" s="897" t="e">
        <f>ReportData!$D$28</f>
        <v>#N/A</v>
      </c>
      <c r="L10" s="897" t="e">
        <f>ReportData!$E$28</f>
        <v>#N/A</v>
      </c>
      <c r="M10" s="897" t="e">
        <f>ReportData!$F$28</f>
        <v>#N/A</v>
      </c>
      <c r="N10" s="897" t="e">
        <f>ReportData!$G$28</f>
        <v>#N/A</v>
      </c>
      <c r="O10" s="1779" t="e">
        <f>ReportData!$H$28</f>
        <v>#N/A</v>
      </c>
      <c r="P10" s="1780"/>
      <c r="Q10" s="1763"/>
      <c r="R10" s="64"/>
      <c r="S10" s="898" t="s">
        <v>110</v>
      </c>
      <c r="T10" s="899" t="s">
        <v>111</v>
      </c>
      <c r="U10" s="89"/>
      <c r="V10" s="103"/>
      <c r="W10" s="115"/>
      <c r="Y10" s="1774"/>
      <c r="Z10" s="1774"/>
      <c r="AA10" s="444" t="e">
        <f>ReportData!$D$28</f>
        <v>#N/A</v>
      </c>
      <c r="AB10" s="444" t="e">
        <f>ReportData!$E$28</f>
        <v>#N/A</v>
      </c>
      <c r="AC10" s="444" t="e">
        <f>ReportData!$F$28</f>
        <v>#N/A</v>
      </c>
      <c r="AD10" s="444" t="e">
        <f>ReportData!$G$28</f>
        <v>#N/A</v>
      </c>
      <c r="AE10" s="444" t="e">
        <f>ReportData!$H$28</f>
        <v>#N/A</v>
      </c>
      <c r="AF10" s="141"/>
      <c r="AG10" s="141">
        <f>COLUMNS($B$4:O$4)</f>
        <v>14</v>
      </c>
      <c r="AH10" s="141"/>
      <c r="AJ10" s="121"/>
      <c r="AK10" s="479" t="s">
        <v>598</v>
      </c>
      <c r="AL10" s="479" t="s">
        <v>599</v>
      </c>
      <c r="AM10" s="479" t="s">
        <v>600</v>
      </c>
      <c r="AN10" s="479" t="s">
        <v>601</v>
      </c>
      <c r="AO10" s="479" t="s">
        <v>602</v>
      </c>
      <c r="AP10" s="52"/>
      <c r="AQ10" s="52"/>
      <c r="AR10" s="52"/>
      <c r="AS10" s="52"/>
      <c r="AT10" s="52"/>
      <c r="AU10" s="52"/>
      <c r="AV10" s="52"/>
      <c r="AW10" s="52"/>
      <c r="AX10" s="52"/>
    </row>
    <row r="11" spans="1:50" s="61" customFormat="1" ht="15.75" customHeight="1">
      <c r="A11" s="1103">
        <f>VLOOKUP(B11,ReportData!$AQ$4:$AR$25,2,FALSE)</f>
        <v>0</v>
      </c>
      <c r="B11" s="885" t="str">
        <f>ReportData!$K$4</f>
        <v>Bracknell Forest</v>
      </c>
      <c r="C11" s="896"/>
      <c r="D11" s="889">
        <f>IF(Year1_Bracknell_Forest Year1_CP_Plans="","",Year1_Bracknell_Forest Year1_CP_Plans)</f>
        <v>122</v>
      </c>
      <c r="E11" s="889">
        <f>IF(Year2_Bracknell_Forest Year2_CP_Plans="","",Year2_Bracknell_Forest Year2_CP_Plans)</f>
        <v>158</v>
      </c>
      <c r="F11" s="889">
        <f>IF(Year3_Bracknell_Forest Year3_CP_Plans="","",Year3_Bracknell_Forest Year3_CP_Plans)</f>
        <v>185</v>
      </c>
      <c r="G11" s="889">
        <f>IF(Year4_Bracknell_Forest Year4_CP_Plans="","",Year4_Bracknell_Forest Year4_CP_Plans)</f>
        <v>150</v>
      </c>
      <c r="H11" s="890">
        <f>IF(Year5_Bracknell_Forest Year5_CP_Plans="","",Year5_Bracknell_Forest Year5_CP_Plans)</f>
        <v>112</v>
      </c>
      <c r="I11" s="900">
        <f>AO11</f>
        <v>5.8613801599898263E-3</v>
      </c>
      <c r="J11" s="896"/>
      <c r="K11" s="901">
        <f>IF(ISNUMBER(D11),D11/Population!D11*10000,NA())</f>
        <v>44.691918821891718</v>
      </c>
      <c r="L11" s="901">
        <f>IF(ISNUMBER(E11),E11/Population!E11*10000,NA())</f>
        <v>57.258824382112053</v>
      </c>
      <c r="M11" s="901">
        <f>IF(ISNUMBER(F11),F11/Population!F11*10000,NA())</f>
        <v>66.491751428674121</v>
      </c>
      <c r="N11" s="901">
        <f>IF(ISNUMBER(G11),G11/Population!G11*10000,NA())</f>
        <v>52.947405577126723</v>
      </c>
      <c r="O11" s="902">
        <f>IF(ISNUMBER(H11),H11/Population!H11*10000,NA())</f>
        <v>39.0965895207177</v>
      </c>
      <c r="P11" s="903">
        <f>IF(ISNUMBER(O11),O11,"")</f>
        <v>39.0965895207177</v>
      </c>
      <c r="Q11" s="1190">
        <f t="shared" ref="Q11:Q31" si="0">IF(ISNA(VLOOKUP(B11,$AF$11:$AH$29,3,FALSE)),"--",IF(ISNUMBER(H11),VLOOKUP(B11,$AF$11:$AH$29,3,FALSE),NA()))</f>
        <v>9</v>
      </c>
      <c r="R11" s="64"/>
      <c r="S11" s="905">
        <f>(AQ38*$Y$41)+$Z$41</f>
        <v>30.785610057304446</v>
      </c>
      <c r="T11" s="906">
        <f t="shared" ref="T11:T31" si="1">O11-S11</f>
        <v>8.3109794634132541</v>
      </c>
      <c r="U11" s="89"/>
      <c r="V11" s="103"/>
      <c r="W11" s="115"/>
      <c r="X11" s="51" t="str">
        <f t="shared" ref="X11:X31" si="2">B11</f>
        <v>Bracknell Forest</v>
      </c>
      <c r="Y11" s="27">
        <f>IF(ISNUMBER(H11),IDACI!D9,0)</f>
        <v>24849</v>
      </c>
      <c r="Z11" s="27">
        <f>IF(ISNUMBER(H11),IDACI!E9,0)</f>
        <v>2211.5610000000001</v>
      </c>
      <c r="AA11" s="155">
        <f>IF(ISNUMBER(D11),Population!D11,"")</f>
        <v>27298</v>
      </c>
      <c r="AB11" s="155">
        <f>IF(ISNUMBER(E11),Population!E11,"")</f>
        <v>27594</v>
      </c>
      <c r="AC11" s="155">
        <f>IF(ISNUMBER(F11),Population!F11,"")</f>
        <v>27823</v>
      </c>
      <c r="AD11" s="155">
        <f>IF(ISNUMBER(G11),Population!G11,"")</f>
        <v>28330</v>
      </c>
      <c r="AE11" s="155">
        <f>IF(ISNUMBER(H11),Population!H11,"")</f>
        <v>28647</v>
      </c>
      <c r="AF11" s="65" t="str">
        <f>B11</f>
        <v>Bracknell Forest</v>
      </c>
      <c r="AG11" s="70">
        <f t="shared" ref="AG11:AG29" si="3">IFERROR(VLOOKUP(AF11,$B$11:$O$29,$AG$10,FALSE),"")</f>
        <v>39.0965895207177</v>
      </c>
      <c r="AH11" s="156">
        <f t="shared" ref="AH11:AH29" si="4">RANK(AG11,$AG$11:$AG$29,1)</f>
        <v>9</v>
      </c>
      <c r="AJ11" s="121"/>
      <c r="AK11" s="480">
        <f t="shared" ref="AK11:AK29" si="5">IF(ISERROR((E11-D11)/D11),"x",(E11-D11)/D11)</f>
        <v>0.29508196721311475</v>
      </c>
      <c r="AL11" s="480">
        <f t="shared" ref="AL11:AL29" si="6">IF(ISERROR((F11-E11)/E11),"x",(F11-E11)/E11)</f>
        <v>0.17088607594936708</v>
      </c>
      <c r="AM11" s="480">
        <f t="shared" ref="AM11:AM29" si="7">IF(ISERROR((G11-F11)/F11),"x",(G11-F11)/F11)</f>
        <v>-0.1891891891891892</v>
      </c>
      <c r="AN11" s="480">
        <f t="shared" ref="AN11:AN29" si="8">IF(ISERROR((H11-G11)/G11),"x",(H11-G11)/G11)</f>
        <v>-0.25333333333333335</v>
      </c>
      <c r="AO11" s="480">
        <f>AVERAGE(AK11:AN11)</f>
        <v>5.8613801599898263E-3</v>
      </c>
      <c r="AP11" s="52"/>
      <c r="AQ11" s="52"/>
      <c r="AR11" s="52"/>
      <c r="AS11" s="52"/>
      <c r="AT11" s="52"/>
      <c r="AU11" s="52"/>
      <c r="AV11" s="52"/>
      <c r="AW11" s="52"/>
      <c r="AX11" s="52"/>
    </row>
    <row r="12" spans="1:50" s="61" customFormat="1" ht="15.75" customHeight="1">
      <c r="A12" s="1103">
        <f>VLOOKUP(B12,ReportData!$AQ$4:$AR$25,2,FALSE)</f>
        <v>0</v>
      </c>
      <c r="B12" s="885" t="str">
        <f>ReportData!$K$5</f>
        <v>Brighton &amp; Hove</v>
      </c>
      <c r="C12" s="896"/>
      <c r="D12" s="889">
        <f>IF(Year1_Brighton_and_Hove Year1_CP_Plans="","",Year1_Brighton_and_Hove Year1_CP_Plans)</f>
        <v>335</v>
      </c>
      <c r="E12" s="889">
        <f>IF(Year2_Brighton_and_Hove Year2_CP_Plans="","",Year2_Brighton_and_Hove Year2_CP_Plans)</f>
        <v>273</v>
      </c>
      <c r="F12" s="889">
        <f>IF(Year3_Brighton_and_Hove Year3_CP_Plans="","",Year3_Brighton_and_Hove Year3_CP_Plans)</f>
        <v>281</v>
      </c>
      <c r="G12" s="889">
        <f>IF(Year4_Brighton_and_Hove Year4_CP_Plans="","",Year4_Brighton_and_Hove Year4_CP_Plans)</f>
        <v>285</v>
      </c>
      <c r="H12" s="890">
        <f>IF(Year5_Brighton_and_Hove Year5_CP_Plans="","",Year5_Brighton_and_Hove Year5_CP_Plans)</f>
        <v>262</v>
      </c>
      <c r="I12" s="900">
        <f t="shared" ref="I12:I25" si="9">AO12</f>
        <v>-5.5559369125691843E-2</v>
      </c>
      <c r="J12" s="896"/>
      <c r="K12" s="901">
        <f>IF(ISNUMBER(D12),D12/Population!D12*10000,NA())</f>
        <v>69.212016032395354</v>
      </c>
      <c r="L12" s="901">
        <f>IF(ISNUMBER(E12),E12/Population!E12*10000,NA())</f>
        <v>56.917688266199647</v>
      </c>
      <c r="M12" s="901">
        <f>IF(ISNUMBER(F12),F12/Population!F12*10000,NA())</f>
        <v>59.628647214854112</v>
      </c>
      <c r="N12" s="901">
        <f>IF(ISNUMBER(G12),G12/Population!G12*10000,NA())</f>
        <v>60.458209588459908</v>
      </c>
      <c r="O12" s="902">
        <f>IF(ISNUMBER(H12),H12/Population!H12*10000,NA())</f>
        <v>56.143659195131363</v>
      </c>
      <c r="P12" s="903">
        <f t="shared" ref="P12:P25" si="10">IF(ISNUMBER(O12),O12,"")</f>
        <v>56.143659195131363</v>
      </c>
      <c r="Q12" s="1190">
        <f t="shared" si="0"/>
        <v>15</v>
      </c>
      <c r="R12" s="64"/>
      <c r="S12" s="905">
        <f t="shared" ref="S12:S31" si="11">(AQ39*$Y$41)+$Z$41</f>
        <v>41.424352317671037</v>
      </c>
      <c r="T12" s="906">
        <f t="shared" si="1"/>
        <v>14.719306877460326</v>
      </c>
      <c r="U12" s="89"/>
      <c r="V12" s="103"/>
      <c r="W12" s="115"/>
      <c r="X12" s="51" t="str">
        <f t="shared" si="2"/>
        <v>Brighton &amp; Hove</v>
      </c>
      <c r="Y12" s="27">
        <f>IF(ISNUMBER(H12),IDACI!D10,0)</f>
        <v>45576</v>
      </c>
      <c r="Z12" s="27">
        <f>IF(ISNUMBER(H12),IDACI!E10,0)</f>
        <v>6973.1279999999997</v>
      </c>
      <c r="AA12" s="155">
        <f>IF(ISNUMBER(D12),Population!D12,"")</f>
        <v>48402</v>
      </c>
      <c r="AB12" s="155">
        <f>IF(ISNUMBER(E12),Population!E12,"")</f>
        <v>47964</v>
      </c>
      <c r="AC12" s="155">
        <f>IF(ISNUMBER(F12),Population!F12,"")</f>
        <v>47125</v>
      </c>
      <c r="AD12" s="155">
        <f>IF(ISNUMBER(G12),Population!G12,"")</f>
        <v>47140</v>
      </c>
      <c r="AE12" s="155">
        <f>IF(ISNUMBER(H12),Population!H12,"")</f>
        <v>46666</v>
      </c>
      <c r="AF12" s="65" t="s">
        <v>28</v>
      </c>
      <c r="AG12" s="70">
        <f t="shared" si="3"/>
        <v>56.143659195131363</v>
      </c>
      <c r="AH12" s="156">
        <f t="shared" si="4"/>
        <v>15</v>
      </c>
      <c r="AJ12" s="121"/>
      <c r="AK12" s="480">
        <f t="shared" si="5"/>
        <v>-0.18507462686567164</v>
      </c>
      <c r="AL12" s="480">
        <f t="shared" si="6"/>
        <v>2.9304029304029304E-2</v>
      </c>
      <c r="AM12" s="480">
        <f t="shared" si="7"/>
        <v>1.4234875444839857E-2</v>
      </c>
      <c r="AN12" s="480">
        <f t="shared" si="8"/>
        <v>-8.0701754385964913E-2</v>
      </c>
      <c r="AO12" s="480">
        <f t="shared" ref="AO12:AO25" si="12">AVERAGE(AK12:AN12)</f>
        <v>-5.5559369125691843E-2</v>
      </c>
      <c r="AP12" s="52"/>
      <c r="AQ12" s="52"/>
      <c r="AR12" s="52"/>
      <c r="AS12" s="52"/>
      <c r="AT12" s="52"/>
      <c r="AU12" s="52"/>
      <c r="AV12" s="52"/>
      <c r="AW12" s="52"/>
      <c r="AX12" s="52"/>
    </row>
    <row r="13" spans="1:50" s="61" customFormat="1" ht="15.75" customHeight="1">
      <c r="A13" s="1103">
        <f>VLOOKUP(B13,ReportData!$AQ$4:$AR$25,2,FALSE)</f>
        <v>0</v>
      </c>
      <c r="B13" s="885" t="str">
        <f>ReportData!$K$6</f>
        <v>Buckinghamshire</v>
      </c>
      <c r="C13" s="896"/>
      <c r="D13" s="889">
        <f>IF(Year1_Buckinghamshire Year1_CP_Plans="","",Year1_Buckinghamshire Year1_CP_Plans)</f>
        <v>575</v>
      </c>
      <c r="E13" s="889">
        <f>IF(Year2_Buckinghamshire Year2_CP_Plans="","",Year2_Buckinghamshire Year2_CP_Plans)</f>
        <v>518</v>
      </c>
      <c r="F13" s="889">
        <f>IF(Year3_Buckinghamshire Year3_CP_Plans="","",Year3_Buckinghamshire Year3_CP_Plans)</f>
        <v>752</v>
      </c>
      <c r="G13" s="889">
        <f>IF(Year4_Buckinghamshire Year4_CP_Plans="","",Year4_Buckinghamshire Year4_CP_Plans)</f>
        <v>520</v>
      </c>
      <c r="H13" s="890">
        <f>IF(Year5_Buckinghamshire Year5_CP_Plans="","",Year5_Buckinghamshire Year5_CP_Plans)</f>
        <v>430</v>
      </c>
      <c r="I13" s="900">
        <f t="shared" si="9"/>
        <v>-3.2245136104988095E-2</v>
      </c>
      <c r="J13" s="896"/>
      <c r="K13" s="901">
        <f>IF(ISNUMBER(D13),D13/Population!D13*10000,NA())</f>
        <v>47.078280946805634</v>
      </c>
      <c r="L13" s="901">
        <f>IF(ISNUMBER(E13),E13/Population!E13*10000,NA())</f>
        <v>42.287440303685862</v>
      </c>
      <c r="M13" s="901">
        <f>IF(ISNUMBER(F13),F13/Population!F13*10000,NA())</f>
        <v>60.885758238199337</v>
      </c>
      <c r="N13" s="901">
        <f>IF(ISNUMBER(G13),G13/Population!G13*10000,NA())</f>
        <v>41.297700829924956</v>
      </c>
      <c r="O13" s="902">
        <f>IF(ISNUMBER(H13),H13/Population!H13*10000,NA())</f>
        <v>33.694834503510535</v>
      </c>
      <c r="P13" s="903">
        <f t="shared" si="10"/>
        <v>33.694834503510535</v>
      </c>
      <c r="Q13" s="1190">
        <f t="shared" si="0"/>
        <v>5</v>
      </c>
      <c r="R13" s="64"/>
      <c r="S13" s="905">
        <f t="shared" si="11"/>
        <v>30.120688666031533</v>
      </c>
      <c r="T13" s="906">
        <f t="shared" si="1"/>
        <v>3.5741458374790014</v>
      </c>
      <c r="U13" s="89"/>
      <c r="V13" s="103"/>
      <c r="W13" s="115"/>
      <c r="X13" s="51" t="str">
        <f t="shared" si="2"/>
        <v>Buckinghamshire</v>
      </c>
      <c r="Y13" s="27">
        <f>IF(ISNUMBER(H13),IDACI!D11,0)</f>
        <v>107385</v>
      </c>
      <c r="Z13" s="27">
        <f>IF(ISNUMBER(H13),IDACI!E11,0)</f>
        <v>9127.7250000000004</v>
      </c>
      <c r="AA13" s="155">
        <f>IF(ISNUMBER(D13),Population!D13,"")</f>
        <v>122137</v>
      </c>
      <c r="AB13" s="155">
        <f>IF(ISNUMBER(E13),Population!E13,"")</f>
        <v>122495</v>
      </c>
      <c r="AC13" s="155">
        <f>IF(ISNUMBER(F13),Population!F13,"")</f>
        <v>123510</v>
      </c>
      <c r="AD13" s="155">
        <f>IF(ISNUMBER(G13),Population!G13,"")</f>
        <v>125915</v>
      </c>
      <c r="AE13" s="155">
        <f>IF(ISNUMBER(H13),Population!H13,"")</f>
        <v>127616</v>
      </c>
      <c r="AF13" s="65" t="s">
        <v>8</v>
      </c>
      <c r="AG13" s="70">
        <f t="shared" si="3"/>
        <v>33.694834503510535</v>
      </c>
      <c r="AH13" s="156">
        <f t="shared" si="4"/>
        <v>5</v>
      </c>
      <c r="AJ13" s="121"/>
      <c r="AK13" s="480">
        <f t="shared" si="5"/>
        <v>-9.913043478260869E-2</v>
      </c>
      <c r="AL13" s="480">
        <f t="shared" si="6"/>
        <v>0.45173745173745172</v>
      </c>
      <c r="AM13" s="480">
        <f t="shared" si="7"/>
        <v>-0.30851063829787234</v>
      </c>
      <c r="AN13" s="480">
        <f t="shared" si="8"/>
        <v>-0.17307692307692307</v>
      </c>
      <c r="AO13" s="480">
        <f t="shared" si="12"/>
        <v>-3.2245136104988095E-2</v>
      </c>
      <c r="AP13" s="52"/>
      <c r="AQ13" s="52"/>
      <c r="AR13" s="52"/>
      <c r="AS13" s="52"/>
      <c r="AT13" s="52"/>
      <c r="AU13" s="52"/>
      <c r="AV13" s="52"/>
      <c r="AW13" s="52"/>
      <c r="AX13" s="52"/>
    </row>
    <row r="14" spans="1:50" s="61" customFormat="1" ht="15.75" customHeight="1">
      <c r="A14" s="1103">
        <f>VLOOKUP(B14,ReportData!$AQ$4:$AR$25,2,FALSE)</f>
        <v>0</v>
      </c>
      <c r="B14" s="885" t="str">
        <f>ReportData!$K$7</f>
        <v>East Sussex</v>
      </c>
      <c r="C14" s="896"/>
      <c r="D14" s="889">
        <f>IF(Year1_East_Sussex Year1_CP_Plans="","",Year1_East_Sussex Year1_CP_Plans)</f>
        <v>536</v>
      </c>
      <c r="E14" s="889">
        <f>IF(Year2_East_Sussex Year2_CP_Plans="","",Year2_East_Sussex Year2_CP_Plans)</f>
        <v>524</v>
      </c>
      <c r="F14" s="889">
        <f>IF(Year3_East_Sussex Year3_CP_Plans="","",Year3_East_Sussex Year3_CP_Plans)</f>
        <v>534</v>
      </c>
      <c r="G14" s="889">
        <f>IF(Year4_East_Sussex Year4_CP_Plans="","",Year4_East_Sussex Year4_CP_Plans)</f>
        <v>663</v>
      </c>
      <c r="H14" s="890">
        <f>IF(Year5_East_Sussex Year5_CP_Plans="","",Year5_East_Sussex Year5_CP_Plans)</f>
        <v>685</v>
      </c>
      <c r="I14" s="900">
        <f t="shared" si="9"/>
        <v>6.7862861810690137E-2</v>
      </c>
      <c r="J14" s="896"/>
      <c r="K14" s="901">
        <f>IF(ISNUMBER(D14),D14/Population!D14*10000,NA())</f>
        <v>52.078778869229801</v>
      </c>
      <c r="L14" s="901">
        <f>IF(ISNUMBER(E14),E14/Population!E14*10000,NA())</f>
        <v>51.162381979906073</v>
      </c>
      <c r="M14" s="901">
        <f>IF(ISNUMBER(F14),F14/Population!F14*10000,NA())</f>
        <v>52.373993467962613</v>
      </c>
      <c r="N14" s="901">
        <f>IF(ISNUMBER(G14),G14/Population!G14*10000,NA())</f>
        <v>64.478482859226844</v>
      </c>
      <c r="O14" s="902">
        <f>IF(ISNUMBER(H14),H14/Population!H14*10000,NA())</f>
        <v>66.115862015713375</v>
      </c>
      <c r="P14" s="903">
        <f t="shared" si="10"/>
        <v>66.115862015713375</v>
      </c>
      <c r="Q14" s="1190">
        <f t="shared" si="0"/>
        <v>17</v>
      </c>
      <c r="R14" s="64"/>
      <c r="S14" s="905">
        <f t="shared" si="11"/>
        <v>42.754195100216869</v>
      </c>
      <c r="T14" s="906">
        <f t="shared" si="1"/>
        <v>23.361666915496507</v>
      </c>
      <c r="U14" s="89"/>
      <c r="V14" s="103"/>
      <c r="W14" s="115"/>
      <c r="X14" s="51" t="str">
        <f t="shared" si="2"/>
        <v>East Sussex</v>
      </c>
      <c r="Y14" s="27">
        <f>IF(ISNUMBER(H14),IDACI!D12,0)</f>
        <v>93130</v>
      </c>
      <c r="Z14" s="27">
        <f>IF(ISNUMBER(H14),IDACI!E12,0)</f>
        <v>14993.93</v>
      </c>
      <c r="AA14" s="155">
        <f>IF(ISNUMBER(D14),Population!D14,"")</f>
        <v>102921</v>
      </c>
      <c r="AB14" s="155">
        <f>IF(ISNUMBER(E14),Population!E14,"")</f>
        <v>102419</v>
      </c>
      <c r="AC14" s="155">
        <f>IF(ISNUMBER(F14),Population!F14,"")</f>
        <v>101959</v>
      </c>
      <c r="AD14" s="155">
        <f>IF(ISNUMBER(G14),Population!G14,"")</f>
        <v>102825</v>
      </c>
      <c r="AE14" s="155">
        <f>IF(ISNUMBER(H14),Population!H14,"")</f>
        <v>103606</v>
      </c>
      <c r="AF14" s="65" t="s">
        <v>4</v>
      </c>
      <c r="AG14" s="70">
        <f t="shared" si="3"/>
        <v>66.115862015713375</v>
      </c>
      <c r="AH14" s="156">
        <f t="shared" si="4"/>
        <v>17</v>
      </c>
      <c r="AJ14" s="121"/>
      <c r="AK14" s="480">
        <f t="shared" si="5"/>
        <v>-2.2388059701492536E-2</v>
      </c>
      <c r="AL14" s="480">
        <f t="shared" si="6"/>
        <v>1.9083969465648856E-2</v>
      </c>
      <c r="AM14" s="480">
        <f t="shared" si="7"/>
        <v>0.24157303370786518</v>
      </c>
      <c r="AN14" s="480">
        <f t="shared" si="8"/>
        <v>3.3182503770739065E-2</v>
      </c>
      <c r="AO14" s="480">
        <f t="shared" si="12"/>
        <v>6.7862861810690137E-2</v>
      </c>
      <c r="AP14" s="52"/>
      <c r="AQ14" s="52"/>
      <c r="AR14" s="52"/>
      <c r="AS14" s="52"/>
      <c r="AT14" s="52"/>
      <c r="AU14" s="52"/>
      <c r="AV14" s="52"/>
      <c r="AW14" s="52"/>
      <c r="AX14" s="52"/>
    </row>
    <row r="15" spans="1:50" s="61" customFormat="1" ht="15.75" customHeight="1">
      <c r="A15" s="1103">
        <f>VLOOKUP(B15,ReportData!$AQ$4:$AR$25,2,FALSE)</f>
        <v>0</v>
      </c>
      <c r="B15" s="885" t="str">
        <f>ReportData!$K$8</f>
        <v>Hampshire</v>
      </c>
      <c r="C15" s="896"/>
      <c r="D15" s="889">
        <f>IF(Year1_Hampshire Year1_CP_Plans="","",Year1_Hampshire Year1_CP_Plans)</f>
        <v>938</v>
      </c>
      <c r="E15" s="889">
        <f>IF(Year2_Hampshire Year2_CP_Plans="","",Year2_Hampshire Year2_CP_Plans)</f>
        <v>1000</v>
      </c>
      <c r="F15" s="891">
        <f>IF(Year3_Hampshire Year3_CP_Plans="","",Year3_Hampshire Year3_CP_Plans)</f>
        <v>1024</v>
      </c>
      <c r="G15" s="891">
        <f>IF(Year4_Hampshire Year4_CP_Plans="","",Year4_Hampshire Year4_CP_Plans)</f>
        <v>1046</v>
      </c>
      <c r="H15" s="890" t="str">
        <f>IF(Year5_Hampshire Year5_CP_Plans="","",Year5_Hampshire Year5_CP_Plans)</f>
        <v>u</v>
      </c>
      <c r="I15" s="900">
        <f t="shared" si="9"/>
        <v>3.7194152007818053E-2</v>
      </c>
      <c r="J15" s="896"/>
      <c r="K15" s="901">
        <f>IF(ISNUMBER(D15),D15/Population!D15*10000,NA())</f>
        <v>33.579150855588175</v>
      </c>
      <c r="L15" s="901">
        <f>IF(ISNUMBER(E15),E15/Population!E15*10000,NA())</f>
        <v>35.781247763672013</v>
      </c>
      <c r="M15" s="901">
        <f>IF(ISNUMBER(F15),F15/Population!F15*10000,NA())</f>
        <v>36.450491049339867</v>
      </c>
      <c r="N15" s="901">
        <f>IF(ISNUMBER(G15),G15/Population!G15*10000,NA())</f>
        <v>36.897635517678061</v>
      </c>
      <c r="O15" s="902" t="e">
        <f>IF(ISNUMBER(H15),H15/Population!H15*10000,NA())</f>
        <v>#N/A</v>
      </c>
      <c r="P15" s="903" t="str">
        <f t="shared" si="10"/>
        <v/>
      </c>
      <c r="Q15" s="1190" t="e">
        <f t="shared" si="0"/>
        <v>#N/A</v>
      </c>
      <c r="R15" s="64"/>
      <c r="S15" s="905">
        <f t="shared" si="11"/>
        <v>32.780374231123183</v>
      </c>
      <c r="T15" s="906" t="e">
        <f t="shared" si="1"/>
        <v>#N/A</v>
      </c>
      <c r="U15" s="89"/>
      <c r="V15" s="103"/>
      <c r="W15" s="115"/>
      <c r="X15" s="51" t="str">
        <f t="shared" si="2"/>
        <v>Hampshire</v>
      </c>
      <c r="Y15" s="27">
        <f>IF(ISNUMBER(H15),IDACI!D13,0)</f>
        <v>0</v>
      </c>
      <c r="Z15" s="27">
        <f>IF(ISNUMBER(H15),IDACI!E13,0)</f>
        <v>0</v>
      </c>
      <c r="AA15" s="155">
        <f>IF(ISNUMBER(D15),Population!D15,"")</f>
        <v>279340</v>
      </c>
      <c r="AB15" s="155">
        <f>IF(ISNUMBER(E15),Population!E15,"")</f>
        <v>279476</v>
      </c>
      <c r="AC15" s="155">
        <f>IF(ISNUMBER(F15),Population!F15,"")</f>
        <v>280929</v>
      </c>
      <c r="AD15" s="155">
        <f>IF(ISNUMBER(G15),Population!G15,"")</f>
        <v>283487</v>
      </c>
      <c r="AE15" s="155" t="str">
        <f>IF(ISNUMBER(H15),Population!H15,"")</f>
        <v/>
      </c>
      <c r="AF15" s="65" t="s">
        <v>6</v>
      </c>
      <c r="AG15" s="70" t="str">
        <f t="shared" si="3"/>
        <v/>
      </c>
      <c r="AH15" s="156" t="e">
        <f t="shared" si="4"/>
        <v>#VALUE!</v>
      </c>
      <c r="AJ15" s="121"/>
      <c r="AK15" s="480">
        <f t="shared" si="5"/>
        <v>6.6098081023454158E-2</v>
      </c>
      <c r="AL15" s="480">
        <f t="shared" si="6"/>
        <v>2.4E-2</v>
      </c>
      <c r="AM15" s="480">
        <f t="shared" si="7"/>
        <v>2.1484375E-2</v>
      </c>
      <c r="AN15" s="480" t="str">
        <f t="shared" si="8"/>
        <v>x</v>
      </c>
      <c r="AO15" s="480">
        <f t="shared" si="12"/>
        <v>3.7194152007818053E-2</v>
      </c>
      <c r="AP15" s="52"/>
      <c r="AQ15" s="52"/>
      <c r="AR15" s="52"/>
      <c r="AS15" s="52"/>
      <c r="AT15" s="52"/>
      <c r="AU15" s="52"/>
      <c r="AV15" s="52"/>
      <c r="AW15" s="52"/>
      <c r="AX15" s="52"/>
    </row>
    <row r="16" spans="1:50" s="61" customFormat="1" ht="15.75" customHeight="1">
      <c r="A16" s="1103">
        <f>VLOOKUP(B16,ReportData!$AQ$4:$AR$25,2,FALSE)</f>
        <v>0</v>
      </c>
      <c r="B16" s="885" t="str">
        <f>ReportData!$K$9</f>
        <v>Isle of Wight</v>
      </c>
      <c r="C16" s="896"/>
      <c r="D16" s="889">
        <f>IF(Year1_Isle_of_Wight Year1_CP_Plans="","",Year1_Isle_of_Wight Year1_CP_Plans)</f>
        <v>126</v>
      </c>
      <c r="E16" s="889">
        <f>IF(Year2_Isle_of_Wight Year2_CP_Plans="","",Year2_Isle_of_Wight Year2_CP_Plans)</f>
        <v>186</v>
      </c>
      <c r="F16" s="889">
        <f>IF(Year3_Isle_of_Wight Year3_CP_Plans="","",Year3_Isle_of_Wight Year3_CP_Plans)</f>
        <v>161</v>
      </c>
      <c r="G16" s="889">
        <f>IF(Year4_Isle_of_Wight Year4_CP_Plans="","",Year4_Isle_of_Wight Year4_CP_Plans)</f>
        <v>216</v>
      </c>
      <c r="H16" s="890">
        <f>IF(Year5_Isle_of_Wight Year5_CP_Plans="","",Year5_Isle_of_Wight Year5_CP_Plans)</f>
        <v>184</v>
      </c>
      <c r="I16" s="900">
        <f t="shared" si="9"/>
        <v>0.13381215818102213</v>
      </c>
      <c r="J16" s="896"/>
      <c r="K16" s="901">
        <f>IF(ISNUMBER(D16),D16/Population!D16*10000,NA())</f>
        <v>51.849718118595945</v>
      </c>
      <c r="L16" s="901">
        <f>IF(ISNUMBER(E16),E16/Population!E16*10000,NA())</f>
        <v>77.850326469110996</v>
      </c>
      <c r="M16" s="901">
        <f>IF(ISNUMBER(F16),F16/Population!F16*10000,NA())</f>
        <v>68.11643256050094</v>
      </c>
      <c r="N16" s="901">
        <f>IF(ISNUMBER(G16),G16/Population!G16*10000,NA())</f>
        <v>91.782102490014452</v>
      </c>
      <c r="O16" s="902">
        <f>IF(ISNUMBER(H16),H16/Population!H16*10000,NA())</f>
        <v>78.504991893506272</v>
      </c>
      <c r="P16" s="903">
        <f t="shared" si="10"/>
        <v>78.504991893506272</v>
      </c>
      <c r="Q16" s="1190">
        <f t="shared" si="0"/>
        <v>18</v>
      </c>
      <c r="R16" s="64"/>
      <c r="S16" s="905">
        <f t="shared" si="11"/>
        <v>45.912571708763195</v>
      </c>
      <c r="T16" s="906">
        <f t="shared" si="1"/>
        <v>32.592420184743077</v>
      </c>
      <c r="U16" s="89"/>
      <c r="V16" s="103"/>
      <c r="W16" s="115"/>
      <c r="X16" s="51" t="str">
        <f t="shared" si="2"/>
        <v>Isle of Wight</v>
      </c>
      <c r="Y16" s="27">
        <f>IF(ISNUMBER(H16),IDACI!D14,0)</f>
        <v>22123</v>
      </c>
      <c r="Z16" s="27">
        <f>IF(ISNUMBER(H16),IDACI!E14,0)</f>
        <v>3982.14</v>
      </c>
      <c r="AA16" s="155">
        <f>IF(ISNUMBER(D16),Population!D16,"")</f>
        <v>24301</v>
      </c>
      <c r="AB16" s="155">
        <f>IF(ISNUMBER(E16),Population!E16,"")</f>
        <v>23892</v>
      </c>
      <c r="AC16" s="155">
        <f>IF(ISNUMBER(F16),Population!F16,"")</f>
        <v>23636</v>
      </c>
      <c r="AD16" s="155">
        <f>IF(ISNUMBER(G16),Population!G16,"")</f>
        <v>23534</v>
      </c>
      <c r="AE16" s="155">
        <f>IF(ISNUMBER(H16),Population!H16,"")</f>
        <v>23438</v>
      </c>
      <c r="AF16" s="65" t="s">
        <v>1</v>
      </c>
      <c r="AG16" s="70">
        <f t="shared" si="3"/>
        <v>78.504991893506272</v>
      </c>
      <c r="AH16" s="156">
        <f t="shared" si="4"/>
        <v>18</v>
      </c>
      <c r="AJ16" s="121"/>
      <c r="AK16" s="480">
        <f t="shared" si="5"/>
        <v>0.47619047619047616</v>
      </c>
      <c r="AL16" s="480">
        <f t="shared" si="6"/>
        <v>-0.13440860215053763</v>
      </c>
      <c r="AM16" s="480">
        <f t="shared" si="7"/>
        <v>0.34161490683229812</v>
      </c>
      <c r="AN16" s="480">
        <f t="shared" si="8"/>
        <v>-0.14814814814814814</v>
      </c>
      <c r="AO16" s="480">
        <f t="shared" si="12"/>
        <v>0.13381215818102213</v>
      </c>
      <c r="AP16" s="52"/>
      <c r="AQ16" s="52"/>
      <c r="AR16" s="52"/>
      <c r="AS16" s="52"/>
      <c r="AT16" s="52"/>
      <c r="AU16" s="52"/>
      <c r="AV16" s="52"/>
      <c r="AW16" s="52"/>
      <c r="AX16" s="52"/>
    </row>
    <row r="17" spans="1:50" s="61" customFormat="1" ht="15.75" customHeight="1">
      <c r="A17" s="1103">
        <f>VLOOKUP(B17,ReportData!$AQ$4:$AR$25,2,FALSE)</f>
        <v>0</v>
      </c>
      <c r="B17" s="885" t="str">
        <f>ReportData!$K$10</f>
        <v>Kent</v>
      </c>
      <c r="C17" s="896"/>
      <c r="D17" s="889">
        <f>IF(Year1_Kent Year1_CP_Plans="","",Year1_Kent Year1_CP_Plans)</f>
        <v>1332</v>
      </c>
      <c r="E17" s="889">
        <f>IF(Year2_Kent Year2_CP_Plans="","",Year2_Kent Year2_CP_Plans)</f>
        <v>1188</v>
      </c>
      <c r="F17" s="889">
        <f>IF(Year3_Kent Year3_CP_Plans="","",Year3_Kent Year3_CP_Plans)</f>
        <v>1256</v>
      </c>
      <c r="G17" s="889">
        <f>IF(Year4_Kent Year4_CP_Plans="","",Year4_Kent Year4_CP_Plans)</f>
        <v>1333</v>
      </c>
      <c r="H17" s="890">
        <f>IF(Year5_Kent Year5_CP_Plans="","",Year5_Kent Year5_CP_Plans)</f>
        <v>1211</v>
      </c>
      <c r="I17" s="900">
        <f t="shared" si="9"/>
        <v>-2.027154977628862E-2</v>
      </c>
      <c r="J17" s="896"/>
      <c r="K17" s="901">
        <f>IF(ISNUMBER(D17),D17/Population!D17*10000,NA())</f>
        <v>39.958841193605387</v>
      </c>
      <c r="L17" s="901">
        <f>IF(ISNUMBER(E17),E17/Population!E17*10000,NA())</f>
        <v>35.523766236872952</v>
      </c>
      <c r="M17" s="901">
        <f>IF(ISNUMBER(F17),F17/Population!F17*10000,NA())</f>
        <v>37.370831114192292</v>
      </c>
      <c r="N17" s="901">
        <f>IF(ISNUMBER(G17),G17/Population!G17*10000,NA())</f>
        <v>38.879069468992995</v>
      </c>
      <c r="O17" s="902">
        <f>IF(ISNUMBER(H17),H17/Population!H17*10000,NA())</f>
        <v>34.765683313620336</v>
      </c>
      <c r="P17" s="903">
        <f t="shared" si="10"/>
        <v>34.765683313620336</v>
      </c>
      <c r="Q17" s="1190">
        <f t="shared" si="0"/>
        <v>6</v>
      </c>
      <c r="R17" s="64"/>
      <c r="S17" s="905">
        <f t="shared" si="11"/>
        <v>42.255504056762177</v>
      </c>
      <c r="T17" s="906">
        <f t="shared" si="1"/>
        <v>-7.4898207431418413</v>
      </c>
      <c r="U17" s="89"/>
      <c r="V17" s="103"/>
      <c r="W17" s="115"/>
      <c r="X17" s="51" t="str">
        <f t="shared" si="2"/>
        <v>Kent</v>
      </c>
      <c r="Y17" s="27">
        <f>IF(ISNUMBER(H17),IDACI!D15,0)</f>
        <v>291866</v>
      </c>
      <c r="Z17" s="27">
        <f>IF(ISNUMBER(H17),IDACI!E15,0)</f>
        <v>46114.828000000001</v>
      </c>
      <c r="AA17" s="155">
        <f>IF(ISNUMBER(D17),Population!D17,"")</f>
        <v>333343</v>
      </c>
      <c r="AB17" s="155">
        <f>IF(ISNUMBER(E17),Population!E17,"")</f>
        <v>334424</v>
      </c>
      <c r="AC17" s="155">
        <f>IF(ISNUMBER(F17),Population!F17,"")</f>
        <v>336091</v>
      </c>
      <c r="AD17" s="155">
        <f>IF(ISNUMBER(G17),Population!G17,"")</f>
        <v>342858</v>
      </c>
      <c r="AE17" s="155">
        <f>IF(ISNUMBER(H17),Population!H17,"")</f>
        <v>348332</v>
      </c>
      <c r="AF17" s="65" t="s">
        <v>9</v>
      </c>
      <c r="AG17" s="70">
        <f t="shared" si="3"/>
        <v>34.765683313620336</v>
      </c>
      <c r="AH17" s="156">
        <f t="shared" si="4"/>
        <v>6</v>
      </c>
      <c r="AJ17" s="121"/>
      <c r="AK17" s="480">
        <f t="shared" si="5"/>
        <v>-0.10810810810810811</v>
      </c>
      <c r="AL17" s="480">
        <f t="shared" si="6"/>
        <v>5.7239057239057242E-2</v>
      </c>
      <c r="AM17" s="480">
        <f t="shared" si="7"/>
        <v>6.1305732484076433E-2</v>
      </c>
      <c r="AN17" s="480">
        <f t="shared" si="8"/>
        <v>-9.1522880720180042E-2</v>
      </c>
      <c r="AO17" s="480">
        <f t="shared" si="12"/>
        <v>-2.027154977628862E-2</v>
      </c>
      <c r="AP17" s="52"/>
      <c r="AQ17" s="52"/>
      <c r="AR17" s="52"/>
      <c r="AS17" s="52"/>
      <c r="AT17" s="52"/>
      <c r="AU17" s="52"/>
      <c r="AV17" s="52"/>
      <c r="AW17" s="52"/>
      <c r="AX17" s="52"/>
    </row>
    <row r="18" spans="1:50" s="61" customFormat="1" ht="15.75" customHeight="1">
      <c r="A18" s="1103">
        <f>VLOOKUP(B18,ReportData!$AQ$4:$AR$25,2,FALSE)</f>
        <v>0</v>
      </c>
      <c r="B18" s="885" t="str">
        <f>ReportData!$K$11</f>
        <v>Medway</v>
      </c>
      <c r="C18" s="896"/>
      <c r="D18" s="889">
        <f>IF(Year1_Medway Year1_CP_Plans="","",Year1_Medway Year1_CP_Plans)</f>
        <v>463</v>
      </c>
      <c r="E18" s="1173">
        <f>IF(Year2_Medway Year2_CP_Plans="","",Year2_Medway Year2_CP_Plans)</f>
        <v>134</v>
      </c>
      <c r="F18" s="1173">
        <f>IF(Year3_Medway Year3_CP_Plans="","",Year3_Medway Year3_CP_Plans)</f>
        <v>219</v>
      </c>
      <c r="G18" s="1173">
        <f>IF(Year4_Medway Year4_CP_Plans="","",Year4_Medway Year4_CP_Plans)</f>
        <v>288</v>
      </c>
      <c r="H18" s="1174">
        <f>IF(Year5_Medway Year5_CP_Plans="","",Year5_Medway Year5_CP_Plans)</f>
        <v>281</v>
      </c>
      <c r="I18" s="900">
        <f t="shared" si="9"/>
        <v>5.3627035614088124E-2</v>
      </c>
      <c r="J18" s="896"/>
      <c r="K18" s="901">
        <f>IF(ISNUMBER(D18),D18/Population!D18*10000,NA())</f>
        <v>72.716421661012689</v>
      </c>
      <c r="L18" s="901">
        <f>IF(ISNUMBER(E18),E18/Population!E18*10000,NA())</f>
        <v>21.037758065782242</v>
      </c>
      <c r="M18" s="901">
        <f>IF(ISNUMBER(F18),F18/Population!F18*10000,NA())</f>
        <v>34.316874813921054</v>
      </c>
      <c r="N18" s="901">
        <f>IF(ISNUMBER(G18),G18/Population!G18*10000,NA())</f>
        <v>44.33838811484874</v>
      </c>
      <c r="O18" s="902">
        <f>IF(ISNUMBER(H18),H18/Population!H18*10000,NA())</f>
        <v>42.137148169808214</v>
      </c>
      <c r="P18" s="903">
        <f t="shared" si="10"/>
        <v>42.137148169808214</v>
      </c>
      <c r="Q18" s="1190">
        <f t="shared" si="0"/>
        <v>10</v>
      </c>
      <c r="R18" s="64"/>
      <c r="S18" s="905">
        <f t="shared" si="11"/>
        <v>47.408644839127248</v>
      </c>
      <c r="T18" s="906">
        <f t="shared" si="1"/>
        <v>-5.2714966693190348</v>
      </c>
      <c r="U18" s="89"/>
      <c r="V18" s="103"/>
      <c r="W18" s="115"/>
      <c r="X18" s="51" t="str">
        <f t="shared" si="2"/>
        <v>Medway</v>
      </c>
      <c r="Y18" s="27">
        <f>IF(ISNUMBER(H18),IDACI!D16,0)</f>
        <v>55993</v>
      </c>
      <c r="Z18" s="27">
        <f>IF(ISNUMBER(H18),IDACI!E16,0)</f>
        <v>10582.676999999998</v>
      </c>
      <c r="AA18" s="155">
        <f>IF(ISNUMBER(D18),Population!D18,"")</f>
        <v>63672</v>
      </c>
      <c r="AB18" s="155">
        <f>IF(ISNUMBER(E18),Population!E18,"")</f>
        <v>63695</v>
      </c>
      <c r="AC18" s="155">
        <f>IF(ISNUMBER(F18),Population!F18,"")</f>
        <v>63817</v>
      </c>
      <c r="AD18" s="155">
        <f>IF(ISNUMBER(G18),Population!G18,"")</f>
        <v>64955</v>
      </c>
      <c r="AE18" s="155">
        <f>IF(ISNUMBER(H18),Population!H18,"")</f>
        <v>66687</v>
      </c>
      <c r="AF18" s="65" t="s">
        <v>2</v>
      </c>
      <c r="AG18" s="70">
        <f t="shared" si="3"/>
        <v>42.137148169808214</v>
      </c>
      <c r="AH18" s="156">
        <f t="shared" si="4"/>
        <v>10</v>
      </c>
      <c r="AJ18" s="121"/>
      <c r="AK18" s="480">
        <f t="shared" si="5"/>
        <v>-0.71058315334773214</v>
      </c>
      <c r="AL18" s="480">
        <f t="shared" si="6"/>
        <v>0.63432835820895528</v>
      </c>
      <c r="AM18" s="480">
        <f t="shared" si="7"/>
        <v>0.31506849315068491</v>
      </c>
      <c r="AN18" s="480">
        <f t="shared" si="8"/>
        <v>-2.4305555555555556E-2</v>
      </c>
      <c r="AO18" s="480">
        <f t="shared" si="12"/>
        <v>5.3627035614088124E-2</v>
      </c>
      <c r="AP18" s="52"/>
      <c r="AQ18" s="52"/>
      <c r="AR18" s="52"/>
      <c r="AS18" s="52"/>
      <c r="AT18" s="52"/>
      <c r="AU18" s="52"/>
      <c r="AV18" s="52"/>
      <c r="AW18" s="52"/>
      <c r="AX18" s="52"/>
    </row>
    <row r="19" spans="1:50" s="61" customFormat="1" ht="15.75" customHeight="1">
      <c r="A19" s="1103">
        <f>VLOOKUP(B19,ReportData!$AQ$4:$AR$25,2,FALSE)</f>
        <v>0</v>
      </c>
      <c r="B19" s="885" t="str">
        <f>ReportData!$K$12</f>
        <v>Milton Keynes</v>
      </c>
      <c r="C19" s="896"/>
      <c r="D19" s="889">
        <f>IF(Year1_Milton_Keynes Year1_CP_Plans="","",Year1_Milton_Keynes Year1_CP_Plans)</f>
        <v>132</v>
      </c>
      <c r="E19" s="889">
        <f>IF(Year2_Milton_Keynes Year2_CP_Plans="","",Year2_Milton_Keynes Year2_CP_Plans)</f>
        <v>183</v>
      </c>
      <c r="F19" s="889">
        <f>IF(Year3_Milton_Keynes Year3_CP_Plans="","",Year3_Milton_Keynes Year3_CP_Plans)</f>
        <v>191</v>
      </c>
      <c r="G19" s="889">
        <f>IF(Year4_Milton_Keynes Year4_CP_Plans="","",Year4_Milton_Keynes Year4_CP_Plans)</f>
        <v>170</v>
      </c>
      <c r="H19" s="890">
        <f>IF(Year5_Milton_Keynes Year5_CP_Plans="","",Year5_Milton_Keynes Year5_CP_Plans)</f>
        <v>193</v>
      </c>
      <c r="I19" s="900">
        <f t="shared" si="9"/>
        <v>0.11385648925654326</v>
      </c>
      <c r="J19" s="896"/>
      <c r="K19" s="901">
        <f>IF(ISNUMBER(D19),D19/Population!D19*10000,NA())</f>
        <v>19.120181931428075</v>
      </c>
      <c r="L19" s="901">
        <f>IF(ISNUMBER(E19),E19/Population!E19*10000,NA())</f>
        <v>26.405021282735735</v>
      </c>
      <c r="M19" s="901">
        <f>IF(ISNUMBER(F19),F19/Population!F19*10000,NA())</f>
        <v>27.428735549651755</v>
      </c>
      <c r="N19" s="901">
        <f>IF(ISNUMBER(G19),G19/Population!G19*10000,NA())</f>
        <v>23.960197883046042</v>
      </c>
      <c r="O19" s="902">
        <f>IF(ISNUMBER(H19),H19/Population!H19*10000,NA())</f>
        <v>26.512081541821779</v>
      </c>
      <c r="P19" s="903">
        <f t="shared" si="10"/>
        <v>26.512081541821779</v>
      </c>
      <c r="Q19" s="1190">
        <f t="shared" si="0"/>
        <v>2</v>
      </c>
      <c r="R19" s="64"/>
      <c r="S19" s="905">
        <f t="shared" si="11"/>
        <v>40.925661274216353</v>
      </c>
      <c r="T19" s="906">
        <f t="shared" si="1"/>
        <v>-14.413579732394574</v>
      </c>
      <c r="U19" s="89"/>
      <c r="V19" s="103"/>
      <c r="W19" s="115"/>
      <c r="X19" s="51" t="str">
        <f t="shared" si="2"/>
        <v>Milton Keynes</v>
      </c>
      <c r="Y19" s="27">
        <f>IF(ISNUMBER(H19),IDACI!D17,0)</f>
        <v>59903</v>
      </c>
      <c r="Z19" s="27">
        <f>IF(ISNUMBER(H19),IDACI!E17,0)</f>
        <v>8985.4499999999989</v>
      </c>
      <c r="AA19" s="155">
        <f>IF(ISNUMBER(D19),Population!D19,"")</f>
        <v>69037</v>
      </c>
      <c r="AB19" s="155">
        <f>IF(ISNUMBER(E19),Population!E19,"")</f>
        <v>69305</v>
      </c>
      <c r="AC19" s="155">
        <f>IF(ISNUMBER(F19),Population!F19,"")</f>
        <v>69635</v>
      </c>
      <c r="AD19" s="155">
        <f>IF(ISNUMBER(G19),Population!G19,"")</f>
        <v>70951</v>
      </c>
      <c r="AE19" s="155">
        <f>IF(ISNUMBER(H19),Population!H19,"")</f>
        <v>72797</v>
      </c>
      <c r="AF19" s="65" t="s">
        <v>10</v>
      </c>
      <c r="AG19" s="70">
        <f t="shared" si="3"/>
        <v>26.512081541821779</v>
      </c>
      <c r="AH19" s="156">
        <f t="shared" si="4"/>
        <v>2</v>
      </c>
      <c r="AJ19" s="121"/>
      <c r="AK19" s="480">
        <f t="shared" si="5"/>
        <v>0.38636363636363635</v>
      </c>
      <c r="AL19" s="480">
        <f t="shared" si="6"/>
        <v>4.3715846994535519E-2</v>
      </c>
      <c r="AM19" s="480">
        <f t="shared" si="7"/>
        <v>-0.1099476439790576</v>
      </c>
      <c r="AN19" s="480">
        <f t="shared" si="8"/>
        <v>0.13529411764705881</v>
      </c>
      <c r="AO19" s="480">
        <f t="shared" si="12"/>
        <v>0.11385648925654326</v>
      </c>
      <c r="AP19" s="52"/>
      <c r="AQ19" s="52"/>
      <c r="AR19" s="52"/>
      <c r="AS19" s="52"/>
      <c r="AT19" s="52"/>
      <c r="AU19" s="52"/>
      <c r="AV19" s="52"/>
      <c r="AW19" s="52"/>
      <c r="AX19" s="52"/>
    </row>
    <row r="20" spans="1:50" s="61" customFormat="1" ht="15.75" customHeight="1">
      <c r="A20" s="1103">
        <f>VLOOKUP(B20,ReportData!$AQ$4:$AR$25,2,FALSE)</f>
        <v>0</v>
      </c>
      <c r="B20" s="885" t="str">
        <f>ReportData!$K$13</f>
        <v>Oxfordshire</v>
      </c>
      <c r="C20" s="896"/>
      <c r="D20" s="889">
        <f>IF(Year1_Oxfordshire Year1_CP_Plans="","",Year1_Oxfordshire Year1_CP_Plans)</f>
        <v>543</v>
      </c>
      <c r="E20" s="889">
        <f>IF(Year2_Oxfordshire Year2_CP_Plans="","",Year2_Oxfordshire Year2_CP_Plans)</f>
        <v>451</v>
      </c>
      <c r="F20" s="889">
        <f>IF(Year3_Oxfordshire Year3_CP_Plans="","",Year3_Oxfordshire Year3_CP_Plans)</f>
        <v>559</v>
      </c>
      <c r="G20" s="889">
        <f>IF(Year4_Oxfordshire Year4_CP_Plans="","",Year4_Oxfordshire Year4_CP_Plans)</f>
        <v>560</v>
      </c>
      <c r="H20" s="890">
        <f>IF(Year5_Oxfordshire Year5_CP_Plans="","",Year5_Oxfordshire Year5_CP_Plans)</f>
        <v>532</v>
      </c>
      <c r="I20" s="900">
        <f t="shared" si="9"/>
        <v>5.4569150959266344E-3</v>
      </c>
      <c r="J20" s="896"/>
      <c r="K20" s="901">
        <f>IF(ISNUMBER(D20),D20/Population!D20*10000,NA())</f>
        <v>37.596327607336477</v>
      </c>
      <c r="L20" s="901">
        <f>IF(ISNUMBER(E20),E20/Population!E20*10000,NA())</f>
        <v>31.056542188005704</v>
      </c>
      <c r="M20" s="901">
        <f>IF(ISNUMBER(F20),F20/Population!F20*10000,NA())</f>
        <v>38.197932255044655</v>
      </c>
      <c r="N20" s="901">
        <f>IF(ISNUMBER(G20),G20/Population!G20*10000,NA())</f>
        <v>37.448675253112924</v>
      </c>
      <c r="O20" s="902">
        <f>IF(ISNUMBER(H20),H20/Population!H20*10000,NA())</f>
        <v>34.884102160584902</v>
      </c>
      <c r="P20" s="903">
        <f t="shared" si="10"/>
        <v>34.884102160584902</v>
      </c>
      <c r="Q20" s="1190">
        <f t="shared" si="0"/>
        <v>7</v>
      </c>
      <c r="R20" s="64"/>
      <c r="S20" s="905">
        <f t="shared" si="11"/>
        <v>32.780374231123183</v>
      </c>
      <c r="T20" s="906">
        <f t="shared" si="1"/>
        <v>2.1037279294617193</v>
      </c>
      <c r="U20" s="89"/>
      <c r="V20" s="103"/>
      <c r="W20" s="115"/>
      <c r="X20" s="51" t="str">
        <f t="shared" si="2"/>
        <v>Oxfordshire</v>
      </c>
      <c r="Y20" s="27">
        <f>IF(ISNUMBER(H20),IDACI!D18,0)</f>
        <v>126119</v>
      </c>
      <c r="Z20" s="27">
        <f>IF(ISNUMBER(H20),IDACI!E18,0)</f>
        <v>12738.019000000002</v>
      </c>
      <c r="AA20" s="155">
        <f>IF(ISNUMBER(D20),Population!D20,"")</f>
        <v>144429</v>
      </c>
      <c r="AB20" s="155">
        <f>IF(ISNUMBER(E20),Population!E20,"")</f>
        <v>145219</v>
      </c>
      <c r="AC20" s="155">
        <f>IF(ISNUMBER(F20),Population!F20,"")</f>
        <v>146343</v>
      </c>
      <c r="AD20" s="155">
        <f>IF(ISNUMBER(G20),Population!G20,"")</f>
        <v>149538</v>
      </c>
      <c r="AE20" s="155">
        <f>IF(ISNUMBER(H20),Population!H20,"")</f>
        <v>152505</v>
      </c>
      <c r="AF20" s="65" t="s">
        <v>11</v>
      </c>
      <c r="AG20" s="70">
        <f t="shared" si="3"/>
        <v>34.884102160584902</v>
      </c>
      <c r="AH20" s="156">
        <f t="shared" si="4"/>
        <v>7</v>
      </c>
      <c r="AJ20" s="121"/>
      <c r="AK20" s="480">
        <f t="shared" si="5"/>
        <v>-0.1694290976058932</v>
      </c>
      <c r="AL20" s="480">
        <f t="shared" si="6"/>
        <v>0.23946784922394679</v>
      </c>
      <c r="AM20" s="480">
        <f t="shared" si="7"/>
        <v>1.7889087656529517E-3</v>
      </c>
      <c r="AN20" s="480">
        <f t="shared" si="8"/>
        <v>-0.05</v>
      </c>
      <c r="AO20" s="480">
        <f t="shared" si="12"/>
        <v>5.4569150959266344E-3</v>
      </c>
      <c r="AP20" s="52"/>
      <c r="AQ20" s="52"/>
      <c r="AR20" s="52"/>
      <c r="AS20" s="52"/>
      <c r="AT20" s="52"/>
      <c r="AU20" s="52"/>
      <c r="AV20" s="52"/>
      <c r="AW20" s="52"/>
      <c r="AX20" s="52"/>
    </row>
    <row r="21" spans="1:50" s="61" customFormat="1" ht="15.75" customHeight="1">
      <c r="A21" s="1103">
        <f>VLOOKUP(B21,ReportData!$AQ$4:$AR$25,2,FALSE)</f>
        <v>0</v>
      </c>
      <c r="B21" s="885" t="str">
        <f>ReportData!$K$14</f>
        <v>Portsmouth</v>
      </c>
      <c r="C21" s="896"/>
      <c r="D21" s="889">
        <f>IF(Year1_Portsmouth Year1_CP_Plans="","",Year1_Portsmouth Year1_CP_Plans)</f>
        <v>203</v>
      </c>
      <c r="E21" s="889">
        <f>IF(Year2_Portsmouth Year2_CP_Plans="","",Year2_Portsmouth Year2_CP_Plans)</f>
        <v>255</v>
      </c>
      <c r="F21" s="889">
        <f>IF(Year3_Portsmouth Year3_CP_Plans="","",Year3_Portsmouth Year3_CP_Plans)</f>
        <v>225</v>
      </c>
      <c r="G21" s="889">
        <f>IF(Year4_Portsmouth Year4_CP_Plans="","",Year4_Portsmouth Year4_CP_Plans)</f>
        <v>176</v>
      </c>
      <c r="H21" s="890">
        <f>IF(Year5_Portsmouth Year5_CP_Plans="","",Year5_Portsmouth Year5_CP_Plans)</f>
        <v>227</v>
      </c>
      <c r="I21" s="900">
        <f t="shared" si="9"/>
        <v>5.2626381534850109E-2</v>
      </c>
      <c r="J21" s="896"/>
      <c r="K21" s="901">
        <f>IF(ISNUMBER(D21),D21/Population!D21*10000,NA())</f>
        <v>48.295386957866441</v>
      </c>
      <c r="L21" s="901">
        <f>IF(ISNUMBER(E21),E21/Population!E21*10000,NA())</f>
        <v>60.910068075958442</v>
      </c>
      <c r="M21" s="901">
        <f>IF(ISNUMBER(F21),F21/Population!F21*10000,NA())</f>
        <v>54.286196829686105</v>
      </c>
      <c r="N21" s="901">
        <f>IF(ISNUMBER(G21),G21/Population!G21*10000,NA())</f>
        <v>42.033865921520857</v>
      </c>
      <c r="O21" s="902">
        <f>IF(ISNUMBER(H21),H21/Population!H21*10000,NA())</f>
        <v>53.655423452383772</v>
      </c>
      <c r="P21" s="903">
        <f t="shared" si="10"/>
        <v>53.655423452383772</v>
      </c>
      <c r="Q21" s="1190">
        <f t="shared" si="0"/>
        <v>12</v>
      </c>
      <c r="R21" s="64"/>
      <c r="S21" s="905">
        <f t="shared" si="11"/>
        <v>49.569639360764214</v>
      </c>
      <c r="T21" s="906">
        <f t="shared" si="1"/>
        <v>4.0857840916195585</v>
      </c>
      <c r="U21" s="89"/>
      <c r="V21" s="103"/>
      <c r="W21" s="115"/>
      <c r="X21" s="51" t="str">
        <f t="shared" si="2"/>
        <v>Portsmouth</v>
      </c>
      <c r="Y21" s="27">
        <f>IF(ISNUMBER(H21),IDACI!D19,0)</f>
        <v>39325</v>
      </c>
      <c r="Z21" s="27">
        <f>IF(ISNUMBER(H21),IDACI!E19,0)</f>
        <v>7943.6500000000015</v>
      </c>
      <c r="AA21" s="155">
        <f>IF(ISNUMBER(D21),Population!D21,"")</f>
        <v>42033</v>
      </c>
      <c r="AB21" s="155">
        <f>IF(ISNUMBER(E21),Population!E21,"")</f>
        <v>41865</v>
      </c>
      <c r="AC21" s="155">
        <f>IF(ISNUMBER(F21),Population!F21,"")</f>
        <v>41447</v>
      </c>
      <c r="AD21" s="155">
        <f>IF(ISNUMBER(G21),Population!G21,"")</f>
        <v>41871</v>
      </c>
      <c r="AE21" s="155">
        <f>IF(ISNUMBER(H21),Population!H21,"")</f>
        <v>42307</v>
      </c>
      <c r="AF21" s="65" t="s">
        <v>12</v>
      </c>
      <c r="AG21" s="70">
        <f t="shared" si="3"/>
        <v>53.655423452383772</v>
      </c>
      <c r="AH21" s="156">
        <f t="shared" si="4"/>
        <v>12</v>
      </c>
      <c r="AJ21" s="121"/>
      <c r="AK21" s="480">
        <f t="shared" si="5"/>
        <v>0.25615763546798032</v>
      </c>
      <c r="AL21" s="480">
        <f t="shared" si="6"/>
        <v>-0.11764705882352941</v>
      </c>
      <c r="AM21" s="480">
        <f t="shared" si="7"/>
        <v>-0.21777777777777776</v>
      </c>
      <c r="AN21" s="480">
        <f t="shared" si="8"/>
        <v>0.28977272727272729</v>
      </c>
      <c r="AO21" s="480">
        <f t="shared" si="12"/>
        <v>5.2626381534850109E-2</v>
      </c>
      <c r="AP21" s="52"/>
      <c r="AQ21" s="52"/>
      <c r="AR21" s="52"/>
      <c r="AS21" s="52"/>
      <c r="AT21" s="52"/>
      <c r="AU21" s="52"/>
      <c r="AV21" s="52"/>
      <c r="AW21" s="52"/>
      <c r="AX21" s="52"/>
    </row>
    <row r="22" spans="1:50" s="61" customFormat="1" ht="15.75" customHeight="1">
      <c r="A22" s="1103">
        <f>VLOOKUP(B22,ReportData!$AQ$4:$AR$25,2,FALSE)</f>
        <v>0</v>
      </c>
      <c r="B22" s="885" t="str">
        <f>ReportData!$K$15</f>
        <v>Reading</v>
      </c>
      <c r="C22" s="896"/>
      <c r="D22" s="889">
        <f>IF(Year1_Reading Year1_CP_Plans="","",Year1_Reading Year1_CP_Plans)</f>
        <v>224</v>
      </c>
      <c r="E22" s="889">
        <f>IF(Year2_Reading Year2_CP_Plans="","",Year2_Reading Year2_CP_Plans)</f>
        <v>227</v>
      </c>
      <c r="F22" s="889">
        <f>IF(Year3_Reading Year3_CP_Plans="","",Year3_Reading Year3_CP_Plans)</f>
        <v>217</v>
      </c>
      <c r="G22" s="889">
        <f>IF(Year4_Reading Year4_CP_Plans="","",Year4_Reading Year4_CP_Plans)</f>
        <v>179</v>
      </c>
      <c r="H22" s="890">
        <f>IF(Year5_Reading Year5_CP_Plans="","",Year5_Reading Year5_CP_Plans)</f>
        <v>235</v>
      </c>
      <c r="I22" s="900">
        <f t="shared" si="9"/>
        <v>2.6768487086158775E-2</v>
      </c>
      <c r="J22" s="896"/>
      <c r="K22" s="901">
        <f>IF(ISNUMBER(D22),D22/Population!D22*10000,NA())</f>
        <v>60.491493383742913</v>
      </c>
      <c r="L22" s="901">
        <f>IF(ISNUMBER(E22),E22/Population!E22*10000,NA())</f>
        <v>61.399475264396415</v>
      </c>
      <c r="M22" s="901">
        <f>IF(ISNUMBER(F22),F22/Population!F22*10000,NA())</f>
        <v>59.723674794957887</v>
      </c>
      <c r="N22" s="901">
        <f>IF(ISNUMBER(G22),G22/Population!G22*10000,NA())</f>
        <v>48.040794417606016</v>
      </c>
      <c r="O22" s="902">
        <f>IF(ISNUMBER(H22),H22/Population!H22*10000,NA())</f>
        <v>61.957868649318463</v>
      </c>
      <c r="P22" s="903">
        <f t="shared" si="10"/>
        <v>61.957868649318463</v>
      </c>
      <c r="Q22" s="1190">
        <f t="shared" si="0"/>
        <v>16</v>
      </c>
      <c r="R22" s="64"/>
      <c r="S22" s="905">
        <f t="shared" si="11"/>
        <v>42.587964752398634</v>
      </c>
      <c r="T22" s="906">
        <f t="shared" si="1"/>
        <v>19.36990389691983</v>
      </c>
      <c r="U22" s="89"/>
      <c r="V22" s="103"/>
      <c r="W22" s="115"/>
      <c r="X22" s="51" t="str">
        <f t="shared" si="2"/>
        <v>Reading</v>
      </c>
      <c r="Y22" s="27">
        <f>IF(ISNUMBER(H22),IDACI!D20,0)</f>
        <v>33203</v>
      </c>
      <c r="Z22" s="27">
        <f>IF(ISNUMBER(H22),IDACI!E20,0)</f>
        <v>5312.4800000000005</v>
      </c>
      <c r="AA22" s="155">
        <f>IF(ISNUMBER(D22),Population!D22,"")</f>
        <v>37030</v>
      </c>
      <c r="AB22" s="155">
        <f>IF(ISNUMBER(E22),Population!E22,"")</f>
        <v>36971</v>
      </c>
      <c r="AC22" s="155">
        <f>IF(ISNUMBER(F22),Population!F22,"")</f>
        <v>36334</v>
      </c>
      <c r="AD22" s="155">
        <f>IF(ISNUMBER(G22),Population!G22,"")</f>
        <v>37260</v>
      </c>
      <c r="AE22" s="155">
        <f>IF(ISNUMBER(H22),Population!H22,"")</f>
        <v>37929</v>
      </c>
      <c r="AF22" s="65" t="s">
        <v>3</v>
      </c>
      <c r="AG22" s="70">
        <f t="shared" si="3"/>
        <v>61.957868649318463</v>
      </c>
      <c r="AH22" s="156">
        <f t="shared" si="4"/>
        <v>16</v>
      </c>
      <c r="AJ22" s="121"/>
      <c r="AK22" s="480">
        <f t="shared" si="5"/>
        <v>1.3392857142857142E-2</v>
      </c>
      <c r="AL22" s="480">
        <f t="shared" si="6"/>
        <v>-4.405286343612335E-2</v>
      </c>
      <c r="AM22" s="480">
        <f t="shared" si="7"/>
        <v>-0.17511520737327188</v>
      </c>
      <c r="AN22" s="480">
        <f t="shared" si="8"/>
        <v>0.31284916201117319</v>
      </c>
      <c r="AO22" s="480">
        <f t="shared" si="12"/>
        <v>2.6768487086158775E-2</v>
      </c>
      <c r="AP22" s="52"/>
      <c r="AQ22" s="52"/>
      <c r="AR22" s="52"/>
      <c r="AS22" s="52"/>
      <c r="AT22" s="52"/>
      <c r="AU22" s="52"/>
      <c r="AV22" s="52"/>
      <c r="AW22" s="52"/>
      <c r="AX22" s="52"/>
    </row>
    <row r="23" spans="1:50" s="61" customFormat="1" ht="15.75" customHeight="1">
      <c r="A23" s="1103">
        <f>VLOOKUP(B23,ReportData!$AQ$4:$AR$25,2,FALSE)</f>
        <v>0</v>
      </c>
      <c r="B23" s="885" t="str">
        <f>ReportData!$K$16</f>
        <v>Slough</v>
      </c>
      <c r="C23" s="896"/>
      <c r="D23" s="889">
        <f>IF(Year1_Slough Year1_CP_Plans="","",Year1_Slough Year1_CP_Plans)</f>
        <v>301</v>
      </c>
      <c r="E23" s="889">
        <f>IF(Year2_Slough Year2_CP_Plans="","",Year2_Slough Year2_CP_Plans)</f>
        <v>301</v>
      </c>
      <c r="F23" s="889">
        <f>IF(Year3_Slough Year3_CP_Plans="","",Year3_Slough Year3_CP_Plans)</f>
        <v>288</v>
      </c>
      <c r="G23" s="889">
        <f>IF(Year4_Slough Year4_CP_Plans="","",Year4_Slough Year4_CP_Plans)</f>
        <v>258</v>
      </c>
      <c r="H23" s="890">
        <f>IF(Year5_Slough Year5_CP_Plans="","",Year5_Slough Year5_CP_Plans)</f>
        <v>195</v>
      </c>
      <c r="I23" s="900">
        <f t="shared" si="9"/>
        <v>-9.7885520487264677E-2</v>
      </c>
      <c r="J23" s="896"/>
      <c r="K23" s="901">
        <f>IF(ISNUMBER(D23),D23/Population!D23*10000,NA())</f>
        <v>69.228823110007127</v>
      </c>
      <c r="L23" s="901">
        <f>IF(ISNUMBER(E23),E23/Population!E23*10000,NA())</f>
        <v>68.56492027334852</v>
      </c>
      <c r="M23" s="901">
        <f>IF(ISNUMBER(F23),F23/Population!F23*10000,NA())</f>
        <v>65.848137732354758</v>
      </c>
      <c r="N23" s="901">
        <f>IF(ISNUMBER(G23),G23/Population!G23*10000,NA())</f>
        <v>58.305084745762713</v>
      </c>
      <c r="O23" s="902">
        <f>IF(ISNUMBER(H23),H23/Population!H23*10000,NA())</f>
        <v>43.479230306138376</v>
      </c>
      <c r="P23" s="903">
        <f t="shared" si="10"/>
        <v>43.479230306138376</v>
      </c>
      <c r="Q23" s="1190">
        <f t="shared" si="0"/>
        <v>11</v>
      </c>
      <c r="R23" s="64"/>
      <c r="S23" s="905">
        <f t="shared" si="11"/>
        <v>40.426970230761668</v>
      </c>
      <c r="T23" s="906">
        <f t="shared" si="1"/>
        <v>3.052260075376708</v>
      </c>
      <c r="U23" s="89"/>
      <c r="V23" s="103"/>
      <c r="W23" s="115"/>
      <c r="X23" s="51" t="str">
        <f t="shared" si="2"/>
        <v>Slough</v>
      </c>
      <c r="Y23" s="27">
        <f>IF(ISNUMBER(H23),IDACI!D21,0)</f>
        <v>37031</v>
      </c>
      <c r="Z23" s="27">
        <f>IF(ISNUMBER(H23),IDACI!E21,0)</f>
        <v>5443.5569999999998</v>
      </c>
      <c r="AA23" s="155">
        <f>IF(ISNUMBER(D23),Population!D23,"")</f>
        <v>43479</v>
      </c>
      <c r="AB23" s="155">
        <f>IF(ISNUMBER(E23),Population!E23,"")</f>
        <v>43900</v>
      </c>
      <c r="AC23" s="155">
        <f>IF(ISNUMBER(F23),Population!F23,"")</f>
        <v>43737</v>
      </c>
      <c r="AD23" s="155">
        <f>IF(ISNUMBER(G23),Population!G23,"")</f>
        <v>44250</v>
      </c>
      <c r="AE23" s="155">
        <f>IF(ISNUMBER(H23),Population!H23,"")</f>
        <v>44849</v>
      </c>
      <c r="AF23" s="65" t="s">
        <v>13</v>
      </c>
      <c r="AG23" s="70">
        <f t="shared" si="3"/>
        <v>43.479230306138376</v>
      </c>
      <c r="AH23" s="156">
        <f t="shared" si="4"/>
        <v>11</v>
      </c>
      <c r="AJ23" s="121"/>
      <c r="AK23" s="480">
        <f t="shared" si="5"/>
        <v>0</v>
      </c>
      <c r="AL23" s="480">
        <f t="shared" si="6"/>
        <v>-4.3189368770764118E-2</v>
      </c>
      <c r="AM23" s="480">
        <f t="shared" si="7"/>
        <v>-0.10416666666666667</v>
      </c>
      <c r="AN23" s="480">
        <f t="shared" si="8"/>
        <v>-0.2441860465116279</v>
      </c>
      <c r="AO23" s="480">
        <f t="shared" si="12"/>
        <v>-9.7885520487264677E-2</v>
      </c>
      <c r="AP23" s="52"/>
      <c r="AQ23" s="52"/>
      <c r="AR23" s="52"/>
      <c r="AS23" s="52"/>
      <c r="AT23" s="52"/>
      <c r="AU23" s="52"/>
      <c r="AV23" s="52"/>
      <c r="AW23" s="52"/>
      <c r="AX23" s="52"/>
    </row>
    <row r="24" spans="1:50" s="61" customFormat="1" ht="15.75" customHeight="1">
      <c r="A24" s="1103">
        <f>VLOOKUP(B24,ReportData!$AQ$4:$AR$25,2,FALSE)</f>
        <v>0</v>
      </c>
      <c r="B24" s="885" t="str">
        <f>ReportData!$K$17</f>
        <v>Southampton</v>
      </c>
      <c r="C24" s="896"/>
      <c r="D24" s="889">
        <f>IF(Year1_Southampton Year1_CP_Plans="","",Year1_Southampton Year1_CP_Plans)</f>
        <v>396</v>
      </c>
      <c r="E24" s="889">
        <f>IF(Year2_Southampton Year2_CP_Plans="","",Year2_Southampton Year2_CP_Plans)</f>
        <v>310</v>
      </c>
      <c r="F24" s="889">
        <f>IF(Year3_Southampton Year3_CP_Plans="","",Year3_Southampton Year3_CP_Plans)</f>
        <v>475</v>
      </c>
      <c r="G24" s="889">
        <f>IF(Year4_Southampton Year4_CP_Plans="","",Year4_Southampton Year4_CP_Plans)</f>
        <v>315</v>
      </c>
      <c r="H24" s="890">
        <f>IF(Year5_Southampton Year5_CP_Plans="","",Year5_Southampton Year5_CP_Plans)</f>
        <v>276</v>
      </c>
      <c r="I24" s="900">
        <f t="shared" si="9"/>
        <v>-3.639132043206747E-2</v>
      </c>
      <c r="J24" s="896"/>
      <c r="K24" s="901">
        <f>IF(ISNUMBER(D24),D24/Population!D24*10000,NA())</f>
        <v>79.858030168589167</v>
      </c>
      <c r="L24" s="901">
        <f>IF(ISNUMBER(E24),E24/Population!E24*10000,NA())</f>
        <v>62.327844461869432</v>
      </c>
      <c r="M24" s="901">
        <f>IF(ISNUMBER(F24),F24/Population!F24*10000,NA())</f>
        <v>96.177209038632867</v>
      </c>
      <c r="N24" s="901">
        <f>IF(ISNUMBER(G24),G24/Population!G24*10000,NA())</f>
        <v>63.162960437929854</v>
      </c>
      <c r="O24" s="902">
        <f>IF(ISNUMBER(H24),H24/Population!H24*10000,NA())</f>
        <v>54.791257221130365</v>
      </c>
      <c r="P24" s="903">
        <f t="shared" si="10"/>
        <v>54.791257221130365</v>
      </c>
      <c r="Q24" s="1190">
        <f t="shared" si="0"/>
        <v>14</v>
      </c>
      <c r="R24" s="64"/>
      <c r="S24" s="905">
        <f t="shared" si="11"/>
        <v>50.068330404218898</v>
      </c>
      <c r="T24" s="906">
        <f t="shared" si="1"/>
        <v>4.7229268169114675</v>
      </c>
      <c r="U24" s="89"/>
      <c r="V24" s="103"/>
      <c r="W24" s="115"/>
      <c r="X24" s="51" t="str">
        <f t="shared" si="2"/>
        <v>Southampton</v>
      </c>
      <c r="Y24" s="27">
        <f>IF(ISNUMBER(H24),IDACI!D22,0)</f>
        <v>44295</v>
      </c>
      <c r="Z24" s="27">
        <f>IF(ISNUMBER(H24),IDACI!E22,0)</f>
        <v>9080.4750000000004</v>
      </c>
      <c r="AA24" s="155">
        <f>IF(ISNUMBER(D24),Population!D24,"")</f>
        <v>49588</v>
      </c>
      <c r="AB24" s="155">
        <f>IF(ISNUMBER(E24),Population!E24,"")</f>
        <v>49737</v>
      </c>
      <c r="AC24" s="155">
        <f>IF(ISNUMBER(F24),Population!F24,"")</f>
        <v>49388</v>
      </c>
      <c r="AD24" s="155">
        <f>IF(ISNUMBER(G24),Population!G24,"")</f>
        <v>49871</v>
      </c>
      <c r="AF24" s="65" t="s">
        <v>14</v>
      </c>
      <c r="AG24" s="70">
        <f t="shared" si="3"/>
        <v>54.791257221130365</v>
      </c>
      <c r="AH24" s="156">
        <f t="shared" si="4"/>
        <v>14</v>
      </c>
      <c r="AJ24" s="121"/>
      <c r="AK24" s="480">
        <f t="shared" si="5"/>
        <v>-0.21717171717171718</v>
      </c>
      <c r="AL24" s="480">
        <f t="shared" si="6"/>
        <v>0.532258064516129</v>
      </c>
      <c r="AM24" s="480">
        <f t="shared" si="7"/>
        <v>-0.33684210526315789</v>
      </c>
      <c r="AN24" s="480">
        <f t="shared" si="8"/>
        <v>-0.12380952380952381</v>
      </c>
      <c r="AO24" s="480">
        <f t="shared" si="12"/>
        <v>-3.639132043206747E-2</v>
      </c>
      <c r="AP24" s="52"/>
      <c r="AQ24" s="52"/>
      <c r="AR24" s="52"/>
      <c r="AS24" s="52"/>
      <c r="AT24" s="52"/>
      <c r="AU24" s="52"/>
      <c r="AV24" s="52"/>
      <c r="AW24" s="52"/>
      <c r="AX24" s="52"/>
    </row>
    <row r="25" spans="1:50" s="61" customFormat="1" ht="15.75" customHeight="1">
      <c r="A25" s="1103">
        <f>VLOOKUP(B25,ReportData!$AQ$4:$AR$25,2,FALSE)</f>
        <v>0</v>
      </c>
      <c r="B25" s="885" t="str">
        <f>ReportData!$K$18</f>
        <v>Surrey</v>
      </c>
      <c r="C25" s="896"/>
      <c r="D25" s="889">
        <f>IF(Year1_Surrey Year1_CP_Plans="","",Year1_Surrey Year1_CP_Plans)</f>
        <v>685</v>
      </c>
      <c r="E25" s="889">
        <f>IF(Year2_Surrey Year2_CP_Plans="","",Year2_Surrey Year2_CP_Plans)</f>
        <v>894</v>
      </c>
      <c r="F25" s="889">
        <f>IF(Year3_Surrey Year3_CP_Plans="","",Year3_Surrey Year3_CP_Plans)</f>
        <v>1002</v>
      </c>
      <c r="G25" s="889">
        <f>IF(Year4_Surrey Year4_CP_Plans="","",Year4_Surrey Year4_CP_Plans)</f>
        <v>775</v>
      </c>
      <c r="H25" s="890">
        <f>IF(Year5_Surrey Year5_CP_Plans="","",Year5_Surrey Year5_CP_Plans)</f>
        <v>579</v>
      </c>
      <c r="I25" s="900">
        <f t="shared" si="9"/>
        <v>-1.3383818453866173E-2</v>
      </c>
      <c r="J25" s="896"/>
      <c r="K25" s="901">
        <f>IF(ISNUMBER(D25),D25/Population!D25*10000,NA())</f>
        <v>26.545757522912673</v>
      </c>
      <c r="L25" s="901">
        <f>IF(ISNUMBER(E25),E25/Population!E25*10000,NA())</f>
        <v>34.581597484130761</v>
      </c>
      <c r="M25" s="901">
        <f>IF(ISNUMBER(F25),F25/Population!F25*10000,NA())</f>
        <v>38.614502404735482</v>
      </c>
      <c r="N25" s="901">
        <f>IF(ISNUMBER(G25),G25/Population!G25*10000,NA())</f>
        <v>29.407970129091503</v>
      </c>
      <c r="O25" s="902">
        <f>IF(ISNUMBER(H25),H25/Population!H25*10000,NA())</f>
        <v>21.793790839832575</v>
      </c>
      <c r="P25" s="903">
        <f t="shared" si="10"/>
        <v>21.793790839832575</v>
      </c>
      <c r="Q25" s="1190">
        <f t="shared" si="0"/>
        <v>1</v>
      </c>
      <c r="R25" s="64"/>
      <c r="S25" s="905">
        <f t="shared" si="11"/>
        <v>29.788227970395077</v>
      </c>
      <c r="T25" s="906">
        <f t="shared" si="1"/>
        <v>-7.9944371305625026</v>
      </c>
      <c r="U25" s="89"/>
      <c r="V25" s="103"/>
      <c r="W25" s="115"/>
      <c r="X25" s="51" t="str">
        <f t="shared" si="2"/>
        <v>Surrey</v>
      </c>
      <c r="Y25" s="27">
        <f>IF(ISNUMBER(H25),IDACI!D23,0)</f>
        <v>228466</v>
      </c>
      <c r="Z25" s="27">
        <f>IF(ISNUMBER(H25),IDACI!E23,0)</f>
        <v>18962.678</v>
      </c>
      <c r="AA25" s="155">
        <f>IF(ISNUMBER(D25),Population!D25,"")</f>
        <v>258045</v>
      </c>
      <c r="AB25" s="155">
        <f>IF(ISNUMBER(E25),Population!E25,"")</f>
        <v>258519</v>
      </c>
      <c r="AC25" s="155">
        <f>IF(ISNUMBER(F25),Population!F25,"")</f>
        <v>259488</v>
      </c>
      <c r="AD25" s="155">
        <f>IF(ISNUMBER(G25),Population!G25,"")</f>
        <v>263534</v>
      </c>
      <c r="AE25" s="155">
        <f>IF(ISNUMBER(H24),Population!H24,"")</f>
        <v>50373</v>
      </c>
      <c r="AF25" s="65" t="s">
        <v>7</v>
      </c>
      <c r="AG25" s="70">
        <f t="shared" si="3"/>
        <v>21.793790839832575</v>
      </c>
      <c r="AH25" s="156">
        <f t="shared" si="4"/>
        <v>1</v>
      </c>
      <c r="AJ25" s="121"/>
      <c r="AK25" s="480">
        <f t="shared" si="5"/>
        <v>0.30510948905109492</v>
      </c>
      <c r="AL25" s="480">
        <f t="shared" si="6"/>
        <v>0.12080536912751678</v>
      </c>
      <c r="AM25" s="480">
        <f t="shared" si="7"/>
        <v>-0.22654690618762474</v>
      </c>
      <c r="AN25" s="480">
        <f t="shared" si="8"/>
        <v>-0.25290322580645164</v>
      </c>
      <c r="AO25" s="480">
        <f t="shared" si="12"/>
        <v>-1.3383818453866173E-2</v>
      </c>
      <c r="AP25" s="52"/>
      <c r="AQ25" s="52"/>
      <c r="AR25" s="52"/>
      <c r="AS25" s="52"/>
      <c r="AT25" s="52"/>
      <c r="AU25" s="52"/>
      <c r="AV25" s="52"/>
      <c r="AW25" s="52"/>
      <c r="AX25" s="52"/>
    </row>
    <row r="26" spans="1:50" s="61" customFormat="1" ht="15.75" customHeight="1">
      <c r="A26" s="1103">
        <f>VLOOKUP(B26,ReportData!$AQ$4:$AR$25,2,FALSE)</f>
        <v>0</v>
      </c>
      <c r="B26" s="885" t="str">
        <f>ReportData!$K$19</f>
        <v>West Berkshire</v>
      </c>
      <c r="C26" s="896"/>
      <c r="D26" s="889">
        <f>IF(Year1_West_Berkshire Year1_CP_Plans="","",Year1_West_Berkshire Year1_CP_Plans)</f>
        <v>106</v>
      </c>
      <c r="E26" s="889">
        <f>IF(Year2_West_Berkshire Year2_CP_Plans="","",Year2_West_Berkshire Year2_CP_Plans)</f>
        <v>141</v>
      </c>
      <c r="F26" s="889">
        <f>IF(Year3_West_Berkshire Year3_CP_Plans="","",Year3_West_Berkshire Year3_CP_Plans)</f>
        <v>184</v>
      </c>
      <c r="G26" s="889">
        <f>IF(Year4_West_Berkshire Year4_CP_Plans="","",Year4_West_Berkshire Year4_CP_Plans)</f>
        <v>346</v>
      </c>
      <c r="H26" s="890">
        <f>IF(Year5_West_Berkshire Year5_CP_Plans="","",Year5_West_Berkshire Year5_CP_Plans)</f>
        <v>191</v>
      </c>
      <c r="I26" s="900">
        <f t="shared" ref="I26:I31" si="13">AO26</f>
        <v>0.26690278056208855</v>
      </c>
      <c r="J26" s="896"/>
      <c r="K26" s="901">
        <f>IF(ISNUMBER(D26),D26/Population!D26*10000,NA())</f>
        <v>30.233022446593079</v>
      </c>
      <c r="L26" s="901">
        <f>IF(ISNUMBER(E26),E26/Population!E26*10000,NA())</f>
        <v>40.489317711922816</v>
      </c>
      <c r="M26" s="901">
        <f>IF(ISNUMBER(F26),F26/Population!F26*10000,NA())</f>
        <v>53.186876716288481</v>
      </c>
      <c r="N26" s="901">
        <f>IF(ISNUMBER(G26),G26/Population!G26*10000,NA())</f>
        <v>99.10632447296058</v>
      </c>
      <c r="O26" s="902">
        <f>IF(ISNUMBER(H26),H26/Population!H26*10000,NA())</f>
        <v>54.069355980184</v>
      </c>
      <c r="P26" s="903">
        <f t="shared" ref="P26:P31" si="14">IF(ISNUMBER(O26),O26,"")</f>
        <v>54.069355980184</v>
      </c>
      <c r="Q26" s="1190">
        <f t="shared" si="0"/>
        <v>13</v>
      </c>
      <c r="R26" s="64"/>
      <c r="S26" s="905">
        <f t="shared" si="11"/>
        <v>30.45314936166799</v>
      </c>
      <c r="T26" s="906">
        <f t="shared" si="1"/>
        <v>23.61620661851601</v>
      </c>
      <c r="U26" s="89"/>
      <c r="V26" s="103"/>
      <c r="W26" s="115"/>
      <c r="X26" s="51" t="str">
        <f t="shared" si="2"/>
        <v>West Berkshire</v>
      </c>
      <c r="Y26" s="27">
        <f>IF(ISNUMBER(H26),IDACI!D24,0)</f>
        <v>31625</v>
      </c>
      <c r="Z26" s="27">
        <f>IF(ISNUMBER(H26),IDACI!E24,0)</f>
        <v>2751.375</v>
      </c>
      <c r="AA26" s="155">
        <f>IF(ISNUMBER(D26),Population!D26,"")</f>
        <v>35061</v>
      </c>
      <c r="AB26" s="155">
        <f>IF(ISNUMBER(E26),Population!E26,"")</f>
        <v>34824</v>
      </c>
      <c r="AC26" s="155">
        <f>IF(ISNUMBER(F26),Population!F26,"")</f>
        <v>34595</v>
      </c>
      <c r="AD26" s="155">
        <f>IF(ISNUMBER(G26),Population!G26,"")</f>
        <v>34912</v>
      </c>
      <c r="AE26" s="155">
        <f>IF(ISNUMBER(H25),Population!H25,"")</f>
        <v>265672</v>
      </c>
      <c r="AF26" s="65" t="s">
        <v>15</v>
      </c>
      <c r="AG26" s="70">
        <f t="shared" si="3"/>
        <v>54.069355980184</v>
      </c>
      <c r="AH26" s="156">
        <f t="shared" si="4"/>
        <v>13</v>
      </c>
      <c r="AJ26" s="121"/>
      <c r="AK26" s="480">
        <f t="shared" si="5"/>
        <v>0.330188679245283</v>
      </c>
      <c r="AL26" s="480">
        <f t="shared" si="6"/>
        <v>0.30496453900709219</v>
      </c>
      <c r="AM26" s="480">
        <f t="shared" si="7"/>
        <v>0.88043478260869568</v>
      </c>
      <c r="AN26" s="480">
        <f t="shared" si="8"/>
        <v>-0.44797687861271679</v>
      </c>
      <c r="AO26" s="480">
        <f t="shared" ref="AO26:AO31" si="15">AVERAGE(AK26:AN26)</f>
        <v>0.26690278056208855</v>
      </c>
      <c r="AP26" s="52"/>
      <c r="AQ26" s="52"/>
      <c r="AR26" s="52"/>
      <c r="AS26" s="52"/>
      <c r="AT26" s="52"/>
      <c r="AU26" s="52"/>
      <c r="AV26" s="52"/>
      <c r="AW26" s="52"/>
      <c r="AX26" s="52"/>
    </row>
    <row r="27" spans="1:50" s="61" customFormat="1" ht="15.75" customHeight="1">
      <c r="A27" s="1103">
        <f>VLOOKUP(B27,ReportData!$AQ$4:$AR$25,2,FALSE)</f>
        <v>0</v>
      </c>
      <c r="B27" s="885" t="str">
        <f>ReportData!$K$20</f>
        <v>West Sussex</v>
      </c>
      <c r="C27" s="896"/>
      <c r="D27" s="889">
        <f>IF(Year1_West_Sussex Year1_CP_Plans="","",Year1_West_Sussex Year1_CP_Plans)</f>
        <v>816</v>
      </c>
      <c r="E27" s="889">
        <f>IF(Year2_West_Sussex Year2_CP_Plans="","",Year2_West_Sussex Year2_CP_Plans)</f>
        <v>954</v>
      </c>
      <c r="F27" s="889">
        <f>IF(Year3_West_Sussex Year3_CP_Plans="","",Year3_West_Sussex Year3_CP_Plans)</f>
        <v>693</v>
      </c>
      <c r="G27" s="889">
        <f>IF(Year4_West_Sussex Year4_CP_Plans="","",Year4_West_Sussex Year4_CP_Plans)</f>
        <v>755</v>
      </c>
      <c r="H27" s="890">
        <f>IF(Year5_West_Sussex Year5_CP_Plans="","",Year5_West_Sussex Year5_CP_Plans)</f>
        <v>644</v>
      </c>
      <c r="I27" s="900">
        <f t="shared" si="13"/>
        <v>-4.0505259171283302E-2</v>
      </c>
      <c r="J27" s="896"/>
      <c r="K27" s="901">
        <f>IF(ISNUMBER(D27),D27/Population!D27*10000,NA())</f>
        <v>47.0178794705879</v>
      </c>
      <c r="L27" s="901">
        <f>IF(ISNUMBER(E27),E27/Population!E27*10000,NA())</f>
        <v>54.867633272561008</v>
      </c>
      <c r="M27" s="901">
        <f>IF(ISNUMBER(F27),F27/Population!F27*10000,NA())</f>
        <v>39.637599093997736</v>
      </c>
      <c r="N27" s="901">
        <f>IF(ISNUMBER(G27),G27/Population!G27*10000,NA())</f>
        <v>42.571426960400117</v>
      </c>
      <c r="O27" s="902">
        <f>IF(ISNUMBER(H27),H27/Population!H27*10000,NA())</f>
        <v>35.976045763317842</v>
      </c>
      <c r="P27" s="903">
        <f t="shared" si="14"/>
        <v>35.976045763317842</v>
      </c>
      <c r="Q27" s="1190">
        <f t="shared" si="0"/>
        <v>8</v>
      </c>
      <c r="R27" s="64"/>
      <c r="S27" s="905">
        <f t="shared" si="11"/>
        <v>34.276447361487236</v>
      </c>
      <c r="T27" s="906">
        <f t="shared" si="1"/>
        <v>1.6995984018306061</v>
      </c>
      <c r="U27" s="89"/>
      <c r="V27" s="103"/>
      <c r="W27" s="115"/>
      <c r="X27" s="51" t="str">
        <f t="shared" si="2"/>
        <v>West Sussex</v>
      </c>
      <c r="Y27" s="27">
        <f>IF(ISNUMBER(H27),IDACI!D25,0)</f>
        <v>151487</v>
      </c>
      <c r="Z27" s="27">
        <f>IF(ISNUMBER(H27),IDACI!E25,0)</f>
        <v>16663.57</v>
      </c>
      <c r="AA27" s="155">
        <f>IF(ISNUMBER(D27),Population!D27,"")</f>
        <v>173551</v>
      </c>
      <c r="AB27" s="155">
        <f>IF(ISNUMBER(E27),Population!E27,"")</f>
        <v>173873</v>
      </c>
      <c r="AC27" s="155">
        <f>IF(ISNUMBER(F27),Population!F27,"")</f>
        <v>174834</v>
      </c>
      <c r="AD27" s="155">
        <f>IF(ISNUMBER(G27),Population!G27,"")</f>
        <v>177349</v>
      </c>
      <c r="AE27" s="155">
        <f>IF(ISNUMBER(H26),Population!H26,"")</f>
        <v>35325</v>
      </c>
      <c r="AF27" s="65" t="s">
        <v>5</v>
      </c>
      <c r="AG27" s="70">
        <f t="shared" si="3"/>
        <v>35.976045763317842</v>
      </c>
      <c r="AH27" s="156">
        <f t="shared" si="4"/>
        <v>8</v>
      </c>
      <c r="AJ27" s="121"/>
      <c r="AK27" s="480">
        <f t="shared" si="5"/>
        <v>0.16911764705882354</v>
      </c>
      <c r="AL27" s="480">
        <f t="shared" si="6"/>
        <v>-0.27358490566037735</v>
      </c>
      <c r="AM27" s="480">
        <f t="shared" si="7"/>
        <v>8.9466089466089471E-2</v>
      </c>
      <c r="AN27" s="480">
        <f t="shared" si="8"/>
        <v>-0.14701986754966886</v>
      </c>
      <c r="AO27" s="480">
        <f t="shared" si="15"/>
        <v>-4.0505259171283302E-2</v>
      </c>
      <c r="AP27" s="52"/>
      <c r="AQ27" s="52"/>
      <c r="AR27" s="52"/>
      <c r="AS27" s="52"/>
      <c r="AT27" s="52"/>
      <c r="AU27" s="52"/>
      <c r="AV27" s="52"/>
      <c r="AW27" s="52"/>
      <c r="AX27" s="52"/>
    </row>
    <row r="28" spans="1:50" s="61" customFormat="1" ht="15.75" customHeight="1">
      <c r="A28" s="1103">
        <f>VLOOKUP(B28,ReportData!$AQ$4:$AR$25,2,FALSE)</f>
        <v>0</v>
      </c>
      <c r="B28" s="885" t="str">
        <f>ReportData!$K$21</f>
        <v>Windsor &amp; Maidenhead</v>
      </c>
      <c r="C28" s="896"/>
      <c r="D28" s="889">
        <f>IF(Year1_Windsor_and_Maidenhead Year1_CP_Plans="","",Year1_Windsor_and_Maidenhead Year1_CP_Plans)</f>
        <v>131</v>
      </c>
      <c r="E28" s="889">
        <f>IF(Year2_Windsor_and_Maidenhead Year2_CP_Plans="","",Year2_Windsor_and_Maidenhead Year2_CP_Plans)</f>
        <v>127</v>
      </c>
      <c r="F28" s="889">
        <f>IF(Year3_Windsor_and_Maidenhead Year3_CP_Plans="","",Year3_Windsor_and_Maidenhead Year3_CP_Plans)</f>
        <v>141</v>
      </c>
      <c r="G28" s="889">
        <f>IF(Year4_Windsor_and_Maidenhead Year4_CP_Plans="","",Year4_Windsor_and_Maidenhead Year4_CP_Plans)</f>
        <v>105</v>
      </c>
      <c r="H28" s="890">
        <f>IF(Year5_Windsor_and_Maidenhead Year5_CP_Plans="","",Year5_Windsor_and_Maidenhead Year5_CP_Plans)</f>
        <v>99</v>
      </c>
      <c r="I28" s="900">
        <f t="shared" si="13"/>
        <v>-5.8190034187906137E-2</v>
      </c>
      <c r="J28" s="896"/>
      <c r="K28" s="901">
        <f>IF(ISNUMBER(D28),D28/Population!D28*10000,NA())</f>
        <v>38.221392309038926</v>
      </c>
      <c r="L28" s="901">
        <f>IF(ISNUMBER(E28),E28/Population!E28*10000,NA())</f>
        <v>37.261978112255377</v>
      </c>
      <c r="M28" s="901">
        <f>IF(ISNUMBER(F28),F28/Population!F28*10000,NA())</f>
        <v>41.622387530995397</v>
      </c>
      <c r="N28" s="901">
        <f>IF(ISNUMBER(G28),G28/Population!G28*10000,NA())</f>
        <v>30.780054524668014</v>
      </c>
      <c r="O28" s="902">
        <f>IF(ISNUMBER(H28),H28/Population!H28*10000,NA())</f>
        <v>28.878970858493041</v>
      </c>
      <c r="P28" s="903">
        <f t="shared" si="14"/>
        <v>28.878970858493041</v>
      </c>
      <c r="Q28" s="1190">
        <f t="shared" si="0"/>
        <v>4</v>
      </c>
      <c r="R28" s="64"/>
      <c r="S28" s="905">
        <f t="shared" si="11"/>
        <v>27.128542405303428</v>
      </c>
      <c r="T28" s="906">
        <f t="shared" si="1"/>
        <v>1.7504284531896133</v>
      </c>
      <c r="U28" s="89"/>
      <c r="V28" s="103"/>
      <c r="W28" s="115"/>
      <c r="X28" s="51" t="str">
        <f t="shared" si="2"/>
        <v>Windsor &amp; Maidenhead</v>
      </c>
      <c r="Y28" s="27">
        <f>IF(ISNUMBER(H28),IDACI!D26,0)</f>
        <v>29792</v>
      </c>
      <c r="Z28" s="27">
        <f>IF(ISNUMBER(H28),IDACI!E26,0)</f>
        <v>1996.0640000000001</v>
      </c>
      <c r="AA28" s="155">
        <f>IF(ISNUMBER(D28),Population!D28,"")</f>
        <v>34274</v>
      </c>
      <c r="AB28" s="155">
        <f>IF(ISNUMBER(E28),Population!E28,"")</f>
        <v>34083</v>
      </c>
      <c r="AC28" s="155">
        <f>IF(ISNUMBER(F28),Population!F28,"")</f>
        <v>33876</v>
      </c>
      <c r="AD28" s="155">
        <f>IF(ISNUMBER(G28),Population!G28,"")</f>
        <v>34113</v>
      </c>
      <c r="AE28" s="155">
        <f>IF(ISNUMBER(H27),Population!H27,"")</f>
        <v>179008</v>
      </c>
      <c r="AF28" s="65" t="s">
        <v>27</v>
      </c>
      <c r="AG28" s="70">
        <f t="shared" si="3"/>
        <v>28.878970858493041</v>
      </c>
      <c r="AH28" s="156">
        <f t="shared" si="4"/>
        <v>4</v>
      </c>
      <c r="AJ28" s="121"/>
      <c r="AK28" s="480">
        <f t="shared" si="5"/>
        <v>-3.0534351145038167E-2</v>
      </c>
      <c r="AL28" s="480">
        <f t="shared" si="6"/>
        <v>0.11023622047244094</v>
      </c>
      <c r="AM28" s="480">
        <f t="shared" si="7"/>
        <v>-0.25531914893617019</v>
      </c>
      <c r="AN28" s="480">
        <f t="shared" si="8"/>
        <v>-5.7142857142857141E-2</v>
      </c>
      <c r="AO28" s="480">
        <f t="shared" si="15"/>
        <v>-5.8190034187906137E-2</v>
      </c>
      <c r="AP28" s="52"/>
      <c r="AQ28" s="52"/>
      <c r="AR28" s="52"/>
      <c r="AS28" s="52"/>
      <c r="AT28" s="52"/>
      <c r="AU28" s="52"/>
      <c r="AV28" s="52"/>
      <c r="AW28" s="52"/>
      <c r="AX28" s="52"/>
    </row>
    <row r="29" spans="1:50" s="61" customFormat="1" ht="15.75" customHeight="1">
      <c r="A29" s="1103">
        <f>VLOOKUP(B29,ReportData!$AQ$4:$AR$25,2,FALSE)</f>
        <v>0</v>
      </c>
      <c r="B29" s="885" t="str">
        <f>ReportData!$K$22</f>
        <v>Wokingham</v>
      </c>
      <c r="C29" s="896"/>
      <c r="D29" s="889">
        <f>IF(Year1_Wokingham Year1_CP_Plans="","",Year1_Wokingham Year1_CP_Plans)</f>
        <v>142</v>
      </c>
      <c r="E29" s="889">
        <f>IF(Year2_Wokingham Year2_CP_Plans="","",Year2_Wokingham Year2_CP_Plans)</f>
        <v>149</v>
      </c>
      <c r="F29" s="889">
        <f>IF(Year3_Wokingham Year3_CP_Plans="","",Year3_Wokingham Year3_CP_Plans)</f>
        <v>161</v>
      </c>
      <c r="G29" s="889">
        <f>IF(Year4_Wokingham Year4_CP_Plans="","",Year4_Wokingham Year4_CP_Plans)</f>
        <v>157</v>
      </c>
      <c r="H29" s="890">
        <f>IF(Year5_Wokingham Year5_CP_Plans="","",Year5_Wokingham Year5_CP_Plans)</f>
        <v>125</v>
      </c>
      <c r="I29" s="900">
        <f t="shared" si="13"/>
        <v>-2.4708422287071166E-2</v>
      </c>
      <c r="J29" s="896"/>
      <c r="K29" s="901">
        <f>IF(ISNUMBER(D29),D29/Population!D29*10000,NA())</f>
        <v>35.70351000704013</v>
      </c>
      <c r="L29" s="901">
        <f>IF(ISNUMBER(E29),E29/Population!E29*10000,NA())</f>
        <v>36.811937938531472</v>
      </c>
      <c r="M29" s="901">
        <f>IF(ISNUMBER(F29),F29/Population!F29*10000,NA())</f>
        <v>39.145128741277446</v>
      </c>
      <c r="N29" s="901">
        <f>IF(ISNUMBER(G29),G29/Population!G29*10000,NA())</f>
        <v>36.923800564440263</v>
      </c>
      <c r="O29" s="902">
        <f>IF(ISNUMBER(H29),H29/Population!H29*10000,NA())</f>
        <v>28.859029413122776</v>
      </c>
      <c r="P29" s="903">
        <f t="shared" si="14"/>
        <v>28.859029413122776</v>
      </c>
      <c r="Q29" s="1190">
        <f t="shared" si="0"/>
        <v>3</v>
      </c>
      <c r="R29" s="64"/>
      <c r="S29" s="905">
        <f t="shared" si="11"/>
        <v>25.300008579302919</v>
      </c>
      <c r="T29" s="906">
        <f t="shared" si="1"/>
        <v>3.5590208338198579</v>
      </c>
      <c r="U29" s="89"/>
      <c r="V29" s="103"/>
      <c r="W29" s="115"/>
      <c r="X29" s="51" t="str">
        <f t="shared" si="2"/>
        <v>Wokingham</v>
      </c>
      <c r="Y29" s="27">
        <f>IF(ISNUMBER(H29),IDACI!D27,0)</f>
        <v>33327</v>
      </c>
      <c r="Z29" s="27">
        <f>IF(ISNUMBER(H29),IDACI!E27,0)</f>
        <v>1866.3120000000004</v>
      </c>
      <c r="AA29" s="155">
        <f>IF(ISNUMBER(D29),Population!D29,"")</f>
        <v>39772</v>
      </c>
      <c r="AB29" s="155">
        <f>IF(ISNUMBER(E29),Population!E29,"")</f>
        <v>40476</v>
      </c>
      <c r="AC29" s="155">
        <f>IF(ISNUMBER(F29),Population!F29,"")</f>
        <v>41129</v>
      </c>
      <c r="AD29" s="155">
        <f>IF(ISNUMBER(G29),Population!G29,"")</f>
        <v>42520</v>
      </c>
      <c r="AE29" s="155">
        <f>IF(ISNUMBER(H29),Population!H29,"")</f>
        <v>43314</v>
      </c>
      <c r="AF29" s="65" t="s">
        <v>16</v>
      </c>
      <c r="AG29" s="70">
        <f t="shared" si="3"/>
        <v>28.859029413122776</v>
      </c>
      <c r="AH29" s="156">
        <f t="shared" si="4"/>
        <v>3</v>
      </c>
      <c r="AJ29" s="121"/>
      <c r="AK29" s="480">
        <f t="shared" si="5"/>
        <v>4.9295774647887321E-2</v>
      </c>
      <c r="AL29" s="480">
        <f t="shared" si="6"/>
        <v>8.0536912751677847E-2</v>
      </c>
      <c r="AM29" s="480">
        <f t="shared" si="7"/>
        <v>-2.4844720496894408E-2</v>
      </c>
      <c r="AN29" s="480">
        <f t="shared" si="8"/>
        <v>-0.20382165605095542</v>
      </c>
      <c r="AO29" s="480">
        <f t="shared" si="15"/>
        <v>-2.4708422287071166E-2</v>
      </c>
      <c r="AP29" s="52"/>
      <c r="AQ29" s="52"/>
      <c r="AR29" s="52"/>
      <c r="AS29" s="52"/>
      <c r="AT29" s="52"/>
      <c r="AU29" s="52"/>
      <c r="AV29" s="52"/>
      <c r="AW29" s="52"/>
      <c r="AX29" s="52"/>
    </row>
    <row r="30" spans="1:50" s="61" customFormat="1" ht="15.75" customHeight="1">
      <c r="A30" s="1103"/>
      <c r="B30" s="886" t="str">
        <f>ReportData!$K$23</f>
        <v>South East</v>
      </c>
      <c r="C30" s="896"/>
      <c r="D30" s="892">
        <f>IF(Year1_South_East Year1_CP_Plans="","",Year1_South_East Year1_CP_Plans)</f>
        <v>8106</v>
      </c>
      <c r="E30" s="892">
        <f>IF(Year2_South_East Year2_CP_Plans="","",Year2_South_East Year2_CP_Plans)</f>
        <v>7973</v>
      </c>
      <c r="F30" s="892">
        <f>IF(Year3_South_East Year3_CP_Plans="","",Year3_South_East Year3_CP_Plans)</f>
        <v>8548</v>
      </c>
      <c r="G30" s="892">
        <f>IF(Year4_South_East Year4_CP_Plans="","",Year4_South_East Year4_CP_Plans)</f>
        <v>8300</v>
      </c>
      <c r="H30" s="893">
        <f>IF(Year5_South_East Year5_CP_Plans="","",Year5_South_East Year5_CP_Plans)</f>
        <v>7510</v>
      </c>
      <c r="I30" s="907">
        <f t="shared" si="13"/>
        <v>1.8296853752269214E-2</v>
      </c>
      <c r="J30" s="896"/>
      <c r="K30" s="908">
        <f>IF(ISNUMBER(D30),D30/AA30*10000,NA())</f>
        <v>42.049827956754974</v>
      </c>
      <c r="L30" s="908">
        <f>IF(ISNUMBER(E30),E30/AB30*10000,NA())</f>
        <v>41.295239989413339</v>
      </c>
      <c r="M30" s="908">
        <f>IF(ISNUMBER(F30),F30/AC30*10000,NA())</f>
        <v>44.159826749654904</v>
      </c>
      <c r="N30" s="908">
        <f>IF(ISNUMBER(G30),G30/AD30*10000,NA())</f>
        <v>42.234607648127714</v>
      </c>
      <c r="O30" s="909">
        <f>IF(ISNUMBER(H30),H30/AE30*10000,NA())</f>
        <v>44.995090083046193</v>
      </c>
      <c r="P30" s="903">
        <f t="shared" si="14"/>
        <v>44.995090083046193</v>
      </c>
      <c r="Q30" s="1191" t="str">
        <f t="shared" si="0"/>
        <v>--</v>
      </c>
      <c r="R30" s="64"/>
      <c r="S30" s="911">
        <f t="shared" si="11"/>
        <v>37.203067346970442</v>
      </c>
      <c r="T30" s="912">
        <f t="shared" si="1"/>
        <v>7.7920227360757508</v>
      </c>
      <c r="U30" s="89"/>
      <c r="V30" s="103"/>
      <c r="W30" s="115"/>
      <c r="X30" s="51" t="str">
        <f t="shared" si="2"/>
        <v>South East</v>
      </c>
      <c r="Y30" s="27">
        <f>SUM(Y24:Y25,Y11:Y23,Y26:Y29)</f>
        <v>1455495</v>
      </c>
      <c r="Z30" s="27">
        <f>SUM(Z24:Z25,Z11:Z23,Z26:Z29)</f>
        <v>185729.61900000004</v>
      </c>
      <c r="AA30" s="155">
        <f>SUM(AA11:AA23,AA24:AA25,AA26:AA29)</f>
        <v>1927713</v>
      </c>
      <c r="AB30" s="155">
        <f>SUM(AB11:AB23,AB24:AB25,AB26:AB29)</f>
        <v>1930731</v>
      </c>
      <c r="AC30" s="155">
        <f>SUM(AC11:AC23,AC24:AC25,AC26:AC29)</f>
        <v>1935696</v>
      </c>
      <c r="AD30" s="155">
        <f>SUM(AD11:AD23,AD24:AD25,AD26:AD29)</f>
        <v>1965213</v>
      </c>
      <c r="AE30" s="155">
        <f>SUM(AE11:AE23,AE25:AE26,AE27:AE29)</f>
        <v>1669071</v>
      </c>
      <c r="AH30" s="141"/>
      <c r="AJ30" s="121"/>
      <c r="AK30" s="581">
        <f>IF(ISERROR((L30-K30)/K30),"x",(L30-K30)/K30)</f>
        <v>-1.794509047974396E-2</v>
      </c>
      <c r="AL30" s="581">
        <f>IF(ISERROR((M30-L30)/L30),"x",(M30-L30)/L30)</f>
        <v>6.9368449268631088E-2</v>
      </c>
      <c r="AM30" s="581">
        <f>IF(ISERROR((N30-M30)/M30),"x",(N30-M30)/M30)</f>
        <v>-4.3596618085514467E-2</v>
      </c>
      <c r="AN30" s="581">
        <f>IF(ISERROR((O30-N30)/N30),"x",(O30-N30)/N30)</f>
        <v>6.5360674305704206E-2</v>
      </c>
      <c r="AO30" s="480">
        <f t="shared" si="15"/>
        <v>1.8296853752269214E-2</v>
      </c>
      <c r="AP30" s="52"/>
      <c r="AQ30" s="52"/>
      <c r="AR30" s="52"/>
      <c r="AS30" s="52"/>
      <c r="AT30" s="52"/>
      <c r="AU30" s="52"/>
      <c r="AV30" s="52"/>
      <c r="AW30" s="52"/>
      <c r="AX30" s="52"/>
    </row>
    <row r="31" spans="1:50" s="61" customFormat="1" ht="15.75" customHeight="1">
      <c r="A31" s="1103"/>
      <c r="B31" s="887" t="str">
        <f>ReportData!$K$24</f>
        <v>England</v>
      </c>
      <c r="C31" s="896"/>
      <c r="D31" s="894">
        <f>IF(Year1_England Year1_CP_Plans="","",Year1_England Year1_CP_Plans)</f>
        <v>51510</v>
      </c>
      <c r="E31" s="894">
        <f>IF(Year2_England Year2_CP_Plans="","",Year2_England Year2_CP_Plans)</f>
        <v>50010</v>
      </c>
      <c r="F31" s="894">
        <f>IF(Year3_England Year3_CP_Plans="","",Year3_England Year3_CP_Plans)</f>
        <v>50920</v>
      </c>
      <c r="G31" s="894">
        <f>IF(Year4_England Year4_CP_Plans="","",Year4_England Year4_CP_Plans)</f>
        <v>50780</v>
      </c>
      <c r="H31" s="895">
        <f>IF(Year5_England Year5_CP_Plans="","",Year5_England Year5_CP_Plans)</f>
        <v>49900</v>
      </c>
      <c r="I31" s="913">
        <f t="shared" si="13"/>
        <v>-7.7508166432065815E-3</v>
      </c>
      <c r="J31" s="896"/>
      <c r="K31" s="914">
        <f>IF(ISNUMBER(D31),D31/Population!D31*10000,NA())</f>
        <v>43.687744328226508</v>
      </c>
      <c r="L31" s="914">
        <f>IF(ISNUMBER(E31),E31/Population!E31*10000,NA())</f>
        <v>42.425240889007732</v>
      </c>
      <c r="M31" s="914">
        <f>IF(ISNUMBER(F31),F31/Population!F31*10000,NA())</f>
        <v>43.288725769322781</v>
      </c>
      <c r="N31" s="914">
        <f>IF(ISNUMBER(G31),G31/Population!G31*10000,NA())</f>
        <v>42.723289131247405</v>
      </c>
      <c r="O31" s="1086">
        <f>IF(ISNUMBER(H31),H31/Population!H31*10000,NA())</f>
        <v>41.588025848916615</v>
      </c>
      <c r="P31" s="903">
        <f t="shared" si="14"/>
        <v>41.588025848916615</v>
      </c>
      <c r="Q31" s="1192" t="str">
        <f t="shared" si="0"/>
        <v>--</v>
      </c>
      <c r="R31" s="64"/>
      <c r="S31" s="917">
        <f t="shared" si="11"/>
        <v>44.390588927366451</v>
      </c>
      <c r="T31" s="1087">
        <f t="shared" si="1"/>
        <v>-2.8025630784498361</v>
      </c>
      <c r="U31" s="89"/>
      <c r="V31" s="103"/>
      <c r="W31" s="115"/>
      <c r="X31" s="51" t="str">
        <f t="shared" si="2"/>
        <v>England</v>
      </c>
      <c r="Y31" s="27">
        <f>IF(H31&gt;0,IDACI!D29,0)</f>
        <v>10405050</v>
      </c>
      <c r="Z31" s="27">
        <f>IF(H31&gt;0,IDACI!E29,0)</f>
        <v>1777641.7570000088</v>
      </c>
      <c r="AA31" s="155">
        <f>IF(ISNUMBER(D31),Population!D31,"")</f>
        <v>11790492</v>
      </c>
      <c r="AB31" s="155">
        <f>IF(ISNUMBER(E31),Population!E31,"")</f>
        <v>11787794</v>
      </c>
      <c r="AC31" s="155">
        <f>IF(ISNUMBER(F31),Population!F31,"")</f>
        <v>11762878</v>
      </c>
      <c r="AD31" s="155">
        <f>IF(ISNUMBER(G31),Population!G31,"")</f>
        <v>11885789</v>
      </c>
      <c r="AE31" s="155">
        <f>IF(ISNUMBER(H31),Population!H31,"")</f>
        <v>11998646</v>
      </c>
      <c r="AH31" s="141"/>
      <c r="AJ31" s="121"/>
      <c r="AK31" s="480">
        <f>IF(ISERROR((E31-D31)/D31),"x",(E31-D31)/D31)</f>
        <v>-2.9120559114735003E-2</v>
      </c>
      <c r="AL31" s="480">
        <f>IF(ISERROR((F31-E31)/E31),"x",(F31-E31)/E31)</f>
        <v>1.8196360727854428E-2</v>
      </c>
      <c r="AM31" s="480">
        <f>IF(ISERROR((G31-F31)/F31),"x",(G31-F31)/F31)</f>
        <v>-2.7494108405341712E-3</v>
      </c>
      <c r="AN31" s="480">
        <f>IF(ISERROR((H31-G31)/G31),"x",(H31-G31)/G31)</f>
        <v>-1.732965734541158E-2</v>
      </c>
      <c r="AO31" s="480">
        <f t="shared" si="15"/>
        <v>-7.7508166432065815E-3</v>
      </c>
      <c r="AP31" s="52"/>
      <c r="AQ31" s="52"/>
      <c r="AR31" s="52"/>
      <c r="AS31" s="52"/>
      <c r="AT31" s="52"/>
      <c r="AU31" s="52"/>
      <c r="AV31" s="52"/>
      <c r="AW31" s="52"/>
      <c r="AX31" s="52"/>
    </row>
    <row r="32" spans="1:50" s="56" customFormat="1" ht="12.75" customHeight="1">
      <c r="A32" s="87"/>
      <c r="B32" s="1077"/>
      <c r="C32" s="1184"/>
      <c r="D32" s="1184"/>
      <c r="E32" s="1184"/>
      <c r="F32" s="1184"/>
      <c r="G32" s="1184"/>
      <c r="H32" s="1184"/>
      <c r="I32" s="1184"/>
      <c r="J32" s="1184"/>
      <c r="K32" s="1184"/>
      <c r="L32" s="1184"/>
      <c r="M32" s="1184"/>
      <c r="N32" s="1184"/>
      <c r="O32" s="1184"/>
      <c r="P32" s="1184"/>
      <c r="Q32" s="1091" t="s">
        <v>100</v>
      </c>
      <c r="R32" s="1113"/>
      <c r="S32" s="1184"/>
      <c r="T32" s="1184"/>
      <c r="U32" s="86"/>
      <c r="V32" s="121"/>
      <c r="W32" s="114"/>
      <c r="X32" s="55"/>
      <c r="Y32" s="52"/>
      <c r="Z32" s="52"/>
      <c r="AA32" s="52"/>
      <c r="AB32" s="52"/>
      <c r="AC32" s="52"/>
      <c r="AD32" s="52"/>
      <c r="AE32" s="52"/>
      <c r="AF32" s="52"/>
      <c r="AG32" s="52"/>
      <c r="AI32" s="52"/>
      <c r="AJ32" s="122"/>
      <c r="AP32" s="52"/>
      <c r="AQ32" s="52"/>
      <c r="AR32" s="52"/>
      <c r="AS32" s="52"/>
      <c r="AT32" s="52"/>
      <c r="AU32" s="52"/>
      <c r="AV32" s="52"/>
      <c r="AW32" s="52"/>
      <c r="AX32" s="52"/>
    </row>
    <row r="33" spans="1:74"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Y33" s="141"/>
      <c r="AI33" s="52"/>
      <c r="AJ33" s="119"/>
      <c r="AK33" s="52"/>
      <c r="AL33" s="52"/>
      <c r="AM33" s="52"/>
      <c r="AN33" s="52"/>
      <c r="AO33" s="52"/>
      <c r="AP33" s="52"/>
      <c r="AQ33" s="52"/>
    </row>
    <row r="34" spans="1:74" s="56" customFormat="1" ht="15" customHeight="1">
      <c r="A34" s="1565"/>
      <c r="B34" s="1751"/>
      <c r="C34" s="1751"/>
      <c r="D34" s="1751"/>
      <c r="E34" s="1751"/>
      <c r="F34" s="1751"/>
      <c r="G34" s="1751"/>
      <c r="H34" s="1751"/>
      <c r="I34" s="1751"/>
      <c r="J34" s="1751"/>
      <c r="K34" s="1751"/>
      <c r="L34" s="1751"/>
      <c r="M34" s="1751"/>
      <c r="N34" s="1751"/>
      <c r="O34" s="1751"/>
      <c r="P34" s="1751"/>
      <c r="Q34" s="1751"/>
      <c r="R34" s="1751"/>
      <c r="S34" s="1751"/>
      <c r="T34" s="1751"/>
      <c r="U34" s="1752"/>
      <c r="V34" s="185"/>
      <c r="W34" s="114"/>
      <c r="AJ34" s="122"/>
      <c r="AL34" s="56">
        <f>COLUMNS($B$4:K$4)</f>
        <v>10</v>
      </c>
      <c r="AM34" s="56">
        <f>COLUMNS($B$4:L$4)</f>
        <v>11</v>
      </c>
      <c r="AN34" s="56">
        <f>COLUMNS($B$4:M$4)</f>
        <v>12</v>
      </c>
      <c r="AO34" s="56">
        <f>COLUMNS($B$4:N$4)</f>
        <v>13</v>
      </c>
      <c r="AP34" s="56">
        <f>COLUMNS($B$4:O$4)</f>
        <v>14</v>
      </c>
      <c r="AQ34" s="56">
        <f>COLUMNS($B$4:R$4)</f>
        <v>17</v>
      </c>
      <c r="AR34" s="56">
        <f>COLUMNS($B$4:D$4)</f>
        <v>3</v>
      </c>
      <c r="AS34" s="56">
        <f>COLUMNS($B$4:E$4)</f>
        <v>4</v>
      </c>
      <c r="AT34" s="56">
        <f>COLUMNS($B$4:F$4)</f>
        <v>5</v>
      </c>
      <c r="AU34" s="56">
        <f>COLUMNS($B$4:G$4)</f>
        <v>6</v>
      </c>
      <c r="AV34" s="56">
        <f>COLUMNS($B$4:H$4)</f>
        <v>7</v>
      </c>
      <c r="AW34" s="56">
        <f>COLUMNS($B$4:D$4)</f>
        <v>3</v>
      </c>
      <c r="AX34" s="56">
        <f>COLUMNS($B$4:E$4)</f>
        <v>4</v>
      </c>
      <c r="AY34" s="56">
        <f>COLUMNS($B$4:F$4)</f>
        <v>5</v>
      </c>
      <c r="AZ34" s="56">
        <f>COLUMNS($B$4:G$4)</f>
        <v>6</v>
      </c>
      <c r="BA34" s="56">
        <f>COLUMNS($B$4:H$4)</f>
        <v>7</v>
      </c>
      <c r="BB34" s="56">
        <f>COLUMNS($B$4:$D$4)</f>
        <v>3</v>
      </c>
      <c r="BC34" s="56">
        <f>COLUMNS($B$4:E$4)</f>
        <v>4</v>
      </c>
      <c r="BD34" s="56">
        <f>COLUMNS($B$4:F$4)</f>
        <v>5</v>
      </c>
      <c r="BE34" s="56">
        <f>COLUMNS($B$4:G$4)</f>
        <v>6</v>
      </c>
      <c r="BF34" s="56">
        <f>COLUMNS($B$4:H$4)</f>
        <v>7</v>
      </c>
      <c r="BG34" s="56">
        <f>COLUMNS($B$4:D$4)</f>
        <v>3</v>
      </c>
      <c r="BH34" s="56">
        <f>COLUMNS($B$4:E$4)</f>
        <v>4</v>
      </c>
      <c r="BI34" s="56">
        <f>COLUMNS($B$4:F$4)</f>
        <v>5</v>
      </c>
      <c r="BJ34" s="56">
        <f>COLUMNS($B$4:G$4)</f>
        <v>6</v>
      </c>
      <c r="BK34" s="56">
        <f>COLUMNS($B$4:H$4)</f>
        <v>7</v>
      </c>
      <c r="BL34" s="56">
        <f>COLUMNS($B$4:D$4)</f>
        <v>3</v>
      </c>
      <c r="BM34" s="56">
        <f>COLUMNS($B$4:E$4)</f>
        <v>4</v>
      </c>
      <c r="BN34" s="56">
        <f>COLUMNS($B$4:F$4)</f>
        <v>5</v>
      </c>
      <c r="BO34" s="56">
        <f>COLUMNS($B$4:G$4)</f>
        <v>6</v>
      </c>
      <c r="BP34" s="56">
        <f>COLUMNS($B$4:H$4)</f>
        <v>7</v>
      </c>
      <c r="BQ34" s="1907" t="str">
        <f>Y4</f>
        <v>(none)</v>
      </c>
      <c r="BR34" s="56">
        <f>COLUMNS($B$4:D$4)</f>
        <v>3</v>
      </c>
      <c r="BS34" s="56">
        <f>COLUMNS($B$4:E$4)</f>
        <v>4</v>
      </c>
      <c r="BT34" s="56">
        <f>COLUMNS($B$4:F$4)</f>
        <v>5</v>
      </c>
      <c r="BU34" s="56">
        <f>COLUMNS($B$4:G$4)</f>
        <v>6</v>
      </c>
      <c r="BV34" s="56">
        <f>COLUMNS($B$4:H$4)</f>
        <v>7</v>
      </c>
    </row>
    <row r="35" spans="1:74" s="56" customFormat="1" ht="11.25" customHeight="1">
      <c r="A35" s="1739"/>
      <c r="B35" s="1740"/>
      <c r="C35" s="1740"/>
      <c r="D35" s="1740"/>
      <c r="E35" s="1740"/>
      <c r="F35" s="1740"/>
      <c r="G35" s="1740"/>
      <c r="H35" s="1740"/>
      <c r="I35" s="1741"/>
      <c r="J35" s="1740"/>
      <c r="K35" s="1740"/>
      <c r="L35" s="1740"/>
      <c r="M35" s="1740"/>
      <c r="N35" s="1740"/>
      <c r="O35" s="1740"/>
      <c r="P35" s="1742"/>
      <c r="Q35" s="1740"/>
      <c r="R35" s="1740"/>
      <c r="S35" s="1741"/>
      <c r="T35" s="1740"/>
      <c r="U35" s="1743"/>
      <c r="V35" s="185"/>
      <c r="W35" s="114"/>
      <c r="AI35" s="52"/>
      <c r="AJ35" s="121"/>
      <c r="AK35" s="61"/>
      <c r="AL35" s="109" t="s">
        <v>85</v>
      </c>
      <c r="AM35" s="173"/>
      <c r="AN35" s="173"/>
      <c r="AO35" s="173"/>
      <c r="AP35" s="173"/>
      <c r="AQ35" s="275" t="s">
        <v>862</v>
      </c>
      <c r="AR35" s="1904" t="s">
        <v>619</v>
      </c>
      <c r="AS35" s="1905"/>
      <c r="AT35" s="1905"/>
      <c r="AU35" s="1905"/>
      <c r="AV35" s="1906"/>
      <c r="AW35" s="1904" t="s">
        <v>620</v>
      </c>
      <c r="AX35" s="1905"/>
      <c r="AY35" s="1905"/>
      <c r="AZ35" s="1905"/>
      <c r="BA35" s="1906"/>
      <c r="BB35" s="1904" t="s">
        <v>618</v>
      </c>
      <c r="BC35" s="1905"/>
      <c r="BD35" s="1905"/>
      <c r="BE35" s="1905"/>
      <c r="BF35" s="1906"/>
      <c r="BG35" s="1904" t="s">
        <v>124</v>
      </c>
      <c r="BH35" s="1905"/>
      <c r="BI35" s="1905"/>
      <c r="BJ35" s="1905"/>
      <c r="BK35" s="1906"/>
      <c r="BL35" s="1904" t="s">
        <v>170</v>
      </c>
      <c r="BM35" s="1905"/>
      <c r="BN35" s="1905"/>
      <c r="BO35" s="1905"/>
      <c r="BP35" s="1906"/>
      <c r="BQ35" s="1907"/>
      <c r="BR35" s="1904" t="s">
        <v>125</v>
      </c>
      <c r="BS35" s="1905"/>
      <c r="BT35" s="1905"/>
      <c r="BU35" s="1905"/>
      <c r="BV35" s="1906"/>
    </row>
    <row r="36" spans="1:74" s="56" customFormat="1" ht="10.5" customHeight="1">
      <c r="A36" s="81"/>
      <c r="B36" s="82"/>
      <c r="C36" s="82"/>
      <c r="D36" s="82"/>
      <c r="E36" s="82"/>
      <c r="F36" s="82"/>
      <c r="G36" s="82"/>
      <c r="H36" s="82"/>
      <c r="I36" s="82"/>
      <c r="J36" s="83"/>
      <c r="K36" s="82"/>
      <c r="L36" s="82"/>
      <c r="M36" s="82"/>
      <c r="N36" s="82"/>
      <c r="O36" s="82"/>
      <c r="P36" s="82"/>
      <c r="Q36" s="82"/>
      <c r="R36" s="82"/>
      <c r="S36" s="82"/>
      <c r="T36" s="82"/>
      <c r="U36" s="84"/>
      <c r="V36" s="102"/>
      <c r="W36" s="1093" t="s">
        <v>94</v>
      </c>
      <c r="AA36" s="147"/>
      <c r="AB36" s="147"/>
      <c r="AI36" s="52"/>
      <c r="AJ36" s="121"/>
      <c r="AK36" s="61"/>
      <c r="AL36" s="109" t="str">
        <f>IF(ReportData!$C$3="Annual","",ReportData!AQ49)</f>
        <v/>
      </c>
      <c r="AM36" s="109" t="str">
        <f>IF(ReportData!$C$3="Annual","",ReportData!AR49)</f>
        <v/>
      </c>
      <c r="AN36" s="109" t="str">
        <f>IF(ReportData!$C$3="Annual","",ReportData!AS49)</f>
        <v/>
      </c>
      <c r="AO36" s="109" t="str">
        <f>IF(ReportData!$C$3="Annual","",ReportData!AT49)</f>
        <v/>
      </c>
      <c r="AP36" s="109" t="str">
        <f>IF(ReportData!$C$3="Annual","",ReportData!AU49)</f>
        <v/>
      </c>
      <c r="AQ36" s="276" t="str">
        <f>IF(ReportData!$C$3="Annual","",ReportData!AV49)</f>
        <v/>
      </c>
      <c r="AR36" s="277" t="str">
        <f>IF(ReportData!$C$3="Annual","",ReportData!AW49)</f>
        <v/>
      </c>
      <c r="AS36" s="109" t="str">
        <f>IF(ReportData!$C$3="Annual","",ReportData!AX49)</f>
        <v/>
      </c>
      <c r="AT36" s="109" t="str">
        <f>IF(ReportData!$C$3="Annual","",ReportData!AY49)</f>
        <v/>
      </c>
      <c r="AU36" s="109" t="str">
        <f>IF(ReportData!$C$3="Annual","",ReportData!AZ49)</f>
        <v/>
      </c>
      <c r="AV36" s="223"/>
      <c r="AW36" s="526" t="str">
        <f>IF(ReportData!$C$3="Annual","",ReportData!BB49)</f>
        <v/>
      </c>
      <c r="AX36" s="109" t="str">
        <f>IF(ReportData!$C$3="Annual","",ReportData!BC49)</f>
        <v/>
      </c>
      <c r="AY36" s="109" t="str">
        <f>IF(ReportData!$C$3="Annual","",ReportData!BD49)</f>
        <v/>
      </c>
      <c r="AZ36" s="109" t="str">
        <f>IF(ReportData!$C$3="Annual","",ReportData!BE49)</f>
        <v/>
      </c>
      <c r="BA36" s="223" t="str">
        <f>IF(ReportData!$C$3="Annual","",ReportData!BF49)</f>
        <v/>
      </c>
      <c r="BB36" s="277" t="str">
        <f>IF(ReportData!$C$3="Annual","",ReportData!BG49)</f>
        <v/>
      </c>
      <c r="BC36" s="109" t="str">
        <f>IF(ReportData!$C$3="Annual","",ReportData!BH49)</f>
        <v/>
      </c>
      <c r="BD36" s="109" t="str">
        <f>IF(ReportData!$C$3="Annual","",ReportData!BI49)</f>
        <v/>
      </c>
      <c r="BE36" s="109" t="str">
        <f>IF(ReportData!$C$3="Annual","",ReportData!BJ49)</f>
        <v/>
      </c>
      <c r="BF36" s="223" t="str">
        <f>IF(ReportData!$C$3="Annual","",ReportData!BK49)</f>
        <v/>
      </c>
      <c r="BG36" s="277" t="str">
        <f>IF(ReportData!$C$3="Annual","",ReportData!BL49)</f>
        <v/>
      </c>
      <c r="BH36" s="109" t="str">
        <f>IF(ReportData!$C$3="Annual","",ReportData!BM49)</f>
        <v/>
      </c>
      <c r="BI36" s="109" t="str">
        <f>IF(ReportData!$C$3="Annual","",ReportData!BN49)</f>
        <v/>
      </c>
      <c r="BJ36" s="109" t="str">
        <f>IF(ReportData!$C$3="Annual","",ReportData!BO49)</f>
        <v/>
      </c>
      <c r="BK36" s="223" t="str">
        <f>IF(ReportData!$C$3="Annual","",ReportData!BP49)</f>
        <v/>
      </c>
      <c r="BL36" s="277" t="str">
        <f>IF(ReportData!$C$3="Annual","",ReportData!BQ49)</f>
        <v/>
      </c>
      <c r="BM36" s="109" t="str">
        <f>IF(ReportData!$C$3="Annual","",ReportData!BR49)</f>
        <v/>
      </c>
      <c r="BN36" s="109" t="str">
        <f>IF(ReportData!$C$3="Annual","",ReportData!BS49)</f>
        <v/>
      </c>
      <c r="BO36" s="109" t="str">
        <f>IF(ReportData!$C$3="Annual","",ReportData!BT49)</f>
        <v/>
      </c>
      <c r="BP36" s="223" t="str">
        <f>IF(ReportData!$C$3="Annual","",ReportData!BU49)</f>
        <v/>
      </c>
      <c r="BQ36" s="1907"/>
      <c r="BR36" s="277" t="str">
        <f>IF(ReportData!$C$3="Annual","",ReportData!BW49)</f>
        <v/>
      </c>
      <c r="BS36" s="109" t="str">
        <f>IF(ReportData!$C$3="Annual","",ReportData!BX49)</f>
        <v/>
      </c>
      <c r="BT36" s="109" t="str">
        <f>IF(ReportData!$C$3="Annual","",ReportData!BY49)</f>
        <v/>
      </c>
      <c r="BU36" s="109" t="str">
        <f>IF(ReportData!$C$3="Annual","",ReportData!BZ49)</f>
        <v/>
      </c>
      <c r="BV36" s="223" t="str">
        <f>IF(ReportData!$C$3="Annual","",ReportData!CA49)</f>
        <v/>
      </c>
    </row>
    <row r="37" spans="1:74" s="56" customFormat="1" ht="3.75" customHeight="1">
      <c r="A37" s="85"/>
      <c r="B37" s="5"/>
      <c r="C37" s="5"/>
      <c r="D37" s="5"/>
      <c r="E37" s="5"/>
      <c r="F37" s="5"/>
      <c r="G37" s="5"/>
      <c r="H37" s="5"/>
      <c r="I37" s="5"/>
      <c r="J37" s="1"/>
      <c r="K37" s="5"/>
      <c r="L37" s="5"/>
      <c r="M37" s="5"/>
      <c r="N37" s="5"/>
      <c r="O37" s="5"/>
      <c r="P37" s="5"/>
      <c r="Q37" s="5"/>
      <c r="R37" s="5"/>
      <c r="S37" s="5"/>
      <c r="T37" s="5"/>
      <c r="U37" s="86"/>
      <c r="V37" s="102"/>
      <c r="W37" s="218"/>
      <c r="AC37" s="748" t="s">
        <v>762</v>
      </c>
      <c r="AJ37" s="121"/>
      <c r="AK37" s="61"/>
      <c r="AL37" s="109" t="str">
        <f>ReportData!$D$27</f>
        <v>2019/20</v>
      </c>
      <c r="AM37" s="109" t="str">
        <f>ReportData!$E$27</f>
        <v>2020/21</v>
      </c>
      <c r="AN37" s="109" t="str">
        <f>ReportData!$F$27</f>
        <v>2021/22</v>
      </c>
      <c r="AO37" s="109" t="str">
        <f>ReportData!$G$27</f>
        <v>2022/23</v>
      </c>
      <c r="AP37" s="109" t="str">
        <f>ReportData!$H$27</f>
        <v>2023/24</v>
      </c>
      <c r="AQ37" s="276" t="str">
        <f>ReportData!$D$27</f>
        <v>2019/20</v>
      </c>
      <c r="AR37" s="277" t="str">
        <f>ReportData!$E$27</f>
        <v>2020/21</v>
      </c>
      <c r="AS37" s="109" t="str">
        <f>ReportData!$F$27</f>
        <v>2021/22</v>
      </c>
      <c r="AT37" s="109" t="str">
        <f>ReportData!$G$27</f>
        <v>2022/23</v>
      </c>
      <c r="AU37" s="109" t="str">
        <f>ReportData!$H$27</f>
        <v>2023/24</v>
      </c>
      <c r="AV37" s="223" t="e">
        <f>E10</f>
        <v>#N/A</v>
      </c>
      <c r="AW37" s="526" t="str">
        <f>ReportData!$D$27</f>
        <v>2019/20</v>
      </c>
      <c r="AX37" s="109" t="str">
        <f>ReportData!$E$27</f>
        <v>2020/21</v>
      </c>
      <c r="AY37" s="109" t="str">
        <f>ReportData!$F$27</f>
        <v>2021/22</v>
      </c>
      <c r="AZ37" s="109" t="str">
        <f>ReportData!$G$27</f>
        <v>2022/23</v>
      </c>
      <c r="BA37" s="223" t="str">
        <f>ReportData!$H$27</f>
        <v>2023/24</v>
      </c>
      <c r="BB37" s="277" t="str">
        <f>ReportData!$D$27</f>
        <v>2019/20</v>
      </c>
      <c r="BC37" s="109" t="str">
        <f>ReportData!$E$27</f>
        <v>2020/21</v>
      </c>
      <c r="BD37" s="109" t="str">
        <f>ReportData!$F$27</f>
        <v>2021/22</v>
      </c>
      <c r="BE37" s="109" t="str">
        <f>ReportData!$G$27</f>
        <v>2022/23</v>
      </c>
      <c r="BF37" s="223" t="str">
        <f>ReportData!$H$27</f>
        <v>2023/24</v>
      </c>
      <c r="BG37" s="277" t="str">
        <f>ReportData!$D$27</f>
        <v>2019/20</v>
      </c>
      <c r="BH37" s="109" t="str">
        <f>ReportData!$E$27</f>
        <v>2020/21</v>
      </c>
      <c r="BI37" s="109" t="str">
        <f>ReportData!$F$27</f>
        <v>2021/22</v>
      </c>
      <c r="BJ37" s="109" t="str">
        <f>ReportData!$G$27</f>
        <v>2022/23</v>
      </c>
      <c r="BK37" s="223" t="str">
        <f>ReportData!$H$27</f>
        <v>2023/24</v>
      </c>
      <c r="BL37" s="277" t="str">
        <f>ReportData!$D$27</f>
        <v>2019/20</v>
      </c>
      <c r="BM37" s="109" t="str">
        <f>ReportData!$E$27</f>
        <v>2020/21</v>
      </c>
      <c r="BN37" s="109" t="str">
        <f>ReportData!$F$27</f>
        <v>2021/22</v>
      </c>
      <c r="BO37" s="109" t="str">
        <f>ReportData!$G$27</f>
        <v>2022/23</v>
      </c>
      <c r="BP37" s="223" t="str">
        <f>ReportData!$H$27</f>
        <v>2023/24</v>
      </c>
      <c r="BQ37" s="1908"/>
      <c r="BR37" s="277" t="str">
        <f>ReportData!$D$27</f>
        <v>2019/20</v>
      </c>
      <c r="BS37" s="109" t="str">
        <f>ReportData!$E$27</f>
        <v>2020/21</v>
      </c>
      <c r="BT37" s="109" t="str">
        <f>ReportData!$F$27</f>
        <v>2021/22</v>
      </c>
      <c r="BU37" s="109" t="str">
        <f>ReportData!$G$27</f>
        <v>2022/23</v>
      </c>
      <c r="BV37" s="223" t="str">
        <f>ReportData!$H$27</f>
        <v>2023/24</v>
      </c>
    </row>
    <row r="38" spans="1:74" s="56" customFormat="1" ht="14.25" customHeight="1">
      <c r="A38" s="87"/>
      <c r="B38" s="5"/>
      <c r="C38" s="5"/>
      <c r="D38" s="5"/>
      <c r="E38" s="5"/>
      <c r="F38" s="5"/>
      <c r="G38" s="5"/>
      <c r="H38" s="5"/>
      <c r="I38" s="5"/>
      <c r="J38" s="1"/>
      <c r="K38" s="5"/>
      <c r="L38" s="5"/>
      <c r="M38" s="5"/>
      <c r="N38" s="5"/>
      <c r="O38" s="5"/>
      <c r="P38" s="5"/>
      <c r="Q38" s="5"/>
      <c r="R38" s="5"/>
      <c r="S38" s="5"/>
      <c r="T38" s="5"/>
      <c r="U38" s="86"/>
      <c r="V38" s="102"/>
      <c r="W38" s="218"/>
      <c r="X38" s="26" t="s">
        <v>69</v>
      </c>
      <c r="Y38" s="26" t="s">
        <v>67</v>
      </c>
      <c r="Z38" s="26" t="s">
        <v>68</v>
      </c>
      <c r="AA38" s="693">
        <v>3</v>
      </c>
      <c r="AB38" s="165">
        <f>(AA38*Y39)+Z39</f>
        <v>23.780639155797992</v>
      </c>
      <c r="AC38" s="156">
        <f>ROUND(ChartLabels!$X28,3)</f>
        <v>0.379</v>
      </c>
      <c r="AI38" s="361" t="b">
        <v>1</v>
      </c>
      <c r="AJ38" s="921" t="s">
        <v>0</v>
      </c>
      <c r="AK38" s="61" t="str">
        <f t="shared" ref="AK38:AK58" si="16">IF(AI38=TRUE,B11,"")</f>
        <v>Bracknell Forest</v>
      </c>
      <c r="AL38" s="110">
        <f t="shared" ref="AL38:AP47" si="17">VLOOKUP($AK38,$B$11:$O$31,AL$34,FALSE)</f>
        <v>44.691918821891718</v>
      </c>
      <c r="AM38" s="110">
        <f t="shared" si="17"/>
        <v>57.258824382112053</v>
      </c>
      <c r="AN38" s="110">
        <f t="shared" si="17"/>
        <v>66.491751428674121</v>
      </c>
      <c r="AO38" s="110">
        <f t="shared" si="17"/>
        <v>52.947405577126723</v>
      </c>
      <c r="AP38" s="110">
        <f t="shared" si="17"/>
        <v>39.0965895207177</v>
      </c>
      <c r="AQ38" s="111">
        <f>VLOOKUP(AK38,IDACI!$B$8:$C$29,2,FALSE)</f>
        <v>8.9</v>
      </c>
      <c r="AR38" s="278">
        <f t="shared" ref="AR38:AV47" si="18">VLOOKUP($AK38,$B$109:$H$129,AR$34,FALSE)</f>
        <v>8.1967213114754103E-3</v>
      </c>
      <c r="AS38" s="237" t="e">
        <f t="shared" si="18"/>
        <v>#N/A</v>
      </c>
      <c r="AT38" s="237" t="e">
        <f t="shared" si="18"/>
        <v>#N/A</v>
      </c>
      <c r="AU38" s="237" t="e">
        <f t="shared" si="18"/>
        <v>#N/A</v>
      </c>
      <c r="AV38" s="279">
        <f t="shared" si="18"/>
        <v>6.25E-2</v>
      </c>
      <c r="AW38" s="278" t="e">
        <f t="shared" ref="AW38:BA47" si="19">VLOOKUP($AK38,$B$142:$H$164,AW$34,FALSE)</f>
        <v>#N/A</v>
      </c>
      <c r="AX38" s="237" t="e">
        <f t="shared" si="19"/>
        <v>#N/A</v>
      </c>
      <c r="AY38" s="237" t="e">
        <f t="shared" si="19"/>
        <v>#N/A</v>
      </c>
      <c r="AZ38" s="237" t="e">
        <f t="shared" si="19"/>
        <v>#N/A</v>
      </c>
      <c r="BA38" s="237" t="e">
        <f t="shared" si="19"/>
        <v>#N/A</v>
      </c>
      <c r="BB38" s="278">
        <f t="shared" ref="BB38:BF47" si="20">VLOOKUP($AK38,$B$210:$H$230,BB$34,FALSE)</f>
        <v>0</v>
      </c>
      <c r="BC38" s="237" t="e">
        <f t="shared" si="20"/>
        <v>#N/A</v>
      </c>
      <c r="BD38" s="237" t="e">
        <f t="shared" si="20"/>
        <v>#N/A</v>
      </c>
      <c r="BE38" s="237">
        <f t="shared" si="20"/>
        <v>5.5793991416309016E-2</v>
      </c>
      <c r="BF38" s="279">
        <f t="shared" si="20"/>
        <v>5.0955414012738856E-2</v>
      </c>
      <c r="BG38" s="278">
        <f t="shared" ref="BG38:BK47" si="21">VLOOKUP($AK38,$B$243:$H$263,BG$34,FALSE)</f>
        <v>0.2391304347826087</v>
      </c>
      <c r="BH38" s="237">
        <f t="shared" si="21"/>
        <v>0.19248826291079812</v>
      </c>
      <c r="BI38" s="237">
        <f t="shared" si="21"/>
        <v>0.23430962343096234</v>
      </c>
      <c r="BJ38" s="237">
        <f t="shared" si="21"/>
        <v>0.33333333333333331</v>
      </c>
      <c r="BK38" s="279">
        <f t="shared" si="21"/>
        <v>0.23529411764705882</v>
      </c>
      <c r="BL38" s="278" t="e">
        <f t="shared" ref="BL38:BP47" si="22">VLOOKUP($AK38,$B$276:$H$295,BL$34,FALSE)</f>
        <v>#N/A</v>
      </c>
      <c r="BM38" s="237" t="e">
        <f t="shared" si="22"/>
        <v>#N/A</v>
      </c>
      <c r="BN38" s="237" t="e">
        <f t="shared" si="22"/>
        <v>#N/A</v>
      </c>
      <c r="BO38" s="237" t="e">
        <f t="shared" si="22"/>
        <v>#N/A</v>
      </c>
      <c r="BP38" s="279" t="e">
        <f t="shared" si="22"/>
        <v>#N/A</v>
      </c>
      <c r="BQ38" s="237" t="b">
        <f>IF($AK38=$Y$4,BQ$34)</f>
        <v>0</v>
      </c>
      <c r="BR38" s="278">
        <f t="shared" ref="BR38:BV47" si="23">VLOOKUP($AK38,$B$177:$H$197,BR$34,FALSE)</f>
        <v>0.98412698412698407</v>
      </c>
      <c r="BS38" s="237">
        <f t="shared" si="23"/>
        <v>1</v>
      </c>
      <c r="BT38" s="237">
        <f t="shared" si="23"/>
        <v>0.97478991596638653</v>
      </c>
      <c r="BU38" s="237">
        <f t="shared" si="23"/>
        <v>0.97959183673469385</v>
      </c>
      <c r="BV38" s="279">
        <f t="shared" si="23"/>
        <v>0.9885057471264368</v>
      </c>
    </row>
    <row r="39" spans="1:74" s="56" customFormat="1" ht="14.25" customHeight="1">
      <c r="A39" s="87"/>
      <c r="B39" s="5"/>
      <c r="C39" s="5"/>
      <c r="D39" s="5"/>
      <c r="E39" s="5"/>
      <c r="F39" s="5"/>
      <c r="G39" s="5"/>
      <c r="H39" s="5"/>
      <c r="I39" s="5"/>
      <c r="J39" s="1"/>
      <c r="K39" s="5"/>
      <c r="L39" s="5"/>
      <c r="M39" s="5"/>
      <c r="N39" s="5"/>
      <c r="O39" s="5"/>
      <c r="P39" s="5"/>
      <c r="Q39" s="5"/>
      <c r="R39" s="5"/>
      <c r="S39" s="5"/>
      <c r="T39" s="5"/>
      <c r="U39" s="86"/>
      <c r="V39" s="102"/>
      <c r="W39" s="218"/>
      <c r="X39" s="161" t="str">
        <f>"Y= "&amp;Y39&amp;"x + "&amp;Z39</f>
        <v>Y= 1.9927532283992x + 17.8023794706004</v>
      </c>
      <c r="Y39" s="433">
        <f>ChartLabels!$V28</f>
        <v>1.9927532283991962</v>
      </c>
      <c r="Z39" s="433">
        <f>ChartLabels!$W28</f>
        <v>17.802379470600403</v>
      </c>
      <c r="AA39" s="164">
        <v>22</v>
      </c>
      <c r="AB39" s="165">
        <f>(AA39*Y39)+Z39</f>
        <v>61.642950495382721</v>
      </c>
      <c r="AC39" s="747" t="str">
        <f>AC37&amp;" = "&amp;AC38</f>
        <v>r² = 0.379</v>
      </c>
      <c r="AI39" s="361" t="b">
        <v>1</v>
      </c>
      <c r="AJ39" s="921" t="s">
        <v>28</v>
      </c>
      <c r="AK39" s="61" t="str">
        <f t="shared" si="16"/>
        <v>Brighton &amp; Hove</v>
      </c>
      <c r="AL39" s="110">
        <f t="shared" si="17"/>
        <v>69.212016032395354</v>
      </c>
      <c r="AM39" s="110">
        <f t="shared" si="17"/>
        <v>56.917688266199647</v>
      </c>
      <c r="AN39" s="110">
        <f t="shared" si="17"/>
        <v>59.628647214854112</v>
      </c>
      <c r="AO39" s="110">
        <f t="shared" si="17"/>
        <v>60.458209588459908</v>
      </c>
      <c r="AP39" s="110">
        <f t="shared" si="17"/>
        <v>56.143659195131363</v>
      </c>
      <c r="AQ39" s="111">
        <f>VLOOKUP(AK39,IDACI!$B$8:$C$29,2,FALSE)</f>
        <v>15.299999999999999</v>
      </c>
      <c r="AR39" s="278">
        <f t="shared" si="18"/>
        <v>3.2835820895522387E-2</v>
      </c>
      <c r="AS39" s="237">
        <f t="shared" si="18"/>
        <v>4.3956043956043959E-2</v>
      </c>
      <c r="AT39" s="237">
        <f t="shared" si="18"/>
        <v>5.3380782918149468E-2</v>
      </c>
      <c r="AU39" s="237">
        <f t="shared" si="18"/>
        <v>3.1578947368421054E-2</v>
      </c>
      <c r="AV39" s="279" t="e">
        <f t="shared" si="18"/>
        <v>#N/A</v>
      </c>
      <c r="AW39" s="237" t="e">
        <f t="shared" si="19"/>
        <v>#N/A</v>
      </c>
      <c r="AX39" s="237" t="e">
        <f t="shared" si="19"/>
        <v>#N/A</v>
      </c>
      <c r="AY39" s="237" t="e">
        <f t="shared" si="19"/>
        <v>#N/A</v>
      </c>
      <c r="AZ39" s="237" t="e">
        <f t="shared" si="19"/>
        <v>#N/A</v>
      </c>
      <c r="BA39" s="237" t="e">
        <f t="shared" si="19"/>
        <v>#N/A</v>
      </c>
      <c r="BB39" s="278">
        <f t="shared" si="20"/>
        <v>4.3010752688172046E-2</v>
      </c>
      <c r="BC39" s="237">
        <f t="shared" si="20"/>
        <v>6.8062827225130892E-2</v>
      </c>
      <c r="BD39" s="237">
        <f t="shared" si="20"/>
        <v>5.647840531561462E-2</v>
      </c>
      <c r="BE39" s="237">
        <f t="shared" si="20"/>
        <v>7.2847682119205295E-2</v>
      </c>
      <c r="BF39" s="279">
        <f t="shared" si="20"/>
        <v>5.128205128205128E-2</v>
      </c>
      <c r="BG39" s="278">
        <f t="shared" si="21"/>
        <v>0.26785714285714285</v>
      </c>
      <c r="BH39" s="237">
        <f t="shared" si="21"/>
        <v>0.24374999999999999</v>
      </c>
      <c r="BI39" s="237">
        <f t="shared" si="21"/>
        <v>0.27044025157232704</v>
      </c>
      <c r="BJ39" s="237">
        <f t="shared" si="21"/>
        <v>0.33333333333333331</v>
      </c>
      <c r="BK39" s="279">
        <f t="shared" si="21"/>
        <v>0.24210526315789474</v>
      </c>
      <c r="BL39" s="278" t="e">
        <f t="shared" si="22"/>
        <v>#N/A</v>
      </c>
      <c r="BM39" s="237" t="e">
        <f t="shared" si="22"/>
        <v>#N/A</v>
      </c>
      <c r="BN39" s="237" t="e">
        <f t="shared" si="22"/>
        <v>#N/A</v>
      </c>
      <c r="BO39" s="237" t="e">
        <f t="shared" si="22"/>
        <v>#N/A</v>
      </c>
      <c r="BP39" s="279" t="e">
        <f t="shared" si="22"/>
        <v>#N/A</v>
      </c>
      <c r="BQ39" s="237" t="b">
        <f t="shared" ref="BQ39:BQ52" si="24">IF($AK39=$Y$4,BP39)</f>
        <v>0</v>
      </c>
      <c r="BR39" s="278">
        <f t="shared" si="23"/>
        <v>0.9719626168224299</v>
      </c>
      <c r="BS39" s="237">
        <f t="shared" si="23"/>
        <v>0.99481865284974091</v>
      </c>
      <c r="BT39" s="237">
        <f t="shared" si="23"/>
        <v>0.87709497206703912</v>
      </c>
      <c r="BU39" s="237">
        <f t="shared" si="23"/>
        <v>0.56716417910447758</v>
      </c>
      <c r="BV39" s="279">
        <f t="shared" si="23"/>
        <v>0.86979166666666663</v>
      </c>
    </row>
    <row r="40" spans="1:74" ht="14.25" customHeight="1">
      <c r="A40" s="87"/>
      <c r="B40" s="5"/>
      <c r="C40" s="5"/>
      <c r="D40" s="5"/>
      <c r="E40" s="5"/>
      <c r="F40" s="5"/>
      <c r="G40" s="5"/>
      <c r="H40" s="5"/>
      <c r="I40" s="5"/>
      <c r="J40" s="1"/>
      <c r="K40" s="5"/>
      <c r="L40" s="5"/>
      <c r="M40" s="5"/>
      <c r="N40" s="5"/>
      <c r="O40" s="5"/>
      <c r="P40" s="5"/>
      <c r="Q40" s="5"/>
      <c r="R40" s="5"/>
      <c r="S40" s="5"/>
      <c r="T40" s="5"/>
      <c r="U40" s="86"/>
      <c r="V40" s="102"/>
      <c r="W40" s="218"/>
      <c r="X40" s="26" t="str">
        <f>"National Trend "&amp;ReportData!$B$8</f>
        <v>National Trend 2024</v>
      </c>
      <c r="Y40" s="158" t="s">
        <v>67</v>
      </c>
      <c r="Z40" s="26" t="s">
        <v>68</v>
      </c>
      <c r="AA40" s="693">
        <v>3</v>
      </c>
      <c r="AB40" s="160">
        <f>((AA40*Y41)+Z41)/$X$2</f>
        <v>20.978019536028988</v>
      </c>
      <c r="AC40" s="747" t="str">
        <f>$AC$37&amp;" = "&amp;AC41</f>
        <v>r² = 0.365</v>
      </c>
      <c r="AI40" s="361" t="b">
        <v>1</v>
      </c>
      <c r="AJ40" s="921" t="s">
        <v>8</v>
      </c>
      <c r="AK40" s="61" t="str">
        <f t="shared" si="16"/>
        <v>Buckinghamshire</v>
      </c>
      <c r="AL40" s="110">
        <f t="shared" si="17"/>
        <v>47.078280946805634</v>
      </c>
      <c r="AM40" s="110">
        <f t="shared" si="17"/>
        <v>42.287440303685862</v>
      </c>
      <c r="AN40" s="110">
        <f t="shared" si="17"/>
        <v>60.885758238199337</v>
      </c>
      <c r="AO40" s="110">
        <f t="shared" si="17"/>
        <v>41.297700829924956</v>
      </c>
      <c r="AP40" s="110">
        <f t="shared" si="17"/>
        <v>33.694834503510535</v>
      </c>
      <c r="AQ40" s="111">
        <f>VLOOKUP(AK40,IDACI!$B$8:$C$29,2,FALSE)</f>
        <v>8.5</v>
      </c>
      <c r="AR40" s="278">
        <f t="shared" si="18"/>
        <v>2.9565217391304348E-2</v>
      </c>
      <c r="AS40" s="237">
        <f t="shared" si="18"/>
        <v>1.5444015444015444E-2</v>
      </c>
      <c r="AT40" s="237">
        <f t="shared" si="18"/>
        <v>2.1276595744680851E-2</v>
      </c>
      <c r="AU40" s="237">
        <f t="shared" si="18"/>
        <v>1.7307692307692309E-2</v>
      </c>
      <c r="AV40" s="279">
        <f t="shared" si="18"/>
        <v>6.5116279069767441E-2</v>
      </c>
      <c r="AW40" s="538" t="e">
        <f t="shared" si="19"/>
        <v>#N/A</v>
      </c>
      <c r="AX40" s="538" t="e">
        <f t="shared" si="19"/>
        <v>#N/A</v>
      </c>
      <c r="AY40" s="538" t="e">
        <f t="shared" si="19"/>
        <v>#N/A</v>
      </c>
      <c r="AZ40" s="538" t="e">
        <f t="shared" si="19"/>
        <v>#N/A</v>
      </c>
      <c r="BA40" s="538" t="e">
        <f t="shared" si="19"/>
        <v>#N/A</v>
      </c>
      <c r="BB40" s="278">
        <f t="shared" si="20"/>
        <v>4.0221914008321778E-2</v>
      </c>
      <c r="BC40" s="237">
        <f t="shared" si="20"/>
        <v>5.7471264367816091E-2</v>
      </c>
      <c r="BD40" s="237">
        <f t="shared" si="20"/>
        <v>2.4615384615384615E-2</v>
      </c>
      <c r="BE40" s="237">
        <f t="shared" si="20"/>
        <v>4.1931385006353239E-2</v>
      </c>
      <c r="BF40" s="279">
        <f t="shared" si="20"/>
        <v>6.1128526645768025E-2</v>
      </c>
      <c r="BG40" s="278">
        <f t="shared" si="21"/>
        <v>0.24523160762942781</v>
      </c>
      <c r="BH40" s="237">
        <f t="shared" si="21"/>
        <v>0.24332810047095763</v>
      </c>
      <c r="BI40" s="237">
        <f t="shared" si="21"/>
        <v>0.19387755102040816</v>
      </c>
      <c r="BJ40" s="237">
        <f t="shared" si="21"/>
        <v>0.25765765765765763</v>
      </c>
      <c r="BK40" s="279">
        <f t="shared" si="21"/>
        <v>0.28413284132841327</v>
      </c>
      <c r="BL40" s="278" t="e">
        <f t="shared" si="22"/>
        <v>#N/A</v>
      </c>
      <c r="BM40" s="237" t="e">
        <f t="shared" si="22"/>
        <v>#N/A</v>
      </c>
      <c r="BN40" s="237" t="e">
        <f t="shared" si="22"/>
        <v>#N/A</v>
      </c>
      <c r="BO40" s="237" t="e">
        <f t="shared" si="22"/>
        <v>#N/A</v>
      </c>
      <c r="BP40" s="279" t="e">
        <f t="shared" si="22"/>
        <v>#N/A</v>
      </c>
      <c r="BQ40" s="237" t="b">
        <f t="shared" si="24"/>
        <v>0</v>
      </c>
      <c r="BR40" s="278">
        <f t="shared" si="23"/>
        <v>0.97222222222222221</v>
      </c>
      <c r="BS40" s="237">
        <f t="shared" si="23"/>
        <v>0.98550724637681164</v>
      </c>
      <c r="BT40" s="237">
        <f t="shared" si="23"/>
        <v>0.82191780821917804</v>
      </c>
      <c r="BU40" s="237">
        <f t="shared" si="23"/>
        <v>0.80456852791878175</v>
      </c>
      <c r="BV40" s="279">
        <f t="shared" si="23"/>
        <v>0.882943143812709</v>
      </c>
    </row>
    <row r="41" spans="1:74" ht="14.25" customHeight="1">
      <c r="A41" s="87"/>
      <c r="B41" s="5"/>
      <c r="C41" s="5"/>
      <c r="D41" s="5"/>
      <c r="E41" s="5"/>
      <c r="F41" s="5"/>
      <c r="G41" s="5"/>
      <c r="H41" s="5"/>
      <c r="I41" s="5"/>
      <c r="J41" s="1"/>
      <c r="K41" s="10"/>
      <c r="L41" s="10"/>
      <c r="M41" s="10"/>
      <c r="N41" s="10"/>
      <c r="O41" s="5"/>
      <c r="P41" s="5"/>
      <c r="Q41" s="5"/>
      <c r="R41" s="5"/>
      <c r="S41" s="5"/>
      <c r="T41" s="5"/>
      <c r="U41" s="86"/>
      <c r="V41" s="102"/>
      <c r="W41" s="218"/>
      <c r="X41" s="51" t="str">
        <f>"Y= "&amp;Y41&amp;"x + "&amp;Z41</f>
        <v>Y= 1.66230347818228x + 15.9911091014821</v>
      </c>
      <c r="Y41" s="433">
        <f>ReportData!$D$11</f>
        <v>1.6623034781822805</v>
      </c>
      <c r="Z41" s="433">
        <f>ReportData!$D$12</f>
        <v>15.991109101482149</v>
      </c>
      <c r="AA41" s="164">
        <v>22</v>
      </c>
      <c r="AB41" s="165">
        <f>((AA41*Y41)+Z41)/$X$2</f>
        <v>52.561785621492319</v>
      </c>
      <c r="AC41" s="694">
        <f>ROUND(ReportData!$D$13,3)</f>
        <v>0.36499999999999999</v>
      </c>
      <c r="AI41" s="361" t="b">
        <v>1</v>
      </c>
      <c r="AJ41" s="921" t="s">
        <v>4</v>
      </c>
      <c r="AK41" s="61" t="str">
        <f t="shared" si="16"/>
        <v>East Sussex</v>
      </c>
      <c r="AL41" s="110">
        <f t="shared" si="17"/>
        <v>52.078778869229801</v>
      </c>
      <c r="AM41" s="110">
        <f t="shared" si="17"/>
        <v>51.162381979906073</v>
      </c>
      <c r="AN41" s="110">
        <f t="shared" si="17"/>
        <v>52.373993467962613</v>
      </c>
      <c r="AO41" s="110">
        <f t="shared" si="17"/>
        <v>64.478482859226844</v>
      </c>
      <c r="AP41" s="110">
        <f t="shared" si="17"/>
        <v>66.115862015713375</v>
      </c>
      <c r="AQ41" s="111">
        <f>VLOOKUP(AK41,IDACI!$B$8:$C$29,2,FALSE)</f>
        <v>16.100000000000001</v>
      </c>
      <c r="AR41" s="278">
        <f t="shared" si="18"/>
        <v>3.9179104477611942E-2</v>
      </c>
      <c r="AS41" s="237">
        <f t="shared" si="18"/>
        <v>3.8167938931297711E-2</v>
      </c>
      <c r="AT41" s="237">
        <f t="shared" si="18"/>
        <v>4.49438202247191E-2</v>
      </c>
      <c r="AU41" s="237">
        <f t="shared" si="18"/>
        <v>5.128205128205128E-2</v>
      </c>
      <c r="AV41" s="279">
        <f t="shared" si="18"/>
        <v>7.8832116788321166E-2</v>
      </c>
      <c r="AW41" s="538" t="e">
        <f t="shared" si="19"/>
        <v>#N/A</v>
      </c>
      <c r="AX41" s="538" t="e">
        <f t="shared" si="19"/>
        <v>#N/A</v>
      </c>
      <c r="AY41" s="538" t="e">
        <f t="shared" si="19"/>
        <v>#N/A</v>
      </c>
      <c r="AZ41" s="538" t="e">
        <f t="shared" si="19"/>
        <v>#N/A</v>
      </c>
      <c r="BA41" s="538" t="e">
        <f t="shared" si="19"/>
        <v>#N/A</v>
      </c>
      <c r="BB41" s="278">
        <f t="shared" si="20"/>
        <v>8.5346215780998394E-2</v>
      </c>
      <c r="BC41" s="237">
        <f t="shared" si="20"/>
        <v>8.0118694362017809E-2</v>
      </c>
      <c r="BD41" s="237">
        <f t="shared" si="20"/>
        <v>6.9204152249134954E-2</v>
      </c>
      <c r="BE41" s="237">
        <f t="shared" si="20"/>
        <v>4.060913705583756E-2</v>
      </c>
      <c r="BF41" s="279">
        <f t="shared" si="20"/>
        <v>6.9337442218798145E-2</v>
      </c>
      <c r="BG41" s="278">
        <f t="shared" si="21"/>
        <v>0.25042301184433163</v>
      </c>
      <c r="BH41" s="237">
        <f t="shared" si="21"/>
        <v>0.25948406676783003</v>
      </c>
      <c r="BI41" s="237">
        <f t="shared" si="21"/>
        <v>0.31292517006802723</v>
      </c>
      <c r="BJ41" s="237">
        <f t="shared" si="21"/>
        <v>0.26666666666666666</v>
      </c>
      <c r="BK41" s="279">
        <f t="shared" si="21"/>
        <v>0.26962962962962961</v>
      </c>
      <c r="BL41" s="278" t="e">
        <f t="shared" si="22"/>
        <v>#N/A</v>
      </c>
      <c r="BM41" s="237" t="e">
        <f t="shared" si="22"/>
        <v>#N/A</v>
      </c>
      <c r="BN41" s="237" t="e">
        <f t="shared" si="22"/>
        <v>#N/A</v>
      </c>
      <c r="BO41" s="237" t="e">
        <f t="shared" si="22"/>
        <v>#N/A</v>
      </c>
      <c r="BP41" s="279" t="e">
        <f t="shared" si="22"/>
        <v>#N/A</v>
      </c>
      <c r="BQ41" s="237" t="b">
        <f t="shared" si="24"/>
        <v>0</v>
      </c>
      <c r="BR41" s="278">
        <f t="shared" si="23"/>
        <v>0.92650918635170598</v>
      </c>
      <c r="BS41" s="237">
        <f t="shared" si="23"/>
        <v>0.91025641025641024</v>
      </c>
      <c r="BT41" s="237">
        <f t="shared" si="23"/>
        <v>0.90394088669950734</v>
      </c>
      <c r="BU41" s="237">
        <f t="shared" si="23"/>
        <v>0.91440501043841338</v>
      </c>
      <c r="BV41" s="279">
        <f t="shared" si="23"/>
        <v>0.89097744360902253</v>
      </c>
    </row>
    <row r="42" spans="1:74" ht="14.25" customHeight="1">
      <c r="A42" s="87"/>
      <c r="B42" s="76"/>
      <c r="C42" s="76"/>
      <c r="D42" s="77"/>
      <c r="E42" s="77"/>
      <c r="F42" s="77"/>
      <c r="G42" s="77"/>
      <c r="H42" s="77"/>
      <c r="I42" s="77"/>
      <c r="J42" s="1"/>
      <c r="K42" s="5"/>
      <c r="L42" s="5"/>
      <c r="M42" s="5"/>
      <c r="N42" s="5"/>
      <c r="O42" s="5"/>
      <c r="P42" s="5"/>
      <c r="Q42" s="5"/>
      <c r="R42" s="5"/>
      <c r="S42" s="5"/>
      <c r="T42" s="5"/>
      <c r="U42" s="86"/>
      <c r="V42" s="102"/>
      <c r="W42" s="218"/>
      <c r="X42" s="52"/>
      <c r="Y42" s="52"/>
      <c r="Z42" s="52"/>
      <c r="AA42" s="52"/>
      <c r="AB42" s="52"/>
      <c r="AI42" s="361" t="b">
        <v>1</v>
      </c>
      <c r="AJ42" s="921" t="s">
        <v>6</v>
      </c>
      <c r="AK42" s="61" t="str">
        <f t="shared" si="16"/>
        <v>Hampshire</v>
      </c>
      <c r="AL42" s="110">
        <f t="shared" si="17"/>
        <v>33.579150855588175</v>
      </c>
      <c r="AM42" s="110">
        <f t="shared" si="17"/>
        <v>35.781247763672013</v>
      </c>
      <c r="AN42" s="110">
        <f t="shared" si="17"/>
        <v>36.450491049339867</v>
      </c>
      <c r="AO42" s="110">
        <f t="shared" si="17"/>
        <v>36.897635517678061</v>
      </c>
      <c r="AP42" s="110" t="e">
        <f t="shared" si="17"/>
        <v>#N/A</v>
      </c>
      <c r="AQ42" s="111">
        <f>VLOOKUP(AK42,IDACI!$B$8:$C$29,2,FALSE)</f>
        <v>10.100000000000001</v>
      </c>
      <c r="AR42" s="278">
        <f t="shared" si="18"/>
        <v>1.5991471215351813E-2</v>
      </c>
      <c r="AS42" s="237">
        <f t="shared" si="18"/>
        <v>7.0000000000000001E-3</v>
      </c>
      <c r="AT42" s="237">
        <f t="shared" si="18"/>
        <v>1.5625E-2</v>
      </c>
      <c r="AU42" s="237">
        <f t="shared" si="18"/>
        <v>1.9120458891013385E-2</v>
      </c>
      <c r="AV42" s="279" t="e">
        <f t="shared" si="18"/>
        <v>#N/A</v>
      </c>
      <c r="AW42" s="538" t="e">
        <f t="shared" si="19"/>
        <v>#N/A</v>
      </c>
      <c r="AX42" s="538" t="e">
        <f t="shared" si="19"/>
        <v>#N/A</v>
      </c>
      <c r="AY42" s="538" t="e">
        <f t="shared" si="19"/>
        <v>#N/A</v>
      </c>
      <c r="AZ42" s="538" t="e">
        <f t="shared" si="19"/>
        <v>#N/A</v>
      </c>
      <c r="BA42" s="538" t="e">
        <f t="shared" si="19"/>
        <v>#N/A</v>
      </c>
      <c r="BB42" s="278">
        <f t="shared" si="20"/>
        <v>3.9307128580946038E-2</v>
      </c>
      <c r="BC42" s="237">
        <f t="shared" si="20"/>
        <v>2.9285714285714286E-2</v>
      </c>
      <c r="BD42" s="237">
        <f t="shared" si="20"/>
        <v>2.4193548387096774E-2</v>
      </c>
      <c r="BE42" s="237">
        <f t="shared" si="20"/>
        <v>3.5764375876577839E-2</v>
      </c>
      <c r="BF42" s="279" t="e">
        <f t="shared" si="20"/>
        <v>#N/A</v>
      </c>
      <c r="BG42" s="278">
        <f t="shared" si="21"/>
        <v>0.23901712583767684</v>
      </c>
      <c r="BH42" s="237">
        <f t="shared" si="21"/>
        <v>0.25410958904109587</v>
      </c>
      <c r="BI42" s="237">
        <f t="shared" si="21"/>
        <v>0.21829971181556196</v>
      </c>
      <c r="BJ42" s="237">
        <f t="shared" si="21"/>
        <v>0.2443064182194617</v>
      </c>
      <c r="BK42" s="279" t="e">
        <f t="shared" si="21"/>
        <v>#N/A</v>
      </c>
      <c r="BL42" s="278" t="e">
        <f t="shared" si="22"/>
        <v>#N/A</v>
      </c>
      <c r="BM42" s="237" t="e">
        <f t="shared" si="22"/>
        <v>#N/A</v>
      </c>
      <c r="BN42" s="237" t="e">
        <f t="shared" si="22"/>
        <v>#N/A</v>
      </c>
      <c r="BO42" s="237" t="e">
        <f t="shared" si="22"/>
        <v>#N/A</v>
      </c>
      <c r="BP42" s="279" t="e">
        <f t="shared" si="22"/>
        <v>#N/A</v>
      </c>
      <c r="BQ42" s="237" t="b">
        <f t="shared" si="24"/>
        <v>0</v>
      </c>
      <c r="BR42" s="278">
        <f t="shared" si="23"/>
        <v>0.80879864636209808</v>
      </c>
      <c r="BS42" s="237">
        <f t="shared" si="23"/>
        <v>0.88746438746438749</v>
      </c>
      <c r="BT42" s="237">
        <f t="shared" si="23"/>
        <v>0.86849710982658956</v>
      </c>
      <c r="BU42" s="237">
        <f t="shared" si="23"/>
        <v>0.81392045454545459</v>
      </c>
      <c r="BV42" s="279" t="e">
        <f t="shared" si="23"/>
        <v>#N/A</v>
      </c>
    </row>
    <row r="43" spans="1:74" ht="14.25" customHeight="1">
      <c r="A43" s="87"/>
      <c r="B43" s="77"/>
      <c r="C43" s="77"/>
      <c r="D43" s="77"/>
      <c r="E43" s="77"/>
      <c r="F43" s="77"/>
      <c r="G43" s="77"/>
      <c r="H43" s="77"/>
      <c r="I43" s="77"/>
      <c r="J43" s="1"/>
      <c r="K43" s="5"/>
      <c r="L43" s="5"/>
      <c r="M43" s="5"/>
      <c r="N43" s="5"/>
      <c r="O43" s="5"/>
      <c r="P43" s="5"/>
      <c r="Q43" s="5"/>
      <c r="R43" s="5"/>
      <c r="S43" s="5"/>
      <c r="T43" s="5"/>
      <c r="U43" s="86"/>
      <c r="V43" s="102"/>
      <c r="W43" s="218"/>
      <c r="AI43" s="361" t="b">
        <v>1</v>
      </c>
      <c r="AJ43" s="921" t="s">
        <v>1</v>
      </c>
      <c r="AK43" s="61" t="str">
        <f t="shared" si="16"/>
        <v>Isle of Wight</v>
      </c>
      <c r="AL43" s="110">
        <f t="shared" si="17"/>
        <v>51.849718118595945</v>
      </c>
      <c r="AM43" s="110">
        <f t="shared" si="17"/>
        <v>77.850326469110996</v>
      </c>
      <c r="AN43" s="110">
        <f t="shared" si="17"/>
        <v>68.11643256050094</v>
      </c>
      <c r="AO43" s="110">
        <f t="shared" si="17"/>
        <v>91.782102490014452</v>
      </c>
      <c r="AP43" s="110">
        <f t="shared" si="17"/>
        <v>78.504991893506272</v>
      </c>
      <c r="AQ43" s="111">
        <f>VLOOKUP(AK43,IDACI!$B$8:$C$29,2,FALSE)</f>
        <v>18</v>
      </c>
      <c r="AR43" s="278">
        <f t="shared" si="18"/>
        <v>1.5873015873015872E-2</v>
      </c>
      <c r="AS43" s="237" t="e">
        <f t="shared" si="18"/>
        <v>#N/A</v>
      </c>
      <c r="AT43" s="237">
        <f t="shared" si="18"/>
        <v>0</v>
      </c>
      <c r="AU43" s="237" t="e">
        <f t="shared" si="18"/>
        <v>#N/A</v>
      </c>
      <c r="AV43" s="279">
        <f t="shared" si="18"/>
        <v>0</v>
      </c>
      <c r="AW43" s="538" t="e">
        <f t="shared" si="19"/>
        <v>#N/A</v>
      </c>
      <c r="AX43" s="538" t="e">
        <f t="shared" si="19"/>
        <v>#N/A</v>
      </c>
      <c r="AY43" s="538" t="e">
        <f t="shared" si="19"/>
        <v>#N/A</v>
      </c>
      <c r="AZ43" s="538" t="e">
        <f t="shared" si="19"/>
        <v>#N/A</v>
      </c>
      <c r="BA43" s="538" t="e">
        <f t="shared" si="19"/>
        <v>#N/A</v>
      </c>
      <c r="BB43" s="278">
        <f t="shared" si="20"/>
        <v>6.5217391304347824E-2</v>
      </c>
      <c r="BC43" s="237">
        <f t="shared" si="20"/>
        <v>3.8216560509554139E-2</v>
      </c>
      <c r="BD43" s="237">
        <f t="shared" si="20"/>
        <v>3.8314176245210725E-2</v>
      </c>
      <c r="BE43" s="237">
        <f t="shared" si="20"/>
        <v>2.8571428571428571E-2</v>
      </c>
      <c r="BF43" s="279">
        <f t="shared" si="20"/>
        <v>4.9056603773584909E-2</v>
      </c>
      <c r="BG43" s="278">
        <f t="shared" si="21"/>
        <v>0.17687074829931973</v>
      </c>
      <c r="BH43" s="237">
        <f t="shared" si="21"/>
        <v>0.22018348623853212</v>
      </c>
      <c r="BI43" s="237">
        <f t="shared" si="21"/>
        <v>0.25847457627118642</v>
      </c>
      <c r="BJ43" s="237">
        <f t="shared" si="21"/>
        <v>0.28000000000000003</v>
      </c>
      <c r="BK43" s="279">
        <f t="shared" si="21"/>
        <v>0.19313304721030042</v>
      </c>
      <c r="BL43" s="278" t="e">
        <f t="shared" si="22"/>
        <v>#N/A</v>
      </c>
      <c r="BM43" s="237" t="e">
        <f t="shared" si="22"/>
        <v>#N/A</v>
      </c>
      <c r="BN43" s="237" t="e">
        <f t="shared" si="22"/>
        <v>#N/A</v>
      </c>
      <c r="BO43" s="237" t="e">
        <f t="shared" si="22"/>
        <v>#N/A</v>
      </c>
      <c r="BP43" s="279" t="e">
        <f t="shared" si="22"/>
        <v>#N/A</v>
      </c>
      <c r="BQ43" s="237" t="b">
        <f t="shared" si="24"/>
        <v>0</v>
      </c>
      <c r="BR43" s="278">
        <f t="shared" si="23"/>
        <v>0.92682926829268297</v>
      </c>
      <c r="BS43" s="237">
        <f t="shared" si="23"/>
        <v>0.9826086956521739</v>
      </c>
      <c r="BT43" s="237">
        <f t="shared" si="23"/>
        <v>0.86813186813186816</v>
      </c>
      <c r="BU43" s="237">
        <f t="shared" si="23"/>
        <v>0.93129770992366412</v>
      </c>
      <c r="BV43" s="279">
        <f t="shared" si="23"/>
        <v>0.84210526315789469</v>
      </c>
    </row>
    <row r="44" spans="1:74" ht="14.25" customHeight="1">
      <c r="A44" s="87"/>
      <c r="B44" s="77"/>
      <c r="C44" s="77"/>
      <c r="D44" s="77"/>
      <c r="E44" s="77"/>
      <c r="F44" s="77"/>
      <c r="G44" s="77"/>
      <c r="H44" s="77"/>
      <c r="I44" s="77"/>
      <c r="J44" s="1"/>
      <c r="K44" s="5"/>
      <c r="L44" s="5"/>
      <c r="M44" s="5"/>
      <c r="N44" s="5"/>
      <c r="O44" s="5"/>
      <c r="P44" s="5"/>
      <c r="Q44" s="5"/>
      <c r="R44" s="5"/>
      <c r="S44" s="5"/>
      <c r="T44" s="5"/>
      <c r="U44" s="86"/>
      <c r="V44" s="102"/>
      <c r="W44" s="218"/>
      <c r="AC44" s="157"/>
      <c r="AI44" s="361" t="b">
        <v>1</v>
      </c>
      <c r="AJ44" s="921" t="s">
        <v>9</v>
      </c>
      <c r="AK44" s="61" t="str">
        <f t="shared" si="16"/>
        <v>Kent</v>
      </c>
      <c r="AL44" s="110">
        <f t="shared" si="17"/>
        <v>39.958841193605387</v>
      </c>
      <c r="AM44" s="110">
        <f t="shared" si="17"/>
        <v>35.523766236872952</v>
      </c>
      <c r="AN44" s="110">
        <f t="shared" si="17"/>
        <v>37.370831114192292</v>
      </c>
      <c r="AO44" s="110">
        <f t="shared" si="17"/>
        <v>38.879069468992995</v>
      </c>
      <c r="AP44" s="110">
        <f t="shared" si="17"/>
        <v>34.765683313620336</v>
      </c>
      <c r="AQ44" s="111">
        <f>VLOOKUP(AK44,IDACI!$B$8:$C$29,2,FALSE)</f>
        <v>15.8</v>
      </c>
      <c r="AR44" s="278">
        <f t="shared" si="18"/>
        <v>2.6276276276276277E-2</v>
      </c>
      <c r="AS44" s="237">
        <f t="shared" si="18"/>
        <v>2.5252525252525252E-2</v>
      </c>
      <c r="AT44" s="237">
        <f t="shared" si="18"/>
        <v>2.3885350318471339E-2</v>
      </c>
      <c r="AU44" s="237">
        <f t="shared" si="18"/>
        <v>2.8507126781695424E-2</v>
      </c>
      <c r="AV44" s="279">
        <f t="shared" si="18"/>
        <v>1.8992568125516102E-2</v>
      </c>
      <c r="AW44" s="538" t="e">
        <f t="shared" si="19"/>
        <v>#N/A</v>
      </c>
      <c r="AX44" s="538" t="e">
        <f t="shared" si="19"/>
        <v>#N/A</v>
      </c>
      <c r="AY44" s="538" t="e">
        <f t="shared" si="19"/>
        <v>#N/A</v>
      </c>
      <c r="AZ44" s="538" t="e">
        <f t="shared" si="19"/>
        <v>#N/A</v>
      </c>
      <c r="BA44" s="538" t="e">
        <f t="shared" si="19"/>
        <v>#N/A</v>
      </c>
      <c r="BB44" s="278">
        <f t="shared" si="20"/>
        <v>5.7200538358008077E-2</v>
      </c>
      <c r="BC44" s="237">
        <f t="shared" si="20"/>
        <v>5.9515570934256058E-2</v>
      </c>
      <c r="BD44" s="237">
        <f t="shared" si="20"/>
        <v>4.4075144508670519E-2</v>
      </c>
      <c r="BE44" s="237">
        <f t="shared" si="20"/>
        <v>4.6558704453441298E-2</v>
      </c>
      <c r="BF44" s="279">
        <f t="shared" si="20"/>
        <v>4.9626104690686609E-2</v>
      </c>
      <c r="BG44" s="278">
        <f t="shared" si="21"/>
        <v>0.22631578947368422</v>
      </c>
      <c r="BH44" s="237">
        <f t="shared" si="21"/>
        <v>0.22375478927203066</v>
      </c>
      <c r="BI44" s="237">
        <f t="shared" si="21"/>
        <v>0.19750519750519752</v>
      </c>
      <c r="BJ44" s="237">
        <f t="shared" si="21"/>
        <v>0.23220012828736369</v>
      </c>
      <c r="BK44" s="279">
        <f t="shared" si="21"/>
        <v>0.19792438843587842</v>
      </c>
      <c r="BL44" s="278" t="e">
        <f t="shared" si="22"/>
        <v>#N/A</v>
      </c>
      <c r="BM44" s="237" t="e">
        <f t="shared" si="22"/>
        <v>#N/A</v>
      </c>
      <c r="BN44" s="237" t="e">
        <f t="shared" si="22"/>
        <v>#N/A</v>
      </c>
      <c r="BO44" s="237" t="e">
        <f t="shared" si="22"/>
        <v>#N/A</v>
      </c>
      <c r="BP44" s="279" t="e">
        <f t="shared" si="22"/>
        <v>#N/A</v>
      </c>
      <c r="BQ44" s="237" t="b">
        <f t="shared" si="24"/>
        <v>0</v>
      </c>
      <c r="BR44" s="278">
        <f t="shared" si="23"/>
        <v>1</v>
      </c>
      <c r="BS44" s="237">
        <f t="shared" si="23"/>
        <v>0.99759903961584628</v>
      </c>
      <c r="BT44" s="237">
        <f t="shared" si="23"/>
        <v>0.99658314350797261</v>
      </c>
      <c r="BU44" s="237">
        <f t="shared" si="23"/>
        <v>0.97846153846153849</v>
      </c>
      <c r="BV44" s="279">
        <f t="shared" si="23"/>
        <v>0.99765807962529274</v>
      </c>
    </row>
    <row r="45" spans="1:74" ht="14.25" customHeight="1">
      <c r="A45" s="87"/>
      <c r="B45" s="40"/>
      <c r="C45" s="40"/>
      <c r="D45" s="40"/>
      <c r="E45" s="40"/>
      <c r="F45" s="40"/>
      <c r="G45" s="40"/>
      <c r="H45" s="40"/>
      <c r="I45" s="40"/>
      <c r="J45" s="1"/>
      <c r="K45" s="5"/>
      <c r="L45" s="5"/>
      <c r="M45" s="5"/>
      <c r="N45" s="5"/>
      <c r="O45" s="5"/>
      <c r="P45" s="5"/>
      <c r="Q45" s="5"/>
      <c r="R45" s="5"/>
      <c r="S45" s="5"/>
      <c r="T45" s="5"/>
      <c r="U45" s="86"/>
      <c r="V45" s="102"/>
      <c r="W45" s="218"/>
      <c r="AC45" s="52"/>
      <c r="AI45" s="361" t="b">
        <v>1</v>
      </c>
      <c r="AJ45" s="921" t="s">
        <v>2</v>
      </c>
      <c r="AK45" s="61" t="str">
        <f t="shared" si="16"/>
        <v>Medway</v>
      </c>
      <c r="AL45" s="110">
        <f t="shared" si="17"/>
        <v>72.716421661012689</v>
      </c>
      <c r="AM45" s="110">
        <f t="shared" si="17"/>
        <v>21.037758065782242</v>
      </c>
      <c r="AN45" s="110">
        <f t="shared" si="17"/>
        <v>34.316874813921054</v>
      </c>
      <c r="AO45" s="110">
        <f t="shared" si="17"/>
        <v>44.33838811484874</v>
      </c>
      <c r="AP45" s="110">
        <f t="shared" si="17"/>
        <v>42.137148169808214</v>
      </c>
      <c r="AQ45" s="111">
        <f>VLOOKUP(AK45,IDACI!$B$8:$C$29,2,FALSE)</f>
        <v>18.899999999999999</v>
      </c>
      <c r="AR45" s="278">
        <f t="shared" si="18"/>
        <v>1.9438444924406047E-2</v>
      </c>
      <c r="AS45" s="237" t="e">
        <f t="shared" si="18"/>
        <v>#N/A</v>
      </c>
      <c r="AT45" s="237" t="e">
        <f t="shared" si="18"/>
        <v>#N/A</v>
      </c>
      <c r="AU45" s="237" t="e">
        <f t="shared" si="18"/>
        <v>#N/A</v>
      </c>
      <c r="AV45" s="279" t="e">
        <f t="shared" si="18"/>
        <v>#N/A</v>
      </c>
      <c r="AW45" s="538" t="e">
        <f t="shared" si="19"/>
        <v>#N/A</v>
      </c>
      <c r="AX45" s="538" t="e">
        <f t="shared" si="19"/>
        <v>#N/A</v>
      </c>
      <c r="AY45" s="538" t="e">
        <f t="shared" si="19"/>
        <v>#N/A</v>
      </c>
      <c r="AZ45" s="538" t="e">
        <f t="shared" si="19"/>
        <v>#N/A</v>
      </c>
      <c r="BA45" s="538" t="e">
        <f t="shared" si="19"/>
        <v>#N/A</v>
      </c>
      <c r="BB45" s="278">
        <f t="shared" si="20"/>
        <v>4.6315789473684213E-2</v>
      </c>
      <c r="BC45" s="237">
        <f t="shared" si="20"/>
        <v>4.2124542124542128E-2</v>
      </c>
      <c r="BD45" s="237" t="e">
        <f t="shared" si="20"/>
        <v>#N/A</v>
      </c>
      <c r="BE45" s="237">
        <f t="shared" si="20"/>
        <v>3.3742331288343558E-2</v>
      </c>
      <c r="BF45" s="279">
        <f t="shared" si="20"/>
        <v>1.5306122448979591E-2</v>
      </c>
      <c r="BG45" s="278">
        <f t="shared" si="21"/>
        <v>0.21783876500857632</v>
      </c>
      <c r="BH45" s="237">
        <f t="shared" si="21"/>
        <v>0.16129032258064516</v>
      </c>
      <c r="BI45" s="237">
        <f t="shared" si="21"/>
        <v>0.2786259541984733</v>
      </c>
      <c r="BJ45" s="237">
        <f t="shared" si="21"/>
        <v>0.20759493670886076</v>
      </c>
      <c r="BK45" s="279">
        <f t="shared" si="21"/>
        <v>0.26493506493506491</v>
      </c>
      <c r="BL45" s="278" t="e">
        <f t="shared" si="22"/>
        <v>#N/A</v>
      </c>
      <c r="BM45" s="237" t="e">
        <f t="shared" si="22"/>
        <v>#N/A</v>
      </c>
      <c r="BN45" s="237" t="e">
        <f t="shared" si="22"/>
        <v>#N/A</v>
      </c>
      <c r="BO45" s="237" t="e">
        <f t="shared" si="22"/>
        <v>#N/A</v>
      </c>
      <c r="BP45" s="279" t="e">
        <f t="shared" si="22"/>
        <v>#N/A</v>
      </c>
      <c r="BQ45" s="237" t="b">
        <f t="shared" si="24"/>
        <v>0</v>
      </c>
      <c r="BR45" s="278">
        <f t="shared" si="23"/>
        <v>1</v>
      </c>
      <c r="BS45" s="237">
        <f t="shared" si="23"/>
        <v>0.94174757281553401</v>
      </c>
      <c r="BT45" s="237">
        <f t="shared" si="23"/>
        <v>1</v>
      </c>
      <c r="BU45" s="237">
        <f t="shared" si="23"/>
        <v>0.96648044692737434</v>
      </c>
      <c r="BV45" s="279">
        <f t="shared" si="23"/>
        <v>0.96721311475409832</v>
      </c>
    </row>
    <row r="46" spans="1:74" ht="14.25" customHeight="1">
      <c r="A46" s="87"/>
      <c r="B46" s="40"/>
      <c r="C46" s="40"/>
      <c r="D46" s="49"/>
      <c r="E46" s="50"/>
      <c r="F46" s="49"/>
      <c r="G46" s="50"/>
      <c r="H46" s="50"/>
      <c r="I46" s="50"/>
      <c r="J46" s="1"/>
      <c r="K46" s="5"/>
      <c r="L46" s="5"/>
      <c r="M46" s="5"/>
      <c r="N46" s="5"/>
      <c r="O46" s="5"/>
      <c r="P46" s="5"/>
      <c r="Q46" s="5"/>
      <c r="R46" s="5"/>
      <c r="S46" s="5"/>
      <c r="T46" s="5"/>
      <c r="U46" s="86"/>
      <c r="V46" s="102"/>
      <c r="W46" s="218"/>
      <c r="AI46" s="361" t="b">
        <v>1</v>
      </c>
      <c r="AJ46" s="921" t="s">
        <v>10</v>
      </c>
      <c r="AK46" s="61" t="str">
        <f t="shared" si="16"/>
        <v>Milton Keynes</v>
      </c>
      <c r="AL46" s="110">
        <f t="shared" si="17"/>
        <v>19.120181931428075</v>
      </c>
      <c r="AM46" s="110">
        <f t="shared" si="17"/>
        <v>26.405021282735735</v>
      </c>
      <c r="AN46" s="110">
        <f t="shared" si="17"/>
        <v>27.428735549651755</v>
      </c>
      <c r="AO46" s="110">
        <f t="shared" si="17"/>
        <v>23.960197883046042</v>
      </c>
      <c r="AP46" s="110">
        <f t="shared" si="17"/>
        <v>26.512081541821779</v>
      </c>
      <c r="AQ46" s="111">
        <f>VLOOKUP(AK46,IDACI!$B$8:$C$29,2,FALSE)</f>
        <v>15</v>
      </c>
      <c r="AR46" s="278" t="e">
        <f t="shared" si="18"/>
        <v>#N/A</v>
      </c>
      <c r="AS46" s="237">
        <f t="shared" si="18"/>
        <v>0</v>
      </c>
      <c r="AT46" s="237" t="e">
        <f t="shared" si="18"/>
        <v>#N/A</v>
      </c>
      <c r="AU46" s="237" t="e">
        <f t="shared" si="18"/>
        <v>#N/A</v>
      </c>
      <c r="AV46" s="279" t="e">
        <f t="shared" si="18"/>
        <v>#N/A</v>
      </c>
      <c r="AW46" s="538" t="e">
        <f t="shared" si="19"/>
        <v>#N/A</v>
      </c>
      <c r="AX46" s="538" t="e">
        <f t="shared" si="19"/>
        <v>#N/A</v>
      </c>
      <c r="AY46" s="538" t="e">
        <f t="shared" si="19"/>
        <v>#N/A</v>
      </c>
      <c r="AZ46" s="538" t="e">
        <f t="shared" si="19"/>
        <v>#N/A</v>
      </c>
      <c r="BA46" s="538" t="e">
        <f t="shared" si="19"/>
        <v>#N/A</v>
      </c>
      <c r="BB46" s="278" t="e">
        <f t="shared" si="20"/>
        <v>#N/A</v>
      </c>
      <c r="BC46" s="237" t="e">
        <f t="shared" si="20"/>
        <v>#N/A</v>
      </c>
      <c r="BD46" s="237" t="e">
        <f t="shared" si="20"/>
        <v>#N/A</v>
      </c>
      <c r="BE46" s="237">
        <f t="shared" si="20"/>
        <v>3.5143769968051117E-2</v>
      </c>
      <c r="BF46" s="279" t="e">
        <f t="shared" si="20"/>
        <v>#N/A</v>
      </c>
      <c r="BG46" s="278">
        <f t="shared" si="21"/>
        <v>0.11160714285714286</v>
      </c>
      <c r="BH46" s="237">
        <f t="shared" si="21"/>
        <v>0.13580246913580246</v>
      </c>
      <c r="BI46" s="237">
        <f t="shared" si="21"/>
        <v>0.12927756653992395</v>
      </c>
      <c r="BJ46" s="237">
        <f t="shared" si="21"/>
        <v>0.16494845360824742</v>
      </c>
      <c r="BK46" s="279">
        <f t="shared" si="21"/>
        <v>0.23076923076923078</v>
      </c>
      <c r="BL46" s="278" t="e">
        <f t="shared" si="22"/>
        <v>#N/A</v>
      </c>
      <c r="BM46" s="237" t="e">
        <f t="shared" si="22"/>
        <v>#N/A</v>
      </c>
      <c r="BN46" s="237" t="e">
        <f t="shared" si="22"/>
        <v>#N/A</v>
      </c>
      <c r="BO46" s="237" t="e">
        <f t="shared" si="22"/>
        <v>#N/A</v>
      </c>
      <c r="BP46" s="279" t="e">
        <f t="shared" si="22"/>
        <v>#N/A</v>
      </c>
      <c r="BQ46" s="237" t="b">
        <f t="shared" si="24"/>
        <v>0</v>
      </c>
      <c r="BR46" s="278">
        <f t="shared" si="23"/>
        <v>0.93548387096774188</v>
      </c>
      <c r="BS46" s="237">
        <f t="shared" si="23"/>
        <v>0.91851851851851851</v>
      </c>
      <c r="BT46" s="237">
        <f t="shared" si="23"/>
        <v>0.66956521739130437</v>
      </c>
      <c r="BU46" s="237">
        <f t="shared" si="23"/>
        <v>0.92592592592592593</v>
      </c>
      <c r="BV46" s="279">
        <f t="shared" si="23"/>
        <v>0.87826086956521743</v>
      </c>
    </row>
    <row r="47" spans="1:74" ht="14.25" customHeight="1">
      <c r="A47" s="87"/>
      <c r="B47" s="40"/>
      <c r="C47" s="40"/>
      <c r="D47" s="43"/>
      <c r="E47" s="43"/>
      <c r="F47" s="43"/>
      <c r="G47" s="43"/>
      <c r="H47" s="43"/>
      <c r="I47" s="43"/>
      <c r="J47" s="1"/>
      <c r="K47" s="5"/>
      <c r="L47" s="5"/>
      <c r="M47" s="5"/>
      <c r="N47" s="5"/>
      <c r="O47" s="5"/>
      <c r="P47" s="5"/>
      <c r="Q47" s="5"/>
      <c r="R47" s="5"/>
      <c r="S47" s="5"/>
      <c r="T47" s="5"/>
      <c r="U47" s="86"/>
      <c r="V47" s="102"/>
      <c r="W47" s="218"/>
      <c r="AI47" s="361" t="b">
        <v>1</v>
      </c>
      <c r="AJ47" s="921" t="s">
        <v>11</v>
      </c>
      <c r="AK47" s="61" t="str">
        <f t="shared" si="16"/>
        <v>Oxfordshire</v>
      </c>
      <c r="AL47" s="110">
        <f t="shared" si="17"/>
        <v>37.596327607336477</v>
      </c>
      <c r="AM47" s="110">
        <f t="shared" si="17"/>
        <v>31.056542188005704</v>
      </c>
      <c r="AN47" s="110">
        <f t="shared" si="17"/>
        <v>38.197932255044655</v>
      </c>
      <c r="AO47" s="110">
        <f t="shared" si="17"/>
        <v>37.448675253112924</v>
      </c>
      <c r="AP47" s="110">
        <f t="shared" si="17"/>
        <v>34.884102160584902</v>
      </c>
      <c r="AQ47" s="111">
        <f>VLOOKUP(AK47,IDACI!$B$8:$C$29,2,FALSE)</f>
        <v>10.100000000000001</v>
      </c>
      <c r="AR47" s="278">
        <f t="shared" si="18"/>
        <v>3.4990791896869246E-2</v>
      </c>
      <c r="AS47" s="237">
        <f t="shared" si="18"/>
        <v>2.2172949002217297E-2</v>
      </c>
      <c r="AT47" s="237">
        <f t="shared" si="18"/>
        <v>2.6833631484794274E-2</v>
      </c>
      <c r="AU47" s="237" t="e">
        <f t="shared" si="18"/>
        <v>#N/A</v>
      </c>
      <c r="AV47" s="279">
        <f t="shared" si="18"/>
        <v>2.4436090225563908E-2</v>
      </c>
      <c r="AW47" s="538" t="e">
        <f t="shared" si="19"/>
        <v>#N/A</v>
      </c>
      <c r="AX47" s="538" t="e">
        <f t="shared" si="19"/>
        <v>#N/A</v>
      </c>
      <c r="AY47" s="538" t="e">
        <f t="shared" si="19"/>
        <v>#N/A</v>
      </c>
      <c r="AZ47" s="538" t="e">
        <f t="shared" si="19"/>
        <v>#N/A</v>
      </c>
      <c r="BA47" s="538" t="e">
        <f t="shared" si="19"/>
        <v>#N/A</v>
      </c>
      <c r="BB47" s="278">
        <f t="shared" si="20"/>
        <v>6.6914498141263934E-2</v>
      </c>
      <c r="BC47" s="237">
        <f t="shared" si="20"/>
        <v>3.1847133757961783E-2</v>
      </c>
      <c r="BD47" s="237">
        <f t="shared" si="20"/>
        <v>2.0061728395061727E-2</v>
      </c>
      <c r="BE47" s="237">
        <f t="shared" si="20"/>
        <v>4.4654939106901215E-2</v>
      </c>
      <c r="BF47" s="279">
        <f t="shared" si="20"/>
        <v>1.4802631578947368E-2</v>
      </c>
      <c r="BG47" s="278">
        <f t="shared" si="21"/>
        <v>0.24765729585006693</v>
      </c>
      <c r="BH47" s="237">
        <f t="shared" si="21"/>
        <v>0.2132564841498559</v>
      </c>
      <c r="BI47" s="237">
        <f t="shared" si="21"/>
        <v>0.30263157894736842</v>
      </c>
      <c r="BJ47" s="237">
        <f t="shared" si="21"/>
        <v>0.26630434782608697</v>
      </c>
      <c r="BK47" s="279">
        <f t="shared" si="21"/>
        <v>0.27586206896551724</v>
      </c>
      <c r="BL47" s="278" t="e">
        <f t="shared" si="22"/>
        <v>#N/A</v>
      </c>
      <c r="BM47" s="237" t="e">
        <f t="shared" si="22"/>
        <v>#N/A</v>
      </c>
      <c r="BN47" s="237" t="e">
        <f t="shared" si="22"/>
        <v>#N/A</v>
      </c>
      <c r="BO47" s="237" t="e">
        <f t="shared" si="22"/>
        <v>#N/A</v>
      </c>
      <c r="BP47" s="279" t="e">
        <f t="shared" si="22"/>
        <v>#N/A</v>
      </c>
      <c r="BQ47" s="237" t="b">
        <f t="shared" si="24"/>
        <v>0</v>
      </c>
      <c r="BR47" s="278">
        <f t="shared" si="23"/>
        <v>0.75409836065573765</v>
      </c>
      <c r="BS47" s="237">
        <f t="shared" si="23"/>
        <v>0.89687499999999998</v>
      </c>
      <c r="BT47" s="237">
        <f t="shared" si="23"/>
        <v>0.85989010989010994</v>
      </c>
      <c r="BU47" s="237">
        <f t="shared" si="23"/>
        <v>0.91685912240184753</v>
      </c>
      <c r="BV47" s="279">
        <f t="shared" si="23"/>
        <v>0.97126436781609193</v>
      </c>
    </row>
    <row r="48" spans="1:74" ht="14.25" customHeight="1">
      <c r="A48" s="87"/>
      <c r="B48" s="48"/>
      <c r="C48" s="48"/>
      <c r="D48" s="40"/>
      <c r="E48" s="40"/>
      <c r="F48" s="40"/>
      <c r="G48" s="40"/>
      <c r="H48" s="40"/>
      <c r="I48" s="40"/>
      <c r="J48" s="1"/>
      <c r="K48" s="5"/>
      <c r="L48" s="5"/>
      <c r="M48" s="5"/>
      <c r="N48" s="5"/>
      <c r="O48" s="5"/>
      <c r="P48" s="5"/>
      <c r="Q48" s="5"/>
      <c r="R48" s="5"/>
      <c r="S48" s="5"/>
      <c r="T48" s="5"/>
      <c r="U48" s="86"/>
      <c r="V48" s="102"/>
      <c r="W48" s="218"/>
      <c r="AI48" s="361" t="b">
        <v>1</v>
      </c>
      <c r="AJ48" s="921" t="s">
        <v>12</v>
      </c>
      <c r="AK48" s="61" t="str">
        <f t="shared" si="16"/>
        <v>Portsmouth</v>
      </c>
      <c r="AL48" s="110">
        <f t="shared" ref="AL48:AP58" si="25">VLOOKUP($AK48,$B$11:$O$31,AL$34,FALSE)</f>
        <v>48.295386957866441</v>
      </c>
      <c r="AM48" s="110">
        <f t="shared" si="25"/>
        <v>60.910068075958442</v>
      </c>
      <c r="AN48" s="110">
        <f t="shared" si="25"/>
        <v>54.286196829686105</v>
      </c>
      <c r="AO48" s="110">
        <f t="shared" si="25"/>
        <v>42.033865921520857</v>
      </c>
      <c r="AP48" s="110">
        <f t="shared" si="25"/>
        <v>53.655423452383772</v>
      </c>
      <c r="AQ48" s="111">
        <f>VLOOKUP(AK48,IDACI!$B$8:$C$29,2,FALSE)</f>
        <v>20.200000000000003</v>
      </c>
      <c r="AR48" s="278">
        <f t="shared" ref="AR48:AV58" si="26">VLOOKUP($AK48,$B$109:$H$129,AR$34,FALSE)</f>
        <v>3.4482758620689655E-2</v>
      </c>
      <c r="AS48" s="237" t="e">
        <f t="shared" si="26"/>
        <v>#N/A</v>
      </c>
      <c r="AT48" s="237">
        <f t="shared" si="26"/>
        <v>2.6666666666666668E-2</v>
      </c>
      <c r="AU48" s="237">
        <f t="shared" si="26"/>
        <v>5.113636363636364E-2</v>
      </c>
      <c r="AV48" s="279" t="e">
        <f t="shared" si="26"/>
        <v>#N/A</v>
      </c>
      <c r="AW48" s="538" t="e">
        <f t="shared" ref="AW48:BA58" si="27">VLOOKUP($AK48,$B$142:$H$164,AW$34,FALSE)</f>
        <v>#N/A</v>
      </c>
      <c r="AX48" s="538" t="e">
        <f t="shared" si="27"/>
        <v>#N/A</v>
      </c>
      <c r="AY48" s="538" t="e">
        <f t="shared" si="27"/>
        <v>#N/A</v>
      </c>
      <c r="AZ48" s="538" t="e">
        <f t="shared" si="27"/>
        <v>#N/A</v>
      </c>
      <c r="BA48" s="538" t="e">
        <f t="shared" si="27"/>
        <v>#N/A</v>
      </c>
      <c r="BB48" s="278">
        <f t="shared" ref="BB48:BF58" si="28">VLOOKUP($AK48,$B$210:$H$230,BB$34,FALSE)</f>
        <v>2.4054982817869417E-2</v>
      </c>
      <c r="BC48" s="237">
        <f t="shared" si="28"/>
        <v>3.9840637450199202E-2</v>
      </c>
      <c r="BD48" s="237">
        <f t="shared" si="28"/>
        <v>5.4545454545454543E-2</v>
      </c>
      <c r="BE48" s="237">
        <f t="shared" si="28"/>
        <v>7.5409836065573776E-2</v>
      </c>
      <c r="BF48" s="279">
        <f t="shared" si="28"/>
        <v>3.0769230769230771E-2</v>
      </c>
      <c r="BG48" s="278">
        <f t="shared" ref="BG48:BK58" si="29">VLOOKUP($AK48,$B$243:$H$263,BG$34,FALSE)</f>
        <v>0.19732441471571907</v>
      </c>
      <c r="BH48" s="237">
        <f t="shared" si="29"/>
        <v>0.22112211221122113</v>
      </c>
      <c r="BI48" s="237">
        <f t="shared" si="29"/>
        <v>0.22821576763485477</v>
      </c>
      <c r="BJ48" s="237">
        <f t="shared" si="29"/>
        <v>0.21705426356589147</v>
      </c>
      <c r="BK48" s="279">
        <f t="shared" si="29"/>
        <v>0.29836065573770493</v>
      </c>
      <c r="BL48" s="278" t="e">
        <f t="shared" ref="BL48:BP58" si="30">VLOOKUP($AK48,$B$276:$H$295,BL$34,FALSE)</f>
        <v>#N/A</v>
      </c>
      <c r="BM48" s="237" t="e">
        <f t="shared" si="30"/>
        <v>#N/A</v>
      </c>
      <c r="BN48" s="237" t="e">
        <f t="shared" si="30"/>
        <v>#N/A</v>
      </c>
      <c r="BO48" s="237" t="e">
        <f t="shared" si="30"/>
        <v>#N/A</v>
      </c>
      <c r="BP48" s="279" t="e">
        <f t="shared" si="30"/>
        <v>#N/A</v>
      </c>
      <c r="BQ48" s="237" t="b">
        <f t="shared" si="24"/>
        <v>0</v>
      </c>
      <c r="BR48" s="278">
        <f t="shared" ref="BR48:BV58" si="31">VLOOKUP($AK48,$B$177:$H$197,BR$34,FALSE)</f>
        <v>1</v>
      </c>
      <c r="BS48" s="237">
        <f t="shared" si="31"/>
        <v>1</v>
      </c>
      <c r="BT48" s="237">
        <f t="shared" si="31"/>
        <v>0.99444444444444446</v>
      </c>
      <c r="BU48" s="237">
        <f t="shared" si="31"/>
        <v>0.96460176991150437</v>
      </c>
      <c r="BV48" s="279">
        <f t="shared" si="31"/>
        <v>1</v>
      </c>
    </row>
    <row r="49" spans="1:76" ht="14.25" customHeight="1">
      <c r="A49" s="87"/>
      <c r="B49" s="48"/>
      <c r="C49" s="48"/>
      <c r="D49" s="40"/>
      <c r="E49" s="40"/>
      <c r="F49" s="40"/>
      <c r="G49" s="40"/>
      <c r="H49" s="40"/>
      <c r="I49" s="40"/>
      <c r="J49" s="1"/>
      <c r="K49" s="5"/>
      <c r="L49" s="5"/>
      <c r="M49" s="5"/>
      <c r="N49" s="5"/>
      <c r="O49" s="5"/>
      <c r="P49" s="5"/>
      <c r="Q49" s="5"/>
      <c r="R49" s="5"/>
      <c r="S49" s="5"/>
      <c r="T49" s="5"/>
      <c r="U49" s="86"/>
      <c r="V49" s="102"/>
      <c r="W49" s="218"/>
      <c r="AI49" s="361" t="b">
        <v>1</v>
      </c>
      <c r="AJ49" s="921" t="s">
        <v>3</v>
      </c>
      <c r="AK49" s="61" t="str">
        <f t="shared" si="16"/>
        <v>Reading</v>
      </c>
      <c r="AL49" s="110">
        <f t="shared" si="25"/>
        <v>60.491493383742913</v>
      </c>
      <c r="AM49" s="110">
        <f t="shared" si="25"/>
        <v>61.399475264396415</v>
      </c>
      <c r="AN49" s="110">
        <f t="shared" si="25"/>
        <v>59.723674794957887</v>
      </c>
      <c r="AO49" s="110">
        <f t="shared" si="25"/>
        <v>48.040794417606016</v>
      </c>
      <c r="AP49" s="110">
        <f t="shared" si="25"/>
        <v>61.957868649318463</v>
      </c>
      <c r="AQ49" s="111">
        <f>VLOOKUP(AK49,IDACI!$B$8:$C$29,2,FALSE)</f>
        <v>16</v>
      </c>
      <c r="AR49" s="278">
        <f t="shared" si="26"/>
        <v>4.0178571428571432E-2</v>
      </c>
      <c r="AS49" s="237" t="e">
        <f t="shared" si="26"/>
        <v>#N/A</v>
      </c>
      <c r="AT49" s="237" t="e">
        <f t="shared" si="26"/>
        <v>#N/A</v>
      </c>
      <c r="AU49" s="237" t="e">
        <f t="shared" si="26"/>
        <v>#N/A</v>
      </c>
      <c r="AV49" s="279">
        <f t="shared" si="26"/>
        <v>3.8297872340425532E-2</v>
      </c>
      <c r="AW49" s="538" t="e">
        <f t="shared" si="27"/>
        <v>#N/A</v>
      </c>
      <c r="AX49" s="538" t="e">
        <f t="shared" si="27"/>
        <v>#N/A</v>
      </c>
      <c r="AY49" s="538" t="e">
        <f t="shared" si="27"/>
        <v>#N/A</v>
      </c>
      <c r="AZ49" s="538" t="e">
        <f t="shared" si="27"/>
        <v>#N/A</v>
      </c>
      <c r="BA49" s="538" t="e">
        <f t="shared" si="27"/>
        <v>#N/A</v>
      </c>
      <c r="BB49" s="278">
        <f t="shared" si="28"/>
        <v>5.4151624548736461E-2</v>
      </c>
      <c r="BC49" s="237">
        <f t="shared" si="28"/>
        <v>4.3604651162790699E-2</v>
      </c>
      <c r="BD49" s="237" t="e">
        <f t="shared" si="28"/>
        <v>#N/A</v>
      </c>
      <c r="BE49" s="237">
        <f t="shared" si="28"/>
        <v>4.1237113402061855E-2</v>
      </c>
      <c r="BF49" s="279">
        <f t="shared" si="28"/>
        <v>8.5308056872037921E-2</v>
      </c>
      <c r="BG49" s="278">
        <f t="shared" si="29"/>
        <v>0.25</v>
      </c>
      <c r="BH49" s="237">
        <f t="shared" si="29"/>
        <v>0.29022988505747127</v>
      </c>
      <c r="BI49" s="237">
        <f t="shared" si="29"/>
        <v>0.28239202657807311</v>
      </c>
      <c r="BJ49" s="237">
        <f t="shared" si="29"/>
        <v>0.2788844621513944</v>
      </c>
      <c r="BK49" s="279">
        <f t="shared" si="29"/>
        <v>0.30038022813688214</v>
      </c>
      <c r="BL49" s="278" t="e">
        <f t="shared" si="30"/>
        <v>#N/A</v>
      </c>
      <c r="BM49" s="237" t="e">
        <f t="shared" si="30"/>
        <v>#N/A</v>
      </c>
      <c r="BN49" s="237" t="e">
        <f t="shared" si="30"/>
        <v>#N/A</v>
      </c>
      <c r="BO49" s="237" t="e">
        <f t="shared" si="30"/>
        <v>#N/A</v>
      </c>
      <c r="BP49" s="279" t="e">
        <f t="shared" si="30"/>
        <v>#N/A</v>
      </c>
      <c r="BQ49" s="237" t="b">
        <f t="shared" si="24"/>
        <v>0</v>
      </c>
      <c r="BR49" s="278">
        <f t="shared" si="31"/>
        <v>0.69064748201438853</v>
      </c>
      <c r="BS49" s="237">
        <f t="shared" si="31"/>
        <v>0.91379310344827591</v>
      </c>
      <c r="BT49" s="237">
        <f t="shared" si="31"/>
        <v>0.83229813664596275</v>
      </c>
      <c r="BU49" s="237">
        <f t="shared" si="31"/>
        <v>0.78378378378378377</v>
      </c>
      <c r="BV49" s="279">
        <f t="shared" si="31"/>
        <v>0.76344086021505375</v>
      </c>
    </row>
    <row r="50" spans="1:76" ht="14.25" customHeight="1">
      <c r="A50" s="87"/>
      <c r="B50" s="48"/>
      <c r="C50" s="48"/>
      <c r="D50" s="40"/>
      <c r="E50" s="40"/>
      <c r="F50" s="40"/>
      <c r="G50" s="40"/>
      <c r="H50" s="40"/>
      <c r="I50" s="40"/>
      <c r="J50" s="1"/>
      <c r="K50" s="5"/>
      <c r="L50" s="5"/>
      <c r="M50" s="5"/>
      <c r="N50" s="5"/>
      <c r="O50" s="5"/>
      <c r="P50" s="5"/>
      <c r="Q50" s="5"/>
      <c r="R50" s="5"/>
      <c r="S50" s="5"/>
      <c r="T50" s="5"/>
      <c r="U50" s="86"/>
      <c r="V50" s="102"/>
      <c r="W50" s="218"/>
      <c r="AI50" s="361" t="b">
        <v>1</v>
      </c>
      <c r="AJ50" s="921" t="s">
        <v>13</v>
      </c>
      <c r="AK50" s="61" t="str">
        <f t="shared" si="16"/>
        <v>Slough</v>
      </c>
      <c r="AL50" s="110">
        <f t="shared" si="25"/>
        <v>69.228823110007127</v>
      </c>
      <c r="AM50" s="110">
        <f t="shared" si="25"/>
        <v>68.56492027334852</v>
      </c>
      <c r="AN50" s="110">
        <f t="shared" si="25"/>
        <v>65.848137732354758</v>
      </c>
      <c r="AO50" s="110">
        <f t="shared" si="25"/>
        <v>58.305084745762713</v>
      </c>
      <c r="AP50" s="110">
        <f t="shared" si="25"/>
        <v>43.479230306138376</v>
      </c>
      <c r="AQ50" s="111">
        <f>VLOOKUP(AK50,IDACI!$B$8:$C$29,2,FALSE)</f>
        <v>14.7</v>
      </c>
      <c r="AR50" s="278">
        <f t="shared" si="26"/>
        <v>1.6611295681063124E-2</v>
      </c>
      <c r="AS50" s="237" t="e">
        <f t="shared" si="26"/>
        <v>#N/A</v>
      </c>
      <c r="AT50" s="237" t="e">
        <f t="shared" si="26"/>
        <v>#N/A</v>
      </c>
      <c r="AU50" s="237" t="e">
        <f t="shared" si="26"/>
        <v>#N/A</v>
      </c>
      <c r="AV50" s="279" t="e">
        <f t="shared" si="26"/>
        <v>#N/A</v>
      </c>
      <c r="AW50" s="538" t="e">
        <f t="shared" si="27"/>
        <v>#N/A</v>
      </c>
      <c r="AX50" s="538" t="e">
        <f t="shared" si="27"/>
        <v>#N/A</v>
      </c>
      <c r="AY50" s="538" t="e">
        <f t="shared" si="27"/>
        <v>#N/A</v>
      </c>
      <c r="AZ50" s="538" t="e">
        <f t="shared" si="27"/>
        <v>#N/A</v>
      </c>
      <c r="BA50" s="538" t="e">
        <f t="shared" si="27"/>
        <v>#N/A</v>
      </c>
      <c r="BB50" s="278">
        <f t="shared" si="28"/>
        <v>5.128205128205128E-2</v>
      </c>
      <c r="BC50" s="237">
        <f t="shared" si="28"/>
        <v>3.4666666666666665E-2</v>
      </c>
      <c r="BD50" s="237">
        <f t="shared" si="28"/>
        <v>3.7037037037037035E-2</v>
      </c>
      <c r="BE50" s="237">
        <f t="shared" si="28"/>
        <v>2.3880597014925373E-2</v>
      </c>
      <c r="BF50" s="279">
        <f t="shared" si="28"/>
        <v>3.4161490683229816E-2</v>
      </c>
      <c r="BG50" s="278">
        <f t="shared" si="29"/>
        <v>0.18296529968454259</v>
      </c>
      <c r="BH50" s="237">
        <f t="shared" si="29"/>
        <v>0.13600000000000001</v>
      </c>
      <c r="BI50" s="237">
        <f t="shared" si="29"/>
        <v>0.20710059171597633</v>
      </c>
      <c r="BJ50" s="237">
        <f t="shared" si="29"/>
        <v>0.17973856209150327</v>
      </c>
      <c r="BK50" s="279">
        <f t="shared" si="29"/>
        <v>0.19691119691119691</v>
      </c>
      <c r="BL50" s="278" t="e">
        <f t="shared" si="30"/>
        <v>#N/A</v>
      </c>
      <c r="BM50" s="237" t="e">
        <f t="shared" si="30"/>
        <v>#N/A</v>
      </c>
      <c r="BN50" s="237" t="e">
        <f t="shared" si="30"/>
        <v>#N/A</v>
      </c>
      <c r="BO50" s="237" t="e">
        <f t="shared" si="30"/>
        <v>#N/A</v>
      </c>
      <c r="BP50" s="279" t="e">
        <f t="shared" si="30"/>
        <v>#N/A</v>
      </c>
      <c r="BQ50" s="237" t="b">
        <f t="shared" si="24"/>
        <v>0</v>
      </c>
      <c r="BR50" s="278">
        <f t="shared" si="31"/>
        <v>0.70108695652173914</v>
      </c>
      <c r="BS50" s="237">
        <f t="shared" si="31"/>
        <v>0.83870967741935487</v>
      </c>
      <c r="BT50" s="237">
        <f t="shared" si="31"/>
        <v>0.92488262910798125</v>
      </c>
      <c r="BU50" s="237">
        <f t="shared" si="31"/>
        <v>0.97727272727272729</v>
      </c>
      <c r="BV50" s="279">
        <f t="shared" si="31"/>
        <v>0.95</v>
      </c>
    </row>
    <row r="51" spans="1:76" ht="14.25" customHeight="1">
      <c r="A51" s="87"/>
      <c r="B51" s="48"/>
      <c r="C51" s="48"/>
      <c r="D51" s="40"/>
      <c r="E51" s="40"/>
      <c r="F51" s="40"/>
      <c r="G51" s="40"/>
      <c r="H51" s="40"/>
      <c r="I51" s="40"/>
      <c r="J51" s="1"/>
      <c r="K51" s="5"/>
      <c r="L51" s="5"/>
      <c r="M51" s="5"/>
      <c r="N51" s="5"/>
      <c r="O51" s="5"/>
      <c r="P51" s="5"/>
      <c r="Q51" s="5"/>
      <c r="R51" s="5"/>
      <c r="S51" s="5"/>
      <c r="T51" s="5"/>
      <c r="U51" s="86"/>
      <c r="V51" s="102"/>
      <c r="W51" s="218"/>
      <c r="AI51" s="361" t="b">
        <v>1</v>
      </c>
      <c r="AJ51" s="921" t="s">
        <v>14</v>
      </c>
      <c r="AK51" s="61" t="str">
        <f t="shared" si="16"/>
        <v>Southampton</v>
      </c>
      <c r="AL51" s="110">
        <f t="shared" si="25"/>
        <v>79.858030168589167</v>
      </c>
      <c r="AM51" s="110">
        <f t="shared" si="25"/>
        <v>62.327844461869432</v>
      </c>
      <c r="AN51" s="110">
        <f t="shared" si="25"/>
        <v>96.177209038632867</v>
      </c>
      <c r="AO51" s="110">
        <f t="shared" si="25"/>
        <v>63.162960437929854</v>
      </c>
      <c r="AP51" s="110">
        <f t="shared" si="25"/>
        <v>54.791257221130365</v>
      </c>
      <c r="AQ51" s="111">
        <f>VLOOKUP(AK51,IDACI!$B$8:$C$29,2,FALSE)</f>
        <v>20.5</v>
      </c>
      <c r="AR51" s="278">
        <f t="shared" si="26"/>
        <v>1.7676767676767676E-2</v>
      </c>
      <c r="AS51" s="237" t="e">
        <f t="shared" si="26"/>
        <v>#N/A</v>
      </c>
      <c r="AT51" s="237">
        <f t="shared" si="26"/>
        <v>0</v>
      </c>
      <c r="AU51" s="237">
        <f t="shared" si="26"/>
        <v>1.9047619047619049E-2</v>
      </c>
      <c r="AV51" s="279">
        <f t="shared" si="26"/>
        <v>3.9855072463768113E-2</v>
      </c>
      <c r="AW51" s="538" t="e">
        <f t="shared" si="27"/>
        <v>#N/A</v>
      </c>
      <c r="AX51" s="538" t="e">
        <f t="shared" si="27"/>
        <v>#N/A</v>
      </c>
      <c r="AY51" s="538" t="e">
        <f t="shared" si="27"/>
        <v>#N/A</v>
      </c>
      <c r="AZ51" s="538" t="e">
        <f t="shared" si="27"/>
        <v>#N/A</v>
      </c>
      <c r="BA51" s="538" t="e">
        <f t="shared" si="27"/>
        <v>#N/A</v>
      </c>
      <c r="BB51" s="278">
        <f t="shared" si="28"/>
        <v>2.9748283752860413E-2</v>
      </c>
      <c r="BC51" s="237">
        <f t="shared" si="28"/>
        <v>5.3333333333333337E-2</v>
      </c>
      <c r="BD51" s="237">
        <f t="shared" si="28"/>
        <v>2.1126760563380281E-2</v>
      </c>
      <c r="BE51" s="237">
        <f t="shared" si="28"/>
        <v>2.4074074074074074E-2</v>
      </c>
      <c r="BF51" s="279">
        <f t="shared" si="28"/>
        <v>6.5040650406504072E-2</v>
      </c>
      <c r="BG51" s="278">
        <f t="shared" si="29"/>
        <v>0.24377224199288255</v>
      </c>
      <c r="BH51" s="237">
        <f t="shared" si="29"/>
        <v>0.23044397463002114</v>
      </c>
      <c r="BI51" s="237">
        <f t="shared" si="29"/>
        <v>0.241852487135506</v>
      </c>
      <c r="BJ51" s="237">
        <f t="shared" si="29"/>
        <v>0.3306878306878307</v>
      </c>
      <c r="BK51" s="279">
        <f t="shared" si="29"/>
        <v>0.29268292682926828</v>
      </c>
      <c r="BL51" s="278" t="e">
        <f t="shared" si="30"/>
        <v>#N/A</v>
      </c>
      <c r="BM51" s="237" t="e">
        <f t="shared" si="30"/>
        <v>#N/A</v>
      </c>
      <c r="BN51" s="237" t="e">
        <f t="shared" si="30"/>
        <v>#N/A</v>
      </c>
      <c r="BO51" s="237" t="e">
        <f t="shared" si="30"/>
        <v>#N/A</v>
      </c>
      <c r="BP51" s="279" t="e">
        <f t="shared" si="30"/>
        <v>#N/A</v>
      </c>
      <c r="BQ51" s="237" t="b">
        <f t="shared" si="24"/>
        <v>0</v>
      </c>
      <c r="BR51" s="278">
        <f t="shared" si="31"/>
        <v>0.65048543689320393</v>
      </c>
      <c r="BS51" s="237">
        <f t="shared" si="31"/>
        <v>0.63285024154589375</v>
      </c>
      <c r="BT51" s="237">
        <f t="shared" si="31"/>
        <v>0.47352941176470587</v>
      </c>
      <c r="BU51" s="237">
        <f t="shared" si="31"/>
        <v>0.80193236714975846</v>
      </c>
      <c r="BV51" s="279">
        <f t="shared" si="31"/>
        <v>0.83490566037735847</v>
      </c>
    </row>
    <row r="52" spans="1:76" ht="14.25" customHeight="1">
      <c r="A52" s="87"/>
      <c r="B52" s="48"/>
      <c r="C52" s="48"/>
      <c r="D52" s="40"/>
      <c r="E52" s="40"/>
      <c r="F52" s="40"/>
      <c r="G52" s="40"/>
      <c r="H52" s="40"/>
      <c r="I52" s="40"/>
      <c r="J52" s="1"/>
      <c r="K52" s="5"/>
      <c r="L52" s="5"/>
      <c r="M52" s="5"/>
      <c r="N52" s="5"/>
      <c r="O52" s="5"/>
      <c r="P52" s="5"/>
      <c r="Q52" s="5"/>
      <c r="R52" s="5"/>
      <c r="S52" s="5"/>
      <c r="T52" s="5"/>
      <c r="U52" s="86"/>
      <c r="V52" s="102"/>
      <c r="W52" s="218"/>
      <c r="AI52" s="361" t="b">
        <v>1</v>
      </c>
      <c r="AJ52" s="921" t="s">
        <v>7</v>
      </c>
      <c r="AK52" s="61" t="str">
        <f t="shared" si="16"/>
        <v>Surrey</v>
      </c>
      <c r="AL52" s="110">
        <f t="shared" si="25"/>
        <v>26.545757522912673</v>
      </c>
      <c r="AM52" s="110">
        <f t="shared" si="25"/>
        <v>34.581597484130761</v>
      </c>
      <c r="AN52" s="110">
        <f t="shared" si="25"/>
        <v>38.614502404735482</v>
      </c>
      <c r="AO52" s="110">
        <f t="shared" si="25"/>
        <v>29.407970129091503</v>
      </c>
      <c r="AP52" s="110">
        <f t="shared" si="25"/>
        <v>21.793790839832575</v>
      </c>
      <c r="AQ52" s="111">
        <f>VLOOKUP(AK52,IDACI!$B$8:$C$29,2,FALSE)</f>
        <v>8.3000000000000007</v>
      </c>
      <c r="AR52" s="278">
        <f t="shared" si="26"/>
        <v>2.9197080291970802E-2</v>
      </c>
      <c r="AS52" s="237">
        <f t="shared" si="26"/>
        <v>3.3557046979865772E-2</v>
      </c>
      <c r="AT52" s="237">
        <f t="shared" si="26"/>
        <v>3.6926147704590816E-2</v>
      </c>
      <c r="AU52" s="237">
        <f t="shared" si="26"/>
        <v>4.2580645161290322E-2</v>
      </c>
      <c r="AV52" s="279">
        <f t="shared" si="26"/>
        <v>6.3903281519861826E-2</v>
      </c>
      <c r="AW52" s="538" t="e">
        <f t="shared" si="27"/>
        <v>#N/A</v>
      </c>
      <c r="AX52" s="538" t="e">
        <f t="shared" si="27"/>
        <v>#N/A</v>
      </c>
      <c r="AY52" s="538" t="e">
        <f t="shared" si="27"/>
        <v>#N/A</v>
      </c>
      <c r="AZ52" s="538" t="e">
        <f t="shared" si="27"/>
        <v>#N/A</v>
      </c>
      <c r="BA52" s="538" t="e">
        <f t="shared" si="27"/>
        <v>#N/A</v>
      </c>
      <c r="BB52" s="278">
        <f t="shared" si="28"/>
        <v>6.9214876033057857E-2</v>
      </c>
      <c r="BC52" s="237">
        <f t="shared" si="28"/>
        <v>5.9872611464968153E-2</v>
      </c>
      <c r="BD52" s="237">
        <f t="shared" si="28"/>
        <v>3.5445757250268529E-2</v>
      </c>
      <c r="BE52" s="237">
        <f t="shared" si="28"/>
        <v>7.6137418755803155E-2</v>
      </c>
      <c r="BF52" s="279">
        <f t="shared" si="28"/>
        <v>8.1927710843373497E-2</v>
      </c>
      <c r="BG52" s="278">
        <f t="shared" si="29"/>
        <v>0.26398852223816355</v>
      </c>
      <c r="BH52" s="237">
        <f t="shared" si="29"/>
        <v>0.25937183383991896</v>
      </c>
      <c r="BI52" s="237">
        <f t="shared" si="29"/>
        <v>0.23181377303588749</v>
      </c>
      <c r="BJ52" s="237">
        <f t="shared" si="29"/>
        <v>0.25938967136150237</v>
      </c>
      <c r="BK52" s="279">
        <f t="shared" si="29"/>
        <v>0.29337539432176657</v>
      </c>
      <c r="BL52" s="278" t="e">
        <f t="shared" si="30"/>
        <v>#N/A</v>
      </c>
      <c r="BM52" s="237" t="e">
        <f t="shared" si="30"/>
        <v>#N/A</v>
      </c>
      <c r="BN52" s="237" t="e">
        <f t="shared" si="30"/>
        <v>#N/A</v>
      </c>
      <c r="BO52" s="237" t="e">
        <f t="shared" si="30"/>
        <v>#N/A</v>
      </c>
      <c r="BP52" s="279" t="e">
        <f t="shared" si="30"/>
        <v>#N/A</v>
      </c>
      <c r="BQ52" s="237" t="b">
        <f t="shared" si="24"/>
        <v>0</v>
      </c>
      <c r="BR52" s="278">
        <f t="shared" si="31"/>
        <v>0.93176972281449888</v>
      </c>
      <c r="BS52" s="237">
        <f t="shared" si="31"/>
        <v>0.98363338788870702</v>
      </c>
      <c r="BT52" s="237">
        <f t="shared" si="31"/>
        <v>0.94622279129321385</v>
      </c>
      <c r="BU52" s="237">
        <f t="shared" si="31"/>
        <v>0.97661870503597126</v>
      </c>
      <c r="BV52" s="279">
        <f t="shared" si="31"/>
        <v>0.96055684454756385</v>
      </c>
    </row>
    <row r="53" spans="1:76" ht="14.25" customHeight="1">
      <c r="A53" s="87"/>
      <c r="B53" s="48"/>
      <c r="C53" s="48"/>
      <c r="D53" s="40"/>
      <c r="E53" s="40"/>
      <c r="F53" s="40"/>
      <c r="G53" s="40"/>
      <c r="H53" s="40"/>
      <c r="I53" s="40"/>
      <c r="J53" s="1"/>
      <c r="K53" s="5"/>
      <c r="L53" s="5"/>
      <c r="M53" s="5"/>
      <c r="N53" s="5"/>
      <c r="O53" s="5"/>
      <c r="P53" s="5"/>
      <c r="Q53" s="5"/>
      <c r="R53" s="5"/>
      <c r="S53" s="5"/>
      <c r="T53" s="5"/>
      <c r="U53" s="86"/>
      <c r="V53" s="102"/>
      <c r="W53" s="218"/>
      <c r="AI53" s="361" t="b">
        <v>1</v>
      </c>
      <c r="AJ53" s="921" t="s">
        <v>15</v>
      </c>
      <c r="AK53" s="61" t="str">
        <f t="shared" si="16"/>
        <v>West Berkshire</v>
      </c>
      <c r="AL53" s="110">
        <f t="shared" si="25"/>
        <v>30.233022446593079</v>
      </c>
      <c r="AM53" s="110">
        <f t="shared" si="25"/>
        <v>40.489317711922816</v>
      </c>
      <c r="AN53" s="110">
        <f t="shared" si="25"/>
        <v>53.186876716288481</v>
      </c>
      <c r="AO53" s="110">
        <f t="shared" si="25"/>
        <v>99.10632447296058</v>
      </c>
      <c r="AP53" s="110">
        <f t="shared" si="25"/>
        <v>54.069355980184</v>
      </c>
      <c r="AQ53" s="111">
        <f>VLOOKUP(AK53,IDACI!$B$8:$C$29,2,FALSE)</f>
        <v>8.6999999999999993</v>
      </c>
      <c r="AR53" s="278">
        <f t="shared" si="26"/>
        <v>9.433962264150943E-3</v>
      </c>
      <c r="AS53" s="237">
        <f t="shared" si="26"/>
        <v>0</v>
      </c>
      <c r="AT53" s="237" t="e">
        <f t="shared" si="26"/>
        <v>#N/A</v>
      </c>
      <c r="AU53" s="237">
        <f t="shared" si="26"/>
        <v>3.1791907514450865E-2</v>
      </c>
      <c r="AV53" s="279">
        <f t="shared" si="26"/>
        <v>5.7591623036649213E-2</v>
      </c>
      <c r="AW53" s="538" t="e">
        <f t="shared" si="27"/>
        <v>#N/A</v>
      </c>
      <c r="AX53" s="538" t="e">
        <f t="shared" si="27"/>
        <v>#N/A</v>
      </c>
      <c r="AY53" s="538" t="e">
        <f t="shared" si="27"/>
        <v>#N/A</v>
      </c>
      <c r="AZ53" s="538" t="e">
        <f t="shared" si="27"/>
        <v>#N/A</v>
      </c>
      <c r="BA53" s="538" t="e">
        <f t="shared" si="27"/>
        <v>#N/A</v>
      </c>
      <c r="BB53" s="278">
        <f t="shared" si="28"/>
        <v>2.7472527472527472E-2</v>
      </c>
      <c r="BC53" s="237" t="e">
        <f t="shared" si="28"/>
        <v>#N/A</v>
      </c>
      <c r="BD53" s="237" t="e">
        <f t="shared" si="28"/>
        <v>#N/A</v>
      </c>
      <c r="BE53" s="237">
        <f t="shared" si="28"/>
        <v>0</v>
      </c>
      <c r="BF53" s="279">
        <f t="shared" si="28"/>
        <v>3.7463976945244955E-2</v>
      </c>
      <c r="BG53" s="278">
        <f t="shared" si="29"/>
        <v>0.21764705882352942</v>
      </c>
      <c r="BH53" s="237">
        <f t="shared" si="29"/>
        <v>0.22666666666666666</v>
      </c>
      <c r="BI53" s="237">
        <f t="shared" si="29"/>
        <v>0.22448979591836735</v>
      </c>
      <c r="BJ53" s="237">
        <f t="shared" si="29"/>
        <v>0.25192802056555269</v>
      </c>
      <c r="BK53" s="279">
        <f t="shared" si="29"/>
        <v>0.30392156862745096</v>
      </c>
      <c r="BL53" s="278" t="e">
        <f t="shared" si="30"/>
        <v>#N/A</v>
      </c>
      <c r="BM53" s="237" t="e">
        <f t="shared" si="30"/>
        <v>#N/A</v>
      </c>
      <c r="BN53" s="237" t="e">
        <f t="shared" si="30"/>
        <v>#N/A</v>
      </c>
      <c r="BO53" s="237" t="e">
        <f t="shared" si="30"/>
        <v>#N/A</v>
      </c>
      <c r="BP53" s="279" t="e">
        <f t="shared" si="30"/>
        <v>#N/A</v>
      </c>
      <c r="BQ53" s="237" t="b">
        <f t="shared" ref="BQ53:BQ59" si="32">IF($AK53=$Y$4,BP53)</f>
        <v>0</v>
      </c>
      <c r="BR53" s="278">
        <f t="shared" si="31"/>
        <v>1</v>
      </c>
      <c r="BS53" s="237">
        <f t="shared" si="31"/>
        <v>1</v>
      </c>
      <c r="BT53" s="237">
        <f t="shared" si="31"/>
        <v>1</v>
      </c>
      <c r="BU53" s="237">
        <f t="shared" si="31"/>
        <v>0.69266055045871555</v>
      </c>
      <c r="BV53" s="279">
        <f t="shared" si="31"/>
        <v>0.83870967741935487</v>
      </c>
    </row>
    <row r="54" spans="1:76" ht="14.25" customHeight="1">
      <c r="A54" s="208"/>
      <c r="B54" s="48"/>
      <c r="C54" s="48"/>
      <c r="D54" s="40"/>
      <c r="E54" s="40"/>
      <c r="F54" s="40"/>
      <c r="G54" s="40"/>
      <c r="H54" s="40"/>
      <c r="I54" s="40"/>
      <c r="J54" s="1"/>
      <c r="K54" s="5"/>
      <c r="L54" s="5"/>
      <c r="M54" s="5"/>
      <c r="N54" s="5"/>
      <c r="O54" s="5"/>
      <c r="P54" s="5"/>
      <c r="Q54" s="5"/>
      <c r="R54" s="5"/>
      <c r="S54" s="5"/>
      <c r="T54" s="5"/>
      <c r="U54" s="86"/>
      <c r="V54" s="102"/>
      <c r="W54" s="218"/>
      <c r="AI54" s="361" t="b">
        <v>1</v>
      </c>
      <c r="AJ54" s="921" t="s">
        <v>5</v>
      </c>
      <c r="AK54" s="61" t="str">
        <f t="shared" si="16"/>
        <v>West Sussex</v>
      </c>
      <c r="AL54" s="110">
        <f t="shared" si="25"/>
        <v>47.0178794705879</v>
      </c>
      <c r="AM54" s="110">
        <f t="shared" si="25"/>
        <v>54.867633272561008</v>
      </c>
      <c r="AN54" s="110">
        <f t="shared" si="25"/>
        <v>39.637599093997736</v>
      </c>
      <c r="AO54" s="110">
        <f t="shared" si="25"/>
        <v>42.571426960400117</v>
      </c>
      <c r="AP54" s="110">
        <f t="shared" si="25"/>
        <v>35.976045763317842</v>
      </c>
      <c r="AQ54" s="111">
        <f>VLOOKUP(AK54,IDACI!$B$8:$C$29,2,FALSE)</f>
        <v>11</v>
      </c>
      <c r="AR54" s="278">
        <f t="shared" si="26"/>
        <v>9.8039215686274508E-3</v>
      </c>
      <c r="AS54" s="237">
        <f t="shared" si="26"/>
        <v>9.433962264150943E-3</v>
      </c>
      <c r="AT54" s="237">
        <f t="shared" si="26"/>
        <v>1.5873015873015872E-2</v>
      </c>
      <c r="AU54" s="237">
        <f t="shared" si="26"/>
        <v>7.9470198675496689E-3</v>
      </c>
      <c r="AV54" s="279">
        <f t="shared" si="26"/>
        <v>2.0186335403726708E-2</v>
      </c>
      <c r="AW54" s="538" t="e">
        <f t="shared" si="27"/>
        <v>#N/A</v>
      </c>
      <c r="AX54" s="538" t="e">
        <f t="shared" si="27"/>
        <v>#N/A</v>
      </c>
      <c r="AY54" s="538" t="e">
        <f t="shared" si="27"/>
        <v>#N/A</v>
      </c>
      <c r="AZ54" s="538" t="e">
        <f t="shared" si="27"/>
        <v>#N/A</v>
      </c>
      <c r="BA54" s="538" t="e">
        <f t="shared" si="27"/>
        <v>#N/A</v>
      </c>
      <c r="BB54" s="278">
        <f t="shared" si="28"/>
        <v>5.8016877637130801E-2</v>
      </c>
      <c r="BC54" s="237">
        <f t="shared" si="28"/>
        <v>9.5419847328244278E-3</v>
      </c>
      <c r="BD54" s="237">
        <f t="shared" si="28"/>
        <v>3.3022861981371721E-2</v>
      </c>
      <c r="BE54" s="237">
        <f t="shared" si="28"/>
        <v>3.399122807017544E-2</v>
      </c>
      <c r="BF54" s="279">
        <f t="shared" si="28"/>
        <v>1.5300546448087432E-2</v>
      </c>
      <c r="BG54" s="278">
        <f t="shared" si="29"/>
        <v>0.2648888888888889</v>
      </c>
      <c r="BH54" s="237">
        <f t="shared" si="29"/>
        <v>0.26284751474304968</v>
      </c>
      <c r="BI54" s="237">
        <f t="shared" si="29"/>
        <v>0.26413043478260867</v>
      </c>
      <c r="BJ54" s="237">
        <f t="shared" si="29"/>
        <v>0.23891129032258066</v>
      </c>
      <c r="BK54" s="279">
        <f t="shared" si="29"/>
        <v>0.25837320574162681</v>
      </c>
      <c r="BL54" s="278" t="e">
        <f t="shared" si="30"/>
        <v>#N/A</v>
      </c>
      <c r="BM54" s="237" t="e">
        <f t="shared" si="30"/>
        <v>#N/A</v>
      </c>
      <c r="BN54" s="237" t="e">
        <f t="shared" si="30"/>
        <v>#N/A</v>
      </c>
      <c r="BO54" s="237" t="e">
        <f t="shared" si="30"/>
        <v>#N/A</v>
      </c>
      <c r="BP54" s="279" t="e">
        <f t="shared" si="30"/>
        <v>#N/A</v>
      </c>
      <c r="BQ54" s="237" t="b">
        <f t="shared" si="32"/>
        <v>0</v>
      </c>
      <c r="BR54" s="278">
        <f t="shared" si="31"/>
        <v>0.86443661971830987</v>
      </c>
      <c r="BS54" s="237">
        <f t="shared" si="31"/>
        <v>0.87696709585121602</v>
      </c>
      <c r="BT54" s="237">
        <f t="shared" si="31"/>
        <v>0.84565217391304348</v>
      </c>
      <c r="BU54" s="237">
        <f t="shared" si="31"/>
        <v>0.8104448742746615</v>
      </c>
      <c r="BV54" s="279">
        <f t="shared" si="31"/>
        <v>0.74561403508771928</v>
      </c>
    </row>
    <row r="55" spans="1:76" ht="14.25" customHeight="1">
      <c r="A55" s="208"/>
      <c r="B55" s="48"/>
      <c r="C55" s="48"/>
      <c r="D55" s="40"/>
      <c r="E55" s="40"/>
      <c r="F55" s="40"/>
      <c r="G55" s="40"/>
      <c r="H55" s="40"/>
      <c r="I55" s="40"/>
      <c r="J55" s="1"/>
      <c r="K55" s="5"/>
      <c r="L55" s="5"/>
      <c r="M55" s="5"/>
      <c r="N55" s="5"/>
      <c r="O55" s="5"/>
      <c r="P55" s="5"/>
      <c r="Q55" s="5"/>
      <c r="R55" s="5"/>
      <c r="S55" s="5"/>
      <c r="T55" s="5"/>
      <c r="U55" s="86"/>
      <c r="V55" s="102"/>
      <c r="W55" s="218"/>
      <c r="AI55" s="361" t="b">
        <v>1</v>
      </c>
      <c r="AJ55" s="921" t="s">
        <v>27</v>
      </c>
      <c r="AK55" s="61" t="str">
        <f t="shared" si="16"/>
        <v>Windsor &amp; Maidenhead</v>
      </c>
      <c r="AL55" s="110">
        <f t="shared" si="25"/>
        <v>38.221392309038926</v>
      </c>
      <c r="AM55" s="110">
        <f t="shared" si="25"/>
        <v>37.261978112255377</v>
      </c>
      <c r="AN55" s="110">
        <f t="shared" si="25"/>
        <v>41.622387530995397</v>
      </c>
      <c r="AO55" s="110">
        <f t="shared" si="25"/>
        <v>30.780054524668014</v>
      </c>
      <c r="AP55" s="110">
        <f t="shared" si="25"/>
        <v>28.878970858493041</v>
      </c>
      <c r="AQ55" s="111">
        <f>VLOOKUP(AK55,IDACI!$B$8:$C$29,2,FALSE)</f>
        <v>6.7</v>
      </c>
      <c r="AR55" s="278">
        <f t="shared" si="26"/>
        <v>3.0534351145038167E-2</v>
      </c>
      <c r="AS55" s="237">
        <f t="shared" si="26"/>
        <v>0</v>
      </c>
      <c r="AT55" s="237" t="e">
        <f t="shared" si="26"/>
        <v>#N/A</v>
      </c>
      <c r="AU55" s="237">
        <f t="shared" si="26"/>
        <v>0</v>
      </c>
      <c r="AV55" s="279">
        <f t="shared" si="26"/>
        <v>6.0606060606060608E-2</v>
      </c>
      <c r="AW55" s="237" t="e">
        <f t="shared" si="27"/>
        <v>#N/A</v>
      </c>
      <c r="AX55" s="237" t="e">
        <f t="shared" si="27"/>
        <v>#N/A</v>
      </c>
      <c r="AY55" s="237" t="e">
        <f t="shared" si="27"/>
        <v>#N/A</v>
      </c>
      <c r="AZ55" s="237" t="e">
        <f t="shared" si="27"/>
        <v>#N/A</v>
      </c>
      <c r="BA55" s="237" t="e">
        <f t="shared" si="27"/>
        <v>#N/A</v>
      </c>
      <c r="BB55" s="278">
        <f t="shared" si="28"/>
        <v>4.6511627906976744E-2</v>
      </c>
      <c r="BC55" s="237" t="e">
        <f t="shared" si="28"/>
        <v>#N/A</v>
      </c>
      <c r="BD55" s="237" t="e">
        <f t="shared" si="28"/>
        <v>#N/A</v>
      </c>
      <c r="BE55" s="237">
        <f t="shared" si="28"/>
        <v>3.4188034188034191E-2</v>
      </c>
      <c r="BF55" s="279" t="e">
        <f t="shared" si="28"/>
        <v>#N/A</v>
      </c>
      <c r="BG55" s="278">
        <f t="shared" si="29"/>
        <v>0.15023474178403756</v>
      </c>
      <c r="BH55" s="237">
        <f t="shared" si="29"/>
        <v>0.25877192982456143</v>
      </c>
      <c r="BI55" s="237">
        <f t="shared" si="29"/>
        <v>0.32446808510638298</v>
      </c>
      <c r="BJ55" s="237">
        <f t="shared" si="29"/>
        <v>0.30808080808080807</v>
      </c>
      <c r="BK55" s="279">
        <f t="shared" si="29"/>
        <v>0.30158730158730157</v>
      </c>
      <c r="BL55" s="278" t="e">
        <f t="shared" si="30"/>
        <v>#N/A</v>
      </c>
      <c r="BM55" s="237" t="e">
        <f t="shared" si="30"/>
        <v>#N/A</v>
      </c>
      <c r="BN55" s="237" t="e">
        <f t="shared" si="30"/>
        <v>#N/A</v>
      </c>
      <c r="BO55" s="237" t="e">
        <f t="shared" si="30"/>
        <v>#N/A</v>
      </c>
      <c r="BP55" s="279" t="e">
        <f t="shared" si="30"/>
        <v>#N/A</v>
      </c>
      <c r="BQ55" s="237" t="b">
        <f t="shared" si="32"/>
        <v>0</v>
      </c>
      <c r="BR55" s="278">
        <f t="shared" si="31"/>
        <v>0.81176470588235294</v>
      </c>
      <c r="BS55" s="237">
        <f t="shared" si="31"/>
        <v>0.8928571428571429</v>
      </c>
      <c r="BT55" s="237">
        <f t="shared" si="31"/>
        <v>0.82558139534883723</v>
      </c>
      <c r="BU55" s="237">
        <f t="shared" si="31"/>
        <v>0.86363636363636365</v>
      </c>
      <c r="BV55" s="279">
        <f t="shared" si="31"/>
        <v>0.90909090909090906</v>
      </c>
    </row>
    <row r="56" spans="1:76" ht="14.25" customHeight="1">
      <c r="A56" s="87"/>
      <c r="B56" s="48"/>
      <c r="C56" s="48"/>
      <c r="D56" s="40"/>
      <c r="E56" s="40"/>
      <c r="F56" s="40"/>
      <c r="G56" s="40"/>
      <c r="H56" s="40"/>
      <c r="I56" s="40"/>
      <c r="J56" s="1"/>
      <c r="K56" s="5"/>
      <c r="L56" s="5"/>
      <c r="M56" s="5"/>
      <c r="N56" s="5"/>
      <c r="O56" s="5"/>
      <c r="P56" s="5"/>
      <c r="Q56" s="5"/>
      <c r="R56" s="5"/>
      <c r="S56" s="5"/>
      <c r="T56" s="5"/>
      <c r="U56" s="86"/>
      <c r="V56" s="102"/>
      <c r="W56" s="218"/>
      <c r="AI56" s="361" t="b">
        <v>1</v>
      </c>
      <c r="AJ56" s="921" t="s">
        <v>16</v>
      </c>
      <c r="AK56" s="61" t="str">
        <f t="shared" si="16"/>
        <v>Wokingham</v>
      </c>
      <c r="AL56" s="110">
        <f t="shared" si="25"/>
        <v>35.70351000704013</v>
      </c>
      <c r="AM56" s="110">
        <f t="shared" si="25"/>
        <v>36.811937938531472</v>
      </c>
      <c r="AN56" s="110">
        <f t="shared" si="25"/>
        <v>39.145128741277446</v>
      </c>
      <c r="AO56" s="110">
        <f t="shared" si="25"/>
        <v>36.923800564440263</v>
      </c>
      <c r="AP56" s="110">
        <f t="shared" si="25"/>
        <v>28.859029413122776</v>
      </c>
      <c r="AQ56" s="111">
        <f>VLOOKUP(AK56,IDACI!$B$8:$C$29,2,FALSE)</f>
        <v>5.6000000000000005</v>
      </c>
      <c r="AR56" s="278">
        <f t="shared" si="26"/>
        <v>0</v>
      </c>
      <c r="AS56" s="237">
        <f t="shared" si="26"/>
        <v>6.0402684563758392E-2</v>
      </c>
      <c r="AT56" s="237">
        <f t="shared" si="26"/>
        <v>3.7267080745341616E-2</v>
      </c>
      <c r="AU56" s="237" t="e">
        <f t="shared" si="26"/>
        <v>#N/A</v>
      </c>
      <c r="AV56" s="279" t="e">
        <f t="shared" si="26"/>
        <v>#N/A</v>
      </c>
      <c r="AW56" s="237" t="e">
        <f t="shared" si="27"/>
        <v>#N/A</v>
      </c>
      <c r="AX56" s="237" t="e">
        <f t="shared" si="27"/>
        <v>#N/A</v>
      </c>
      <c r="AY56" s="237" t="e">
        <f t="shared" si="27"/>
        <v>#N/A</v>
      </c>
      <c r="AZ56" s="237" t="e">
        <f t="shared" si="27"/>
        <v>#N/A</v>
      </c>
      <c r="BA56" s="237" t="e">
        <f t="shared" si="27"/>
        <v>#N/A</v>
      </c>
      <c r="BB56" s="278" t="e">
        <f t="shared" si="28"/>
        <v>#N/A</v>
      </c>
      <c r="BC56" s="237" t="e">
        <f t="shared" si="28"/>
        <v>#N/A</v>
      </c>
      <c r="BD56" s="237">
        <f t="shared" si="28"/>
        <v>7.909604519774012E-2</v>
      </c>
      <c r="BE56" s="237">
        <f t="shared" si="28"/>
        <v>6.2068965517241378E-2</v>
      </c>
      <c r="BF56" s="279">
        <f t="shared" si="28"/>
        <v>5.0955414012738856E-2</v>
      </c>
      <c r="BG56" s="278">
        <f t="shared" si="29"/>
        <v>0.20224719101123595</v>
      </c>
      <c r="BH56" s="237">
        <f t="shared" si="29"/>
        <v>0.18354430379746836</v>
      </c>
      <c r="BI56" s="237">
        <f t="shared" si="29"/>
        <v>0.20512820512820512</v>
      </c>
      <c r="BJ56" s="237">
        <f t="shared" si="29"/>
        <v>0.21014492753623187</v>
      </c>
      <c r="BK56" s="279">
        <f t="shared" si="29"/>
        <v>0.216</v>
      </c>
      <c r="BL56" s="278" t="e">
        <f t="shared" si="30"/>
        <v>#N/A</v>
      </c>
      <c r="BM56" s="237" t="e">
        <f t="shared" si="30"/>
        <v>#N/A</v>
      </c>
      <c r="BN56" s="237" t="e">
        <f t="shared" si="30"/>
        <v>#N/A</v>
      </c>
      <c r="BO56" s="237" t="e">
        <f t="shared" si="30"/>
        <v>#N/A</v>
      </c>
      <c r="BP56" s="279" t="e">
        <f t="shared" si="30"/>
        <v>#N/A</v>
      </c>
      <c r="BQ56" s="237" t="b">
        <f t="shared" si="32"/>
        <v>0</v>
      </c>
      <c r="BR56" s="278">
        <f t="shared" si="31"/>
        <v>1</v>
      </c>
      <c r="BS56" s="237">
        <f t="shared" si="31"/>
        <v>0.97272727272727277</v>
      </c>
      <c r="BT56" s="237">
        <f t="shared" si="31"/>
        <v>0.78125</v>
      </c>
      <c r="BU56" s="237">
        <f t="shared" si="31"/>
        <v>0.99038461538461542</v>
      </c>
      <c r="BV56" s="279">
        <f t="shared" si="31"/>
        <v>0.97674418604651159</v>
      </c>
      <c r="BW56" s="56"/>
      <c r="BX56" s="56"/>
    </row>
    <row r="57" spans="1:76" ht="14.25" customHeight="1">
      <c r="A57" s="87"/>
      <c r="B57" s="48"/>
      <c r="C57" s="48"/>
      <c r="D57" s="40"/>
      <c r="E57" s="40"/>
      <c r="F57" s="40"/>
      <c r="G57" s="40"/>
      <c r="H57" s="40"/>
      <c r="I57" s="40"/>
      <c r="J57" s="1"/>
      <c r="K57" s="5"/>
      <c r="L57" s="5"/>
      <c r="M57" s="5"/>
      <c r="N57" s="5"/>
      <c r="O57" s="5"/>
      <c r="P57" s="5"/>
      <c r="Q57" s="5"/>
      <c r="R57" s="5"/>
      <c r="S57" s="5"/>
      <c r="T57" s="5"/>
      <c r="U57" s="86"/>
      <c r="V57" s="102"/>
      <c r="W57" s="218"/>
      <c r="AI57" s="361" t="b">
        <v>1</v>
      </c>
      <c r="AJ57" s="921" t="s">
        <v>71</v>
      </c>
      <c r="AK57" s="61" t="str">
        <f t="shared" si="16"/>
        <v>South East</v>
      </c>
      <c r="AL57" s="110">
        <f t="shared" si="25"/>
        <v>42.049827956754974</v>
      </c>
      <c r="AM57" s="110">
        <f t="shared" si="25"/>
        <v>41.295239989413339</v>
      </c>
      <c r="AN57" s="110">
        <f t="shared" si="25"/>
        <v>44.159826749654904</v>
      </c>
      <c r="AO57" s="110">
        <f t="shared" si="25"/>
        <v>42.234607648127714</v>
      </c>
      <c r="AP57" s="110">
        <f t="shared" si="25"/>
        <v>44.995090083046193</v>
      </c>
      <c r="AQ57" s="111">
        <f>Z30/Y30*100</f>
        <v>12.760581039440194</v>
      </c>
      <c r="AR57" s="278">
        <f t="shared" si="26"/>
        <v>2.4673081667900321E-2</v>
      </c>
      <c r="AS57" s="237">
        <f t="shared" si="26"/>
        <v>2.0067728583970903E-2</v>
      </c>
      <c r="AT57" s="237">
        <f t="shared" si="26"/>
        <v>2.3397285914833879E-2</v>
      </c>
      <c r="AU57" s="237">
        <f t="shared" si="26"/>
        <v>2.289156626506024E-2</v>
      </c>
      <c r="AV57" s="279">
        <f t="shared" si="26"/>
        <v>3.3288948069241014E-2</v>
      </c>
      <c r="AW57" s="237" t="e">
        <f t="shared" si="27"/>
        <v>#N/A</v>
      </c>
      <c r="AX57" s="237" t="e">
        <f t="shared" si="27"/>
        <v>#N/A</v>
      </c>
      <c r="AY57" s="237" t="e">
        <f t="shared" si="27"/>
        <v>#N/A</v>
      </c>
      <c r="AZ57" s="237" t="e">
        <f t="shared" si="27"/>
        <v>#N/A</v>
      </c>
      <c r="BA57" s="237" t="e">
        <f t="shared" si="27"/>
        <v>#N/A</v>
      </c>
      <c r="BB57" s="278">
        <f t="shared" si="28"/>
        <v>5.0632911392405063E-2</v>
      </c>
      <c r="BC57" s="237">
        <f t="shared" si="28"/>
        <v>4.2520293776575187E-2</v>
      </c>
      <c r="BD57" s="237">
        <f t="shared" si="28"/>
        <v>3.3468559837728194E-2</v>
      </c>
      <c r="BE57" s="237">
        <f t="shared" si="28"/>
        <v>4.3767840152235969E-2</v>
      </c>
      <c r="BF57" s="279">
        <f t="shared" si="28"/>
        <v>4.3922369765066395E-2</v>
      </c>
      <c r="BG57" s="278">
        <f t="shared" si="29"/>
        <v>0.23443579766536965</v>
      </c>
      <c r="BH57" s="237">
        <f t="shared" si="29"/>
        <v>0.23482926829268291</v>
      </c>
      <c r="BI57" s="237">
        <f t="shared" si="29"/>
        <v>0.23721331925918818</v>
      </c>
      <c r="BJ57" s="237">
        <f t="shared" si="29"/>
        <v>0.25194552529182879</v>
      </c>
      <c r="BK57" s="279">
        <f t="shared" si="29"/>
        <v>0.25303867403314917</v>
      </c>
      <c r="BL57" s="278" t="e">
        <f t="shared" si="30"/>
        <v>#N/A</v>
      </c>
      <c r="BM57" s="237" t="e">
        <f t="shared" si="30"/>
        <v>#N/A</v>
      </c>
      <c r="BN57" s="237" t="e">
        <f t="shared" si="30"/>
        <v>#N/A</v>
      </c>
      <c r="BO57" s="237" t="e">
        <f t="shared" si="30"/>
        <v>#N/A</v>
      </c>
      <c r="BP57" s="279" t="e">
        <f t="shared" si="30"/>
        <v>#N/A</v>
      </c>
      <c r="BQ57" s="237" t="b">
        <f t="shared" si="32"/>
        <v>0</v>
      </c>
      <c r="BR57" s="278">
        <f t="shared" si="31"/>
        <v>0.89557522123893807</v>
      </c>
      <c r="BS57" s="237">
        <f t="shared" si="31"/>
        <v>0.92738921516284034</v>
      </c>
      <c r="BT57" s="237">
        <f t="shared" si="31"/>
        <v>0.87796610169491529</v>
      </c>
      <c r="BU57" s="237">
        <f t="shared" si="31"/>
        <v>0.88214904679376083</v>
      </c>
      <c r="BV57" s="279">
        <f t="shared" si="31"/>
        <v>0.89493433395872424</v>
      </c>
      <c r="BW57" s="56"/>
      <c r="BX57" s="56"/>
    </row>
    <row r="58" spans="1:76"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218"/>
      <c r="AI58" s="361" t="b">
        <v>1</v>
      </c>
      <c r="AJ58" s="921" t="s">
        <v>109</v>
      </c>
      <c r="AK58" s="61" t="str">
        <f t="shared" si="16"/>
        <v>England</v>
      </c>
      <c r="AL58" s="110">
        <f t="shared" si="25"/>
        <v>43.687744328226508</v>
      </c>
      <c r="AM58" s="110">
        <f t="shared" si="25"/>
        <v>42.425240889007732</v>
      </c>
      <c r="AN58" s="110">
        <f t="shared" si="25"/>
        <v>43.288725769322781</v>
      </c>
      <c r="AO58" s="110">
        <f t="shared" si="25"/>
        <v>42.723289131247405</v>
      </c>
      <c r="AP58" s="110">
        <f t="shared" si="25"/>
        <v>41.588025848916615</v>
      </c>
      <c r="AQ58" s="111">
        <f>VLOOKUP(AK58,IDACI!$B$8:$C$29,2,FALSE)</f>
        <v>17.084413405029373</v>
      </c>
      <c r="AR58" s="278">
        <f t="shared" si="26"/>
        <v>2.1355076684139003E-2</v>
      </c>
      <c r="AS58" s="237">
        <f t="shared" si="26"/>
        <v>2.0395920815836834E-2</v>
      </c>
      <c r="AT58" s="237">
        <f t="shared" si="26"/>
        <v>2.4548311076197957E-2</v>
      </c>
      <c r="AU58" s="237">
        <f t="shared" si="26"/>
        <v>2.2055927530523829E-2</v>
      </c>
      <c r="AV58" s="279">
        <f t="shared" si="26"/>
        <v>2.5450901803607213E-2</v>
      </c>
      <c r="AW58" s="237" t="e">
        <f t="shared" si="27"/>
        <v>#N/A</v>
      </c>
      <c r="AX58" s="237" t="e">
        <f t="shared" si="27"/>
        <v>#N/A</v>
      </c>
      <c r="AY58" s="237" t="e">
        <f t="shared" si="27"/>
        <v>#N/A</v>
      </c>
      <c r="AZ58" s="237" t="e">
        <f t="shared" si="27"/>
        <v>#N/A</v>
      </c>
      <c r="BA58" s="237" t="e">
        <f t="shared" si="27"/>
        <v>#N/A</v>
      </c>
      <c r="BB58" s="278">
        <f t="shared" si="28"/>
        <v>3.5836941914289981E-2</v>
      </c>
      <c r="BC58" s="237">
        <f t="shared" si="28"/>
        <v>3.6963190184049081E-2</v>
      </c>
      <c r="BD58" s="237">
        <f t="shared" si="28"/>
        <v>3.7383177570093455E-2</v>
      </c>
      <c r="BE58" s="237">
        <f t="shared" si="28"/>
        <v>3.8804568925050853E-2</v>
      </c>
      <c r="BF58" s="279">
        <f t="shared" si="28"/>
        <v>3.8174009861619215E-2</v>
      </c>
      <c r="BG58" s="278">
        <f t="shared" si="29"/>
        <v>0.21904188008436276</v>
      </c>
      <c r="BH58" s="237">
        <f t="shared" si="29"/>
        <v>0.22074259752467493</v>
      </c>
      <c r="BI58" s="237">
        <f t="shared" si="29"/>
        <v>0.23280012424289487</v>
      </c>
      <c r="BJ58" s="237">
        <f t="shared" si="29"/>
        <v>0.23563488335681854</v>
      </c>
      <c r="BK58" s="279">
        <f t="shared" si="29"/>
        <v>0.24682015778457575</v>
      </c>
      <c r="BL58" s="278" t="e">
        <f t="shared" si="30"/>
        <v>#N/A</v>
      </c>
      <c r="BM58" s="237" t="e">
        <f t="shared" si="30"/>
        <v>#N/A</v>
      </c>
      <c r="BN58" s="237" t="e">
        <f t="shared" si="30"/>
        <v>#N/A</v>
      </c>
      <c r="BO58" s="237" t="e">
        <f t="shared" si="30"/>
        <v>#N/A</v>
      </c>
      <c r="BP58" s="279" t="e">
        <f t="shared" si="30"/>
        <v>#N/A</v>
      </c>
      <c r="BQ58" s="237" t="b">
        <f t="shared" si="32"/>
        <v>0</v>
      </c>
      <c r="BR58" s="278">
        <f t="shared" si="31"/>
        <v>0.91481481481481486</v>
      </c>
      <c r="BS58" s="237">
        <f t="shared" si="31"/>
        <v>0.93229901269393511</v>
      </c>
      <c r="BT58" s="237">
        <f t="shared" si="31"/>
        <v>0.89256912442396308</v>
      </c>
      <c r="BU58" s="237">
        <f t="shared" si="31"/>
        <v>0.8811010215664018</v>
      </c>
      <c r="BV58" s="279">
        <f t="shared" si="31"/>
        <v>0.8976916500427472</v>
      </c>
    </row>
    <row r="59" spans="1:76" s="56" customFormat="1" ht="14.25" customHeight="1" thickBot="1">
      <c r="A59" s="87"/>
      <c r="B59" s="48"/>
      <c r="C59" s="48"/>
      <c r="D59" s="40"/>
      <c r="E59" s="40"/>
      <c r="F59" s="40"/>
      <c r="G59" s="40"/>
      <c r="H59" s="40"/>
      <c r="I59" s="40"/>
      <c r="J59" s="1"/>
      <c r="K59" s="5"/>
      <c r="L59" s="5"/>
      <c r="M59" s="5"/>
      <c r="N59" s="5"/>
      <c r="O59" s="5"/>
      <c r="P59" s="5"/>
      <c r="Q59" s="5"/>
      <c r="R59" s="5"/>
      <c r="S59" s="5"/>
      <c r="T59" s="5"/>
      <c r="U59" s="86"/>
      <c r="V59" s="102"/>
      <c r="W59" s="218"/>
      <c r="AJ59" s="122"/>
      <c r="AK59" s="52" t="str">
        <f>Z4</f>
        <v>Selected LA- (none)</v>
      </c>
      <c r="AL59" s="112" t="e">
        <f>VLOOKUP($Y4,$B$11:$O$30,AL$34,FALSE)</f>
        <v>#N/A</v>
      </c>
      <c r="AM59" s="112" t="e">
        <f>VLOOKUP($Y4,$B$11:$O$30,AM$34,FALSE)</f>
        <v>#N/A</v>
      </c>
      <c r="AN59" s="112" t="e">
        <f>VLOOKUP($Y4,$B$11:$O$30,AN$34,FALSE)</f>
        <v>#N/A</v>
      </c>
      <c r="AO59" s="112" t="e">
        <f>VLOOKUP($Y4,$B$11:$O$30,AO$34,FALSE)</f>
        <v>#N/A</v>
      </c>
      <c r="AP59" s="112" t="e">
        <f>VLOOKUP($Y4,$B$11:$O$30,AP$34,FALSE)</f>
        <v>#N/A</v>
      </c>
      <c r="AQ59" s="111" t="e">
        <f>VLOOKUP(Y4,IDACI!$B$8:$C$29,2,FALSE)</f>
        <v>#N/A</v>
      </c>
      <c r="AR59" s="278" t="e">
        <f>VLOOKUP($Y4,$B$109:$H$129,AR$34,FALSE)</f>
        <v>#N/A</v>
      </c>
      <c r="AS59" s="237" t="e">
        <f>VLOOKUP($Y4,$B$109:$H$129,AS$34,FALSE)</f>
        <v>#N/A</v>
      </c>
      <c r="AT59" s="237" t="e">
        <f>VLOOKUP($Y4,$B$109:$H$129,AT$34,FALSE)</f>
        <v>#N/A</v>
      </c>
      <c r="AU59" s="237" t="e">
        <f>VLOOKUP($Y4,$B$109:$H$129,AU$34,FALSE)</f>
        <v>#N/A</v>
      </c>
      <c r="AV59" s="279" t="e">
        <f>VLOOKUP($Y4,$B$109:$H$129,AV$34,FALSE)</f>
        <v>#N/A</v>
      </c>
      <c r="AW59" s="237" t="e">
        <f>VLOOKUP($Y4,$B$142:$H$164,AW$34,FALSE)</f>
        <v>#N/A</v>
      </c>
      <c r="AX59" s="237" t="e">
        <f>VLOOKUP($Y4,$B$142:$H$164,AX$34,FALSE)</f>
        <v>#N/A</v>
      </c>
      <c r="AY59" s="237" t="e">
        <f>VLOOKUP($Y4,$B$142:$H$164,AY$34,FALSE)</f>
        <v>#N/A</v>
      </c>
      <c r="AZ59" s="237" t="e">
        <f>VLOOKUP($Y4,$B$142:$H$164,AZ$34,FALSE)</f>
        <v>#N/A</v>
      </c>
      <c r="BA59" s="237" t="e">
        <f>VLOOKUP($Y4,$B$142:$H$164,BA$34,FALSE)</f>
        <v>#N/A</v>
      </c>
      <c r="BB59" s="280" t="e">
        <f>VLOOKUP($Y$4,$B$210:$H$230,BB$34,FALSE)</f>
        <v>#N/A</v>
      </c>
      <c r="BC59" s="281" t="e">
        <f>VLOOKUP($Y$4,$B$210:$H$230,BC$34,FALSE)</f>
        <v>#N/A</v>
      </c>
      <c r="BD59" s="281" t="e">
        <f>VLOOKUP($Y$4,$B$210:$H$230,BD$34,FALSE)</f>
        <v>#N/A</v>
      </c>
      <c r="BE59" s="281" t="e">
        <f>VLOOKUP($Y$4,$B$210:$H$230,BE$34,FALSE)</f>
        <v>#N/A</v>
      </c>
      <c r="BF59" s="282" t="e">
        <f>VLOOKUP($Y$4,$B$210:$H$230,BF$34,FALSE)</f>
        <v>#N/A</v>
      </c>
      <c r="BG59" s="280" t="e">
        <f>VLOOKUP($Y$4,$B$243:$H$263,BG$34,FALSE)</f>
        <v>#N/A</v>
      </c>
      <c r="BH59" s="281" t="e">
        <f>VLOOKUP($Y$4,$B$243:$H$263,BH$34,FALSE)</f>
        <v>#N/A</v>
      </c>
      <c r="BI59" s="281" t="e">
        <f>VLOOKUP($Y$4,$B$243:$H$263,BI$34,FALSE)</f>
        <v>#N/A</v>
      </c>
      <c r="BJ59" s="281" t="e">
        <f>VLOOKUP($Y$4,$B$243:$H$263,BJ$34,FALSE)</f>
        <v>#N/A</v>
      </c>
      <c r="BK59" s="282" t="e">
        <f>VLOOKUP($Y$4,$B$243:$H$263,BK$34,FALSE)</f>
        <v>#N/A</v>
      </c>
      <c r="BL59" s="283" t="e">
        <f>VLOOKUP($Y$4,$B$276:$H$295,BL$34,FALSE)</f>
        <v>#N/A</v>
      </c>
      <c r="BM59" s="284" t="e">
        <f>VLOOKUP($Y$4,$B$276:$H$295,BM$34,FALSE)</f>
        <v>#N/A</v>
      </c>
      <c r="BN59" s="284" t="e">
        <f>VLOOKUP($Y$4,$B$276:$H$295,BN$34,FALSE)</f>
        <v>#N/A</v>
      </c>
      <c r="BO59" s="284" t="e">
        <f>VLOOKUP($Y$4,$B$276:$H$295,BO$34,FALSE)</f>
        <v>#N/A</v>
      </c>
      <c r="BP59" s="285" t="e">
        <f>VLOOKUP($Y$4,$B$276:$H$295,BP$34,FALSE)</f>
        <v>#N/A</v>
      </c>
      <c r="BQ59" s="237" t="b">
        <f t="shared" si="32"/>
        <v>0</v>
      </c>
      <c r="BR59" s="280" t="e">
        <f>VLOOKUP($Y$4,$B$177:$H$197,BR$34,FALSE)</f>
        <v>#N/A</v>
      </c>
      <c r="BS59" s="281" t="e">
        <f>VLOOKUP($Y$4,$B$177:$H$197,BS$34,FALSE)</f>
        <v>#N/A</v>
      </c>
      <c r="BT59" s="281" t="e">
        <f>VLOOKUP($Y$4,$B$177:$H$197,BT$34,FALSE)</f>
        <v>#N/A</v>
      </c>
      <c r="BU59" s="281" t="e">
        <f>VLOOKUP($Y$4,$B$177:$H$197,BU$34,FALSE)</f>
        <v>#N/A</v>
      </c>
      <c r="BV59" s="282" t="e">
        <f>VLOOKUP($Y$4,$B$177:$H$197,BV$34,FALSE)</f>
        <v>#N/A</v>
      </c>
    </row>
    <row r="60" spans="1:76" s="56" customFormat="1" ht="2.25" customHeight="1">
      <c r="A60" s="87"/>
      <c r="B60" s="48"/>
      <c r="C60" s="48"/>
      <c r="D60" s="40"/>
      <c r="E60" s="40"/>
      <c r="F60" s="40"/>
      <c r="G60" s="40"/>
      <c r="H60" s="40"/>
      <c r="I60" s="40"/>
      <c r="J60" s="1"/>
      <c r="K60" s="5"/>
      <c r="L60" s="5"/>
      <c r="M60" s="5"/>
      <c r="N60" s="5"/>
      <c r="O60" s="5"/>
      <c r="P60" s="5"/>
      <c r="Q60" s="5"/>
      <c r="R60" s="5"/>
      <c r="S60" s="5"/>
      <c r="T60" s="5"/>
      <c r="U60" s="86"/>
      <c r="V60" s="102"/>
      <c r="W60" s="114"/>
      <c r="AJ60" s="815"/>
    </row>
    <row r="61" spans="1:76" s="56" customFormat="1" ht="14.25" customHeight="1">
      <c r="A61" s="87"/>
      <c r="B61" s="48"/>
      <c r="C61" s="48"/>
      <c r="D61" s="40"/>
      <c r="E61" s="40"/>
      <c r="F61" s="40"/>
      <c r="G61" s="40"/>
      <c r="H61" s="40"/>
      <c r="I61" s="40"/>
      <c r="J61" s="1"/>
      <c r="K61" s="79"/>
      <c r="L61" s="1913" t="s">
        <v>69</v>
      </c>
      <c r="M61" s="1914"/>
      <c r="N61" s="1914"/>
      <c r="O61" s="1915"/>
      <c r="P61" s="80"/>
      <c r="Q61" s="1768" t="s">
        <v>93</v>
      </c>
      <c r="R61" s="1769"/>
      <c r="S61" s="1769"/>
      <c r="T61" s="1912"/>
      <c r="U61" s="86"/>
      <c r="V61" s="102"/>
      <c r="W61" s="114"/>
      <c r="AJ61" s="122"/>
    </row>
    <row r="62" spans="1:76" s="56" customFormat="1" ht="14.25" customHeight="1">
      <c r="A62" s="87"/>
      <c r="B62" s="48"/>
      <c r="C62" s="48"/>
      <c r="D62" s="40"/>
      <c r="E62" s="40"/>
      <c r="F62" s="40"/>
      <c r="G62" s="40"/>
      <c r="H62" s="40"/>
      <c r="I62" s="40"/>
      <c r="J62" s="1"/>
      <c r="K62" s="80"/>
      <c r="L62" s="1768" t="str">
        <f>Z4</f>
        <v>Selected LA- (none)</v>
      </c>
      <c r="M62" s="1769"/>
      <c r="N62" s="1769"/>
      <c r="O62" s="1912"/>
      <c r="P62" s="79"/>
      <c r="Q62" s="1768" t="s">
        <v>167</v>
      </c>
      <c r="R62" s="1769"/>
      <c r="S62" s="1769"/>
      <c r="T62" s="1912"/>
      <c r="U62" s="86"/>
      <c r="V62" s="102"/>
      <c r="W62" s="115"/>
      <c r="X62" s="61"/>
      <c r="Y62" s="61"/>
      <c r="Z62" s="61"/>
      <c r="AA62" s="61"/>
      <c r="AB62" s="61"/>
      <c r="AC62" s="61"/>
      <c r="AD62" s="141"/>
      <c r="AE62" s="141"/>
      <c r="AF62" s="141"/>
      <c r="AG62" s="141"/>
      <c r="AH62" s="141"/>
      <c r="AI62" s="61"/>
      <c r="AJ62" s="12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row>
    <row r="63" spans="1:76" s="56" customFormat="1" ht="46.5" customHeight="1">
      <c r="A63" s="87"/>
      <c r="B63" s="48"/>
      <c r="C63" s="48"/>
      <c r="D63" s="40"/>
      <c r="E63" s="40"/>
      <c r="F63" s="40"/>
      <c r="G63" s="40"/>
      <c r="H63" s="40"/>
      <c r="I63" s="40"/>
      <c r="J63" s="1"/>
      <c r="K63" s="5"/>
      <c r="L63" s="5"/>
      <c r="M63" s="5"/>
      <c r="N63" s="5"/>
      <c r="O63" s="5"/>
      <c r="P63" s="5"/>
      <c r="Q63" s="5"/>
      <c r="R63" s="5"/>
      <c r="S63" s="5"/>
      <c r="T63" s="5"/>
      <c r="U63" s="86"/>
      <c r="V63" s="102"/>
      <c r="W63" s="115"/>
      <c r="X63" s="61"/>
      <c r="Y63" s="61"/>
      <c r="Z63" s="61"/>
      <c r="AA63" s="61"/>
      <c r="AB63" s="61"/>
      <c r="AC63" s="61"/>
      <c r="AD63" s="141"/>
      <c r="AE63" s="141"/>
      <c r="AF63" s="141"/>
      <c r="AG63" s="141"/>
      <c r="AH63" s="141"/>
      <c r="AI63" s="61"/>
      <c r="AJ63" s="12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row>
    <row r="64" spans="1:76" s="61" customFormat="1" ht="46.5" customHeight="1">
      <c r="A64" s="88"/>
      <c r="B64" s="78"/>
      <c r="C64" s="78"/>
      <c r="D64" s="78"/>
      <c r="E64" s="78"/>
      <c r="F64" s="78"/>
      <c r="G64" s="78"/>
      <c r="H64" s="78"/>
      <c r="I64" s="78"/>
      <c r="J64" s="68"/>
      <c r="K64" s="59"/>
      <c r="L64" s="59"/>
      <c r="M64" s="59"/>
      <c r="N64" s="59"/>
      <c r="O64" s="59"/>
      <c r="P64" s="59"/>
      <c r="Q64" s="59"/>
      <c r="R64" s="59"/>
      <c r="S64" s="59"/>
      <c r="T64" s="59"/>
      <c r="U64" s="89"/>
      <c r="V64" s="103"/>
      <c r="W64" s="114"/>
      <c r="AD64" s="56"/>
      <c r="AE64" s="56"/>
      <c r="AF64" s="56"/>
      <c r="AG64" s="56"/>
      <c r="AH64" s="56"/>
      <c r="AI64" s="52"/>
      <c r="AJ64" s="119"/>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row>
    <row r="65" spans="1:76" s="61" customFormat="1" ht="46.5" customHeight="1">
      <c r="A65" s="88"/>
      <c r="B65" s="78"/>
      <c r="C65" s="78"/>
      <c r="D65" s="78"/>
      <c r="E65" s="78"/>
      <c r="F65" s="78"/>
      <c r="G65" s="78"/>
      <c r="H65" s="78"/>
      <c r="I65" s="78"/>
      <c r="J65" s="68"/>
      <c r="K65" s="59"/>
      <c r="L65" s="59"/>
      <c r="M65" s="59"/>
      <c r="N65" s="59"/>
      <c r="O65" s="59"/>
      <c r="P65" s="59"/>
      <c r="Q65" s="59"/>
      <c r="R65" s="59"/>
      <c r="S65" s="59"/>
      <c r="T65" s="59"/>
      <c r="U65" s="89"/>
      <c r="V65" s="121"/>
      <c r="W65" s="114"/>
      <c r="AD65" s="56"/>
      <c r="AE65" s="56"/>
      <c r="AF65" s="56"/>
      <c r="AG65" s="56"/>
      <c r="AH65" s="56"/>
      <c r="AI65" s="52"/>
      <c r="AJ65" s="119"/>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row>
    <row r="66" spans="1:76" ht="7.5" customHeight="1">
      <c r="A66" s="87"/>
      <c r="B66" s="12"/>
      <c r="C66" s="12"/>
      <c r="D66" s="11"/>
      <c r="E66" s="11"/>
      <c r="F66" s="11"/>
      <c r="G66" s="11"/>
      <c r="H66" s="11"/>
      <c r="I66" s="11"/>
      <c r="J66" s="1"/>
      <c r="K66" s="13"/>
      <c r="L66" s="13"/>
      <c r="M66" s="13"/>
      <c r="N66" s="13"/>
      <c r="O66" s="13"/>
      <c r="P66" s="13"/>
      <c r="Q66" s="13"/>
      <c r="R66" s="13"/>
      <c r="S66" s="13"/>
      <c r="T66" s="14"/>
      <c r="U66" s="86"/>
      <c r="V66" s="185"/>
      <c r="W66" s="114"/>
      <c r="X66" s="61"/>
      <c r="Y66" s="61"/>
      <c r="Z66" s="61"/>
      <c r="AA66" s="61"/>
      <c r="AB66" s="61"/>
      <c r="AC66" s="61"/>
      <c r="AJ66" s="119"/>
    </row>
    <row r="67" spans="1:76" ht="15" customHeight="1">
      <c r="A67" s="1565"/>
      <c r="B67" s="1751"/>
      <c r="C67" s="1751"/>
      <c r="D67" s="1751"/>
      <c r="E67" s="1751"/>
      <c r="F67" s="1751"/>
      <c r="G67" s="1751"/>
      <c r="H67" s="1751"/>
      <c r="I67" s="1751"/>
      <c r="J67" s="1751"/>
      <c r="K67" s="1751"/>
      <c r="L67" s="1751"/>
      <c r="M67" s="1751"/>
      <c r="N67" s="1751"/>
      <c r="O67" s="1751"/>
      <c r="P67" s="1751"/>
      <c r="Q67" s="1751"/>
      <c r="R67" s="1751"/>
      <c r="S67" s="1751"/>
      <c r="T67" s="1751"/>
      <c r="U67" s="1752"/>
      <c r="V67" s="185"/>
      <c r="W67" s="114"/>
      <c r="X67" s="61"/>
      <c r="Y67" s="61"/>
      <c r="Z67" s="61"/>
      <c r="AA67" s="61"/>
      <c r="AB67" s="61"/>
      <c r="AC67" s="61"/>
      <c r="AJ67" s="119"/>
    </row>
    <row r="68" spans="1:76" ht="11.25" customHeight="1">
      <c r="A68" s="1739"/>
      <c r="B68" s="1740"/>
      <c r="C68" s="1740"/>
      <c r="D68" s="1740"/>
      <c r="E68" s="1740"/>
      <c r="F68" s="1740"/>
      <c r="G68" s="1740"/>
      <c r="H68" s="1740"/>
      <c r="I68" s="1741"/>
      <c r="J68" s="1740"/>
      <c r="K68" s="1740"/>
      <c r="L68" s="1740"/>
      <c r="M68" s="1740"/>
      <c r="N68" s="1740"/>
      <c r="O68" s="1740"/>
      <c r="P68" s="1742"/>
      <c r="Q68" s="1740"/>
      <c r="R68" s="1740"/>
      <c r="S68" s="1741"/>
      <c r="T68" s="1740"/>
      <c r="U68" s="1743"/>
      <c r="V68" s="185"/>
      <c r="W68" s="114"/>
      <c r="X68" s="52"/>
      <c r="Y68" s="52"/>
      <c r="Z68" s="52"/>
      <c r="AA68" s="52"/>
      <c r="AB68" s="52"/>
      <c r="AC68" s="52"/>
      <c r="AD68" s="52"/>
      <c r="AE68" s="52"/>
      <c r="AF68" s="52"/>
      <c r="AG68" s="52"/>
      <c r="AH68" s="52"/>
      <c r="AJ68" s="119"/>
    </row>
    <row r="69" spans="1:76" ht="11.25" customHeight="1">
      <c r="A69" s="81"/>
      <c r="B69" s="82"/>
      <c r="C69" s="82"/>
      <c r="D69" s="82"/>
      <c r="E69" s="82"/>
      <c r="F69" s="82"/>
      <c r="G69" s="82"/>
      <c r="H69" s="82"/>
      <c r="I69" s="82"/>
      <c r="J69" s="83"/>
      <c r="K69" s="82"/>
      <c r="L69" s="82"/>
      <c r="M69" s="82"/>
      <c r="N69" s="82"/>
      <c r="O69" s="82"/>
      <c r="P69" s="82"/>
      <c r="Q69" s="82"/>
      <c r="R69" s="82"/>
      <c r="S69" s="82"/>
      <c r="T69" s="82"/>
      <c r="U69" s="84"/>
      <c r="V69" s="102"/>
      <c r="W69" s="114"/>
      <c r="X69" s="52"/>
      <c r="Y69" s="52"/>
      <c r="Z69" s="146"/>
      <c r="AA69" s="146"/>
      <c r="AB69" s="147"/>
      <c r="AC69" s="147"/>
      <c r="AJ69" s="119"/>
    </row>
    <row r="70" spans="1:76" ht="15" customHeight="1">
      <c r="A70" s="87"/>
      <c r="B70" s="41"/>
      <c r="C70" s="47"/>
      <c r="D70" s="47"/>
      <c r="E70" s="47"/>
      <c r="F70" s="47"/>
      <c r="G70" s="47"/>
      <c r="H70" s="47"/>
      <c r="I70" s="47"/>
      <c r="J70" s="50"/>
      <c r="K70" s="50"/>
      <c r="L70" s="50"/>
      <c r="M70" s="50"/>
      <c r="N70" s="224"/>
      <c r="O70" s="50"/>
      <c r="P70" s="50"/>
      <c r="Q70" s="50"/>
      <c r="R70" s="50"/>
      <c r="S70" s="50"/>
      <c r="T70" s="50"/>
      <c r="U70" s="86"/>
      <c r="V70" s="102"/>
      <c r="W70" s="115"/>
      <c r="X70" s="52"/>
      <c r="Y70" s="52"/>
      <c r="Z70" s="146"/>
      <c r="AA70" s="146"/>
      <c r="AB70" s="147"/>
      <c r="AC70" s="147"/>
      <c r="AD70" s="149"/>
      <c r="AE70" s="141"/>
      <c r="AF70" s="141"/>
      <c r="AG70" s="141"/>
      <c r="AH70" s="141"/>
      <c r="AI70" s="61"/>
      <c r="AJ70" s="12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row>
    <row r="71" spans="1:76" ht="13.5" customHeight="1">
      <c r="A71" s="87"/>
      <c r="B71" s="47"/>
      <c r="C71" s="47"/>
      <c r="D71" s="47"/>
      <c r="E71" s="47"/>
      <c r="F71" s="47"/>
      <c r="G71" s="47"/>
      <c r="H71" s="47"/>
      <c r="I71" s="47"/>
      <c r="J71" s="50"/>
      <c r="K71" s="50"/>
      <c r="L71" s="50"/>
      <c r="M71" s="50"/>
      <c r="N71" s="224"/>
      <c r="O71" s="50"/>
      <c r="P71" s="50"/>
      <c r="Q71" s="50"/>
      <c r="R71" s="5"/>
      <c r="S71" s="50"/>
      <c r="T71" s="50"/>
      <c r="U71" s="86"/>
      <c r="V71" s="102"/>
      <c r="W71" s="115"/>
      <c r="X71" s="350"/>
      <c r="Y71" s="242" t="s">
        <v>112</v>
      </c>
      <c r="Z71" s="242" t="s">
        <v>113</v>
      </c>
      <c r="AA71" s="146"/>
      <c r="AB71" s="147"/>
      <c r="AC71" s="147"/>
      <c r="AD71" s="149"/>
      <c r="AE71" s="141"/>
      <c r="AF71" s="141"/>
      <c r="AG71" s="141"/>
      <c r="AH71" s="141"/>
      <c r="AI71" s="61"/>
      <c r="AJ71" s="12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row>
    <row r="72" spans="1:76" s="61" customFormat="1" ht="12" customHeight="1">
      <c r="A72" s="88"/>
      <c r="B72" s="47"/>
      <c r="C72" s="47"/>
      <c r="D72" s="47"/>
      <c r="E72" s="47"/>
      <c r="F72" s="47"/>
      <c r="G72" s="47"/>
      <c r="H72" s="47"/>
      <c r="I72" s="68"/>
      <c r="J72" s="68"/>
      <c r="K72" s="43"/>
      <c r="L72" s="43"/>
      <c r="M72" s="43"/>
      <c r="N72" s="43"/>
      <c r="O72" s="43"/>
      <c r="P72" s="43"/>
      <c r="Q72" s="225"/>
      <c r="R72" s="225"/>
      <c r="S72" s="120"/>
      <c r="T72" s="226"/>
      <c r="U72" s="89"/>
      <c r="V72" s="103"/>
      <c r="W72" s="115"/>
      <c r="X72" s="351" t="str">
        <f t="shared" ref="X72:X92" si="33">B11</f>
        <v>Bracknell Forest</v>
      </c>
      <c r="Y72" s="244" t="e">
        <f t="shared" ref="Y72:Y92" si="34">IF(X72=$Y$4,I11,#N/A)</f>
        <v>#N/A</v>
      </c>
      <c r="Z72" s="244" t="e">
        <f t="shared" ref="Z72:Z92" si="35">IF(X72=$Y$4,T11,#N/A)</f>
        <v>#N/A</v>
      </c>
      <c r="AA72" s="146"/>
      <c r="AB72" s="147"/>
      <c r="AC72" s="147"/>
      <c r="AD72" s="149"/>
      <c r="AE72" s="141"/>
      <c r="AF72" s="141"/>
      <c r="AG72" s="141"/>
      <c r="AH72" s="141"/>
      <c r="AJ72" s="121"/>
    </row>
    <row r="73" spans="1:76" s="61" customFormat="1" ht="24" customHeight="1">
      <c r="A73" s="88"/>
      <c r="B73" s="47"/>
      <c r="C73" s="47"/>
      <c r="D73" s="47"/>
      <c r="E73" s="47"/>
      <c r="F73" s="47"/>
      <c r="G73" s="47"/>
      <c r="H73" s="47"/>
      <c r="I73" s="68"/>
      <c r="J73" s="68"/>
      <c r="K73" s="127"/>
      <c r="L73" s="127"/>
      <c r="M73" s="127"/>
      <c r="N73" s="127"/>
      <c r="O73" s="127"/>
      <c r="P73" s="127"/>
      <c r="Q73" s="127"/>
      <c r="R73" s="128"/>
      <c r="S73" s="120"/>
      <c r="T73" s="127"/>
      <c r="U73" s="89"/>
      <c r="V73" s="103"/>
      <c r="W73" s="115"/>
      <c r="X73" s="351" t="str">
        <f t="shared" si="33"/>
        <v>Brighton &amp; Hove</v>
      </c>
      <c r="Y73" s="244" t="e">
        <f t="shared" si="34"/>
        <v>#N/A</v>
      </c>
      <c r="Z73" s="244" t="e">
        <f t="shared" si="35"/>
        <v>#N/A</v>
      </c>
      <c r="AA73" s="146"/>
      <c r="AB73" s="147"/>
      <c r="AC73" s="147"/>
      <c r="AD73" s="149"/>
      <c r="AE73" s="141"/>
      <c r="AF73" s="141"/>
      <c r="AG73" s="141"/>
      <c r="AH73" s="141"/>
      <c r="AJ73" s="121"/>
    </row>
    <row r="74" spans="1:76" s="61" customFormat="1" ht="12.75" customHeight="1">
      <c r="A74" s="88"/>
      <c r="B74" s="47"/>
      <c r="C74" s="47"/>
      <c r="D74" s="47"/>
      <c r="E74" s="47"/>
      <c r="F74" s="47"/>
      <c r="G74" s="47"/>
      <c r="H74" s="47"/>
      <c r="I74" s="68"/>
      <c r="J74" s="68"/>
      <c r="K74" s="127"/>
      <c r="L74" s="127"/>
      <c r="M74" s="127"/>
      <c r="N74" s="127"/>
      <c r="O74" s="127"/>
      <c r="P74" s="127"/>
      <c r="Q74" s="127"/>
      <c r="R74" s="128"/>
      <c r="S74" s="120"/>
      <c r="T74" s="127"/>
      <c r="U74" s="89"/>
      <c r="V74" s="103"/>
      <c r="W74" s="115"/>
      <c r="X74" s="351" t="str">
        <f t="shared" si="33"/>
        <v>Buckinghamshire</v>
      </c>
      <c r="Y74" s="244" t="e">
        <f t="shared" si="34"/>
        <v>#N/A</v>
      </c>
      <c r="Z74" s="244" t="e">
        <f t="shared" si="35"/>
        <v>#N/A</v>
      </c>
      <c r="AA74" s="146"/>
      <c r="AB74" s="147"/>
      <c r="AC74" s="147"/>
      <c r="AD74" s="149"/>
      <c r="AE74" s="141"/>
      <c r="AF74" s="141"/>
      <c r="AG74" s="141"/>
      <c r="AH74" s="141"/>
      <c r="AJ74" s="121"/>
    </row>
    <row r="75" spans="1:76" s="61" customFormat="1" ht="12.75" customHeight="1">
      <c r="A75" s="88"/>
      <c r="B75" s="47"/>
      <c r="C75" s="47"/>
      <c r="D75" s="47"/>
      <c r="E75" s="47"/>
      <c r="F75" s="47"/>
      <c r="G75" s="47"/>
      <c r="H75" s="47"/>
      <c r="I75" s="68"/>
      <c r="J75" s="68"/>
      <c r="K75" s="127"/>
      <c r="L75" s="127"/>
      <c r="M75" s="127"/>
      <c r="N75" s="127"/>
      <c r="O75" s="127"/>
      <c r="P75" s="127"/>
      <c r="Q75" s="127"/>
      <c r="R75" s="128"/>
      <c r="S75" s="120"/>
      <c r="T75" s="127"/>
      <c r="U75" s="89"/>
      <c r="V75" s="103"/>
      <c r="W75" s="115"/>
      <c r="X75" s="351" t="str">
        <f t="shared" si="33"/>
        <v>East Sussex</v>
      </c>
      <c r="Y75" s="244" t="e">
        <f t="shared" si="34"/>
        <v>#N/A</v>
      </c>
      <c r="Z75" s="244" t="e">
        <f t="shared" si="35"/>
        <v>#N/A</v>
      </c>
      <c r="AA75" s="146"/>
      <c r="AB75" s="147"/>
      <c r="AC75" s="147"/>
      <c r="AD75" s="149"/>
      <c r="AE75" s="141"/>
      <c r="AF75" s="141"/>
      <c r="AG75" s="141"/>
      <c r="AH75" s="141"/>
      <c r="AJ75" s="121"/>
    </row>
    <row r="76" spans="1:76" s="61" customFormat="1" ht="12.75" customHeight="1">
      <c r="A76" s="88"/>
      <c r="B76" s="47"/>
      <c r="C76" s="47"/>
      <c r="D76" s="47"/>
      <c r="E76" s="47"/>
      <c r="F76" s="47"/>
      <c r="G76" s="47"/>
      <c r="H76" s="47"/>
      <c r="I76" s="68"/>
      <c r="J76" s="68"/>
      <c r="K76" s="127"/>
      <c r="L76" s="127"/>
      <c r="M76" s="127"/>
      <c r="N76" s="127"/>
      <c r="O76" s="127"/>
      <c r="P76" s="127"/>
      <c r="Q76" s="127"/>
      <c r="R76" s="128"/>
      <c r="S76" s="120"/>
      <c r="T76" s="127"/>
      <c r="U76" s="89"/>
      <c r="V76" s="103"/>
      <c r="W76" s="115"/>
      <c r="X76" s="351" t="str">
        <f t="shared" si="33"/>
        <v>Hampshire</v>
      </c>
      <c r="Y76" s="244" t="e">
        <f t="shared" si="34"/>
        <v>#N/A</v>
      </c>
      <c r="Z76" s="244" t="e">
        <f t="shared" si="35"/>
        <v>#N/A</v>
      </c>
      <c r="AA76" s="146"/>
      <c r="AB76" s="147"/>
      <c r="AC76" s="147"/>
      <c r="AD76" s="149"/>
      <c r="AE76" s="141"/>
      <c r="AF76" s="141"/>
      <c r="AG76" s="141"/>
      <c r="AH76" s="141"/>
      <c r="AJ76" s="121"/>
      <c r="AR76" s="61" t="s">
        <v>95</v>
      </c>
    </row>
    <row r="77" spans="1:76" s="61" customFormat="1" ht="12.75" customHeight="1">
      <c r="A77" s="88"/>
      <c r="B77" s="47"/>
      <c r="C77" s="47"/>
      <c r="D77" s="47"/>
      <c r="E77" s="47"/>
      <c r="F77" s="47"/>
      <c r="G77" s="47"/>
      <c r="H77" s="47"/>
      <c r="I77" s="68"/>
      <c r="J77" s="68"/>
      <c r="K77" s="127"/>
      <c r="L77" s="127"/>
      <c r="M77" s="127"/>
      <c r="N77" s="127"/>
      <c r="O77" s="127"/>
      <c r="P77" s="127"/>
      <c r="Q77" s="127"/>
      <c r="R77" s="128"/>
      <c r="S77" s="120"/>
      <c r="T77" s="127"/>
      <c r="U77" s="89"/>
      <c r="V77" s="103"/>
      <c r="W77" s="115"/>
      <c r="X77" s="351" t="str">
        <f t="shared" si="33"/>
        <v>Isle of Wight</v>
      </c>
      <c r="Y77" s="244" t="e">
        <f t="shared" si="34"/>
        <v>#N/A</v>
      </c>
      <c r="Z77" s="244" t="e">
        <f t="shared" si="35"/>
        <v>#N/A</v>
      </c>
      <c r="AA77" s="146"/>
      <c r="AB77" s="147"/>
      <c r="AC77" s="147"/>
      <c r="AD77" s="149"/>
      <c r="AE77" s="141"/>
      <c r="AF77" s="141"/>
      <c r="AG77" s="141"/>
      <c r="AH77" s="141"/>
      <c r="AJ77" s="121"/>
    </row>
    <row r="78" spans="1:76" s="61" customFormat="1" ht="12.75" customHeight="1">
      <c r="A78" s="88"/>
      <c r="B78" s="47"/>
      <c r="C78" s="47"/>
      <c r="D78" s="47"/>
      <c r="E78" s="47"/>
      <c r="F78" s="47"/>
      <c r="G78" s="47"/>
      <c r="H78" s="47"/>
      <c r="I78" s="68"/>
      <c r="J78" s="68"/>
      <c r="K78" s="127"/>
      <c r="L78" s="127"/>
      <c r="M78" s="127"/>
      <c r="N78" s="127"/>
      <c r="O78" s="127"/>
      <c r="P78" s="127"/>
      <c r="Q78" s="127"/>
      <c r="R78" s="128"/>
      <c r="S78" s="120"/>
      <c r="T78" s="127"/>
      <c r="U78" s="89"/>
      <c r="V78" s="103"/>
      <c r="W78" s="115"/>
      <c r="X78" s="351" t="str">
        <f t="shared" si="33"/>
        <v>Kent</v>
      </c>
      <c r="Y78" s="244" t="e">
        <f t="shared" si="34"/>
        <v>#N/A</v>
      </c>
      <c r="Z78" s="244" t="e">
        <f t="shared" si="35"/>
        <v>#N/A</v>
      </c>
      <c r="AA78" s="146"/>
      <c r="AB78" s="147"/>
      <c r="AC78" s="147"/>
      <c r="AD78" s="149"/>
      <c r="AE78" s="141"/>
      <c r="AF78" s="141"/>
      <c r="AG78" s="141"/>
      <c r="AH78" s="141"/>
      <c r="AJ78" s="121"/>
    </row>
    <row r="79" spans="1:76" s="61" customFormat="1" ht="12.75" customHeight="1">
      <c r="A79" s="88"/>
      <c r="B79" s="47"/>
      <c r="C79" s="47"/>
      <c r="D79" s="47"/>
      <c r="E79" s="47"/>
      <c r="F79" s="47"/>
      <c r="G79" s="47"/>
      <c r="H79" s="47"/>
      <c r="I79" s="68"/>
      <c r="J79" s="68"/>
      <c r="K79" s="127"/>
      <c r="L79" s="127"/>
      <c r="M79" s="127"/>
      <c r="N79" s="127"/>
      <c r="O79" s="127"/>
      <c r="P79" s="127"/>
      <c r="Q79" s="127"/>
      <c r="R79" s="128"/>
      <c r="S79" s="120"/>
      <c r="T79" s="127"/>
      <c r="U79" s="89"/>
      <c r="V79" s="103"/>
      <c r="W79" s="115"/>
      <c r="X79" s="351" t="str">
        <f t="shared" si="33"/>
        <v>Medway</v>
      </c>
      <c r="Y79" s="244" t="e">
        <f t="shared" si="34"/>
        <v>#N/A</v>
      </c>
      <c r="Z79" s="244" t="e">
        <f t="shared" si="35"/>
        <v>#N/A</v>
      </c>
      <c r="AA79" s="146"/>
      <c r="AB79" s="147"/>
      <c r="AC79" s="147"/>
      <c r="AD79" s="149"/>
      <c r="AE79" s="141"/>
      <c r="AF79" s="141"/>
      <c r="AG79" s="141"/>
      <c r="AH79" s="141"/>
      <c r="AJ79" s="121"/>
    </row>
    <row r="80" spans="1:76" s="61" customFormat="1" ht="12.75" customHeight="1">
      <c r="A80" s="88"/>
      <c r="B80" s="47"/>
      <c r="C80" s="47"/>
      <c r="D80" s="47"/>
      <c r="E80" s="47"/>
      <c r="F80" s="47"/>
      <c r="G80" s="47"/>
      <c r="H80" s="47"/>
      <c r="I80" s="68"/>
      <c r="J80" s="68"/>
      <c r="K80" s="127"/>
      <c r="L80" s="127"/>
      <c r="M80" s="127"/>
      <c r="N80" s="127"/>
      <c r="O80" s="127"/>
      <c r="P80" s="127"/>
      <c r="Q80" s="127"/>
      <c r="R80" s="128"/>
      <c r="S80" s="120"/>
      <c r="T80" s="127"/>
      <c r="U80" s="89"/>
      <c r="V80" s="103"/>
      <c r="W80" s="115"/>
      <c r="X80" s="351" t="str">
        <f t="shared" si="33"/>
        <v>Milton Keynes</v>
      </c>
      <c r="Y80" s="244" t="e">
        <f t="shared" si="34"/>
        <v>#N/A</v>
      </c>
      <c r="Z80" s="244" t="e">
        <f t="shared" si="35"/>
        <v>#N/A</v>
      </c>
      <c r="AA80" s="146"/>
      <c r="AB80" s="147"/>
      <c r="AC80" s="147"/>
      <c r="AD80" s="149"/>
      <c r="AE80" s="141"/>
      <c r="AF80" s="141"/>
      <c r="AG80" s="141"/>
      <c r="AH80" s="141"/>
      <c r="AJ80" s="121"/>
    </row>
    <row r="81" spans="1:76" s="61" customFormat="1" ht="12.75" customHeight="1">
      <c r="A81" s="88"/>
      <c r="B81" s="47"/>
      <c r="C81" s="47"/>
      <c r="D81" s="47"/>
      <c r="E81" s="47"/>
      <c r="F81" s="47"/>
      <c r="G81" s="47"/>
      <c r="H81" s="47"/>
      <c r="I81" s="68"/>
      <c r="J81" s="68"/>
      <c r="K81" s="127"/>
      <c r="L81" s="127"/>
      <c r="M81" s="127"/>
      <c r="N81" s="127"/>
      <c r="O81" s="127"/>
      <c r="P81" s="127"/>
      <c r="Q81" s="127"/>
      <c r="R81" s="128"/>
      <c r="S81" s="120"/>
      <c r="T81" s="127"/>
      <c r="U81" s="89"/>
      <c r="V81" s="103"/>
      <c r="W81" s="115"/>
      <c r="X81" s="351" t="str">
        <f t="shared" si="33"/>
        <v>Oxfordshire</v>
      </c>
      <c r="Y81" s="244" t="e">
        <f t="shared" si="34"/>
        <v>#N/A</v>
      </c>
      <c r="Z81" s="244" t="e">
        <f t="shared" si="35"/>
        <v>#N/A</v>
      </c>
      <c r="AA81" s="146"/>
      <c r="AB81" s="147"/>
      <c r="AC81" s="147"/>
      <c r="AD81" s="149"/>
      <c r="AE81" s="141"/>
      <c r="AF81" s="141"/>
      <c r="AG81" s="141"/>
      <c r="AH81" s="141"/>
      <c r="AJ81" s="121"/>
    </row>
    <row r="82" spans="1:76" s="61" customFormat="1" ht="12.75" customHeight="1">
      <c r="A82" s="88"/>
      <c r="B82" s="47"/>
      <c r="C82" s="47"/>
      <c r="D82" s="47"/>
      <c r="E82" s="47"/>
      <c r="F82" s="47"/>
      <c r="G82" s="47"/>
      <c r="H82" s="47"/>
      <c r="I82" s="68"/>
      <c r="J82" s="68"/>
      <c r="K82" s="127"/>
      <c r="L82" s="127"/>
      <c r="M82" s="127"/>
      <c r="N82" s="127"/>
      <c r="O82" s="127"/>
      <c r="P82" s="127"/>
      <c r="Q82" s="127"/>
      <c r="R82" s="128"/>
      <c r="S82" s="120"/>
      <c r="T82" s="127"/>
      <c r="U82" s="89"/>
      <c r="V82" s="103"/>
      <c r="W82" s="115"/>
      <c r="X82" s="351" t="str">
        <f t="shared" si="33"/>
        <v>Portsmouth</v>
      </c>
      <c r="Y82" s="244" t="e">
        <f t="shared" si="34"/>
        <v>#N/A</v>
      </c>
      <c r="Z82" s="244" t="e">
        <f t="shared" si="35"/>
        <v>#N/A</v>
      </c>
      <c r="AA82" s="146"/>
      <c r="AB82" s="147"/>
      <c r="AC82" s="147"/>
      <c r="AD82" s="149"/>
      <c r="AE82" s="141"/>
      <c r="AF82" s="141"/>
      <c r="AG82" s="141"/>
      <c r="AH82" s="141"/>
      <c r="AJ82" s="121"/>
    </row>
    <row r="83" spans="1:76" s="61" customFormat="1" ht="12.75" customHeight="1">
      <c r="A83" s="88"/>
      <c r="B83" s="47"/>
      <c r="C83" s="47"/>
      <c r="D83" s="47"/>
      <c r="E83" s="47"/>
      <c r="F83" s="47"/>
      <c r="G83" s="47"/>
      <c r="H83" s="47"/>
      <c r="I83" s="68"/>
      <c r="J83" s="68"/>
      <c r="K83" s="127"/>
      <c r="L83" s="127"/>
      <c r="M83" s="127"/>
      <c r="N83" s="127"/>
      <c r="O83" s="127"/>
      <c r="P83" s="127"/>
      <c r="Q83" s="127"/>
      <c r="R83" s="128"/>
      <c r="S83" s="120"/>
      <c r="T83" s="127"/>
      <c r="U83" s="89"/>
      <c r="V83" s="103"/>
      <c r="W83" s="115"/>
      <c r="X83" s="351" t="str">
        <f t="shared" si="33"/>
        <v>Reading</v>
      </c>
      <c r="Y83" s="244" t="e">
        <f t="shared" si="34"/>
        <v>#N/A</v>
      </c>
      <c r="Z83" s="244" t="e">
        <f t="shared" si="35"/>
        <v>#N/A</v>
      </c>
      <c r="AA83" s="146"/>
      <c r="AB83" s="147"/>
      <c r="AC83" s="147"/>
      <c r="AD83" s="149"/>
      <c r="AE83" s="141"/>
      <c r="AF83" s="141"/>
      <c r="AG83" s="141"/>
      <c r="AH83" s="141"/>
      <c r="AJ83" s="121"/>
    </row>
    <row r="84" spans="1:76" s="61" customFormat="1" ht="12.75" customHeight="1">
      <c r="A84" s="88"/>
      <c r="B84" s="47"/>
      <c r="C84" s="47"/>
      <c r="D84" s="47"/>
      <c r="E84" s="47"/>
      <c r="F84" s="47"/>
      <c r="G84" s="47"/>
      <c r="H84" s="47"/>
      <c r="I84" s="68"/>
      <c r="J84" s="68"/>
      <c r="K84" s="127"/>
      <c r="L84" s="127"/>
      <c r="M84" s="127"/>
      <c r="N84" s="127"/>
      <c r="O84" s="127"/>
      <c r="P84" s="127"/>
      <c r="Q84" s="127"/>
      <c r="R84" s="128"/>
      <c r="S84" s="120"/>
      <c r="T84" s="127"/>
      <c r="U84" s="89"/>
      <c r="V84" s="103"/>
      <c r="W84" s="115"/>
      <c r="X84" s="351" t="str">
        <f t="shared" si="33"/>
        <v>Slough</v>
      </c>
      <c r="Y84" s="244" t="e">
        <f t="shared" si="34"/>
        <v>#N/A</v>
      </c>
      <c r="Z84" s="244" t="e">
        <f t="shared" si="35"/>
        <v>#N/A</v>
      </c>
      <c r="AA84" s="146"/>
      <c r="AB84" s="147"/>
      <c r="AC84" s="147"/>
      <c r="AD84" s="149"/>
      <c r="AE84" s="141"/>
      <c r="AF84" s="141"/>
      <c r="AG84" s="141"/>
      <c r="AH84" s="141"/>
      <c r="AJ84" s="121"/>
    </row>
    <row r="85" spans="1:76" s="61" customFormat="1" ht="12.75" customHeight="1">
      <c r="A85" s="88"/>
      <c r="B85" s="47"/>
      <c r="C85" s="47"/>
      <c r="D85" s="47"/>
      <c r="E85" s="47"/>
      <c r="F85" s="47"/>
      <c r="G85" s="47"/>
      <c r="H85" s="47"/>
      <c r="I85" s="68"/>
      <c r="J85" s="68"/>
      <c r="K85" s="127"/>
      <c r="L85" s="127"/>
      <c r="M85" s="127"/>
      <c r="N85" s="127"/>
      <c r="O85" s="127"/>
      <c r="P85" s="127"/>
      <c r="Q85" s="127"/>
      <c r="R85" s="128"/>
      <c r="S85" s="120"/>
      <c r="T85" s="127"/>
      <c r="U85" s="89"/>
      <c r="V85" s="103"/>
      <c r="W85" s="115"/>
      <c r="X85" s="351" t="str">
        <f t="shared" si="33"/>
        <v>Southampton</v>
      </c>
      <c r="Y85" s="244" t="e">
        <f t="shared" si="34"/>
        <v>#N/A</v>
      </c>
      <c r="Z85" s="244" t="e">
        <f t="shared" si="35"/>
        <v>#N/A</v>
      </c>
      <c r="AA85" s="146"/>
      <c r="AB85" s="147"/>
      <c r="AC85" s="147"/>
      <c r="AD85" s="149"/>
      <c r="AE85" s="141"/>
      <c r="AF85" s="141"/>
      <c r="AG85" s="141"/>
      <c r="AH85" s="141"/>
      <c r="AJ85" s="121"/>
    </row>
    <row r="86" spans="1:76" s="61" customFormat="1" ht="12.75" customHeight="1">
      <c r="A86" s="88"/>
      <c r="B86" s="47"/>
      <c r="C86" s="47"/>
      <c r="D86" s="47"/>
      <c r="E86" s="47"/>
      <c r="F86" s="47"/>
      <c r="G86" s="47"/>
      <c r="H86" s="47"/>
      <c r="I86" s="68"/>
      <c r="J86" s="68"/>
      <c r="K86" s="127"/>
      <c r="L86" s="127"/>
      <c r="M86" s="127"/>
      <c r="N86" s="127"/>
      <c r="O86" s="127"/>
      <c r="P86" s="127"/>
      <c r="Q86" s="127"/>
      <c r="R86" s="128"/>
      <c r="S86" s="120"/>
      <c r="T86" s="127"/>
      <c r="U86" s="89"/>
      <c r="V86" s="103"/>
      <c r="W86" s="115"/>
      <c r="X86" s="351" t="str">
        <f t="shared" si="33"/>
        <v>Surrey</v>
      </c>
      <c r="Y86" s="244" t="e">
        <f t="shared" si="34"/>
        <v>#N/A</v>
      </c>
      <c r="Z86" s="244" t="e">
        <f t="shared" si="35"/>
        <v>#N/A</v>
      </c>
      <c r="AA86" s="146"/>
      <c r="AB86" s="147"/>
      <c r="AC86" s="147"/>
      <c r="AD86" s="149"/>
      <c r="AE86" s="141"/>
      <c r="AF86" s="141"/>
      <c r="AG86" s="141"/>
      <c r="AH86" s="141"/>
      <c r="AJ86" s="121"/>
    </row>
    <row r="87" spans="1:76" s="61" customFormat="1" ht="12.75" customHeight="1">
      <c r="A87" s="88"/>
      <c r="B87" s="47"/>
      <c r="C87" s="47"/>
      <c r="D87" s="47"/>
      <c r="E87" s="47"/>
      <c r="F87" s="47"/>
      <c r="G87" s="47"/>
      <c r="H87" s="47"/>
      <c r="I87" s="68"/>
      <c r="J87" s="68"/>
      <c r="K87" s="127"/>
      <c r="L87" s="127"/>
      <c r="M87" s="127"/>
      <c r="N87" s="127"/>
      <c r="O87" s="127"/>
      <c r="P87" s="127"/>
      <c r="Q87" s="127"/>
      <c r="R87" s="128"/>
      <c r="S87" s="120"/>
      <c r="T87" s="127"/>
      <c r="U87" s="89"/>
      <c r="V87" s="103"/>
      <c r="W87" s="115"/>
      <c r="X87" s="351" t="str">
        <f t="shared" si="33"/>
        <v>West Berkshire</v>
      </c>
      <c r="Y87" s="244" t="e">
        <f t="shared" si="34"/>
        <v>#N/A</v>
      </c>
      <c r="Z87" s="244" t="e">
        <f t="shared" si="35"/>
        <v>#N/A</v>
      </c>
      <c r="AA87" s="146"/>
      <c r="AB87" s="147"/>
      <c r="AC87" s="147"/>
      <c r="AD87" s="149"/>
      <c r="AF87" s="141"/>
      <c r="AG87" s="141"/>
      <c r="AH87" s="141"/>
      <c r="AJ87" s="121"/>
    </row>
    <row r="88" spans="1:76" s="61" customFormat="1" ht="12.75" customHeight="1">
      <c r="A88" s="88"/>
      <c r="B88" s="47"/>
      <c r="C88" s="47"/>
      <c r="D88" s="47"/>
      <c r="E88" s="47"/>
      <c r="F88" s="47"/>
      <c r="G88" s="47"/>
      <c r="H88" s="47"/>
      <c r="I88" s="68"/>
      <c r="J88" s="68"/>
      <c r="K88" s="127"/>
      <c r="L88" s="127"/>
      <c r="M88" s="127"/>
      <c r="N88" s="127"/>
      <c r="O88" s="127"/>
      <c r="P88" s="127"/>
      <c r="Q88" s="127"/>
      <c r="R88" s="128"/>
      <c r="S88" s="120"/>
      <c r="T88" s="127"/>
      <c r="U88" s="89"/>
      <c r="V88" s="103"/>
      <c r="W88" s="115"/>
      <c r="X88" s="351" t="str">
        <f t="shared" si="33"/>
        <v>West Sussex</v>
      </c>
      <c r="Y88" s="244" t="e">
        <f t="shared" si="34"/>
        <v>#N/A</v>
      </c>
      <c r="Z88" s="244" t="e">
        <f t="shared" si="35"/>
        <v>#N/A</v>
      </c>
      <c r="AA88" s="146"/>
      <c r="AB88" s="147"/>
      <c r="AC88" s="147"/>
      <c r="AD88" s="149"/>
      <c r="AF88" s="141"/>
      <c r="AG88" s="141"/>
      <c r="AH88" s="141"/>
      <c r="AJ88" s="121"/>
    </row>
    <row r="89" spans="1:76" s="61" customFormat="1" ht="12.75" customHeight="1">
      <c r="A89" s="217"/>
      <c r="B89" s="47"/>
      <c r="C89" s="47"/>
      <c r="D89" s="47"/>
      <c r="E89" s="47"/>
      <c r="F89" s="47"/>
      <c r="G89" s="47"/>
      <c r="H89" s="47"/>
      <c r="I89" s="68"/>
      <c r="J89" s="68"/>
      <c r="K89" s="127"/>
      <c r="L89" s="127"/>
      <c r="M89" s="127"/>
      <c r="N89" s="127"/>
      <c r="O89" s="127"/>
      <c r="P89" s="127"/>
      <c r="Q89" s="127"/>
      <c r="R89" s="128"/>
      <c r="S89" s="120"/>
      <c r="T89" s="127"/>
      <c r="U89" s="89"/>
      <c r="V89" s="103"/>
      <c r="W89" s="115"/>
      <c r="X89" s="351" t="str">
        <f t="shared" si="33"/>
        <v>Windsor &amp; Maidenhead</v>
      </c>
      <c r="Y89" s="244" t="e">
        <f t="shared" si="34"/>
        <v>#N/A</v>
      </c>
      <c r="Z89" s="244" t="e">
        <f t="shared" si="35"/>
        <v>#N/A</v>
      </c>
      <c r="AA89" s="146"/>
      <c r="AB89" s="147"/>
      <c r="AC89" s="147"/>
      <c r="AD89" s="149"/>
      <c r="AH89" s="141"/>
      <c r="AJ89" s="121"/>
    </row>
    <row r="90" spans="1:76" s="61" customFormat="1" ht="12.75" customHeight="1">
      <c r="A90" s="217"/>
      <c r="B90" s="47"/>
      <c r="C90" s="47"/>
      <c r="D90" s="47"/>
      <c r="E90" s="47"/>
      <c r="F90" s="47"/>
      <c r="G90" s="47"/>
      <c r="H90" s="47"/>
      <c r="I90" s="68"/>
      <c r="J90" s="68"/>
      <c r="K90" s="127"/>
      <c r="L90" s="127"/>
      <c r="M90" s="127"/>
      <c r="N90" s="127"/>
      <c r="O90" s="127"/>
      <c r="P90" s="127"/>
      <c r="Q90" s="127"/>
      <c r="R90" s="128"/>
      <c r="S90" s="120"/>
      <c r="T90" s="127"/>
      <c r="U90" s="89"/>
      <c r="V90" s="103"/>
      <c r="W90" s="115"/>
      <c r="X90" s="351" t="str">
        <f t="shared" si="33"/>
        <v>Wokingham</v>
      </c>
      <c r="Y90" s="244" t="e">
        <f t="shared" si="34"/>
        <v>#N/A</v>
      </c>
      <c r="Z90" s="244" t="e">
        <f t="shared" si="35"/>
        <v>#N/A</v>
      </c>
      <c r="AA90" s="146"/>
      <c r="AB90" s="147"/>
      <c r="AC90" s="147"/>
      <c r="AD90" s="149"/>
      <c r="AH90" s="141"/>
      <c r="AJ90" s="121"/>
    </row>
    <row r="91" spans="1:76" s="61" customFormat="1" ht="12.75" customHeight="1">
      <c r="A91" s="88"/>
      <c r="B91" s="47"/>
      <c r="C91" s="47"/>
      <c r="D91" s="47"/>
      <c r="E91" s="47"/>
      <c r="F91" s="47"/>
      <c r="G91" s="47"/>
      <c r="H91" s="47"/>
      <c r="I91" s="68"/>
      <c r="J91" s="68"/>
      <c r="K91" s="127"/>
      <c r="L91" s="127"/>
      <c r="M91" s="127"/>
      <c r="N91" s="127"/>
      <c r="O91" s="127"/>
      <c r="P91" s="127"/>
      <c r="Q91" s="127"/>
      <c r="R91" s="128"/>
      <c r="S91" s="120"/>
      <c r="T91" s="127"/>
      <c r="U91" s="89"/>
      <c r="V91" s="103"/>
      <c r="W91" s="115"/>
      <c r="X91" s="351" t="str">
        <f t="shared" si="33"/>
        <v>South East</v>
      </c>
      <c r="Y91" s="244" t="e">
        <f t="shared" si="34"/>
        <v>#N/A</v>
      </c>
      <c r="Z91" s="244" t="e">
        <f t="shared" si="35"/>
        <v>#N/A</v>
      </c>
      <c r="AA91" s="146"/>
      <c r="AB91" s="147"/>
      <c r="AC91" s="147"/>
      <c r="AD91" s="149"/>
      <c r="AH91" s="141"/>
      <c r="AJ91" s="121"/>
    </row>
    <row r="92" spans="1:76" s="61" customFormat="1" ht="12.75" customHeight="1">
      <c r="A92" s="88"/>
      <c r="B92" s="47"/>
      <c r="C92" s="47"/>
      <c r="D92" s="47"/>
      <c r="E92" s="47"/>
      <c r="F92" s="47"/>
      <c r="G92" s="47"/>
      <c r="H92" s="47"/>
      <c r="I92" s="68"/>
      <c r="J92" s="68"/>
      <c r="K92" s="127"/>
      <c r="L92" s="127"/>
      <c r="M92" s="127"/>
      <c r="N92" s="127"/>
      <c r="O92" s="127"/>
      <c r="P92" s="127"/>
      <c r="Q92" s="127"/>
      <c r="R92" s="128"/>
      <c r="S92" s="120"/>
      <c r="T92" s="127"/>
      <c r="U92" s="89"/>
      <c r="V92" s="103"/>
      <c r="W92" s="115"/>
      <c r="X92" s="351" t="str">
        <f t="shared" si="33"/>
        <v>England</v>
      </c>
      <c r="Y92" s="244" t="e">
        <f t="shared" si="34"/>
        <v>#N/A</v>
      </c>
      <c r="Z92" s="244" t="e">
        <f t="shared" si="35"/>
        <v>#N/A</v>
      </c>
      <c r="AA92" s="146"/>
      <c r="AB92" s="147"/>
      <c r="AC92" s="147"/>
      <c r="AD92" s="149"/>
      <c r="AH92" s="141"/>
      <c r="AJ92" s="121"/>
    </row>
    <row r="93" spans="1:76" s="61" customFormat="1" ht="12.75" customHeight="1">
      <c r="A93" s="88"/>
      <c r="B93" s="47"/>
      <c r="C93" s="47"/>
      <c r="D93" s="47"/>
      <c r="E93" s="47"/>
      <c r="F93" s="47"/>
      <c r="G93" s="47"/>
      <c r="H93" s="47"/>
      <c r="I93" s="68"/>
      <c r="J93" s="68"/>
      <c r="K93" s="127"/>
      <c r="L93" s="127"/>
      <c r="M93" s="127"/>
      <c r="N93" s="127"/>
      <c r="O93" s="127"/>
      <c r="P93" s="127"/>
      <c r="Q93" s="127"/>
      <c r="R93" s="128"/>
      <c r="S93" s="120"/>
      <c r="T93" s="127"/>
      <c r="U93" s="89"/>
      <c r="V93" s="103"/>
      <c r="W93" s="115"/>
      <c r="AA93" s="146"/>
      <c r="AB93" s="147"/>
      <c r="AC93" s="147"/>
      <c r="AD93" s="149"/>
      <c r="AH93" s="141"/>
      <c r="AJ93" s="121"/>
    </row>
    <row r="94" spans="1:76" s="61" customFormat="1" ht="12.75" customHeight="1">
      <c r="A94" s="88"/>
      <c r="B94" s="47"/>
      <c r="C94" s="47"/>
      <c r="D94" s="47"/>
      <c r="E94" s="47"/>
      <c r="F94" s="47"/>
      <c r="G94" s="47"/>
      <c r="H94" s="47"/>
      <c r="I94" s="68"/>
      <c r="J94" s="68"/>
      <c r="K94" s="127"/>
      <c r="L94" s="127"/>
      <c r="M94" s="127"/>
      <c r="N94" s="127"/>
      <c r="O94" s="127"/>
      <c r="P94" s="127"/>
      <c r="Q94" s="127"/>
      <c r="R94" s="128"/>
      <c r="S94" s="120"/>
      <c r="T94" s="127"/>
      <c r="U94" s="89"/>
      <c r="V94" s="103"/>
      <c r="W94" s="114"/>
      <c r="X94" s="56"/>
      <c r="Y94" s="56"/>
      <c r="Z94" s="56"/>
      <c r="AA94" s="56"/>
      <c r="AB94" s="56"/>
      <c r="AC94" s="147"/>
      <c r="AD94" s="149"/>
      <c r="AE94" s="52"/>
      <c r="AF94" s="52"/>
      <c r="AG94" s="52"/>
      <c r="AH94" s="56"/>
      <c r="AI94" s="52"/>
      <c r="AJ94" s="122"/>
      <c r="AK94" s="56"/>
      <c r="AL94" s="56"/>
      <c r="AM94" s="56"/>
      <c r="AN94" s="56"/>
      <c r="AO94" s="56"/>
      <c r="AP94" s="56"/>
      <c r="AQ94" s="56"/>
      <c r="AR94" s="56"/>
      <c r="AS94" s="56"/>
      <c r="AT94" s="56"/>
      <c r="AU94" s="56"/>
      <c r="AV94" s="56"/>
      <c r="AW94" s="56"/>
      <c r="AX94" s="56"/>
      <c r="AY94" s="56"/>
      <c r="AZ94" s="56"/>
      <c r="BA94" s="56"/>
      <c r="BB94" s="56"/>
      <c r="BC94" s="56"/>
      <c r="BD94" s="56"/>
      <c r="BE94" s="56"/>
      <c r="BF94" s="56"/>
    </row>
    <row r="95" spans="1:76" s="61" customFormat="1" ht="12.75" customHeight="1">
      <c r="A95" s="88"/>
      <c r="B95" s="47"/>
      <c r="C95" s="47"/>
      <c r="D95" s="47"/>
      <c r="E95" s="47"/>
      <c r="F95" s="47"/>
      <c r="G95" s="47"/>
      <c r="H95" s="47"/>
      <c r="I95" s="68"/>
      <c r="J95" s="68"/>
      <c r="K95" s="129"/>
      <c r="L95" s="129"/>
      <c r="M95" s="129"/>
      <c r="N95" s="129"/>
      <c r="O95" s="129"/>
      <c r="P95" s="129"/>
      <c r="Q95" s="129"/>
      <c r="R95" s="130"/>
      <c r="S95" s="120"/>
      <c r="T95" s="131"/>
      <c r="U95" s="89"/>
      <c r="V95" s="103"/>
      <c r="W95" s="114"/>
      <c r="X95" s="56"/>
      <c r="Y95" s="141"/>
      <c r="Z95" s="56"/>
      <c r="AA95" s="56"/>
      <c r="AB95" s="56"/>
      <c r="AC95" s="56"/>
      <c r="AD95" s="149"/>
      <c r="AE95" s="52"/>
      <c r="AF95" s="52"/>
      <c r="AG95" s="52"/>
      <c r="AH95" s="56"/>
      <c r="AI95" s="52"/>
      <c r="AJ95" s="122"/>
      <c r="AK95" s="56"/>
      <c r="AL95" s="56"/>
      <c r="AM95" s="56"/>
      <c r="AN95" s="56"/>
      <c r="AO95" s="56"/>
      <c r="AP95" s="56"/>
      <c r="AQ95" s="56"/>
      <c r="AR95" s="56"/>
      <c r="AS95" s="56"/>
      <c r="AT95" s="56"/>
      <c r="AU95" s="56"/>
      <c r="AV95" s="56"/>
      <c r="AW95" s="56"/>
      <c r="AX95" s="56"/>
      <c r="AY95" s="56"/>
      <c r="AZ95" s="56"/>
      <c r="BA95" s="56"/>
      <c r="BB95" s="56"/>
      <c r="BC95" s="56"/>
      <c r="BD95" s="56"/>
      <c r="BE95" s="56"/>
      <c r="BF95" s="56"/>
    </row>
    <row r="96" spans="1:76" s="61" customFormat="1" ht="12.75" customHeight="1">
      <c r="A96" s="88"/>
      <c r="B96" s="47"/>
      <c r="C96" s="47"/>
      <c r="D96" s="47"/>
      <c r="E96" s="47"/>
      <c r="F96" s="47"/>
      <c r="G96" s="47"/>
      <c r="H96" s="47"/>
      <c r="I96" s="68"/>
      <c r="J96" s="68"/>
      <c r="K96" s="129"/>
      <c r="L96" s="129"/>
      <c r="M96" s="129"/>
      <c r="N96" s="129"/>
      <c r="O96" s="129"/>
      <c r="P96" s="129"/>
      <c r="Q96" s="129"/>
      <c r="R96" s="130"/>
      <c r="S96" s="120"/>
      <c r="T96" s="131"/>
      <c r="U96" s="89"/>
      <c r="V96" s="103"/>
      <c r="W96" s="114"/>
      <c r="X96" s="56"/>
      <c r="Y96" s="141"/>
      <c r="Z96" s="56"/>
      <c r="AA96" s="56"/>
      <c r="AB96" s="56"/>
      <c r="AC96" s="56"/>
      <c r="AD96" s="149"/>
      <c r="AE96" s="52"/>
      <c r="AF96" s="52"/>
      <c r="AG96" s="52"/>
      <c r="AH96" s="56"/>
      <c r="AI96" s="52"/>
      <c r="AJ96" s="122"/>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s="61" customFormat="1" ht="11.1" customHeight="1">
      <c r="A97" s="217"/>
      <c r="B97" s="47"/>
      <c r="C97" s="47"/>
      <c r="D97" s="47"/>
      <c r="E97" s="47"/>
      <c r="F97" s="47"/>
      <c r="G97" s="47"/>
      <c r="H97" s="47"/>
      <c r="I97" s="68"/>
      <c r="J97" s="68"/>
      <c r="K97" s="129"/>
      <c r="L97" s="129"/>
      <c r="M97" s="129"/>
      <c r="N97" s="129"/>
      <c r="O97" s="129"/>
      <c r="P97" s="129"/>
      <c r="Q97" s="129"/>
      <c r="R97" s="130"/>
      <c r="S97" s="120"/>
      <c r="T97" s="131"/>
      <c r="U97" s="89"/>
      <c r="V97" s="103"/>
      <c r="W97" s="114"/>
      <c r="X97" s="56"/>
      <c r="Y97" s="141"/>
      <c r="Z97" s="56"/>
      <c r="AA97" s="56"/>
      <c r="AB97" s="56"/>
      <c r="AC97" s="56"/>
      <c r="AD97" s="56"/>
      <c r="AE97" s="56"/>
      <c r="AF97" s="56"/>
      <c r="AG97" s="56"/>
      <c r="AH97" s="56"/>
      <c r="AI97" s="52"/>
      <c r="AJ97" s="119"/>
      <c r="AK97" s="52"/>
      <c r="AL97" s="52"/>
      <c r="AM97" s="52"/>
      <c r="AN97" s="52"/>
      <c r="AO97" s="52"/>
      <c r="AP97" s="52"/>
      <c r="AQ97" s="52"/>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s="56" customFormat="1" ht="35.450000000000003" customHeight="1">
      <c r="A98" s="166"/>
      <c r="B98" s="47"/>
      <c r="C98" s="47"/>
      <c r="D98" s="47"/>
      <c r="E98" s="47"/>
      <c r="F98" s="47"/>
      <c r="G98" s="47"/>
      <c r="H98" s="47"/>
      <c r="I98" s="171"/>
      <c r="J98" s="133"/>
      <c r="K98" s="133"/>
      <c r="L98" s="133"/>
      <c r="M98" s="133"/>
      <c r="N98" s="133"/>
      <c r="O98" s="133"/>
      <c r="P98" s="133"/>
      <c r="Q98" s="133"/>
      <c r="R98" s="101"/>
      <c r="S98" s="133"/>
      <c r="T98" s="133"/>
      <c r="U98" s="86"/>
      <c r="V98" s="102"/>
      <c r="W98" s="114"/>
      <c r="X98" s="52"/>
      <c r="Y98" s="52"/>
      <c r="AJ98" s="122"/>
      <c r="AS98" s="52"/>
    </row>
    <row r="99" spans="1:76" s="56" customFormat="1" ht="36.6" customHeight="1">
      <c r="A99" s="166"/>
      <c r="B99" s="47"/>
      <c r="C99" s="47"/>
      <c r="D99" s="47"/>
      <c r="E99" s="47"/>
      <c r="F99" s="47"/>
      <c r="G99" s="47"/>
      <c r="H99" s="47"/>
      <c r="I99" s="171"/>
      <c r="J99" s="133"/>
      <c r="K99" s="133"/>
      <c r="L99" s="133"/>
      <c r="M99" s="133"/>
      <c r="N99" s="133"/>
      <c r="O99" s="133"/>
      <c r="P99" s="133"/>
      <c r="Q99" s="133"/>
      <c r="R99" s="101"/>
      <c r="S99" s="133"/>
      <c r="T99" s="133"/>
      <c r="U99" s="86"/>
      <c r="V99" s="102"/>
      <c r="W99" s="114"/>
      <c r="X99" s="52"/>
      <c r="Y99" s="52"/>
      <c r="AI99" s="52"/>
      <c r="AJ99" s="121"/>
      <c r="AK99" s="61"/>
      <c r="AS99" s="52"/>
    </row>
    <row r="100" spans="1:76" s="56" customFormat="1" ht="45.75" customHeight="1">
      <c r="A100" s="166"/>
      <c r="B100" s="171"/>
      <c r="C100" s="171"/>
      <c r="D100" s="171"/>
      <c r="E100" s="171"/>
      <c r="F100" s="171"/>
      <c r="G100" s="171"/>
      <c r="H100" s="171"/>
      <c r="I100" s="171"/>
      <c r="J100" s="133"/>
      <c r="K100" s="133"/>
      <c r="L100" s="133"/>
      <c r="M100" s="133"/>
      <c r="N100" s="133"/>
      <c r="O100" s="133"/>
      <c r="P100" s="133"/>
      <c r="Q100" s="133"/>
      <c r="R100" s="101"/>
      <c r="S100" s="133"/>
      <c r="T100" s="133"/>
      <c r="U100" s="86"/>
      <c r="V100" s="121"/>
      <c r="W100" s="114"/>
      <c r="X100" s="148"/>
      <c r="Y100" s="146"/>
      <c r="Z100" s="52"/>
      <c r="AI100" s="52"/>
      <c r="AJ100" s="119"/>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row>
    <row r="101" spans="1:76" s="56" customFormat="1" ht="7.5" customHeight="1">
      <c r="A101" s="87"/>
      <c r="B101" s="12"/>
      <c r="C101" s="12"/>
      <c r="D101" s="11"/>
      <c r="E101" s="11"/>
      <c r="F101" s="11"/>
      <c r="G101" s="11"/>
      <c r="H101" s="11"/>
      <c r="I101" s="11"/>
      <c r="J101" s="1"/>
      <c r="K101" s="13"/>
      <c r="L101" s="13"/>
      <c r="M101" s="13"/>
      <c r="N101" s="13"/>
      <c r="O101" s="13"/>
      <c r="P101" s="13"/>
      <c r="Q101" s="13"/>
      <c r="R101" s="13"/>
      <c r="S101" s="13"/>
      <c r="T101" s="14"/>
      <c r="U101" s="86"/>
      <c r="V101" s="185"/>
      <c r="W101" s="114"/>
      <c r="X101" s="249" t="s">
        <v>613</v>
      </c>
      <c r="Y101" s="250"/>
      <c r="Z101" s="251"/>
      <c r="AA101" s="251"/>
      <c r="AB101" s="251"/>
      <c r="AI101" s="52"/>
      <c r="AJ101" s="119"/>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row>
    <row r="102" spans="1:76" s="56" customFormat="1" ht="15" customHeight="1">
      <c r="A102" s="1565"/>
      <c r="B102" s="1751"/>
      <c r="C102" s="1751"/>
      <c r="D102" s="1751"/>
      <c r="E102" s="1751"/>
      <c r="F102" s="1751"/>
      <c r="G102" s="1751"/>
      <c r="H102" s="1751"/>
      <c r="I102" s="1751"/>
      <c r="J102" s="1751"/>
      <c r="K102" s="1751"/>
      <c r="L102" s="1751"/>
      <c r="M102" s="1751"/>
      <c r="N102" s="1751"/>
      <c r="O102" s="1751"/>
      <c r="P102" s="1751"/>
      <c r="Q102" s="1751"/>
      <c r="R102" s="1751"/>
      <c r="S102" s="1751"/>
      <c r="T102" s="1751"/>
      <c r="U102" s="1752"/>
      <c r="V102" s="185"/>
      <c r="W102" s="114"/>
      <c r="X102" s="251"/>
      <c r="Y102" s="250"/>
      <c r="Z102" s="251"/>
      <c r="AA102" s="251"/>
      <c r="AB102" s="251"/>
      <c r="AI102" s="52"/>
      <c r="AJ102" s="119"/>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row>
    <row r="103" spans="1:76" s="56" customFormat="1" ht="11.25" customHeight="1">
      <c r="A103" s="1739"/>
      <c r="B103" s="1740"/>
      <c r="C103" s="1740"/>
      <c r="D103" s="1740"/>
      <c r="E103" s="1740"/>
      <c r="F103" s="1740"/>
      <c r="G103" s="1740"/>
      <c r="H103" s="1740"/>
      <c r="I103" s="1741"/>
      <c r="J103" s="1740"/>
      <c r="K103" s="1740"/>
      <c r="L103" s="1740"/>
      <c r="M103" s="1740"/>
      <c r="N103" s="1740"/>
      <c r="O103" s="1740"/>
      <c r="P103" s="1742"/>
      <c r="Q103" s="1740"/>
      <c r="R103" s="1740"/>
      <c r="S103" s="1741"/>
      <c r="T103" s="1740"/>
      <c r="U103" s="1743"/>
      <c r="V103" s="185"/>
      <c r="W103" s="114"/>
      <c r="X103" s="251"/>
      <c r="Y103" s="250"/>
      <c r="Z103" s="251"/>
      <c r="AA103" s="251"/>
      <c r="AB103" s="251"/>
      <c r="AI103" s="52"/>
      <c r="AJ103" s="119"/>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row>
    <row r="104" spans="1:76" ht="10.5" customHeight="1">
      <c r="A104" s="268"/>
      <c r="B104" s="167"/>
      <c r="C104" s="167"/>
      <c r="D104" s="167"/>
      <c r="E104" s="167"/>
      <c r="F104" s="167"/>
      <c r="G104" s="167"/>
      <c r="H104" s="167"/>
      <c r="I104" s="167"/>
      <c r="J104" s="83"/>
      <c r="K104" s="82"/>
      <c r="L104" s="82"/>
      <c r="M104" s="82"/>
      <c r="N104" s="82"/>
      <c r="O104" s="82"/>
      <c r="P104" s="82"/>
      <c r="Q104" s="82"/>
      <c r="R104" s="82"/>
      <c r="S104" s="82"/>
      <c r="T104" s="82"/>
      <c r="U104" s="84"/>
      <c r="V104" s="102"/>
      <c r="W104" s="115"/>
      <c r="AJ104" s="119"/>
      <c r="AL104" s="61"/>
      <c r="AM104" s="61"/>
      <c r="AN104" s="61"/>
      <c r="AO104" s="61"/>
      <c r="AP104" s="61"/>
      <c r="AQ104" s="61"/>
      <c r="AR104" s="61"/>
      <c r="AS104" s="61"/>
      <c r="AT104" s="61"/>
      <c r="AU104" s="61"/>
      <c r="AV104" s="61"/>
      <c r="AW104" s="61"/>
      <c r="AX104" s="61"/>
      <c r="AY104" s="61"/>
      <c r="AZ104" s="61"/>
      <c r="BA104" s="61"/>
      <c r="BB104" s="61"/>
      <c r="BC104" s="61"/>
      <c r="BD104" s="61"/>
      <c r="BE104" s="61"/>
      <c r="BF104" s="61"/>
    </row>
    <row r="105" spans="1:76" ht="18.75" customHeight="1">
      <c r="A105" s="536"/>
      <c r="B105" s="1903" t="s">
        <v>1272</v>
      </c>
      <c r="C105" s="1903"/>
      <c r="D105" s="1903"/>
      <c r="E105" s="1903"/>
      <c r="F105" s="1903"/>
      <c r="G105" s="1903"/>
      <c r="H105" s="1903"/>
      <c r="I105" s="1177"/>
      <c r="J105" s="50"/>
      <c r="K105" s="50"/>
      <c r="L105" s="50"/>
      <c r="M105" s="50"/>
      <c r="N105" s="224"/>
      <c r="O105" s="50"/>
      <c r="P105" s="50"/>
      <c r="Q105" s="50"/>
      <c r="R105" s="50"/>
      <c r="S105" s="50"/>
      <c r="T105" s="50"/>
      <c r="U105" s="86"/>
      <c r="V105" s="102"/>
      <c r="W105" s="115"/>
      <c r="AJ105" s="119"/>
      <c r="AL105" s="61"/>
      <c r="AM105" s="61"/>
      <c r="AN105" s="61"/>
      <c r="AO105" s="61"/>
      <c r="AP105" s="61"/>
      <c r="AQ105" s="61"/>
      <c r="AR105" s="61"/>
      <c r="AS105" s="61"/>
      <c r="AT105" s="61"/>
      <c r="AU105" s="61"/>
      <c r="AV105" s="61"/>
      <c r="AW105" s="61"/>
      <c r="AX105" s="61"/>
      <c r="AY105" s="61"/>
      <c r="AZ105" s="61"/>
      <c r="BA105" s="61"/>
      <c r="BB105" s="61"/>
      <c r="BC105" s="61"/>
      <c r="BD105" s="61"/>
      <c r="BE105" s="61"/>
      <c r="BF105" s="61"/>
    </row>
    <row r="106" spans="1:76" ht="18.75" customHeight="1">
      <c r="A106" s="536"/>
      <c r="B106" s="1903"/>
      <c r="C106" s="1903"/>
      <c r="D106" s="1903"/>
      <c r="E106" s="1903"/>
      <c r="F106" s="1903"/>
      <c r="G106" s="1903"/>
      <c r="H106" s="1903"/>
      <c r="I106" s="1177"/>
      <c r="J106" s="50"/>
      <c r="K106" s="50"/>
      <c r="L106" s="50"/>
      <c r="M106" s="50"/>
      <c r="N106" s="224"/>
      <c r="O106" s="50"/>
      <c r="P106" s="50"/>
      <c r="Q106" s="50"/>
      <c r="R106" s="5"/>
      <c r="S106" s="50"/>
      <c r="T106" s="50"/>
      <c r="U106" s="86"/>
      <c r="V106" s="102"/>
      <c r="W106" s="115"/>
      <c r="AJ106" s="119"/>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row>
    <row r="107" spans="1:76" ht="18.75" customHeight="1">
      <c r="A107" s="269"/>
      <c r="B107" s="1749" t="s">
        <v>177</v>
      </c>
      <c r="C107" s="230"/>
      <c r="D107" s="1088" t="str">
        <f>ReportData!$D$27</f>
        <v>2019/20</v>
      </c>
      <c r="E107" s="1088" t="str">
        <f>ReportData!$E$27</f>
        <v>2020/21</v>
      </c>
      <c r="F107" s="1088" t="str">
        <f>ReportData!$F$27</f>
        <v>2021/22</v>
      </c>
      <c r="G107" s="1088" t="str">
        <f>ReportData!$G$27</f>
        <v>2022/23</v>
      </c>
      <c r="H107" s="1089" t="str">
        <f>ReportData!$H$27</f>
        <v>2023/24</v>
      </c>
      <c r="I107" s="527"/>
      <c r="J107" s="50"/>
      <c r="K107" s="50"/>
      <c r="L107" s="50"/>
      <c r="M107" s="50"/>
      <c r="N107" s="224"/>
      <c r="O107" s="50"/>
      <c r="P107" s="50"/>
      <c r="Q107" s="50"/>
      <c r="R107" s="5"/>
      <c r="S107" s="50"/>
      <c r="T107" s="50"/>
      <c r="U107" s="86"/>
      <c r="V107" s="102"/>
      <c r="W107" s="115"/>
      <c r="AJ107" s="119"/>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row>
    <row r="108" spans="1:76" s="61" customFormat="1" ht="16.5" customHeight="1">
      <c r="A108" s="88"/>
      <c r="B108" s="1750"/>
      <c r="C108" s="59"/>
      <c r="D108" s="897" t="e">
        <f>ReportData!$D$28</f>
        <v>#N/A</v>
      </c>
      <c r="E108" s="897" t="e">
        <f>ReportData!$E$28</f>
        <v>#N/A</v>
      </c>
      <c r="F108" s="897" t="e">
        <f>ReportData!$F$28</f>
        <v>#N/A</v>
      </c>
      <c r="G108" s="897" t="e">
        <f>ReportData!$G$28</f>
        <v>#N/A</v>
      </c>
      <c r="H108" s="920" t="e">
        <f>ReportData!$H$28</f>
        <v>#N/A</v>
      </c>
      <c r="I108" s="68"/>
      <c r="J108" s="68"/>
      <c r="K108" s="43"/>
      <c r="L108" s="43"/>
      <c r="M108" s="43"/>
      <c r="N108" s="43"/>
      <c r="O108" s="43"/>
      <c r="P108" s="43"/>
      <c r="Q108" s="225"/>
      <c r="R108" s="225"/>
      <c r="S108" s="120"/>
      <c r="T108" s="226"/>
      <c r="U108" s="89"/>
      <c r="V108" s="103"/>
      <c r="W108" s="115"/>
      <c r="X108" s="352"/>
      <c r="Y108" s="355" t="e">
        <f>D108</f>
        <v>#N/A</v>
      </c>
      <c r="Z108" s="307" t="e">
        <f>E108</f>
        <v>#N/A</v>
      </c>
      <c r="AA108" s="307" t="e">
        <f>F108</f>
        <v>#N/A</v>
      </c>
      <c r="AB108" s="307" t="e">
        <f>G108</f>
        <v>#N/A</v>
      </c>
      <c r="AC108" s="353" t="e">
        <f>H108</f>
        <v>#N/A</v>
      </c>
      <c r="AD108" s="56"/>
      <c r="AE108" s="56"/>
      <c r="AF108" s="56"/>
      <c r="AG108" s="56"/>
      <c r="AH108" s="56"/>
      <c r="AI108" s="52"/>
      <c r="AJ108" s="119"/>
      <c r="AK108" s="52"/>
    </row>
    <row r="109" spans="1:76" s="61" customFormat="1" ht="13.5" customHeight="1">
      <c r="A109" s="1103">
        <f>VLOOKUP(B109,ReportData!$AQ$4:$AR$25,2,FALSE)</f>
        <v>0</v>
      </c>
      <c r="B109" s="885" t="str">
        <f t="shared" ref="B109:B121" si="36">B177</f>
        <v>Bracknell Forest</v>
      </c>
      <c r="C109" s="59"/>
      <c r="D109" s="922">
        <f t="shared" ref="D109:D129" si="37">IF(AND(ISNUMBER(D11),ISNUMBER(Y109)),Y109/D11,NA())</f>
        <v>8.1967213114754103E-3</v>
      </c>
      <c r="E109" s="922" t="e">
        <f t="shared" ref="E109:E129" si="38">IF(AND(ISNUMBER(E11),ISNUMBER(Z109)),Z109/E11,NA())</f>
        <v>#N/A</v>
      </c>
      <c r="F109" s="922" t="e">
        <f t="shared" ref="F109:F129" si="39">IF(AND(ISNUMBER(F11),ISNUMBER(AA109)),AA109/F11,NA())</f>
        <v>#N/A</v>
      </c>
      <c r="G109" s="922" t="e">
        <f t="shared" ref="G109:G129" si="40">IF(AND(ISNUMBER(G11),ISNUMBER(AB109)),AB109/G11,NA())</f>
        <v>#N/A</v>
      </c>
      <c r="H109" s="923">
        <f t="shared" ref="H109:H129" si="41">IF(AND(ISNUMBER(H11),ISNUMBER(AC109)),AC109/H11,NA())</f>
        <v>6.25E-2</v>
      </c>
      <c r="I109" s="68"/>
      <c r="J109" s="68"/>
      <c r="K109" s="127"/>
      <c r="L109" s="127"/>
      <c r="M109" s="127"/>
      <c r="N109" s="127"/>
      <c r="O109" s="127"/>
      <c r="P109" s="127"/>
      <c r="Q109" s="127"/>
      <c r="R109" s="128"/>
      <c r="S109" s="120"/>
      <c r="T109" s="127"/>
      <c r="U109" s="89"/>
      <c r="V109" s="103"/>
      <c r="W109" s="115"/>
      <c r="X109" s="352" t="str">
        <f t="shared" ref="X109:X129" si="42">B109</f>
        <v>Bracknell Forest</v>
      </c>
      <c r="Y109" s="355">
        <f>IF(Year1_Bracknell_Forest Year1_CP_Plans_2years="","",Year1_Bracknell_Forest Year1_CP_Plans_2years)</f>
        <v>1</v>
      </c>
      <c r="Z109" s="248" t="str">
        <f>IF(Year2_Bracknell_Forest Year2_CP_Plans_2years="","",Year2_Bracknell_Forest Year2_CP_Plans_2years)</f>
        <v>x</v>
      </c>
      <c r="AA109" s="248" t="str">
        <f>IF(Year3_Bracknell_Forest Year3_CP_Plans_2years="","",Year3_Bracknell_Forest Year3_CP_Plans_2years)</f>
        <v>c</v>
      </c>
      <c r="AB109" s="248" t="str">
        <f>IF(Year4_Bracknell_Forest Year4_CP_Plans_2years="","",Year4_Bracknell_Forest Year4_CP_Plans_2years)</f>
        <v>c</v>
      </c>
      <c r="AC109" s="352">
        <f>IF(Year5_Bracknell_Forest Year5_CP_Plans_2years="","",Year5_Bracknell_Forest Year5_CP_Plans_2years)</f>
        <v>7</v>
      </c>
      <c r="AD109" s="56"/>
      <c r="AE109" s="56"/>
      <c r="AF109" s="56"/>
      <c r="AG109" s="56"/>
      <c r="AH109" s="56"/>
      <c r="AI109" s="52"/>
      <c r="AJ109" s="119"/>
      <c r="AK109" s="52"/>
    </row>
    <row r="110" spans="1:76" s="61" customFormat="1" ht="13.5" customHeight="1">
      <c r="A110" s="1103">
        <f>VLOOKUP(B110,ReportData!$AQ$4:$AR$25,2,FALSE)</f>
        <v>0</v>
      </c>
      <c r="B110" s="885" t="str">
        <f t="shared" si="36"/>
        <v>Brighton &amp; Hove</v>
      </c>
      <c r="C110" s="59"/>
      <c r="D110" s="922">
        <f t="shared" si="37"/>
        <v>3.2835820895522387E-2</v>
      </c>
      <c r="E110" s="922">
        <f t="shared" si="38"/>
        <v>4.3956043956043959E-2</v>
      </c>
      <c r="F110" s="922">
        <f t="shared" si="39"/>
        <v>5.3380782918149468E-2</v>
      </c>
      <c r="G110" s="922">
        <f t="shared" si="40"/>
        <v>3.1578947368421054E-2</v>
      </c>
      <c r="H110" s="923" t="e">
        <f t="shared" si="41"/>
        <v>#N/A</v>
      </c>
      <c r="I110" s="68"/>
      <c r="J110" s="68"/>
      <c r="K110" s="127"/>
      <c r="L110" s="127"/>
      <c r="M110" s="127"/>
      <c r="N110" s="127"/>
      <c r="O110" s="127"/>
      <c r="P110" s="127"/>
      <c r="Q110" s="127"/>
      <c r="R110" s="128"/>
      <c r="S110" s="120"/>
      <c r="T110" s="127"/>
      <c r="U110" s="89"/>
      <c r="V110" s="103"/>
      <c r="W110" s="115"/>
      <c r="X110" s="352" t="str">
        <f t="shared" si="42"/>
        <v>Brighton &amp; Hove</v>
      </c>
      <c r="Y110" s="355">
        <f>IF(Year1_Brighton_and_Hove Year1_CP_Plans_2years="","",Year1_Brighton_and_Hove Year1_CP_Plans_2years)</f>
        <v>11</v>
      </c>
      <c r="Z110" s="248">
        <f>IF(Year2_Brighton_and_Hove Year2_CP_Plans_2years="","",Year2_Brighton_and_Hove Year2_CP_Plans_2years)</f>
        <v>12</v>
      </c>
      <c r="AA110" s="248">
        <f>IF(Year3_Brighton_and_Hove Year3_CP_Plans_2years="","",Year3_Brighton_and_Hove Year3_CP_Plans_2years)</f>
        <v>15</v>
      </c>
      <c r="AB110" s="248">
        <f>IF(Year4_Brighton_and_Hove Year4_CP_Plans_2years="","",Year4_Brighton_and_Hove Year4_CP_Plans_2years)</f>
        <v>9</v>
      </c>
      <c r="AC110" s="352" t="str">
        <f>IF(Year5_Brighton_and_Hove Year5_CP_Plans_2years="","",Year5_Brighton_and_Hove Year5_CP_Plans_2years)</f>
        <v>c</v>
      </c>
      <c r="AD110" s="56"/>
      <c r="AE110" s="56"/>
      <c r="AF110" s="56"/>
      <c r="AG110" s="56"/>
      <c r="AH110" s="56"/>
      <c r="AI110" s="52"/>
      <c r="AJ110" s="119"/>
      <c r="AK110" s="52"/>
      <c r="AR110" s="61" t="s">
        <v>95</v>
      </c>
    </row>
    <row r="111" spans="1:76" s="61" customFormat="1" ht="13.5" customHeight="1">
      <c r="A111" s="1103">
        <f>VLOOKUP(B111,ReportData!$AQ$4:$AR$25,2,FALSE)</f>
        <v>0</v>
      </c>
      <c r="B111" s="885" t="str">
        <f t="shared" si="36"/>
        <v>Buckinghamshire</v>
      </c>
      <c r="C111" s="59"/>
      <c r="D111" s="922">
        <f t="shared" si="37"/>
        <v>2.9565217391304348E-2</v>
      </c>
      <c r="E111" s="922">
        <f t="shared" si="38"/>
        <v>1.5444015444015444E-2</v>
      </c>
      <c r="F111" s="922">
        <f t="shared" si="39"/>
        <v>2.1276595744680851E-2</v>
      </c>
      <c r="G111" s="922">
        <f t="shared" si="40"/>
        <v>1.7307692307692309E-2</v>
      </c>
      <c r="H111" s="923">
        <f t="shared" si="41"/>
        <v>6.5116279069767441E-2</v>
      </c>
      <c r="I111" s="68"/>
      <c r="J111" s="68"/>
      <c r="K111" s="127"/>
      <c r="L111" s="127"/>
      <c r="M111" s="127"/>
      <c r="N111" s="127"/>
      <c r="O111" s="127"/>
      <c r="P111" s="127"/>
      <c r="Q111" s="127"/>
      <c r="R111" s="128"/>
      <c r="S111" s="120"/>
      <c r="T111" s="127"/>
      <c r="U111" s="89"/>
      <c r="V111" s="103"/>
      <c r="W111" s="115"/>
      <c r="X111" s="352" t="str">
        <f t="shared" si="42"/>
        <v>Buckinghamshire</v>
      </c>
      <c r="Y111" s="355">
        <f>IF(Year1_Buckinghamshire Year1_CP_Plans_2years="","",Year1_Buckinghamshire Year1_CP_Plans_2years)</f>
        <v>17</v>
      </c>
      <c r="Z111" s="248">
        <f>IF(Year2_Buckinghamshire Year2_CP_Plans_2years="","",Year2_Buckinghamshire Year2_CP_Plans_2years)</f>
        <v>8</v>
      </c>
      <c r="AA111" s="248">
        <f>IF(Year3_Buckinghamshire Year3_CP_Plans_2years="","",Year3_Buckinghamshire Year3_CP_Plans_2years)</f>
        <v>16</v>
      </c>
      <c r="AB111" s="248">
        <f>IF(Year4_Buckinghamshire Year4_CP_Plans_2years="","",Year4_Buckinghamshire Year4_CP_Plans_2years)</f>
        <v>9</v>
      </c>
      <c r="AC111" s="352">
        <f>IF(Year5_Buckinghamshire Year5_CP_Plans_2years="","",Year5_Buckinghamshire Year5_CP_Plans_2years)</f>
        <v>28</v>
      </c>
      <c r="AD111" s="56"/>
      <c r="AE111" s="56"/>
      <c r="AF111" s="56"/>
      <c r="AG111" s="56"/>
      <c r="AH111" s="56"/>
      <c r="AI111" s="52"/>
      <c r="AJ111" s="119"/>
      <c r="AK111" s="52"/>
    </row>
    <row r="112" spans="1:76" s="61" customFormat="1" ht="13.5" customHeight="1">
      <c r="A112" s="1103">
        <f>VLOOKUP(B112,ReportData!$AQ$4:$AR$25,2,FALSE)</f>
        <v>0</v>
      </c>
      <c r="B112" s="885" t="str">
        <f t="shared" si="36"/>
        <v>East Sussex</v>
      </c>
      <c r="C112" s="59"/>
      <c r="D112" s="922">
        <f t="shared" si="37"/>
        <v>3.9179104477611942E-2</v>
      </c>
      <c r="E112" s="922">
        <f t="shared" si="38"/>
        <v>3.8167938931297711E-2</v>
      </c>
      <c r="F112" s="922">
        <f t="shared" si="39"/>
        <v>4.49438202247191E-2</v>
      </c>
      <c r="G112" s="922">
        <f t="shared" si="40"/>
        <v>5.128205128205128E-2</v>
      </c>
      <c r="H112" s="923">
        <f t="shared" si="41"/>
        <v>7.8832116788321166E-2</v>
      </c>
      <c r="I112" s="68"/>
      <c r="J112" s="68"/>
      <c r="K112" s="127"/>
      <c r="L112" s="127"/>
      <c r="M112" s="127"/>
      <c r="N112" s="127"/>
      <c r="O112" s="127"/>
      <c r="P112" s="127"/>
      <c r="Q112" s="127"/>
      <c r="R112" s="128"/>
      <c r="S112" s="120"/>
      <c r="T112" s="127"/>
      <c r="U112" s="89"/>
      <c r="V112" s="103"/>
      <c r="W112" s="115"/>
      <c r="X112" s="352" t="str">
        <f t="shared" si="42"/>
        <v>East Sussex</v>
      </c>
      <c r="Y112" s="355">
        <f>IF(Year1_East_Sussex Year1_CP_Plans_2years="","",Year1_East_Sussex Year1_CP_Plans_2years)</f>
        <v>21</v>
      </c>
      <c r="Z112" s="248">
        <f>IF(Year2_East_Sussex Year2_CP_Plans_2years="","",Year2_East_Sussex Year2_CP_Plans_2years)</f>
        <v>20</v>
      </c>
      <c r="AA112" s="248">
        <f>IF(Year3_East_Sussex Year3_CP_Plans_2years="","",Year3_East_Sussex Year3_CP_Plans_2years)</f>
        <v>24</v>
      </c>
      <c r="AB112" s="248">
        <f>IF(Year4_East_Sussex Year4_CP_Plans_2years="","",Year4_East_Sussex Year4_CP_Plans_2years)</f>
        <v>34</v>
      </c>
      <c r="AC112" s="352">
        <f>IF(Year5_East_Sussex Year5_CP_Plans_2years="","",Year5_East_Sussex Year5_CP_Plans_2years)</f>
        <v>54</v>
      </c>
      <c r="AD112" s="56"/>
      <c r="AE112" s="56"/>
      <c r="AF112" s="56"/>
      <c r="AG112" s="56"/>
      <c r="AH112" s="56"/>
      <c r="AI112" s="52"/>
      <c r="AJ112" s="119"/>
      <c r="AK112" s="52"/>
    </row>
    <row r="113" spans="1:58" s="61" customFormat="1" ht="13.5" customHeight="1">
      <c r="A113" s="1103">
        <f>VLOOKUP(B113,ReportData!$AQ$4:$AR$25,2,FALSE)</f>
        <v>0</v>
      </c>
      <c r="B113" s="885" t="str">
        <f t="shared" si="36"/>
        <v>Hampshire</v>
      </c>
      <c r="C113" s="59"/>
      <c r="D113" s="922">
        <f t="shared" si="37"/>
        <v>1.5991471215351813E-2</v>
      </c>
      <c r="E113" s="922">
        <f t="shared" si="38"/>
        <v>7.0000000000000001E-3</v>
      </c>
      <c r="F113" s="922">
        <f t="shared" si="39"/>
        <v>1.5625E-2</v>
      </c>
      <c r="G113" s="922">
        <f t="shared" si="40"/>
        <v>1.9120458891013385E-2</v>
      </c>
      <c r="H113" s="923" t="e">
        <f t="shared" si="41"/>
        <v>#N/A</v>
      </c>
      <c r="I113" s="68"/>
      <c r="J113" s="68"/>
      <c r="K113" s="127"/>
      <c r="L113" s="127"/>
      <c r="M113" s="127"/>
      <c r="N113" s="127"/>
      <c r="O113" s="127"/>
      <c r="P113" s="127"/>
      <c r="Q113" s="127"/>
      <c r="R113" s="128"/>
      <c r="S113" s="120"/>
      <c r="T113" s="127"/>
      <c r="U113" s="89"/>
      <c r="V113" s="103"/>
      <c r="W113" s="115"/>
      <c r="X113" s="352" t="str">
        <f t="shared" si="42"/>
        <v>Hampshire</v>
      </c>
      <c r="Y113" s="355">
        <f>IF(Year1_Hampshire Year1_CP_Plans_2years="","",Year1_Hampshire Year1_CP_Plans_2years)</f>
        <v>15</v>
      </c>
      <c r="Z113" s="248">
        <f>IF(Year2_Hampshire Year2_CP_Plans_2years="","",Year2_Hampshire Year2_CP_Plans_2years)</f>
        <v>7</v>
      </c>
      <c r="AA113" s="248">
        <f>IF(Year3_Hampshire Year3_CP_Plans_2years="","",Year3_Hampshire Year3_CP_Plans_2years)</f>
        <v>16</v>
      </c>
      <c r="AB113" s="248">
        <f>IF(Year4_Hampshire Year4_CP_Plans_2years="","",Year4_Hampshire Year4_CP_Plans_2years)</f>
        <v>20</v>
      </c>
      <c r="AC113" s="352" t="str">
        <f>IF(Year5_Hampshire Year5_CP_Plans_2years="","",Year5_Hampshire Year5_CP_Plans_2years)</f>
        <v>u</v>
      </c>
      <c r="AD113" s="56"/>
      <c r="AE113" s="56"/>
      <c r="AF113" s="56"/>
      <c r="AG113" s="56"/>
      <c r="AH113" s="56"/>
      <c r="AI113" s="52"/>
      <c r="AJ113" s="119"/>
      <c r="AK113" s="52"/>
    </row>
    <row r="114" spans="1:58" s="61" customFormat="1" ht="13.5" customHeight="1">
      <c r="A114" s="1103">
        <f>VLOOKUP(B114,ReportData!$AQ$4:$AR$25,2,FALSE)</f>
        <v>0</v>
      </c>
      <c r="B114" s="885" t="str">
        <f t="shared" si="36"/>
        <v>Isle of Wight</v>
      </c>
      <c r="C114" s="59"/>
      <c r="D114" s="922">
        <f t="shared" si="37"/>
        <v>1.5873015873015872E-2</v>
      </c>
      <c r="E114" s="922" t="e">
        <f t="shared" si="38"/>
        <v>#N/A</v>
      </c>
      <c r="F114" s="922">
        <f t="shared" si="39"/>
        <v>0</v>
      </c>
      <c r="G114" s="922" t="e">
        <f t="shared" si="40"/>
        <v>#N/A</v>
      </c>
      <c r="H114" s="923">
        <f t="shared" si="41"/>
        <v>0</v>
      </c>
      <c r="I114" s="68"/>
      <c r="J114" s="68"/>
      <c r="K114" s="127"/>
      <c r="L114" s="127"/>
      <c r="M114" s="127"/>
      <c r="N114" s="127"/>
      <c r="O114" s="127"/>
      <c r="P114" s="127"/>
      <c r="Q114" s="127"/>
      <c r="R114" s="128"/>
      <c r="S114" s="120"/>
      <c r="T114" s="127"/>
      <c r="U114" s="89"/>
      <c r="V114" s="103"/>
      <c r="W114" s="115"/>
      <c r="X114" s="352" t="str">
        <f t="shared" si="42"/>
        <v>Isle of Wight</v>
      </c>
      <c r="Y114" s="355">
        <f>IF(Year1_Isle_of_Wight Year1_CP_Plans_2years="","",Year1_Isle_of_Wight Year1_CP_Plans_2years)</f>
        <v>2</v>
      </c>
      <c r="Z114" s="248" t="str">
        <f>IF(Year2_Isle_of_Wight Year2_CP_Plans_2years="","",Year2_Isle_of_Wight Year2_CP_Plans_2years)</f>
        <v>x</v>
      </c>
      <c r="AA114" s="248">
        <f>IF(Year3_Isle_of_Wight Year3_CP_Plans_2years="","",Year3_Isle_of_Wight Year3_CP_Plans_2years)</f>
        <v>0</v>
      </c>
      <c r="AB114" s="248" t="str">
        <f>IF(Year4_Isle_of_Wight Year4_CP_Plans_2years="","",Year4_Isle_of_Wight Year4_CP_Plans_2years)</f>
        <v>c</v>
      </c>
      <c r="AC114" s="352">
        <f>IF(Year5_Isle_of_Wight Year5_CP_Plans_2years="","",Year5_Isle_of_Wight Year5_CP_Plans_2years)</f>
        <v>0</v>
      </c>
      <c r="AD114" s="56"/>
      <c r="AE114" s="56"/>
      <c r="AF114" s="56"/>
      <c r="AG114" s="56"/>
      <c r="AH114" s="56"/>
      <c r="AI114" s="52"/>
      <c r="AJ114" s="119"/>
      <c r="AK114" s="52"/>
    </row>
    <row r="115" spans="1:58" s="61" customFormat="1" ht="13.5" customHeight="1">
      <c r="A115" s="1103">
        <f>VLOOKUP(B115,ReportData!$AQ$4:$AR$25,2,FALSE)</f>
        <v>0</v>
      </c>
      <c r="B115" s="885" t="str">
        <f t="shared" si="36"/>
        <v>Kent</v>
      </c>
      <c r="C115" s="59"/>
      <c r="D115" s="922">
        <f t="shared" si="37"/>
        <v>2.6276276276276277E-2</v>
      </c>
      <c r="E115" s="922">
        <f t="shared" si="38"/>
        <v>2.5252525252525252E-2</v>
      </c>
      <c r="F115" s="922">
        <f t="shared" si="39"/>
        <v>2.3885350318471339E-2</v>
      </c>
      <c r="G115" s="922">
        <f t="shared" si="40"/>
        <v>2.8507126781695424E-2</v>
      </c>
      <c r="H115" s="923">
        <f t="shared" si="41"/>
        <v>1.8992568125516102E-2</v>
      </c>
      <c r="I115" s="68"/>
      <c r="J115" s="68"/>
      <c r="K115" s="127"/>
      <c r="L115" s="127"/>
      <c r="M115" s="127"/>
      <c r="N115" s="127"/>
      <c r="O115" s="127"/>
      <c r="P115" s="127"/>
      <c r="Q115" s="127"/>
      <c r="R115" s="128"/>
      <c r="S115" s="120"/>
      <c r="T115" s="127"/>
      <c r="U115" s="89"/>
      <c r="V115" s="103"/>
      <c r="W115" s="115"/>
      <c r="X115" s="352" t="str">
        <f t="shared" si="42"/>
        <v>Kent</v>
      </c>
      <c r="Y115" s="355">
        <f>IF(Year1_Kent Year1_CP_Plans_2years="","",Year1_Kent Year1_CP_Plans_2years)</f>
        <v>35</v>
      </c>
      <c r="Z115" s="248">
        <f>IF(Year2_Kent Year2_CP_Plans_2years="","",Year2_Kent Year2_CP_Plans_2years)</f>
        <v>30</v>
      </c>
      <c r="AA115" s="248">
        <f>IF(Year3_Kent Year3_CP_Plans_2years="","",Year3_Kent Year3_CP_Plans_2years)</f>
        <v>30</v>
      </c>
      <c r="AB115" s="248">
        <f>IF(Year4_Kent Year4_CP_Plans_2years="","",Year4_Kent Year4_CP_Plans_2years)</f>
        <v>38</v>
      </c>
      <c r="AC115" s="352">
        <f>IF(Year5_Kent Year5_CP_Plans_2years="","",Year5_Kent Year5_CP_Plans_2years)</f>
        <v>23</v>
      </c>
      <c r="AD115" s="56"/>
      <c r="AE115" s="56"/>
      <c r="AF115" s="56"/>
      <c r="AG115" s="56"/>
      <c r="AH115" s="56"/>
      <c r="AI115" s="52"/>
      <c r="AJ115" s="119"/>
      <c r="AK115" s="52"/>
    </row>
    <row r="116" spans="1:58" s="61" customFormat="1" ht="13.5" customHeight="1">
      <c r="A116" s="1103">
        <f>VLOOKUP(B116,ReportData!$AQ$4:$AR$25,2,FALSE)</f>
        <v>0</v>
      </c>
      <c r="B116" s="885" t="str">
        <f t="shared" si="36"/>
        <v>Medway</v>
      </c>
      <c r="C116" s="59"/>
      <c r="D116" s="922">
        <f t="shared" si="37"/>
        <v>1.9438444924406047E-2</v>
      </c>
      <c r="E116" s="922" t="e">
        <f t="shared" si="38"/>
        <v>#N/A</v>
      </c>
      <c r="F116" s="922" t="e">
        <f t="shared" si="39"/>
        <v>#N/A</v>
      </c>
      <c r="G116" s="922" t="e">
        <f t="shared" si="40"/>
        <v>#N/A</v>
      </c>
      <c r="H116" s="923" t="e">
        <f t="shared" si="41"/>
        <v>#N/A</v>
      </c>
      <c r="I116" s="68"/>
      <c r="J116" s="68"/>
      <c r="K116" s="127"/>
      <c r="L116" s="127"/>
      <c r="M116" s="127"/>
      <c r="N116" s="127"/>
      <c r="O116" s="127"/>
      <c r="P116" s="127"/>
      <c r="Q116" s="127"/>
      <c r="R116" s="128"/>
      <c r="S116" s="120"/>
      <c r="T116" s="127"/>
      <c r="U116" s="89"/>
      <c r="V116" s="103"/>
      <c r="W116" s="115"/>
      <c r="X116" s="352" t="str">
        <f t="shared" si="42"/>
        <v>Medway</v>
      </c>
      <c r="Y116" s="355">
        <f>IF(Year1_Medway Year1_CP_Plans_2years="","",Year1_Medway Year1_CP_Plans_2years)</f>
        <v>9</v>
      </c>
      <c r="Z116" s="248" t="str">
        <f>IF(Year2_Medway Year2_CP_Plans_2years="","",Year2_Medway Year2_CP_Plans_2years)</f>
        <v>x</v>
      </c>
      <c r="AA116" s="248" t="str">
        <f>IF(Year3_Medway Year3_CP_Plans_2years="","",Year3_Medway Year3_CP_Plans_2years)</f>
        <v>c</v>
      </c>
      <c r="AB116" s="248" t="str">
        <f>IF(Year4_Medway Year4_CP_Plans_2years="","",Year4_Medway Year4_CP_Plans_2years)</f>
        <v>c</v>
      </c>
      <c r="AC116" s="352" t="str">
        <f>IF(Year5_Medway Year5_CP_Plans_2years="","",Year5_Medway Year5_CP_Plans_2years)</f>
        <v>c</v>
      </c>
      <c r="AD116" s="56"/>
      <c r="AE116" s="56"/>
      <c r="AF116" s="56"/>
      <c r="AG116" s="56"/>
      <c r="AH116" s="56"/>
      <c r="AI116" s="52"/>
      <c r="AJ116" s="119"/>
      <c r="AK116" s="52"/>
    </row>
    <row r="117" spans="1:58" s="61" customFormat="1" ht="13.5" customHeight="1">
      <c r="A117" s="1103">
        <f>VLOOKUP(B117,ReportData!$AQ$4:$AR$25,2,FALSE)</f>
        <v>0</v>
      </c>
      <c r="B117" s="885" t="str">
        <f t="shared" si="36"/>
        <v>Milton Keynes</v>
      </c>
      <c r="C117" s="59"/>
      <c r="D117" s="922" t="e">
        <f t="shared" si="37"/>
        <v>#N/A</v>
      </c>
      <c r="E117" s="922">
        <f t="shared" si="38"/>
        <v>0</v>
      </c>
      <c r="F117" s="922" t="e">
        <f t="shared" si="39"/>
        <v>#N/A</v>
      </c>
      <c r="G117" s="922" t="e">
        <f t="shared" si="40"/>
        <v>#N/A</v>
      </c>
      <c r="H117" s="923" t="e">
        <f t="shared" si="41"/>
        <v>#N/A</v>
      </c>
      <c r="I117" s="68"/>
      <c r="J117" s="68"/>
      <c r="K117" s="127"/>
      <c r="L117" s="127"/>
      <c r="M117" s="127"/>
      <c r="N117" s="127"/>
      <c r="O117" s="127"/>
      <c r="P117" s="127"/>
      <c r="Q117" s="127"/>
      <c r="R117" s="128"/>
      <c r="S117" s="120"/>
      <c r="T117" s="127"/>
      <c r="U117" s="89"/>
      <c r="V117" s="103"/>
      <c r="W117" s="115"/>
      <c r="X117" s="352" t="str">
        <f t="shared" si="42"/>
        <v>Milton Keynes</v>
      </c>
      <c r="Y117" s="355" t="str">
        <f>IF(Year1_Milton_Keynes Year1_CP_Plans_2years="","",Year1_Milton_Keynes Year1_CP_Plans_2years)</f>
        <v>x</v>
      </c>
      <c r="Z117" s="248">
        <f>IF(Year2_Milton_Keynes Year2_CP_Plans_2years="","",Year2_Milton_Keynes Year2_CP_Plans_2years)</f>
        <v>0</v>
      </c>
      <c r="AA117" s="248" t="str">
        <f>IF(Year3_Milton_Keynes Year3_CP_Plans_2years="","",Year3_Milton_Keynes Year3_CP_Plans_2years)</f>
        <v>c</v>
      </c>
      <c r="AB117" s="248" t="str">
        <f>IF(Year4_Milton_Keynes Year4_CP_Plans_2years="","",Year4_Milton_Keynes Year4_CP_Plans_2years)</f>
        <v>c</v>
      </c>
      <c r="AC117" s="352" t="str">
        <f>IF(Year5_Milton_Keynes Year5_CP_Plans_2years="","",Year5_Milton_Keynes Year5_CP_Plans_2years)</f>
        <v>c</v>
      </c>
      <c r="AD117" s="56"/>
      <c r="AE117" s="56"/>
      <c r="AF117" s="56"/>
      <c r="AG117" s="56"/>
      <c r="AH117" s="56"/>
      <c r="AI117" s="52"/>
      <c r="AJ117" s="119"/>
      <c r="AK117" s="52"/>
    </row>
    <row r="118" spans="1:58" s="61" customFormat="1" ht="13.5" customHeight="1">
      <c r="A118" s="1103">
        <f>VLOOKUP(B118,ReportData!$AQ$4:$AR$25,2,FALSE)</f>
        <v>0</v>
      </c>
      <c r="B118" s="885" t="str">
        <f t="shared" si="36"/>
        <v>Oxfordshire</v>
      </c>
      <c r="C118" s="59"/>
      <c r="D118" s="922">
        <f t="shared" si="37"/>
        <v>3.4990791896869246E-2</v>
      </c>
      <c r="E118" s="922">
        <f t="shared" si="38"/>
        <v>2.2172949002217297E-2</v>
      </c>
      <c r="F118" s="922">
        <f t="shared" si="39"/>
        <v>2.6833631484794274E-2</v>
      </c>
      <c r="G118" s="922" t="e">
        <f t="shared" si="40"/>
        <v>#N/A</v>
      </c>
      <c r="H118" s="923">
        <f t="shared" si="41"/>
        <v>2.4436090225563908E-2</v>
      </c>
      <c r="I118" s="68"/>
      <c r="J118" s="68"/>
      <c r="K118" s="127"/>
      <c r="L118" s="127"/>
      <c r="M118" s="127"/>
      <c r="N118" s="127"/>
      <c r="O118" s="127"/>
      <c r="P118" s="127"/>
      <c r="Q118" s="127"/>
      <c r="R118" s="128"/>
      <c r="S118" s="120"/>
      <c r="T118" s="127"/>
      <c r="U118" s="89"/>
      <c r="V118" s="103"/>
      <c r="W118" s="115"/>
      <c r="X118" s="352" t="str">
        <f t="shared" si="42"/>
        <v>Oxfordshire</v>
      </c>
      <c r="Y118" s="355">
        <f>IF(Year1_Oxfordshire Year1_CP_Plans_2years="","",Year1_Oxfordshire Year1_CP_Plans_2years)</f>
        <v>19</v>
      </c>
      <c r="Z118" s="248">
        <f>IF(Year2_Oxfordshire Year2_CP_Plans_2years="","",Year2_Oxfordshire Year2_CP_Plans_2years)</f>
        <v>10</v>
      </c>
      <c r="AA118" s="248">
        <f>IF(Year3_Oxfordshire Year3_CP_Plans_2years="","",Year3_Oxfordshire Year3_CP_Plans_2years)</f>
        <v>15</v>
      </c>
      <c r="AB118" s="248" t="str">
        <f>IF(Year4_Oxfordshire Year4_CP_Plans_2years="","",Year4_Oxfordshire Year4_CP_Plans_2years)</f>
        <v>c</v>
      </c>
      <c r="AC118" s="352">
        <f>IF(Year5_Oxfordshire Year5_CP_Plans_2years="","",Year5_Oxfordshire Year5_CP_Plans_2years)</f>
        <v>13</v>
      </c>
      <c r="AD118" s="56"/>
      <c r="AE118" s="56"/>
      <c r="AF118" s="56"/>
      <c r="AG118" s="56"/>
      <c r="AH118" s="56"/>
      <c r="AI118" s="52"/>
      <c r="AJ118" s="119"/>
      <c r="AK118" s="52"/>
    </row>
    <row r="119" spans="1:58" s="61" customFormat="1" ht="13.5" customHeight="1">
      <c r="A119" s="1103">
        <f>VLOOKUP(B119,ReportData!$AQ$4:$AR$25,2,FALSE)</f>
        <v>0</v>
      </c>
      <c r="B119" s="885" t="str">
        <f t="shared" si="36"/>
        <v>Portsmouth</v>
      </c>
      <c r="C119" s="59"/>
      <c r="D119" s="922">
        <f t="shared" si="37"/>
        <v>3.4482758620689655E-2</v>
      </c>
      <c r="E119" s="922" t="e">
        <f t="shared" si="38"/>
        <v>#N/A</v>
      </c>
      <c r="F119" s="922">
        <f t="shared" si="39"/>
        <v>2.6666666666666668E-2</v>
      </c>
      <c r="G119" s="922">
        <f t="shared" si="40"/>
        <v>5.113636363636364E-2</v>
      </c>
      <c r="H119" s="923" t="e">
        <f t="shared" si="41"/>
        <v>#N/A</v>
      </c>
      <c r="I119" s="68"/>
      <c r="J119" s="68"/>
      <c r="K119" s="127"/>
      <c r="L119" s="127"/>
      <c r="M119" s="127"/>
      <c r="N119" s="127"/>
      <c r="O119" s="127"/>
      <c r="P119" s="127"/>
      <c r="Q119" s="127"/>
      <c r="R119" s="128"/>
      <c r="S119" s="120"/>
      <c r="T119" s="127"/>
      <c r="U119" s="89"/>
      <c r="V119" s="103"/>
      <c r="W119" s="115"/>
      <c r="X119" s="352" t="str">
        <f t="shared" si="42"/>
        <v>Portsmouth</v>
      </c>
      <c r="Y119" s="355">
        <f>IF(Year1_Portsmouth Year1_CP_Plans_2years="","",Year1_Portsmouth Year1_CP_Plans_2years)</f>
        <v>7</v>
      </c>
      <c r="Z119" s="248" t="str">
        <f>IF(Year2_Portsmouth Year2_CP_Plans_2years="","",Year2_Portsmouth Year2_CP_Plans_2years)</f>
        <v>x</v>
      </c>
      <c r="AA119" s="248">
        <f>IF(Year3_Portsmouth Year3_CP_Plans_2years="","",Year3_Portsmouth Year3_CP_Plans_2years)</f>
        <v>6</v>
      </c>
      <c r="AB119" s="248">
        <f>IF(Year4_Portsmouth Year4_CP_Plans_2years="","",Year4_Portsmouth Year4_CP_Plans_2years)</f>
        <v>9</v>
      </c>
      <c r="AC119" s="352" t="str">
        <f>IF(Year5_Portsmouth Year5_CP_Plans_2years="","",Year5_Portsmouth Year5_CP_Plans_2years)</f>
        <v>c</v>
      </c>
      <c r="AD119" s="56"/>
      <c r="AE119" s="56"/>
      <c r="AF119" s="56"/>
      <c r="AG119" s="56"/>
      <c r="AH119" s="56"/>
      <c r="AI119" s="52"/>
      <c r="AJ119" s="119"/>
      <c r="AK119" s="52"/>
    </row>
    <row r="120" spans="1:58" s="61" customFormat="1" ht="13.5" customHeight="1">
      <c r="A120" s="1103">
        <f>VLOOKUP(B120,ReportData!$AQ$4:$AR$25,2,FALSE)</f>
        <v>0</v>
      </c>
      <c r="B120" s="885" t="str">
        <f t="shared" si="36"/>
        <v>Reading</v>
      </c>
      <c r="C120" s="59"/>
      <c r="D120" s="922">
        <f t="shared" si="37"/>
        <v>4.0178571428571432E-2</v>
      </c>
      <c r="E120" s="922" t="e">
        <f t="shared" si="38"/>
        <v>#N/A</v>
      </c>
      <c r="F120" s="922" t="e">
        <f t="shared" si="39"/>
        <v>#N/A</v>
      </c>
      <c r="G120" s="922" t="e">
        <f t="shared" si="40"/>
        <v>#N/A</v>
      </c>
      <c r="H120" s="923">
        <f t="shared" si="41"/>
        <v>3.8297872340425532E-2</v>
      </c>
      <c r="I120" s="68"/>
      <c r="J120" s="68"/>
      <c r="K120" s="127"/>
      <c r="L120" s="127"/>
      <c r="M120" s="127"/>
      <c r="N120" s="127"/>
      <c r="O120" s="127"/>
      <c r="P120" s="127"/>
      <c r="Q120" s="127"/>
      <c r="R120" s="128"/>
      <c r="S120" s="120"/>
      <c r="T120" s="127"/>
      <c r="U120" s="89"/>
      <c r="V120" s="103"/>
      <c r="W120" s="115"/>
      <c r="X120" s="352" t="str">
        <f t="shared" si="42"/>
        <v>Reading</v>
      </c>
      <c r="Y120" s="355">
        <f>IF(Year1_Reading Year1_CP_Plans_2years="","",Year1_Reading Year1_CP_Plans_2years)</f>
        <v>9</v>
      </c>
      <c r="Z120" s="248" t="str">
        <f>IF(Year2_Reading Year2_CP_Plans_2years="","",Year2_Reading Year2_CP_Plans_2years)</f>
        <v>x</v>
      </c>
      <c r="AA120" s="248" t="str">
        <f>IF(Year3_Reading Year3_CP_Plans_2years="","",Year3_Reading Year3_CP_Plans_2years)</f>
        <v>c</v>
      </c>
      <c r="AB120" s="248" t="str">
        <f>IF(Year4_Reading Year4_CP_Plans_2years="","",Year4_Reading Year4_CP_Plans_2years)</f>
        <v>c</v>
      </c>
      <c r="AC120" s="352">
        <f>IF(Year5_Reading Year5_CP_Plans_2years="","",Year5_Reading Year5_CP_Plans_2years)</f>
        <v>9</v>
      </c>
      <c r="AD120" s="56"/>
      <c r="AE120" s="56"/>
      <c r="AF120" s="56"/>
      <c r="AG120" s="56"/>
      <c r="AH120" s="56"/>
      <c r="AI120" s="52"/>
      <c r="AJ120" s="119"/>
      <c r="AK120" s="52"/>
    </row>
    <row r="121" spans="1:58" s="61" customFormat="1" ht="13.5" customHeight="1">
      <c r="A121" s="1103">
        <f>VLOOKUP(B121,ReportData!$AQ$4:$AR$25,2,FALSE)</f>
        <v>0</v>
      </c>
      <c r="B121" s="885" t="str">
        <f t="shared" si="36"/>
        <v>Slough</v>
      </c>
      <c r="C121" s="59"/>
      <c r="D121" s="922">
        <f t="shared" si="37"/>
        <v>1.6611295681063124E-2</v>
      </c>
      <c r="E121" s="922" t="e">
        <f t="shared" si="38"/>
        <v>#N/A</v>
      </c>
      <c r="F121" s="922" t="e">
        <f t="shared" si="39"/>
        <v>#N/A</v>
      </c>
      <c r="G121" s="922" t="e">
        <f t="shared" si="40"/>
        <v>#N/A</v>
      </c>
      <c r="H121" s="923" t="e">
        <f t="shared" si="41"/>
        <v>#N/A</v>
      </c>
      <c r="I121" s="68"/>
      <c r="J121" s="68"/>
      <c r="K121" s="127"/>
      <c r="L121" s="127"/>
      <c r="M121" s="127"/>
      <c r="N121" s="127"/>
      <c r="O121" s="127"/>
      <c r="P121" s="127"/>
      <c r="Q121" s="127"/>
      <c r="R121" s="128"/>
      <c r="S121" s="120"/>
      <c r="T121" s="127"/>
      <c r="U121" s="89"/>
      <c r="V121" s="103"/>
      <c r="W121" s="115"/>
      <c r="X121" s="352" t="str">
        <f t="shared" si="42"/>
        <v>Slough</v>
      </c>
      <c r="Y121" s="355">
        <f>IF(Year1_Slough Year1_CP_Plans_2years="","",Year1_Slough Year1_CP_Plans_2years)</f>
        <v>5</v>
      </c>
      <c r="Z121" s="248" t="str">
        <f>IF(Year2_Slough Year2_CP_Plans_2years="","",Year2_Slough Year2_CP_Plans_2years)</f>
        <v>x</v>
      </c>
      <c r="AA121" s="248" t="str">
        <f>IF(Year3_Slough Year3_CP_Plans_2years="","",Year3_Slough Year3_CP_Plans_2years)</f>
        <v>c</v>
      </c>
      <c r="AB121" s="248" t="str">
        <f>IF(Year4_Slough Year4_CP_Plans_2years="","",Year4_Slough Year4_CP_Plans_2years)</f>
        <v>c</v>
      </c>
      <c r="AC121" s="352" t="str">
        <f>IF(Year5_Slough Year5_CP_Plans_2years="","",Year5_Slough Year5_CP_Plans_2years)</f>
        <v>c</v>
      </c>
      <c r="AD121" s="56"/>
      <c r="AE121" s="56"/>
      <c r="AF121" s="56"/>
      <c r="AG121" s="56"/>
      <c r="AH121" s="56"/>
      <c r="AI121" s="52"/>
      <c r="AJ121" s="119"/>
      <c r="AK121" s="52"/>
    </row>
    <row r="122" spans="1:58" s="61" customFormat="1" ht="13.5" customHeight="1">
      <c r="A122" s="1103">
        <f>VLOOKUP(B122,ReportData!$AQ$4:$AR$25,2,FALSE)</f>
        <v>0</v>
      </c>
      <c r="B122" s="885" t="str">
        <f>B190</f>
        <v>Southampton</v>
      </c>
      <c r="C122" s="59"/>
      <c r="D122" s="922">
        <f t="shared" si="37"/>
        <v>1.7676767676767676E-2</v>
      </c>
      <c r="E122" s="922" t="e">
        <f t="shared" si="38"/>
        <v>#N/A</v>
      </c>
      <c r="F122" s="922">
        <f t="shared" si="39"/>
        <v>0</v>
      </c>
      <c r="G122" s="922">
        <f t="shared" si="40"/>
        <v>1.9047619047619049E-2</v>
      </c>
      <c r="H122" s="923">
        <f t="shared" si="41"/>
        <v>3.9855072463768113E-2</v>
      </c>
      <c r="I122" s="68"/>
      <c r="J122" s="68"/>
      <c r="K122" s="127"/>
      <c r="L122" s="127"/>
      <c r="M122" s="127"/>
      <c r="N122" s="127"/>
      <c r="O122" s="127"/>
      <c r="P122" s="127"/>
      <c r="Q122" s="127"/>
      <c r="R122" s="128"/>
      <c r="S122" s="120"/>
      <c r="T122" s="127"/>
      <c r="U122" s="89"/>
      <c r="V122" s="103"/>
      <c r="W122" s="115"/>
      <c r="X122" s="352" t="str">
        <f t="shared" si="42"/>
        <v>Southampton</v>
      </c>
      <c r="Y122" s="355">
        <f>IF(Year1_Southampton Year1_CP_Plans_2years="","",Year1_Southampton Year1_CP_Plans_2years)</f>
        <v>7</v>
      </c>
      <c r="Z122" s="248" t="str">
        <f>IF(Year2_Southampton Year2_CP_Plans_2years="","",Year2_Southampton Year2_CP_Plans_2years)</f>
        <v>x</v>
      </c>
      <c r="AA122" s="248">
        <f>IF(Year3_Southampton Year3_CP_Plans_2years="","",Year3_Southampton Year3_CP_Plans_2years)</f>
        <v>0</v>
      </c>
      <c r="AB122" s="248">
        <f>IF(Year4_Southampton Year4_CP_Plans_2years="","",Year4_Southampton Year4_CP_Plans_2years)</f>
        <v>6</v>
      </c>
      <c r="AC122" s="352">
        <f>IF(Year5_Southampton Year5_CP_Plans_2years="","",Year5_Southampton Year5_CP_Plans_2years)</f>
        <v>11</v>
      </c>
      <c r="AD122" s="56"/>
      <c r="AE122" s="56"/>
      <c r="AF122" s="56"/>
      <c r="AG122" s="56"/>
      <c r="AH122" s="56"/>
      <c r="AI122" s="52"/>
      <c r="AJ122" s="119"/>
      <c r="AK122" s="52"/>
    </row>
    <row r="123" spans="1:58" s="61" customFormat="1" ht="13.5" customHeight="1">
      <c r="A123" s="1103">
        <f>VLOOKUP(B123,ReportData!$AQ$4:$AR$25,2,FALSE)</f>
        <v>0</v>
      </c>
      <c r="B123" s="885" t="str">
        <f>B191</f>
        <v>Surrey</v>
      </c>
      <c r="C123" s="59"/>
      <c r="D123" s="922">
        <f t="shared" si="37"/>
        <v>2.9197080291970802E-2</v>
      </c>
      <c r="E123" s="922">
        <f t="shared" si="38"/>
        <v>3.3557046979865772E-2</v>
      </c>
      <c r="F123" s="922">
        <f t="shared" si="39"/>
        <v>3.6926147704590816E-2</v>
      </c>
      <c r="G123" s="922">
        <f t="shared" si="40"/>
        <v>4.2580645161290322E-2</v>
      </c>
      <c r="H123" s="923">
        <f t="shared" si="41"/>
        <v>6.3903281519861826E-2</v>
      </c>
      <c r="I123" s="68"/>
      <c r="J123" s="68"/>
      <c r="K123" s="127"/>
      <c r="L123" s="127"/>
      <c r="M123" s="127"/>
      <c r="N123" s="127"/>
      <c r="O123" s="127"/>
      <c r="P123" s="127"/>
      <c r="Q123" s="127"/>
      <c r="R123" s="128"/>
      <c r="S123" s="120"/>
      <c r="T123" s="127"/>
      <c r="U123" s="89"/>
      <c r="V123" s="103"/>
      <c r="W123" s="115"/>
      <c r="X123" s="352" t="str">
        <f t="shared" si="42"/>
        <v>Surrey</v>
      </c>
      <c r="Y123" s="355">
        <f>IF(Year1_Surrey Year1_CP_Plans_2years="","",Year1_Surrey Year1_CP_Plans_2years)</f>
        <v>20</v>
      </c>
      <c r="Z123" s="248">
        <f>IF(Year2_Surrey Year2_CP_Plans_2years="","",Year2_Surrey Year2_CP_Plans_2years)</f>
        <v>30</v>
      </c>
      <c r="AA123" s="248">
        <f>IF(Year3_Surrey Year3_CP_Plans_2years="","",Year3_Surrey Year3_CP_Plans_2years)</f>
        <v>37</v>
      </c>
      <c r="AB123" s="248">
        <f>IF(Year4_Surrey Year4_CP_Plans_2years="","",Year4_Surrey Year4_CP_Plans_2years)</f>
        <v>33</v>
      </c>
      <c r="AC123" s="352">
        <f>IF(Year5_Surrey Year5_CP_Plans_2years="","",Year5_Surrey Year5_CP_Plans_2years)</f>
        <v>37</v>
      </c>
      <c r="AD123" s="56"/>
      <c r="AE123" s="56"/>
      <c r="AF123" s="56"/>
      <c r="AG123" s="56"/>
      <c r="AH123" s="56"/>
      <c r="AI123" s="52"/>
      <c r="AJ123" s="119"/>
      <c r="AK123" s="52"/>
    </row>
    <row r="124" spans="1:58" s="61" customFormat="1" ht="13.5" customHeight="1">
      <c r="A124" s="1103">
        <f>VLOOKUP(B124,ReportData!$AQ$4:$AR$25,2,FALSE)</f>
        <v>0</v>
      </c>
      <c r="B124" s="885" t="str">
        <f t="shared" ref="B124:B129" si="43">B192</f>
        <v>West Berkshire</v>
      </c>
      <c r="C124" s="59"/>
      <c r="D124" s="922">
        <f t="shared" si="37"/>
        <v>9.433962264150943E-3</v>
      </c>
      <c r="E124" s="922">
        <f t="shared" si="38"/>
        <v>0</v>
      </c>
      <c r="F124" s="922" t="e">
        <f t="shared" si="39"/>
        <v>#N/A</v>
      </c>
      <c r="G124" s="922">
        <f t="shared" si="40"/>
        <v>3.1791907514450865E-2</v>
      </c>
      <c r="H124" s="923">
        <f t="shared" si="41"/>
        <v>5.7591623036649213E-2</v>
      </c>
      <c r="I124" s="68"/>
      <c r="J124" s="68"/>
      <c r="K124" s="127"/>
      <c r="L124" s="127"/>
      <c r="M124" s="127"/>
      <c r="N124" s="127"/>
      <c r="O124" s="127"/>
      <c r="P124" s="127"/>
      <c r="Q124" s="127"/>
      <c r="R124" s="128"/>
      <c r="S124" s="120"/>
      <c r="T124" s="127"/>
      <c r="U124" s="89"/>
      <c r="V124" s="103"/>
      <c r="W124" s="115"/>
      <c r="X124" s="352" t="str">
        <f t="shared" si="42"/>
        <v>West Berkshire</v>
      </c>
      <c r="Y124" s="355">
        <f>IF(Year1_West_Berkshire Year1_CP_Plans_2years="","",Year1_West_Berkshire Year1_CP_Plans_2years)</f>
        <v>1</v>
      </c>
      <c r="Z124" s="248">
        <f>IF(Year2_West_Berkshire Year2_CP_Plans_2years="","",Year2_West_Berkshire Year2_CP_Plans_2years)</f>
        <v>0</v>
      </c>
      <c r="AA124" s="248" t="str">
        <f>IF(Year3_West_Berkshire Year3_CP_Plans_2years="","",Year3_West_Berkshire Year3_CP_Plans_2years)</f>
        <v>c</v>
      </c>
      <c r="AB124" s="248">
        <f>IF(Year4_West_Berkshire Year4_CP_Plans_2years="","",Year4_West_Berkshire Year4_CP_Plans_2years)</f>
        <v>11</v>
      </c>
      <c r="AC124" s="353">
        <f>IF(Year5_West_Berkshire Year5_CP_Plans_2years="","",Year5_West_Berkshire Year5_CP_Plans_2years)</f>
        <v>11</v>
      </c>
      <c r="AD124" s="56"/>
      <c r="AE124" s="56"/>
      <c r="AF124" s="56"/>
      <c r="AG124" s="56"/>
      <c r="AH124" s="56"/>
      <c r="AI124" s="52"/>
      <c r="AJ124" s="119"/>
      <c r="AK124" s="52"/>
    </row>
    <row r="125" spans="1:58" s="61" customFormat="1" ht="13.5" customHeight="1">
      <c r="A125" s="1103">
        <f>VLOOKUP(B125,ReportData!$AQ$4:$AR$25,2,FALSE)</f>
        <v>0</v>
      </c>
      <c r="B125" s="885" t="str">
        <f t="shared" si="43"/>
        <v>West Sussex</v>
      </c>
      <c r="C125" s="59"/>
      <c r="D125" s="922">
        <f t="shared" si="37"/>
        <v>9.8039215686274508E-3</v>
      </c>
      <c r="E125" s="922">
        <f t="shared" si="38"/>
        <v>9.433962264150943E-3</v>
      </c>
      <c r="F125" s="922">
        <f t="shared" si="39"/>
        <v>1.5873015873015872E-2</v>
      </c>
      <c r="G125" s="922">
        <f t="shared" si="40"/>
        <v>7.9470198675496689E-3</v>
      </c>
      <c r="H125" s="923">
        <f t="shared" si="41"/>
        <v>2.0186335403726708E-2</v>
      </c>
      <c r="I125" s="68"/>
      <c r="J125" s="68"/>
      <c r="K125" s="127"/>
      <c r="L125" s="127"/>
      <c r="M125" s="127"/>
      <c r="N125" s="127"/>
      <c r="O125" s="127"/>
      <c r="P125" s="127"/>
      <c r="Q125" s="127"/>
      <c r="R125" s="128"/>
      <c r="S125" s="120"/>
      <c r="T125" s="127"/>
      <c r="U125" s="89"/>
      <c r="V125" s="103"/>
      <c r="W125" s="115"/>
      <c r="X125" s="352" t="str">
        <f t="shared" si="42"/>
        <v>West Sussex</v>
      </c>
      <c r="Y125" s="355">
        <f>IF(Year1_West_Sussex Year1_CP_Plans_2years="","",Year1_West_Sussex Year1_CP_Plans_2years)</f>
        <v>8</v>
      </c>
      <c r="Z125" s="248">
        <f>IF(Year2_West_Sussex Year2_CP_Plans_2years="","",Year2_West_Sussex Year2_CP_Plans_2years)</f>
        <v>9</v>
      </c>
      <c r="AA125" s="248">
        <f>IF(Year3_West_Sussex Year3_CP_Plans_2years="","",Year3_West_Sussex Year3_CP_Plans_2years)</f>
        <v>11</v>
      </c>
      <c r="AB125" s="248">
        <f>IF(Year4_West_Sussex Year4_CP_Plans_2years="","",Year4_West_Sussex Year4_CP_Plans_2years)</f>
        <v>6</v>
      </c>
      <c r="AC125" s="353">
        <f>IF(Year5_West_Sussex Year5_CP_Plans_2years="","",Year5_West_Sussex Year5_CP_Plans_2years)</f>
        <v>13</v>
      </c>
      <c r="AD125" s="56"/>
      <c r="AE125" s="56"/>
      <c r="AF125" s="56"/>
      <c r="AG125" s="56"/>
      <c r="AH125" s="56"/>
      <c r="AI125" s="52"/>
      <c r="AJ125" s="119"/>
      <c r="AK125" s="52"/>
    </row>
    <row r="126" spans="1:58" s="61" customFormat="1" ht="13.5" customHeight="1">
      <c r="A126" s="1103">
        <f>VLOOKUP(B126,ReportData!$AQ$4:$AR$25,2,FALSE)</f>
        <v>0</v>
      </c>
      <c r="B126" s="885" t="str">
        <f t="shared" si="43"/>
        <v>Windsor &amp; Maidenhead</v>
      </c>
      <c r="C126" s="59"/>
      <c r="D126" s="922">
        <f t="shared" si="37"/>
        <v>3.0534351145038167E-2</v>
      </c>
      <c r="E126" s="922">
        <f t="shared" si="38"/>
        <v>0</v>
      </c>
      <c r="F126" s="922" t="e">
        <f t="shared" si="39"/>
        <v>#N/A</v>
      </c>
      <c r="G126" s="922">
        <f t="shared" si="40"/>
        <v>0</v>
      </c>
      <c r="H126" s="923">
        <f t="shared" si="41"/>
        <v>6.0606060606060608E-2</v>
      </c>
      <c r="I126" s="68"/>
      <c r="J126" s="68"/>
      <c r="K126" s="127"/>
      <c r="L126" s="127"/>
      <c r="M126" s="127"/>
      <c r="N126" s="127"/>
      <c r="O126" s="127"/>
      <c r="P126" s="127"/>
      <c r="Q126" s="127"/>
      <c r="R126" s="128"/>
      <c r="S126" s="120"/>
      <c r="T126" s="127"/>
      <c r="U126" s="89"/>
      <c r="V126" s="103"/>
      <c r="W126" s="115"/>
      <c r="X126" s="352" t="str">
        <f t="shared" si="42"/>
        <v>Windsor &amp; Maidenhead</v>
      </c>
      <c r="Y126" s="355">
        <f>IF(Year1_Windsor_and_Maidenhead Year1_CP_Plans_2years="","",Year1_Windsor_and_Maidenhead Year1_CP_Plans_2years)</f>
        <v>4</v>
      </c>
      <c r="Z126" s="248">
        <f>IF(Year2_Windsor_and_Maidenhead Year2_CP_Plans_2years="","",Year2_Windsor_and_Maidenhead Year2_CP_Plans_2years)</f>
        <v>0</v>
      </c>
      <c r="AA126" s="248" t="str">
        <f>IF(Year3_Windsor_and_Maidenhead Year3_CP_Plans_2years="","",Year3_Windsor_and_Maidenhead Year3_CP_Plans_2years)</f>
        <v>c</v>
      </c>
      <c r="AB126" s="248">
        <f>IF(Year4_Windsor_and_Maidenhead Year4_CP_Plans_2years="","",Year4_Windsor_and_Maidenhead Year4_CP_Plans_2years)</f>
        <v>0</v>
      </c>
      <c r="AC126" s="353">
        <f>IF(Year5_Windsor_and_Maidenhead Year5_CP_Plans_2years="","",Year5_Windsor_and_Maidenhead Year5_CP_Plans_2years)</f>
        <v>6</v>
      </c>
      <c r="AD126" s="56"/>
      <c r="AE126" s="56"/>
      <c r="AF126" s="56"/>
      <c r="AG126" s="56"/>
      <c r="AH126" s="56"/>
      <c r="AI126" s="52"/>
      <c r="AJ126" s="119"/>
      <c r="AK126" s="52"/>
    </row>
    <row r="127" spans="1:58" s="61" customFormat="1" ht="13.5" customHeight="1">
      <c r="A127" s="1103">
        <f>VLOOKUP(B127,ReportData!$AQ$4:$AR$25,2,FALSE)</f>
        <v>0</v>
      </c>
      <c r="B127" s="885" t="str">
        <f t="shared" si="43"/>
        <v>Wokingham</v>
      </c>
      <c r="C127" s="59"/>
      <c r="D127" s="922">
        <f t="shared" si="37"/>
        <v>0</v>
      </c>
      <c r="E127" s="922">
        <f t="shared" si="38"/>
        <v>6.0402684563758392E-2</v>
      </c>
      <c r="F127" s="922">
        <f t="shared" si="39"/>
        <v>3.7267080745341616E-2</v>
      </c>
      <c r="G127" s="922" t="e">
        <f t="shared" si="40"/>
        <v>#N/A</v>
      </c>
      <c r="H127" s="923" t="e">
        <f t="shared" si="41"/>
        <v>#N/A</v>
      </c>
      <c r="I127" s="68"/>
      <c r="J127" s="68"/>
      <c r="K127" s="127"/>
      <c r="L127" s="127"/>
      <c r="M127" s="127"/>
      <c r="N127" s="127"/>
      <c r="O127" s="127"/>
      <c r="P127" s="127"/>
      <c r="Q127" s="127"/>
      <c r="R127" s="128"/>
      <c r="S127" s="120"/>
      <c r="T127" s="127"/>
      <c r="U127" s="89"/>
      <c r="V127" s="103"/>
      <c r="W127" s="114"/>
      <c r="X127" s="352" t="str">
        <f t="shared" si="42"/>
        <v>Wokingham</v>
      </c>
      <c r="Y127" s="355">
        <f>IF(Year1_Wokingham Year1_CP_Plans_2years="","",Year1_Wokingham Year1_CP_Plans_2years)</f>
        <v>0</v>
      </c>
      <c r="Z127" s="248">
        <f>IF(Year2_Wokingham Year2_CP_Plans_2years="","",Year2_Wokingham Year2_CP_Plans_2years)</f>
        <v>9</v>
      </c>
      <c r="AA127" s="248">
        <f>IF(Year3_Wokingham Year3_CP_Plans_2years="","",Year3_Wokingham Year3_CP_Plans_2years)</f>
        <v>6</v>
      </c>
      <c r="AB127" s="248" t="str">
        <f>IF(Year4_Wokingham Year4_CP_Plans_2years="","",Year4_Wokingham Year4_CP_Plans_2years)</f>
        <v>c</v>
      </c>
      <c r="AC127" s="353" t="str">
        <f>IF(Year5_Wokingham Year5_CP_Plans_2years="","",Year5_Wokingham Year5_CP_Plans_2years)</f>
        <v>c</v>
      </c>
      <c r="AD127" s="149"/>
      <c r="AE127" s="52"/>
      <c r="AF127" s="52"/>
      <c r="AG127" s="52"/>
      <c r="AH127" s="56"/>
      <c r="AI127" s="52"/>
      <c r="AJ127" s="119"/>
      <c r="AK127" s="52"/>
      <c r="AL127" s="56"/>
      <c r="AM127" s="56"/>
      <c r="AN127" s="56"/>
      <c r="AO127" s="56"/>
      <c r="AP127" s="56"/>
      <c r="AQ127" s="56"/>
      <c r="AR127" s="56"/>
      <c r="AS127" s="56"/>
      <c r="AT127" s="56"/>
      <c r="AU127" s="56"/>
      <c r="AV127" s="56"/>
      <c r="AW127" s="56"/>
      <c r="AX127" s="56"/>
      <c r="AY127" s="56"/>
      <c r="AZ127" s="56"/>
      <c r="BA127" s="56"/>
      <c r="BB127" s="56"/>
      <c r="BC127" s="56"/>
      <c r="BD127" s="56"/>
      <c r="BE127" s="56"/>
      <c r="BF127" s="56"/>
    </row>
    <row r="128" spans="1:58" s="61" customFormat="1" ht="13.5" customHeight="1">
      <c r="A128" s="1148"/>
      <c r="B128" s="886" t="str">
        <f t="shared" si="43"/>
        <v>South East</v>
      </c>
      <c r="C128" s="59"/>
      <c r="D128" s="924">
        <f t="shared" si="37"/>
        <v>2.4673081667900321E-2</v>
      </c>
      <c r="E128" s="924">
        <f t="shared" si="38"/>
        <v>2.0067728583970903E-2</v>
      </c>
      <c r="F128" s="924">
        <f t="shared" si="39"/>
        <v>2.3397285914833879E-2</v>
      </c>
      <c r="G128" s="924">
        <f t="shared" si="40"/>
        <v>2.289156626506024E-2</v>
      </c>
      <c r="H128" s="925">
        <f t="shared" si="41"/>
        <v>3.3288948069241014E-2</v>
      </c>
      <c r="I128" s="68"/>
      <c r="J128" s="68"/>
      <c r="K128" s="129"/>
      <c r="L128" s="129"/>
      <c r="M128" s="129"/>
      <c r="N128" s="129"/>
      <c r="O128" s="129"/>
      <c r="P128" s="129"/>
      <c r="Q128" s="129"/>
      <c r="R128" s="130"/>
      <c r="S128" s="120"/>
      <c r="T128" s="131"/>
      <c r="U128" s="89"/>
      <c r="V128" s="103"/>
      <c r="W128" s="114"/>
      <c r="X128" s="352" t="str">
        <f t="shared" si="42"/>
        <v>South East</v>
      </c>
      <c r="Y128" s="252">
        <f>IF(Year1_South_East Year1_CP_Plans_2years="","",Year1_South_East Year1_CP_Plans_2years)</f>
        <v>200</v>
      </c>
      <c r="Z128" s="248">
        <f>IF(Year2_South_East Year2_CP_Plans_2years="","",Year2_South_East Year2_CP_Plans_2years)</f>
        <v>160</v>
      </c>
      <c r="AA128" s="248">
        <f>IF(Year3_South_East Year3_CP_Plans_2years="","",Year3_South_East Year3_CP_Plans_2years)</f>
        <v>200</v>
      </c>
      <c r="AB128" s="248">
        <f>IF(Year4_South_East Year4_CP_Plans_2years="","",Year4_South_East Year4_CP_Plans_2years)</f>
        <v>190</v>
      </c>
      <c r="AC128" s="352">
        <f>IF(Year5_South_East Year5_CP_Plans_2years="","",Year5_South_East Year5_CP_Plans_2years)</f>
        <v>250</v>
      </c>
      <c r="AD128" s="149"/>
      <c r="AE128" s="52"/>
      <c r="AF128" s="52"/>
      <c r="AG128" s="52"/>
      <c r="AH128" s="56"/>
      <c r="AI128" s="52"/>
      <c r="AJ128" s="119"/>
      <c r="AK128" s="52"/>
      <c r="AL128" s="56"/>
      <c r="AM128" s="56"/>
      <c r="AN128" s="56"/>
      <c r="AO128" s="56"/>
      <c r="AP128" s="56"/>
      <c r="AQ128" s="56"/>
      <c r="AR128" s="56"/>
      <c r="AS128" s="56"/>
      <c r="AT128" s="56"/>
      <c r="AU128" s="56"/>
      <c r="AV128" s="56"/>
      <c r="AW128" s="56"/>
      <c r="AX128" s="56"/>
      <c r="AY128" s="56"/>
      <c r="AZ128" s="56"/>
      <c r="BA128" s="56"/>
      <c r="BB128" s="56"/>
      <c r="BC128" s="56"/>
      <c r="BD128" s="56"/>
      <c r="BE128" s="56"/>
      <c r="BF128" s="56"/>
    </row>
    <row r="129" spans="1:76" s="61" customFormat="1" ht="13.5" customHeight="1">
      <c r="A129" s="1148"/>
      <c r="B129" s="887" t="str">
        <f t="shared" si="43"/>
        <v>England</v>
      </c>
      <c r="C129" s="59"/>
      <c r="D129" s="926">
        <f t="shared" si="37"/>
        <v>2.1355076684139003E-2</v>
      </c>
      <c r="E129" s="926">
        <f t="shared" si="38"/>
        <v>2.0395920815836834E-2</v>
      </c>
      <c r="F129" s="926">
        <f t="shared" si="39"/>
        <v>2.4548311076197957E-2</v>
      </c>
      <c r="G129" s="926">
        <f t="shared" si="40"/>
        <v>2.2055927530523829E-2</v>
      </c>
      <c r="H129" s="927">
        <f t="shared" si="41"/>
        <v>2.5450901803607213E-2</v>
      </c>
      <c r="I129" s="68"/>
      <c r="J129" s="68"/>
      <c r="K129" s="129"/>
      <c r="L129" s="129"/>
      <c r="M129" s="129"/>
      <c r="N129" s="129"/>
      <c r="O129" s="129"/>
      <c r="P129" s="129"/>
      <c r="Q129" s="129"/>
      <c r="R129" s="130"/>
      <c r="S129" s="120"/>
      <c r="T129" s="131"/>
      <c r="U129" s="89"/>
      <c r="V129" s="103"/>
      <c r="W129" s="114"/>
      <c r="X129" s="352" t="str">
        <f t="shared" si="42"/>
        <v>England</v>
      </c>
      <c r="Y129" s="252">
        <f>IF(Year1_England Year1_CP_Plans_2years="","",Year1_England Year1_CP_Plans_2years)</f>
        <v>1100</v>
      </c>
      <c r="Z129" s="248">
        <f>IF(Year2_England Year2_CP_Plans_2years="","",Year2_England Year2_CP_Plans_2years)</f>
        <v>1020</v>
      </c>
      <c r="AA129" s="248">
        <f>IF(Year3_England Year3_CP_Plans_2years="","",Year3_England Year3_CP_Plans_2years)</f>
        <v>1250</v>
      </c>
      <c r="AB129" s="248">
        <f>IF(Year4_England Year4_CP_Plans_2years="","",Year4_England Year4_CP_Plans_2years)</f>
        <v>1120</v>
      </c>
      <c r="AC129" s="353">
        <f>IF(Year5_England Year5_CP_Plans_2years="","",Year5_England Year5_CP_Plans_2years)</f>
        <v>1270</v>
      </c>
      <c r="AD129" s="149"/>
      <c r="AE129" s="52"/>
      <c r="AF129" s="52"/>
      <c r="AG129" s="52"/>
      <c r="AH129" s="56"/>
      <c r="AI129" s="52"/>
      <c r="AJ129" s="119"/>
      <c r="AK129" s="52"/>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row>
    <row r="130" spans="1:76" s="61" customFormat="1" ht="4.5" customHeight="1">
      <c r="A130" s="217"/>
      <c r="B130" s="68"/>
      <c r="C130" s="68"/>
      <c r="D130" s="68"/>
      <c r="E130" s="68"/>
      <c r="F130" s="68"/>
      <c r="G130" s="68"/>
      <c r="H130" s="68"/>
      <c r="I130" s="68"/>
      <c r="J130" s="68"/>
      <c r="K130" s="129"/>
      <c r="L130" s="129"/>
      <c r="M130" s="129"/>
      <c r="N130" s="129"/>
      <c r="O130" s="129"/>
      <c r="P130" s="129"/>
      <c r="Q130" s="129"/>
      <c r="R130" s="130"/>
      <c r="S130" s="120"/>
      <c r="T130" s="131"/>
      <c r="U130" s="89"/>
      <c r="V130" s="103"/>
      <c r="W130" s="114"/>
      <c r="X130" s="56"/>
      <c r="Y130" s="141"/>
      <c r="Z130" s="56"/>
      <c r="AA130" s="56"/>
      <c r="AB130" s="56"/>
      <c r="AC130" s="56"/>
      <c r="AD130" s="56"/>
      <c r="AE130" s="56"/>
      <c r="AF130" s="56"/>
      <c r="AG130" s="56"/>
      <c r="AH130" s="56"/>
      <c r="AI130" s="52"/>
      <c r="AJ130" s="119"/>
      <c r="AK130" s="52"/>
      <c r="AL130" s="52"/>
      <c r="AM130" s="52"/>
      <c r="AN130" s="52"/>
      <c r="AO130" s="52"/>
      <c r="AP130" s="52"/>
      <c r="AQ130" s="52"/>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row>
    <row r="131" spans="1:76" s="56" customFormat="1" ht="42" customHeight="1">
      <c r="A131" s="166"/>
      <c r="B131" s="171"/>
      <c r="C131" s="171"/>
      <c r="D131" s="171"/>
      <c r="E131" s="171"/>
      <c r="F131" s="171"/>
      <c r="G131" s="171"/>
      <c r="H131" s="171"/>
      <c r="I131" s="171"/>
      <c r="J131" s="133"/>
      <c r="K131" s="133"/>
      <c r="L131" s="133"/>
      <c r="M131" s="133"/>
      <c r="N131" s="133"/>
      <c r="O131" s="133"/>
      <c r="P131" s="133"/>
      <c r="Q131" s="133"/>
      <c r="R131" s="101"/>
      <c r="S131" s="133"/>
      <c r="T131" s="133"/>
      <c r="U131" s="86"/>
      <c r="V131" s="102"/>
      <c r="W131" s="114"/>
      <c r="AJ131" s="119"/>
      <c r="AK131" s="52"/>
      <c r="AS131" s="52"/>
    </row>
    <row r="132" spans="1:76" s="56" customFormat="1" ht="42.75" customHeight="1">
      <c r="A132" s="166"/>
      <c r="B132" s="171"/>
      <c r="C132" s="171"/>
      <c r="D132" s="171"/>
      <c r="E132" s="171"/>
      <c r="F132" s="171"/>
      <c r="G132" s="171"/>
      <c r="H132" s="171"/>
      <c r="I132" s="171"/>
      <c r="J132" s="133"/>
      <c r="K132" s="133"/>
      <c r="L132" s="133"/>
      <c r="M132" s="133"/>
      <c r="N132" s="133"/>
      <c r="O132" s="133"/>
      <c r="P132" s="133"/>
      <c r="Q132" s="133"/>
      <c r="R132" s="101"/>
      <c r="S132" s="133"/>
      <c r="T132" s="133"/>
      <c r="U132" s="86"/>
      <c r="V132" s="102"/>
      <c r="W132" s="114"/>
      <c r="AI132" s="52"/>
      <c r="AJ132" s="119"/>
      <c r="AK132" s="52"/>
      <c r="AS132" s="52"/>
    </row>
    <row r="133" spans="1:76" s="56" customFormat="1" ht="42" customHeight="1">
      <c r="A133" s="166"/>
      <c r="B133" s="171"/>
      <c r="C133" s="171"/>
      <c r="D133" s="171"/>
      <c r="E133" s="171"/>
      <c r="F133" s="171"/>
      <c r="G133" s="171"/>
      <c r="H133" s="171"/>
      <c r="I133" s="171"/>
      <c r="J133" s="133"/>
      <c r="K133" s="133"/>
      <c r="L133" s="133"/>
      <c r="M133" s="133"/>
      <c r="N133" s="133"/>
      <c r="O133" s="133"/>
      <c r="P133" s="133"/>
      <c r="Q133" s="133"/>
      <c r="R133" s="101"/>
      <c r="S133" s="133"/>
      <c r="T133" s="133"/>
      <c r="U133" s="86"/>
      <c r="V133" s="121"/>
      <c r="W133" s="114"/>
      <c r="X133" s="148"/>
      <c r="Y133" s="146"/>
      <c r="Z133" s="52"/>
      <c r="AI133" s="52"/>
      <c r="AJ133" s="119"/>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row>
    <row r="134" spans="1:76" s="56" customFormat="1" ht="7.5" customHeight="1">
      <c r="A134" s="87"/>
      <c r="B134" s="12"/>
      <c r="C134" s="12"/>
      <c r="D134" s="11"/>
      <c r="E134" s="11"/>
      <c r="F134" s="11"/>
      <c r="G134" s="11"/>
      <c r="H134" s="11"/>
      <c r="I134" s="11"/>
      <c r="J134" s="1"/>
      <c r="K134" s="13"/>
      <c r="L134" s="13"/>
      <c r="M134" s="13"/>
      <c r="N134" s="13"/>
      <c r="O134" s="13"/>
      <c r="P134" s="13"/>
      <c r="Q134" s="13"/>
      <c r="R134" s="13"/>
      <c r="S134" s="13"/>
      <c r="T134" s="14"/>
      <c r="U134" s="86"/>
      <c r="V134" s="185"/>
      <c r="W134" s="114"/>
      <c r="AJ134" s="119"/>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row>
    <row r="135" spans="1:76" s="56" customFormat="1" ht="15" customHeight="1">
      <c r="A135" s="1565"/>
      <c r="B135" s="1751"/>
      <c r="C135" s="1751"/>
      <c r="D135" s="1751"/>
      <c r="E135" s="1751"/>
      <c r="F135" s="1751"/>
      <c r="G135" s="1751"/>
      <c r="H135" s="1751"/>
      <c r="I135" s="1751"/>
      <c r="J135" s="1751"/>
      <c r="K135" s="1751"/>
      <c r="L135" s="1751"/>
      <c r="M135" s="1751"/>
      <c r="N135" s="1751"/>
      <c r="O135" s="1751"/>
      <c r="P135" s="1751"/>
      <c r="Q135" s="1751"/>
      <c r="R135" s="1751"/>
      <c r="S135" s="1751"/>
      <c r="T135" s="1751"/>
      <c r="U135" s="1752"/>
      <c r="V135" s="185"/>
      <c r="W135" s="114"/>
      <c r="AJ135" s="119"/>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row>
    <row r="136" spans="1:76" s="56" customFormat="1" ht="11.25" customHeight="1">
      <c r="A136" s="1739"/>
      <c r="B136" s="1740"/>
      <c r="C136" s="1740"/>
      <c r="D136" s="1740"/>
      <c r="E136" s="1740"/>
      <c r="F136" s="1740"/>
      <c r="G136" s="1740"/>
      <c r="H136" s="1740"/>
      <c r="I136" s="1741"/>
      <c r="J136" s="1740"/>
      <c r="K136" s="1740"/>
      <c r="L136" s="1740"/>
      <c r="M136" s="1740"/>
      <c r="N136" s="1740"/>
      <c r="O136" s="1740"/>
      <c r="P136" s="1742"/>
      <c r="Q136" s="1740"/>
      <c r="R136" s="1740"/>
      <c r="S136" s="1741"/>
      <c r="T136" s="1740"/>
      <c r="U136" s="1743"/>
      <c r="V136" s="185"/>
      <c r="W136" s="114"/>
      <c r="AJ136" s="119"/>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row>
    <row r="137" spans="1:76" ht="11.25" hidden="1" customHeight="1">
      <c r="A137" s="268"/>
      <c r="B137" s="167"/>
      <c r="C137" s="167"/>
      <c r="D137" s="167"/>
      <c r="E137" s="167"/>
      <c r="F137" s="167"/>
      <c r="G137" s="167"/>
      <c r="H137" s="167"/>
      <c r="I137" s="167"/>
      <c r="J137" s="83"/>
      <c r="K137" s="82"/>
      <c r="L137" s="82"/>
      <c r="M137" s="82"/>
      <c r="N137" s="82"/>
      <c r="O137" s="82"/>
      <c r="P137" s="82"/>
      <c r="Q137" s="82"/>
      <c r="R137" s="82"/>
      <c r="S137" s="82"/>
      <c r="T137" s="82"/>
      <c r="U137" s="84"/>
      <c r="V137" s="102"/>
      <c r="W137" s="115"/>
      <c r="X137" s="52"/>
      <c r="Y137" s="52"/>
      <c r="Z137" s="52"/>
      <c r="AA137" s="52"/>
      <c r="AB137" s="52"/>
      <c r="AC137" s="52"/>
      <c r="AD137" s="52"/>
      <c r="AE137" s="52"/>
      <c r="AF137" s="52"/>
      <c r="AG137" s="52"/>
      <c r="AH137" s="52"/>
      <c r="AJ137" s="119"/>
      <c r="AL137" s="61"/>
      <c r="AM137" s="61"/>
      <c r="AN137" s="61"/>
      <c r="AO137" s="61"/>
      <c r="AP137" s="61"/>
      <c r="AQ137" s="61"/>
      <c r="AR137" s="61"/>
      <c r="AS137" s="61"/>
      <c r="AT137" s="61"/>
      <c r="AU137" s="61"/>
      <c r="AV137" s="61"/>
      <c r="AW137" s="61"/>
      <c r="AX137" s="61"/>
      <c r="AY137" s="61"/>
      <c r="AZ137" s="61"/>
      <c r="BA137" s="61"/>
      <c r="BB137" s="61"/>
      <c r="BC137" s="61"/>
      <c r="BD137" s="61"/>
      <c r="BE137" s="61"/>
      <c r="BF137" s="61"/>
    </row>
    <row r="138" spans="1:76" ht="15" hidden="1" customHeight="1">
      <c r="A138" s="536"/>
      <c r="B138" s="1909" t="s">
        <v>757</v>
      </c>
      <c r="C138" s="1909"/>
      <c r="D138" s="1909"/>
      <c r="E138" s="1909"/>
      <c r="F138" s="1909"/>
      <c r="G138" s="1909"/>
      <c r="H138" s="1909"/>
      <c r="I138" s="1909"/>
      <c r="J138" s="50"/>
      <c r="K138" s="50"/>
      <c r="L138" s="50"/>
      <c r="M138" s="50"/>
      <c r="N138" s="224"/>
      <c r="O138" s="50"/>
      <c r="P138" s="50"/>
      <c r="Q138" s="50"/>
      <c r="R138" s="50"/>
      <c r="S138" s="50"/>
      <c r="T138" s="50"/>
      <c r="U138" s="86"/>
      <c r="V138" s="102"/>
      <c r="W138" s="115"/>
      <c r="X138" s="537" t="s">
        <v>621</v>
      </c>
      <c r="Y138" s="250"/>
      <c r="Z138" s="251"/>
      <c r="AA138" s="251"/>
      <c r="AB138" s="251"/>
      <c r="AE138" s="249" t="s">
        <v>622</v>
      </c>
      <c r="AF138" s="250"/>
      <c r="AG138" s="251"/>
      <c r="AH138" s="251"/>
      <c r="AI138" s="251"/>
      <c r="AJ138" s="119"/>
      <c r="AL138" s="61"/>
      <c r="AM138" s="61"/>
      <c r="AN138" s="61"/>
      <c r="AO138" s="61"/>
      <c r="AP138" s="61"/>
      <c r="AQ138" s="61"/>
      <c r="AR138" s="61"/>
      <c r="AS138" s="61"/>
      <c r="AT138" s="61"/>
      <c r="AU138" s="61"/>
      <c r="AV138" s="61"/>
      <c r="AW138" s="61"/>
      <c r="AX138" s="61"/>
      <c r="AY138" s="61"/>
      <c r="AZ138" s="61"/>
      <c r="BA138" s="61"/>
      <c r="BB138" s="61"/>
      <c r="BC138" s="61"/>
      <c r="BD138" s="61"/>
      <c r="BE138" s="61"/>
      <c r="BF138" s="61"/>
    </row>
    <row r="139" spans="1:76" ht="15" hidden="1" customHeight="1">
      <c r="A139" s="536"/>
      <c r="B139" s="1909"/>
      <c r="C139" s="1909"/>
      <c r="D139" s="1909"/>
      <c r="E139" s="1909"/>
      <c r="F139" s="1909"/>
      <c r="G139" s="1909"/>
      <c r="H139" s="1909"/>
      <c r="I139" s="1909"/>
      <c r="J139" s="50"/>
      <c r="K139" s="50"/>
      <c r="L139" s="50"/>
      <c r="M139" s="50"/>
      <c r="N139" s="224"/>
      <c r="O139" s="50"/>
      <c r="P139" s="50"/>
      <c r="Q139" s="50"/>
      <c r="R139" s="5"/>
      <c r="S139" s="50"/>
      <c r="T139" s="50"/>
      <c r="U139" s="86"/>
      <c r="V139" s="102"/>
      <c r="W139" s="115"/>
      <c r="X139" s="251"/>
      <c r="Y139" s="250"/>
      <c r="Z139" s="251"/>
      <c r="AA139" s="251"/>
      <c r="AB139" s="251"/>
      <c r="AE139" s="251"/>
      <c r="AF139" s="250"/>
      <c r="AG139" s="251"/>
      <c r="AH139" s="251"/>
      <c r="AI139" s="251"/>
      <c r="AJ139" s="119"/>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row>
    <row r="140" spans="1:76" ht="13.5" hidden="1" customHeight="1">
      <c r="A140" s="269"/>
      <c r="B140" s="1910" t="s">
        <v>177</v>
      </c>
      <c r="C140" s="230"/>
      <c r="D140" s="457" t="str">
        <f>ReportData!$D$27</f>
        <v>2019/20</v>
      </c>
      <c r="E140" s="457" t="str">
        <f>ReportData!$E$27</f>
        <v>2020/21</v>
      </c>
      <c r="F140" s="457" t="str">
        <f>ReportData!$F$27</f>
        <v>2021/22</v>
      </c>
      <c r="G140" s="457" t="str">
        <f>ReportData!$G$27</f>
        <v>2022/23</v>
      </c>
      <c r="H140" s="458" t="str">
        <f>ReportData!$H$27</f>
        <v>2023/24</v>
      </c>
      <c r="I140" s="527"/>
      <c r="J140" s="50"/>
      <c r="K140" s="50"/>
      <c r="L140" s="50"/>
      <c r="M140" s="50"/>
      <c r="N140" s="224"/>
      <c r="O140" s="50"/>
      <c r="P140" s="50"/>
      <c r="Q140" s="50"/>
      <c r="R140" s="5"/>
      <c r="S140" s="50"/>
      <c r="T140" s="50"/>
      <c r="U140" s="86"/>
      <c r="V140" s="102"/>
      <c r="W140" s="115"/>
      <c r="X140" s="251"/>
      <c r="Y140" s="250"/>
      <c r="Z140" s="251"/>
      <c r="AA140" s="251"/>
      <c r="AB140" s="251"/>
      <c r="AE140" s="251"/>
      <c r="AF140" s="250"/>
      <c r="AG140" s="251"/>
      <c r="AH140" s="251"/>
      <c r="AI140" s="251"/>
      <c r="AJ140" s="119"/>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row>
    <row r="141" spans="1:76" s="61" customFormat="1" ht="13.5" hidden="1" customHeight="1">
      <c r="A141" s="88"/>
      <c r="B141" s="1911"/>
      <c r="C141" s="59"/>
      <c r="D141" s="459" t="e">
        <f>ReportData!$D$28</f>
        <v>#N/A</v>
      </c>
      <c r="E141" s="459" t="e">
        <f>ReportData!$E$28</f>
        <v>#N/A</v>
      </c>
      <c r="F141" s="459" t="e">
        <f>ReportData!$F$28</f>
        <v>#N/A</v>
      </c>
      <c r="G141" s="459" t="e">
        <f>ReportData!$G$28</f>
        <v>#N/A</v>
      </c>
      <c r="H141" s="460" t="e">
        <f>ReportData!$H$28</f>
        <v>#N/A</v>
      </c>
      <c r="I141" s="68"/>
      <c r="J141" s="68"/>
      <c r="K141" s="43"/>
      <c r="L141" s="43"/>
      <c r="M141" s="43"/>
      <c r="N141" s="43"/>
      <c r="O141" s="43"/>
      <c r="P141" s="43"/>
      <c r="Q141" s="225"/>
      <c r="R141" s="225"/>
      <c r="S141" s="120"/>
      <c r="T141" s="226"/>
      <c r="U141" s="89"/>
      <c r="V141" s="103"/>
      <c r="W141" s="115"/>
      <c r="X141" s="352"/>
      <c r="Y141" s="355" t="e">
        <f>D141</f>
        <v>#N/A</v>
      </c>
      <c r="Z141" s="307" t="e">
        <f>E141</f>
        <v>#N/A</v>
      </c>
      <c r="AA141" s="307" t="e">
        <f>F141</f>
        <v>#N/A</v>
      </c>
      <c r="AB141" s="307" t="e">
        <f>G141</f>
        <v>#N/A</v>
      </c>
      <c r="AC141" s="353" t="e">
        <f>H141</f>
        <v>#N/A</v>
      </c>
      <c r="AD141" s="252"/>
      <c r="AE141" s="307" t="e">
        <f>Y141</f>
        <v>#N/A</v>
      </c>
      <c r="AF141" s="307" t="e">
        <f>Z141</f>
        <v>#N/A</v>
      </c>
      <c r="AG141" s="307" t="e">
        <f>AA141</f>
        <v>#N/A</v>
      </c>
      <c r="AH141" s="307" t="e">
        <f>AB141</f>
        <v>#N/A</v>
      </c>
      <c r="AI141" s="307" t="e">
        <f>AC141</f>
        <v>#N/A</v>
      </c>
      <c r="AJ141" s="119"/>
      <c r="AK141" s="52"/>
    </row>
    <row r="142" spans="1:76" s="61" customFormat="1" ht="12.75" hidden="1" customHeight="1">
      <c r="A142" s="306">
        <f>VLOOKUP(B142,ReportData!$AQ$4:$AR$25,2,FALSE)</f>
        <v>0</v>
      </c>
      <c r="B142" s="65" t="str">
        <f t="shared" ref="B142:B154" si="44">B210</f>
        <v>Bracknell Forest</v>
      </c>
      <c r="C142" s="59"/>
      <c r="D142" s="123" t="e">
        <f t="shared" ref="D142:D164" si="45">IF(AND(ISNUMBER(AE142),ISNUMBER(Y142)),AE142/Y142,NA())</f>
        <v>#N/A</v>
      </c>
      <c r="E142" s="123" t="e">
        <f t="shared" ref="E142:E164" si="46">IF(AND(ISNUMBER(AF142),ISNUMBER(Z142)),AF142/Z142,NA())</f>
        <v>#N/A</v>
      </c>
      <c r="F142" s="123" t="e">
        <f t="shared" ref="F142:F164" si="47">IF(AND(ISNUMBER(AG142),ISNUMBER(AA142)),AG142/AA142,NA())</f>
        <v>#N/A</v>
      </c>
      <c r="G142" s="123" t="e">
        <f t="shared" ref="G142:G164" si="48">IF(AND(ISNUMBER(AH142),ISNUMBER(AB142)),AH142/AB142,NA())</f>
        <v>#N/A</v>
      </c>
      <c r="H142" s="125" t="e">
        <f t="shared" ref="H142:H164" si="49">IF(AND(ISNUMBER(AI142),ISNUMBER(AC142)),AI142/AC142,NA())</f>
        <v>#N/A</v>
      </c>
      <c r="I142" s="68"/>
      <c r="J142" s="68"/>
      <c r="K142" s="127"/>
      <c r="L142" s="127"/>
      <c r="M142" s="127"/>
      <c r="N142" s="127"/>
      <c r="O142" s="127"/>
      <c r="P142" s="127"/>
      <c r="Q142" s="127"/>
      <c r="R142" s="128"/>
      <c r="S142" s="120"/>
      <c r="T142" s="127"/>
      <c r="U142" s="89"/>
      <c r="V142" s="103"/>
      <c r="W142" s="115"/>
      <c r="X142" s="352" t="str">
        <f t="shared" ref="X142:X164" si="50">B142</f>
        <v>Bracknell Forest</v>
      </c>
      <c r="Y142" s="355">
        <f t="shared" ref="Y142:Y154" si="51">IF(ISNUMBER(AE142),D11,0)</f>
        <v>0</v>
      </c>
      <c r="Z142" s="355">
        <f t="shared" ref="Z142:Z154" si="52">IF(ISNUMBER(AF142),E11,0)</f>
        <v>0</v>
      </c>
      <c r="AA142" s="355">
        <f t="shared" ref="AA142:AA154" si="53">IF(ISNUMBER(AG142),F11,0)</f>
        <v>0</v>
      </c>
      <c r="AB142" s="355">
        <f t="shared" ref="AB142:AB154" si="54">IF(ISNUMBER(AH142),G11,0)</f>
        <v>0</v>
      </c>
      <c r="AC142" s="355">
        <f t="shared" ref="AC142:AC154" si="55">IF(ISNUMBER(AI142),H11,0)</f>
        <v>0</v>
      </c>
      <c r="AD142" s="252" t="str">
        <f>X142</f>
        <v>Bracknell Forest</v>
      </c>
      <c r="AE142" s="307" t="str">
        <f>IF(Year1_Bracknell_Forest Year1_CP_Plans_Seen_in_Timescales="","",Year1_Bracknell_Forest Year1_CP_Plans_Seen_in_Timescales)</f>
        <v/>
      </c>
      <c r="AF142" s="248" t="str">
        <f>IF(Year2_Bracknell_Forest Year2_CP_Plans_Seen_in_Timescales="","",Year2_Bracknell_Forest Year2_CP_Plans_Seen_in_Timescales)</f>
        <v/>
      </c>
      <c r="AG142" s="248" t="str">
        <f>IF(Year3_Bracknell_Forest Year3_CP_Plans_Seen_in_Timescales="","",Year3_Bracknell_Forest Year3_CP_Plans_Seen_in_Timescales)</f>
        <v/>
      </c>
      <c r="AH142" s="248" t="str">
        <f>IF(Year4_Bracknell_Forest Year4_CP_Plans_Seen_in_Timescales="","",Year4_Bracknell_Forest Year4_CP_Plans_Seen_in_Timescales)</f>
        <v/>
      </c>
      <c r="AI142" s="248" t="str">
        <f>IF(Year5_Bracknell_Forest Year5_CP_Plans_Seen_in_Timescales="","",Year5_Bracknell_Forest Year5_CP_Plans_Seen_in_Timescales)</f>
        <v/>
      </c>
      <c r="AJ142" s="119"/>
      <c r="AK142" s="52"/>
    </row>
    <row r="143" spans="1:76" s="61" customFormat="1" ht="12.75" hidden="1" customHeight="1">
      <c r="A143" s="306">
        <f>VLOOKUP(B143,ReportData!$AQ$4:$AR$25,2,FALSE)</f>
        <v>0</v>
      </c>
      <c r="B143" s="65" t="str">
        <f t="shared" si="44"/>
        <v>Brighton &amp; Hove</v>
      </c>
      <c r="C143" s="59"/>
      <c r="D143" s="123" t="e">
        <f t="shared" si="45"/>
        <v>#N/A</v>
      </c>
      <c r="E143" s="123" t="e">
        <f t="shared" si="46"/>
        <v>#N/A</v>
      </c>
      <c r="F143" s="123" t="e">
        <f t="shared" si="47"/>
        <v>#N/A</v>
      </c>
      <c r="G143" s="123" t="e">
        <f t="shared" si="48"/>
        <v>#N/A</v>
      </c>
      <c r="H143" s="125" t="e">
        <f t="shared" si="49"/>
        <v>#N/A</v>
      </c>
      <c r="I143" s="68"/>
      <c r="J143" s="68"/>
      <c r="K143" s="127"/>
      <c r="L143" s="127"/>
      <c r="M143" s="127"/>
      <c r="N143" s="127"/>
      <c r="O143" s="127"/>
      <c r="P143" s="127"/>
      <c r="Q143" s="127"/>
      <c r="R143" s="128"/>
      <c r="S143" s="120"/>
      <c r="T143" s="127"/>
      <c r="U143" s="89"/>
      <c r="V143" s="103"/>
      <c r="W143" s="115"/>
      <c r="X143" s="352" t="str">
        <f t="shared" si="50"/>
        <v>Brighton &amp; Hove</v>
      </c>
      <c r="Y143" s="355">
        <f t="shared" si="51"/>
        <v>0</v>
      </c>
      <c r="Z143" s="355">
        <f t="shared" si="52"/>
        <v>0</v>
      </c>
      <c r="AA143" s="355">
        <f t="shared" si="53"/>
        <v>0</v>
      </c>
      <c r="AB143" s="355">
        <f t="shared" si="54"/>
        <v>0</v>
      </c>
      <c r="AC143" s="355">
        <f t="shared" si="55"/>
        <v>0</v>
      </c>
      <c r="AD143" s="252" t="str">
        <f t="shared" ref="AD143:AD164" si="56">X143</f>
        <v>Brighton &amp; Hove</v>
      </c>
      <c r="AE143" s="307" t="str">
        <f>IF(Year1_Brighton_and_Hove Year1_CP_Plans_Seen_in_Timescales="","",Year1_Brighton_and_Hove Year1_CP_Plans_Seen_in_Timescales)</f>
        <v/>
      </c>
      <c r="AF143" s="248" t="str">
        <f>IF(Year2_Brighton_and_Hove Year2_CP_Plans_Seen_in_Timescales="","",Year2_Brighton_and_Hove Year2_CP_Plans_Seen_in_Timescales)</f>
        <v/>
      </c>
      <c r="AG143" s="248" t="str">
        <f>IF(Year3_Brighton_and_Hove Year3_CP_Plans_Seen_in_Timescales="","",Year3_Brighton_and_Hove Year3_CP_Plans_Seen_in_Timescales)</f>
        <v/>
      </c>
      <c r="AH143" s="248" t="str">
        <f>IF(Year4_Brighton_and_Hove Year4_CP_Plans_Seen_in_Timescales="","",Year4_Brighton_and_Hove Year4_CP_Plans_Seen_in_Timescales)</f>
        <v/>
      </c>
      <c r="AI143" s="248" t="str">
        <f>IF(Year5_Brighton_and_Hove Year5_CP_Plans_Seen_in_Timescales="","",Year5_Brighton_and_Hove Year5_CP_Plans_Seen_in_Timescales)</f>
        <v/>
      </c>
      <c r="AJ143" s="119"/>
      <c r="AK143" s="52"/>
      <c r="AR143" s="61" t="s">
        <v>95</v>
      </c>
    </row>
    <row r="144" spans="1:76" s="61" customFormat="1" ht="12.75" hidden="1" customHeight="1">
      <c r="A144" s="306">
        <f>VLOOKUP(B144,ReportData!$AQ$4:$AR$25,2,FALSE)</f>
        <v>0</v>
      </c>
      <c r="B144" s="65" t="str">
        <f t="shared" si="44"/>
        <v>Buckinghamshire</v>
      </c>
      <c r="C144" s="59"/>
      <c r="D144" s="123" t="e">
        <f t="shared" si="45"/>
        <v>#N/A</v>
      </c>
      <c r="E144" s="123" t="e">
        <f t="shared" si="46"/>
        <v>#N/A</v>
      </c>
      <c r="F144" s="123" t="e">
        <f t="shared" si="47"/>
        <v>#N/A</v>
      </c>
      <c r="G144" s="123" t="e">
        <f t="shared" si="48"/>
        <v>#N/A</v>
      </c>
      <c r="H144" s="125" t="e">
        <f t="shared" si="49"/>
        <v>#N/A</v>
      </c>
      <c r="I144" s="68"/>
      <c r="J144" s="68"/>
      <c r="K144" s="127"/>
      <c r="L144" s="127"/>
      <c r="M144" s="127"/>
      <c r="N144" s="127"/>
      <c r="O144" s="127"/>
      <c r="P144" s="127"/>
      <c r="Q144" s="127"/>
      <c r="R144" s="128"/>
      <c r="S144" s="120"/>
      <c r="T144" s="127"/>
      <c r="U144" s="89"/>
      <c r="V144" s="103"/>
      <c r="W144" s="115"/>
      <c r="X144" s="352" t="str">
        <f t="shared" si="50"/>
        <v>Buckinghamshire</v>
      </c>
      <c r="Y144" s="355">
        <f t="shared" si="51"/>
        <v>0</v>
      </c>
      <c r="Z144" s="355">
        <f t="shared" si="52"/>
        <v>0</v>
      </c>
      <c r="AA144" s="355">
        <f t="shared" si="53"/>
        <v>0</v>
      </c>
      <c r="AB144" s="355">
        <f t="shared" si="54"/>
        <v>0</v>
      </c>
      <c r="AC144" s="355">
        <f t="shared" si="55"/>
        <v>0</v>
      </c>
      <c r="AD144" s="252" t="str">
        <f t="shared" si="56"/>
        <v>Buckinghamshire</v>
      </c>
      <c r="AE144" s="307" t="str">
        <f>IF(Year1_Buckinghamshire Year1_CP_Plans_Seen_in_Timescales="","",Year1_Buckinghamshire Year1_CP_Plans_Seen_in_Timescales)</f>
        <v/>
      </c>
      <c r="AF144" s="248" t="str">
        <f>IF(Year2_Buckinghamshire Year2_CP_Plans_Seen_in_Timescales="","",Year2_Buckinghamshire Year2_CP_Plans_Seen_in_Timescales)</f>
        <v/>
      </c>
      <c r="AG144" s="248" t="str">
        <f>IF(Year3_Buckinghamshire Year3_CP_Plans_Seen_in_Timescales="","",Year3_Buckinghamshire Year3_CP_Plans_Seen_in_Timescales)</f>
        <v/>
      </c>
      <c r="AH144" s="248" t="str">
        <f>IF(Year4_Buckinghamshire Year4_CP_Plans_Seen_in_Timescales="","",Year4_Buckinghamshire Year4_CP_Plans_Seen_in_Timescales)</f>
        <v/>
      </c>
      <c r="AI144" s="248" t="str">
        <f>IF(Year5_Buckinghamshire Year5_CP_Plans_Seen_in_Timescales="","",Year5_Buckinghamshire Year5_CP_Plans_Seen_in_Timescales)</f>
        <v/>
      </c>
      <c r="AJ144" s="119"/>
      <c r="AK144" s="52"/>
    </row>
    <row r="145" spans="1:37" s="61" customFormat="1" ht="12.75" hidden="1" customHeight="1">
      <c r="A145" s="306">
        <f>VLOOKUP(B145,ReportData!$AQ$4:$AR$25,2,FALSE)</f>
        <v>0</v>
      </c>
      <c r="B145" s="65" t="str">
        <f t="shared" si="44"/>
        <v>East Sussex</v>
      </c>
      <c r="C145" s="59"/>
      <c r="D145" s="123" t="e">
        <f t="shared" si="45"/>
        <v>#N/A</v>
      </c>
      <c r="E145" s="123" t="e">
        <f t="shared" si="46"/>
        <v>#N/A</v>
      </c>
      <c r="F145" s="123" t="e">
        <f t="shared" si="47"/>
        <v>#N/A</v>
      </c>
      <c r="G145" s="123" t="e">
        <f t="shared" si="48"/>
        <v>#N/A</v>
      </c>
      <c r="H145" s="125" t="e">
        <f t="shared" si="49"/>
        <v>#N/A</v>
      </c>
      <c r="I145" s="68"/>
      <c r="J145" s="68"/>
      <c r="K145" s="127"/>
      <c r="L145" s="127"/>
      <c r="M145" s="127"/>
      <c r="N145" s="127"/>
      <c r="O145" s="127"/>
      <c r="P145" s="127"/>
      <c r="Q145" s="127"/>
      <c r="R145" s="128"/>
      <c r="S145" s="120"/>
      <c r="T145" s="127"/>
      <c r="U145" s="89"/>
      <c r="V145" s="103"/>
      <c r="W145" s="115"/>
      <c r="X145" s="352" t="str">
        <f t="shared" si="50"/>
        <v>East Sussex</v>
      </c>
      <c r="Y145" s="355">
        <f t="shared" si="51"/>
        <v>0</v>
      </c>
      <c r="Z145" s="355">
        <f t="shared" si="52"/>
        <v>0</v>
      </c>
      <c r="AA145" s="355">
        <f t="shared" si="53"/>
        <v>0</v>
      </c>
      <c r="AB145" s="355">
        <f t="shared" si="54"/>
        <v>0</v>
      </c>
      <c r="AC145" s="355">
        <f t="shared" si="55"/>
        <v>0</v>
      </c>
      <c r="AD145" s="252" t="str">
        <f t="shared" si="56"/>
        <v>East Sussex</v>
      </c>
      <c r="AE145" s="307" t="str">
        <f>IF(Year1_East_Sussex Year1_CP_Plans_Seen_in_Timescales="","",Year1_East_Sussex Year1_CP_Plans_Seen_in_Timescales)</f>
        <v/>
      </c>
      <c r="AF145" s="248" t="str">
        <f>IF(Year2_East_Sussex Year2_CP_Plans_Seen_in_Timescales="","",Year2_East_Sussex Year2_CP_Plans_Seen_in_Timescales)</f>
        <v/>
      </c>
      <c r="AG145" s="248" t="str">
        <f>IF(Year3_East_Sussex Year3_CP_Plans_Seen_in_Timescales="","",Year3_East_Sussex Year3_CP_Plans_Seen_in_Timescales)</f>
        <v/>
      </c>
      <c r="AH145" s="248" t="str">
        <f>IF(Year4_East_Sussex Year4_CP_Plans_Seen_in_Timescales="","",Year4_East_Sussex Year4_CP_Plans_Seen_in_Timescales)</f>
        <v/>
      </c>
      <c r="AI145" s="248" t="str">
        <f>IF(Year5_East_Sussex Year5_CP_Plans_Seen_in_Timescales="","",Year5_East_Sussex Year5_CP_Plans_Seen_in_Timescales)</f>
        <v/>
      </c>
      <c r="AJ145" s="119"/>
      <c r="AK145" s="52"/>
    </row>
    <row r="146" spans="1:37" s="61" customFormat="1" ht="12.75" hidden="1" customHeight="1">
      <c r="A146" s="306">
        <f>VLOOKUP(B146,ReportData!$AQ$4:$AR$25,2,FALSE)</f>
        <v>0</v>
      </c>
      <c r="B146" s="65" t="str">
        <f t="shared" si="44"/>
        <v>Hampshire</v>
      </c>
      <c r="C146" s="59"/>
      <c r="D146" s="123" t="e">
        <f t="shared" si="45"/>
        <v>#N/A</v>
      </c>
      <c r="E146" s="123" t="e">
        <f t="shared" si="46"/>
        <v>#N/A</v>
      </c>
      <c r="F146" s="123" t="e">
        <f t="shared" si="47"/>
        <v>#N/A</v>
      </c>
      <c r="G146" s="123" t="e">
        <f t="shared" si="48"/>
        <v>#N/A</v>
      </c>
      <c r="H146" s="125" t="e">
        <f t="shared" si="49"/>
        <v>#N/A</v>
      </c>
      <c r="I146" s="68"/>
      <c r="J146" s="68"/>
      <c r="K146" s="127"/>
      <c r="L146" s="127"/>
      <c r="M146" s="127"/>
      <c r="N146" s="127"/>
      <c r="O146" s="127"/>
      <c r="P146" s="127"/>
      <c r="Q146" s="127"/>
      <c r="R146" s="128"/>
      <c r="S146" s="120"/>
      <c r="T146" s="127"/>
      <c r="U146" s="89"/>
      <c r="V146" s="103"/>
      <c r="W146" s="115"/>
      <c r="X146" s="352" t="str">
        <f t="shared" si="50"/>
        <v>Hampshire</v>
      </c>
      <c r="Y146" s="355">
        <f t="shared" si="51"/>
        <v>0</v>
      </c>
      <c r="Z146" s="355">
        <f t="shared" si="52"/>
        <v>0</v>
      </c>
      <c r="AA146" s="355">
        <f t="shared" si="53"/>
        <v>0</v>
      </c>
      <c r="AB146" s="355">
        <f t="shared" si="54"/>
        <v>0</v>
      </c>
      <c r="AC146" s="355">
        <f t="shared" si="55"/>
        <v>0</v>
      </c>
      <c r="AD146" s="252" t="str">
        <f t="shared" si="56"/>
        <v>Hampshire</v>
      </c>
      <c r="AE146" s="307" t="str">
        <f>IF(Year1_Hampshire Year1_CP_Plans_Seen_in_Timescales="","",Year1_Hampshire Year1_CP_Plans_Seen_in_Timescales)</f>
        <v/>
      </c>
      <c r="AF146" s="248" t="str">
        <f>IF(Year2_Hampshire Year2_CP_Plans_Seen_in_Timescales="","",Year2_Hampshire Year2_CP_Plans_Seen_in_Timescales)</f>
        <v/>
      </c>
      <c r="AG146" s="248" t="str">
        <f>IF(Year3_Hampshire Year3_CP_Plans_Seen_in_Timescales="","",Year3_Hampshire Year3_CP_Plans_Seen_in_Timescales)</f>
        <v/>
      </c>
      <c r="AH146" s="248" t="str">
        <f>IF(Year4_Hampshire Year4_CP_Plans_Seen_in_Timescales="","",Year4_Hampshire Year4_CP_Plans_Seen_in_Timescales)</f>
        <v/>
      </c>
      <c r="AI146" s="248" t="str">
        <f>IF(Year5_Hampshire Year5_CP_Plans_Seen_in_Timescales="","",Year5_Hampshire Year5_CP_Plans_Seen_in_Timescales)</f>
        <v/>
      </c>
      <c r="AJ146" s="119"/>
      <c r="AK146" s="52"/>
    </row>
    <row r="147" spans="1:37" s="61" customFormat="1" ht="12.75" hidden="1" customHeight="1">
      <c r="A147" s="306">
        <f>VLOOKUP(B147,ReportData!$AQ$4:$AR$25,2,FALSE)</f>
        <v>0</v>
      </c>
      <c r="B147" s="65" t="str">
        <f t="shared" si="44"/>
        <v>Isle of Wight</v>
      </c>
      <c r="C147" s="59"/>
      <c r="D147" s="123" t="e">
        <f t="shared" si="45"/>
        <v>#N/A</v>
      </c>
      <c r="E147" s="123" t="e">
        <f t="shared" si="46"/>
        <v>#N/A</v>
      </c>
      <c r="F147" s="123" t="e">
        <f t="shared" si="47"/>
        <v>#N/A</v>
      </c>
      <c r="G147" s="123" t="e">
        <f t="shared" si="48"/>
        <v>#N/A</v>
      </c>
      <c r="H147" s="125" t="e">
        <f t="shared" si="49"/>
        <v>#N/A</v>
      </c>
      <c r="I147" s="68"/>
      <c r="J147" s="68"/>
      <c r="K147" s="127"/>
      <c r="L147" s="127"/>
      <c r="M147" s="127"/>
      <c r="N147" s="127"/>
      <c r="O147" s="127"/>
      <c r="P147" s="127"/>
      <c r="Q147" s="127"/>
      <c r="R147" s="128"/>
      <c r="S147" s="120"/>
      <c r="T147" s="127"/>
      <c r="U147" s="89"/>
      <c r="V147" s="103"/>
      <c r="W147" s="115"/>
      <c r="X147" s="352" t="str">
        <f t="shared" si="50"/>
        <v>Isle of Wight</v>
      </c>
      <c r="Y147" s="355">
        <f t="shared" si="51"/>
        <v>0</v>
      </c>
      <c r="Z147" s="355">
        <f t="shared" si="52"/>
        <v>0</v>
      </c>
      <c r="AA147" s="355">
        <f t="shared" si="53"/>
        <v>0</v>
      </c>
      <c r="AB147" s="355">
        <f t="shared" si="54"/>
        <v>0</v>
      </c>
      <c r="AC147" s="355">
        <f t="shared" si="55"/>
        <v>0</v>
      </c>
      <c r="AD147" s="252" t="str">
        <f t="shared" si="56"/>
        <v>Isle of Wight</v>
      </c>
      <c r="AE147" s="307" t="str">
        <f>IF(Year1_Isle_of_Wight Year1_CP_Plans_Seen_in_Timescales="","",Year1_Isle_of_Wight Year1_CP_Plans_Seen_in_Timescales)</f>
        <v/>
      </c>
      <c r="AF147" s="248" t="str">
        <f>IF(Year2_Isle_of_Wight Year2_CP_Plans_Seen_in_Timescales="","",Year2_Isle_of_Wight Year2_CP_Plans_Seen_in_Timescales)</f>
        <v/>
      </c>
      <c r="AG147" s="248" t="str">
        <f>IF(Year3_Isle_of_Wight Year3_CP_Plans_Seen_in_Timescales="","",Year3_Isle_of_Wight Year3_CP_Plans_Seen_in_Timescales)</f>
        <v/>
      </c>
      <c r="AH147" s="248" t="str">
        <f>IF(Year4_Isle_of_Wight Year4_CP_Plans_Seen_in_Timescales="","",Year4_Isle_of_Wight Year4_CP_Plans_Seen_in_Timescales)</f>
        <v/>
      </c>
      <c r="AI147" s="248" t="str">
        <f>IF(Year5_Isle_of_Wight Year5_CP_Plans_Seen_in_Timescales="","",Year5_Isle_of_Wight Year5_CP_Plans_Seen_in_Timescales)</f>
        <v/>
      </c>
      <c r="AJ147" s="119"/>
      <c r="AK147" s="52"/>
    </row>
    <row r="148" spans="1:37" s="61" customFormat="1" ht="12.75" hidden="1" customHeight="1">
      <c r="A148" s="306">
        <f>VLOOKUP(B148,ReportData!$AQ$4:$AR$25,2,FALSE)</f>
        <v>0</v>
      </c>
      <c r="B148" s="65" t="str">
        <f t="shared" si="44"/>
        <v>Kent</v>
      </c>
      <c r="C148" s="59"/>
      <c r="D148" s="123" t="e">
        <f t="shared" si="45"/>
        <v>#N/A</v>
      </c>
      <c r="E148" s="123" t="e">
        <f t="shared" si="46"/>
        <v>#N/A</v>
      </c>
      <c r="F148" s="123" t="e">
        <f t="shared" si="47"/>
        <v>#N/A</v>
      </c>
      <c r="G148" s="123" t="e">
        <f t="shared" si="48"/>
        <v>#N/A</v>
      </c>
      <c r="H148" s="125" t="e">
        <f t="shared" si="49"/>
        <v>#N/A</v>
      </c>
      <c r="I148" s="68"/>
      <c r="J148" s="68"/>
      <c r="K148" s="127"/>
      <c r="L148" s="127"/>
      <c r="M148" s="127"/>
      <c r="N148" s="127"/>
      <c r="O148" s="127"/>
      <c r="P148" s="127"/>
      <c r="Q148" s="127"/>
      <c r="R148" s="128"/>
      <c r="S148" s="120"/>
      <c r="T148" s="127"/>
      <c r="U148" s="89"/>
      <c r="V148" s="103"/>
      <c r="W148" s="115"/>
      <c r="X148" s="352" t="str">
        <f t="shared" si="50"/>
        <v>Kent</v>
      </c>
      <c r="Y148" s="355">
        <f t="shared" si="51"/>
        <v>0</v>
      </c>
      <c r="Z148" s="355">
        <f t="shared" si="52"/>
        <v>0</v>
      </c>
      <c r="AA148" s="355">
        <f t="shared" si="53"/>
        <v>0</v>
      </c>
      <c r="AB148" s="355">
        <f t="shared" si="54"/>
        <v>0</v>
      </c>
      <c r="AC148" s="355">
        <f t="shared" si="55"/>
        <v>0</v>
      </c>
      <c r="AD148" s="252" t="str">
        <f t="shared" si="56"/>
        <v>Kent</v>
      </c>
      <c r="AE148" s="307" t="str">
        <f>IF(Year1_Kent Year1_CP_Plans_Seen_in_Timescales="","",Year1_Kent Year1_CP_Plans_Seen_in_Timescales)</f>
        <v/>
      </c>
      <c r="AF148" s="248" t="str">
        <f>IF(Year2_Kent Year2_CP_Plans_Seen_in_Timescales="","",Year2_Kent Year2_CP_Plans_Seen_in_Timescales)</f>
        <v/>
      </c>
      <c r="AG148" s="248" t="str">
        <f>IF(Year3_Kent Year3_CP_Plans_Seen_in_Timescales="","",Year3_Kent Year3_CP_Plans_Seen_in_Timescales)</f>
        <v/>
      </c>
      <c r="AH148" s="248" t="str">
        <f>IF(Year4_Kent Year4_CP_Plans_Seen_in_Timescales="","",Year4_Kent Year4_CP_Plans_Seen_in_Timescales)</f>
        <v/>
      </c>
      <c r="AI148" s="248" t="str">
        <f>IF(Year5_Kent Year5_CP_Plans_Seen_in_Timescales="","",Year5_Kent Year5_CP_Plans_Seen_in_Timescales)</f>
        <v/>
      </c>
      <c r="AJ148" s="119"/>
      <c r="AK148" s="52"/>
    </row>
    <row r="149" spans="1:37" s="61" customFormat="1" ht="12.75" hidden="1" customHeight="1">
      <c r="A149" s="306">
        <f>VLOOKUP(B149,ReportData!$AQ$4:$AR$25,2,FALSE)</f>
        <v>0</v>
      </c>
      <c r="B149" s="65" t="str">
        <f t="shared" si="44"/>
        <v>Medway</v>
      </c>
      <c r="C149" s="59"/>
      <c r="D149" s="123" t="e">
        <f t="shared" si="45"/>
        <v>#N/A</v>
      </c>
      <c r="E149" s="123" t="e">
        <f t="shared" si="46"/>
        <v>#N/A</v>
      </c>
      <c r="F149" s="123" t="e">
        <f t="shared" si="47"/>
        <v>#N/A</v>
      </c>
      <c r="G149" s="123" t="e">
        <f t="shared" si="48"/>
        <v>#N/A</v>
      </c>
      <c r="H149" s="125" t="e">
        <f t="shared" si="49"/>
        <v>#N/A</v>
      </c>
      <c r="I149" s="68"/>
      <c r="J149" s="68"/>
      <c r="K149" s="127"/>
      <c r="L149" s="127"/>
      <c r="M149" s="127"/>
      <c r="N149" s="127"/>
      <c r="O149" s="127"/>
      <c r="P149" s="127"/>
      <c r="Q149" s="127"/>
      <c r="R149" s="128"/>
      <c r="S149" s="120"/>
      <c r="T149" s="127"/>
      <c r="U149" s="89"/>
      <c r="V149" s="103"/>
      <c r="W149" s="115"/>
      <c r="X149" s="352" t="str">
        <f t="shared" si="50"/>
        <v>Medway</v>
      </c>
      <c r="Y149" s="355">
        <f t="shared" si="51"/>
        <v>0</v>
      </c>
      <c r="Z149" s="355">
        <f t="shared" si="52"/>
        <v>0</v>
      </c>
      <c r="AA149" s="355">
        <f t="shared" si="53"/>
        <v>0</v>
      </c>
      <c r="AB149" s="355">
        <f t="shared" si="54"/>
        <v>0</v>
      </c>
      <c r="AC149" s="355">
        <f t="shared" si="55"/>
        <v>0</v>
      </c>
      <c r="AD149" s="252" t="str">
        <f t="shared" si="56"/>
        <v>Medway</v>
      </c>
      <c r="AE149" s="307" t="str">
        <f>IF(Year1_Medway Year1_CP_Plans_Seen_in_Timescales="","",Year1_Medway Year1_CP_Plans_Seen_in_Timescales)</f>
        <v/>
      </c>
      <c r="AF149" s="248" t="str">
        <f>IF(Year2_Medway Year2_CP_Plans_Seen_in_Timescales="","",Year2_Medway Year2_CP_Plans_Seen_in_Timescales)</f>
        <v/>
      </c>
      <c r="AG149" s="248" t="str">
        <f>IF(Year3_Medway Year3_CP_Plans_Seen_in_Timescales="","",Year3_Medway Year3_CP_Plans_Seen_in_Timescales)</f>
        <v/>
      </c>
      <c r="AH149" s="248" t="str">
        <f>IF(Year4_Medway Year4_CP_Plans_Seen_in_Timescales="","",Year4_Medway Year4_CP_Plans_Seen_in_Timescales)</f>
        <v/>
      </c>
      <c r="AI149" s="248" t="str">
        <f>IF(Year5_Medway Year5_CP_Plans_Seen_in_Timescales="","",Year5_Medway Year5_CP_Plans_Seen_in_Timescales)</f>
        <v/>
      </c>
      <c r="AJ149" s="119"/>
      <c r="AK149" s="52"/>
    </row>
    <row r="150" spans="1:37" s="61" customFormat="1" ht="12.75" hidden="1" customHeight="1">
      <c r="A150" s="306">
        <f>VLOOKUP(B150,ReportData!$AQ$4:$AR$25,2,FALSE)</f>
        <v>0</v>
      </c>
      <c r="B150" s="65" t="str">
        <f t="shared" si="44"/>
        <v>Milton Keynes</v>
      </c>
      <c r="C150" s="59"/>
      <c r="D150" s="123" t="e">
        <f t="shared" si="45"/>
        <v>#N/A</v>
      </c>
      <c r="E150" s="123" t="e">
        <f t="shared" si="46"/>
        <v>#N/A</v>
      </c>
      <c r="F150" s="123" t="e">
        <f t="shared" si="47"/>
        <v>#N/A</v>
      </c>
      <c r="G150" s="123" t="e">
        <f t="shared" si="48"/>
        <v>#N/A</v>
      </c>
      <c r="H150" s="125" t="e">
        <f t="shared" si="49"/>
        <v>#N/A</v>
      </c>
      <c r="I150" s="68"/>
      <c r="J150" s="68"/>
      <c r="K150" s="127"/>
      <c r="L150" s="127"/>
      <c r="M150" s="127"/>
      <c r="N150" s="127"/>
      <c r="O150" s="127"/>
      <c r="P150" s="127"/>
      <c r="Q150" s="127"/>
      <c r="R150" s="128"/>
      <c r="S150" s="120"/>
      <c r="T150" s="127"/>
      <c r="U150" s="89"/>
      <c r="V150" s="103"/>
      <c r="W150" s="115"/>
      <c r="X150" s="352" t="str">
        <f t="shared" si="50"/>
        <v>Milton Keynes</v>
      </c>
      <c r="Y150" s="355">
        <f t="shared" si="51"/>
        <v>0</v>
      </c>
      <c r="Z150" s="355">
        <f t="shared" si="52"/>
        <v>0</v>
      </c>
      <c r="AA150" s="355">
        <f t="shared" si="53"/>
        <v>0</v>
      </c>
      <c r="AB150" s="355">
        <f t="shared" si="54"/>
        <v>0</v>
      </c>
      <c r="AC150" s="355">
        <f t="shared" si="55"/>
        <v>0</v>
      </c>
      <c r="AD150" s="252" t="str">
        <f t="shared" si="56"/>
        <v>Milton Keynes</v>
      </c>
      <c r="AE150" s="307" t="str">
        <f>IF(Year1_Milton_Keynes Year1_CP_Plans_Seen_in_Timescales="","",Year1_Milton_Keynes Year1_CP_Plans_Seen_in_Timescales)</f>
        <v/>
      </c>
      <c r="AF150" s="248" t="str">
        <f>IF(Year2_Milton_Keynes Year2_CP_Plans_Seen_in_Timescales="","",Year2_Milton_Keynes Year2_CP_Plans_Seen_in_Timescales)</f>
        <v/>
      </c>
      <c r="AG150" s="248" t="str">
        <f>IF(Year3_Milton_Keynes Year3_CP_Plans_Seen_in_Timescales="","",Year3_Milton_Keynes Year3_CP_Plans_Seen_in_Timescales)</f>
        <v/>
      </c>
      <c r="AH150" s="248" t="str">
        <f>IF(Year4_Milton_Keynes Year4_CP_Plans_Seen_in_Timescales="","",Year4_Milton_Keynes Year4_CP_Plans_Seen_in_Timescales)</f>
        <v/>
      </c>
      <c r="AI150" s="248" t="str">
        <f>IF(Year5_Milton_Keynes Year5_CP_Plans_Seen_in_Timescales="","",Year5_Milton_Keynes Year5_CP_Plans_Seen_in_Timescales)</f>
        <v/>
      </c>
      <c r="AJ150" s="119"/>
      <c r="AK150" s="52"/>
    </row>
    <row r="151" spans="1:37" s="61" customFormat="1" ht="12.75" hidden="1" customHeight="1">
      <c r="A151" s="306">
        <f>VLOOKUP(B151,ReportData!$AQ$4:$AR$25,2,FALSE)</f>
        <v>0</v>
      </c>
      <c r="B151" s="65" t="str">
        <f t="shared" si="44"/>
        <v>Oxfordshire</v>
      </c>
      <c r="C151" s="59"/>
      <c r="D151" s="123" t="e">
        <f t="shared" si="45"/>
        <v>#N/A</v>
      </c>
      <c r="E151" s="123" t="e">
        <f t="shared" si="46"/>
        <v>#N/A</v>
      </c>
      <c r="F151" s="123" t="e">
        <f t="shared" si="47"/>
        <v>#N/A</v>
      </c>
      <c r="G151" s="123" t="e">
        <f t="shared" si="48"/>
        <v>#N/A</v>
      </c>
      <c r="H151" s="125" t="e">
        <f t="shared" si="49"/>
        <v>#N/A</v>
      </c>
      <c r="I151" s="68"/>
      <c r="J151" s="68"/>
      <c r="K151" s="127"/>
      <c r="L151" s="127"/>
      <c r="M151" s="127"/>
      <c r="N151" s="127"/>
      <c r="O151" s="127"/>
      <c r="P151" s="127"/>
      <c r="Q151" s="127"/>
      <c r="R151" s="128"/>
      <c r="S151" s="120"/>
      <c r="T151" s="127"/>
      <c r="U151" s="89"/>
      <c r="V151" s="103"/>
      <c r="W151" s="115"/>
      <c r="X151" s="352" t="str">
        <f t="shared" si="50"/>
        <v>Oxfordshire</v>
      </c>
      <c r="Y151" s="355">
        <f t="shared" si="51"/>
        <v>0</v>
      </c>
      <c r="Z151" s="355">
        <f t="shared" si="52"/>
        <v>0</v>
      </c>
      <c r="AA151" s="355">
        <f t="shared" si="53"/>
        <v>0</v>
      </c>
      <c r="AB151" s="355">
        <f t="shared" si="54"/>
        <v>0</v>
      </c>
      <c r="AC151" s="355">
        <f t="shared" si="55"/>
        <v>0</v>
      </c>
      <c r="AD151" s="252" t="str">
        <f t="shared" si="56"/>
        <v>Oxfordshire</v>
      </c>
      <c r="AE151" s="307" t="str">
        <f>IF(Year1_Oxfordshire Year1_CP_Plans_Seen_in_Timescales="","",Year1_Oxfordshire Year1_CP_Plans_Seen_in_Timescales)</f>
        <v/>
      </c>
      <c r="AF151" s="248" t="str">
        <f>IF(Year2_Oxfordshire Year2_CP_Plans_Seen_in_Timescales="","",Year2_Oxfordshire Year2_CP_Plans_Seen_in_Timescales)</f>
        <v/>
      </c>
      <c r="AG151" s="248" t="str">
        <f>IF(Year3_Oxfordshire Year3_CP_Plans_Seen_in_Timescales="","",Year3_Oxfordshire Year3_CP_Plans_Seen_in_Timescales)</f>
        <v/>
      </c>
      <c r="AH151" s="248" t="str">
        <f>IF(Year4_Oxfordshire Year4_CP_Plans_Seen_in_Timescales="","",Year4_Oxfordshire Year4_CP_Plans_Seen_in_Timescales)</f>
        <v/>
      </c>
      <c r="AI151" s="248" t="str">
        <f>IF(Year5_Oxfordshire Year5_CP_Plans_Seen_in_Timescales="","",Year5_Oxfordshire Year5_CP_Plans_Seen_in_Timescales)</f>
        <v/>
      </c>
      <c r="AJ151" s="119"/>
      <c r="AK151" s="52"/>
    </row>
    <row r="152" spans="1:37" s="61" customFormat="1" ht="12.75" hidden="1" customHeight="1">
      <c r="A152" s="306">
        <f>VLOOKUP(B152,ReportData!$AQ$4:$AR$25,2,FALSE)</f>
        <v>0</v>
      </c>
      <c r="B152" s="65" t="str">
        <f t="shared" si="44"/>
        <v>Portsmouth</v>
      </c>
      <c r="C152" s="59"/>
      <c r="D152" s="123" t="e">
        <f t="shared" si="45"/>
        <v>#N/A</v>
      </c>
      <c r="E152" s="123" t="e">
        <f t="shared" si="46"/>
        <v>#N/A</v>
      </c>
      <c r="F152" s="123" t="e">
        <f t="shared" si="47"/>
        <v>#N/A</v>
      </c>
      <c r="G152" s="123" t="e">
        <f t="shared" si="48"/>
        <v>#N/A</v>
      </c>
      <c r="H152" s="125" t="e">
        <f t="shared" si="49"/>
        <v>#N/A</v>
      </c>
      <c r="I152" s="68"/>
      <c r="J152" s="68"/>
      <c r="K152" s="127"/>
      <c r="L152" s="127"/>
      <c r="M152" s="127"/>
      <c r="N152" s="127"/>
      <c r="O152" s="127"/>
      <c r="P152" s="127"/>
      <c r="Q152" s="127"/>
      <c r="R152" s="128"/>
      <c r="S152" s="120"/>
      <c r="T152" s="127"/>
      <c r="U152" s="89"/>
      <c r="V152" s="103"/>
      <c r="W152" s="115"/>
      <c r="X152" s="352" t="str">
        <f t="shared" si="50"/>
        <v>Portsmouth</v>
      </c>
      <c r="Y152" s="355">
        <f t="shared" si="51"/>
        <v>0</v>
      </c>
      <c r="Z152" s="355">
        <f t="shared" si="52"/>
        <v>0</v>
      </c>
      <c r="AA152" s="355">
        <f t="shared" si="53"/>
        <v>0</v>
      </c>
      <c r="AB152" s="355">
        <f t="shared" si="54"/>
        <v>0</v>
      </c>
      <c r="AC152" s="355">
        <f t="shared" si="55"/>
        <v>0</v>
      </c>
      <c r="AD152" s="252" t="str">
        <f t="shared" si="56"/>
        <v>Portsmouth</v>
      </c>
      <c r="AE152" s="307" t="str">
        <f>IF(Year1_Portsmouth Year1_CP_Plans_Seen_in_Timescales="","",Year1_Portsmouth Year1_CP_Plans_Seen_in_Timescales)</f>
        <v/>
      </c>
      <c r="AF152" s="248" t="str">
        <f>IF(Year2_Portsmouth Year2_CP_Plans_Seen_in_Timescales="","",Year2_Portsmouth Year2_CP_Plans_Seen_in_Timescales)</f>
        <v/>
      </c>
      <c r="AG152" s="248" t="str">
        <f>IF(Year3_Portsmouth Year3_CP_Plans_Seen_in_Timescales="","",Year3_Portsmouth Year3_CP_Plans_Seen_in_Timescales)</f>
        <v/>
      </c>
      <c r="AH152" s="248" t="str">
        <f>IF(Year4_Portsmouth Year4_CP_Plans_Seen_in_Timescales="","",Year4_Portsmouth Year4_CP_Plans_Seen_in_Timescales)</f>
        <v/>
      </c>
      <c r="AI152" s="248" t="str">
        <f>IF(Year5_Portsmouth Year5_CP_Plans_Seen_in_Timescales="","",Year5_Portsmouth Year5_CP_Plans_Seen_in_Timescales)</f>
        <v/>
      </c>
      <c r="AJ152" s="119"/>
      <c r="AK152" s="52"/>
    </row>
    <row r="153" spans="1:37" s="61" customFormat="1" ht="12.75" hidden="1" customHeight="1">
      <c r="A153" s="306">
        <f>VLOOKUP(B153,ReportData!$AQ$4:$AR$25,2,FALSE)</f>
        <v>0</v>
      </c>
      <c r="B153" s="65" t="str">
        <f t="shared" si="44"/>
        <v>Reading</v>
      </c>
      <c r="C153" s="59"/>
      <c r="D153" s="123" t="e">
        <f t="shared" si="45"/>
        <v>#N/A</v>
      </c>
      <c r="E153" s="123" t="e">
        <f t="shared" si="46"/>
        <v>#N/A</v>
      </c>
      <c r="F153" s="123" t="e">
        <f t="shared" si="47"/>
        <v>#N/A</v>
      </c>
      <c r="G153" s="123" t="e">
        <f t="shared" si="48"/>
        <v>#N/A</v>
      </c>
      <c r="H153" s="125" t="e">
        <f t="shared" si="49"/>
        <v>#N/A</v>
      </c>
      <c r="I153" s="68"/>
      <c r="J153" s="68"/>
      <c r="K153" s="127"/>
      <c r="L153" s="127"/>
      <c r="M153" s="127"/>
      <c r="N153" s="127"/>
      <c r="O153" s="127"/>
      <c r="P153" s="127"/>
      <c r="Q153" s="127"/>
      <c r="R153" s="128"/>
      <c r="S153" s="120"/>
      <c r="T153" s="127"/>
      <c r="U153" s="89"/>
      <c r="V153" s="103"/>
      <c r="W153" s="115"/>
      <c r="X153" s="352" t="str">
        <f t="shared" si="50"/>
        <v>Reading</v>
      </c>
      <c r="Y153" s="355">
        <f t="shared" si="51"/>
        <v>0</v>
      </c>
      <c r="Z153" s="355">
        <f t="shared" si="52"/>
        <v>0</v>
      </c>
      <c r="AA153" s="355">
        <f t="shared" si="53"/>
        <v>0</v>
      </c>
      <c r="AB153" s="355">
        <f t="shared" si="54"/>
        <v>0</v>
      </c>
      <c r="AC153" s="355">
        <f t="shared" si="55"/>
        <v>0</v>
      </c>
      <c r="AD153" s="252" t="str">
        <f t="shared" si="56"/>
        <v>Reading</v>
      </c>
      <c r="AE153" s="307" t="str">
        <f>IF(Year1_Reading Year1_CP_Plans_Seen_in_Timescales="","",Year1_Reading Year1_CP_Plans_Seen_in_Timescales)</f>
        <v/>
      </c>
      <c r="AF153" s="248" t="str">
        <f>IF(Year2_Reading Year2_CP_Plans_Seen_in_Timescales="","",Year2_Reading Year2_CP_Plans_Seen_in_Timescales)</f>
        <v/>
      </c>
      <c r="AG153" s="248" t="str">
        <f>IF(Year3_Reading Year3_CP_Plans_Seen_in_Timescales="","",Year3_Reading Year3_CP_Plans_Seen_in_Timescales)</f>
        <v/>
      </c>
      <c r="AH153" s="248" t="str">
        <f>IF(Year4_Reading Year4_CP_Plans_Seen_in_Timescales="","",Year4_Reading Year4_CP_Plans_Seen_in_Timescales)</f>
        <v/>
      </c>
      <c r="AI153" s="248" t="str">
        <f>IF(Year5_Reading Year5_CP_Plans_Seen_in_Timescales="","",Year5_Reading Year5_CP_Plans_Seen_in_Timescales)</f>
        <v/>
      </c>
      <c r="AJ153" s="119"/>
      <c r="AK153" s="52"/>
    </row>
    <row r="154" spans="1:37" s="61" customFormat="1" ht="12.75" hidden="1" customHeight="1">
      <c r="A154" s="306">
        <f>VLOOKUP(B154,ReportData!$AQ$4:$AR$25,2,FALSE)</f>
        <v>0</v>
      </c>
      <c r="B154" s="65" t="str">
        <f t="shared" si="44"/>
        <v>Slough</v>
      </c>
      <c r="C154" s="59"/>
      <c r="D154" s="123" t="e">
        <f t="shared" si="45"/>
        <v>#N/A</v>
      </c>
      <c r="E154" s="123" t="e">
        <f t="shared" si="46"/>
        <v>#N/A</v>
      </c>
      <c r="F154" s="123" t="e">
        <f t="shared" si="47"/>
        <v>#N/A</v>
      </c>
      <c r="G154" s="123" t="e">
        <f t="shared" si="48"/>
        <v>#N/A</v>
      </c>
      <c r="H154" s="125" t="e">
        <f t="shared" si="49"/>
        <v>#N/A</v>
      </c>
      <c r="I154" s="68"/>
      <c r="J154" s="68"/>
      <c r="K154" s="127"/>
      <c r="L154" s="127"/>
      <c r="M154" s="127"/>
      <c r="N154" s="127"/>
      <c r="O154" s="127"/>
      <c r="P154" s="127"/>
      <c r="Q154" s="127"/>
      <c r="R154" s="128"/>
      <c r="S154" s="120"/>
      <c r="T154" s="127"/>
      <c r="U154" s="89"/>
      <c r="V154" s="103"/>
      <c r="W154" s="115"/>
      <c r="X154" s="352" t="str">
        <f t="shared" si="50"/>
        <v>Slough</v>
      </c>
      <c r="Y154" s="355">
        <f t="shared" si="51"/>
        <v>0</v>
      </c>
      <c r="Z154" s="355">
        <f t="shared" si="52"/>
        <v>0</v>
      </c>
      <c r="AA154" s="355">
        <f t="shared" si="53"/>
        <v>0</v>
      </c>
      <c r="AB154" s="355">
        <f t="shared" si="54"/>
        <v>0</v>
      </c>
      <c r="AC154" s="355">
        <f t="shared" si="55"/>
        <v>0</v>
      </c>
      <c r="AD154" s="252" t="str">
        <f t="shared" si="56"/>
        <v>Slough</v>
      </c>
      <c r="AE154" s="307" t="str">
        <f>IF(Year1_Slough Year1_CP_Plans_Seen_in_Timescales="","",Year1_Slough Year1_CP_Plans_Seen_in_Timescales)</f>
        <v/>
      </c>
      <c r="AF154" s="248" t="str">
        <f>IF(Year2_Slough Year2_CP_Plans_Seen_in_Timescales="","",Year2_Slough Year2_CP_Plans_Seen_in_Timescales)</f>
        <v/>
      </c>
      <c r="AG154" s="248" t="str">
        <f>IF(Year3_Slough Year3_CP_Plans_Seen_in_Timescales="","",Year3_Slough Year3_CP_Plans_Seen_in_Timescales)</f>
        <v/>
      </c>
      <c r="AH154" s="248" t="str">
        <f>IF(Year4_Slough Year4_CP_Plans_Seen_in_Timescales="","",Year4_Slough Year4_CP_Plans_Seen_in_Timescales)</f>
        <v/>
      </c>
      <c r="AI154" s="248" t="str">
        <f>IF(Year5_Slough Year5_CP_Plans_Seen_in_Timescales="","",Year5_Slough Year5_CP_Plans_Seen_in_Timescales)</f>
        <v/>
      </c>
      <c r="AJ154" s="119"/>
      <c r="AK154" s="52"/>
    </row>
    <row r="155" spans="1:37" s="61" customFormat="1" ht="12.75" hidden="1" customHeight="1">
      <c r="A155" s="306" t="e">
        <f>VLOOKUP(B155,ReportData!$AQ$4:$AR$25,2,FALSE)</f>
        <v>#REF!</v>
      </c>
      <c r="B155" s="65" t="e">
        <f>#REF!</f>
        <v>#REF!</v>
      </c>
      <c r="C155" s="59"/>
      <c r="D155" s="123" t="e">
        <f t="shared" si="45"/>
        <v>#N/A</v>
      </c>
      <c r="E155" s="123" t="e">
        <f t="shared" si="46"/>
        <v>#N/A</v>
      </c>
      <c r="F155" s="123" t="e">
        <f t="shared" si="47"/>
        <v>#N/A</v>
      </c>
      <c r="G155" s="123" t="e">
        <f t="shared" si="48"/>
        <v>#N/A</v>
      </c>
      <c r="H155" s="125" t="e">
        <f t="shared" si="49"/>
        <v>#N/A</v>
      </c>
      <c r="I155" s="68"/>
      <c r="J155" s="68"/>
      <c r="K155" s="127"/>
      <c r="L155" s="127"/>
      <c r="M155" s="127"/>
      <c r="N155" s="127"/>
      <c r="O155" s="127"/>
      <c r="P155" s="127"/>
      <c r="Q155" s="127"/>
      <c r="R155" s="128"/>
      <c r="S155" s="120"/>
      <c r="T155" s="127"/>
      <c r="U155" s="89"/>
      <c r="V155" s="103"/>
      <c r="W155" s="115"/>
      <c r="X155" s="352" t="e">
        <f t="shared" si="50"/>
        <v>#REF!</v>
      </c>
      <c r="Y155" s="355">
        <f>IF(ISNUMBER(AE155),#REF!,0)</f>
        <v>0</v>
      </c>
      <c r="Z155" s="355">
        <f>IF(ISNUMBER(AF155),#REF!,0)</f>
        <v>0</v>
      </c>
      <c r="AA155" s="355">
        <f>IF(ISNUMBER(AG155),#REF!,0)</f>
        <v>0</v>
      </c>
      <c r="AB155" s="355">
        <f>IF(ISNUMBER(AH155),#REF!,0)</f>
        <v>0</v>
      </c>
      <c r="AC155" s="355">
        <f>IF(ISNUMBER(AI155),#REF!,0)</f>
        <v>0</v>
      </c>
      <c r="AD155" s="252" t="e">
        <f t="shared" si="56"/>
        <v>#REF!</v>
      </c>
      <c r="AE155" s="307" t="e">
        <f>IF(Year1_Somerset Year1_CP_Plans_Seen_in_Timescales="","",Year1_Somerset Year1_CP_Plans_Seen_in_Timescales)</f>
        <v>#NAME?</v>
      </c>
      <c r="AF155" s="248" t="e">
        <f>IF(Year2_Somerset Year2_CP_Plans_Seen_in_Timescales="","",Year2_Somerset Year2_CP_Plans_Seen_in_Timescales)</f>
        <v>#NAME?</v>
      </c>
      <c r="AG155" s="248" t="e">
        <f>IF(Year3_Somerset Year3_CP_Plans_Seen_in_Timescales="","",Year3_Somerset Year3_CP_Plans_Seen_in_Timescales)</f>
        <v>#NAME?</v>
      </c>
      <c r="AH155" s="248" t="e">
        <f>IF(Year4_Somerset Year4_CP_Plans_Seen_in_Timescales="","",Year4_Somerset Year4_CP_Plans_Seen_in_Timescales)</f>
        <v>#NAME?</v>
      </c>
      <c r="AI155" s="248" t="e">
        <f>IF(Year5_Somerset Year5_CP_Plans_Seen_in_Timescales="","",Year5_Somerset Year5_CP_Plans_Seen_in_Timescales)</f>
        <v>#NAME?</v>
      </c>
      <c r="AJ155" s="119"/>
      <c r="AK155" s="52"/>
    </row>
    <row r="156" spans="1:37" s="61" customFormat="1" ht="12.75" hidden="1" customHeight="1">
      <c r="A156" s="306">
        <f>VLOOKUP(B156,ReportData!$AQ$4:$AR$25,2,FALSE)</f>
        <v>0</v>
      </c>
      <c r="B156" s="65" t="str">
        <f>B223</f>
        <v>Southampton</v>
      </c>
      <c r="C156" s="59"/>
      <c r="D156" s="123" t="e">
        <f t="shared" si="45"/>
        <v>#N/A</v>
      </c>
      <c r="E156" s="123" t="e">
        <f t="shared" si="46"/>
        <v>#N/A</v>
      </c>
      <c r="F156" s="123" t="e">
        <f t="shared" si="47"/>
        <v>#N/A</v>
      </c>
      <c r="G156" s="123" t="e">
        <f t="shared" si="48"/>
        <v>#N/A</v>
      </c>
      <c r="H156" s="125" t="e">
        <f t="shared" si="49"/>
        <v>#N/A</v>
      </c>
      <c r="I156" s="68"/>
      <c r="J156" s="68"/>
      <c r="K156" s="127"/>
      <c r="L156" s="127"/>
      <c r="M156" s="127"/>
      <c r="N156" s="127"/>
      <c r="O156" s="127"/>
      <c r="P156" s="127"/>
      <c r="Q156" s="127"/>
      <c r="R156" s="128"/>
      <c r="S156" s="120"/>
      <c r="T156" s="127"/>
      <c r="U156" s="89"/>
      <c r="V156" s="103"/>
      <c r="W156" s="115"/>
      <c r="X156" s="352" t="str">
        <f t="shared" si="50"/>
        <v>Southampton</v>
      </c>
      <c r="Y156" s="355">
        <f t="shared" ref="Y156:AC157" si="57">IF(ISNUMBER(AE156),D24,0)</f>
        <v>0</v>
      </c>
      <c r="Z156" s="355">
        <f t="shared" si="57"/>
        <v>0</v>
      </c>
      <c r="AA156" s="355">
        <f t="shared" si="57"/>
        <v>0</v>
      </c>
      <c r="AB156" s="355">
        <f t="shared" si="57"/>
        <v>0</v>
      </c>
      <c r="AC156" s="355">
        <f t="shared" si="57"/>
        <v>0</v>
      </c>
      <c r="AD156" s="252" t="str">
        <f t="shared" si="56"/>
        <v>Southampton</v>
      </c>
      <c r="AE156" s="307" t="str">
        <f>IF(Year1_Southampton Year1_CP_Plans_Seen_in_Timescales="","",Year1_Southampton Year1_CP_Plans_Seen_in_Timescales)</f>
        <v/>
      </c>
      <c r="AF156" s="248" t="str">
        <f>IF(Year2_Southampton Year2_CP_Plans_Seen_in_Timescales="","",Year2_Southampton Year2_CP_Plans_Seen_in_Timescales)</f>
        <v/>
      </c>
      <c r="AG156" s="248" t="str">
        <f>IF(Year3_Southampton Year3_CP_Plans_Seen_in_Timescales="","",Year3_Southampton Year3_CP_Plans_Seen_in_Timescales)</f>
        <v/>
      </c>
      <c r="AH156" s="248" t="str">
        <f>IF(Year4_Southampton Year4_CP_Plans_Seen_in_Timescales="","",Year4_Southampton Year4_CP_Plans_Seen_in_Timescales)</f>
        <v/>
      </c>
      <c r="AI156" s="248" t="str">
        <f>IF(Year5_Southampton Year5_CP_Plans_Seen_in_Timescales="","",Year5_Southampton Year5_CP_Plans_Seen_in_Timescales)</f>
        <v/>
      </c>
      <c r="AJ156" s="119"/>
      <c r="AK156" s="52"/>
    </row>
    <row r="157" spans="1:37" s="61" customFormat="1" ht="12.75" hidden="1" customHeight="1">
      <c r="A157" s="306">
        <f>VLOOKUP(B157,ReportData!$AQ$4:$AR$25,2,FALSE)</f>
        <v>0</v>
      </c>
      <c r="B157" s="65" t="str">
        <f>B224</f>
        <v>Surrey</v>
      </c>
      <c r="C157" s="59"/>
      <c r="D157" s="123" t="e">
        <f t="shared" si="45"/>
        <v>#N/A</v>
      </c>
      <c r="E157" s="123" t="e">
        <f t="shared" si="46"/>
        <v>#N/A</v>
      </c>
      <c r="F157" s="123" t="e">
        <f t="shared" si="47"/>
        <v>#N/A</v>
      </c>
      <c r="G157" s="123" t="e">
        <f t="shared" si="48"/>
        <v>#N/A</v>
      </c>
      <c r="H157" s="125" t="e">
        <f t="shared" si="49"/>
        <v>#N/A</v>
      </c>
      <c r="I157" s="68"/>
      <c r="J157" s="68"/>
      <c r="K157" s="127"/>
      <c r="L157" s="127"/>
      <c r="M157" s="127"/>
      <c r="N157" s="127"/>
      <c r="O157" s="127"/>
      <c r="P157" s="127"/>
      <c r="Q157" s="127"/>
      <c r="R157" s="128"/>
      <c r="S157" s="120"/>
      <c r="T157" s="127"/>
      <c r="U157" s="89"/>
      <c r="V157" s="103"/>
      <c r="W157" s="115"/>
      <c r="X157" s="352" t="str">
        <f t="shared" si="50"/>
        <v>Surrey</v>
      </c>
      <c r="Y157" s="355">
        <f t="shared" si="57"/>
        <v>0</v>
      </c>
      <c r="Z157" s="355">
        <f t="shared" si="57"/>
        <v>0</v>
      </c>
      <c r="AA157" s="355">
        <f t="shared" si="57"/>
        <v>0</v>
      </c>
      <c r="AB157" s="355">
        <f t="shared" si="57"/>
        <v>0</v>
      </c>
      <c r="AC157" s="355">
        <f t="shared" si="57"/>
        <v>0</v>
      </c>
      <c r="AD157" s="252" t="str">
        <f t="shared" si="56"/>
        <v>Surrey</v>
      </c>
      <c r="AE157" s="307" t="str">
        <f>IF(Year1_Surrey Year1_CP_Plans_Seen_in_Timescales="","",Year1_Surrey Year1_CP_Plans_Seen_in_Timescales)</f>
        <v/>
      </c>
      <c r="AF157" s="248" t="str">
        <f>IF(Year2_Surrey Year2_CP_Plans_Seen_in_Timescales="","",Year2_Surrey Year2_CP_Plans_Seen_in_Timescales)</f>
        <v/>
      </c>
      <c r="AG157" s="248" t="str">
        <f>IF(Year3_Surrey Year3_CP_Plans_Seen_in_Timescales="","",Year3_Surrey Year3_CP_Plans_Seen_in_Timescales)</f>
        <v/>
      </c>
      <c r="AH157" s="248" t="str">
        <f>IF(Year4_Surrey Year4_CP_Plans_Seen_in_Timescales="","",Year4_Surrey Year4_CP_Plans_Seen_in_Timescales)</f>
        <v/>
      </c>
      <c r="AI157" s="248" t="str">
        <f>IF(Year5_Surrey Year5_CP_Plans_Seen_in_Timescales="","",Year5_Surrey Year5_CP_Plans_Seen_in_Timescales)</f>
        <v/>
      </c>
      <c r="AJ157" s="119"/>
      <c r="AK157" s="52"/>
    </row>
    <row r="158" spans="1:37" s="61" customFormat="1" ht="12.75" hidden="1" customHeight="1">
      <c r="A158" s="306" t="e">
        <f>VLOOKUP(B158,ReportData!$AQ$4:$AR$25,2,FALSE)</f>
        <v>#REF!</v>
      </c>
      <c r="B158" s="65" t="e">
        <f>#REF!</f>
        <v>#REF!</v>
      </c>
      <c r="C158" s="59"/>
      <c r="D158" s="123" t="e">
        <f t="shared" si="45"/>
        <v>#N/A</v>
      </c>
      <c r="E158" s="123" t="e">
        <f t="shared" si="46"/>
        <v>#N/A</v>
      </c>
      <c r="F158" s="123" t="e">
        <f t="shared" si="47"/>
        <v>#N/A</v>
      </c>
      <c r="G158" s="123" t="e">
        <f t="shared" si="48"/>
        <v>#N/A</v>
      </c>
      <c r="H158" s="125" t="e">
        <f t="shared" si="49"/>
        <v>#N/A</v>
      </c>
      <c r="I158" s="68"/>
      <c r="J158" s="68"/>
      <c r="K158" s="127"/>
      <c r="L158" s="127"/>
      <c r="M158" s="127"/>
      <c r="N158" s="127"/>
      <c r="O158" s="127"/>
      <c r="P158" s="127"/>
      <c r="Q158" s="127"/>
      <c r="R158" s="128"/>
      <c r="S158" s="120"/>
      <c r="T158" s="127"/>
      <c r="U158" s="89"/>
      <c r="V158" s="103"/>
      <c r="W158" s="115"/>
      <c r="X158" s="352" t="e">
        <f t="shared" si="50"/>
        <v>#REF!</v>
      </c>
      <c r="Y158" s="355">
        <f>IF(ISNUMBER(AE158),#REF!,0)</f>
        <v>0</v>
      </c>
      <c r="Z158" s="355">
        <f>IF(ISNUMBER(AF158),#REF!,0)</f>
        <v>0</v>
      </c>
      <c r="AA158" s="355">
        <f>IF(ISNUMBER(AG158),#REF!,0)</f>
        <v>0</v>
      </c>
      <c r="AB158" s="355">
        <f>IF(ISNUMBER(AH158),#REF!,0)</f>
        <v>0</v>
      </c>
      <c r="AC158" s="355">
        <f>IF(ISNUMBER(AI158),#REF!,0)</f>
        <v>0</v>
      </c>
      <c r="AD158" s="252" t="e">
        <f t="shared" si="56"/>
        <v>#REF!</v>
      </c>
      <c r="AE158" s="307" t="e">
        <f>IF(Year1_Swindon Year1_CP_Plans_Seen_in_Timescales="","",Year1_Swindon Year1_CP_Plans_Seen_in_Timescales)</f>
        <v>#NAME?</v>
      </c>
      <c r="AF158" s="248" t="e">
        <f>IF(Year2_Swindon Year2_CP_Plans_Seen_in_Timescales="","",Year2_Swindon Year2_CP_Plans_Seen_in_Timescales)</f>
        <v>#NAME?</v>
      </c>
      <c r="AG158" s="248" t="e">
        <f>IF(Year3_Swindon Year3_CP_Plans_Seen_in_Timescales="","",Year3_Swindon Year3_CP_Plans_Seen_in_Timescales)</f>
        <v>#NAME?</v>
      </c>
      <c r="AH158" s="248" t="e">
        <f>IF(Year4_Swindon Year4_CP_Plans_Seen_in_Timescales="","",Year4_Swindon Year4_CP_Plans_Seen_in_Timescales)</f>
        <v>#NAME?</v>
      </c>
      <c r="AI158" s="248" t="e">
        <f>IF(Year5_Swindon Year5_CP_Plans_Seen_in_Timescales="","",Year5_Swindon Year5_CP_Plans_Seen_in_Timescales)</f>
        <v>#NAME?</v>
      </c>
      <c r="AJ158" s="119"/>
      <c r="AK158" s="52"/>
    </row>
    <row r="159" spans="1:37" s="61" customFormat="1" ht="12.75" hidden="1" customHeight="1">
      <c r="A159" s="306">
        <f>VLOOKUP(B159,ReportData!$AQ$4:$AR$25,2,FALSE)</f>
        <v>0</v>
      </c>
      <c r="B159" s="65" t="str">
        <f t="shared" ref="B159:B164" si="58">B225</f>
        <v>West Berkshire</v>
      </c>
      <c r="C159" s="59"/>
      <c r="D159" s="123" t="e">
        <f t="shared" si="45"/>
        <v>#N/A</v>
      </c>
      <c r="E159" s="123" t="e">
        <f t="shared" si="46"/>
        <v>#N/A</v>
      </c>
      <c r="F159" s="123" t="e">
        <f t="shared" si="47"/>
        <v>#N/A</v>
      </c>
      <c r="G159" s="123" t="e">
        <f t="shared" si="48"/>
        <v>#N/A</v>
      </c>
      <c r="H159" s="125" t="e">
        <f t="shared" si="49"/>
        <v>#N/A</v>
      </c>
      <c r="I159" s="68"/>
      <c r="J159" s="68"/>
      <c r="K159" s="127"/>
      <c r="L159" s="127"/>
      <c r="M159" s="127"/>
      <c r="N159" s="127"/>
      <c r="O159" s="127"/>
      <c r="P159" s="127"/>
      <c r="Q159" s="127"/>
      <c r="R159" s="128"/>
      <c r="S159" s="120"/>
      <c r="T159" s="127"/>
      <c r="U159" s="89"/>
      <c r="V159" s="103"/>
      <c r="W159" s="115"/>
      <c r="X159" s="352" t="str">
        <f t="shared" si="50"/>
        <v>West Berkshire</v>
      </c>
      <c r="Y159" s="355">
        <f t="shared" ref="Y159:AC162" si="59">IF(ISNUMBER(AE159),D26,0)</f>
        <v>0</v>
      </c>
      <c r="Z159" s="355">
        <f t="shared" si="59"/>
        <v>0</v>
      </c>
      <c r="AA159" s="355">
        <f t="shared" si="59"/>
        <v>0</v>
      </c>
      <c r="AB159" s="355">
        <f t="shared" si="59"/>
        <v>0</v>
      </c>
      <c r="AC159" s="355">
        <f t="shared" si="59"/>
        <v>0</v>
      </c>
      <c r="AD159" s="252" t="str">
        <f t="shared" si="56"/>
        <v>West Berkshire</v>
      </c>
      <c r="AE159" s="307" t="str">
        <f>IF(Year1_West_Berkshire Year1_CP_Plans_Seen_in_Timescales="","",Year1_West_Berkshire Year1_CP_Plans_Seen_in_Timescales)</f>
        <v/>
      </c>
      <c r="AF159" s="248" t="str">
        <f>IF(Year2_West_Berkshire Year2_CP_Plans_Seen_in_Timescales="","",Year2_West_Berkshire Year2_CP_Plans_Seen_in_Timescales)</f>
        <v/>
      </c>
      <c r="AG159" s="248" t="str">
        <f>IF(Year3_West_Berkshire Year3_CP_Plans_Seen_in_Timescales="","",Year3_West_Berkshire Year3_CP_Plans_Seen_in_Timescales)</f>
        <v/>
      </c>
      <c r="AH159" s="248" t="str">
        <f>IF(Year4_West_Berkshire Year4_CP_Plans_Seen_in_Timescales="","",Year4_West_Berkshire Year4_CP_Plans_Seen_in_Timescales)</f>
        <v/>
      </c>
      <c r="AI159" s="307" t="str">
        <f>IF(Year5_West_Berkshire Year5_CP_Plans_Seen_in_Timescales="","",Year5_West_Berkshire Year5_CP_Plans_Seen_in_Timescales)</f>
        <v/>
      </c>
      <c r="AJ159" s="119"/>
      <c r="AK159" s="52"/>
    </row>
    <row r="160" spans="1:37" s="61" customFormat="1" ht="12.75" hidden="1" customHeight="1">
      <c r="A160" s="306">
        <f>VLOOKUP(B160,ReportData!$AQ$4:$AR$25,2,FALSE)</f>
        <v>0</v>
      </c>
      <c r="B160" s="65" t="str">
        <f t="shared" si="58"/>
        <v>West Sussex</v>
      </c>
      <c r="C160" s="59"/>
      <c r="D160" s="123" t="e">
        <f t="shared" si="45"/>
        <v>#N/A</v>
      </c>
      <c r="E160" s="123" t="e">
        <f t="shared" si="46"/>
        <v>#N/A</v>
      </c>
      <c r="F160" s="123" t="e">
        <f t="shared" si="47"/>
        <v>#N/A</v>
      </c>
      <c r="G160" s="123" t="e">
        <f t="shared" si="48"/>
        <v>#N/A</v>
      </c>
      <c r="H160" s="125" t="e">
        <f t="shared" si="49"/>
        <v>#N/A</v>
      </c>
      <c r="I160" s="68"/>
      <c r="J160" s="68"/>
      <c r="K160" s="127"/>
      <c r="L160" s="127"/>
      <c r="M160" s="127"/>
      <c r="N160" s="127"/>
      <c r="O160" s="127"/>
      <c r="P160" s="127"/>
      <c r="Q160" s="127"/>
      <c r="R160" s="128"/>
      <c r="S160" s="120"/>
      <c r="T160" s="127"/>
      <c r="U160" s="89"/>
      <c r="V160" s="103"/>
      <c r="W160" s="115"/>
      <c r="X160" s="352" t="str">
        <f t="shared" si="50"/>
        <v>West Sussex</v>
      </c>
      <c r="Y160" s="355">
        <f t="shared" si="59"/>
        <v>0</v>
      </c>
      <c r="Z160" s="355">
        <f t="shared" si="59"/>
        <v>0</v>
      </c>
      <c r="AA160" s="355">
        <f t="shared" si="59"/>
        <v>0</v>
      </c>
      <c r="AB160" s="355">
        <f t="shared" si="59"/>
        <v>0</v>
      </c>
      <c r="AC160" s="355">
        <f t="shared" si="59"/>
        <v>0</v>
      </c>
      <c r="AD160" s="252" t="str">
        <f t="shared" si="56"/>
        <v>West Sussex</v>
      </c>
      <c r="AE160" s="307" t="str">
        <f>IF(Year1_West_Sussex Year1_CP_Plans_Seen_in_Timescales="","",Year1_West_Sussex Year1_CP_Plans_Seen_in_Timescales)</f>
        <v/>
      </c>
      <c r="AF160" s="248" t="str">
        <f>IF(Year2_West_Sussex Year2_CP_Plans_Seen_in_Timescales="","",Year2_West_Sussex Year2_CP_Plans_Seen_in_Timescales)</f>
        <v/>
      </c>
      <c r="AG160" s="248" t="str">
        <f>IF(Year3_West_Sussex Year3_CP_Plans_Seen_in_Timescales="","",Year3_West_Sussex Year3_CP_Plans_Seen_in_Timescales)</f>
        <v/>
      </c>
      <c r="AH160" s="248" t="str">
        <f>IF(Year4_West_Sussex Year4_CP_Plans_Seen_in_Timescales="","",Year4_West_Sussex Year4_CP_Plans_Seen_in_Timescales)</f>
        <v/>
      </c>
      <c r="AI160" s="307" t="str">
        <f>IF(Year5_West_Sussex Year5_CP_Plans_Seen_in_Timescales="","",Year5_West_Sussex Year5_CP_Plans_Seen_in_Timescales)</f>
        <v/>
      </c>
      <c r="AJ160" s="119"/>
      <c r="AK160" s="52"/>
    </row>
    <row r="161" spans="1:76" s="61" customFormat="1" ht="12.75" hidden="1" customHeight="1">
      <c r="A161" s="306">
        <f>VLOOKUP(B161,ReportData!$AQ$4:$AR$25,2,FALSE)</f>
        <v>0</v>
      </c>
      <c r="B161" s="65" t="str">
        <f t="shared" si="58"/>
        <v>Windsor &amp; Maidenhead</v>
      </c>
      <c r="C161" s="59"/>
      <c r="D161" s="123" t="e">
        <f t="shared" si="45"/>
        <v>#N/A</v>
      </c>
      <c r="E161" s="123" t="e">
        <f t="shared" si="46"/>
        <v>#N/A</v>
      </c>
      <c r="F161" s="123" t="e">
        <f t="shared" si="47"/>
        <v>#N/A</v>
      </c>
      <c r="G161" s="123" t="e">
        <f t="shared" si="48"/>
        <v>#N/A</v>
      </c>
      <c r="H161" s="125" t="e">
        <f t="shared" si="49"/>
        <v>#N/A</v>
      </c>
      <c r="I161" s="68"/>
      <c r="J161" s="68"/>
      <c r="K161" s="127"/>
      <c r="L161" s="127"/>
      <c r="M161" s="127"/>
      <c r="N161" s="127"/>
      <c r="O161" s="127"/>
      <c r="P161" s="127"/>
      <c r="Q161" s="127"/>
      <c r="R161" s="128"/>
      <c r="S161" s="120"/>
      <c r="T161" s="127"/>
      <c r="U161" s="89"/>
      <c r="V161" s="103"/>
      <c r="W161" s="115"/>
      <c r="X161" s="352" t="str">
        <f t="shared" si="50"/>
        <v>Windsor &amp; Maidenhead</v>
      </c>
      <c r="Y161" s="355">
        <f t="shared" si="59"/>
        <v>0</v>
      </c>
      <c r="Z161" s="355">
        <f t="shared" si="59"/>
        <v>0</v>
      </c>
      <c r="AA161" s="355">
        <f t="shared" si="59"/>
        <v>0</v>
      </c>
      <c r="AB161" s="355">
        <f t="shared" si="59"/>
        <v>0</v>
      </c>
      <c r="AC161" s="355">
        <f t="shared" si="59"/>
        <v>0</v>
      </c>
      <c r="AD161" s="252" t="str">
        <f t="shared" si="56"/>
        <v>Windsor &amp; Maidenhead</v>
      </c>
      <c r="AE161" s="307" t="str">
        <f>IF(Year1_Windsor_and_Maidenhead Year1_CP_Plans_Seen_in_Timescales="","",Year1_Windsor_and_Maidenhead Year1_CP_Plans_Seen_in_Timescales)</f>
        <v/>
      </c>
      <c r="AF161" s="248" t="str">
        <f>IF(Year2_Windsor_and_Maidenhead Year2_CP_Plans_Seen_in_Timescales="","",Year2_Windsor_and_Maidenhead Year2_CP_Plans_Seen_in_Timescales)</f>
        <v/>
      </c>
      <c r="AG161" s="248" t="str">
        <f>IF(Year3_Windsor_and_Maidenhead Year3_CP_Plans_Seen_in_Timescales="","",Year3_Windsor_and_Maidenhead Year3_CP_Plans_Seen_in_Timescales)</f>
        <v/>
      </c>
      <c r="AH161" s="248" t="str">
        <f>IF(Year4_Windsor_and_Maidenhead Year4_CP_Plans_Seen_in_Timescales="","",Year4_Windsor_and_Maidenhead Year4_CP_Plans_Seen_in_Timescales)</f>
        <v/>
      </c>
      <c r="AI161" s="307" t="str">
        <f>IF(Year5_Windsor_and_Maidenhead Year5_CP_Plans_Seen_in_Timescales="","",Year5_Windsor_and_Maidenhead Year5_CP_Plans_Seen_in_Timescales)</f>
        <v/>
      </c>
      <c r="AJ161" s="119"/>
      <c r="AK161" s="52"/>
    </row>
    <row r="162" spans="1:76" s="61" customFormat="1" ht="12.75" hidden="1" customHeight="1">
      <c r="A162" s="306">
        <f>VLOOKUP(B162,ReportData!$AQ$4:$AR$25,2,FALSE)</f>
        <v>0</v>
      </c>
      <c r="B162" s="65" t="str">
        <f t="shared" si="58"/>
        <v>Wokingham</v>
      </c>
      <c r="C162" s="59"/>
      <c r="D162" s="123" t="e">
        <f t="shared" si="45"/>
        <v>#N/A</v>
      </c>
      <c r="E162" s="123" t="e">
        <f t="shared" si="46"/>
        <v>#N/A</v>
      </c>
      <c r="F162" s="123" t="e">
        <f t="shared" si="47"/>
        <v>#N/A</v>
      </c>
      <c r="G162" s="123" t="e">
        <f t="shared" si="48"/>
        <v>#N/A</v>
      </c>
      <c r="H162" s="125" t="e">
        <f t="shared" si="49"/>
        <v>#N/A</v>
      </c>
      <c r="I162" s="68"/>
      <c r="J162" s="68"/>
      <c r="K162" s="127"/>
      <c r="L162" s="127"/>
      <c r="M162" s="127"/>
      <c r="N162" s="127"/>
      <c r="O162" s="127"/>
      <c r="P162" s="127"/>
      <c r="Q162" s="127"/>
      <c r="R162" s="128"/>
      <c r="S162" s="120"/>
      <c r="T162" s="127"/>
      <c r="U162" s="89"/>
      <c r="V162" s="103"/>
      <c r="W162" s="114"/>
      <c r="X162" s="352" t="str">
        <f t="shared" si="50"/>
        <v>Wokingham</v>
      </c>
      <c r="Y162" s="355">
        <f t="shared" si="59"/>
        <v>0</v>
      </c>
      <c r="Z162" s="355">
        <f t="shared" si="59"/>
        <v>0</v>
      </c>
      <c r="AA162" s="355">
        <f t="shared" si="59"/>
        <v>0</v>
      </c>
      <c r="AB162" s="355">
        <f t="shared" si="59"/>
        <v>0</v>
      </c>
      <c r="AC162" s="355">
        <f t="shared" si="59"/>
        <v>0</v>
      </c>
      <c r="AD162" s="252" t="str">
        <f t="shared" si="56"/>
        <v>Wokingham</v>
      </c>
      <c r="AE162" s="307" t="str">
        <f>IF(Year1_Wokingham Year1_CP_Plans_Seen_in_Timescales="","",Year1_Wokingham Year1_CP_Plans_Seen_in_Timescales)</f>
        <v/>
      </c>
      <c r="AF162" s="248" t="str">
        <f>IF(Year2_Wokingham Year2_CP_Plans_Seen_in_Timescales="","",Year2_Wokingham Year2_CP_Plans_Seen_in_Timescales)</f>
        <v/>
      </c>
      <c r="AG162" s="248" t="str">
        <f>IF(Year3_Wokingham Year3_CP_Plans_Seen_in_Timescales="","",Year3_Wokingham Year3_CP_Plans_Seen_in_Timescales)</f>
        <v/>
      </c>
      <c r="AH162" s="248" t="str">
        <f>IF(Year4_Wokingham Year4_CP_Plans_Seen_in_Timescales="","",Year4_Wokingham Year4_CP_Plans_Seen_in_Timescales)</f>
        <v/>
      </c>
      <c r="AI162" s="307" t="str">
        <f>IF(Year5_Wokingham Year5_CP_Plans_Seen_in_Timescales="","",Year5_Wokingham Year5_CP_Plans_Seen_in_Timescales)</f>
        <v/>
      </c>
      <c r="AJ162" s="119"/>
      <c r="AK162" s="52"/>
      <c r="AL162" s="56"/>
      <c r="AM162" s="56"/>
      <c r="AN162" s="56"/>
      <c r="AO162" s="56"/>
      <c r="AP162" s="56"/>
      <c r="AQ162" s="56"/>
      <c r="AR162" s="56"/>
      <c r="AS162" s="56"/>
      <c r="AT162" s="56"/>
      <c r="AU162" s="56"/>
      <c r="AV162" s="56"/>
      <c r="AW162" s="56"/>
      <c r="AX162" s="56"/>
      <c r="AY162" s="56"/>
      <c r="AZ162" s="56"/>
      <c r="BA162" s="56"/>
      <c r="BB162" s="56"/>
      <c r="BC162" s="56"/>
      <c r="BD162" s="56"/>
      <c r="BE162" s="56"/>
      <c r="BF162" s="56"/>
    </row>
    <row r="163" spans="1:76" s="61" customFormat="1" ht="12.75" hidden="1" customHeight="1">
      <c r="A163" s="88"/>
      <c r="B163" s="96" t="str">
        <f t="shared" si="58"/>
        <v>South East</v>
      </c>
      <c r="C163" s="59"/>
      <c r="D163" s="124" t="e">
        <f t="shared" si="45"/>
        <v>#N/A</v>
      </c>
      <c r="E163" s="124" t="e">
        <f t="shared" si="46"/>
        <v>#N/A</v>
      </c>
      <c r="F163" s="124" t="e">
        <f t="shared" si="47"/>
        <v>#N/A</v>
      </c>
      <c r="G163" s="124" t="e">
        <f t="shared" si="48"/>
        <v>#N/A</v>
      </c>
      <c r="H163" s="126" t="e">
        <f t="shared" si="49"/>
        <v>#N/A</v>
      </c>
      <c r="I163" s="68"/>
      <c r="J163" s="68"/>
      <c r="K163" s="129"/>
      <c r="L163" s="129"/>
      <c r="M163" s="129"/>
      <c r="N163" s="129"/>
      <c r="O163" s="129"/>
      <c r="P163" s="129"/>
      <c r="Q163" s="129"/>
      <c r="R163" s="130"/>
      <c r="S163" s="120"/>
      <c r="T163" s="131"/>
      <c r="U163" s="89"/>
      <c r="V163" s="103"/>
      <c r="W163" s="114"/>
      <c r="X163" s="352" t="str">
        <f t="shared" si="50"/>
        <v>South East</v>
      </c>
      <c r="Y163" s="155">
        <f>SUM(Y142:Y154,Y156:Y157,Y159:Y162)</f>
        <v>0</v>
      </c>
      <c r="Z163" s="155">
        <f>SUM(Z142:Z154,Z156:Z157,Z159:Z162)</f>
        <v>0</v>
      </c>
      <c r="AA163" s="155">
        <f>SUM(AA142:AA154,AA156:AA157,AA159:AA162)</f>
        <v>0</v>
      </c>
      <c r="AB163" s="155">
        <f>SUM(AB142:AB154,AB156:AB157,AB159:AB162)</f>
        <v>0</v>
      </c>
      <c r="AC163" s="155">
        <f>SUM(AC142:AC154,AC156:AC157,AC159:AC162)</f>
        <v>0</v>
      </c>
      <c r="AD163" s="252" t="str">
        <f t="shared" si="56"/>
        <v>South East</v>
      </c>
      <c r="AE163" s="248" t="str">
        <f>IF(Year1_South_East Year1_CP_Plans_Seen_in_Timescales="","",Year1_South_East Year1_CP_Plans_Seen_in_Timescales)</f>
        <v/>
      </c>
      <c r="AF163" s="248" t="str">
        <f>IF(Year2_South_East Year2_CP_Plans_Seen_in_Timescales="","",Year2_South_East Year2_CP_Plans_Seen_in_Timescales)</f>
        <v/>
      </c>
      <c r="AG163" s="248" t="str">
        <f>IF(Year3_South_East Year3_CP_Plans_Seen_in_Timescales="","",Year3_South_East Year3_CP_Plans_Seen_in_Timescales)</f>
        <v/>
      </c>
      <c r="AH163" s="248" t="str">
        <f>IF(Year4_South_East Year4_CP_Plans_Seen_in_Timescales="","",Year4_South_East Year4_CP_Plans_Seen_in_Timescales)</f>
        <v/>
      </c>
      <c r="AI163" s="248" t="str">
        <f>IF(Year5_South_East Year5_CP_Plans_Seen_in_Timescales="","",Year5_South_East Year5_CP_Plans_Seen_in_Timescales)</f>
        <v/>
      </c>
      <c r="AJ163" s="119"/>
      <c r="AK163" s="52"/>
      <c r="AL163" s="56"/>
      <c r="AM163" s="56"/>
      <c r="AN163" s="56"/>
      <c r="AO163" s="56"/>
      <c r="AP163" s="56"/>
      <c r="AQ163" s="56"/>
      <c r="AR163" s="56"/>
      <c r="AS163" s="56"/>
      <c r="AT163" s="56"/>
      <c r="AU163" s="56"/>
      <c r="AV163" s="56"/>
      <c r="AW163" s="56"/>
      <c r="AX163" s="56"/>
      <c r="AY163" s="56"/>
      <c r="AZ163" s="56"/>
      <c r="BA163" s="56"/>
      <c r="BB163" s="56"/>
      <c r="BC163" s="56"/>
      <c r="BD163" s="56"/>
      <c r="BE163" s="56"/>
      <c r="BF163" s="56"/>
    </row>
    <row r="164" spans="1:76" s="61" customFormat="1" ht="12.75" hidden="1" customHeight="1">
      <c r="A164" s="88"/>
      <c r="B164" s="231" t="str">
        <f t="shared" si="58"/>
        <v>England</v>
      </c>
      <c r="C164" s="59"/>
      <c r="D164" s="239" t="e">
        <f t="shared" si="45"/>
        <v>#N/A</v>
      </c>
      <c r="E164" s="239" t="e">
        <f t="shared" si="46"/>
        <v>#N/A</v>
      </c>
      <c r="F164" s="239" t="e">
        <f t="shared" si="47"/>
        <v>#N/A</v>
      </c>
      <c r="G164" s="239" t="e">
        <f t="shared" si="48"/>
        <v>#N/A</v>
      </c>
      <c r="H164" s="240" t="e">
        <f t="shared" si="49"/>
        <v>#N/A</v>
      </c>
      <c r="I164" s="68"/>
      <c r="J164" s="68"/>
      <c r="K164" s="129"/>
      <c r="L164" s="129"/>
      <c r="M164" s="129"/>
      <c r="N164" s="129"/>
      <c r="O164" s="129"/>
      <c r="P164" s="129"/>
      <c r="Q164" s="129"/>
      <c r="R164" s="130"/>
      <c r="S164" s="120"/>
      <c r="T164" s="131"/>
      <c r="U164" s="89"/>
      <c r="V164" s="103"/>
      <c r="W164" s="114"/>
      <c r="X164" s="352" t="str">
        <f t="shared" si="50"/>
        <v>England</v>
      </c>
      <c r="Y164" s="252">
        <f>IF(Year1_England Year1_CP_Plans="","",Year1_England Year1_CP_Plans)</f>
        <v>51510</v>
      </c>
      <c r="Z164" s="248">
        <f>IF(Year2_England Year2_CP_Plans="","",Year2_England Year2_CP_Plans)</f>
        <v>50010</v>
      </c>
      <c r="AA164" s="248">
        <f>IF(Year3_England Year3_CP_Plans="","",Year3_England Year3_CP_Plans)</f>
        <v>50920</v>
      </c>
      <c r="AB164" s="248">
        <f>IF(Year4_England Year4_CP_Plans="","",Year4_England Year4_CP_Plans)</f>
        <v>50780</v>
      </c>
      <c r="AC164" s="353">
        <f>IF(Year5_England Year5_CP_Plans="","",Year5_England Year5_CP_Plans)</f>
        <v>49900</v>
      </c>
      <c r="AD164" s="252" t="str">
        <f t="shared" si="56"/>
        <v>England</v>
      </c>
      <c r="AE164" s="248" t="str">
        <f>IF(Year1_England Year1_CP_Plans_Seen_in_Timescales="","",Year1_England Year1_CP_Plans_Seen_in_Timescales)</f>
        <v/>
      </c>
      <c r="AF164" s="248" t="str">
        <f>IF(Year2_England Year2_CP_Plans_Seen_in_Timescales="","",Year2_England Year2_CP_Plans_Seen_in_Timescales)</f>
        <v/>
      </c>
      <c r="AG164" s="248" t="str">
        <f>IF(Year3_England Year3_CP_Plans_Seen_in_Timescales="","",Year3_England Year3_CP_Plans_Seen_in_Timescales)</f>
        <v/>
      </c>
      <c r="AH164" s="248" t="str">
        <f>IF(Year4_England Year4_CP_Plans_Seen_in_Timescales="","",Year4_England Year4_CP_Plans_Seen_in_Timescales)</f>
        <v/>
      </c>
      <c r="AI164" s="307" t="str">
        <f>IF(Year5_England Year5_CP_Plans_Seen_in_Timescales="","",Year5_England Year5_CP_Plans_Seen_in_Timescales)</f>
        <v/>
      </c>
      <c r="AJ164" s="119"/>
      <c r="AK164" s="52"/>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row>
    <row r="165" spans="1:76" s="61" customFormat="1" ht="7.5" hidden="1" customHeight="1">
      <c r="A165" s="217"/>
      <c r="B165" s="68"/>
      <c r="C165" s="68"/>
      <c r="D165" s="68"/>
      <c r="E165" s="68"/>
      <c r="F165" s="68"/>
      <c r="G165" s="68"/>
      <c r="H165" s="68"/>
      <c r="I165" s="68"/>
      <c r="J165" s="68"/>
      <c r="K165" s="129"/>
      <c r="L165" s="129"/>
      <c r="M165" s="129"/>
      <c r="N165" s="129"/>
      <c r="O165" s="129"/>
      <c r="P165" s="129"/>
      <c r="Q165" s="129"/>
      <c r="R165" s="130"/>
      <c r="S165" s="120"/>
      <c r="T165" s="131"/>
      <c r="U165" s="89"/>
      <c r="V165" s="103"/>
      <c r="W165" s="114"/>
      <c r="X165" s="56"/>
      <c r="Y165" s="56"/>
      <c r="Z165" s="146"/>
      <c r="AA165" s="146"/>
      <c r="AB165" s="147"/>
      <c r="AC165" s="147"/>
      <c r="AD165" s="147"/>
      <c r="AE165" s="147"/>
      <c r="AF165" s="147"/>
      <c r="AG165" s="147"/>
      <c r="AH165" s="147"/>
      <c r="AI165" s="147"/>
      <c r="AJ165" s="119"/>
      <c r="AK165" s="52"/>
      <c r="AL165" s="52"/>
      <c r="AM165" s="52"/>
      <c r="AN165" s="52"/>
      <c r="AO165" s="52"/>
      <c r="AP165" s="52"/>
      <c r="AQ165" s="52"/>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row>
    <row r="166" spans="1:76" s="56" customFormat="1" ht="51.75" hidden="1" customHeight="1">
      <c r="A166" s="166"/>
      <c r="B166" s="171"/>
      <c r="C166" s="171"/>
      <c r="D166" s="171"/>
      <c r="E166" s="171"/>
      <c r="F166" s="171"/>
      <c r="G166" s="171"/>
      <c r="H166" s="171"/>
      <c r="I166" s="171"/>
      <c r="J166" s="133"/>
      <c r="K166" s="133"/>
      <c r="L166" s="133"/>
      <c r="M166" s="133"/>
      <c r="N166" s="133"/>
      <c r="O166" s="133"/>
      <c r="P166" s="133"/>
      <c r="Q166" s="133"/>
      <c r="R166" s="101"/>
      <c r="S166" s="133"/>
      <c r="T166" s="133"/>
      <c r="U166" s="86"/>
      <c r="V166" s="102"/>
      <c r="W166" s="114"/>
      <c r="AC166" s="147"/>
      <c r="AD166" s="149"/>
      <c r="AE166" s="52"/>
      <c r="AF166" s="52"/>
      <c r="AG166" s="52"/>
      <c r="AI166" s="52"/>
      <c r="AJ166" s="119"/>
      <c r="AK166" s="52"/>
      <c r="AS166" s="52"/>
    </row>
    <row r="167" spans="1:76" s="56" customFormat="1" ht="39.6" hidden="1" customHeight="1">
      <c r="A167" s="166"/>
      <c r="B167" s="171"/>
      <c r="C167" s="171"/>
      <c r="D167" s="171"/>
      <c r="E167" s="171"/>
      <c r="F167" s="171"/>
      <c r="G167" s="171"/>
      <c r="H167" s="171"/>
      <c r="I167" s="171"/>
      <c r="J167" s="133"/>
      <c r="K167" s="133"/>
      <c r="L167" s="133"/>
      <c r="M167" s="133"/>
      <c r="N167" s="133"/>
      <c r="O167" s="133"/>
      <c r="P167" s="133"/>
      <c r="Q167" s="133"/>
      <c r="R167" s="101"/>
      <c r="S167" s="133"/>
      <c r="T167" s="133"/>
      <c r="U167" s="86"/>
      <c r="V167" s="102"/>
      <c r="W167" s="114"/>
      <c r="Y167" s="141"/>
      <c r="AD167" s="149"/>
      <c r="AE167" s="52"/>
      <c r="AF167" s="52"/>
      <c r="AG167" s="52"/>
      <c r="AI167" s="52"/>
      <c r="AJ167" s="119"/>
      <c r="AK167" s="52"/>
      <c r="AS167" s="52"/>
    </row>
    <row r="168" spans="1:76" s="56" customFormat="1" ht="49.5" hidden="1" customHeight="1">
      <c r="A168" s="166"/>
      <c r="B168" s="171"/>
      <c r="C168" s="171"/>
      <c r="D168" s="171"/>
      <c r="E168" s="171"/>
      <c r="F168" s="171"/>
      <c r="G168" s="171"/>
      <c r="H168" s="171"/>
      <c r="I168" s="171"/>
      <c r="J168" s="133"/>
      <c r="K168" s="133"/>
      <c r="L168" s="133"/>
      <c r="M168" s="133"/>
      <c r="N168" s="133"/>
      <c r="O168" s="133"/>
      <c r="P168" s="133"/>
      <c r="Q168" s="133"/>
      <c r="R168" s="101"/>
      <c r="S168" s="133"/>
      <c r="T168" s="133"/>
      <c r="U168" s="86"/>
      <c r="V168" s="102"/>
      <c r="W168" s="114"/>
      <c r="Y168" s="141"/>
      <c r="AD168" s="149"/>
      <c r="AE168" s="52"/>
      <c r="AF168" s="52"/>
      <c r="AG168" s="52"/>
      <c r="AI168" s="52"/>
      <c r="AJ168" s="119"/>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row>
    <row r="169" spans="1:76" s="56" customFormat="1" ht="7.5" hidden="1" customHeight="1">
      <c r="A169" s="87"/>
      <c r="B169" s="12"/>
      <c r="C169" s="12"/>
      <c r="D169" s="11"/>
      <c r="E169" s="11"/>
      <c r="F169" s="11"/>
      <c r="G169" s="11"/>
      <c r="H169" s="11"/>
      <c r="I169" s="11"/>
      <c r="J169" s="1"/>
      <c r="K169" s="13"/>
      <c r="L169" s="13"/>
      <c r="M169" s="13"/>
      <c r="N169" s="13"/>
      <c r="O169" s="13"/>
      <c r="P169" s="13"/>
      <c r="Q169" s="13"/>
      <c r="R169" s="13"/>
      <c r="S169" s="13"/>
      <c r="T169" s="14"/>
      <c r="U169" s="86"/>
      <c r="V169" s="102"/>
      <c r="W169" s="114"/>
      <c r="Y169" s="141"/>
      <c r="AI169" s="52"/>
      <c r="AJ169" s="119"/>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row>
    <row r="170" spans="1:76" s="56" customFormat="1" ht="9" hidden="1" customHeight="1">
      <c r="A170" s="1565"/>
      <c r="B170" s="1751"/>
      <c r="C170" s="1751"/>
      <c r="D170" s="1751"/>
      <c r="E170" s="1751"/>
      <c r="F170" s="1751"/>
      <c r="G170" s="1751"/>
      <c r="H170" s="1751"/>
      <c r="I170" s="1751"/>
      <c r="J170" s="1751"/>
      <c r="K170" s="1751"/>
      <c r="L170" s="1751"/>
      <c r="M170" s="1751"/>
      <c r="N170" s="1751"/>
      <c r="O170" s="1751"/>
      <c r="P170" s="1751"/>
      <c r="Q170" s="1751"/>
      <c r="R170" s="1751"/>
      <c r="S170" s="1751"/>
      <c r="T170" s="1751"/>
      <c r="U170" s="1752"/>
      <c r="V170" s="102"/>
      <c r="W170" s="114"/>
      <c r="AJ170" s="119"/>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row>
    <row r="171" spans="1:76" s="56" customFormat="1" ht="0.75" customHeight="1">
      <c r="A171" s="1739" t="e">
        <f>Home!#REF!</f>
        <v>#REF!</v>
      </c>
      <c r="B171" s="1740"/>
      <c r="C171" s="1740"/>
      <c r="D171" s="1740"/>
      <c r="E171" s="1740"/>
      <c r="F171" s="1740"/>
      <c r="G171" s="1740"/>
      <c r="H171" s="1740"/>
      <c r="I171" s="1741"/>
      <c r="J171" s="1740"/>
      <c r="K171" s="1740"/>
      <c r="L171" s="1740"/>
      <c r="M171" s="1740"/>
      <c r="N171" s="1740"/>
      <c r="O171" s="1740"/>
      <c r="P171" s="1742"/>
      <c r="Q171" s="1740"/>
      <c r="R171" s="1740"/>
      <c r="S171" s="1741"/>
      <c r="T171" s="1740"/>
      <c r="U171" s="1743"/>
      <c r="V171" s="102"/>
      <c r="W171" s="114"/>
      <c r="AI171" s="52"/>
      <c r="AJ171" s="119"/>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row>
    <row r="172" spans="1:76" ht="10.5" customHeight="1">
      <c r="A172" s="81"/>
      <c r="B172" s="82"/>
      <c r="C172" s="82"/>
      <c r="D172" s="82"/>
      <c r="E172" s="82"/>
      <c r="F172" s="82"/>
      <c r="G172" s="82"/>
      <c r="H172" s="82"/>
      <c r="I172" s="82"/>
      <c r="J172" s="83"/>
      <c r="K172" s="82"/>
      <c r="L172" s="82"/>
      <c r="M172" s="82"/>
      <c r="N172" s="82"/>
      <c r="O172" s="82"/>
      <c r="P172" s="82"/>
      <c r="Q172" s="82"/>
      <c r="R172" s="82"/>
      <c r="S172" s="82"/>
      <c r="T172" s="82"/>
      <c r="U172" s="84"/>
      <c r="V172" s="102"/>
      <c r="W172" s="115"/>
      <c r="X172" s="148"/>
      <c r="Y172" s="146"/>
      <c r="Z172" s="52"/>
      <c r="AJ172" s="119"/>
      <c r="AL172" s="61"/>
      <c r="AM172" s="61"/>
      <c r="AN172" s="61"/>
      <c r="AO172" s="61"/>
      <c r="AP172" s="61"/>
      <c r="AQ172" s="61"/>
      <c r="AR172" s="61"/>
      <c r="AS172" s="61"/>
      <c r="AT172" s="61"/>
      <c r="AU172" s="61"/>
      <c r="AV172" s="61"/>
      <c r="AW172" s="61"/>
      <c r="AX172" s="61"/>
      <c r="AY172" s="61"/>
      <c r="AZ172" s="61"/>
      <c r="BA172" s="61"/>
      <c r="BB172" s="61"/>
      <c r="BC172" s="61"/>
      <c r="BD172" s="61"/>
      <c r="BE172" s="61"/>
      <c r="BF172" s="61"/>
    </row>
    <row r="173" spans="1:76" ht="18.75" customHeight="1">
      <c r="A173" s="87"/>
      <c r="B173" s="1903" t="s">
        <v>1273</v>
      </c>
      <c r="C173" s="1903"/>
      <c r="D173" s="1903"/>
      <c r="E173" s="1903"/>
      <c r="F173" s="1903"/>
      <c r="G173" s="1903"/>
      <c r="H173" s="1903"/>
      <c r="I173" s="1203"/>
      <c r="J173" s="50"/>
      <c r="K173" s="50"/>
      <c r="L173" s="50"/>
      <c r="M173" s="50"/>
      <c r="N173" s="224"/>
      <c r="O173" s="50"/>
      <c r="P173" s="50"/>
      <c r="Q173" s="50"/>
      <c r="R173" s="50"/>
      <c r="S173" s="50"/>
      <c r="T173" s="50"/>
      <c r="U173" s="86"/>
      <c r="V173" s="102"/>
      <c r="W173" s="115"/>
      <c r="X173" s="249" t="s">
        <v>126</v>
      </c>
      <c r="Y173" s="250"/>
      <c r="Z173" s="251"/>
      <c r="AA173" s="251"/>
      <c r="AB173" s="251"/>
      <c r="AE173" s="249" t="s">
        <v>127</v>
      </c>
      <c r="AF173" s="250"/>
      <c r="AG173" s="251"/>
      <c r="AH173" s="251"/>
      <c r="AI173" s="251"/>
      <c r="AJ173" s="119"/>
      <c r="AL173" s="61"/>
      <c r="AM173" s="61"/>
      <c r="AN173" s="61"/>
      <c r="AO173" s="61"/>
      <c r="AP173" s="61"/>
      <c r="AQ173" s="61"/>
      <c r="AR173" s="61"/>
      <c r="AS173" s="61"/>
      <c r="AT173" s="61"/>
      <c r="AU173" s="61"/>
      <c r="AV173" s="61"/>
      <c r="AW173" s="61"/>
      <c r="AX173" s="61"/>
      <c r="AY173" s="61"/>
      <c r="AZ173" s="61"/>
      <c r="BA173" s="61"/>
      <c r="BB173" s="61"/>
      <c r="BC173" s="61"/>
      <c r="BD173" s="61"/>
      <c r="BE173" s="61"/>
      <c r="BF173" s="61"/>
    </row>
    <row r="174" spans="1:76" ht="18.75" customHeight="1">
      <c r="A174" s="87"/>
      <c r="B174" s="1903"/>
      <c r="C174" s="1903"/>
      <c r="D174" s="1903"/>
      <c r="E174" s="1903"/>
      <c r="F174" s="1903"/>
      <c r="G174" s="1903"/>
      <c r="H174" s="1903"/>
      <c r="I174" s="1203"/>
      <c r="J174" s="50"/>
      <c r="K174" s="50"/>
      <c r="L174" s="50"/>
      <c r="M174" s="50"/>
      <c r="N174" s="224"/>
      <c r="O174" s="50"/>
      <c r="P174" s="50"/>
      <c r="Q174" s="50"/>
      <c r="R174" s="5"/>
      <c r="S174" s="50"/>
      <c r="T174" s="50"/>
      <c r="U174" s="86"/>
      <c r="V174" s="102"/>
      <c r="W174" s="115"/>
      <c r="X174" s="251"/>
      <c r="Y174" s="250"/>
      <c r="Z174" s="251"/>
      <c r="AA174" s="251"/>
      <c r="AB174" s="251"/>
      <c r="AE174" s="251"/>
      <c r="AF174" s="250"/>
      <c r="AG174" s="251"/>
      <c r="AH174" s="251"/>
      <c r="AI174" s="251"/>
      <c r="AJ174" s="119"/>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row>
    <row r="175" spans="1:76" ht="16.5" customHeight="1">
      <c r="A175" s="208"/>
      <c r="B175" s="1749" t="s">
        <v>177</v>
      </c>
      <c r="C175" s="230"/>
      <c r="D175" s="1088" t="str">
        <f>ReportData!$D$27</f>
        <v>2019/20</v>
      </c>
      <c r="E175" s="1088" t="str">
        <f>ReportData!$E$27</f>
        <v>2020/21</v>
      </c>
      <c r="F175" s="1088" t="str">
        <f>ReportData!$F$27</f>
        <v>2021/22</v>
      </c>
      <c r="G175" s="1088" t="str">
        <f>ReportData!$G$27</f>
        <v>2022/23</v>
      </c>
      <c r="H175" s="1089" t="str">
        <f>ReportData!$H$27</f>
        <v>2023/24</v>
      </c>
      <c r="I175" s="527"/>
      <c r="J175" s="50"/>
      <c r="K175" s="50"/>
      <c r="L175" s="50"/>
      <c r="M175" s="50"/>
      <c r="N175" s="224"/>
      <c r="O175" s="50"/>
      <c r="P175" s="50"/>
      <c r="Q175" s="50"/>
      <c r="R175" s="5"/>
      <c r="S175" s="50"/>
      <c r="T175" s="50"/>
      <c r="U175" s="86"/>
      <c r="V175" s="102"/>
      <c r="W175" s="115"/>
      <c r="X175" s="251"/>
      <c r="Y175" s="250"/>
      <c r="Z175" s="251"/>
      <c r="AA175" s="251"/>
      <c r="AB175" s="251"/>
      <c r="AE175" s="251"/>
      <c r="AF175" s="250"/>
      <c r="AG175" s="251"/>
      <c r="AH175" s="251"/>
      <c r="AI175" s="251"/>
      <c r="AJ175" s="119"/>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row>
    <row r="176" spans="1:76" s="61" customFormat="1" ht="17.25" customHeight="1">
      <c r="A176" s="88"/>
      <c r="B176" s="1750"/>
      <c r="C176" s="59"/>
      <c r="D176" s="897" t="e">
        <f>ReportData!$D$28</f>
        <v>#N/A</v>
      </c>
      <c r="E176" s="897" t="e">
        <f>ReportData!$E$28</f>
        <v>#N/A</v>
      </c>
      <c r="F176" s="897" t="e">
        <f>ReportData!$F$28</f>
        <v>#N/A</v>
      </c>
      <c r="G176" s="897" t="e">
        <f>ReportData!$G$28</f>
        <v>#N/A</v>
      </c>
      <c r="H176" s="920" t="e">
        <f>ReportData!$H$28</f>
        <v>#N/A</v>
      </c>
      <c r="I176" s="68"/>
      <c r="J176" s="68"/>
      <c r="K176" s="43"/>
      <c r="L176" s="43"/>
      <c r="M176" s="43"/>
      <c r="N176" s="43"/>
      <c r="O176" s="43"/>
      <c r="P176" s="43"/>
      <c r="Q176" s="225"/>
      <c r="R176" s="225"/>
      <c r="S176" s="120"/>
      <c r="T176" s="226"/>
      <c r="U176" s="89"/>
      <c r="V176" s="103"/>
      <c r="W176" s="115"/>
      <c r="X176" s="352"/>
      <c r="Y176" s="355" t="e">
        <f>D176</f>
        <v>#N/A</v>
      </c>
      <c r="Z176" s="307" t="e">
        <f>E176</f>
        <v>#N/A</v>
      </c>
      <c r="AA176" s="307" t="e">
        <f>F176</f>
        <v>#N/A</v>
      </c>
      <c r="AB176" s="307" t="e">
        <f>G176</f>
        <v>#N/A</v>
      </c>
      <c r="AC176" s="353" t="e">
        <f>H176</f>
        <v>#N/A</v>
      </c>
      <c r="AD176" s="252"/>
      <c r="AE176" s="307" t="e">
        <f>Y176</f>
        <v>#N/A</v>
      </c>
      <c r="AF176" s="307" t="e">
        <f>Z176</f>
        <v>#N/A</v>
      </c>
      <c r="AG176" s="307" t="e">
        <f>AA176</f>
        <v>#N/A</v>
      </c>
      <c r="AH176" s="307" t="e">
        <f>AB176</f>
        <v>#N/A</v>
      </c>
      <c r="AI176" s="307" t="e">
        <f>AC176</f>
        <v>#N/A</v>
      </c>
      <c r="AJ176" s="119"/>
      <c r="AK176" s="52"/>
    </row>
    <row r="177" spans="1:44" s="61" customFormat="1" ht="13.5" customHeight="1">
      <c r="A177" s="1103">
        <f>VLOOKUP(B177,ReportData!$AQ$4:$AR$25,2,FALSE)</f>
        <v>0</v>
      </c>
      <c r="B177" s="885" t="str">
        <f t="shared" ref="B177:B189" si="60">B243</f>
        <v>Bracknell Forest</v>
      </c>
      <c r="C177" s="59"/>
      <c r="D177" s="922">
        <f t="shared" ref="D177:D197" si="61">IF(AND(ISNUMBER(AE177),ISNUMBER(Y177)),AE177/Y177,NA())</f>
        <v>0.98412698412698407</v>
      </c>
      <c r="E177" s="922">
        <f t="shared" ref="E177:E197" si="62">IF(AND(ISNUMBER(AF177),ISNUMBER(Z177)),AF177/Z177,NA())</f>
        <v>1</v>
      </c>
      <c r="F177" s="922">
        <f t="shared" ref="F177:F197" si="63">IF(AND(ISNUMBER(AG177),ISNUMBER(AA177)),AG177/AA177,NA())</f>
        <v>0.97478991596638653</v>
      </c>
      <c r="G177" s="922">
        <f t="shared" ref="G177:G197" si="64">IF(AND(ISNUMBER(AH177),ISNUMBER(AB177)),AH177/AB177,NA())</f>
        <v>0.97959183673469385</v>
      </c>
      <c r="H177" s="923">
        <f t="shared" ref="H177:H197" si="65">IF(AND(ISNUMBER(AI177),ISNUMBER(AC177)),AI177/AC177,NA())</f>
        <v>0.9885057471264368</v>
      </c>
      <c r="I177" s="68"/>
      <c r="J177" s="68"/>
      <c r="K177" s="127"/>
      <c r="L177" s="127"/>
      <c r="M177" s="127"/>
      <c r="N177" s="127"/>
      <c r="O177" s="127"/>
      <c r="P177" s="127"/>
      <c r="Q177" s="127"/>
      <c r="R177" s="128"/>
      <c r="S177" s="120"/>
      <c r="T177" s="127"/>
      <c r="U177" s="89"/>
      <c r="V177" s="103"/>
      <c r="W177" s="115"/>
      <c r="X177" s="352" t="str">
        <f t="shared" ref="X177:X197" si="66">B177</f>
        <v>Bracknell Forest</v>
      </c>
      <c r="Y177" s="355">
        <f>IF(Year1_Bracknell_Forest Year1_CP_Plans_3months="","",Year1_Bracknell_Forest Year1_CP_Plans_3months)</f>
        <v>63</v>
      </c>
      <c r="Z177" s="248">
        <f>IF(Year2_Bracknell_Forest Year2_CP_Plans_3months="","",Year2_Bracknell_Forest Year2_CP_Plans_3months)</f>
        <v>106</v>
      </c>
      <c r="AA177" s="248">
        <f>IF(Year3_Bracknell_Forest Year3_CP_Plans_3months="","",Year3_Bracknell_Forest Year3_CP_Plans_3months)</f>
        <v>119</v>
      </c>
      <c r="AB177" s="248">
        <f>IF(Year4_Bracknell_Forest Year4_CP_Plans_3months="","",Year4_Bracknell_Forest Year4_CP_Plans_3months)</f>
        <v>98</v>
      </c>
      <c r="AC177" s="352">
        <f>IF(Year5_Bracknell_Forest Year5_CP_Plans_3months="","",Year5_Bracknell_Forest Year5_CP_Plans_3months)</f>
        <v>87</v>
      </c>
      <c r="AD177" s="252" t="str">
        <f>X177</f>
        <v>Bracknell Forest</v>
      </c>
      <c r="AE177" s="307">
        <f>IF(Year1_Bracknell_Forest Year1_CP_Plans_3months_timescales="","",Year1_Bracknell_Forest Year1_CP_Plans_3months_timescales)</f>
        <v>62</v>
      </c>
      <c r="AF177" s="248">
        <f>IF(Year2_Bracknell_Forest Year2_CP_Plans_3months_timescales="","",Year2_Bracknell_Forest Year2_CP_Plans_3months_timescales)</f>
        <v>106</v>
      </c>
      <c r="AG177" s="248">
        <f>IF(Year3_Bracknell_Forest Year3_CP_Plans_3months_timescales="","",Year3_Bracknell_Forest Year3_CP_Plans_3months_timescales)</f>
        <v>116</v>
      </c>
      <c r="AH177" s="248">
        <f>IF(Year4_Bracknell_Forest Year4_CP_Plans_3months_timescales="","",Year4_Bracknell_Forest Year4_CP_Plans_3months_timescales)</f>
        <v>96</v>
      </c>
      <c r="AI177" s="248">
        <f>IF(Year5_Bracknell_Forest Year5_CP_Plans_3months_timescales="","",Year5_Bracknell_Forest Year5_CP_Plans_3months_timescales)</f>
        <v>86</v>
      </c>
      <c r="AJ177" s="119"/>
      <c r="AK177" s="52"/>
    </row>
    <row r="178" spans="1:44" s="61" customFormat="1" ht="13.5" customHeight="1">
      <c r="A178" s="1103">
        <f>VLOOKUP(B178,ReportData!$AQ$4:$AR$25,2,FALSE)</f>
        <v>0</v>
      </c>
      <c r="B178" s="885" t="str">
        <f t="shared" si="60"/>
        <v>Brighton &amp; Hove</v>
      </c>
      <c r="C178" s="59"/>
      <c r="D178" s="922">
        <f t="shared" si="61"/>
        <v>0.9719626168224299</v>
      </c>
      <c r="E178" s="922">
        <f t="shared" si="62"/>
        <v>0.99481865284974091</v>
      </c>
      <c r="F178" s="922">
        <f t="shared" si="63"/>
        <v>0.87709497206703912</v>
      </c>
      <c r="G178" s="922">
        <f t="shared" si="64"/>
        <v>0.56716417910447758</v>
      </c>
      <c r="H178" s="923">
        <f t="shared" si="65"/>
        <v>0.86979166666666663</v>
      </c>
      <c r="I178" s="68"/>
      <c r="J178" s="68"/>
      <c r="K178" s="127"/>
      <c r="L178" s="127"/>
      <c r="M178" s="127"/>
      <c r="N178" s="127"/>
      <c r="O178" s="127"/>
      <c r="P178" s="127"/>
      <c r="Q178" s="127"/>
      <c r="R178" s="128"/>
      <c r="S178" s="120"/>
      <c r="T178" s="127"/>
      <c r="U178" s="89"/>
      <c r="V178" s="103"/>
      <c r="W178" s="115"/>
      <c r="X178" s="352" t="str">
        <f t="shared" si="66"/>
        <v>Brighton &amp; Hove</v>
      </c>
      <c r="Y178" s="355">
        <f>IF(Year1_Brighton_and_Hove Year1_CP_Plans_3months="","",Year1_Brighton_and_Hove Year1_CP_Plans_3months)</f>
        <v>214</v>
      </c>
      <c r="Z178" s="248">
        <f>IF(Year2_Brighton_and_Hove Year2_CP_Plans_3months="","",Year2_Brighton_and_Hove Year2_CP_Plans_3months)</f>
        <v>193</v>
      </c>
      <c r="AA178" s="248">
        <f>IF(Year3_Brighton_and_Hove Year3_CP_Plans_3months="","",Year3_Brighton_and_Hove Year3_CP_Plans_3months)</f>
        <v>179</v>
      </c>
      <c r="AB178" s="248">
        <f>IF(Year4_Brighton_and_Hove Year4_CP_Plans_3months="","",Year4_Brighton_and_Hove Year4_CP_Plans_3months)</f>
        <v>201</v>
      </c>
      <c r="AC178" s="352">
        <f>IF(Year5_Brighton_and_Hove Year5_CP_Plans_3months="","",Year5_Brighton_and_Hove Year5_CP_Plans_3months)</f>
        <v>192</v>
      </c>
      <c r="AD178" s="252" t="str">
        <f t="shared" ref="AD178:AD197" si="67">X178</f>
        <v>Brighton &amp; Hove</v>
      </c>
      <c r="AE178" s="307">
        <f>IF(Year1_Brighton_and_Hove Year1_CP_Plans_3months_timescales="","",Year1_Brighton_and_Hove Year1_CP_Plans_3months_timescales)</f>
        <v>208</v>
      </c>
      <c r="AF178" s="248">
        <f>IF(Year2_Brighton_and_Hove Year2_CP_Plans_3months_timescales="","",Year2_Brighton_and_Hove Year2_CP_Plans_3months_timescales)</f>
        <v>192</v>
      </c>
      <c r="AG178" s="248">
        <f>IF(Year3_Brighton_and_Hove Year3_CP_Plans_3months_timescales="","",Year3_Brighton_and_Hove Year3_CP_Plans_3months_timescales)</f>
        <v>157</v>
      </c>
      <c r="AH178" s="248">
        <f>IF(Year4_Brighton_and_Hove Year4_CP_Plans_3months_timescales="","",Year4_Brighton_and_Hove Year4_CP_Plans_3months_timescales)</f>
        <v>114</v>
      </c>
      <c r="AI178" s="248">
        <f>IF(Year5_Brighton_and_Hove Year5_CP_Plans_3months_timescales="","",Year5_Brighton_and_Hove Year5_CP_Plans_3months_timescales)</f>
        <v>167</v>
      </c>
      <c r="AJ178" s="119"/>
      <c r="AK178" s="52"/>
      <c r="AR178" s="61" t="s">
        <v>95</v>
      </c>
    </row>
    <row r="179" spans="1:44" s="61" customFormat="1" ht="13.5" customHeight="1">
      <c r="A179" s="1103">
        <f>VLOOKUP(B179,ReportData!$AQ$4:$AR$25,2,FALSE)</f>
        <v>0</v>
      </c>
      <c r="B179" s="885" t="str">
        <f t="shared" si="60"/>
        <v>Buckinghamshire</v>
      </c>
      <c r="C179" s="59"/>
      <c r="D179" s="922">
        <f t="shared" si="61"/>
        <v>0.97222222222222221</v>
      </c>
      <c r="E179" s="922">
        <f t="shared" si="62"/>
        <v>0.98550724637681164</v>
      </c>
      <c r="F179" s="922">
        <f t="shared" si="63"/>
        <v>0.82191780821917804</v>
      </c>
      <c r="G179" s="922">
        <f t="shared" si="64"/>
        <v>0.80456852791878175</v>
      </c>
      <c r="H179" s="923">
        <f t="shared" si="65"/>
        <v>0.882943143812709</v>
      </c>
      <c r="I179" s="68"/>
      <c r="J179" s="68"/>
      <c r="K179" s="127"/>
      <c r="L179" s="127"/>
      <c r="M179" s="127"/>
      <c r="N179" s="127"/>
      <c r="O179" s="127"/>
      <c r="P179" s="127"/>
      <c r="Q179" s="127"/>
      <c r="R179" s="128"/>
      <c r="S179" s="120"/>
      <c r="T179" s="127"/>
      <c r="U179" s="89"/>
      <c r="V179" s="103"/>
      <c r="W179" s="115"/>
      <c r="X179" s="352" t="str">
        <f t="shared" si="66"/>
        <v>Buckinghamshire</v>
      </c>
      <c r="Y179" s="355">
        <f>IF(Year1_Buckinghamshire Year1_CP_Plans_3months="","",Year1_Buckinghamshire Year1_CP_Plans_3months)</f>
        <v>468</v>
      </c>
      <c r="Z179" s="248">
        <f>IF(Year2_Buckinghamshire Year2_CP_Plans_3months="","",Year2_Buckinghamshire Year2_CP_Plans_3months)</f>
        <v>345</v>
      </c>
      <c r="AA179" s="248">
        <f>IF(Year3_Buckinghamshire Year3_CP_Plans_3months="","",Year3_Buckinghamshire Year3_CP_Plans_3months)</f>
        <v>511</v>
      </c>
      <c r="AB179" s="248">
        <f>IF(Year4_Buckinghamshire Year4_CP_Plans_3months="","",Year4_Buckinghamshire Year4_CP_Plans_3months)</f>
        <v>394</v>
      </c>
      <c r="AC179" s="352">
        <f>IF(Year5_Buckinghamshire Year5_CP_Plans_3months="","",Year5_Buckinghamshire Year5_CP_Plans_3months)</f>
        <v>299</v>
      </c>
      <c r="AD179" s="252" t="str">
        <f t="shared" si="67"/>
        <v>Buckinghamshire</v>
      </c>
      <c r="AE179" s="307">
        <f>IF(Year1_Buckinghamshire Year1_CP_Plans_3months_timescales="","",Year1_Buckinghamshire Year1_CP_Plans_3months_timescales)</f>
        <v>455</v>
      </c>
      <c r="AF179" s="248">
        <f>IF(Year2_Buckinghamshire Year2_CP_Plans_3months_timescales="","",Year2_Buckinghamshire Year2_CP_Plans_3months_timescales)</f>
        <v>340</v>
      </c>
      <c r="AG179" s="248">
        <f>IF(Year3_Buckinghamshire Year3_CP_Plans_3months_timescales="","",Year3_Buckinghamshire Year3_CP_Plans_3months_timescales)</f>
        <v>420</v>
      </c>
      <c r="AH179" s="248">
        <f>IF(Year4_Buckinghamshire Year4_CP_Plans_3months_timescales="","",Year4_Buckinghamshire Year4_CP_Plans_3months_timescales)</f>
        <v>317</v>
      </c>
      <c r="AI179" s="248">
        <f>IF(Year5_Buckinghamshire Year5_CP_Plans_3months_timescales="","",Year5_Buckinghamshire Year5_CP_Plans_3months_timescales)</f>
        <v>264</v>
      </c>
      <c r="AJ179" s="119"/>
      <c r="AK179" s="52"/>
    </row>
    <row r="180" spans="1:44" s="61" customFormat="1" ht="13.5" customHeight="1">
      <c r="A180" s="1103">
        <f>VLOOKUP(B180,ReportData!$AQ$4:$AR$25,2,FALSE)</f>
        <v>0</v>
      </c>
      <c r="B180" s="885" t="str">
        <f t="shared" si="60"/>
        <v>East Sussex</v>
      </c>
      <c r="C180" s="59"/>
      <c r="D180" s="922">
        <f t="shared" si="61"/>
        <v>0.92650918635170598</v>
      </c>
      <c r="E180" s="922">
        <f t="shared" si="62"/>
        <v>0.91025641025641024</v>
      </c>
      <c r="F180" s="922">
        <f t="shared" si="63"/>
        <v>0.90394088669950734</v>
      </c>
      <c r="G180" s="922">
        <f t="shared" si="64"/>
        <v>0.91440501043841338</v>
      </c>
      <c r="H180" s="923">
        <f t="shared" si="65"/>
        <v>0.89097744360902253</v>
      </c>
      <c r="I180" s="68"/>
      <c r="J180" s="68"/>
      <c r="K180" s="127"/>
      <c r="L180" s="127"/>
      <c r="M180" s="127"/>
      <c r="N180" s="127"/>
      <c r="O180" s="127"/>
      <c r="P180" s="127"/>
      <c r="Q180" s="127"/>
      <c r="R180" s="128"/>
      <c r="S180" s="120"/>
      <c r="T180" s="127"/>
      <c r="U180" s="89"/>
      <c r="V180" s="103"/>
      <c r="W180" s="115"/>
      <c r="X180" s="352" t="str">
        <f t="shared" si="66"/>
        <v>East Sussex</v>
      </c>
      <c r="Y180" s="355">
        <f>IF(Year1_East_Sussex Year1_CP_Plans_3months="","",Year1_East_Sussex Year1_CP_Plans_3months)</f>
        <v>381</v>
      </c>
      <c r="Z180" s="248">
        <f>IF(Year2_East_Sussex Year2_CP_Plans_3months="","",Year2_East_Sussex Year2_CP_Plans_3months)</f>
        <v>390</v>
      </c>
      <c r="AA180" s="248">
        <f>IF(Year3_East_Sussex Year3_CP_Plans_3months="","",Year3_East_Sussex Year3_CP_Plans_3months)</f>
        <v>406</v>
      </c>
      <c r="AB180" s="248">
        <f>IF(Year4_East_Sussex Year4_CP_Plans_3months="","",Year4_East_Sussex Year4_CP_Plans_3months)</f>
        <v>479</v>
      </c>
      <c r="AC180" s="352">
        <f>IF(Year5_East_Sussex Year5_CP_Plans_3months="","",Year5_East_Sussex Year5_CP_Plans_3months)</f>
        <v>532</v>
      </c>
      <c r="AD180" s="252" t="str">
        <f t="shared" si="67"/>
        <v>East Sussex</v>
      </c>
      <c r="AE180" s="307">
        <f>IF(Year1_East_Sussex Year1_CP_Plans_3months_timescales="","",Year1_East_Sussex Year1_CP_Plans_3months_timescales)</f>
        <v>353</v>
      </c>
      <c r="AF180" s="248">
        <f>IF(Year2_East_Sussex Year2_CP_Plans_3months_timescales="","",Year2_East_Sussex Year2_CP_Plans_3months_timescales)</f>
        <v>355</v>
      </c>
      <c r="AG180" s="248">
        <f>IF(Year3_East_Sussex Year3_CP_Plans_3months_timescales="","",Year3_East_Sussex Year3_CP_Plans_3months_timescales)</f>
        <v>367</v>
      </c>
      <c r="AH180" s="248">
        <f>IF(Year4_East_Sussex Year4_CP_Plans_3months_timescales="","",Year4_East_Sussex Year4_CP_Plans_3months_timescales)</f>
        <v>438</v>
      </c>
      <c r="AI180" s="248">
        <f>IF(Year5_East_Sussex Year5_CP_Plans_3months_timescales="","",Year5_East_Sussex Year5_CP_Plans_3months_timescales)</f>
        <v>474</v>
      </c>
      <c r="AJ180" s="119"/>
      <c r="AK180" s="52"/>
    </row>
    <row r="181" spans="1:44" s="61" customFormat="1" ht="13.5" customHeight="1">
      <c r="A181" s="1103">
        <f>VLOOKUP(B181,ReportData!$AQ$4:$AR$25,2,FALSE)</f>
        <v>0</v>
      </c>
      <c r="B181" s="885" t="str">
        <f t="shared" si="60"/>
        <v>Hampshire</v>
      </c>
      <c r="C181" s="59"/>
      <c r="D181" s="922">
        <f t="shared" si="61"/>
        <v>0.80879864636209808</v>
      </c>
      <c r="E181" s="922">
        <f t="shared" si="62"/>
        <v>0.88746438746438749</v>
      </c>
      <c r="F181" s="922">
        <f t="shared" si="63"/>
        <v>0.86849710982658956</v>
      </c>
      <c r="G181" s="922">
        <f t="shared" si="64"/>
        <v>0.81392045454545459</v>
      </c>
      <c r="H181" s="923" t="e">
        <f t="shared" si="65"/>
        <v>#N/A</v>
      </c>
      <c r="I181" s="68"/>
      <c r="J181" s="68"/>
      <c r="K181" s="127"/>
      <c r="L181" s="127"/>
      <c r="M181" s="127"/>
      <c r="N181" s="127"/>
      <c r="O181" s="127"/>
      <c r="P181" s="127"/>
      <c r="Q181" s="127"/>
      <c r="R181" s="128"/>
      <c r="S181" s="120"/>
      <c r="T181" s="127"/>
      <c r="U181" s="89"/>
      <c r="V181" s="103"/>
      <c r="W181" s="115"/>
      <c r="X181" s="352" t="str">
        <f t="shared" si="66"/>
        <v>Hampshire</v>
      </c>
      <c r="Y181" s="355">
        <f>IF(Year1_Hampshire Year1_CP_Plans_3months="","",Year1_Hampshire Year1_CP_Plans_3months)</f>
        <v>591</v>
      </c>
      <c r="Z181" s="248">
        <f>IF(Year2_Hampshire Year2_CP_Plans_3months="","",Year2_Hampshire Year2_CP_Plans_3months)</f>
        <v>702</v>
      </c>
      <c r="AA181" s="248">
        <f>IF(Year3_Hampshire Year3_CP_Plans_3months="","",Year3_Hampshire Year3_CP_Plans_3months)</f>
        <v>692</v>
      </c>
      <c r="AB181" s="248">
        <f>IF(Year4_Hampshire Year4_CP_Plans_3months="","",Year4_Hampshire Year4_CP_Plans_3months)</f>
        <v>704</v>
      </c>
      <c r="AC181" s="352" t="str">
        <f>IF(Year5_Hampshire Year5_CP_Plans_3months="","",Year5_Hampshire Year5_CP_Plans_3months)</f>
        <v>u</v>
      </c>
      <c r="AD181" s="252" t="str">
        <f t="shared" si="67"/>
        <v>Hampshire</v>
      </c>
      <c r="AE181" s="307">
        <f>IF(Year1_Hampshire Year1_CP_Plans_3months_timescales="","",Year1_Hampshire Year1_CP_Plans_3months_timescales)</f>
        <v>478</v>
      </c>
      <c r="AF181" s="248">
        <f>IF(Year2_Hampshire Year2_CP_Plans_3months_timescales="","",Year2_Hampshire Year2_CP_Plans_3months_timescales)</f>
        <v>623</v>
      </c>
      <c r="AG181" s="248">
        <f>IF(Year3_Hampshire Year3_CP_Plans_3months_timescales="","",Year3_Hampshire Year3_CP_Plans_3months_timescales)</f>
        <v>601</v>
      </c>
      <c r="AH181" s="248">
        <f>IF(Year4_Hampshire Year4_CP_Plans_3months_timescales="","",Year4_Hampshire Year4_CP_Plans_3months_timescales)</f>
        <v>573</v>
      </c>
      <c r="AI181" s="248" t="str">
        <f>IF(Year5_Hampshire Year5_CP_Plans_3months_timescales="","",Year5_Hampshire Year5_CP_Plans_3months_timescales)</f>
        <v>u</v>
      </c>
      <c r="AJ181" s="119"/>
      <c r="AK181" s="52"/>
    </row>
    <row r="182" spans="1:44" s="61" customFormat="1" ht="13.5" customHeight="1">
      <c r="A182" s="1103">
        <f>VLOOKUP(B182,ReportData!$AQ$4:$AR$25,2,FALSE)</f>
        <v>0</v>
      </c>
      <c r="B182" s="885" t="str">
        <f t="shared" si="60"/>
        <v>Isle of Wight</v>
      </c>
      <c r="C182" s="59"/>
      <c r="D182" s="922">
        <f t="shared" si="61"/>
        <v>0.92682926829268297</v>
      </c>
      <c r="E182" s="922">
        <f t="shared" si="62"/>
        <v>0.9826086956521739</v>
      </c>
      <c r="F182" s="922">
        <f t="shared" si="63"/>
        <v>0.86813186813186816</v>
      </c>
      <c r="G182" s="922">
        <f t="shared" si="64"/>
        <v>0.93129770992366412</v>
      </c>
      <c r="H182" s="923">
        <f t="shared" si="65"/>
        <v>0.84210526315789469</v>
      </c>
      <c r="I182" s="68"/>
      <c r="J182" s="68"/>
      <c r="K182" s="127"/>
      <c r="L182" s="127"/>
      <c r="M182" s="127"/>
      <c r="N182" s="127"/>
      <c r="O182" s="127"/>
      <c r="P182" s="127"/>
      <c r="Q182" s="127"/>
      <c r="R182" s="128"/>
      <c r="S182" s="120"/>
      <c r="T182" s="127"/>
      <c r="U182" s="89"/>
      <c r="V182" s="103"/>
      <c r="W182" s="115"/>
      <c r="X182" s="352" t="str">
        <f t="shared" si="66"/>
        <v>Isle of Wight</v>
      </c>
      <c r="Y182" s="355">
        <f>IF(Year1_Isle_of_Wight Year1_CP_Plans_3months="","",Year1_Isle_of_Wight Year1_CP_Plans_3months)</f>
        <v>82</v>
      </c>
      <c r="Z182" s="248">
        <f>IF(Year2_Isle_of_Wight Year2_CP_Plans_3months="","",Year2_Isle_of_Wight Year2_CP_Plans_3months)</f>
        <v>115</v>
      </c>
      <c r="AA182" s="248">
        <f>IF(Year3_Isle_of_Wight Year3_CP_Plans_3months="","",Year3_Isle_of_Wight Year3_CP_Plans_3months)</f>
        <v>91</v>
      </c>
      <c r="AB182" s="248">
        <f>IF(Year4_Isle_of_Wight Year4_CP_Plans_3months="","",Year4_Isle_of_Wight Year4_CP_Plans_3months)</f>
        <v>131</v>
      </c>
      <c r="AC182" s="352">
        <f>IF(Year5_Isle_of_Wight Year5_CP_Plans_3months="","",Year5_Isle_of_Wight Year5_CP_Plans_3months)</f>
        <v>152</v>
      </c>
      <c r="AD182" s="252" t="str">
        <f t="shared" si="67"/>
        <v>Isle of Wight</v>
      </c>
      <c r="AE182" s="307">
        <f>IF(Year1_Isle_of_Wight Year1_CP_Plans_3months_timescales="","",Year1_Isle_of_Wight Year1_CP_Plans_3months_timescales)</f>
        <v>76</v>
      </c>
      <c r="AF182" s="248">
        <f>IF(Year2_Isle_of_Wight Year2_CP_Plans_3months_timescales="","",Year2_Isle_of_Wight Year2_CP_Plans_3months_timescales)</f>
        <v>113</v>
      </c>
      <c r="AG182" s="248">
        <f>IF(Year3_Isle_of_Wight Year3_CP_Plans_3months_timescales="","",Year3_Isle_of_Wight Year3_CP_Plans_3months_timescales)</f>
        <v>79</v>
      </c>
      <c r="AH182" s="248">
        <f>IF(Year4_Isle_of_Wight Year4_CP_Plans_3months_timescales="","",Year4_Isle_of_Wight Year4_CP_Plans_3months_timescales)</f>
        <v>122</v>
      </c>
      <c r="AI182" s="248">
        <f>IF(Year5_Isle_of_Wight Year5_CP_Plans_3months_timescales="","",Year5_Isle_of_Wight Year5_CP_Plans_3months_timescales)</f>
        <v>128</v>
      </c>
      <c r="AJ182" s="119"/>
      <c r="AK182" s="52"/>
    </row>
    <row r="183" spans="1:44" s="61" customFormat="1" ht="13.5" customHeight="1">
      <c r="A183" s="1103">
        <f>VLOOKUP(B183,ReportData!$AQ$4:$AR$25,2,FALSE)</f>
        <v>0</v>
      </c>
      <c r="B183" s="885" t="str">
        <f t="shared" si="60"/>
        <v>Kent</v>
      </c>
      <c r="C183" s="59"/>
      <c r="D183" s="922">
        <f t="shared" si="61"/>
        <v>1</v>
      </c>
      <c r="E183" s="922">
        <f t="shared" si="62"/>
        <v>0.99759903961584628</v>
      </c>
      <c r="F183" s="922">
        <f t="shared" si="63"/>
        <v>0.99658314350797261</v>
      </c>
      <c r="G183" s="922">
        <f t="shared" si="64"/>
        <v>0.97846153846153849</v>
      </c>
      <c r="H183" s="923">
        <f t="shared" si="65"/>
        <v>0.99765807962529274</v>
      </c>
      <c r="I183" s="68"/>
      <c r="J183" s="68"/>
      <c r="K183" s="127"/>
      <c r="L183" s="127"/>
      <c r="M183" s="127"/>
      <c r="N183" s="127"/>
      <c r="O183" s="127"/>
      <c r="P183" s="127"/>
      <c r="Q183" s="127"/>
      <c r="R183" s="128"/>
      <c r="S183" s="120"/>
      <c r="T183" s="127"/>
      <c r="U183" s="89"/>
      <c r="V183" s="103"/>
      <c r="W183" s="115"/>
      <c r="X183" s="352" t="str">
        <f t="shared" si="66"/>
        <v>Kent</v>
      </c>
      <c r="Y183" s="355">
        <f>IF(Year1_Kent Year1_CP_Plans_3months="","",Year1_Kent Year1_CP_Plans_3months)</f>
        <v>1041</v>
      </c>
      <c r="Z183" s="248">
        <f>IF(Year2_Kent Year2_CP_Plans_3months="","",Year2_Kent Year2_CP_Plans_3months)</f>
        <v>833</v>
      </c>
      <c r="AA183" s="248">
        <f>IF(Year3_Kent Year3_CP_Plans_3months="","",Year3_Kent Year3_CP_Plans_3months)</f>
        <v>878</v>
      </c>
      <c r="AB183" s="248">
        <f>IF(Year4_Kent Year4_CP_Plans_3months="","",Year4_Kent Year4_CP_Plans_3months)</f>
        <v>975</v>
      </c>
      <c r="AC183" s="352">
        <f>IF(Year5_Kent Year5_CP_Plans_3months="","",Year5_Kent Year5_CP_Plans_3months)</f>
        <v>854</v>
      </c>
      <c r="AD183" s="252" t="str">
        <f t="shared" si="67"/>
        <v>Kent</v>
      </c>
      <c r="AE183" s="307">
        <f>IF(Year1_Kent Year1_CP_Plans_3months_timescales="","",Year1_Kent Year1_CP_Plans_3months_timescales)</f>
        <v>1041</v>
      </c>
      <c r="AF183" s="248">
        <f>IF(Year2_Kent Year2_CP_Plans_3months_timescales="","",Year2_Kent Year2_CP_Plans_3months_timescales)</f>
        <v>831</v>
      </c>
      <c r="AG183" s="248">
        <f>IF(Year3_Kent Year3_CP_Plans_3months_timescales="","",Year3_Kent Year3_CP_Plans_3months_timescales)</f>
        <v>875</v>
      </c>
      <c r="AH183" s="248">
        <f>IF(Year4_Kent Year4_CP_Plans_3months_timescales="","",Year4_Kent Year4_CP_Plans_3months_timescales)</f>
        <v>954</v>
      </c>
      <c r="AI183" s="248">
        <f>IF(Year5_Kent Year5_CP_Plans_3months_timescales="","",Year5_Kent Year5_CP_Plans_3months_timescales)</f>
        <v>852</v>
      </c>
      <c r="AJ183" s="119"/>
      <c r="AK183" s="52"/>
    </row>
    <row r="184" spans="1:44" s="61" customFormat="1" ht="13.5" customHeight="1">
      <c r="A184" s="1103">
        <f>VLOOKUP(B184,ReportData!$AQ$4:$AR$25,2,FALSE)</f>
        <v>0</v>
      </c>
      <c r="B184" s="885" t="str">
        <f t="shared" si="60"/>
        <v>Medway</v>
      </c>
      <c r="C184" s="59"/>
      <c r="D184" s="922">
        <f t="shared" si="61"/>
        <v>1</v>
      </c>
      <c r="E184" s="922">
        <f t="shared" si="62"/>
        <v>0.94174757281553401</v>
      </c>
      <c r="F184" s="922">
        <f t="shared" si="63"/>
        <v>1</v>
      </c>
      <c r="G184" s="922">
        <f t="shared" si="64"/>
        <v>0.96648044692737434</v>
      </c>
      <c r="H184" s="923">
        <f t="shared" si="65"/>
        <v>0.96721311475409832</v>
      </c>
      <c r="I184" s="68"/>
      <c r="J184" s="68"/>
      <c r="K184" s="127"/>
      <c r="L184" s="127"/>
      <c r="M184" s="127"/>
      <c r="N184" s="127"/>
      <c r="O184" s="127"/>
      <c r="P184" s="127"/>
      <c r="Q184" s="127"/>
      <c r="R184" s="128"/>
      <c r="S184" s="120"/>
      <c r="T184" s="127"/>
      <c r="U184" s="89"/>
      <c r="V184" s="103"/>
      <c r="W184" s="115"/>
      <c r="X184" s="352" t="str">
        <f t="shared" si="66"/>
        <v>Medway</v>
      </c>
      <c r="Y184" s="355">
        <f>IF(Year1_Medway Year1_CP_Plans_3months="","",Year1_Medway Year1_CP_Plans_3months)</f>
        <v>310</v>
      </c>
      <c r="Z184" s="248">
        <f>IF(Year2_Medway Year2_CP_Plans_3months="","",Year2_Medway Year2_CP_Plans_3months)</f>
        <v>103</v>
      </c>
      <c r="AA184" s="248">
        <f>IF(Year3_Medway Year3_CP_Plans_3months="","",Year3_Medway Year3_CP_Plans_3months)</f>
        <v>119</v>
      </c>
      <c r="AB184" s="248">
        <f>IF(Year4_Medway Year4_CP_Plans_3months="","",Year4_Medway Year4_CP_Plans_3months)</f>
        <v>179</v>
      </c>
      <c r="AC184" s="352">
        <f>IF(Year5_Medway Year5_CP_Plans_3months="","",Year5_Medway Year5_CP_Plans_3months)</f>
        <v>183</v>
      </c>
      <c r="AD184" s="252" t="str">
        <f t="shared" si="67"/>
        <v>Medway</v>
      </c>
      <c r="AE184" s="307">
        <f>IF(Year1_Medway Year1_CP_Plans_3months_timescales="","",Year1_Medway Year1_CP_Plans_3months_timescales)</f>
        <v>310</v>
      </c>
      <c r="AF184" s="248">
        <f>IF(Year2_Medway Year2_CP_Plans_3months_timescales="","",Year2_Medway Year2_CP_Plans_3months_timescales)</f>
        <v>97</v>
      </c>
      <c r="AG184" s="248">
        <f>IF(Year3_Medway Year3_CP_Plans_3months_timescales="","",Year3_Medway Year3_CP_Plans_3months_timescales)</f>
        <v>119</v>
      </c>
      <c r="AH184" s="248">
        <f>IF(Year4_Medway Year4_CP_Plans_3months_timescales="","",Year4_Medway Year4_CP_Plans_3months_timescales)</f>
        <v>173</v>
      </c>
      <c r="AI184" s="248">
        <f>IF(Year5_Medway Year5_CP_Plans_3months_timescales="","",Year5_Medway Year5_CP_Plans_3months_timescales)</f>
        <v>177</v>
      </c>
      <c r="AJ184" s="119"/>
      <c r="AK184" s="52"/>
    </row>
    <row r="185" spans="1:44" s="61" customFormat="1" ht="13.5" customHeight="1">
      <c r="A185" s="1103">
        <f>VLOOKUP(B185,ReportData!$AQ$4:$AR$25,2,FALSE)</f>
        <v>0</v>
      </c>
      <c r="B185" s="885" t="str">
        <f t="shared" si="60"/>
        <v>Milton Keynes</v>
      </c>
      <c r="C185" s="59"/>
      <c r="D185" s="922">
        <f t="shared" si="61"/>
        <v>0.93548387096774188</v>
      </c>
      <c r="E185" s="922">
        <f t="shared" si="62"/>
        <v>0.91851851851851851</v>
      </c>
      <c r="F185" s="922">
        <f t="shared" si="63"/>
        <v>0.66956521739130437</v>
      </c>
      <c r="G185" s="922">
        <f t="shared" si="64"/>
        <v>0.92592592592592593</v>
      </c>
      <c r="H185" s="923">
        <f t="shared" si="65"/>
        <v>0.87826086956521743</v>
      </c>
      <c r="I185" s="68"/>
      <c r="J185" s="68"/>
      <c r="K185" s="127"/>
      <c r="L185" s="127"/>
      <c r="M185" s="127"/>
      <c r="N185" s="127"/>
      <c r="O185" s="127"/>
      <c r="P185" s="127"/>
      <c r="Q185" s="127"/>
      <c r="R185" s="128"/>
      <c r="S185" s="120"/>
      <c r="T185" s="127"/>
      <c r="U185" s="89"/>
      <c r="V185" s="103"/>
      <c r="W185" s="115"/>
      <c r="X185" s="352" t="str">
        <f t="shared" si="66"/>
        <v>Milton Keynes</v>
      </c>
      <c r="Y185" s="355">
        <f>IF(Year1_Milton_Keynes Year1_CP_Plans_3months="","",Year1_Milton_Keynes Year1_CP_Plans_3months)</f>
        <v>93</v>
      </c>
      <c r="Z185" s="248">
        <f>IF(Year2_Milton_Keynes Year2_CP_Plans_3months="","",Year2_Milton_Keynes Year2_CP_Plans_3months)</f>
        <v>135</v>
      </c>
      <c r="AA185" s="248">
        <f>IF(Year3_Milton_Keynes Year3_CP_Plans_3months="","",Year3_Milton_Keynes Year3_CP_Plans_3months)</f>
        <v>115</v>
      </c>
      <c r="AB185" s="248">
        <f>IF(Year4_Milton_Keynes Year4_CP_Plans_3months="","",Year4_Milton_Keynes Year4_CP_Plans_3months)</f>
        <v>108</v>
      </c>
      <c r="AC185" s="352">
        <f>IF(Year5_Milton_Keynes Year5_CP_Plans_3months="","",Year5_Milton_Keynes Year5_CP_Plans_3months)</f>
        <v>115</v>
      </c>
      <c r="AD185" s="252" t="str">
        <f t="shared" si="67"/>
        <v>Milton Keynes</v>
      </c>
      <c r="AE185" s="307">
        <f>IF(Year1_Milton_Keynes Year1_CP_Plans_3months_timescales="","",Year1_Milton_Keynes Year1_CP_Plans_3months_timescales)</f>
        <v>87</v>
      </c>
      <c r="AF185" s="248">
        <f>IF(Year2_Milton_Keynes Year2_CP_Plans_3months_timescales="","",Year2_Milton_Keynes Year2_CP_Plans_3months_timescales)</f>
        <v>124</v>
      </c>
      <c r="AG185" s="248">
        <f>IF(Year3_Milton_Keynes Year3_CP_Plans_3months_timescales="","",Year3_Milton_Keynes Year3_CP_Plans_3months_timescales)</f>
        <v>77</v>
      </c>
      <c r="AH185" s="248">
        <f>IF(Year4_Milton_Keynes Year4_CP_Plans_3months_timescales="","",Year4_Milton_Keynes Year4_CP_Plans_3months_timescales)</f>
        <v>100</v>
      </c>
      <c r="AI185" s="248">
        <f>IF(Year5_Milton_Keynes Year5_CP_Plans_3months_timescales="","",Year5_Milton_Keynes Year5_CP_Plans_3months_timescales)</f>
        <v>101</v>
      </c>
      <c r="AJ185" s="119"/>
      <c r="AK185" s="52"/>
    </row>
    <row r="186" spans="1:44" s="61" customFormat="1" ht="13.5" customHeight="1">
      <c r="A186" s="1103">
        <f>VLOOKUP(B186,ReportData!$AQ$4:$AR$25,2,FALSE)</f>
        <v>0</v>
      </c>
      <c r="B186" s="885" t="str">
        <f t="shared" si="60"/>
        <v>Oxfordshire</v>
      </c>
      <c r="C186" s="59"/>
      <c r="D186" s="922">
        <f t="shared" si="61"/>
        <v>0.75409836065573765</v>
      </c>
      <c r="E186" s="922">
        <f t="shared" si="62"/>
        <v>0.89687499999999998</v>
      </c>
      <c r="F186" s="922">
        <f t="shared" si="63"/>
        <v>0.85989010989010994</v>
      </c>
      <c r="G186" s="922">
        <f t="shared" si="64"/>
        <v>0.91685912240184753</v>
      </c>
      <c r="H186" s="923">
        <f t="shared" si="65"/>
        <v>0.97126436781609193</v>
      </c>
      <c r="I186" s="68"/>
      <c r="J186" s="68"/>
      <c r="K186" s="127"/>
      <c r="L186" s="127"/>
      <c r="M186" s="127"/>
      <c r="N186" s="127"/>
      <c r="O186" s="127"/>
      <c r="P186" s="127"/>
      <c r="Q186" s="127"/>
      <c r="R186" s="128"/>
      <c r="S186" s="120"/>
      <c r="T186" s="127"/>
      <c r="U186" s="89"/>
      <c r="V186" s="103"/>
      <c r="W186" s="115"/>
      <c r="X186" s="352" t="str">
        <f t="shared" si="66"/>
        <v>Oxfordshire</v>
      </c>
      <c r="Y186" s="355">
        <f>IF(Year1_Oxfordshire Year1_CP_Plans_3months="","",Year1_Oxfordshire Year1_CP_Plans_3months)</f>
        <v>366</v>
      </c>
      <c r="Z186" s="248">
        <f>IF(Year2_Oxfordshire Year2_CP_Plans_3months="","",Year2_Oxfordshire Year2_CP_Plans_3months)</f>
        <v>320</v>
      </c>
      <c r="AA186" s="248">
        <f>IF(Year3_Oxfordshire Year3_CP_Plans_3months="","",Year3_Oxfordshire Year3_CP_Plans_3months)</f>
        <v>364</v>
      </c>
      <c r="AB186" s="248">
        <f>IF(Year4_Oxfordshire Year4_CP_Plans_3months="","",Year4_Oxfordshire Year4_CP_Plans_3months)</f>
        <v>433</v>
      </c>
      <c r="AC186" s="352">
        <f>IF(Year5_Oxfordshire Year5_CP_Plans_3months="","",Year5_Oxfordshire Year5_CP_Plans_3months)</f>
        <v>348</v>
      </c>
      <c r="AD186" s="252" t="str">
        <f t="shared" si="67"/>
        <v>Oxfordshire</v>
      </c>
      <c r="AE186" s="307">
        <f>IF(Year1_Oxfordshire Year1_CP_Plans_3months_timescales="","",Year1_Oxfordshire Year1_CP_Plans_3months_timescales)</f>
        <v>276</v>
      </c>
      <c r="AF186" s="248">
        <f>IF(Year2_Oxfordshire Year2_CP_Plans_3months_timescales="","",Year2_Oxfordshire Year2_CP_Plans_3months_timescales)</f>
        <v>287</v>
      </c>
      <c r="AG186" s="248">
        <f>IF(Year3_Oxfordshire Year3_CP_Plans_3months_timescales="","",Year3_Oxfordshire Year3_CP_Plans_3months_timescales)</f>
        <v>313</v>
      </c>
      <c r="AH186" s="248">
        <f>IF(Year4_Oxfordshire Year4_CP_Plans_3months_timescales="","",Year4_Oxfordshire Year4_CP_Plans_3months_timescales)</f>
        <v>397</v>
      </c>
      <c r="AI186" s="248">
        <f>IF(Year5_Oxfordshire Year5_CP_Plans_3months_timescales="","",Year5_Oxfordshire Year5_CP_Plans_3months_timescales)</f>
        <v>338</v>
      </c>
      <c r="AJ186" s="119"/>
      <c r="AK186" s="52"/>
    </row>
    <row r="187" spans="1:44" s="61" customFormat="1" ht="13.5" customHeight="1">
      <c r="A187" s="1103">
        <f>VLOOKUP(B187,ReportData!$AQ$4:$AR$25,2,FALSE)</f>
        <v>0</v>
      </c>
      <c r="B187" s="885" t="str">
        <f t="shared" si="60"/>
        <v>Portsmouth</v>
      </c>
      <c r="C187" s="59"/>
      <c r="D187" s="922">
        <f t="shared" si="61"/>
        <v>1</v>
      </c>
      <c r="E187" s="922">
        <f t="shared" si="62"/>
        <v>1</v>
      </c>
      <c r="F187" s="922">
        <f t="shared" si="63"/>
        <v>0.99444444444444446</v>
      </c>
      <c r="G187" s="922">
        <f t="shared" si="64"/>
        <v>0.96460176991150437</v>
      </c>
      <c r="H187" s="923">
        <f t="shared" si="65"/>
        <v>1</v>
      </c>
      <c r="I187" s="68"/>
      <c r="J187" s="68"/>
      <c r="K187" s="127"/>
      <c r="L187" s="127"/>
      <c r="M187" s="127"/>
      <c r="N187" s="127"/>
      <c r="O187" s="127"/>
      <c r="P187" s="127"/>
      <c r="Q187" s="127"/>
      <c r="R187" s="128"/>
      <c r="S187" s="120"/>
      <c r="T187" s="127"/>
      <c r="U187" s="89"/>
      <c r="V187" s="103"/>
      <c r="W187" s="115"/>
      <c r="X187" s="352" t="str">
        <f t="shared" si="66"/>
        <v>Portsmouth</v>
      </c>
      <c r="Y187" s="355">
        <f>IF(Year1_Portsmouth Year1_CP_Plans_3months="","",Year1_Portsmouth Year1_CP_Plans_3months)</f>
        <v>129</v>
      </c>
      <c r="Z187" s="248">
        <f>IF(Year2_Portsmouth Year2_CP_Plans_3months="","",Year2_Portsmouth Year2_CP_Plans_3months)</f>
        <v>194</v>
      </c>
      <c r="AA187" s="248">
        <f>IF(Year3_Portsmouth Year3_CP_Plans_3months="","",Year3_Portsmouth Year3_CP_Plans_3months)</f>
        <v>180</v>
      </c>
      <c r="AB187" s="248">
        <f>IF(Year4_Portsmouth Year4_CP_Plans_3months="","",Year4_Portsmouth Year4_CP_Plans_3months)</f>
        <v>113</v>
      </c>
      <c r="AC187" s="352">
        <f>IF(Year5_Portsmouth Year5_CP_Plans_3months="","",Year5_Portsmouth Year5_CP_Plans_3months)</f>
        <v>134</v>
      </c>
      <c r="AD187" s="252" t="str">
        <f t="shared" si="67"/>
        <v>Portsmouth</v>
      </c>
      <c r="AE187" s="307">
        <f>IF(Year1_Portsmouth Year1_CP_Plans_3months_timescales="","",Year1_Portsmouth Year1_CP_Plans_3months_timescales)</f>
        <v>129</v>
      </c>
      <c r="AF187" s="248">
        <f>IF(Year2_Portsmouth Year2_CP_Plans_3months_timescales="","",Year2_Portsmouth Year2_CP_Plans_3months_timescales)</f>
        <v>194</v>
      </c>
      <c r="AG187" s="248">
        <f>IF(Year3_Portsmouth Year3_CP_Plans_3months_timescales="","",Year3_Portsmouth Year3_CP_Plans_3months_timescales)</f>
        <v>179</v>
      </c>
      <c r="AH187" s="248">
        <f>IF(Year4_Portsmouth Year4_CP_Plans_3months_timescales="","",Year4_Portsmouth Year4_CP_Plans_3months_timescales)</f>
        <v>109</v>
      </c>
      <c r="AI187" s="248">
        <f>IF(Year5_Portsmouth Year5_CP_Plans_3months_timescales="","",Year5_Portsmouth Year5_CP_Plans_3months_timescales)</f>
        <v>134</v>
      </c>
      <c r="AJ187" s="119"/>
      <c r="AK187" s="52"/>
    </row>
    <row r="188" spans="1:44" s="61" customFormat="1" ht="13.5" customHeight="1">
      <c r="A188" s="1103">
        <f>VLOOKUP(B188,ReportData!$AQ$4:$AR$25,2,FALSE)</f>
        <v>0</v>
      </c>
      <c r="B188" s="885" t="str">
        <f t="shared" si="60"/>
        <v>Reading</v>
      </c>
      <c r="C188" s="59"/>
      <c r="D188" s="922">
        <f t="shared" si="61"/>
        <v>0.69064748201438853</v>
      </c>
      <c r="E188" s="922">
        <f t="shared" si="62"/>
        <v>0.91379310344827591</v>
      </c>
      <c r="F188" s="922">
        <f t="shared" si="63"/>
        <v>0.83229813664596275</v>
      </c>
      <c r="G188" s="922">
        <f t="shared" si="64"/>
        <v>0.78378378378378377</v>
      </c>
      <c r="H188" s="923">
        <f t="shared" si="65"/>
        <v>0.76344086021505375</v>
      </c>
      <c r="I188" s="68"/>
      <c r="J188" s="68"/>
      <c r="K188" s="127"/>
      <c r="L188" s="127"/>
      <c r="M188" s="127"/>
      <c r="N188" s="127"/>
      <c r="O188" s="127"/>
      <c r="P188" s="127"/>
      <c r="Q188" s="127"/>
      <c r="R188" s="128"/>
      <c r="S188" s="120"/>
      <c r="T188" s="127"/>
      <c r="U188" s="89"/>
      <c r="V188" s="103"/>
      <c r="W188" s="115"/>
      <c r="X188" s="352" t="str">
        <f t="shared" si="66"/>
        <v>Reading</v>
      </c>
      <c r="Y188" s="355">
        <f>IF(Year1_Reading Year1_CP_Plans_3months="","",Year1_Reading Year1_CP_Plans_3months)</f>
        <v>139</v>
      </c>
      <c r="Z188" s="248">
        <f>IF(Year2_Reading Year2_CP_Plans_3months="","",Year2_Reading Year2_CP_Plans_3months)</f>
        <v>174</v>
      </c>
      <c r="AA188" s="248">
        <f>IF(Year3_Reading Year3_CP_Plans_3months="","",Year3_Reading Year3_CP_Plans_3months)</f>
        <v>161</v>
      </c>
      <c r="AB188" s="248">
        <f>IF(Year4_Reading Year4_CP_Plans_3months="","",Year4_Reading Year4_CP_Plans_3months)</f>
        <v>111</v>
      </c>
      <c r="AC188" s="352">
        <f>IF(Year5_Reading Year5_CP_Plans_3months="","",Year5_Reading Year5_CP_Plans_3months)</f>
        <v>186</v>
      </c>
      <c r="AD188" s="252" t="str">
        <f t="shared" si="67"/>
        <v>Reading</v>
      </c>
      <c r="AE188" s="307">
        <f>IF(Year1_Reading Year1_CP_Plans_3months_timescales="","",Year1_Reading Year1_CP_Plans_3months_timescales)</f>
        <v>96</v>
      </c>
      <c r="AF188" s="248">
        <f>IF(Year2_Reading Year2_CP_Plans_3months_timescales="","",Year2_Reading Year2_CP_Plans_3months_timescales)</f>
        <v>159</v>
      </c>
      <c r="AG188" s="248">
        <f>IF(Year3_Reading Year3_CP_Plans_3months_timescales="","",Year3_Reading Year3_CP_Plans_3months_timescales)</f>
        <v>134</v>
      </c>
      <c r="AH188" s="248">
        <f>IF(Year4_Reading Year4_CP_Plans_3months_timescales="","",Year4_Reading Year4_CP_Plans_3months_timescales)</f>
        <v>87</v>
      </c>
      <c r="AI188" s="248">
        <f>IF(Year5_Reading Year5_CP_Plans_3months_timescales="","",Year5_Reading Year5_CP_Plans_3months_timescales)</f>
        <v>142</v>
      </c>
      <c r="AJ188" s="119"/>
      <c r="AK188" s="52"/>
    </row>
    <row r="189" spans="1:44" s="61" customFormat="1" ht="13.5" customHeight="1">
      <c r="A189" s="1103">
        <f>VLOOKUP(B189,ReportData!$AQ$4:$AR$25,2,FALSE)</f>
        <v>0</v>
      </c>
      <c r="B189" s="885" t="str">
        <f t="shared" si="60"/>
        <v>Slough</v>
      </c>
      <c r="C189" s="59"/>
      <c r="D189" s="922">
        <f t="shared" si="61"/>
        <v>0.70108695652173914</v>
      </c>
      <c r="E189" s="922">
        <f t="shared" si="62"/>
        <v>0.83870967741935487</v>
      </c>
      <c r="F189" s="922">
        <f t="shared" si="63"/>
        <v>0.92488262910798125</v>
      </c>
      <c r="G189" s="922">
        <f t="shared" si="64"/>
        <v>0.97727272727272729</v>
      </c>
      <c r="H189" s="923">
        <f t="shared" si="65"/>
        <v>0.95</v>
      </c>
      <c r="I189" s="68"/>
      <c r="J189" s="68"/>
      <c r="K189" s="127"/>
      <c r="L189" s="127"/>
      <c r="M189" s="127"/>
      <c r="N189" s="127"/>
      <c r="O189" s="127"/>
      <c r="P189" s="127"/>
      <c r="Q189" s="127"/>
      <c r="R189" s="128"/>
      <c r="S189" s="120"/>
      <c r="T189" s="127"/>
      <c r="U189" s="89"/>
      <c r="V189" s="103"/>
      <c r="W189" s="115"/>
      <c r="X189" s="352" t="str">
        <f t="shared" si="66"/>
        <v>Slough</v>
      </c>
      <c r="Y189" s="355">
        <f>IF(Year1_Slough Year1_CP_Plans_3months="","",Year1_Slough Year1_CP_Plans_3months)</f>
        <v>184</v>
      </c>
      <c r="Z189" s="248">
        <f>IF(Year2_Slough Year2_CP_Plans_3months="","",Year2_Slough Year2_CP_Plans_3months)</f>
        <v>217</v>
      </c>
      <c r="AA189" s="248">
        <f>IF(Year3_Slough Year3_CP_Plans_3months="","",Year3_Slough Year3_CP_Plans_3months)</f>
        <v>213</v>
      </c>
      <c r="AB189" s="248">
        <f>IF(Year4_Slough Year4_CP_Plans_3months="","",Year4_Slough Year4_CP_Plans_3months)</f>
        <v>176</v>
      </c>
      <c r="AC189" s="352">
        <f>IF(Year5_Slough Year5_CP_Plans_3months="","",Year5_Slough Year5_CP_Plans_3months)</f>
        <v>140</v>
      </c>
      <c r="AD189" s="252" t="str">
        <f t="shared" si="67"/>
        <v>Slough</v>
      </c>
      <c r="AE189" s="307">
        <f>IF(Year1_Slough Year1_CP_Plans_3months_timescales="","",Year1_Slough Year1_CP_Plans_3months_timescales)</f>
        <v>129</v>
      </c>
      <c r="AF189" s="248">
        <f>IF(Year2_Slough Year2_CP_Plans_3months_timescales="","",Year2_Slough Year2_CP_Plans_3months_timescales)</f>
        <v>182</v>
      </c>
      <c r="AG189" s="248">
        <f>IF(Year3_Slough Year3_CP_Plans_3months_timescales="","",Year3_Slough Year3_CP_Plans_3months_timescales)</f>
        <v>197</v>
      </c>
      <c r="AH189" s="248">
        <f>IF(Year4_Slough Year4_CP_Plans_3months_timescales="","",Year4_Slough Year4_CP_Plans_3months_timescales)</f>
        <v>172</v>
      </c>
      <c r="AI189" s="248">
        <f>IF(Year5_Slough Year5_CP_Plans_3months_timescales="","",Year5_Slough Year5_CP_Plans_3months_timescales)</f>
        <v>133</v>
      </c>
      <c r="AJ189" s="119"/>
      <c r="AK189" s="52"/>
    </row>
    <row r="190" spans="1:44" s="61" customFormat="1" ht="13.5" customHeight="1">
      <c r="A190" s="1103">
        <f>VLOOKUP(B190,ReportData!$AQ$4:$AR$25,2,FALSE)</f>
        <v>0</v>
      </c>
      <c r="B190" s="885" t="str">
        <f>B256</f>
        <v>Southampton</v>
      </c>
      <c r="C190" s="59"/>
      <c r="D190" s="922">
        <f t="shared" si="61"/>
        <v>0.65048543689320393</v>
      </c>
      <c r="E190" s="922">
        <f t="shared" si="62"/>
        <v>0.63285024154589375</v>
      </c>
      <c r="F190" s="922">
        <f t="shared" si="63"/>
        <v>0.47352941176470587</v>
      </c>
      <c r="G190" s="922">
        <f t="shared" si="64"/>
        <v>0.80193236714975846</v>
      </c>
      <c r="H190" s="923">
        <f t="shared" si="65"/>
        <v>0.83490566037735847</v>
      </c>
      <c r="I190" s="68"/>
      <c r="J190" s="68"/>
      <c r="K190" s="127"/>
      <c r="L190" s="127"/>
      <c r="M190" s="127"/>
      <c r="N190" s="127"/>
      <c r="O190" s="127"/>
      <c r="P190" s="127"/>
      <c r="Q190" s="127"/>
      <c r="R190" s="128"/>
      <c r="S190" s="120"/>
      <c r="T190" s="127"/>
      <c r="U190" s="89"/>
      <c r="V190" s="103"/>
      <c r="W190" s="115"/>
      <c r="X190" s="352" t="str">
        <f t="shared" si="66"/>
        <v>Southampton</v>
      </c>
      <c r="Y190" s="355">
        <f>IF(Year1_Southampton Year1_CP_Plans_3months="","",Year1_Southampton Year1_CP_Plans_3months)</f>
        <v>309</v>
      </c>
      <c r="Z190" s="248">
        <f>IF(Year2_Southampton Year2_CP_Plans_3months="","",Year2_Southampton Year2_CP_Plans_3months)</f>
        <v>207</v>
      </c>
      <c r="AA190" s="248">
        <f>IF(Year3_Southampton Year3_CP_Plans_3months="","",Year3_Southampton Year3_CP_Plans_3months)</f>
        <v>340</v>
      </c>
      <c r="AB190" s="248">
        <f>IF(Year4_Southampton Year4_CP_Plans_3months="","",Year4_Southampton Year4_CP_Plans_3months)</f>
        <v>207</v>
      </c>
      <c r="AC190" s="352">
        <f>IF(Year5_Southampton Year5_CP_Plans_3months="","",Year5_Southampton Year5_CP_Plans_3months)</f>
        <v>212</v>
      </c>
      <c r="AD190" s="252" t="str">
        <f t="shared" si="67"/>
        <v>Southampton</v>
      </c>
      <c r="AE190" s="307">
        <f>IF(Year1_Southampton Year1_CP_Plans_3months_timescales="","",Year1_Southampton Year1_CP_Plans_3months_timescales)</f>
        <v>201</v>
      </c>
      <c r="AF190" s="248">
        <f>IF(Year2_Southampton Year2_CP_Plans_3months_timescales="","",Year2_Southampton Year2_CP_Plans_3months_timescales)</f>
        <v>131</v>
      </c>
      <c r="AG190" s="248">
        <f>IF(Year3_Southampton Year3_CP_Plans_3months_timescales="","",Year3_Southampton Year3_CP_Plans_3months_timescales)</f>
        <v>161</v>
      </c>
      <c r="AH190" s="248">
        <f>IF(Year4_Southampton Year4_CP_Plans_3months_timescales="","",Year4_Southampton Year4_CP_Plans_3months_timescales)</f>
        <v>166</v>
      </c>
      <c r="AI190" s="248">
        <f>IF(Year5_Southampton Year5_CP_Plans_3months_timescales="","",Year5_Southampton Year5_CP_Plans_3months_timescales)</f>
        <v>177</v>
      </c>
      <c r="AJ190" s="119"/>
      <c r="AK190" s="52"/>
    </row>
    <row r="191" spans="1:44" s="61" customFormat="1" ht="13.5" customHeight="1">
      <c r="A191" s="1103">
        <f>VLOOKUP(B191,ReportData!$AQ$4:$AR$25,2,FALSE)</f>
        <v>0</v>
      </c>
      <c r="B191" s="885" t="str">
        <f>B257</f>
        <v>Surrey</v>
      </c>
      <c r="C191" s="59"/>
      <c r="D191" s="922">
        <f t="shared" si="61"/>
        <v>0.93176972281449888</v>
      </c>
      <c r="E191" s="922">
        <f t="shared" si="62"/>
        <v>0.98363338788870702</v>
      </c>
      <c r="F191" s="922">
        <f t="shared" si="63"/>
        <v>0.94622279129321385</v>
      </c>
      <c r="G191" s="922">
        <f t="shared" si="64"/>
        <v>0.97661870503597126</v>
      </c>
      <c r="H191" s="923">
        <f t="shared" si="65"/>
        <v>0.96055684454756385</v>
      </c>
      <c r="I191" s="68"/>
      <c r="J191" s="68"/>
      <c r="K191" s="127"/>
      <c r="L191" s="127"/>
      <c r="M191" s="127"/>
      <c r="N191" s="127"/>
      <c r="O191" s="127"/>
      <c r="P191" s="127"/>
      <c r="Q191" s="127"/>
      <c r="R191" s="128"/>
      <c r="S191" s="120"/>
      <c r="T191" s="127"/>
      <c r="U191" s="89"/>
      <c r="V191" s="103"/>
      <c r="W191" s="115"/>
      <c r="X191" s="352" t="str">
        <f t="shared" si="66"/>
        <v>Surrey</v>
      </c>
      <c r="Y191" s="355">
        <f>IF(Year1_Surrey Year1_CP_Plans_3months="","",Year1_Surrey Year1_CP_Plans_3months)</f>
        <v>469</v>
      </c>
      <c r="Z191" s="248">
        <f>IF(Year2_Surrey Year2_CP_Plans_3months="","",Year2_Surrey Year2_CP_Plans_3months)</f>
        <v>611</v>
      </c>
      <c r="AA191" s="248">
        <f>IF(Year3_Surrey Year3_CP_Plans_3months="","",Year3_Surrey Year3_CP_Plans_3months)</f>
        <v>781</v>
      </c>
      <c r="AB191" s="248">
        <f>IF(Year4_Surrey Year4_CP_Plans_3months="","",Year4_Surrey Year4_CP_Plans_3months)</f>
        <v>556</v>
      </c>
      <c r="AC191" s="352">
        <f>IF(Year5_Surrey Year5_CP_Plans_3months="","",Year5_Surrey Year5_CP_Plans_3months)</f>
        <v>431</v>
      </c>
      <c r="AD191" s="252" t="str">
        <f t="shared" si="67"/>
        <v>Surrey</v>
      </c>
      <c r="AE191" s="307">
        <f>IF(Year1_Surrey Year1_CP_Plans_3months_timescales="","",Year1_Surrey Year1_CP_Plans_3months_timescales)</f>
        <v>437</v>
      </c>
      <c r="AF191" s="248">
        <f>IF(Year2_Surrey Year2_CP_Plans_3months_timescales="","",Year2_Surrey Year2_CP_Plans_3months_timescales)</f>
        <v>601</v>
      </c>
      <c r="AG191" s="248">
        <f>IF(Year3_Surrey Year3_CP_Plans_3months_timescales="","",Year3_Surrey Year3_CP_Plans_3months_timescales)</f>
        <v>739</v>
      </c>
      <c r="AH191" s="248">
        <f>IF(Year4_Surrey Year4_CP_Plans_3months_timescales="","",Year4_Surrey Year4_CP_Plans_3months_timescales)</f>
        <v>543</v>
      </c>
      <c r="AI191" s="248">
        <f>IF(Year5_Surrey Year5_CP_Plans_3months_timescales="","",Year5_Surrey Year5_CP_Plans_3months_timescales)</f>
        <v>414</v>
      </c>
      <c r="AJ191" s="119"/>
      <c r="AK191" s="52"/>
    </row>
    <row r="192" spans="1:44" s="61" customFormat="1" ht="13.5" customHeight="1">
      <c r="A192" s="1103">
        <f>VLOOKUP(B192,ReportData!$AQ$4:$AR$25,2,FALSE)</f>
        <v>0</v>
      </c>
      <c r="B192" s="885" t="str">
        <f t="shared" ref="B192:B197" si="68">B258</f>
        <v>West Berkshire</v>
      </c>
      <c r="C192" s="59"/>
      <c r="D192" s="922">
        <f t="shared" si="61"/>
        <v>1</v>
      </c>
      <c r="E192" s="922">
        <f t="shared" si="62"/>
        <v>1</v>
      </c>
      <c r="F192" s="922">
        <f t="shared" si="63"/>
        <v>1</v>
      </c>
      <c r="G192" s="922">
        <f t="shared" si="64"/>
        <v>0.69266055045871555</v>
      </c>
      <c r="H192" s="923">
        <f t="shared" si="65"/>
        <v>0.83870967741935487</v>
      </c>
      <c r="I192" s="68"/>
      <c r="J192" s="68"/>
      <c r="K192" s="127"/>
      <c r="L192" s="127"/>
      <c r="M192" s="127"/>
      <c r="N192" s="127"/>
      <c r="O192" s="127"/>
      <c r="P192" s="127"/>
      <c r="Q192" s="127"/>
      <c r="R192" s="128"/>
      <c r="S192" s="120"/>
      <c r="T192" s="127"/>
      <c r="U192" s="89"/>
      <c r="V192" s="103"/>
      <c r="W192" s="115"/>
      <c r="X192" s="352" t="str">
        <f t="shared" si="66"/>
        <v>West Berkshire</v>
      </c>
      <c r="Y192" s="355">
        <f>IF(Year1_West_Berkshire Year1_CP_Plans_3months="","",Year1_West_Berkshire Year1_CP_Plans_3months)</f>
        <v>62</v>
      </c>
      <c r="Z192" s="248">
        <f>IF(Year2_West_Berkshire Year2_CP_Plans_3months="","",Year2_West_Berkshire Year2_CP_Plans_3months)</f>
        <v>81</v>
      </c>
      <c r="AA192" s="248">
        <f>IF(Year3_West_Berkshire Year3_CP_Plans_3months="","",Year3_West_Berkshire Year3_CP_Plans_3months)</f>
        <v>111</v>
      </c>
      <c r="AB192" s="248">
        <f>IF(Year4_West_Berkshire Year4_CP_Plans_3months="","",Year4_West_Berkshire Year4_CP_Plans_3months)</f>
        <v>218</v>
      </c>
      <c r="AC192" s="353">
        <f>IF(Year5_West_Berkshire Year5_CP_Plans_3months="","",Year5_West_Berkshire Year5_CP_Plans_3months)</f>
        <v>155</v>
      </c>
      <c r="AD192" s="252" t="str">
        <f t="shared" si="67"/>
        <v>West Berkshire</v>
      </c>
      <c r="AE192" s="307">
        <f>IF(Year1_West_Berkshire Year1_CP_Plans_3months_timescales="","",Year1_West_Berkshire Year1_CP_Plans_3months_timescales)</f>
        <v>62</v>
      </c>
      <c r="AF192" s="248">
        <f>IF(Year2_West_Berkshire Year2_CP_Plans_3months_timescales="","",Year2_West_Berkshire Year2_CP_Plans_3months_timescales)</f>
        <v>81</v>
      </c>
      <c r="AG192" s="248">
        <f>IF(Year3_West_Berkshire Year3_CP_Plans_3months_timescales="","",Year3_West_Berkshire Year3_CP_Plans_3months_timescales)</f>
        <v>111</v>
      </c>
      <c r="AH192" s="248">
        <f>IF(Year4_West_Berkshire Year4_CP_Plans_3months_timescales="","",Year4_West_Berkshire Year4_CP_Plans_3months_timescales)</f>
        <v>151</v>
      </c>
      <c r="AI192" s="307">
        <f>IF(Year5_West_Berkshire Year5_CP_Plans_3months_timescales="","",Year5_West_Berkshire Year5_CP_Plans_3months_timescales)</f>
        <v>130</v>
      </c>
      <c r="AJ192" s="119"/>
      <c r="AK192" s="52"/>
    </row>
    <row r="193" spans="1:76" s="61" customFormat="1" ht="13.5" customHeight="1">
      <c r="A193" s="1103">
        <f>VLOOKUP(B193,ReportData!$AQ$4:$AR$25,2,FALSE)</f>
        <v>0</v>
      </c>
      <c r="B193" s="885" t="str">
        <f t="shared" si="68"/>
        <v>West Sussex</v>
      </c>
      <c r="C193" s="59"/>
      <c r="D193" s="922">
        <f t="shared" si="61"/>
        <v>0.86443661971830987</v>
      </c>
      <c r="E193" s="922">
        <f t="shared" si="62"/>
        <v>0.87696709585121602</v>
      </c>
      <c r="F193" s="922">
        <f t="shared" si="63"/>
        <v>0.84565217391304348</v>
      </c>
      <c r="G193" s="922">
        <f t="shared" si="64"/>
        <v>0.8104448742746615</v>
      </c>
      <c r="H193" s="923">
        <f t="shared" si="65"/>
        <v>0.74561403508771928</v>
      </c>
      <c r="I193" s="68"/>
      <c r="J193" s="68"/>
      <c r="K193" s="127"/>
      <c r="L193" s="127"/>
      <c r="M193" s="127"/>
      <c r="N193" s="127"/>
      <c r="O193" s="127"/>
      <c r="P193" s="127"/>
      <c r="Q193" s="127"/>
      <c r="R193" s="128"/>
      <c r="S193" s="120"/>
      <c r="T193" s="127"/>
      <c r="U193" s="89"/>
      <c r="V193" s="103"/>
      <c r="W193" s="115"/>
      <c r="X193" s="352" t="str">
        <f t="shared" si="66"/>
        <v>West Sussex</v>
      </c>
      <c r="Y193" s="355">
        <f>IF(Year1_West_Sussex Year1_CP_Plans_3months="","",Year1_West_Sussex Year1_CP_Plans_3months)</f>
        <v>568</v>
      </c>
      <c r="Z193" s="248">
        <f>IF(Year2_West_Sussex Year2_CP_Plans_3months="","",Year2_West_Sussex Year2_CP_Plans_3months)</f>
        <v>699</v>
      </c>
      <c r="AA193" s="248">
        <f>IF(Year3_West_Sussex Year3_CP_Plans_3months="","",Year3_West_Sussex Year3_CP_Plans_3months)</f>
        <v>460</v>
      </c>
      <c r="AB193" s="248">
        <f>IF(Year4_West_Sussex Year4_CP_Plans_3months="","",Year4_West_Sussex Year4_CP_Plans_3months)</f>
        <v>517</v>
      </c>
      <c r="AC193" s="353">
        <f>IF(Year5_West_Sussex Year5_CP_Plans_3months="","",Year5_West_Sussex Year5_CP_Plans_3months)</f>
        <v>456</v>
      </c>
      <c r="AD193" s="252" t="str">
        <f t="shared" si="67"/>
        <v>West Sussex</v>
      </c>
      <c r="AE193" s="307">
        <f>IF(Year1_West_Sussex Year1_CP_Plans_3months_timescales="","",Year1_West_Sussex Year1_CP_Plans_3months_timescales)</f>
        <v>491</v>
      </c>
      <c r="AF193" s="248">
        <f>IF(Year2_West_Sussex Year2_CP_Plans_3months_timescales="","",Year2_West_Sussex Year2_CP_Plans_3months_timescales)</f>
        <v>613</v>
      </c>
      <c r="AG193" s="248">
        <f>IF(Year3_West_Sussex Year3_CP_Plans_3months_timescales="","",Year3_West_Sussex Year3_CP_Plans_3months_timescales)</f>
        <v>389</v>
      </c>
      <c r="AH193" s="248">
        <f>IF(Year4_West_Sussex Year4_CP_Plans_3months_timescales="","",Year4_West_Sussex Year4_CP_Plans_3months_timescales)</f>
        <v>419</v>
      </c>
      <c r="AI193" s="307">
        <f>IF(Year5_West_Sussex Year5_CP_Plans_3months_timescales="","",Year5_West_Sussex Year5_CP_Plans_3months_timescales)</f>
        <v>340</v>
      </c>
      <c r="AJ193" s="119"/>
      <c r="AK193" s="52"/>
    </row>
    <row r="194" spans="1:76" s="61" customFormat="1" ht="13.5" customHeight="1">
      <c r="A194" s="1103">
        <f>VLOOKUP(B194,ReportData!$AQ$4:$AR$25,2,FALSE)</f>
        <v>0</v>
      </c>
      <c r="B194" s="885" t="str">
        <f t="shared" si="68"/>
        <v>Windsor &amp; Maidenhead</v>
      </c>
      <c r="C194" s="59"/>
      <c r="D194" s="922">
        <f t="shared" si="61"/>
        <v>0.81176470588235294</v>
      </c>
      <c r="E194" s="922">
        <f t="shared" si="62"/>
        <v>0.8928571428571429</v>
      </c>
      <c r="F194" s="922">
        <f t="shared" si="63"/>
        <v>0.82558139534883723</v>
      </c>
      <c r="G194" s="922">
        <f t="shared" si="64"/>
        <v>0.86363636363636365</v>
      </c>
      <c r="H194" s="923">
        <f t="shared" si="65"/>
        <v>0.90909090909090906</v>
      </c>
      <c r="I194" s="68"/>
      <c r="J194" s="68"/>
      <c r="K194" s="127"/>
      <c r="L194" s="127"/>
      <c r="M194" s="127"/>
      <c r="N194" s="127"/>
      <c r="O194" s="127"/>
      <c r="P194" s="127"/>
      <c r="Q194" s="127"/>
      <c r="R194" s="128"/>
      <c r="S194" s="120"/>
      <c r="T194" s="127"/>
      <c r="U194" s="89"/>
      <c r="V194" s="103"/>
      <c r="W194" s="115"/>
      <c r="X194" s="352" t="str">
        <f t="shared" si="66"/>
        <v>Windsor &amp; Maidenhead</v>
      </c>
      <c r="Y194" s="355">
        <f>IF(Year1_Windsor_and_Maidenhead Year1_CP_Plans_3months="","",Year1_Windsor_and_Maidenhead Year1_CP_Plans_3months)</f>
        <v>85</v>
      </c>
      <c r="Z194" s="248">
        <f>IF(Year2_Windsor_and_Maidenhead Year2_CP_Plans_3months="","",Year2_Windsor_and_Maidenhead Year2_CP_Plans_3months)</f>
        <v>84</v>
      </c>
      <c r="AA194" s="248">
        <f>IF(Year3_Windsor_and_Maidenhead Year3_CP_Plans_3months="","",Year3_Windsor_and_Maidenhead Year3_CP_Plans_3months)</f>
        <v>86</v>
      </c>
      <c r="AB194" s="248">
        <f>IF(Year4_Windsor_and_Maidenhead Year4_CP_Plans_3months="","",Year4_Windsor_and_Maidenhead Year4_CP_Plans_3months)</f>
        <v>66</v>
      </c>
      <c r="AC194" s="353">
        <f>IF(Year5_Windsor_and_Maidenhead Year5_CP_Plans_3months="","",Year5_Windsor_and_Maidenhead Year5_CP_Plans_3months)</f>
        <v>66</v>
      </c>
      <c r="AD194" s="252" t="str">
        <f t="shared" si="67"/>
        <v>Windsor &amp; Maidenhead</v>
      </c>
      <c r="AE194" s="307">
        <f>IF(Year1_Windsor_and_Maidenhead Year1_CP_Plans_3months_timescales="","",Year1_Windsor_and_Maidenhead Year1_CP_Plans_3months_timescales)</f>
        <v>69</v>
      </c>
      <c r="AF194" s="248">
        <f>IF(Year2_Windsor_and_Maidenhead Year2_CP_Plans_3months_timescales="","",Year2_Windsor_and_Maidenhead Year2_CP_Plans_3months_timescales)</f>
        <v>75</v>
      </c>
      <c r="AG194" s="248">
        <f>IF(Year3_Windsor_and_Maidenhead Year3_CP_Plans_3months_timescales="","",Year3_Windsor_and_Maidenhead Year3_CP_Plans_3months_timescales)</f>
        <v>71</v>
      </c>
      <c r="AH194" s="248">
        <f>IF(Year4_Windsor_and_Maidenhead Year4_CP_Plans_3months_timescales="","",Year4_Windsor_and_Maidenhead Year4_CP_Plans_3months_timescales)</f>
        <v>57</v>
      </c>
      <c r="AI194" s="307">
        <f>IF(Year5_Windsor_and_Maidenhead Year5_CP_Plans_3months_timescales="","",Year5_Windsor_and_Maidenhead Year5_CP_Plans_3months_timescales)</f>
        <v>60</v>
      </c>
      <c r="AJ194" s="119"/>
      <c r="AK194" s="52"/>
    </row>
    <row r="195" spans="1:76" s="61" customFormat="1" ht="13.5" customHeight="1">
      <c r="A195" s="1103">
        <f>VLOOKUP(B195,ReportData!$AQ$4:$AR$25,2,FALSE)</f>
        <v>0</v>
      </c>
      <c r="B195" s="885" t="str">
        <f t="shared" si="68"/>
        <v>Wokingham</v>
      </c>
      <c r="C195" s="59"/>
      <c r="D195" s="922">
        <f t="shared" si="61"/>
        <v>1</v>
      </c>
      <c r="E195" s="922">
        <f t="shared" si="62"/>
        <v>0.97272727272727277</v>
      </c>
      <c r="F195" s="922">
        <f t="shared" si="63"/>
        <v>0.78125</v>
      </c>
      <c r="G195" s="922">
        <f t="shared" si="64"/>
        <v>0.99038461538461542</v>
      </c>
      <c r="H195" s="923">
        <f t="shared" si="65"/>
        <v>0.97674418604651159</v>
      </c>
      <c r="I195" s="68"/>
      <c r="J195" s="68"/>
      <c r="K195" s="127"/>
      <c r="L195" s="127"/>
      <c r="M195" s="127"/>
      <c r="N195" s="127"/>
      <c r="O195" s="127"/>
      <c r="P195" s="127"/>
      <c r="Q195" s="127"/>
      <c r="R195" s="128"/>
      <c r="S195" s="120"/>
      <c r="T195" s="127"/>
      <c r="U195" s="89"/>
      <c r="V195" s="103"/>
      <c r="W195" s="114"/>
      <c r="X195" s="352" t="str">
        <f t="shared" si="66"/>
        <v>Wokingham</v>
      </c>
      <c r="Y195" s="355">
        <f>IF(Year1_Wokingham Year1_CP_Plans_3months="","",Year1_Wokingham Year1_CP_Plans_3months)</f>
        <v>100</v>
      </c>
      <c r="Z195" s="248">
        <f>IF(Year2_Wokingham Year2_CP_Plans_3months="","",Year2_Wokingham Year2_CP_Plans_3months)</f>
        <v>110</v>
      </c>
      <c r="AA195" s="248">
        <f>IF(Year3_Wokingham Year3_CP_Plans_3months="","",Year3_Wokingham Year3_CP_Plans_3months)</f>
        <v>96</v>
      </c>
      <c r="AB195" s="248">
        <f>IF(Year4_Wokingham Year4_CP_Plans_3months="","",Year4_Wokingham Year4_CP_Plans_3months)</f>
        <v>104</v>
      </c>
      <c r="AC195" s="353">
        <f>IF(Year5_Wokingham Year5_CP_Plans_3months="","",Year5_Wokingham Year5_CP_Plans_3months)</f>
        <v>86</v>
      </c>
      <c r="AD195" s="252" t="str">
        <f t="shared" si="67"/>
        <v>Wokingham</v>
      </c>
      <c r="AE195" s="307">
        <f>IF(Year1_Wokingham Year1_CP_Plans_3months_timescales="","",Year1_Wokingham Year1_CP_Plans_3months_timescales)</f>
        <v>100</v>
      </c>
      <c r="AF195" s="248">
        <f>IF(Year2_Wokingham Year2_CP_Plans_3months_timescales="","",Year2_Wokingham Year2_CP_Plans_3months_timescales)</f>
        <v>107</v>
      </c>
      <c r="AG195" s="248">
        <f>IF(Year3_Wokingham Year3_CP_Plans_3months_timescales="","",Year3_Wokingham Year3_CP_Plans_3months_timescales)</f>
        <v>75</v>
      </c>
      <c r="AH195" s="248">
        <f>IF(Year4_Wokingham Year4_CP_Plans_3months_timescales="","",Year4_Wokingham Year4_CP_Plans_3months_timescales)</f>
        <v>103</v>
      </c>
      <c r="AI195" s="307">
        <f>IF(Year5_Wokingham Year5_CP_Plans_3months_timescales="","",Year5_Wokingham Year5_CP_Plans_3months_timescales)</f>
        <v>84</v>
      </c>
      <c r="AJ195" s="119"/>
      <c r="AK195" s="52"/>
      <c r="AL195" s="56"/>
      <c r="AM195" s="56"/>
      <c r="AN195" s="56"/>
      <c r="AO195" s="56"/>
      <c r="AP195" s="56"/>
      <c r="AQ195" s="56"/>
      <c r="AR195" s="56"/>
      <c r="AS195" s="56"/>
      <c r="AT195" s="56"/>
      <c r="AU195" s="56"/>
      <c r="AV195" s="56"/>
      <c r="AW195" s="56"/>
      <c r="AX195" s="56"/>
      <c r="AY195" s="56"/>
      <c r="AZ195" s="56"/>
      <c r="BA195" s="56"/>
      <c r="BB195" s="56"/>
      <c r="BC195" s="56"/>
      <c r="BD195" s="56"/>
      <c r="BE195" s="56"/>
      <c r="BF195" s="56"/>
    </row>
    <row r="196" spans="1:76" s="61" customFormat="1" ht="13.5" customHeight="1">
      <c r="A196" s="1148"/>
      <c r="B196" s="886" t="str">
        <f t="shared" si="68"/>
        <v>South East</v>
      </c>
      <c r="C196" s="59"/>
      <c r="D196" s="924">
        <f t="shared" si="61"/>
        <v>0.89557522123893807</v>
      </c>
      <c r="E196" s="924">
        <f t="shared" si="62"/>
        <v>0.92738921516284034</v>
      </c>
      <c r="F196" s="924">
        <f t="shared" si="63"/>
        <v>0.87796610169491529</v>
      </c>
      <c r="G196" s="924">
        <f t="shared" si="64"/>
        <v>0.88214904679376083</v>
      </c>
      <c r="H196" s="925">
        <f t="shared" si="65"/>
        <v>0.89493433395872424</v>
      </c>
      <c r="I196" s="68"/>
      <c r="J196" s="68"/>
      <c r="K196" s="129"/>
      <c r="L196" s="129"/>
      <c r="M196" s="129"/>
      <c r="N196" s="129"/>
      <c r="O196" s="129"/>
      <c r="P196" s="129"/>
      <c r="Q196" s="129"/>
      <c r="R196" s="130"/>
      <c r="S196" s="120"/>
      <c r="T196" s="131"/>
      <c r="U196" s="89"/>
      <c r="V196" s="103"/>
      <c r="W196" s="114"/>
      <c r="X196" s="352" t="str">
        <f t="shared" si="66"/>
        <v>South East</v>
      </c>
      <c r="Y196" s="252">
        <f>IF(Year1_South_East Year1_CP_Plans_3months="","",Year1_South_East Year1_CP_Plans_3months)</f>
        <v>5650</v>
      </c>
      <c r="Z196" s="248">
        <f>IF(Year2_South_East Year2_CP_Plans_3months="","",Year2_South_East Year2_CP_Plans_3months)</f>
        <v>5619</v>
      </c>
      <c r="AA196" s="248">
        <f>IF(Year3_South_East Year3_CP_Plans_3months="","",Year3_South_East Year3_CP_Plans_3months)</f>
        <v>5900</v>
      </c>
      <c r="AB196" s="248">
        <f>IF(Year4_South_East Year4_CP_Plans_3months="","",Year4_South_East Year4_CP_Plans_3months)</f>
        <v>5770</v>
      </c>
      <c r="AC196" s="352">
        <f>IF(Year5_South_East Year5_CP_Plans_3months="","",Year5_South_East Year5_CP_Plans_3months)</f>
        <v>5330</v>
      </c>
      <c r="AD196" s="252" t="str">
        <f t="shared" si="67"/>
        <v>South East</v>
      </c>
      <c r="AE196" s="248">
        <f>IF(Year1_South_East Year1_CP_Plans_3months_timescales="","",Year1_South_East Year1_CP_Plans_3months_timescales)</f>
        <v>5060</v>
      </c>
      <c r="AF196" s="248">
        <f>IF(Year2_South_East Year2_CP_Plans_3months_timescales="","",Year2_South_East Year2_CP_Plans_3months_timescales)</f>
        <v>5211</v>
      </c>
      <c r="AG196" s="248">
        <f>IF(Year3_South_East Year3_CP_Plans_3months_timescales="","",Year3_South_East Year3_CP_Plans_3months_timescales)</f>
        <v>5180</v>
      </c>
      <c r="AH196" s="248">
        <f>IF(Year4_South_East Year4_CP_Plans_3months_timescales="","",Year4_South_East Year4_CP_Plans_3months_timescales)</f>
        <v>5090</v>
      </c>
      <c r="AI196" s="248">
        <f>IF(Year5_South_East Year5_CP_Plans_3months_timescales="","",Year5_South_East Year5_CP_Plans_3months_timescales)</f>
        <v>4770</v>
      </c>
      <c r="AJ196" s="119"/>
      <c r="AK196" s="52"/>
      <c r="AL196" s="56"/>
      <c r="AM196" s="56"/>
      <c r="AN196" s="56"/>
      <c r="AO196" s="56"/>
      <c r="AP196" s="56"/>
      <c r="AQ196" s="56"/>
      <c r="AR196" s="56"/>
      <c r="AS196" s="56"/>
      <c r="AT196" s="56"/>
      <c r="AU196" s="56"/>
      <c r="AV196" s="56"/>
      <c r="AW196" s="56"/>
      <c r="AX196" s="56"/>
      <c r="AY196" s="56"/>
      <c r="AZ196" s="56"/>
      <c r="BA196" s="56"/>
      <c r="BB196" s="56"/>
      <c r="BC196" s="56"/>
      <c r="BD196" s="56"/>
      <c r="BE196" s="56"/>
      <c r="BF196" s="56"/>
    </row>
    <row r="197" spans="1:76" s="61" customFormat="1" ht="13.5" customHeight="1">
      <c r="A197" s="1148"/>
      <c r="B197" s="887" t="str">
        <f t="shared" si="68"/>
        <v>England</v>
      </c>
      <c r="C197" s="59"/>
      <c r="D197" s="926">
        <f t="shared" si="61"/>
        <v>0.91481481481481486</v>
      </c>
      <c r="E197" s="926">
        <f t="shared" si="62"/>
        <v>0.93229901269393511</v>
      </c>
      <c r="F197" s="926">
        <f t="shared" si="63"/>
        <v>0.89256912442396308</v>
      </c>
      <c r="G197" s="926">
        <f t="shared" si="64"/>
        <v>0.8811010215664018</v>
      </c>
      <c r="H197" s="927">
        <f t="shared" si="65"/>
        <v>0.8976916500427472</v>
      </c>
      <c r="I197" s="68"/>
      <c r="J197" s="68"/>
      <c r="K197" s="129"/>
      <c r="L197" s="129"/>
      <c r="M197" s="129"/>
      <c r="N197" s="129"/>
      <c r="O197" s="129"/>
      <c r="P197" s="129"/>
      <c r="Q197" s="129"/>
      <c r="R197" s="130"/>
      <c r="S197" s="120"/>
      <c r="T197" s="131"/>
      <c r="U197" s="89"/>
      <c r="V197" s="103"/>
      <c r="W197" s="114"/>
      <c r="X197" s="352" t="str">
        <f t="shared" si="66"/>
        <v>England</v>
      </c>
      <c r="Y197" s="252">
        <f>IF(Year1_England Year1_CP_Plans_3months="","",Year1_England Year1_CP_Plans_3months)</f>
        <v>35100</v>
      </c>
      <c r="Z197" s="248">
        <f>IF(Year2_England Year2_CP_Plans_3months="","",Year2_England Year2_CP_Plans_3months)</f>
        <v>35450</v>
      </c>
      <c r="AA197" s="248">
        <f>IF(Year3_England Year3_CP_Plans_3months="","",Year3_England Year3_CP_Plans_3months)</f>
        <v>34720</v>
      </c>
      <c r="AB197" s="248">
        <f>IF(Year4_England Year4_CP_Plans_3months="","",Year4_England Year4_CP_Plans_3months)</f>
        <v>35240</v>
      </c>
      <c r="AC197" s="353">
        <f>IF(Year5_England Year5_CP_Plans_3months="","",Year5_England Year5_CP_Plans_3months)</f>
        <v>35090</v>
      </c>
      <c r="AD197" s="252" t="str">
        <f t="shared" si="67"/>
        <v>England</v>
      </c>
      <c r="AE197" s="248">
        <f>IF(Year1_England Year1_CP_Plans_3months_timescales="","",Year1_England Year1_CP_Plans_3months_timescales)</f>
        <v>32110</v>
      </c>
      <c r="AF197" s="248">
        <f>IF(Year2_England Year2_CP_Plans_3months_timescales="","",Year2_England Year2_CP_Plans_3months_timescales)</f>
        <v>33050</v>
      </c>
      <c r="AG197" s="248">
        <f>IF(Year3_England Year3_CP_Plans_3months_timescales="","",Year3_England Year3_CP_Plans_3months_timescales)</f>
        <v>30990</v>
      </c>
      <c r="AH197" s="248">
        <f>IF(Year4_England Year4_CP_Plans_3months_timescales="","",Year4_England Year4_CP_Plans_3months_timescales)</f>
        <v>31050</v>
      </c>
      <c r="AI197" s="307">
        <f>IF(Year5_England Year5_CP_Plans_3months_timescales="","",Year5_England Year5_CP_Plans_3months_timescales)</f>
        <v>31500</v>
      </c>
      <c r="AJ197" s="119"/>
      <c r="AK197" s="52"/>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row>
    <row r="198" spans="1:76" s="61" customFormat="1" ht="6" customHeight="1">
      <c r="A198" s="217"/>
      <c r="B198" s="68"/>
      <c r="C198" s="68"/>
      <c r="D198" s="68"/>
      <c r="E198" s="68"/>
      <c r="F198" s="68"/>
      <c r="G198" s="68"/>
      <c r="H198" s="68"/>
      <c r="I198" s="68"/>
      <c r="J198" s="68"/>
      <c r="K198" s="129"/>
      <c r="L198" s="129"/>
      <c r="M198" s="129"/>
      <c r="N198" s="129"/>
      <c r="O198" s="129"/>
      <c r="P198" s="129"/>
      <c r="Q198" s="129"/>
      <c r="R198" s="130"/>
      <c r="S198" s="120"/>
      <c r="T198" s="131"/>
      <c r="U198" s="89"/>
      <c r="V198" s="103"/>
      <c r="W198" s="114"/>
      <c r="X198" s="56"/>
      <c r="Y198" s="141"/>
      <c r="Z198" s="56"/>
      <c r="AA198" s="56"/>
      <c r="AB198" s="56"/>
      <c r="AC198" s="56"/>
      <c r="AD198" s="56"/>
      <c r="AE198" s="56"/>
      <c r="AF198" s="56"/>
      <c r="AG198" s="56"/>
      <c r="AH198" s="56"/>
      <c r="AI198" s="52"/>
      <c r="AJ198" s="119"/>
      <c r="AK198" s="52"/>
      <c r="AL198" s="52"/>
      <c r="AM198" s="52"/>
      <c r="AN198" s="52"/>
      <c r="AO198" s="52"/>
      <c r="AP198" s="52"/>
      <c r="AQ198" s="52"/>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row>
    <row r="199" spans="1:76" s="56" customFormat="1" ht="39" customHeight="1">
      <c r="A199" s="166"/>
      <c r="B199" s="171"/>
      <c r="C199" s="171"/>
      <c r="D199" s="171"/>
      <c r="E199" s="171"/>
      <c r="F199" s="171"/>
      <c r="G199" s="171"/>
      <c r="H199" s="171"/>
      <c r="I199" s="171"/>
      <c r="J199" s="133"/>
      <c r="K199" s="133"/>
      <c r="L199" s="133"/>
      <c r="M199" s="133"/>
      <c r="N199" s="133"/>
      <c r="O199" s="133"/>
      <c r="P199" s="133"/>
      <c r="Q199" s="133"/>
      <c r="R199" s="101"/>
      <c r="S199" s="133"/>
      <c r="T199" s="133"/>
      <c r="U199" s="86"/>
      <c r="V199" s="102"/>
      <c r="W199" s="114"/>
      <c r="AJ199" s="119"/>
      <c r="AK199" s="52"/>
      <c r="AS199" s="52"/>
    </row>
    <row r="200" spans="1:76" s="56" customFormat="1" ht="39" customHeight="1">
      <c r="A200" s="166"/>
      <c r="B200" s="171"/>
      <c r="C200" s="171"/>
      <c r="D200" s="171"/>
      <c r="E200" s="171"/>
      <c r="F200" s="171"/>
      <c r="G200" s="171"/>
      <c r="H200" s="171"/>
      <c r="I200" s="171"/>
      <c r="J200" s="133"/>
      <c r="K200" s="133"/>
      <c r="L200" s="133"/>
      <c r="M200" s="133"/>
      <c r="N200" s="133"/>
      <c r="O200" s="133"/>
      <c r="P200" s="133"/>
      <c r="Q200" s="133"/>
      <c r="R200" s="101"/>
      <c r="S200" s="133"/>
      <c r="T200" s="133"/>
      <c r="U200" s="86"/>
      <c r="V200" s="102"/>
      <c r="W200" s="114"/>
      <c r="AI200" s="52"/>
      <c r="AJ200" s="119"/>
      <c r="AK200" s="52"/>
      <c r="AS200" s="52"/>
    </row>
    <row r="201" spans="1:76" s="56" customFormat="1" ht="47.25" customHeight="1">
      <c r="A201" s="166"/>
      <c r="B201" s="171"/>
      <c r="C201" s="171"/>
      <c r="D201" s="171"/>
      <c r="E201" s="171"/>
      <c r="F201" s="171"/>
      <c r="G201" s="171"/>
      <c r="H201" s="171"/>
      <c r="I201" s="171"/>
      <c r="J201" s="133"/>
      <c r="K201" s="133"/>
      <c r="L201" s="133"/>
      <c r="M201" s="133"/>
      <c r="N201" s="133"/>
      <c r="O201" s="133"/>
      <c r="P201" s="133"/>
      <c r="Q201" s="133"/>
      <c r="R201" s="101"/>
      <c r="S201" s="133"/>
      <c r="T201" s="133"/>
      <c r="U201" s="86"/>
      <c r="V201" s="121"/>
      <c r="W201" s="114"/>
      <c r="X201" s="52"/>
      <c r="Y201" s="52"/>
      <c r="AI201" s="52"/>
      <c r="AJ201" s="119"/>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row>
    <row r="202" spans="1:76" s="56" customFormat="1" ht="7.5" customHeight="1">
      <c r="A202" s="87"/>
      <c r="B202" s="12"/>
      <c r="C202" s="12"/>
      <c r="D202" s="11"/>
      <c r="E202" s="11"/>
      <c r="F202" s="11"/>
      <c r="G202" s="11"/>
      <c r="H202" s="11"/>
      <c r="I202" s="11"/>
      <c r="J202" s="1"/>
      <c r="K202" s="13"/>
      <c r="L202" s="13"/>
      <c r="M202" s="13"/>
      <c r="N202" s="13"/>
      <c r="O202" s="13"/>
      <c r="P202" s="13"/>
      <c r="Q202" s="13"/>
      <c r="R202" s="13"/>
      <c r="S202" s="13"/>
      <c r="T202" s="14"/>
      <c r="U202" s="86"/>
      <c r="V202" s="185"/>
      <c r="W202" s="114"/>
      <c r="X202" s="249" t="s">
        <v>130</v>
      </c>
      <c r="Y202" s="250"/>
      <c r="Z202" s="251"/>
      <c r="AA202" s="251"/>
      <c r="AB202" s="251"/>
      <c r="AD202" s="249" t="s">
        <v>131</v>
      </c>
      <c r="AE202" s="250"/>
      <c r="AF202" s="251"/>
      <c r="AG202" s="251"/>
      <c r="AH202" s="251"/>
      <c r="AJ202" s="119"/>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row>
    <row r="203" spans="1:76" s="56" customFormat="1" ht="15" customHeight="1">
      <c r="A203" s="1565"/>
      <c r="B203" s="1751"/>
      <c r="C203" s="1751"/>
      <c r="D203" s="1751"/>
      <c r="E203" s="1751"/>
      <c r="F203" s="1751"/>
      <c r="G203" s="1751"/>
      <c r="H203" s="1751"/>
      <c r="I203" s="1751"/>
      <c r="J203" s="1751"/>
      <c r="K203" s="1751"/>
      <c r="L203" s="1751"/>
      <c r="M203" s="1751"/>
      <c r="N203" s="1751"/>
      <c r="O203" s="1751"/>
      <c r="P203" s="1751"/>
      <c r="Q203" s="1751"/>
      <c r="R203" s="1751"/>
      <c r="S203" s="1751"/>
      <c r="T203" s="1751"/>
      <c r="U203" s="1752"/>
      <c r="V203" s="185"/>
      <c r="W203" s="114"/>
      <c r="X203" s="251"/>
      <c r="Y203" s="250"/>
      <c r="Z203" s="251"/>
      <c r="AA203" s="251"/>
      <c r="AB203" s="251"/>
      <c r="AD203" s="251"/>
      <c r="AE203" s="250"/>
      <c r="AF203" s="251"/>
      <c r="AG203" s="251"/>
      <c r="AH203" s="251"/>
      <c r="AJ203" s="119"/>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row>
    <row r="204" spans="1:76" s="56" customFormat="1" ht="11.1" customHeight="1">
      <c r="A204" s="1739"/>
      <c r="B204" s="1740"/>
      <c r="C204" s="1740"/>
      <c r="D204" s="1740"/>
      <c r="E204" s="1740"/>
      <c r="F204" s="1740"/>
      <c r="G204" s="1740"/>
      <c r="H204" s="1740"/>
      <c r="I204" s="1741"/>
      <c r="J204" s="1740"/>
      <c r="K204" s="1740"/>
      <c r="L204" s="1740"/>
      <c r="M204" s="1740"/>
      <c r="N204" s="1740"/>
      <c r="O204" s="1740"/>
      <c r="P204" s="1742"/>
      <c r="Q204" s="1740"/>
      <c r="R204" s="1740"/>
      <c r="S204" s="1741"/>
      <c r="T204" s="1740"/>
      <c r="U204" s="1743"/>
      <c r="V204" s="185"/>
      <c r="W204" s="114"/>
      <c r="X204" s="251"/>
      <c r="Y204" s="250"/>
      <c r="Z204" s="251"/>
      <c r="AA204" s="251"/>
      <c r="AB204" s="251"/>
      <c r="AD204" s="251"/>
      <c r="AE204" s="250"/>
      <c r="AF204" s="251"/>
      <c r="AG204" s="251"/>
      <c r="AH204" s="251"/>
      <c r="AJ204" s="119"/>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row>
    <row r="205" spans="1:76" ht="10.5" customHeight="1">
      <c r="A205" s="81"/>
      <c r="B205" s="82"/>
      <c r="C205" s="82"/>
      <c r="D205" s="82"/>
      <c r="E205" s="82"/>
      <c r="F205" s="82"/>
      <c r="G205" s="82"/>
      <c r="H205" s="82"/>
      <c r="I205" s="82"/>
      <c r="J205" s="83"/>
      <c r="K205" s="82"/>
      <c r="L205" s="82"/>
      <c r="M205" s="82"/>
      <c r="N205" s="82"/>
      <c r="O205" s="82"/>
      <c r="P205" s="82"/>
      <c r="Q205" s="82"/>
      <c r="R205" s="82"/>
      <c r="S205" s="82"/>
      <c r="T205" s="82"/>
      <c r="U205" s="84"/>
      <c r="V205" s="102"/>
      <c r="W205" s="115"/>
      <c r="X205" s="352"/>
      <c r="Y205" s="355" t="e">
        <f>D209</f>
        <v>#N/A</v>
      </c>
      <c r="Z205" s="307" t="e">
        <f>E209</f>
        <v>#N/A</v>
      </c>
      <c r="AA205" s="307" t="e">
        <f>F209</f>
        <v>#N/A</v>
      </c>
      <c r="AB205" s="307" t="e">
        <f>G209</f>
        <v>#N/A</v>
      </c>
      <c r="AC205" s="353" t="e">
        <f>H209</f>
        <v>#N/A</v>
      </c>
      <c r="AD205" s="252"/>
      <c r="AE205" s="307" t="e">
        <f>Y205</f>
        <v>#N/A</v>
      </c>
      <c r="AF205" s="307" t="e">
        <f>Z205</f>
        <v>#N/A</v>
      </c>
      <c r="AG205" s="307" t="e">
        <f>AA205</f>
        <v>#N/A</v>
      </c>
      <c r="AH205" s="307" t="e">
        <f>AB205</f>
        <v>#N/A</v>
      </c>
      <c r="AI205" s="307" t="e">
        <f>AC205</f>
        <v>#N/A</v>
      </c>
      <c r="AJ205" s="12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row>
    <row r="206" spans="1:76" ht="18.75" customHeight="1">
      <c r="A206" s="87"/>
      <c r="B206" s="1903" t="s">
        <v>1274</v>
      </c>
      <c r="C206" s="1903"/>
      <c r="D206" s="1903"/>
      <c r="E206" s="1903"/>
      <c r="F206" s="1903"/>
      <c r="G206" s="1903"/>
      <c r="H206" s="1903"/>
      <c r="I206" s="1177"/>
      <c r="J206" s="50"/>
      <c r="K206" s="50"/>
      <c r="L206" s="50"/>
      <c r="M206" s="50"/>
      <c r="N206" s="224"/>
      <c r="O206" s="50"/>
      <c r="P206" s="50"/>
      <c r="Q206" s="50"/>
      <c r="R206" s="50"/>
      <c r="S206" s="50"/>
      <c r="T206" s="50"/>
      <c r="U206" s="86"/>
      <c r="V206" s="102"/>
      <c r="W206" s="115"/>
      <c r="X206" s="352" t="str">
        <f t="shared" ref="X206:X226" si="69">B210</f>
        <v>Bracknell Forest</v>
      </c>
      <c r="Y206" s="355">
        <f>IF(Year1_Bracknell_Forest Year1_CP_Plans_ceased="","",Year1_Bracknell_Forest Year1_CP_Plans_ceased)</f>
        <v>192</v>
      </c>
      <c r="Z206" s="248">
        <f>IF(Year2_Bracknell_Forest Year2_CP_Plans_ceased="","",Year2_Bracknell_Forest Year2_CP_Plans_ceased)</f>
        <v>177</v>
      </c>
      <c r="AA206" s="248">
        <f>IF(Year3_Bracknell_Forest Year3_CP_Plans_ceased="","",Year3_Bracknell_Forest Year3_CP_Plans_ceased)</f>
        <v>212</v>
      </c>
      <c r="AB206" s="248">
        <f>IF(Year4_Bracknell_Forest Year4_CP_Plans_ceased="","",Year4_Bracknell_Forest Year4_CP_Plans_ceased)</f>
        <v>233</v>
      </c>
      <c r="AC206" s="352">
        <f>IF(Year5_Bracknell_Forest Year5_CP_Plans_ceased="","",Year5_Bracknell_Forest Year5_CP_Plans_ceased)</f>
        <v>157</v>
      </c>
      <c r="AD206" s="252" t="str">
        <f>X206</f>
        <v>Bracknell Forest</v>
      </c>
      <c r="AE206" s="307">
        <f>IF(Year1_Bracknell_Forest Year1_CP_Plans_ceased_2years="","",Year1_Bracknell_Forest Year1_CP_Plans_ceased_2years)</f>
        <v>0</v>
      </c>
      <c r="AF206" s="248" t="str">
        <f>IF(Year2_Bracknell_Forest Year2_CP_Plans_ceased_2years="","",Year2_Bracknell_Forest Year2_CP_Plans_ceased_2years)</f>
        <v>x</v>
      </c>
      <c r="AG206" s="248" t="str">
        <f>IF(Year3_Bracknell_Forest Year3_CP_Plans_ceased_2years="","",Year3_Bracknell_Forest Year3_CP_Plans_ceased_2years)</f>
        <v>c</v>
      </c>
      <c r="AH206" s="248">
        <f>IF(Year4_Bracknell_Forest Year4_CP_Plans_ceased_2years="","",Year4_Bracknell_Forest Year4_CP_Plans_ceased_2years)</f>
        <v>13</v>
      </c>
      <c r="AI206" s="248">
        <f>IF(Year5_Bracknell_Forest Year5_CP_Plans_ceased_2years="","",Year5_Bracknell_Forest Year5_CP_Plans_ceased_2years)</f>
        <v>8</v>
      </c>
      <c r="AJ206" s="12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row>
    <row r="207" spans="1:76" ht="18.75" customHeight="1">
      <c r="A207" s="87"/>
      <c r="B207" s="1903"/>
      <c r="C207" s="1903"/>
      <c r="D207" s="1903"/>
      <c r="E207" s="1903"/>
      <c r="F207" s="1903"/>
      <c r="G207" s="1903"/>
      <c r="H207" s="1903"/>
      <c r="I207" s="1177"/>
      <c r="J207" s="50"/>
      <c r="K207" s="50"/>
      <c r="L207" s="50"/>
      <c r="M207" s="50"/>
      <c r="N207" s="224"/>
      <c r="O207" s="50"/>
      <c r="P207" s="50"/>
      <c r="Q207" s="50"/>
      <c r="R207" s="5"/>
      <c r="S207" s="50"/>
      <c r="T207" s="50"/>
      <c r="U207" s="86"/>
      <c r="V207" s="102"/>
      <c r="W207" s="115"/>
      <c r="X207" s="352" t="str">
        <f t="shared" si="69"/>
        <v>Brighton &amp; Hove</v>
      </c>
      <c r="Y207" s="355">
        <f>IF(Year1_Brighton_and_Hove Year1_CP_Plans_ceased="","",Year1_Brighton_and_Hove Year1_CP_Plans_ceased)</f>
        <v>372</v>
      </c>
      <c r="Z207" s="248">
        <f>IF(Year2_Brighton_and_Hove Year2_CP_Plans_ceased="","",Year2_Brighton_and_Hove Year2_CP_Plans_ceased)</f>
        <v>382</v>
      </c>
      <c r="AA207" s="248">
        <f>IF(Year3_Brighton_and_Hove Year3_CP_Plans_ceased="","",Year3_Brighton_and_Hove Year3_CP_Plans_ceased)</f>
        <v>301</v>
      </c>
      <c r="AB207" s="248">
        <f>IF(Year4_Brighton_and_Hove Year4_CP_Plans_ceased="","",Year4_Brighton_and_Hove Year4_CP_Plans_ceased)</f>
        <v>302</v>
      </c>
      <c r="AC207" s="352">
        <f>IF(Year5_Brighton_and_Hove Year5_CP_Plans_ceased="","",Year5_Brighton_and_Hove Year5_CP_Plans_ceased)</f>
        <v>312</v>
      </c>
      <c r="AD207" s="252" t="str">
        <f t="shared" ref="AD207:AD226" si="70">X207</f>
        <v>Brighton &amp; Hove</v>
      </c>
      <c r="AE207" s="307">
        <f>IF(Year1_Brighton_and_Hove Year1_CP_Plans_ceased_2years="","",Year1_Brighton_and_Hove Year1_CP_Plans_ceased_2years)</f>
        <v>16</v>
      </c>
      <c r="AF207" s="248">
        <f>IF(Year2_Brighton_and_Hove Year2_CP_Plans_ceased_2years="","",Year2_Brighton_and_Hove Year2_CP_Plans_ceased_2years)</f>
        <v>26</v>
      </c>
      <c r="AG207" s="248">
        <f>IF(Year3_Brighton_and_Hove Year3_CP_Plans_ceased_2years="","",Year3_Brighton_and_Hove Year3_CP_Plans_ceased_2years)</f>
        <v>17</v>
      </c>
      <c r="AH207" s="248">
        <f>IF(Year4_Brighton_and_Hove Year4_CP_Plans_ceased_2years="","",Year4_Brighton_and_Hove Year4_CP_Plans_ceased_2years)</f>
        <v>22</v>
      </c>
      <c r="AI207" s="248">
        <f>IF(Year5_Brighton_and_Hove Year5_CP_Plans_ceased_2years="","",Year5_Brighton_and_Hove Year5_CP_Plans_ceased_2years)</f>
        <v>16</v>
      </c>
      <c r="AJ207" s="12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row>
    <row r="208" spans="1:76" ht="16.5" customHeight="1">
      <c r="A208" s="208"/>
      <c r="B208" s="1749" t="s">
        <v>177</v>
      </c>
      <c r="C208" s="230"/>
      <c r="D208" s="1088" t="str">
        <f>ReportData!$D$27</f>
        <v>2019/20</v>
      </c>
      <c r="E208" s="1088" t="str">
        <f>ReportData!$E$27</f>
        <v>2020/21</v>
      </c>
      <c r="F208" s="1088" t="str">
        <f>ReportData!$F$27</f>
        <v>2021/22</v>
      </c>
      <c r="G208" s="1088" t="str">
        <f>ReportData!$G$27</f>
        <v>2022/23</v>
      </c>
      <c r="H208" s="1089" t="str">
        <f>ReportData!$H$27</f>
        <v>2023/24</v>
      </c>
      <c r="I208" s="527"/>
      <c r="J208" s="50"/>
      <c r="K208" s="50"/>
      <c r="L208" s="50"/>
      <c r="M208" s="50"/>
      <c r="N208" s="224"/>
      <c r="O208" s="50"/>
      <c r="P208" s="50"/>
      <c r="Q208" s="50"/>
      <c r="R208" s="5"/>
      <c r="S208" s="50"/>
      <c r="T208" s="50"/>
      <c r="U208" s="86"/>
      <c r="V208" s="102"/>
      <c r="W208" s="115"/>
      <c r="X208" s="352" t="str">
        <f t="shared" si="69"/>
        <v>Buckinghamshire</v>
      </c>
      <c r="Y208" s="355">
        <f>IF(Year1_Buckinghamshire Year1_CP_Plans_ceased="","",Year1_Buckinghamshire Year1_CP_Plans_ceased)</f>
        <v>721</v>
      </c>
      <c r="Z208" s="248">
        <f>IF(Year2_Buckinghamshire Year2_CP_Plans_ceased="","",Year2_Buckinghamshire Year2_CP_Plans_ceased)</f>
        <v>696</v>
      </c>
      <c r="AA208" s="248">
        <f>IF(Year3_Buckinghamshire Year3_CP_Plans_ceased="","",Year3_Buckinghamshire Year3_CP_Plans_ceased)</f>
        <v>650</v>
      </c>
      <c r="AB208" s="248">
        <f>IF(Year4_Buckinghamshire Year4_CP_Plans_ceased="","",Year4_Buckinghamshire Year4_CP_Plans_ceased)</f>
        <v>787</v>
      </c>
      <c r="AC208" s="352">
        <f>IF(Year5_Buckinghamshire Year5_CP_Plans_ceased="","",Year5_Buckinghamshire Year5_CP_Plans_ceased)</f>
        <v>638</v>
      </c>
      <c r="AD208" s="252" t="str">
        <f t="shared" si="70"/>
        <v>Buckinghamshire</v>
      </c>
      <c r="AE208" s="307">
        <f>IF(Year1_Buckinghamshire Year1_CP_Plans_ceased_2years="","",Year1_Buckinghamshire Year1_CP_Plans_ceased_2years)</f>
        <v>29</v>
      </c>
      <c r="AF208" s="248">
        <f>IF(Year2_Buckinghamshire Year2_CP_Plans_ceased_2years="","",Year2_Buckinghamshire Year2_CP_Plans_ceased_2years)</f>
        <v>40</v>
      </c>
      <c r="AG208" s="248">
        <f>IF(Year3_Buckinghamshire Year3_CP_Plans_ceased_2years="","",Year3_Buckinghamshire Year3_CP_Plans_ceased_2years)</f>
        <v>16</v>
      </c>
      <c r="AH208" s="248">
        <f>IF(Year4_Buckinghamshire Year4_CP_Plans_ceased_2years="","",Year4_Buckinghamshire Year4_CP_Plans_ceased_2years)</f>
        <v>33</v>
      </c>
      <c r="AI208" s="248">
        <f>IF(Year5_Buckinghamshire Year5_CP_Plans_ceased_2years="","",Year5_Buckinghamshire Year5_CP_Plans_ceased_2years)</f>
        <v>39</v>
      </c>
      <c r="AJ208" s="12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row>
    <row r="209" spans="1:44" s="61" customFormat="1" ht="17.25" customHeight="1">
      <c r="A209" s="88"/>
      <c r="B209" s="1750"/>
      <c r="C209" s="59"/>
      <c r="D209" s="459" t="e">
        <f>ReportData!$D$28</f>
        <v>#N/A</v>
      </c>
      <c r="E209" s="459" t="e">
        <f>ReportData!$E$28</f>
        <v>#N/A</v>
      </c>
      <c r="F209" s="459" t="e">
        <f>ReportData!$F$28</f>
        <v>#N/A</v>
      </c>
      <c r="G209" s="459" t="e">
        <f>ReportData!$G$28</f>
        <v>#N/A</v>
      </c>
      <c r="H209" s="460" t="e">
        <f>ReportData!$H$28</f>
        <v>#N/A</v>
      </c>
      <c r="I209" s="68"/>
      <c r="J209" s="68"/>
      <c r="K209" s="43"/>
      <c r="L209" s="43"/>
      <c r="M209" s="43"/>
      <c r="N209" s="43"/>
      <c r="O209" s="43"/>
      <c r="P209" s="43"/>
      <c r="Q209" s="225"/>
      <c r="R209" s="225"/>
      <c r="S209" s="120"/>
      <c r="T209" s="226"/>
      <c r="U209" s="89"/>
      <c r="V209" s="103"/>
      <c r="W209" s="115"/>
      <c r="X209" s="352" t="str">
        <f t="shared" si="69"/>
        <v>East Sussex</v>
      </c>
      <c r="Y209" s="355">
        <f>IF(Year1_East_Sussex Year1_CP_Plans_ceased="","",Year1_East_Sussex Year1_CP_Plans_ceased)</f>
        <v>621</v>
      </c>
      <c r="Z209" s="248">
        <f>IF(Year2_East_Sussex Year2_CP_Plans_ceased="","",Year2_East_Sussex Year2_CP_Plans_ceased)</f>
        <v>674</v>
      </c>
      <c r="AA209" s="248">
        <f>IF(Year3_East_Sussex Year3_CP_Plans_ceased="","",Year3_East_Sussex Year3_CP_Plans_ceased)</f>
        <v>578</v>
      </c>
      <c r="AB209" s="248">
        <f>IF(Year4_East_Sussex Year4_CP_Plans_ceased="","",Year4_East_Sussex Year4_CP_Plans_ceased)</f>
        <v>591</v>
      </c>
      <c r="AC209" s="352">
        <f>IF(Year5_East_Sussex Year5_CP_Plans_ceased="","",Year5_East_Sussex Year5_CP_Plans_ceased)</f>
        <v>649</v>
      </c>
      <c r="AD209" s="252" t="str">
        <f t="shared" si="70"/>
        <v>East Sussex</v>
      </c>
      <c r="AE209" s="307">
        <f>IF(Year1_East_Sussex Year1_CP_Plans_ceased_2years="","",Year1_East_Sussex Year1_CP_Plans_ceased_2years)</f>
        <v>53</v>
      </c>
      <c r="AF209" s="248">
        <f>IF(Year2_East_Sussex Year2_CP_Plans_ceased_2years="","",Year2_East_Sussex Year2_CP_Plans_ceased_2years)</f>
        <v>54</v>
      </c>
      <c r="AG209" s="248">
        <f>IF(Year3_East_Sussex Year3_CP_Plans_ceased_2years="","",Year3_East_Sussex Year3_CP_Plans_ceased_2years)</f>
        <v>40</v>
      </c>
      <c r="AH209" s="248">
        <f>IF(Year4_East_Sussex Year4_CP_Plans_ceased_2years="","",Year4_East_Sussex Year4_CP_Plans_ceased_2years)</f>
        <v>24</v>
      </c>
      <c r="AI209" s="248">
        <f>IF(Year5_East_Sussex Year5_CP_Plans_ceased_2years="","",Year5_East_Sussex Year5_CP_Plans_ceased_2years)</f>
        <v>45</v>
      </c>
      <c r="AJ209" s="121"/>
    </row>
    <row r="210" spans="1:44" s="61" customFormat="1" ht="13.5" customHeight="1">
      <c r="A210" s="1103">
        <f>VLOOKUP(B210,ReportData!$AQ$4:$AR$25,2,FALSE)</f>
        <v>0</v>
      </c>
      <c r="B210" s="885" t="str">
        <f t="shared" ref="B210:B230" si="71">B11</f>
        <v>Bracknell Forest</v>
      </c>
      <c r="C210" s="896"/>
      <c r="D210" s="922">
        <f>IF(AND(ISNUMBER(AE206),ISNUMBER(Y206)),AE206/Y206,NA())</f>
        <v>0</v>
      </c>
      <c r="E210" s="922" t="e">
        <f>IF(AND(ISNUMBER(AF206),ISNUMBER(Z206)),AF206/Z206,NA())</f>
        <v>#N/A</v>
      </c>
      <c r="F210" s="922" t="e">
        <f>IF(AND(ISNUMBER(AG206),ISNUMBER(AA206)),AG206/AA206,NA())</f>
        <v>#N/A</v>
      </c>
      <c r="G210" s="922">
        <f>IF(AND(ISNUMBER(AH206),ISNUMBER(AB206)),AH206/AB206,NA())</f>
        <v>5.5793991416309016E-2</v>
      </c>
      <c r="H210" s="923">
        <f>IF(AND(ISNUMBER(AI206),ISNUMBER(AC206)),AI206/AC206,NA())</f>
        <v>5.0955414012738856E-2</v>
      </c>
      <c r="I210" s="68"/>
      <c r="J210" s="68"/>
      <c r="K210" s="127"/>
      <c r="L210" s="127"/>
      <c r="M210" s="127"/>
      <c r="N210" s="127"/>
      <c r="O210" s="127"/>
      <c r="P210" s="127"/>
      <c r="Q210" s="127"/>
      <c r="R210" s="128"/>
      <c r="S210" s="120"/>
      <c r="T210" s="127"/>
      <c r="U210" s="89"/>
      <c r="V210" s="103"/>
      <c r="W210" s="115"/>
      <c r="X210" s="352" t="str">
        <f t="shared" si="69"/>
        <v>Hampshire</v>
      </c>
      <c r="Y210" s="355">
        <f>IF(Year1_Hampshire Year1_CP_Plans_ceased="","",Year1_Hampshire Year1_CP_Plans_ceased)</f>
        <v>1501</v>
      </c>
      <c r="Z210" s="248">
        <f>IF(Year2_Hampshire Year2_CP_Plans_ceased="","",Year2_Hampshire Year2_CP_Plans_ceased)</f>
        <v>1400</v>
      </c>
      <c r="AA210" s="248">
        <f>IF(Year3_Hampshire Year3_CP_Plans_ceased="","",Year3_Hampshire Year3_CP_Plans_ceased)</f>
        <v>1364</v>
      </c>
      <c r="AB210" s="248">
        <f>IF(Year4_Hampshire Year4_CP_Plans_ceased="","",Year4_Hampshire Year4_CP_Plans_ceased)</f>
        <v>1426</v>
      </c>
      <c r="AC210" s="352" t="str">
        <f>IF(Year5_Hampshire Year5_CP_Plans_ceased="","",Year5_Hampshire Year5_CP_Plans_ceased)</f>
        <v>u</v>
      </c>
      <c r="AD210" s="252" t="str">
        <f t="shared" si="70"/>
        <v>Hampshire</v>
      </c>
      <c r="AE210" s="307">
        <f>IF(Year1_Hampshire Year1_CP_Plans_ceased_2years="","",Year1_Hampshire Year1_CP_Plans_ceased_2years)</f>
        <v>59</v>
      </c>
      <c r="AF210" s="248">
        <f>IF(Year2_Hampshire Year2_CP_Plans_ceased_2years="","",Year2_Hampshire Year2_CP_Plans_ceased_2years)</f>
        <v>41</v>
      </c>
      <c r="AG210" s="248">
        <f>IF(Year3_Hampshire Year3_CP_Plans_ceased_2years="","",Year3_Hampshire Year3_CP_Plans_ceased_2years)</f>
        <v>33</v>
      </c>
      <c r="AH210" s="248">
        <f>IF(Year4_Hampshire Year4_CP_Plans_ceased_2years="","",Year4_Hampshire Year4_CP_Plans_ceased_2years)</f>
        <v>51</v>
      </c>
      <c r="AI210" s="248" t="str">
        <f>IF(Year5_Hampshire Year5_CP_Plans_ceased_2years="","",Year5_Hampshire Year5_CP_Plans_ceased_2years)</f>
        <v>u</v>
      </c>
      <c r="AJ210" s="121"/>
    </row>
    <row r="211" spans="1:44" s="61" customFormat="1" ht="13.5" customHeight="1">
      <c r="A211" s="1103">
        <f>VLOOKUP(B211,ReportData!$AQ$4:$AR$25,2,FALSE)</f>
        <v>0</v>
      </c>
      <c r="B211" s="885" t="str">
        <f t="shared" si="71"/>
        <v>Brighton &amp; Hove</v>
      </c>
      <c r="C211" s="896"/>
      <c r="D211" s="922">
        <f t="shared" ref="D211:D222" si="72">IF(AND(ISNUMBER(AE207),ISNUMBER(Y207)),AE207/Y207,NA())</f>
        <v>4.3010752688172046E-2</v>
      </c>
      <c r="E211" s="922">
        <f t="shared" ref="E211:E222" si="73">IF(AND(ISNUMBER(AF207),ISNUMBER(Z207)),AF207/Z207,NA())</f>
        <v>6.8062827225130892E-2</v>
      </c>
      <c r="F211" s="922">
        <f t="shared" ref="F211:F222" si="74">IF(AND(ISNUMBER(AG207),ISNUMBER(AA207)),AG207/AA207,NA())</f>
        <v>5.647840531561462E-2</v>
      </c>
      <c r="G211" s="922">
        <f t="shared" ref="G211:G222" si="75">IF(AND(ISNUMBER(AH207),ISNUMBER(AB207)),AH207/AB207,NA())</f>
        <v>7.2847682119205295E-2</v>
      </c>
      <c r="H211" s="923">
        <f t="shared" ref="H211:H222" si="76">IF(AND(ISNUMBER(AI207),ISNUMBER(AC207)),AI207/AC207,NA())</f>
        <v>5.128205128205128E-2</v>
      </c>
      <c r="I211" s="68"/>
      <c r="J211" s="68"/>
      <c r="K211" s="127"/>
      <c r="L211" s="127"/>
      <c r="M211" s="127"/>
      <c r="N211" s="127"/>
      <c r="O211" s="127"/>
      <c r="P211" s="127"/>
      <c r="Q211" s="127"/>
      <c r="R211" s="128"/>
      <c r="S211" s="120"/>
      <c r="T211" s="127"/>
      <c r="U211" s="89"/>
      <c r="V211" s="103"/>
      <c r="W211" s="115"/>
      <c r="X211" s="352" t="str">
        <f t="shared" si="69"/>
        <v>Isle of Wight</v>
      </c>
      <c r="Y211" s="355">
        <f>IF(Year1_Isle_of_Wight Year1_CP_Plans_ceased="","",Year1_Isle_of_Wight Year1_CP_Plans_ceased)</f>
        <v>184</v>
      </c>
      <c r="Z211" s="248">
        <f>IF(Year2_Isle_of_Wight Year2_CP_Plans_ceased="","",Year2_Isle_of_Wight Year2_CP_Plans_ceased)</f>
        <v>157</v>
      </c>
      <c r="AA211" s="248">
        <f>IF(Year3_Isle_of_Wight Year3_CP_Plans_ceased="","",Year3_Isle_of_Wight Year3_CP_Plans_ceased)</f>
        <v>261</v>
      </c>
      <c r="AB211" s="248">
        <f>IF(Year4_Isle_of_Wight Year4_CP_Plans_ceased="","",Year4_Isle_of_Wight Year4_CP_Plans_ceased)</f>
        <v>245</v>
      </c>
      <c r="AC211" s="352">
        <f>IF(Year5_Isle_of_Wight Year5_CP_Plans_ceased="","",Year5_Isle_of_Wight Year5_CP_Plans_ceased)</f>
        <v>265</v>
      </c>
      <c r="AD211" s="252" t="str">
        <f t="shared" si="70"/>
        <v>Isle of Wight</v>
      </c>
      <c r="AE211" s="307">
        <f>IF(Year1_Isle_of_Wight Year1_CP_Plans_ceased_2years="","",Year1_Isle_of_Wight Year1_CP_Plans_ceased_2years)</f>
        <v>12</v>
      </c>
      <c r="AF211" s="248">
        <f>IF(Year2_Isle_of_Wight Year2_CP_Plans_ceased_2years="","",Year2_Isle_of_Wight Year2_CP_Plans_ceased_2years)</f>
        <v>6</v>
      </c>
      <c r="AG211" s="248">
        <f>IF(Year3_Isle_of_Wight Year3_CP_Plans_ceased_2years="","",Year3_Isle_of_Wight Year3_CP_Plans_ceased_2years)</f>
        <v>10</v>
      </c>
      <c r="AH211" s="248">
        <f>IF(Year4_Isle_of_Wight Year4_CP_Plans_ceased_2years="","",Year4_Isle_of_Wight Year4_CP_Plans_ceased_2years)</f>
        <v>7</v>
      </c>
      <c r="AI211" s="248">
        <f>IF(Year5_Isle_of_Wight Year5_CP_Plans_ceased_2years="","",Year5_Isle_of_Wight Year5_CP_Plans_ceased_2years)</f>
        <v>13</v>
      </c>
      <c r="AJ211" s="121"/>
      <c r="AR211" s="61" t="s">
        <v>95</v>
      </c>
    </row>
    <row r="212" spans="1:44" s="61" customFormat="1" ht="13.5" customHeight="1">
      <c r="A212" s="1103">
        <f>VLOOKUP(B212,ReportData!$AQ$4:$AR$25,2,FALSE)</f>
        <v>0</v>
      </c>
      <c r="B212" s="885" t="str">
        <f t="shared" si="71"/>
        <v>Buckinghamshire</v>
      </c>
      <c r="C212" s="896"/>
      <c r="D212" s="922">
        <f t="shared" si="72"/>
        <v>4.0221914008321778E-2</v>
      </c>
      <c r="E212" s="922">
        <f t="shared" si="73"/>
        <v>5.7471264367816091E-2</v>
      </c>
      <c r="F212" s="922">
        <f t="shared" si="74"/>
        <v>2.4615384615384615E-2</v>
      </c>
      <c r="G212" s="922">
        <f t="shared" si="75"/>
        <v>4.1931385006353239E-2</v>
      </c>
      <c r="H212" s="923">
        <f t="shared" si="76"/>
        <v>6.1128526645768025E-2</v>
      </c>
      <c r="I212" s="68"/>
      <c r="J212" s="68"/>
      <c r="K212" s="127"/>
      <c r="L212" s="127"/>
      <c r="M212" s="127"/>
      <c r="N212" s="127"/>
      <c r="O212" s="127"/>
      <c r="P212" s="127"/>
      <c r="Q212" s="127"/>
      <c r="R212" s="128"/>
      <c r="S212" s="120"/>
      <c r="T212" s="127"/>
      <c r="U212" s="89"/>
      <c r="V212" s="103"/>
      <c r="W212" s="115"/>
      <c r="X212" s="352" t="str">
        <f t="shared" si="69"/>
        <v>Kent</v>
      </c>
      <c r="Y212" s="355">
        <f>IF(Year1_Kent Year1_CP_Plans_ceased="","",Year1_Kent Year1_CP_Plans_ceased)</f>
        <v>1486</v>
      </c>
      <c r="Z212" s="248">
        <f>IF(Year2_Kent Year2_CP_Plans_ceased="","",Year2_Kent Year2_CP_Plans_ceased)</f>
        <v>1445</v>
      </c>
      <c r="AA212" s="248">
        <f>IF(Year3_Kent Year3_CP_Plans_ceased="","",Year3_Kent Year3_CP_Plans_ceased)</f>
        <v>1384</v>
      </c>
      <c r="AB212" s="248">
        <f>IF(Year4_Kent Year4_CP_Plans_ceased="","",Year4_Kent Year4_CP_Plans_ceased)</f>
        <v>1482</v>
      </c>
      <c r="AC212" s="352">
        <f>IF(Year5_Kent Year5_CP_Plans_ceased="","",Year5_Kent Year5_CP_Plans_ceased)</f>
        <v>1471</v>
      </c>
      <c r="AD212" s="252" t="str">
        <f t="shared" si="70"/>
        <v>Kent</v>
      </c>
      <c r="AE212" s="307">
        <f>IF(Year1_Kent Year1_CP_Plans_ceased_2years="","",Year1_Kent Year1_CP_Plans_ceased_2years)</f>
        <v>85</v>
      </c>
      <c r="AF212" s="248">
        <f>IF(Year2_Kent Year2_CP_Plans_ceased_2years="","",Year2_Kent Year2_CP_Plans_ceased_2years)</f>
        <v>86</v>
      </c>
      <c r="AG212" s="248">
        <f>IF(Year3_Kent Year3_CP_Plans_ceased_2years="","",Year3_Kent Year3_CP_Plans_ceased_2years)</f>
        <v>61</v>
      </c>
      <c r="AH212" s="248">
        <f>IF(Year4_Kent Year4_CP_Plans_ceased_2years="","",Year4_Kent Year4_CP_Plans_ceased_2years)</f>
        <v>69</v>
      </c>
      <c r="AI212" s="248">
        <f>IF(Year5_Kent Year5_CP_Plans_ceased_2years="","",Year5_Kent Year5_CP_Plans_ceased_2years)</f>
        <v>73</v>
      </c>
      <c r="AJ212" s="121"/>
    </row>
    <row r="213" spans="1:44" s="61" customFormat="1" ht="13.5" customHeight="1">
      <c r="A213" s="1103">
        <f>VLOOKUP(B213,ReportData!$AQ$4:$AR$25,2,FALSE)</f>
        <v>0</v>
      </c>
      <c r="B213" s="885" t="str">
        <f t="shared" si="71"/>
        <v>East Sussex</v>
      </c>
      <c r="C213" s="896"/>
      <c r="D213" s="922">
        <f t="shared" si="72"/>
        <v>8.5346215780998394E-2</v>
      </c>
      <c r="E213" s="922">
        <f t="shared" si="73"/>
        <v>8.0118694362017809E-2</v>
      </c>
      <c r="F213" s="922">
        <f t="shared" si="74"/>
        <v>6.9204152249134954E-2</v>
      </c>
      <c r="G213" s="922">
        <f t="shared" si="75"/>
        <v>4.060913705583756E-2</v>
      </c>
      <c r="H213" s="923">
        <f t="shared" si="76"/>
        <v>6.9337442218798145E-2</v>
      </c>
      <c r="I213" s="68"/>
      <c r="J213" s="68"/>
      <c r="K213" s="127"/>
      <c r="L213" s="127"/>
      <c r="M213" s="127"/>
      <c r="N213" s="127"/>
      <c r="O213" s="127"/>
      <c r="P213" s="127"/>
      <c r="Q213" s="127"/>
      <c r="R213" s="128"/>
      <c r="S213" s="120"/>
      <c r="T213" s="127"/>
      <c r="U213" s="89"/>
      <c r="V213" s="103"/>
      <c r="W213" s="115"/>
      <c r="X213" s="352" t="str">
        <f t="shared" si="69"/>
        <v>Medway</v>
      </c>
      <c r="Y213" s="355">
        <f>IF(Year1_Medway Year1_CP_Plans_ceased="","",Year1_Medway Year1_CP_Plans_ceased)</f>
        <v>475</v>
      </c>
      <c r="Z213" s="248">
        <f>IF(Year2_Medway Year2_CP_Plans_ceased="","",Year2_Medway Year2_CP_Plans_ceased)</f>
        <v>546</v>
      </c>
      <c r="AA213" s="248">
        <f>IF(Year3_Medway Year3_CP_Plans_ceased="","",Year3_Medway Year3_CP_Plans_ceased)</f>
        <v>177</v>
      </c>
      <c r="AB213" s="248">
        <f>IF(Year4_Medway Year4_CP_Plans_ceased="","",Year4_Medway Year4_CP_Plans_ceased)</f>
        <v>326</v>
      </c>
      <c r="AC213" s="352">
        <f>IF(Year5_Medway Year5_CP_Plans_ceased="","",Year5_Medway Year5_CP_Plans_ceased)</f>
        <v>392</v>
      </c>
      <c r="AD213" s="252" t="str">
        <f t="shared" si="70"/>
        <v>Medway</v>
      </c>
      <c r="AE213" s="307">
        <f>IF(Year1_Medway Year1_CP_Plans_ceased_2years="","",Year1_Medway Year1_CP_Plans_ceased_2years)</f>
        <v>22</v>
      </c>
      <c r="AF213" s="248">
        <f>IF(Year2_Medway Year2_CP_Plans_ceased_2years="","",Year2_Medway Year2_CP_Plans_ceased_2years)</f>
        <v>23</v>
      </c>
      <c r="AG213" s="248" t="str">
        <f>IF(Year3_Medway Year3_CP_Plans_ceased_2years="","",Year3_Medway Year3_CP_Plans_ceased_2years)</f>
        <v>c</v>
      </c>
      <c r="AH213" s="248">
        <f>IF(Year4_Medway Year4_CP_Plans_ceased_2years="","",Year4_Medway Year4_CP_Plans_ceased_2years)</f>
        <v>11</v>
      </c>
      <c r="AI213" s="248">
        <f>IF(Year5_Medway Year5_CP_Plans_ceased_2years="","",Year5_Medway Year5_CP_Plans_ceased_2years)</f>
        <v>6</v>
      </c>
      <c r="AJ213" s="121"/>
    </row>
    <row r="214" spans="1:44" s="61" customFormat="1" ht="13.5" customHeight="1">
      <c r="A214" s="1103">
        <f>VLOOKUP(B214,ReportData!$AQ$4:$AR$25,2,FALSE)</f>
        <v>0</v>
      </c>
      <c r="B214" s="885" t="str">
        <f t="shared" si="71"/>
        <v>Hampshire</v>
      </c>
      <c r="C214" s="896"/>
      <c r="D214" s="922">
        <f t="shared" si="72"/>
        <v>3.9307128580946038E-2</v>
      </c>
      <c r="E214" s="922">
        <f t="shared" si="73"/>
        <v>2.9285714285714286E-2</v>
      </c>
      <c r="F214" s="922">
        <f t="shared" si="74"/>
        <v>2.4193548387096774E-2</v>
      </c>
      <c r="G214" s="922">
        <f t="shared" si="75"/>
        <v>3.5764375876577839E-2</v>
      </c>
      <c r="H214" s="923" t="e">
        <f t="shared" si="76"/>
        <v>#N/A</v>
      </c>
      <c r="I214" s="68"/>
      <c r="J214" s="68"/>
      <c r="K214" s="127"/>
      <c r="L214" s="127"/>
      <c r="M214" s="127"/>
      <c r="N214" s="127"/>
      <c r="O214" s="127"/>
      <c r="P214" s="127"/>
      <c r="Q214" s="127"/>
      <c r="R214" s="128"/>
      <c r="S214" s="120"/>
      <c r="T214" s="127"/>
      <c r="U214" s="89"/>
      <c r="V214" s="103"/>
      <c r="W214" s="115"/>
      <c r="X214" s="352" t="str">
        <f t="shared" si="69"/>
        <v>Milton Keynes</v>
      </c>
      <c r="Y214" s="355">
        <f>IF(Year1_Milton_Keynes Year1_CP_Plans_ceased="","",Year1_Milton_Keynes Year1_CP_Plans_ceased)</f>
        <v>233</v>
      </c>
      <c r="Z214" s="248">
        <f>IF(Year2_Milton_Keynes Year2_CP_Plans_ceased="","",Year2_Milton_Keynes Year2_CP_Plans_ceased)</f>
        <v>192</v>
      </c>
      <c r="AA214" s="248">
        <f>IF(Year3_Milton_Keynes Year3_CP_Plans_ceased="","",Year3_Milton_Keynes Year3_CP_Plans_ceased)</f>
        <v>256</v>
      </c>
      <c r="AB214" s="248">
        <f>IF(Year4_Milton_Keynes Year4_CP_Plans_ceased="","",Year4_Milton_Keynes Year4_CP_Plans_ceased)</f>
        <v>313</v>
      </c>
      <c r="AC214" s="352">
        <f>IF(Year5_Milton_Keynes Year5_CP_Plans_ceased="","",Year5_Milton_Keynes Year5_CP_Plans_ceased)</f>
        <v>263</v>
      </c>
      <c r="AD214" s="252" t="str">
        <f t="shared" si="70"/>
        <v>Milton Keynes</v>
      </c>
      <c r="AE214" s="307" t="str">
        <f>IF(Year1_Milton_Keynes Year1_CP_Plans_ceased_2years="","",Year1_Milton_Keynes Year1_CP_Plans_ceased_2years)</f>
        <v>x</v>
      </c>
      <c r="AF214" s="248" t="str">
        <f>IF(Year2_Milton_Keynes Year2_CP_Plans_ceased_2years="","",Year2_Milton_Keynes Year2_CP_Plans_ceased_2years)</f>
        <v>x</v>
      </c>
      <c r="AG214" s="248" t="str">
        <f>IF(Year3_Milton_Keynes Year3_CP_Plans_ceased_2years="","",Year3_Milton_Keynes Year3_CP_Plans_ceased_2years)</f>
        <v>c</v>
      </c>
      <c r="AH214" s="248">
        <f>IF(Year4_Milton_Keynes Year4_CP_Plans_ceased_2years="","",Year4_Milton_Keynes Year4_CP_Plans_ceased_2years)</f>
        <v>11</v>
      </c>
      <c r="AI214" s="248" t="str">
        <f>IF(Year5_Milton_Keynes Year5_CP_Plans_ceased_2years="","",Year5_Milton_Keynes Year5_CP_Plans_ceased_2years)</f>
        <v>c</v>
      </c>
      <c r="AJ214" s="121"/>
    </row>
    <row r="215" spans="1:44" s="61" customFormat="1" ht="13.5" customHeight="1">
      <c r="A215" s="1103">
        <f>VLOOKUP(B215,ReportData!$AQ$4:$AR$25,2,FALSE)</f>
        <v>0</v>
      </c>
      <c r="B215" s="885" t="str">
        <f t="shared" si="71"/>
        <v>Isle of Wight</v>
      </c>
      <c r="C215" s="896"/>
      <c r="D215" s="922">
        <f t="shared" si="72"/>
        <v>6.5217391304347824E-2</v>
      </c>
      <c r="E215" s="922">
        <f t="shared" si="73"/>
        <v>3.8216560509554139E-2</v>
      </c>
      <c r="F215" s="922">
        <f t="shared" si="74"/>
        <v>3.8314176245210725E-2</v>
      </c>
      <c r="G215" s="922">
        <f t="shared" si="75"/>
        <v>2.8571428571428571E-2</v>
      </c>
      <c r="H215" s="923">
        <f t="shared" si="76"/>
        <v>4.9056603773584909E-2</v>
      </c>
      <c r="I215" s="68"/>
      <c r="J215" s="68"/>
      <c r="K215" s="127"/>
      <c r="L215" s="127"/>
      <c r="M215" s="127"/>
      <c r="N215" s="127"/>
      <c r="O215" s="127"/>
      <c r="P215" s="127"/>
      <c r="Q215" s="127"/>
      <c r="R215" s="128"/>
      <c r="S215" s="120"/>
      <c r="T215" s="127"/>
      <c r="U215" s="89"/>
      <c r="V215" s="103"/>
      <c r="W215" s="115"/>
      <c r="X215" s="352" t="str">
        <f t="shared" si="69"/>
        <v>Oxfordshire</v>
      </c>
      <c r="Y215" s="355">
        <f>IF(Year1_Oxfordshire Year1_CP_Plans_ceased="","",Year1_Oxfordshire Year1_CP_Plans_ceased)</f>
        <v>807</v>
      </c>
      <c r="Z215" s="248">
        <f>IF(Year2_Oxfordshire Year2_CP_Plans_ceased="","",Year2_Oxfordshire Year2_CP_Plans_ceased)</f>
        <v>785</v>
      </c>
      <c r="AA215" s="248">
        <f>IF(Year3_Oxfordshire Year3_CP_Plans_ceased="","",Year3_Oxfordshire Year3_CP_Plans_ceased)</f>
        <v>648</v>
      </c>
      <c r="AB215" s="248">
        <f>IF(Year4_Oxfordshire Year4_CP_Plans_ceased="","",Year4_Oxfordshire Year4_CP_Plans_ceased)</f>
        <v>739</v>
      </c>
      <c r="AC215" s="352">
        <f>IF(Year5_Oxfordshire Year5_CP_Plans_ceased="","",Year5_Oxfordshire Year5_CP_Plans_ceased)</f>
        <v>608</v>
      </c>
      <c r="AD215" s="252" t="str">
        <f t="shared" si="70"/>
        <v>Oxfordshire</v>
      </c>
      <c r="AE215" s="307">
        <f>IF(Year1_Oxfordshire Year1_CP_Plans_ceased_2years="","",Year1_Oxfordshire Year1_CP_Plans_ceased_2years)</f>
        <v>54</v>
      </c>
      <c r="AF215" s="248">
        <f>IF(Year2_Oxfordshire Year2_CP_Plans_ceased_2years="","",Year2_Oxfordshire Year2_CP_Plans_ceased_2years)</f>
        <v>25</v>
      </c>
      <c r="AG215" s="248">
        <f>IF(Year3_Oxfordshire Year3_CP_Plans_ceased_2years="","",Year3_Oxfordshire Year3_CP_Plans_ceased_2years)</f>
        <v>13</v>
      </c>
      <c r="AH215" s="248">
        <f>IF(Year4_Oxfordshire Year4_CP_Plans_ceased_2years="","",Year4_Oxfordshire Year4_CP_Plans_ceased_2years)</f>
        <v>33</v>
      </c>
      <c r="AI215" s="248">
        <f>IF(Year5_Oxfordshire Year5_CP_Plans_ceased_2years="","",Year5_Oxfordshire Year5_CP_Plans_ceased_2years)</f>
        <v>9</v>
      </c>
      <c r="AJ215" s="121"/>
    </row>
    <row r="216" spans="1:44" s="61" customFormat="1" ht="13.5" customHeight="1">
      <c r="A216" s="1103">
        <f>VLOOKUP(B216,ReportData!$AQ$4:$AR$25,2,FALSE)</f>
        <v>0</v>
      </c>
      <c r="B216" s="885" t="str">
        <f t="shared" si="71"/>
        <v>Kent</v>
      </c>
      <c r="C216" s="896"/>
      <c r="D216" s="922">
        <f t="shared" si="72"/>
        <v>5.7200538358008077E-2</v>
      </c>
      <c r="E216" s="922">
        <f t="shared" si="73"/>
        <v>5.9515570934256058E-2</v>
      </c>
      <c r="F216" s="922">
        <f t="shared" si="74"/>
        <v>4.4075144508670519E-2</v>
      </c>
      <c r="G216" s="922">
        <f t="shared" si="75"/>
        <v>4.6558704453441298E-2</v>
      </c>
      <c r="H216" s="923">
        <f t="shared" si="76"/>
        <v>4.9626104690686609E-2</v>
      </c>
      <c r="I216" s="68"/>
      <c r="J216" s="68"/>
      <c r="K216" s="127"/>
      <c r="L216" s="127"/>
      <c r="M216" s="127"/>
      <c r="N216" s="127"/>
      <c r="O216" s="127"/>
      <c r="P216" s="127"/>
      <c r="Q216" s="127"/>
      <c r="R216" s="128"/>
      <c r="S216" s="120"/>
      <c r="T216" s="127"/>
      <c r="U216" s="89"/>
      <c r="V216" s="103"/>
      <c r="W216" s="115"/>
      <c r="X216" s="352" t="str">
        <f t="shared" si="69"/>
        <v>Portsmouth</v>
      </c>
      <c r="Y216" s="355">
        <f>IF(Year1_Portsmouth Year1_CP_Plans_ceased="","",Year1_Portsmouth Year1_CP_Plans_ceased)</f>
        <v>291</v>
      </c>
      <c r="Z216" s="248">
        <f>IF(Year2_Portsmouth Year2_CP_Plans_ceased="","",Year2_Portsmouth Year2_CP_Plans_ceased)</f>
        <v>251</v>
      </c>
      <c r="AA216" s="248">
        <f>IF(Year3_Portsmouth Year3_CP_Plans_ceased="","",Year3_Portsmouth Year3_CP_Plans_ceased)</f>
        <v>275</v>
      </c>
      <c r="AB216" s="248">
        <f>IF(Year4_Portsmouth Year4_CP_Plans_ceased="","",Year4_Portsmouth Year4_CP_Plans_ceased)</f>
        <v>305</v>
      </c>
      <c r="AC216" s="352">
        <f>IF(Year5_Portsmouth Year5_CP_Plans_ceased="","",Year5_Portsmouth Year5_CP_Plans_ceased)</f>
        <v>260</v>
      </c>
      <c r="AD216" s="252" t="str">
        <f t="shared" si="70"/>
        <v>Portsmouth</v>
      </c>
      <c r="AE216" s="307">
        <f>IF(Year1_Portsmouth Year1_CP_Plans_ceased_2years="","",Year1_Portsmouth Year1_CP_Plans_ceased_2years)</f>
        <v>7</v>
      </c>
      <c r="AF216" s="248">
        <f>IF(Year2_Portsmouth Year2_CP_Plans_ceased_2years="","",Year2_Portsmouth Year2_CP_Plans_ceased_2years)</f>
        <v>10</v>
      </c>
      <c r="AG216" s="248">
        <f>IF(Year3_Portsmouth Year3_CP_Plans_ceased_2years="","",Year3_Portsmouth Year3_CP_Plans_ceased_2years)</f>
        <v>15</v>
      </c>
      <c r="AH216" s="248">
        <f>IF(Year4_Portsmouth Year4_CP_Plans_ceased_2years="","",Year4_Portsmouth Year4_CP_Plans_ceased_2years)</f>
        <v>23</v>
      </c>
      <c r="AI216" s="248">
        <f>IF(Year5_Portsmouth Year5_CP_Plans_ceased_2years="","",Year5_Portsmouth Year5_CP_Plans_ceased_2years)</f>
        <v>8</v>
      </c>
      <c r="AJ216" s="121"/>
    </row>
    <row r="217" spans="1:44" s="61" customFormat="1" ht="13.5" customHeight="1">
      <c r="A217" s="1103">
        <f>VLOOKUP(B217,ReportData!$AQ$4:$AR$25,2,FALSE)</f>
        <v>0</v>
      </c>
      <c r="B217" s="885" t="str">
        <f t="shared" si="71"/>
        <v>Medway</v>
      </c>
      <c r="C217" s="896"/>
      <c r="D217" s="922">
        <f t="shared" si="72"/>
        <v>4.6315789473684213E-2</v>
      </c>
      <c r="E217" s="922">
        <f t="shared" si="73"/>
        <v>4.2124542124542128E-2</v>
      </c>
      <c r="F217" s="922" t="e">
        <f t="shared" si="74"/>
        <v>#N/A</v>
      </c>
      <c r="G217" s="922">
        <f t="shared" si="75"/>
        <v>3.3742331288343558E-2</v>
      </c>
      <c r="H217" s="923">
        <f t="shared" si="76"/>
        <v>1.5306122448979591E-2</v>
      </c>
      <c r="I217" s="68"/>
      <c r="J217" s="68"/>
      <c r="K217" s="127"/>
      <c r="L217" s="127"/>
      <c r="M217" s="127"/>
      <c r="N217" s="127"/>
      <c r="O217" s="127"/>
      <c r="P217" s="127"/>
      <c r="Q217" s="127"/>
      <c r="R217" s="128"/>
      <c r="S217" s="120"/>
      <c r="T217" s="127"/>
      <c r="U217" s="89"/>
      <c r="V217" s="103"/>
      <c r="W217" s="115"/>
      <c r="X217" s="352" t="str">
        <f t="shared" si="69"/>
        <v>Reading</v>
      </c>
      <c r="Y217" s="355">
        <f>IF(Year1_Reading Year1_CP_Plans_ceased="","",Year1_Reading Year1_CP_Plans_ceased)</f>
        <v>277</v>
      </c>
      <c r="Z217" s="248">
        <f>IF(Year2_Reading Year2_CP_Plans_ceased="","",Year2_Reading Year2_CP_Plans_ceased)</f>
        <v>344</v>
      </c>
      <c r="AA217" s="248">
        <f>IF(Year3_Reading Year3_CP_Plans_ceased="","",Year3_Reading Year3_CP_Plans_ceased)</f>
        <v>311</v>
      </c>
      <c r="AB217" s="248">
        <f>IF(Year4_Reading Year4_CP_Plans_ceased="","",Year4_Reading Year4_CP_Plans_ceased)</f>
        <v>291</v>
      </c>
      <c r="AC217" s="352">
        <f>IF(Year5_Reading Year5_CP_Plans_ceased="","",Year5_Reading Year5_CP_Plans_ceased)</f>
        <v>211</v>
      </c>
      <c r="AD217" s="252" t="str">
        <f t="shared" si="70"/>
        <v>Reading</v>
      </c>
      <c r="AE217" s="307">
        <f>IF(Year1_Reading Year1_CP_Plans_ceased_2years="","",Year1_Reading Year1_CP_Plans_ceased_2years)</f>
        <v>15</v>
      </c>
      <c r="AF217" s="248">
        <f>IF(Year2_Reading Year2_CP_Plans_ceased_2years="","",Year2_Reading Year2_CP_Plans_ceased_2years)</f>
        <v>15</v>
      </c>
      <c r="AG217" s="248" t="str">
        <f>IF(Year3_Reading Year3_CP_Plans_ceased_2years="","",Year3_Reading Year3_CP_Plans_ceased_2years)</f>
        <v>c</v>
      </c>
      <c r="AH217" s="248">
        <f>IF(Year4_Reading Year4_CP_Plans_ceased_2years="","",Year4_Reading Year4_CP_Plans_ceased_2years)</f>
        <v>12</v>
      </c>
      <c r="AI217" s="248">
        <f>IF(Year5_Reading Year5_CP_Plans_ceased_2years="","",Year5_Reading Year5_CP_Plans_ceased_2years)</f>
        <v>18</v>
      </c>
      <c r="AJ217" s="121"/>
    </row>
    <row r="218" spans="1:44" s="61" customFormat="1" ht="13.5" customHeight="1">
      <c r="A218" s="1103">
        <f>VLOOKUP(B218,ReportData!$AQ$4:$AR$25,2,FALSE)</f>
        <v>0</v>
      </c>
      <c r="B218" s="885" t="str">
        <f t="shared" si="71"/>
        <v>Milton Keynes</v>
      </c>
      <c r="C218" s="896"/>
      <c r="D218" s="922" t="e">
        <f t="shared" si="72"/>
        <v>#N/A</v>
      </c>
      <c r="E218" s="922" t="e">
        <f t="shared" si="73"/>
        <v>#N/A</v>
      </c>
      <c r="F218" s="922" t="e">
        <f t="shared" si="74"/>
        <v>#N/A</v>
      </c>
      <c r="G218" s="922">
        <f t="shared" si="75"/>
        <v>3.5143769968051117E-2</v>
      </c>
      <c r="H218" s="923" t="e">
        <f t="shared" si="76"/>
        <v>#N/A</v>
      </c>
      <c r="I218" s="68"/>
      <c r="J218" s="68"/>
      <c r="K218" s="127"/>
      <c r="L218" s="127"/>
      <c r="M218" s="127"/>
      <c r="N218" s="127"/>
      <c r="O218" s="127"/>
      <c r="P218" s="127"/>
      <c r="Q218" s="127"/>
      <c r="R218" s="128"/>
      <c r="S218" s="120"/>
      <c r="T218" s="127"/>
      <c r="U218" s="89"/>
      <c r="V218" s="103"/>
      <c r="W218" s="115"/>
      <c r="X218" s="352" t="str">
        <f t="shared" si="69"/>
        <v>Slough</v>
      </c>
      <c r="Y218" s="355">
        <f>IF(Year1_Slough Year1_CP_Plans_ceased="","",Year1_Slough Year1_CP_Plans_ceased)</f>
        <v>234</v>
      </c>
      <c r="Z218" s="248">
        <f>IF(Year2_Slough Year2_CP_Plans_ceased="","",Year2_Slough Year2_CP_Plans_ceased)</f>
        <v>375</v>
      </c>
      <c r="AA218" s="248">
        <f>IF(Year3_Slough Year3_CP_Plans_ceased="","",Year3_Slough Year3_CP_Plans_ceased)</f>
        <v>351</v>
      </c>
      <c r="AB218" s="248">
        <f>IF(Year4_Slough Year4_CP_Plans_ceased="","",Year4_Slough Year4_CP_Plans_ceased)</f>
        <v>335</v>
      </c>
      <c r="AC218" s="352">
        <f>IF(Year5_Slough Year5_CP_Plans_ceased="","",Year5_Slough Year5_CP_Plans_ceased)</f>
        <v>322</v>
      </c>
      <c r="AD218" s="252" t="str">
        <f t="shared" si="70"/>
        <v>Slough</v>
      </c>
      <c r="AE218" s="307">
        <f>IF(Year1_Slough Year1_CP_Plans_ceased_2years="","",Year1_Slough Year1_CP_Plans_ceased_2years)</f>
        <v>12</v>
      </c>
      <c r="AF218" s="248">
        <f>IF(Year2_Slough Year2_CP_Plans_ceased_2years="","",Year2_Slough Year2_CP_Plans_ceased_2years)</f>
        <v>13</v>
      </c>
      <c r="AG218" s="248">
        <f>IF(Year3_Slough Year3_CP_Plans_ceased_2years="","",Year3_Slough Year3_CP_Plans_ceased_2years)</f>
        <v>13</v>
      </c>
      <c r="AH218" s="248">
        <f>IF(Year4_Slough Year4_CP_Plans_ceased_2years="","",Year4_Slough Year4_CP_Plans_ceased_2years)</f>
        <v>8</v>
      </c>
      <c r="AI218" s="248">
        <f>IF(Year5_Slough Year5_CP_Plans_ceased_2years="","",Year5_Slough Year5_CP_Plans_ceased_2years)</f>
        <v>11</v>
      </c>
      <c r="AJ218" s="121"/>
    </row>
    <row r="219" spans="1:44" s="61" customFormat="1" ht="13.5" customHeight="1">
      <c r="A219" s="1103">
        <f>VLOOKUP(B219,ReportData!$AQ$4:$AR$25,2,FALSE)</f>
        <v>0</v>
      </c>
      <c r="B219" s="885" t="str">
        <f t="shared" si="71"/>
        <v>Oxfordshire</v>
      </c>
      <c r="C219" s="896"/>
      <c r="D219" s="922">
        <f t="shared" si="72"/>
        <v>6.6914498141263934E-2</v>
      </c>
      <c r="E219" s="922">
        <f t="shared" si="73"/>
        <v>3.1847133757961783E-2</v>
      </c>
      <c r="F219" s="922">
        <f t="shared" si="74"/>
        <v>2.0061728395061727E-2</v>
      </c>
      <c r="G219" s="922">
        <f t="shared" si="75"/>
        <v>4.4654939106901215E-2</v>
      </c>
      <c r="H219" s="923">
        <f t="shared" si="76"/>
        <v>1.4802631578947368E-2</v>
      </c>
      <c r="I219" s="68"/>
      <c r="J219" s="68"/>
      <c r="K219" s="127"/>
      <c r="L219" s="127"/>
      <c r="M219" s="127"/>
      <c r="N219" s="127"/>
      <c r="O219" s="127"/>
      <c r="P219" s="127"/>
      <c r="Q219" s="127"/>
      <c r="R219" s="128"/>
      <c r="S219" s="120"/>
      <c r="T219" s="127"/>
      <c r="U219" s="89"/>
      <c r="V219" s="103"/>
      <c r="W219" s="115"/>
      <c r="X219" s="352" t="str">
        <f t="shared" si="69"/>
        <v>Southampton</v>
      </c>
      <c r="Y219" s="355">
        <f>IF(Year1_Southampton Year1_CP_Plans_ceased="","",Year1_Southampton Year1_CP_Plans_ceased)</f>
        <v>437</v>
      </c>
      <c r="Z219" s="248">
        <f>IF(Year2_Southampton Year2_CP_Plans_ceased="","",Year2_Southampton Year2_CP_Plans_ceased)</f>
        <v>525</v>
      </c>
      <c r="AA219" s="248">
        <f>IF(Year3_Southampton Year3_CP_Plans_ceased="","",Year3_Southampton Year3_CP_Plans_ceased)</f>
        <v>426</v>
      </c>
      <c r="AB219" s="248">
        <f>IF(Year4_Southampton Year4_CP_Plans_ceased="","",Year4_Southampton Year4_CP_Plans_ceased)</f>
        <v>540</v>
      </c>
      <c r="AC219" s="352">
        <f>IF(Year5_Southampton Year5_CP_Plans_ceased="","",Year5_Southampton Year5_CP_Plans_ceased)</f>
        <v>369</v>
      </c>
      <c r="AD219" s="252" t="str">
        <f t="shared" si="70"/>
        <v>Southampton</v>
      </c>
      <c r="AE219" s="307">
        <f>IF(Year1_Southampton Year1_CP_Plans_ceased_2years="","",Year1_Southampton Year1_CP_Plans_ceased_2years)</f>
        <v>13</v>
      </c>
      <c r="AF219" s="248">
        <f>IF(Year2_Southampton Year2_CP_Plans_ceased_2years="","",Year2_Southampton Year2_CP_Plans_ceased_2years)</f>
        <v>28</v>
      </c>
      <c r="AG219" s="248">
        <f>IF(Year3_Southampton Year3_CP_Plans_ceased_2years="","",Year3_Southampton Year3_CP_Plans_ceased_2years)</f>
        <v>9</v>
      </c>
      <c r="AH219" s="248">
        <f>IF(Year4_Southampton Year4_CP_Plans_ceased_2years="","",Year4_Southampton Year4_CP_Plans_ceased_2years)</f>
        <v>13</v>
      </c>
      <c r="AI219" s="248">
        <f>IF(Year5_Southampton Year5_CP_Plans_ceased_2years="","",Year5_Southampton Year5_CP_Plans_ceased_2years)</f>
        <v>24</v>
      </c>
      <c r="AJ219" s="121"/>
    </row>
    <row r="220" spans="1:44" s="61" customFormat="1" ht="13.5" customHeight="1">
      <c r="A220" s="1103">
        <f>VLOOKUP(B220,ReportData!$AQ$4:$AR$25,2,FALSE)</f>
        <v>0</v>
      </c>
      <c r="B220" s="885" t="str">
        <f t="shared" si="71"/>
        <v>Portsmouth</v>
      </c>
      <c r="C220" s="896"/>
      <c r="D220" s="922">
        <f t="shared" si="72"/>
        <v>2.4054982817869417E-2</v>
      </c>
      <c r="E220" s="922">
        <f t="shared" si="73"/>
        <v>3.9840637450199202E-2</v>
      </c>
      <c r="F220" s="922">
        <f t="shared" si="74"/>
        <v>5.4545454545454543E-2</v>
      </c>
      <c r="G220" s="922">
        <f t="shared" si="75"/>
        <v>7.5409836065573776E-2</v>
      </c>
      <c r="H220" s="923">
        <f t="shared" si="76"/>
        <v>3.0769230769230771E-2</v>
      </c>
      <c r="I220" s="68"/>
      <c r="J220" s="68"/>
      <c r="K220" s="127"/>
      <c r="L220" s="127"/>
      <c r="M220" s="127"/>
      <c r="N220" s="127"/>
      <c r="O220" s="127"/>
      <c r="P220" s="127"/>
      <c r="Q220" s="127"/>
      <c r="R220" s="128"/>
      <c r="S220" s="120"/>
      <c r="T220" s="127"/>
      <c r="U220" s="89"/>
      <c r="V220" s="103"/>
      <c r="W220" s="115"/>
      <c r="X220" s="352" t="str">
        <f t="shared" si="69"/>
        <v>Surrey</v>
      </c>
      <c r="Y220" s="355">
        <f>IF(Year1_Surrey Year1_CP_Plans_ceased="","",Year1_Surrey Year1_CP_Plans_ceased)</f>
        <v>968</v>
      </c>
      <c r="Z220" s="248">
        <f>IF(Year2_Surrey Year2_CP_Plans_ceased="","",Year2_Surrey Year2_CP_Plans_ceased)</f>
        <v>785</v>
      </c>
      <c r="AA220" s="248">
        <f>IF(Year3_Surrey Year3_CP_Plans_ceased="","",Year3_Surrey Year3_CP_Plans_ceased)</f>
        <v>931</v>
      </c>
      <c r="AB220" s="248">
        <f>IF(Year4_Surrey Year4_CP_Plans_ceased="","",Year4_Surrey Year4_CP_Plans_ceased)</f>
        <v>1077</v>
      </c>
      <c r="AC220" s="352">
        <f>IF(Year5_Surrey Year5_CP_Plans_ceased="","",Year5_Surrey Year5_CP_Plans_ceased)</f>
        <v>830</v>
      </c>
      <c r="AD220" s="252" t="str">
        <f t="shared" si="70"/>
        <v>Surrey</v>
      </c>
      <c r="AE220" s="307">
        <f>IF(Year1_Surrey Year1_CP_Plans_ceased_2years="","",Year1_Surrey Year1_CP_Plans_ceased_2years)</f>
        <v>67</v>
      </c>
      <c r="AF220" s="248">
        <f>IF(Year2_Surrey Year2_CP_Plans_ceased_2years="","",Year2_Surrey Year2_CP_Plans_ceased_2years)</f>
        <v>47</v>
      </c>
      <c r="AG220" s="248">
        <f>IF(Year3_Surrey Year3_CP_Plans_ceased_2years="","",Year3_Surrey Year3_CP_Plans_ceased_2years)</f>
        <v>33</v>
      </c>
      <c r="AH220" s="248">
        <f>IF(Year4_Surrey Year4_CP_Plans_ceased_2years="","",Year4_Surrey Year4_CP_Plans_ceased_2years)</f>
        <v>82</v>
      </c>
      <c r="AI220" s="248">
        <f>IF(Year5_Surrey Year5_CP_Plans_ceased_2years="","",Year5_Surrey Year5_CP_Plans_ceased_2years)</f>
        <v>68</v>
      </c>
      <c r="AJ220" s="121"/>
    </row>
    <row r="221" spans="1:44" s="61" customFormat="1" ht="13.5" customHeight="1">
      <c r="A221" s="1103">
        <f>VLOOKUP(B221,ReportData!$AQ$4:$AR$25,2,FALSE)</f>
        <v>0</v>
      </c>
      <c r="B221" s="885" t="str">
        <f t="shared" si="71"/>
        <v>Reading</v>
      </c>
      <c r="C221" s="896"/>
      <c r="D221" s="922">
        <f t="shared" si="72"/>
        <v>5.4151624548736461E-2</v>
      </c>
      <c r="E221" s="922">
        <f t="shared" si="73"/>
        <v>4.3604651162790699E-2</v>
      </c>
      <c r="F221" s="922" t="e">
        <f t="shared" si="74"/>
        <v>#N/A</v>
      </c>
      <c r="G221" s="922">
        <f t="shared" si="75"/>
        <v>4.1237113402061855E-2</v>
      </c>
      <c r="H221" s="923">
        <f t="shared" si="76"/>
        <v>8.5308056872037921E-2</v>
      </c>
      <c r="I221" s="68"/>
      <c r="J221" s="68"/>
      <c r="K221" s="127"/>
      <c r="L221" s="127"/>
      <c r="M221" s="127"/>
      <c r="N221" s="127"/>
      <c r="O221" s="127"/>
      <c r="P221" s="127"/>
      <c r="Q221" s="127"/>
      <c r="R221" s="128"/>
      <c r="S221" s="120"/>
      <c r="T221" s="127"/>
      <c r="U221" s="89"/>
      <c r="V221" s="103"/>
      <c r="W221" s="115"/>
      <c r="X221" s="352" t="str">
        <f t="shared" si="69"/>
        <v>West Berkshire</v>
      </c>
      <c r="Y221" s="355">
        <f>IF(Year1_West_Berkshire Year1_CP_Plans_ceased="","",Year1_West_Berkshire Year1_CP_Plans_ceased)</f>
        <v>182</v>
      </c>
      <c r="Z221" s="248">
        <f>IF(Year2_West_Berkshire Year2_CP_Plans_ceased="","",Year2_West_Berkshire Year2_CP_Plans_ceased)</f>
        <v>190</v>
      </c>
      <c r="AA221" s="248">
        <f>IF(Year3_West_Berkshire Year3_CP_Plans_ceased="","",Year3_West_Berkshire Year3_CP_Plans_ceased)</f>
        <v>202</v>
      </c>
      <c r="AB221" s="248">
        <f>IF(Year4_West_Berkshire Year4_CP_Plans_ceased="","",Year4_West_Berkshire Year4_CP_Plans_ceased)</f>
        <v>227</v>
      </c>
      <c r="AC221" s="352">
        <f>IF(Year5_West_Berkshire Year5_CP_Plans_ceased="","",Year5_West_Berkshire Year5_CP_Plans_ceased)</f>
        <v>347</v>
      </c>
      <c r="AD221" s="252" t="str">
        <f t="shared" si="70"/>
        <v>West Berkshire</v>
      </c>
      <c r="AE221" s="307">
        <f>IF(Year1_West_Berkshire Year1_CP_Plans_ceased_2years="","",Year1_West_Berkshire Year1_CP_Plans_ceased_2years)</f>
        <v>5</v>
      </c>
      <c r="AF221" s="248" t="str">
        <f>IF(Year2_West_Berkshire Year2_CP_Plans_ceased_2years="","",Year2_West_Berkshire Year2_CP_Plans_ceased_2years)</f>
        <v>x</v>
      </c>
      <c r="AG221" s="248" t="str">
        <f>IF(Year3_West_Berkshire Year3_CP_Plans_ceased_2years="","",Year3_West_Berkshire Year3_CP_Plans_ceased_2years)</f>
        <v>c</v>
      </c>
      <c r="AH221" s="248">
        <f>IF(Year4_West_Berkshire Year4_CP_Plans_ceased_2years="","",Year4_West_Berkshire Year4_CP_Plans_ceased_2years)</f>
        <v>0</v>
      </c>
      <c r="AI221" s="248">
        <f>IF(Year5_West_Berkshire Year5_CP_Plans_ceased_2years="","",Year5_West_Berkshire Year5_CP_Plans_ceased_2years)</f>
        <v>13</v>
      </c>
      <c r="AJ221" s="121"/>
    </row>
    <row r="222" spans="1:44" s="61" customFormat="1" ht="13.5" customHeight="1">
      <c r="A222" s="1103">
        <f>VLOOKUP(B222,ReportData!$AQ$4:$AR$25,2,FALSE)</f>
        <v>0</v>
      </c>
      <c r="B222" s="885" t="str">
        <f t="shared" si="71"/>
        <v>Slough</v>
      </c>
      <c r="C222" s="896"/>
      <c r="D222" s="922">
        <f t="shared" si="72"/>
        <v>5.128205128205128E-2</v>
      </c>
      <c r="E222" s="922">
        <f t="shared" si="73"/>
        <v>3.4666666666666665E-2</v>
      </c>
      <c r="F222" s="922">
        <f t="shared" si="74"/>
        <v>3.7037037037037035E-2</v>
      </c>
      <c r="G222" s="922">
        <f t="shared" si="75"/>
        <v>2.3880597014925373E-2</v>
      </c>
      <c r="H222" s="923">
        <f t="shared" si="76"/>
        <v>3.4161490683229816E-2</v>
      </c>
      <c r="I222" s="68"/>
      <c r="J222" s="68"/>
      <c r="K222" s="127"/>
      <c r="L222" s="127"/>
      <c r="M222" s="127"/>
      <c r="N222" s="127"/>
      <c r="O222" s="127"/>
      <c r="P222" s="127"/>
      <c r="Q222" s="127"/>
      <c r="R222" s="128"/>
      <c r="S222" s="120"/>
      <c r="T222" s="127"/>
      <c r="U222" s="89"/>
      <c r="V222" s="103"/>
      <c r="W222" s="115"/>
      <c r="X222" s="352" t="str">
        <f t="shared" si="69"/>
        <v>West Sussex</v>
      </c>
      <c r="Y222" s="355">
        <f>IF(Year1_West_Sussex Year1_CP_Plans_ceased="","",Year1_West_Sussex Year1_CP_Plans_ceased)</f>
        <v>948</v>
      </c>
      <c r="Z222" s="248">
        <f>IF(Year2_West_Sussex Year2_CP_Plans_ceased="","",Year2_West_Sussex Year2_CP_Plans_ceased)</f>
        <v>1048</v>
      </c>
      <c r="AA222" s="248">
        <f>IF(Year3_West_Sussex Year3_CP_Plans_ceased="","",Year3_West_Sussex Year3_CP_Plans_ceased)</f>
        <v>1181</v>
      </c>
      <c r="AB222" s="248">
        <f>IF(Year4_West_Sussex Year4_CP_Plans_ceased="","",Year4_West_Sussex Year4_CP_Plans_ceased)</f>
        <v>912</v>
      </c>
      <c r="AC222" s="352">
        <f>IF(Year5_West_Sussex Year5_CP_Plans_ceased="","",Year5_West_Sussex Year5_CP_Plans_ceased)</f>
        <v>915</v>
      </c>
      <c r="AD222" s="252" t="str">
        <f t="shared" si="70"/>
        <v>West Sussex</v>
      </c>
      <c r="AE222" s="307">
        <f>IF(Year1_West_Sussex Year1_CP_Plans_ceased_2years="","",Year1_West_Sussex Year1_CP_Plans_ceased_2years)</f>
        <v>55</v>
      </c>
      <c r="AF222" s="248">
        <f>IF(Year2_West_Sussex Year2_CP_Plans_ceased_2years="","",Year2_West_Sussex Year2_CP_Plans_ceased_2years)</f>
        <v>10</v>
      </c>
      <c r="AG222" s="248">
        <f>IF(Year3_West_Sussex Year3_CP_Plans_ceased_2years="","",Year3_West_Sussex Year3_CP_Plans_ceased_2years)</f>
        <v>39</v>
      </c>
      <c r="AH222" s="248">
        <f>IF(Year4_West_Sussex Year4_CP_Plans_ceased_2years="","",Year4_West_Sussex Year4_CP_Plans_ceased_2years)</f>
        <v>31</v>
      </c>
      <c r="AI222" s="248">
        <f>IF(Year5_West_Sussex Year5_CP_Plans_ceased_2years="","",Year5_West_Sussex Year5_CP_Plans_ceased_2years)</f>
        <v>14</v>
      </c>
      <c r="AJ222" s="121"/>
    </row>
    <row r="223" spans="1:44" s="61" customFormat="1" ht="13.5" customHeight="1">
      <c r="A223" s="1103">
        <f>VLOOKUP(B223,ReportData!$AQ$4:$AR$25,2,FALSE)</f>
        <v>0</v>
      </c>
      <c r="B223" s="885" t="str">
        <f t="shared" si="71"/>
        <v>Southampton</v>
      </c>
      <c r="C223" s="896"/>
      <c r="D223" s="922">
        <f t="shared" ref="D223:H230" si="77">IF(AND(ISNUMBER(AE219),ISNUMBER(Y219)),AE219/Y219,NA())</f>
        <v>2.9748283752860413E-2</v>
      </c>
      <c r="E223" s="922">
        <f t="shared" si="77"/>
        <v>5.3333333333333337E-2</v>
      </c>
      <c r="F223" s="922">
        <f t="shared" si="77"/>
        <v>2.1126760563380281E-2</v>
      </c>
      <c r="G223" s="922">
        <f t="shared" si="77"/>
        <v>2.4074074074074074E-2</v>
      </c>
      <c r="H223" s="923">
        <f t="shared" si="77"/>
        <v>6.5040650406504072E-2</v>
      </c>
      <c r="I223" s="68"/>
      <c r="J223" s="68"/>
      <c r="K223" s="127"/>
      <c r="L223" s="127"/>
      <c r="M223" s="127"/>
      <c r="N223" s="127"/>
      <c r="O223" s="127"/>
      <c r="P223" s="127"/>
      <c r="Q223" s="127"/>
      <c r="R223" s="128"/>
      <c r="S223" s="120"/>
      <c r="T223" s="127"/>
      <c r="U223" s="89"/>
      <c r="V223" s="103"/>
      <c r="W223" s="115"/>
      <c r="X223" s="352" t="str">
        <f t="shared" si="69"/>
        <v>Windsor &amp; Maidenhead</v>
      </c>
      <c r="Y223" s="355">
        <f>IF(Year1_Windsor_and_Maidenhead Year1_CP_Plans_ceased="","",Year1_Windsor_and_Maidenhead Year1_CP_Plans_ceased)</f>
        <v>172</v>
      </c>
      <c r="Z223" s="248">
        <f>IF(Year2_Windsor_and_Maidenhead Year2_CP_Plans_ceased="","",Year2_Windsor_and_Maidenhead Year2_CP_Plans_ceased)</f>
        <v>225</v>
      </c>
      <c r="AA223" s="248">
        <f>IF(Year3_Windsor_and_Maidenhead Year3_CP_Plans_ceased="","",Year3_Windsor_and_Maidenhead Year3_CP_Plans_ceased)</f>
        <v>175</v>
      </c>
      <c r="AB223" s="248">
        <f>IF(Year4_Windsor_and_Maidenhead Year4_CP_Plans_ceased="","",Year4_Windsor_and_Maidenhead Year4_CP_Plans_ceased)</f>
        <v>234</v>
      </c>
      <c r="AC223" s="352">
        <f>IF(Year5_Windsor_and_Maidenhead Year5_CP_Plans_ceased="","",Year5_Windsor_and_Maidenhead Year5_CP_Plans_ceased)</f>
        <v>196</v>
      </c>
      <c r="AD223" s="252" t="str">
        <f t="shared" si="70"/>
        <v>Windsor &amp; Maidenhead</v>
      </c>
      <c r="AE223" s="307">
        <f>IF(Year1_Windsor_and_Maidenhead Year1_CP_Plans_ceased_2years="","",Year1_Windsor_and_Maidenhead Year1_CP_Plans_ceased_2years)</f>
        <v>8</v>
      </c>
      <c r="AF223" s="248" t="str">
        <f>IF(Year2_Windsor_and_Maidenhead Year2_CP_Plans_ceased_2years="","",Year2_Windsor_and_Maidenhead Year2_CP_Plans_ceased_2years)</f>
        <v>x</v>
      </c>
      <c r="AG223" s="248" t="str">
        <f>IF(Year3_Windsor_and_Maidenhead Year3_CP_Plans_ceased_2years="","",Year3_Windsor_and_Maidenhead Year3_CP_Plans_ceased_2years)</f>
        <v>c</v>
      </c>
      <c r="AH223" s="248">
        <f>IF(Year4_Windsor_and_Maidenhead Year4_CP_Plans_ceased_2years="","",Year4_Windsor_and_Maidenhead Year4_CP_Plans_ceased_2years)</f>
        <v>8</v>
      </c>
      <c r="AI223" s="248" t="str">
        <f>IF(Year5_Windsor_and_Maidenhead Year5_CP_Plans_ceased_2years="","",Year5_Windsor_and_Maidenhead Year5_CP_Plans_ceased_2years)</f>
        <v>c</v>
      </c>
      <c r="AJ223" s="121"/>
    </row>
    <row r="224" spans="1:44" s="61" customFormat="1" ht="13.5" customHeight="1">
      <c r="A224" s="1103">
        <f>VLOOKUP(B224,ReportData!$AQ$4:$AR$25,2,FALSE)</f>
        <v>0</v>
      </c>
      <c r="B224" s="885" t="str">
        <f t="shared" si="71"/>
        <v>Surrey</v>
      </c>
      <c r="C224" s="896"/>
      <c r="D224" s="922">
        <f t="shared" si="77"/>
        <v>6.9214876033057857E-2</v>
      </c>
      <c r="E224" s="922">
        <f t="shared" si="77"/>
        <v>5.9872611464968153E-2</v>
      </c>
      <c r="F224" s="922">
        <f t="shared" si="77"/>
        <v>3.5445757250268529E-2</v>
      </c>
      <c r="G224" s="922">
        <f t="shared" si="77"/>
        <v>7.6137418755803155E-2</v>
      </c>
      <c r="H224" s="923">
        <f t="shared" si="77"/>
        <v>8.1927710843373497E-2</v>
      </c>
      <c r="I224" s="68"/>
      <c r="J224" s="68"/>
      <c r="K224" s="127"/>
      <c r="L224" s="127"/>
      <c r="M224" s="127"/>
      <c r="N224" s="127"/>
      <c r="O224" s="127"/>
      <c r="P224" s="127"/>
      <c r="Q224" s="127"/>
      <c r="R224" s="128"/>
      <c r="S224" s="120"/>
      <c r="T224" s="127"/>
      <c r="U224" s="89"/>
      <c r="V224" s="103"/>
      <c r="W224" s="115"/>
      <c r="X224" s="352" t="str">
        <f t="shared" si="69"/>
        <v>Wokingham</v>
      </c>
      <c r="Y224" s="355">
        <f>IF(Year1_Wokingham Year1_CP_Plans_ceased="","",Year1_Wokingham Year1_CP_Plans_ceased)</f>
        <v>164</v>
      </c>
      <c r="Z224" s="248">
        <f>IF(Year2_Wokingham Year2_CP_Plans_ceased="","",Year2_Wokingham Year2_CP_Plans_ceased)</f>
        <v>151</v>
      </c>
      <c r="AA224" s="248">
        <f>IF(Year3_Wokingham Year3_CP_Plans_ceased="","",Year3_Wokingham Year3_CP_Plans_ceased)</f>
        <v>177</v>
      </c>
      <c r="AB224" s="248">
        <f>IF(Year4_Wokingham Year4_CP_Plans_ceased="","",Year4_Wokingham Year4_CP_Plans_ceased)</f>
        <v>145</v>
      </c>
      <c r="AC224" s="352">
        <f>IF(Year5_Wokingham Year5_CP_Plans_ceased="","",Year5_Wokingham Year5_CP_Plans_ceased)</f>
        <v>157</v>
      </c>
      <c r="AD224" s="252" t="str">
        <f t="shared" si="70"/>
        <v>Wokingham</v>
      </c>
      <c r="AE224" s="307" t="str">
        <f>IF(Year1_Wokingham Year1_CP_Plans_ceased_2years="","",Year1_Wokingham Year1_CP_Plans_ceased_2years)</f>
        <v>x</v>
      </c>
      <c r="AF224" s="248" t="str">
        <f>IF(Year2_Wokingham Year2_CP_Plans_ceased_2years="","",Year2_Wokingham Year2_CP_Plans_ceased_2years)</f>
        <v>x</v>
      </c>
      <c r="AG224" s="248">
        <f>IF(Year3_Wokingham Year3_CP_Plans_ceased_2years="","",Year3_Wokingham Year3_CP_Plans_ceased_2years)</f>
        <v>14</v>
      </c>
      <c r="AH224" s="248">
        <f>IF(Year4_Wokingham Year4_CP_Plans_ceased_2years="","",Year4_Wokingham Year4_CP_Plans_ceased_2years)</f>
        <v>9</v>
      </c>
      <c r="AI224" s="248">
        <f>IF(Year5_Wokingham Year5_CP_Plans_ceased_2years="","",Year5_Wokingham Year5_CP_Plans_ceased_2years)</f>
        <v>8</v>
      </c>
      <c r="AJ224" s="121"/>
    </row>
    <row r="225" spans="1:76" s="61" customFormat="1" ht="13.5" customHeight="1">
      <c r="A225" s="1103">
        <f>VLOOKUP(B225,ReportData!$AQ$4:$AR$25,2,FALSE)</f>
        <v>0</v>
      </c>
      <c r="B225" s="885" t="str">
        <f t="shared" si="71"/>
        <v>West Berkshire</v>
      </c>
      <c r="C225" s="896"/>
      <c r="D225" s="922">
        <f t="shared" si="77"/>
        <v>2.7472527472527472E-2</v>
      </c>
      <c r="E225" s="922" t="e">
        <f t="shared" si="77"/>
        <v>#N/A</v>
      </c>
      <c r="F225" s="922" t="e">
        <f t="shared" si="77"/>
        <v>#N/A</v>
      </c>
      <c r="G225" s="922">
        <f t="shared" si="77"/>
        <v>0</v>
      </c>
      <c r="H225" s="923">
        <f t="shared" si="77"/>
        <v>3.7463976945244955E-2</v>
      </c>
      <c r="I225" s="68"/>
      <c r="J225" s="68"/>
      <c r="K225" s="127"/>
      <c r="L225" s="127"/>
      <c r="M225" s="127"/>
      <c r="N225" s="127"/>
      <c r="O225" s="127"/>
      <c r="P225" s="127"/>
      <c r="Q225" s="127"/>
      <c r="R225" s="128"/>
      <c r="S225" s="120"/>
      <c r="T225" s="127"/>
      <c r="U225" s="89"/>
      <c r="V225" s="103"/>
      <c r="W225" s="115"/>
      <c r="X225" s="352" t="str">
        <f t="shared" si="69"/>
        <v>South East</v>
      </c>
      <c r="Y225" s="252">
        <f>IF(Year1_South_East Year1_CP_Plans_ceased="","",Year1_South_East Year1_CP_Plans_ceased)</f>
        <v>10270</v>
      </c>
      <c r="Z225" s="248">
        <f>IF(Year2_South_East Year2_CP_Plans_ceased="","",Year2_South_East Year2_CP_Plans_ceased)</f>
        <v>10348</v>
      </c>
      <c r="AA225" s="248">
        <f>IF(Year3_South_East Year3_CP_Plans_ceased="","",Year3_South_East Year3_CP_Plans_ceased)</f>
        <v>9860</v>
      </c>
      <c r="AB225" s="248">
        <f>IF(Year4_South_East Year4_CP_Plans_ceased="","",Year4_South_East Year4_CP_Plans_ceased)</f>
        <v>10510</v>
      </c>
      <c r="AC225" s="352">
        <f>IF(Year5_South_East Year5_CP_Plans_ceased="","",Year5_South_East Year5_CP_Plans_ceased)</f>
        <v>9790</v>
      </c>
      <c r="AD225" s="252" t="str">
        <f t="shared" si="70"/>
        <v>South East</v>
      </c>
      <c r="AE225" s="248">
        <f>IF(Year1_South_East Year1_CP_Plans_ceased_2years="","",Year1_South_East Year1_CP_Plans_ceased_2years)</f>
        <v>520</v>
      </c>
      <c r="AF225" s="248">
        <f>IF(Year2_South_East Year2_CP_Plans_ceased_2years="","",Year2_South_East Year2_CP_Plans_ceased_2years)</f>
        <v>440</v>
      </c>
      <c r="AG225" s="248">
        <f>IF(Year3_South_East Year3_CP_Plans_ceased_2years="","",Year3_South_East Year3_CP_Plans_ceased_2years)</f>
        <v>330</v>
      </c>
      <c r="AH225" s="248">
        <f>IF(Year4_South_East Year4_CP_Plans_ceased_2years="","",Year4_South_East Year4_CP_Plans_ceased_2years)</f>
        <v>460</v>
      </c>
      <c r="AI225" s="248">
        <f>IF(Year5_South_East Year5_CP_Plans_ceased_2years="","",Year5_South_East Year5_CP_Plans_ceased_2years)</f>
        <v>430</v>
      </c>
      <c r="AJ225" s="121"/>
    </row>
    <row r="226" spans="1:76" s="61" customFormat="1" ht="13.5" customHeight="1">
      <c r="A226" s="1103">
        <f>VLOOKUP(B226,ReportData!$AQ$4:$AR$25,2,FALSE)</f>
        <v>0</v>
      </c>
      <c r="B226" s="885" t="str">
        <f t="shared" si="71"/>
        <v>West Sussex</v>
      </c>
      <c r="C226" s="896"/>
      <c r="D226" s="922">
        <f t="shared" si="77"/>
        <v>5.8016877637130801E-2</v>
      </c>
      <c r="E226" s="922">
        <f t="shared" si="77"/>
        <v>9.5419847328244278E-3</v>
      </c>
      <c r="F226" s="922">
        <f t="shared" si="77"/>
        <v>3.3022861981371721E-2</v>
      </c>
      <c r="G226" s="922">
        <f t="shared" si="77"/>
        <v>3.399122807017544E-2</v>
      </c>
      <c r="H226" s="923">
        <f t="shared" si="77"/>
        <v>1.5300546448087432E-2</v>
      </c>
      <c r="I226" s="68"/>
      <c r="J226" s="68"/>
      <c r="K226" s="127"/>
      <c r="L226" s="127"/>
      <c r="M226" s="127"/>
      <c r="N226" s="127"/>
      <c r="O226" s="127"/>
      <c r="P226" s="127"/>
      <c r="Q226" s="127"/>
      <c r="R226" s="128"/>
      <c r="S226" s="120"/>
      <c r="T226" s="127"/>
      <c r="U226" s="89"/>
      <c r="V226" s="103"/>
      <c r="W226" s="114"/>
      <c r="X226" s="352" t="str">
        <f t="shared" si="69"/>
        <v>England</v>
      </c>
      <c r="Y226" s="252">
        <f>IF(Year1_England Year1_CP_Plans_ceased="","",Year1_England Year1_CP_Plans_ceased)</f>
        <v>66970</v>
      </c>
      <c r="Z226" s="248">
        <f>IF(Year2_England Year2_CP_Plans_ceased="","",Year2_England Year2_CP_Plans_ceased)</f>
        <v>65200</v>
      </c>
      <c r="AA226" s="248">
        <f>IF(Year3_England Year3_CP_Plans_ceased="","",Year3_England Year3_CP_Plans_ceased)</f>
        <v>63130</v>
      </c>
      <c r="AB226" s="248">
        <f>IF(Year4_England Year4_CP_Plans_ceased="","",Year4_England Year4_CP_Plans_ceased)</f>
        <v>63910</v>
      </c>
      <c r="AC226" s="352">
        <f>IF(Year5_England Year5_CP_Plans_ceased="","",Year5_England Year5_CP_Plans_ceased)</f>
        <v>62870</v>
      </c>
      <c r="AD226" s="252" t="str">
        <f t="shared" si="70"/>
        <v>England</v>
      </c>
      <c r="AE226" s="248">
        <f>IF(Year1_England Year1_CP_Plans_ceased_2years="","",Year1_England Year1_CP_Plans_ceased_2years)</f>
        <v>2400</v>
      </c>
      <c r="AF226" s="248">
        <f>IF(Year2_England Year2_CP_Plans_ceased_2years="","",Year2_England Year2_CP_Plans_ceased_2years)</f>
        <v>2410</v>
      </c>
      <c r="AG226" s="248">
        <f>IF(Year3_England Year3_CP_Plans_ceased_2years="","",Year3_England Year3_CP_Plans_ceased_2years)</f>
        <v>2360</v>
      </c>
      <c r="AH226" s="248">
        <f>IF(Year4_England Year4_CP_Plans_ceased_2years="","",Year4_England Year4_CP_Plans_ceased_2years)</f>
        <v>2480</v>
      </c>
      <c r="AI226" s="248">
        <f>IF(Year5_England Year5_CP_Plans_ceased_2years="","",Year5_England Year5_CP_Plans_ceased_2years)</f>
        <v>2400</v>
      </c>
      <c r="AJ226" s="121"/>
    </row>
    <row r="227" spans="1:76" s="61" customFormat="1" ht="13.5" customHeight="1">
      <c r="A227" s="1103">
        <f>VLOOKUP(B227,ReportData!$AQ$4:$AR$25,2,FALSE)</f>
        <v>0</v>
      </c>
      <c r="B227" s="885" t="str">
        <f t="shared" si="71"/>
        <v>Windsor &amp; Maidenhead</v>
      </c>
      <c r="C227" s="896"/>
      <c r="D227" s="922">
        <f t="shared" si="77"/>
        <v>4.6511627906976744E-2</v>
      </c>
      <c r="E227" s="922" t="e">
        <f t="shared" si="77"/>
        <v>#N/A</v>
      </c>
      <c r="F227" s="922" t="e">
        <f t="shared" si="77"/>
        <v>#N/A</v>
      </c>
      <c r="G227" s="922">
        <f t="shared" si="77"/>
        <v>3.4188034188034191E-2</v>
      </c>
      <c r="H227" s="923" t="e">
        <f t="shared" si="77"/>
        <v>#N/A</v>
      </c>
      <c r="I227" s="68"/>
      <c r="J227" s="68"/>
      <c r="K227" s="127"/>
      <c r="L227" s="127"/>
      <c r="M227" s="127"/>
      <c r="N227" s="127"/>
      <c r="O227" s="127"/>
      <c r="P227" s="127"/>
      <c r="Q227" s="127"/>
      <c r="R227" s="128"/>
      <c r="S227" s="120"/>
      <c r="T227" s="127"/>
      <c r="U227" s="89"/>
      <c r="V227" s="103"/>
      <c r="W227" s="114"/>
      <c r="X227" s="52"/>
      <c r="Y227" s="52"/>
      <c r="Z227" s="56"/>
      <c r="AA227" s="56"/>
      <c r="AB227" s="56"/>
      <c r="AC227" s="56"/>
      <c r="AD227" s="56"/>
      <c r="AH227" s="141"/>
      <c r="AJ227" s="121"/>
    </row>
    <row r="228" spans="1:76" s="61" customFormat="1" ht="13.5" customHeight="1">
      <c r="A228" s="1103">
        <f>VLOOKUP(B228,ReportData!$AQ$4:$AR$25,2,FALSE)</f>
        <v>0</v>
      </c>
      <c r="B228" s="885" t="str">
        <f t="shared" si="71"/>
        <v>Wokingham</v>
      </c>
      <c r="C228" s="896"/>
      <c r="D228" s="922" t="e">
        <f t="shared" si="77"/>
        <v>#N/A</v>
      </c>
      <c r="E228" s="922" t="e">
        <f t="shared" si="77"/>
        <v>#N/A</v>
      </c>
      <c r="F228" s="922">
        <f t="shared" si="77"/>
        <v>7.909604519774012E-2</v>
      </c>
      <c r="G228" s="922">
        <f t="shared" si="77"/>
        <v>6.2068965517241378E-2</v>
      </c>
      <c r="H228" s="923">
        <f t="shared" si="77"/>
        <v>5.0955414012738856E-2</v>
      </c>
      <c r="I228" s="68"/>
      <c r="J228" s="68"/>
      <c r="K228" s="127"/>
      <c r="L228" s="127"/>
      <c r="M228" s="127"/>
      <c r="N228" s="127"/>
      <c r="O228" s="127"/>
      <c r="P228" s="127"/>
      <c r="Q228" s="127"/>
      <c r="R228" s="128"/>
      <c r="S228" s="120"/>
      <c r="T228" s="127"/>
      <c r="U228" s="89"/>
      <c r="V228" s="103"/>
      <c r="W228" s="114"/>
      <c r="X228" s="56"/>
      <c r="Y228" s="56"/>
      <c r="Z228" s="56"/>
      <c r="AA228" s="56"/>
      <c r="AB228" s="56"/>
      <c r="AC228" s="147"/>
      <c r="AD228" s="149"/>
      <c r="AE228" s="52"/>
      <c r="AF228" s="52"/>
      <c r="AG228" s="52"/>
      <c r="AH228" s="56"/>
      <c r="AI228" s="52"/>
      <c r="AJ228" s="122"/>
      <c r="AK228" s="56"/>
      <c r="AL228" s="56"/>
      <c r="AM228" s="56"/>
      <c r="AN228" s="56"/>
      <c r="AO228" s="56"/>
      <c r="AP228" s="56"/>
      <c r="AQ228" s="56"/>
      <c r="AR228" s="56"/>
      <c r="AS228" s="56"/>
      <c r="AT228" s="56"/>
      <c r="AU228" s="56"/>
      <c r="AV228" s="56"/>
      <c r="AW228" s="56"/>
      <c r="AX228" s="56"/>
    </row>
    <row r="229" spans="1:76" s="61" customFormat="1" ht="13.5" customHeight="1">
      <c r="A229" s="1148"/>
      <c r="B229" s="886" t="str">
        <f t="shared" si="71"/>
        <v>South East</v>
      </c>
      <c r="C229" s="896"/>
      <c r="D229" s="924">
        <f t="shared" si="77"/>
        <v>5.0632911392405063E-2</v>
      </c>
      <c r="E229" s="924">
        <f t="shared" si="77"/>
        <v>4.2520293776575187E-2</v>
      </c>
      <c r="F229" s="924">
        <f t="shared" si="77"/>
        <v>3.3468559837728194E-2</v>
      </c>
      <c r="G229" s="924">
        <f t="shared" si="77"/>
        <v>4.3767840152235969E-2</v>
      </c>
      <c r="H229" s="925">
        <f t="shared" si="77"/>
        <v>4.3922369765066395E-2</v>
      </c>
      <c r="I229" s="68"/>
      <c r="J229" s="68"/>
      <c r="K229" s="129"/>
      <c r="L229" s="129"/>
      <c r="M229" s="129"/>
      <c r="N229" s="129"/>
      <c r="O229" s="129"/>
      <c r="P229" s="129"/>
      <c r="Q229" s="129"/>
      <c r="R229" s="130"/>
      <c r="S229" s="120"/>
      <c r="T229" s="131"/>
      <c r="U229" s="89"/>
      <c r="V229" s="103"/>
      <c r="W229" s="114"/>
      <c r="X229" s="56"/>
      <c r="Y229" s="141"/>
      <c r="Z229" s="56"/>
      <c r="AA229" s="56"/>
      <c r="AB229" s="56"/>
      <c r="AC229" s="56"/>
      <c r="AD229" s="149"/>
      <c r="AE229" s="52"/>
      <c r="AF229" s="52"/>
      <c r="AG229" s="52"/>
      <c r="AH229" s="56"/>
      <c r="AI229" s="52"/>
      <c r="AJ229" s="122"/>
      <c r="AK229" s="56"/>
      <c r="AL229" s="56"/>
      <c r="AM229" s="56"/>
      <c r="AN229" s="56"/>
      <c r="AO229" s="56"/>
      <c r="AP229" s="56"/>
      <c r="AQ229" s="56"/>
      <c r="AR229" s="56"/>
      <c r="AS229" s="56"/>
      <c r="AT229" s="56"/>
      <c r="AU229" s="56"/>
      <c r="AV229" s="56"/>
      <c r="AW229" s="56"/>
      <c r="AX229" s="56"/>
    </row>
    <row r="230" spans="1:76" s="61" customFormat="1" ht="13.5" customHeight="1">
      <c r="A230" s="1148"/>
      <c r="B230" s="887" t="str">
        <f t="shared" si="71"/>
        <v>England</v>
      </c>
      <c r="C230" s="896"/>
      <c r="D230" s="926">
        <f t="shared" si="77"/>
        <v>3.5836941914289981E-2</v>
      </c>
      <c r="E230" s="926">
        <f t="shared" si="77"/>
        <v>3.6963190184049081E-2</v>
      </c>
      <c r="F230" s="926">
        <f t="shared" si="77"/>
        <v>3.7383177570093455E-2</v>
      </c>
      <c r="G230" s="926">
        <f t="shared" si="77"/>
        <v>3.8804568925050853E-2</v>
      </c>
      <c r="H230" s="927">
        <f t="shared" si="77"/>
        <v>3.8174009861619215E-2</v>
      </c>
      <c r="I230" s="68"/>
      <c r="J230" s="68"/>
      <c r="K230" s="129"/>
      <c r="L230" s="129"/>
      <c r="M230" s="129"/>
      <c r="N230" s="129"/>
      <c r="O230" s="129"/>
      <c r="P230" s="129"/>
      <c r="Q230" s="129"/>
      <c r="R230" s="130"/>
      <c r="S230" s="120"/>
      <c r="T230" s="131"/>
      <c r="U230" s="89"/>
      <c r="V230" s="103"/>
      <c r="W230" s="114"/>
      <c r="X230" s="56"/>
      <c r="Y230" s="141"/>
      <c r="Z230" s="56"/>
      <c r="AA230" s="56"/>
      <c r="AB230" s="56"/>
      <c r="AC230" s="56"/>
      <c r="AD230" s="149"/>
      <c r="AE230" s="52"/>
      <c r="AF230" s="52"/>
      <c r="AG230" s="52"/>
      <c r="AH230" s="56"/>
      <c r="AI230" s="52"/>
      <c r="AJ230" s="122"/>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row>
    <row r="231" spans="1:76" s="61" customFormat="1" ht="6" customHeight="1">
      <c r="A231" s="217"/>
      <c r="B231" s="68"/>
      <c r="C231" s="68"/>
      <c r="D231" s="68"/>
      <c r="E231" s="68"/>
      <c r="F231" s="68"/>
      <c r="G231" s="68"/>
      <c r="H231" s="68"/>
      <c r="I231" s="68"/>
      <c r="J231" s="68"/>
      <c r="K231" s="129"/>
      <c r="L231" s="129"/>
      <c r="M231" s="129"/>
      <c r="N231" s="129"/>
      <c r="O231" s="129"/>
      <c r="P231" s="129"/>
      <c r="Q231" s="129"/>
      <c r="R231" s="130"/>
      <c r="S231" s="120"/>
      <c r="T231" s="131"/>
      <c r="U231" s="89"/>
      <c r="V231" s="103"/>
      <c r="W231" s="114"/>
      <c r="X231" s="56"/>
      <c r="Y231" s="141"/>
      <c r="Z231" s="56"/>
      <c r="AA231" s="56"/>
      <c r="AB231" s="56"/>
      <c r="AC231" s="56"/>
      <c r="AD231" s="56"/>
      <c r="AE231" s="56"/>
      <c r="AF231" s="56"/>
      <c r="AG231" s="56"/>
      <c r="AH231" s="56"/>
      <c r="AI231" s="52"/>
      <c r="AJ231" s="119"/>
      <c r="AK231" s="52"/>
      <c r="AL231" s="52"/>
      <c r="AM231" s="52"/>
      <c r="AN231" s="52"/>
      <c r="AO231" s="52"/>
      <c r="AP231" s="52"/>
      <c r="AQ231" s="52"/>
      <c r="AR231" s="56"/>
      <c r="AS231" s="56"/>
      <c r="AT231" s="56"/>
      <c r="AU231" s="56"/>
      <c r="AV231" s="56"/>
      <c r="AW231" s="56"/>
      <c r="AX231" s="56"/>
      <c r="AY231" s="56"/>
      <c r="AZ231" s="56"/>
      <c r="BA231" s="56"/>
      <c r="BB231" s="56"/>
      <c r="BC231" s="56"/>
      <c r="BD231" s="56"/>
      <c r="BE231" s="56"/>
      <c r="BF231" s="56"/>
    </row>
    <row r="232" spans="1:76" s="61" customFormat="1" ht="39" customHeight="1">
      <c r="A232" s="166"/>
      <c r="B232" s="171"/>
      <c r="C232" s="171"/>
      <c r="D232" s="171"/>
      <c r="E232" s="171"/>
      <c r="F232" s="171"/>
      <c r="G232" s="171"/>
      <c r="H232" s="171"/>
      <c r="I232" s="171"/>
      <c r="J232" s="133"/>
      <c r="K232" s="133"/>
      <c r="L232" s="133"/>
      <c r="M232" s="133"/>
      <c r="N232" s="133"/>
      <c r="O232" s="133"/>
      <c r="P232" s="133"/>
      <c r="Q232" s="133"/>
      <c r="R232" s="101"/>
      <c r="S232" s="133"/>
      <c r="T232" s="133"/>
      <c r="U232" s="86"/>
      <c r="V232" s="102"/>
      <c r="W232" s="114"/>
      <c r="X232" s="56"/>
      <c r="Y232" s="56"/>
      <c r="Z232" s="56"/>
      <c r="AA232" s="56"/>
      <c r="AB232" s="56"/>
      <c r="AC232" s="56"/>
      <c r="AD232" s="56"/>
      <c r="AE232" s="56"/>
      <c r="AF232" s="56"/>
      <c r="AG232" s="56"/>
      <c r="AH232" s="56"/>
      <c r="AI232" s="56"/>
      <c r="AJ232" s="122"/>
      <c r="AK232" s="56"/>
      <c r="AL232" s="56"/>
      <c r="AM232" s="56"/>
      <c r="AN232" s="56"/>
      <c r="AO232" s="56"/>
      <c r="AP232" s="56"/>
      <c r="AQ232" s="56"/>
      <c r="AR232" s="56"/>
      <c r="AS232" s="52"/>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row>
    <row r="233" spans="1:76" s="61" customFormat="1" ht="39" customHeight="1">
      <c r="A233" s="166"/>
      <c r="B233" s="171"/>
      <c r="C233" s="171"/>
      <c r="D233" s="171"/>
      <c r="E233" s="171"/>
      <c r="F233" s="171"/>
      <c r="G233" s="171"/>
      <c r="H233" s="171"/>
      <c r="I233" s="171"/>
      <c r="J233" s="133"/>
      <c r="K233" s="133"/>
      <c r="L233" s="133"/>
      <c r="M233" s="133"/>
      <c r="N233" s="133"/>
      <c r="O233" s="133"/>
      <c r="P233" s="133"/>
      <c r="Q233" s="133"/>
      <c r="R233" s="101"/>
      <c r="S233" s="133"/>
      <c r="T233" s="133"/>
      <c r="U233" s="86"/>
      <c r="V233" s="102"/>
      <c r="W233" s="114"/>
      <c r="X233" s="56"/>
      <c r="Y233" s="56"/>
      <c r="Z233" s="56"/>
      <c r="AA233" s="56"/>
      <c r="AB233" s="56"/>
      <c r="AC233" s="56"/>
      <c r="AD233" s="56"/>
      <c r="AE233" s="56"/>
      <c r="AF233" s="56"/>
      <c r="AG233" s="56"/>
      <c r="AH233" s="56"/>
      <c r="AI233" s="52"/>
      <c r="AJ233" s="121"/>
      <c r="AL233" s="56"/>
      <c r="AM233" s="56"/>
      <c r="AN233" s="56"/>
      <c r="AO233" s="56"/>
      <c r="AP233" s="56"/>
      <c r="AQ233" s="56"/>
      <c r="AR233" s="56"/>
      <c r="AS233" s="52"/>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row>
    <row r="234" spans="1:76" s="61" customFormat="1" ht="47.25" customHeight="1">
      <c r="A234" s="288"/>
      <c r="B234" s="171"/>
      <c r="C234" s="171"/>
      <c r="D234" s="171"/>
      <c r="E234" s="171"/>
      <c r="F234" s="171"/>
      <c r="G234" s="171"/>
      <c r="H234" s="171"/>
      <c r="I234" s="171"/>
      <c r="J234" s="133"/>
      <c r="K234" s="133"/>
      <c r="L234" s="133"/>
      <c r="M234" s="133"/>
      <c r="N234" s="133"/>
      <c r="O234" s="133"/>
      <c r="P234" s="133"/>
      <c r="Q234" s="133"/>
      <c r="R234" s="101"/>
      <c r="S234" s="133"/>
      <c r="T234" s="133"/>
      <c r="U234" s="86"/>
      <c r="V234" s="121"/>
      <c r="W234" s="114"/>
      <c r="X234" s="56"/>
      <c r="Y234" s="56"/>
      <c r="Z234" s="56"/>
      <c r="AA234" s="56"/>
      <c r="AB234" s="56"/>
      <c r="AC234" s="56"/>
      <c r="AD234" s="56"/>
      <c r="AE234" s="56"/>
      <c r="AF234" s="56"/>
      <c r="AG234" s="56"/>
      <c r="AH234" s="56"/>
      <c r="AI234" s="52"/>
      <c r="AJ234" s="121"/>
      <c r="AL234" s="56"/>
      <c r="AM234" s="56"/>
      <c r="AN234" s="56"/>
      <c r="AO234" s="56"/>
      <c r="AP234" s="56"/>
      <c r="AQ234" s="56"/>
      <c r="AR234" s="56"/>
      <c r="AS234" s="52"/>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row>
    <row r="235" spans="1:76" s="61" customFormat="1" ht="7.5" customHeight="1">
      <c r="A235" s="288"/>
      <c r="B235" s="171"/>
      <c r="C235" s="171"/>
      <c r="D235" s="171"/>
      <c r="E235" s="171"/>
      <c r="F235" s="171"/>
      <c r="G235" s="171"/>
      <c r="H235" s="171"/>
      <c r="I235" s="171"/>
      <c r="J235" s="133"/>
      <c r="K235" s="133"/>
      <c r="L235" s="133"/>
      <c r="M235" s="133"/>
      <c r="N235" s="133"/>
      <c r="O235" s="133"/>
      <c r="P235" s="133"/>
      <c r="Q235" s="133"/>
      <c r="R235" s="101"/>
      <c r="S235" s="133"/>
      <c r="T235" s="133"/>
      <c r="U235" s="86"/>
      <c r="V235" s="185"/>
      <c r="W235" s="114"/>
      <c r="X235" s="56"/>
      <c r="Y235" s="56"/>
      <c r="Z235" s="56"/>
      <c r="AA235" s="56"/>
      <c r="AB235" s="56"/>
      <c r="AC235" s="56"/>
      <c r="AD235" s="56"/>
      <c r="AE235" s="56"/>
      <c r="AF235" s="56"/>
      <c r="AG235" s="56"/>
      <c r="AH235" s="56"/>
      <c r="AI235" s="52"/>
      <c r="AJ235" s="121"/>
      <c r="AL235" s="56"/>
      <c r="AM235" s="56"/>
      <c r="AN235" s="56"/>
      <c r="AO235" s="56"/>
      <c r="AP235" s="56"/>
      <c r="AQ235" s="56"/>
      <c r="AR235" s="56"/>
      <c r="AS235" s="52"/>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row>
    <row r="236" spans="1:76" s="56" customFormat="1" ht="15" customHeight="1">
      <c r="A236" s="1565"/>
      <c r="B236" s="1751"/>
      <c r="C236" s="1751"/>
      <c r="D236" s="1751"/>
      <c r="E236" s="1751"/>
      <c r="F236" s="1751"/>
      <c r="G236" s="1751"/>
      <c r="H236" s="1751"/>
      <c r="I236" s="1751"/>
      <c r="J236" s="1751"/>
      <c r="K236" s="1751"/>
      <c r="L236" s="1751"/>
      <c r="M236" s="1751"/>
      <c r="N236" s="1751"/>
      <c r="O236" s="1751"/>
      <c r="P236" s="1751"/>
      <c r="Q236" s="1751"/>
      <c r="R236" s="1751"/>
      <c r="S236" s="1751"/>
      <c r="T236" s="1751"/>
      <c r="U236" s="1752"/>
      <c r="V236" s="185"/>
      <c r="W236" s="114"/>
      <c r="AJ236" s="12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row>
    <row r="237" spans="1:76" s="56" customFormat="1" ht="11.25" customHeight="1">
      <c r="A237" s="1739"/>
      <c r="B237" s="1740"/>
      <c r="C237" s="1740"/>
      <c r="D237" s="1740"/>
      <c r="E237" s="1740"/>
      <c r="F237" s="1740"/>
      <c r="G237" s="1740"/>
      <c r="H237" s="1740"/>
      <c r="I237" s="1741"/>
      <c r="J237" s="1740"/>
      <c r="K237" s="1740"/>
      <c r="L237" s="1740"/>
      <c r="M237" s="1740"/>
      <c r="N237" s="1740"/>
      <c r="O237" s="1740"/>
      <c r="P237" s="1742"/>
      <c r="Q237" s="1740"/>
      <c r="R237" s="1740"/>
      <c r="S237" s="1741"/>
      <c r="T237" s="1740"/>
      <c r="U237" s="1743"/>
      <c r="V237" s="185"/>
      <c r="W237" s="114"/>
      <c r="AJ237" s="12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row>
    <row r="238" spans="1:76" s="56" customFormat="1" ht="10.5" customHeight="1">
      <c r="A238" s="81"/>
      <c r="B238" s="82"/>
      <c r="C238" s="82"/>
      <c r="D238" s="82"/>
      <c r="E238" s="82"/>
      <c r="F238" s="82"/>
      <c r="G238" s="82"/>
      <c r="H238" s="82"/>
      <c r="I238" s="82"/>
      <c r="J238" s="83"/>
      <c r="K238" s="82"/>
      <c r="L238" s="82"/>
      <c r="M238" s="82"/>
      <c r="N238" s="82"/>
      <c r="O238" s="82"/>
      <c r="P238" s="82"/>
      <c r="Q238" s="82"/>
      <c r="R238" s="82"/>
      <c r="S238" s="82"/>
      <c r="T238" s="82"/>
      <c r="U238" s="84"/>
      <c r="V238" s="102"/>
      <c r="W238" s="114"/>
      <c r="AJ238" s="121"/>
      <c r="AK238" s="61"/>
      <c r="AL238" s="61"/>
      <c r="AM238" s="61"/>
      <c r="AN238" s="61"/>
      <c r="AO238" s="61"/>
      <c r="AP238" s="61"/>
      <c r="AQ238" s="61"/>
      <c r="AR238" s="61"/>
      <c r="AS238" s="61"/>
      <c r="AT238" s="61"/>
      <c r="AU238" s="61"/>
      <c r="AV238" s="61"/>
      <c r="AW238" s="61"/>
      <c r="AX238" s="61"/>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row>
    <row r="239" spans="1:76" s="56" customFormat="1" ht="18.75" customHeight="1">
      <c r="A239" s="87"/>
      <c r="B239" s="1903" t="s">
        <v>1275</v>
      </c>
      <c r="C239" s="1903"/>
      <c r="D239" s="1903"/>
      <c r="E239" s="1903"/>
      <c r="F239" s="1903"/>
      <c r="G239" s="1903"/>
      <c r="H239" s="1903"/>
      <c r="I239" s="1177"/>
      <c r="J239" s="50"/>
      <c r="K239" s="50"/>
      <c r="L239" s="50"/>
      <c r="M239" s="50"/>
      <c r="N239" s="224"/>
      <c r="O239" s="50"/>
      <c r="P239" s="50"/>
      <c r="Q239" s="50"/>
      <c r="R239" s="50"/>
      <c r="S239" s="50"/>
      <c r="T239" s="50"/>
      <c r="U239" s="86"/>
      <c r="V239" s="102"/>
      <c r="W239" s="114"/>
      <c r="AJ239" s="122"/>
      <c r="AK239" s="61"/>
      <c r="AL239" s="61"/>
      <c r="AM239" s="61"/>
      <c r="AN239" s="61"/>
      <c r="AO239" s="61"/>
      <c r="AP239" s="61"/>
      <c r="AQ239" s="61"/>
      <c r="AR239" s="61"/>
      <c r="AS239" s="61"/>
      <c r="AT239" s="61"/>
      <c r="AU239" s="61"/>
      <c r="AV239" s="61"/>
      <c r="AW239" s="61"/>
      <c r="AX239" s="61"/>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row>
    <row r="240" spans="1:76" ht="18.75" customHeight="1">
      <c r="A240" s="87"/>
      <c r="B240" s="1903"/>
      <c r="C240" s="1903"/>
      <c r="D240" s="1903"/>
      <c r="E240" s="1903"/>
      <c r="F240" s="1903"/>
      <c r="G240" s="1903"/>
      <c r="H240" s="1903"/>
      <c r="I240" s="1177"/>
      <c r="J240" s="50"/>
      <c r="K240" s="50"/>
      <c r="L240" s="50"/>
      <c r="M240" s="50"/>
      <c r="N240" s="224"/>
      <c r="O240" s="50"/>
      <c r="P240" s="50"/>
      <c r="Q240" s="50"/>
      <c r="R240" s="5"/>
      <c r="S240" s="50"/>
      <c r="T240" s="50"/>
      <c r="U240" s="86"/>
      <c r="V240" s="102"/>
      <c r="W240" s="114"/>
      <c r="X240" s="249" t="s">
        <v>128</v>
      </c>
      <c r="Y240" s="250"/>
      <c r="Z240" s="251"/>
      <c r="AA240" s="251"/>
      <c r="AB240" s="251"/>
      <c r="AD240" s="249" t="s">
        <v>129</v>
      </c>
      <c r="AE240" s="250"/>
      <c r="AF240" s="251"/>
      <c r="AG240" s="251"/>
      <c r="AH240" s="251"/>
      <c r="AI240" s="56"/>
      <c r="AJ240" s="12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row>
    <row r="241" spans="1:76" ht="16.5" customHeight="1">
      <c r="A241" s="208"/>
      <c r="B241" s="1749" t="s">
        <v>177</v>
      </c>
      <c r="C241" s="230"/>
      <c r="D241" s="1088" t="str">
        <f>ReportData!$D$27</f>
        <v>2019/20</v>
      </c>
      <c r="E241" s="1088" t="str">
        <f>ReportData!$E$27</f>
        <v>2020/21</v>
      </c>
      <c r="F241" s="1088" t="str">
        <f>ReportData!$F$27</f>
        <v>2021/22</v>
      </c>
      <c r="G241" s="1088" t="str">
        <f>ReportData!$G$27</f>
        <v>2022/23</v>
      </c>
      <c r="H241" s="1089" t="str">
        <f>ReportData!$H$27</f>
        <v>2023/24</v>
      </c>
      <c r="I241" s="527"/>
      <c r="J241" s="50"/>
      <c r="K241" s="50"/>
      <c r="L241" s="50"/>
      <c r="M241" s="50"/>
      <c r="N241" s="224"/>
      <c r="O241" s="50"/>
      <c r="P241" s="50"/>
      <c r="Q241" s="50"/>
      <c r="R241" s="5"/>
      <c r="S241" s="50"/>
      <c r="T241" s="50"/>
      <c r="U241" s="86"/>
      <c r="V241" s="102"/>
      <c r="W241" s="114"/>
      <c r="X241" s="251"/>
      <c r="Y241" s="250"/>
      <c r="Z241" s="251"/>
      <c r="AA241" s="251"/>
      <c r="AB241" s="251"/>
      <c r="AD241" s="251"/>
      <c r="AE241" s="250"/>
      <c r="AF241" s="251"/>
      <c r="AG241" s="251"/>
      <c r="AH241" s="251"/>
      <c r="AI241" s="56"/>
      <c r="AJ241" s="122"/>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row>
    <row r="242" spans="1:76" ht="17.25" customHeight="1">
      <c r="A242" s="88"/>
      <c r="B242" s="1750"/>
      <c r="C242" s="59"/>
      <c r="D242" s="897" t="e">
        <f>ReportData!$D$28</f>
        <v>#N/A</v>
      </c>
      <c r="E242" s="897" t="e">
        <f>ReportData!$E$28</f>
        <v>#N/A</v>
      </c>
      <c r="F242" s="897" t="e">
        <f>ReportData!$F$28</f>
        <v>#N/A</v>
      </c>
      <c r="G242" s="897" t="e">
        <f>ReportData!$G$28</f>
        <v>#N/A</v>
      </c>
      <c r="H242" s="920" t="e">
        <f>ReportData!$H$28</f>
        <v>#N/A</v>
      </c>
      <c r="I242" s="68"/>
      <c r="J242" s="68"/>
      <c r="K242" s="43"/>
      <c r="L242" s="43"/>
      <c r="M242" s="43"/>
      <c r="N242" s="43"/>
      <c r="O242" s="43"/>
      <c r="P242" s="43"/>
      <c r="Q242" s="225"/>
      <c r="R242" s="225"/>
      <c r="S242" s="120"/>
      <c r="T242" s="226"/>
      <c r="U242" s="89"/>
      <c r="V242" s="103"/>
      <c r="W242" s="114"/>
      <c r="X242" s="435"/>
      <c r="Y242" s="436" t="e">
        <f>D242</f>
        <v>#N/A</v>
      </c>
      <c r="Z242" s="354" t="e">
        <f>E242</f>
        <v>#N/A</v>
      </c>
      <c r="AA242" s="354" t="e">
        <f>F242</f>
        <v>#N/A</v>
      </c>
      <c r="AB242" s="354" t="e">
        <f>G242</f>
        <v>#N/A</v>
      </c>
      <c r="AC242" s="267" t="e">
        <f>H242</f>
        <v>#N/A</v>
      </c>
      <c r="AD242" s="437"/>
      <c r="AE242" s="354" t="e">
        <f>Y242</f>
        <v>#N/A</v>
      </c>
      <c r="AF242" s="354" t="e">
        <f>Z242</f>
        <v>#N/A</v>
      </c>
      <c r="AG242" s="354" t="e">
        <f>AA242</f>
        <v>#N/A</v>
      </c>
      <c r="AH242" s="354" t="e">
        <f>AB242</f>
        <v>#N/A</v>
      </c>
      <c r="AI242" s="354" t="e">
        <f>AC242</f>
        <v>#N/A</v>
      </c>
      <c r="AJ242" s="12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row>
    <row r="243" spans="1:76" ht="13.5" customHeight="1">
      <c r="A243" s="1103">
        <f>VLOOKUP(B243,ReportData!$AQ$4:$AR$25,2,FALSE)</f>
        <v>0</v>
      </c>
      <c r="B243" s="885" t="str">
        <f t="shared" ref="B243:B263" si="78">B11</f>
        <v>Bracknell Forest</v>
      </c>
      <c r="C243" s="59"/>
      <c r="D243" s="922">
        <f t="shared" ref="D243:D263" si="79">IF(AND(ISNUMBER(AE243),ISNUMBER(Y243)),AE243/Y243,NA())</f>
        <v>0.2391304347826087</v>
      </c>
      <c r="E243" s="922">
        <f t="shared" ref="E243:E263" si="80">IF(AND(ISNUMBER(AF243),ISNUMBER(Z243)),AF243/Z243,NA())</f>
        <v>0.19248826291079812</v>
      </c>
      <c r="F243" s="922">
        <f t="shared" ref="F243:F263" si="81">IF(AND(ISNUMBER(AG243),ISNUMBER(AA243)),AG243/AA243,NA())</f>
        <v>0.23430962343096234</v>
      </c>
      <c r="G243" s="922">
        <f t="shared" ref="G243:G263" si="82">IF(AND(ISNUMBER(AH243),ISNUMBER(AB243)),AH243/AB243,NA())</f>
        <v>0.33333333333333331</v>
      </c>
      <c r="H243" s="923">
        <f t="shared" ref="H243:H263" si="83">IF(AND(ISNUMBER(AI243),ISNUMBER(AC243)),AI243/AC243,NA())</f>
        <v>0.23529411764705882</v>
      </c>
      <c r="I243" s="68"/>
      <c r="J243" s="68"/>
      <c r="K243" s="127"/>
      <c r="L243" s="127"/>
      <c r="M243" s="127"/>
      <c r="N243" s="127"/>
      <c r="O243" s="127"/>
      <c r="P243" s="127"/>
      <c r="Q243" s="127"/>
      <c r="R243" s="128"/>
      <c r="S243" s="120"/>
      <c r="T243" s="127"/>
      <c r="U243" s="89"/>
      <c r="V243" s="103"/>
      <c r="W243" s="114"/>
      <c r="X243" s="435" t="str">
        <f t="shared" ref="X243:X263" si="84">B243</f>
        <v>Bracknell Forest</v>
      </c>
      <c r="Y243" s="436">
        <f>IF(Year1_Bracknell_Forest Year1_CP_Plans_became_subject="","",Year1_Bracknell_Forest Year1_CP_Plans_became_subject)</f>
        <v>184</v>
      </c>
      <c r="Z243" s="438">
        <f>IF(Year2_Bracknell_Forest Year2_CP_Plans_became_subject="","",Year2_Bracknell_Forest Year2_CP_Plans_became_subject)</f>
        <v>213</v>
      </c>
      <c r="AA243" s="438">
        <f>IF(Year3_Bracknell_Forest Year3_CP_Plans_became_subject="","",Year3_Bracknell_Forest Year3_CP_Plans_became_subject)</f>
        <v>239</v>
      </c>
      <c r="AB243" s="438">
        <f>IF(Year4_Bracknell_Forest Year4_CP_Plans_became_subject="","",Year4_Bracknell_Forest Year4_CP_Plans_became_subject)</f>
        <v>198</v>
      </c>
      <c r="AC243" s="435">
        <f>IF(Year5_Bracknell_Forest Year5_CP_Plans_became_subject="","",Year5_Bracknell_Forest Year5_CP_Plans_became_subject)</f>
        <v>119</v>
      </c>
      <c r="AD243" s="437" t="str">
        <f>X243</f>
        <v>Bracknell Forest</v>
      </c>
      <c r="AE243" s="354">
        <f>IF(Year1_Bracknell_Forest Year1_CP_Plans_became_subject_second="","",Year1_Bracknell_Forest Year1_CP_Plans_became_subject_second)</f>
        <v>44</v>
      </c>
      <c r="AF243" s="438">
        <f>IF(Year2_Bracknell_Forest Year2_CP_Plans_became_subject_second="","",Year2_Bracknell_Forest Year2_CP_Plans_became_subject_second)</f>
        <v>41</v>
      </c>
      <c r="AG243" s="438">
        <f>IF(Year3_Bracknell_Forest Year3_CP_Plans_became_subject_second="","",Year3_Bracknell_Forest Year3_CP_Plans_became_subject_second)</f>
        <v>56</v>
      </c>
      <c r="AH243" s="438">
        <f>IF(Year4_Bracknell_Forest Year4_CP_Plans_became_subject_second="","",Year4_Bracknell_Forest Year4_CP_Plans_became_subject_second)</f>
        <v>66</v>
      </c>
      <c r="AI243" s="438">
        <f>IF(Year5_Bracknell_Forest Year5_CP_Plans_became_subject_second="","",Year5_Bracknell_Forest Year5_CP_Plans_became_subject_second)</f>
        <v>28</v>
      </c>
      <c r="AJ243" s="122"/>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row>
    <row r="244" spans="1:76" s="61" customFormat="1" ht="13.5" customHeight="1">
      <c r="A244" s="1103">
        <f>VLOOKUP(B244,ReportData!$AQ$4:$AR$25,2,FALSE)</f>
        <v>0</v>
      </c>
      <c r="B244" s="885" t="str">
        <f t="shared" si="78"/>
        <v>Brighton &amp; Hove</v>
      </c>
      <c r="C244" s="59"/>
      <c r="D244" s="922">
        <f t="shared" si="79"/>
        <v>0.26785714285714285</v>
      </c>
      <c r="E244" s="922">
        <f t="shared" si="80"/>
        <v>0.24374999999999999</v>
      </c>
      <c r="F244" s="922">
        <f t="shared" si="81"/>
        <v>0.27044025157232704</v>
      </c>
      <c r="G244" s="922">
        <f t="shared" si="82"/>
        <v>0.33333333333333331</v>
      </c>
      <c r="H244" s="923">
        <f t="shared" si="83"/>
        <v>0.24210526315789474</v>
      </c>
      <c r="I244" s="68"/>
      <c r="J244" s="68"/>
      <c r="K244" s="127"/>
      <c r="L244" s="127"/>
      <c r="M244" s="127"/>
      <c r="N244" s="127"/>
      <c r="O244" s="127"/>
      <c r="P244" s="127"/>
      <c r="Q244" s="127"/>
      <c r="R244" s="128"/>
      <c r="S244" s="120"/>
      <c r="T244" s="127"/>
      <c r="U244" s="89"/>
      <c r="V244" s="103"/>
      <c r="W244" s="114"/>
      <c r="X244" s="435" t="str">
        <f t="shared" si="84"/>
        <v>Brighton &amp; Hove</v>
      </c>
      <c r="Y244" s="436">
        <f>IF(Year1_Brighton_and_Hove Year1_CP_Plans_became_subject="","",Year1_Brighton_and_Hove Year1_CP_Plans_became_subject)</f>
        <v>392</v>
      </c>
      <c r="Z244" s="438">
        <f>IF(Year2_Brighton_and_Hove Year2_CP_Plans_became_subject="","",Year2_Brighton_and_Hove Year2_CP_Plans_became_subject)</f>
        <v>320</v>
      </c>
      <c r="AA244" s="438">
        <f>IF(Year3_Brighton_and_Hove Year3_CP_Plans_became_subject="","",Year3_Brighton_and_Hove Year3_CP_Plans_became_subject)</f>
        <v>318</v>
      </c>
      <c r="AB244" s="438">
        <f>IF(Year4_Brighton_and_Hove Year4_CP_Plans_became_subject="","",Year4_Brighton_and_Hove Year4_CP_Plans_became_subject)</f>
        <v>318</v>
      </c>
      <c r="AC244" s="435">
        <f>IF(Year5_Brighton_and_Hove Year5_CP_Plans_became_subject="","",Year5_Brighton_and_Hove Year5_CP_Plans_became_subject)</f>
        <v>285</v>
      </c>
      <c r="AD244" s="437" t="str">
        <f t="shared" ref="AD244:AD263" si="85">X244</f>
        <v>Brighton &amp; Hove</v>
      </c>
      <c r="AE244" s="354">
        <f>IF(Year1_Brighton_and_Hove Year1_CP_Plans_became_subject_second="","",Year1_Brighton_and_Hove Year1_CP_Plans_became_subject_second)</f>
        <v>105</v>
      </c>
      <c r="AF244" s="438">
        <f>IF(Year2_Brighton_and_Hove Year2_CP_Plans_became_subject_second="","",Year2_Brighton_and_Hove Year2_CP_Plans_became_subject_second)</f>
        <v>78</v>
      </c>
      <c r="AG244" s="438">
        <f>IF(Year3_Brighton_and_Hove Year3_CP_Plans_became_subject_second="","",Year3_Brighton_and_Hove Year3_CP_Plans_became_subject_second)</f>
        <v>86</v>
      </c>
      <c r="AH244" s="438">
        <f>IF(Year4_Brighton_and_Hove Year4_CP_Plans_became_subject_second="","",Year4_Brighton_and_Hove Year4_CP_Plans_became_subject_second)</f>
        <v>106</v>
      </c>
      <c r="AI244" s="438">
        <f>IF(Year5_Brighton_and_Hove Year5_CP_Plans_became_subject_second="","",Year5_Brighton_and_Hove Year5_CP_Plans_became_subject_second)</f>
        <v>69</v>
      </c>
      <c r="AJ244" s="121"/>
      <c r="AR244" s="61" t="s">
        <v>95</v>
      </c>
    </row>
    <row r="245" spans="1:76" s="61" customFormat="1" ht="13.5" customHeight="1">
      <c r="A245" s="1103">
        <f>VLOOKUP(B245,ReportData!$AQ$4:$AR$25,2,FALSE)</f>
        <v>0</v>
      </c>
      <c r="B245" s="885" t="str">
        <f t="shared" si="78"/>
        <v>Buckinghamshire</v>
      </c>
      <c r="C245" s="59"/>
      <c r="D245" s="922">
        <f t="shared" si="79"/>
        <v>0.24523160762942781</v>
      </c>
      <c r="E245" s="922">
        <f t="shared" si="80"/>
        <v>0.24332810047095763</v>
      </c>
      <c r="F245" s="922">
        <f t="shared" si="81"/>
        <v>0.19387755102040816</v>
      </c>
      <c r="G245" s="922">
        <f t="shared" si="82"/>
        <v>0.25765765765765763</v>
      </c>
      <c r="H245" s="923">
        <f t="shared" si="83"/>
        <v>0.28413284132841327</v>
      </c>
      <c r="I245" s="68"/>
      <c r="J245" s="68"/>
      <c r="K245" s="127"/>
      <c r="L245" s="127"/>
      <c r="M245" s="127"/>
      <c r="N245" s="127"/>
      <c r="O245" s="127"/>
      <c r="P245" s="127"/>
      <c r="Q245" s="127"/>
      <c r="R245" s="128"/>
      <c r="S245" s="120"/>
      <c r="T245" s="127"/>
      <c r="U245" s="89"/>
      <c r="V245" s="103"/>
      <c r="W245" s="115"/>
      <c r="X245" s="435" t="str">
        <f t="shared" si="84"/>
        <v>Buckinghamshire</v>
      </c>
      <c r="Y245" s="436">
        <f>IF(Year1_Buckinghamshire Year1_CP_Plans_became_subject="","",Year1_Buckinghamshire Year1_CP_Plans_became_subject)</f>
        <v>734</v>
      </c>
      <c r="Z245" s="438">
        <f>IF(Year2_Buckinghamshire Year2_CP_Plans_became_subject="","",Year2_Buckinghamshire Year2_CP_Plans_became_subject)</f>
        <v>637</v>
      </c>
      <c r="AA245" s="438">
        <f>IF(Year3_Buckinghamshire Year3_CP_Plans_became_subject="","",Year3_Buckinghamshire Year3_CP_Plans_became_subject)</f>
        <v>882</v>
      </c>
      <c r="AB245" s="438">
        <f>IF(Year4_Buckinghamshire Year4_CP_Plans_became_subject="","",Year4_Buckinghamshire Year4_CP_Plans_became_subject)</f>
        <v>555</v>
      </c>
      <c r="AC245" s="435">
        <f>IF(Year5_Buckinghamshire Year5_CP_Plans_became_subject="","",Year5_Buckinghamshire Year5_CP_Plans_became_subject)</f>
        <v>542</v>
      </c>
      <c r="AD245" s="437" t="str">
        <f t="shared" si="85"/>
        <v>Buckinghamshire</v>
      </c>
      <c r="AE245" s="354">
        <f>IF(Year1_Buckinghamshire Year1_CP_Plans_became_subject_second="","",Year1_Buckinghamshire Year1_CP_Plans_became_subject_second)</f>
        <v>180</v>
      </c>
      <c r="AF245" s="438">
        <f>IF(Year2_Buckinghamshire Year2_CP_Plans_became_subject_second="","",Year2_Buckinghamshire Year2_CP_Plans_became_subject_second)</f>
        <v>155</v>
      </c>
      <c r="AG245" s="438">
        <f>IF(Year3_Buckinghamshire Year3_CP_Plans_became_subject_second="","",Year3_Buckinghamshire Year3_CP_Plans_became_subject_second)</f>
        <v>171</v>
      </c>
      <c r="AH245" s="438">
        <f>IF(Year4_Buckinghamshire Year4_CP_Plans_became_subject_second="","",Year4_Buckinghamshire Year4_CP_Plans_became_subject_second)</f>
        <v>143</v>
      </c>
      <c r="AI245" s="438">
        <f>IF(Year5_Buckinghamshire Year5_CP_Plans_became_subject_second="","",Year5_Buckinghamshire Year5_CP_Plans_became_subject_second)</f>
        <v>154</v>
      </c>
      <c r="AJ245" s="122"/>
    </row>
    <row r="246" spans="1:76" s="61" customFormat="1" ht="13.5" customHeight="1">
      <c r="A246" s="1103">
        <f>VLOOKUP(B246,ReportData!$AQ$4:$AR$25,2,FALSE)</f>
        <v>0</v>
      </c>
      <c r="B246" s="885" t="str">
        <f t="shared" si="78"/>
        <v>East Sussex</v>
      </c>
      <c r="C246" s="59"/>
      <c r="D246" s="922">
        <f t="shared" si="79"/>
        <v>0.25042301184433163</v>
      </c>
      <c r="E246" s="922">
        <f t="shared" si="80"/>
        <v>0.25948406676783003</v>
      </c>
      <c r="F246" s="922">
        <f t="shared" si="81"/>
        <v>0.31292517006802723</v>
      </c>
      <c r="G246" s="922">
        <f t="shared" si="82"/>
        <v>0.26666666666666666</v>
      </c>
      <c r="H246" s="923">
        <f t="shared" si="83"/>
        <v>0.26962962962962961</v>
      </c>
      <c r="I246" s="68"/>
      <c r="J246" s="68"/>
      <c r="K246" s="127"/>
      <c r="L246" s="127"/>
      <c r="M246" s="127"/>
      <c r="N246" s="127"/>
      <c r="O246" s="127"/>
      <c r="P246" s="127"/>
      <c r="Q246" s="127"/>
      <c r="R246" s="128"/>
      <c r="S246" s="120"/>
      <c r="T246" s="127"/>
      <c r="U246" s="89"/>
      <c r="V246" s="103"/>
      <c r="W246" s="115"/>
      <c r="X246" s="435" t="str">
        <f t="shared" si="84"/>
        <v>East Sussex</v>
      </c>
      <c r="Y246" s="436">
        <f>IF(Year1_East_Sussex Year1_CP_Plans_became_subject="","",Year1_East_Sussex Year1_CP_Plans_became_subject)</f>
        <v>591</v>
      </c>
      <c r="Z246" s="438">
        <f>IF(Year2_East_Sussex Year2_CP_Plans_became_subject="","",Year2_East_Sussex Year2_CP_Plans_became_subject)</f>
        <v>659</v>
      </c>
      <c r="AA246" s="438">
        <f>IF(Year3_East_Sussex Year3_CP_Plans_became_subject="","",Year3_East_Sussex Year3_CP_Plans_became_subject)</f>
        <v>588</v>
      </c>
      <c r="AB246" s="438">
        <f>IF(Year4_East_Sussex Year4_CP_Plans_became_subject="","",Year4_East_Sussex Year4_CP_Plans_became_subject)</f>
        <v>720</v>
      </c>
      <c r="AC246" s="435">
        <f>IF(Year5_East_Sussex Year5_CP_Plans_became_subject="","",Year5_East_Sussex Year5_CP_Plans_became_subject)</f>
        <v>675</v>
      </c>
      <c r="AD246" s="437" t="str">
        <f t="shared" si="85"/>
        <v>East Sussex</v>
      </c>
      <c r="AE246" s="354">
        <f>IF(Year1_East_Sussex Year1_CP_Plans_became_subject_second="","",Year1_East_Sussex Year1_CP_Plans_became_subject_second)</f>
        <v>148</v>
      </c>
      <c r="AF246" s="438">
        <f>IF(Year2_East_Sussex Year2_CP_Plans_became_subject_second="","",Year2_East_Sussex Year2_CP_Plans_became_subject_second)</f>
        <v>171</v>
      </c>
      <c r="AG246" s="438">
        <f>IF(Year3_East_Sussex Year3_CP_Plans_became_subject_second="","",Year3_East_Sussex Year3_CP_Plans_became_subject_second)</f>
        <v>184</v>
      </c>
      <c r="AH246" s="438">
        <f>IF(Year4_East_Sussex Year4_CP_Plans_became_subject_second="","",Year4_East_Sussex Year4_CP_Plans_became_subject_second)</f>
        <v>192</v>
      </c>
      <c r="AI246" s="438">
        <f>IF(Year5_East_Sussex Year5_CP_Plans_became_subject_second="","",Year5_East_Sussex Year5_CP_Plans_became_subject_second)</f>
        <v>182</v>
      </c>
      <c r="AJ246" s="121"/>
    </row>
    <row r="247" spans="1:76" s="61" customFormat="1" ht="13.5" customHeight="1">
      <c r="A247" s="1103">
        <f>VLOOKUP(B247,ReportData!$AQ$4:$AR$25,2,FALSE)</f>
        <v>0</v>
      </c>
      <c r="B247" s="885" t="str">
        <f t="shared" si="78"/>
        <v>Hampshire</v>
      </c>
      <c r="C247" s="59"/>
      <c r="D247" s="922">
        <f t="shared" si="79"/>
        <v>0.23901712583767684</v>
      </c>
      <c r="E247" s="922">
        <f t="shared" si="80"/>
        <v>0.25410958904109587</v>
      </c>
      <c r="F247" s="922">
        <f t="shared" si="81"/>
        <v>0.21829971181556196</v>
      </c>
      <c r="G247" s="922">
        <f t="shared" si="82"/>
        <v>0.2443064182194617</v>
      </c>
      <c r="H247" s="923" t="e">
        <f t="shared" si="83"/>
        <v>#N/A</v>
      </c>
      <c r="I247" s="68"/>
      <c r="J247" s="68"/>
      <c r="K247" s="127"/>
      <c r="L247" s="127"/>
      <c r="M247" s="127"/>
      <c r="N247" s="127"/>
      <c r="O247" s="127"/>
      <c r="P247" s="127"/>
      <c r="Q247" s="127"/>
      <c r="R247" s="128"/>
      <c r="S247" s="120"/>
      <c r="T247" s="127"/>
      <c r="U247" s="89"/>
      <c r="V247" s="103"/>
      <c r="W247" s="115"/>
      <c r="X247" s="435" t="str">
        <f t="shared" si="84"/>
        <v>Hampshire</v>
      </c>
      <c r="Y247" s="436">
        <f>IF(Year1_Hampshire Year1_CP_Plans_became_subject="","",Year1_Hampshire Year1_CP_Plans_became_subject)</f>
        <v>1343</v>
      </c>
      <c r="Z247" s="438">
        <f>IF(Year2_Hampshire Year2_CP_Plans_became_subject="","",Year2_Hampshire Year2_CP_Plans_became_subject)</f>
        <v>1460</v>
      </c>
      <c r="AA247" s="438">
        <f>IF(Year3_Hampshire Year3_CP_Plans_became_subject="","",Year3_Hampshire Year3_CP_Plans_became_subject)</f>
        <v>1388</v>
      </c>
      <c r="AB247" s="438">
        <f>IF(Year4_Hampshire Year4_CP_Plans_became_subject="","",Year4_Hampshire Year4_CP_Plans_became_subject)</f>
        <v>1449</v>
      </c>
      <c r="AC247" s="435" t="str">
        <f>IF(Year5_Hampshire Year5_CP_Plans_became_subject="","",Year5_Hampshire Year5_CP_Plans_became_subject)</f>
        <v>u</v>
      </c>
      <c r="AD247" s="437" t="str">
        <f t="shared" si="85"/>
        <v>Hampshire</v>
      </c>
      <c r="AE247" s="354">
        <f>IF(Year1_Hampshire Year1_CP_Plans_became_subject_second="","",Year1_Hampshire Year1_CP_Plans_became_subject_second)</f>
        <v>321</v>
      </c>
      <c r="AF247" s="438">
        <f>IF(Year2_Hampshire Year2_CP_Plans_became_subject_second="","",Year2_Hampshire Year2_CP_Plans_became_subject_second)</f>
        <v>371</v>
      </c>
      <c r="AG247" s="438">
        <f>IF(Year3_Hampshire Year3_CP_Plans_became_subject_second="","",Year3_Hampshire Year3_CP_Plans_became_subject_second)</f>
        <v>303</v>
      </c>
      <c r="AH247" s="438">
        <f>IF(Year4_Hampshire Year4_CP_Plans_became_subject_second="","",Year4_Hampshire Year4_CP_Plans_became_subject_second)</f>
        <v>354</v>
      </c>
      <c r="AI247" s="438" t="str">
        <f>IF(Year5_Hampshire Year5_CP_Plans_became_subject_second="","",Year5_Hampshire Year5_CP_Plans_became_subject_second)</f>
        <v>u</v>
      </c>
      <c r="AJ247" s="122"/>
    </row>
    <row r="248" spans="1:76" s="61" customFormat="1" ht="13.5" customHeight="1">
      <c r="A248" s="1103">
        <f>VLOOKUP(B248,ReportData!$AQ$4:$AR$25,2,FALSE)</f>
        <v>0</v>
      </c>
      <c r="B248" s="885" t="str">
        <f t="shared" si="78"/>
        <v>Isle of Wight</v>
      </c>
      <c r="C248" s="59"/>
      <c r="D248" s="922">
        <f t="shared" si="79"/>
        <v>0.17687074829931973</v>
      </c>
      <c r="E248" s="922">
        <f t="shared" si="80"/>
        <v>0.22018348623853212</v>
      </c>
      <c r="F248" s="922">
        <f t="shared" si="81"/>
        <v>0.25847457627118642</v>
      </c>
      <c r="G248" s="922">
        <f t="shared" si="82"/>
        <v>0.28000000000000003</v>
      </c>
      <c r="H248" s="923">
        <f t="shared" si="83"/>
        <v>0.19313304721030042</v>
      </c>
      <c r="I248" s="68"/>
      <c r="J248" s="68"/>
      <c r="K248" s="127"/>
      <c r="L248" s="127"/>
      <c r="M248" s="127"/>
      <c r="N248" s="127"/>
      <c r="O248" s="127"/>
      <c r="P248" s="127"/>
      <c r="Q248" s="127"/>
      <c r="R248" s="128"/>
      <c r="S248" s="120"/>
      <c r="T248" s="127"/>
      <c r="U248" s="89"/>
      <c r="V248" s="103"/>
      <c r="W248" s="115"/>
      <c r="X248" s="435" t="str">
        <f t="shared" si="84"/>
        <v>Isle of Wight</v>
      </c>
      <c r="Y248" s="436">
        <f>IF(Year1_Isle_of_Wight Year1_CP_Plans_became_subject="","",Year1_Isle_of_Wight Year1_CP_Plans_became_subject)</f>
        <v>147</v>
      </c>
      <c r="Z248" s="438">
        <f>IF(Year2_Isle_of_Wight Year2_CP_Plans_became_subject="","",Year2_Isle_of_Wight Year2_CP_Plans_became_subject)</f>
        <v>218</v>
      </c>
      <c r="AA248" s="438">
        <f>IF(Year3_Isle_of_Wight Year3_CP_Plans_became_subject="","",Year3_Isle_of_Wight Year3_CP_Plans_became_subject)</f>
        <v>236</v>
      </c>
      <c r="AB248" s="438">
        <f>IF(Year4_Isle_of_Wight Year4_CP_Plans_became_subject="","",Year4_Isle_of_Wight Year4_CP_Plans_became_subject)</f>
        <v>300</v>
      </c>
      <c r="AC248" s="435">
        <f>IF(Year5_Isle_of_Wight Year5_CP_Plans_became_subject="","",Year5_Isle_of_Wight Year5_CP_Plans_became_subject)</f>
        <v>233</v>
      </c>
      <c r="AD248" s="437" t="str">
        <f t="shared" si="85"/>
        <v>Isle of Wight</v>
      </c>
      <c r="AE248" s="354">
        <f>IF(Year1_Isle_of_Wight Year1_CP_Plans_became_subject_second="","",Year1_Isle_of_Wight Year1_CP_Plans_became_subject_second)</f>
        <v>26</v>
      </c>
      <c r="AF248" s="438">
        <f>IF(Year2_Isle_of_Wight Year2_CP_Plans_became_subject_second="","",Year2_Isle_of_Wight Year2_CP_Plans_became_subject_second)</f>
        <v>48</v>
      </c>
      <c r="AG248" s="438">
        <f>IF(Year3_Isle_of_Wight Year3_CP_Plans_became_subject_second="","",Year3_Isle_of_Wight Year3_CP_Plans_became_subject_second)</f>
        <v>61</v>
      </c>
      <c r="AH248" s="438">
        <f>IF(Year4_Isle_of_Wight Year4_CP_Plans_became_subject_second="","",Year4_Isle_of_Wight Year4_CP_Plans_became_subject_second)</f>
        <v>84</v>
      </c>
      <c r="AI248" s="438">
        <f>IF(Year5_Isle_of_Wight Year5_CP_Plans_became_subject_second="","",Year5_Isle_of_Wight Year5_CP_Plans_became_subject_second)</f>
        <v>45</v>
      </c>
      <c r="AJ248" s="121"/>
    </row>
    <row r="249" spans="1:76" s="61" customFormat="1" ht="13.5" customHeight="1">
      <c r="A249" s="1103">
        <f>VLOOKUP(B249,ReportData!$AQ$4:$AR$25,2,FALSE)</f>
        <v>0</v>
      </c>
      <c r="B249" s="885" t="str">
        <f t="shared" si="78"/>
        <v>Kent</v>
      </c>
      <c r="C249" s="59"/>
      <c r="D249" s="922">
        <f t="shared" si="79"/>
        <v>0.22631578947368422</v>
      </c>
      <c r="E249" s="922">
        <f t="shared" si="80"/>
        <v>0.22375478927203066</v>
      </c>
      <c r="F249" s="922">
        <f t="shared" si="81"/>
        <v>0.19750519750519752</v>
      </c>
      <c r="G249" s="922">
        <f t="shared" si="82"/>
        <v>0.23220012828736369</v>
      </c>
      <c r="H249" s="923">
        <f t="shared" si="83"/>
        <v>0.19792438843587842</v>
      </c>
      <c r="I249" s="68"/>
      <c r="J249" s="68"/>
      <c r="K249" s="127"/>
      <c r="L249" s="127"/>
      <c r="M249" s="127"/>
      <c r="N249" s="127"/>
      <c r="O249" s="127"/>
      <c r="P249" s="127"/>
      <c r="Q249" s="127"/>
      <c r="R249" s="128"/>
      <c r="S249" s="120"/>
      <c r="T249" s="127"/>
      <c r="U249" s="89"/>
      <c r="V249" s="103"/>
      <c r="W249" s="115"/>
      <c r="X249" s="435" t="str">
        <f t="shared" si="84"/>
        <v>Kent</v>
      </c>
      <c r="Y249" s="436">
        <f>IF(Year1_Kent Year1_CP_Plans_became_subject="","",Year1_Kent Year1_CP_Plans_became_subject)</f>
        <v>1520</v>
      </c>
      <c r="Z249" s="438">
        <f>IF(Year2_Kent Year2_CP_Plans_became_subject="","",Year2_Kent Year2_CP_Plans_became_subject)</f>
        <v>1305</v>
      </c>
      <c r="AA249" s="438">
        <f>IF(Year3_Kent Year3_CP_Plans_became_subject="","",Year3_Kent Year3_CP_Plans_became_subject)</f>
        <v>1443</v>
      </c>
      <c r="AB249" s="438">
        <f>IF(Year4_Kent Year4_CP_Plans_became_subject="","",Year4_Kent Year4_CP_Plans_became_subject)</f>
        <v>1559</v>
      </c>
      <c r="AC249" s="435">
        <f>IF(Year5_Kent Year5_CP_Plans_became_subject="","",Year5_Kent Year5_CP_Plans_became_subject)</f>
        <v>1349</v>
      </c>
      <c r="AD249" s="437" t="str">
        <f t="shared" si="85"/>
        <v>Kent</v>
      </c>
      <c r="AE249" s="354">
        <f>IF(Year1_Kent Year1_CP_Plans_became_subject_second="","",Year1_Kent Year1_CP_Plans_became_subject_second)</f>
        <v>344</v>
      </c>
      <c r="AF249" s="438">
        <f>IF(Year2_Kent Year2_CP_Plans_became_subject_second="","",Year2_Kent Year2_CP_Plans_became_subject_second)</f>
        <v>292</v>
      </c>
      <c r="AG249" s="438">
        <f>IF(Year3_Kent Year3_CP_Plans_became_subject_second="","",Year3_Kent Year3_CP_Plans_became_subject_second)</f>
        <v>285</v>
      </c>
      <c r="AH249" s="438">
        <f>IF(Year4_Kent Year4_CP_Plans_became_subject_second="","",Year4_Kent Year4_CP_Plans_became_subject_second)</f>
        <v>362</v>
      </c>
      <c r="AI249" s="438">
        <f>IF(Year5_Kent Year5_CP_Plans_became_subject_second="","",Year5_Kent Year5_CP_Plans_became_subject_second)</f>
        <v>267</v>
      </c>
      <c r="AJ249" s="122"/>
    </row>
    <row r="250" spans="1:76" s="61" customFormat="1" ht="13.5" customHeight="1">
      <c r="A250" s="1103">
        <f>VLOOKUP(B250,ReportData!$AQ$4:$AR$25,2,FALSE)</f>
        <v>0</v>
      </c>
      <c r="B250" s="885" t="str">
        <f t="shared" si="78"/>
        <v>Medway</v>
      </c>
      <c r="C250" s="59"/>
      <c r="D250" s="922">
        <f t="shared" si="79"/>
        <v>0.21783876500857632</v>
      </c>
      <c r="E250" s="922">
        <f t="shared" si="80"/>
        <v>0.16129032258064516</v>
      </c>
      <c r="F250" s="922">
        <f t="shared" si="81"/>
        <v>0.2786259541984733</v>
      </c>
      <c r="G250" s="922">
        <f t="shared" si="82"/>
        <v>0.20759493670886076</v>
      </c>
      <c r="H250" s="923">
        <f t="shared" si="83"/>
        <v>0.26493506493506491</v>
      </c>
      <c r="I250" s="68"/>
      <c r="J250" s="68"/>
      <c r="K250" s="127"/>
      <c r="L250" s="127"/>
      <c r="M250" s="127"/>
      <c r="N250" s="127"/>
      <c r="O250" s="127"/>
      <c r="P250" s="127"/>
      <c r="Q250" s="127"/>
      <c r="R250" s="128"/>
      <c r="S250" s="120"/>
      <c r="T250" s="127"/>
      <c r="U250" s="89"/>
      <c r="V250" s="103"/>
      <c r="W250" s="115"/>
      <c r="X250" s="435" t="str">
        <f t="shared" si="84"/>
        <v>Medway</v>
      </c>
      <c r="Y250" s="436">
        <f>IF(Year1_Medway Year1_CP_Plans_became_subject="","",Year1_Medway Year1_CP_Plans_became_subject)</f>
        <v>583</v>
      </c>
      <c r="Z250" s="438">
        <f>IF(Year2_Medway Year2_CP_Plans_became_subject="","",Year2_Medway Year2_CP_Plans_became_subject)</f>
        <v>217</v>
      </c>
      <c r="AA250" s="438">
        <f>IF(Year3_Medway Year3_CP_Plans_became_subject="","",Year3_Medway Year3_CP_Plans_became_subject)</f>
        <v>262</v>
      </c>
      <c r="AB250" s="438">
        <f>IF(Year4_Medway Year4_CP_Plans_became_subject="","",Year4_Medway Year4_CP_Plans_became_subject)</f>
        <v>395</v>
      </c>
      <c r="AC250" s="435">
        <f>IF(Year5_Medway Year5_CP_Plans_became_subject="","",Year5_Medway Year5_CP_Plans_became_subject)</f>
        <v>385</v>
      </c>
      <c r="AD250" s="437" t="str">
        <f t="shared" si="85"/>
        <v>Medway</v>
      </c>
      <c r="AE250" s="354">
        <f>IF(Year1_Medway Year1_CP_Plans_became_subject_second="","",Year1_Medway Year1_CP_Plans_became_subject_second)</f>
        <v>127</v>
      </c>
      <c r="AF250" s="438">
        <f>IF(Year2_Medway Year2_CP_Plans_became_subject_second="","",Year2_Medway Year2_CP_Plans_became_subject_second)</f>
        <v>35</v>
      </c>
      <c r="AG250" s="438">
        <f>IF(Year3_Medway Year3_CP_Plans_became_subject_second="","",Year3_Medway Year3_CP_Plans_became_subject_second)</f>
        <v>73</v>
      </c>
      <c r="AH250" s="438">
        <f>IF(Year4_Medway Year4_CP_Plans_became_subject_second="","",Year4_Medway Year4_CP_Plans_became_subject_second)</f>
        <v>82</v>
      </c>
      <c r="AI250" s="438">
        <f>IF(Year5_Medway Year5_CP_Plans_became_subject_second="","",Year5_Medway Year5_CP_Plans_became_subject_second)</f>
        <v>102</v>
      </c>
      <c r="AJ250" s="121"/>
    </row>
    <row r="251" spans="1:76" s="61" customFormat="1" ht="13.5" customHeight="1">
      <c r="A251" s="1103">
        <f>VLOOKUP(B251,ReportData!$AQ$4:$AR$25,2,FALSE)</f>
        <v>0</v>
      </c>
      <c r="B251" s="885" t="str">
        <f t="shared" si="78"/>
        <v>Milton Keynes</v>
      </c>
      <c r="C251" s="59"/>
      <c r="D251" s="922">
        <f t="shared" si="79"/>
        <v>0.11160714285714286</v>
      </c>
      <c r="E251" s="922">
        <f t="shared" si="80"/>
        <v>0.13580246913580246</v>
      </c>
      <c r="F251" s="922">
        <f t="shared" si="81"/>
        <v>0.12927756653992395</v>
      </c>
      <c r="G251" s="922">
        <f t="shared" si="82"/>
        <v>0.16494845360824742</v>
      </c>
      <c r="H251" s="923">
        <f t="shared" si="83"/>
        <v>0.23076923076923078</v>
      </c>
      <c r="I251" s="68"/>
      <c r="J251" s="68"/>
      <c r="K251" s="127"/>
      <c r="L251" s="127"/>
      <c r="M251" s="127"/>
      <c r="N251" s="127"/>
      <c r="O251" s="127"/>
      <c r="P251" s="127"/>
      <c r="Q251" s="127"/>
      <c r="R251" s="128"/>
      <c r="S251" s="120"/>
      <c r="T251" s="127"/>
      <c r="U251" s="89"/>
      <c r="V251" s="103"/>
      <c r="W251" s="115"/>
      <c r="X251" s="435" t="str">
        <f t="shared" si="84"/>
        <v>Milton Keynes</v>
      </c>
      <c r="Y251" s="436">
        <f>IF(Year1_Milton_Keynes Year1_CP_Plans_became_subject="","",Year1_Milton_Keynes Year1_CP_Plans_became_subject)</f>
        <v>224</v>
      </c>
      <c r="Z251" s="438">
        <f>IF(Year2_Milton_Keynes Year2_CP_Plans_became_subject="","",Year2_Milton_Keynes Year2_CP_Plans_became_subject)</f>
        <v>243</v>
      </c>
      <c r="AA251" s="438">
        <f>IF(Year3_Milton_Keynes Year3_CP_Plans_became_subject="","",Year3_Milton_Keynes Year3_CP_Plans_became_subject)</f>
        <v>263</v>
      </c>
      <c r="AB251" s="438">
        <f>IF(Year4_Milton_Keynes Year4_CP_Plans_became_subject="","",Year4_Milton_Keynes Year4_CP_Plans_became_subject)</f>
        <v>291</v>
      </c>
      <c r="AC251" s="435">
        <f>IF(Year5_Milton_Keynes Year5_CP_Plans_became_subject="","",Year5_Milton_Keynes Year5_CP_Plans_became_subject)</f>
        <v>286</v>
      </c>
      <c r="AD251" s="437" t="str">
        <f t="shared" si="85"/>
        <v>Milton Keynes</v>
      </c>
      <c r="AE251" s="354">
        <f>IF(Year1_Milton_Keynes Year1_CP_Plans_became_subject_second="","",Year1_Milton_Keynes Year1_CP_Plans_became_subject_second)</f>
        <v>25</v>
      </c>
      <c r="AF251" s="438">
        <f>IF(Year2_Milton_Keynes Year2_CP_Plans_became_subject_second="","",Year2_Milton_Keynes Year2_CP_Plans_became_subject_second)</f>
        <v>33</v>
      </c>
      <c r="AG251" s="438">
        <f>IF(Year3_Milton_Keynes Year3_CP_Plans_became_subject_second="","",Year3_Milton_Keynes Year3_CP_Plans_became_subject_second)</f>
        <v>34</v>
      </c>
      <c r="AH251" s="438">
        <f>IF(Year4_Milton_Keynes Year4_CP_Plans_became_subject_second="","",Year4_Milton_Keynes Year4_CP_Plans_became_subject_second)</f>
        <v>48</v>
      </c>
      <c r="AI251" s="438">
        <f>IF(Year5_Milton_Keynes Year5_CP_Plans_became_subject_second="","",Year5_Milton_Keynes Year5_CP_Plans_became_subject_second)</f>
        <v>66</v>
      </c>
      <c r="AJ251" s="122"/>
    </row>
    <row r="252" spans="1:76" s="61" customFormat="1" ht="13.5" customHeight="1">
      <c r="A252" s="1103">
        <f>VLOOKUP(B252,ReportData!$AQ$4:$AR$25,2,FALSE)</f>
        <v>0</v>
      </c>
      <c r="B252" s="885" t="str">
        <f t="shared" si="78"/>
        <v>Oxfordshire</v>
      </c>
      <c r="C252" s="59"/>
      <c r="D252" s="922">
        <f t="shared" si="79"/>
        <v>0.24765729585006693</v>
      </c>
      <c r="E252" s="922">
        <f t="shared" si="80"/>
        <v>0.2132564841498559</v>
      </c>
      <c r="F252" s="922">
        <f t="shared" si="81"/>
        <v>0.30263157894736842</v>
      </c>
      <c r="G252" s="922">
        <f t="shared" si="82"/>
        <v>0.26630434782608697</v>
      </c>
      <c r="H252" s="923">
        <f t="shared" si="83"/>
        <v>0.27586206896551724</v>
      </c>
      <c r="I252" s="68"/>
      <c r="J252" s="68"/>
      <c r="K252" s="127"/>
      <c r="L252" s="127"/>
      <c r="M252" s="127"/>
      <c r="N252" s="127"/>
      <c r="O252" s="127"/>
      <c r="P252" s="127"/>
      <c r="Q252" s="127"/>
      <c r="R252" s="128"/>
      <c r="S252" s="120"/>
      <c r="T252" s="127"/>
      <c r="U252" s="89"/>
      <c r="V252" s="103"/>
      <c r="W252" s="115"/>
      <c r="X252" s="435" t="str">
        <f t="shared" si="84"/>
        <v>Oxfordshire</v>
      </c>
      <c r="Y252" s="436">
        <f>IF(Year1_Oxfordshire Year1_CP_Plans_became_subject="","",Year1_Oxfordshire Year1_CP_Plans_became_subject)</f>
        <v>747</v>
      </c>
      <c r="Z252" s="438">
        <f>IF(Year2_Oxfordshire Year2_CP_Plans_became_subject="","",Year2_Oxfordshire Year2_CP_Plans_became_subject)</f>
        <v>694</v>
      </c>
      <c r="AA252" s="438">
        <f>IF(Year3_Oxfordshire Year3_CP_Plans_became_subject="","",Year3_Oxfordshire Year3_CP_Plans_became_subject)</f>
        <v>760</v>
      </c>
      <c r="AB252" s="438">
        <f>IF(Year4_Oxfordshire Year4_CP_Plans_became_subject="","",Year4_Oxfordshire Year4_CP_Plans_became_subject)</f>
        <v>736</v>
      </c>
      <c r="AC252" s="435">
        <f>IF(Year5_Oxfordshire Year5_CP_Plans_became_subject="","",Year5_Oxfordshire Year5_CP_Plans_became_subject)</f>
        <v>580</v>
      </c>
      <c r="AD252" s="437" t="str">
        <f t="shared" si="85"/>
        <v>Oxfordshire</v>
      </c>
      <c r="AE252" s="354">
        <f>IF(Year1_Oxfordshire Year1_CP_Plans_became_subject_second="","",Year1_Oxfordshire Year1_CP_Plans_became_subject_second)</f>
        <v>185</v>
      </c>
      <c r="AF252" s="438">
        <f>IF(Year2_Oxfordshire Year2_CP_Plans_became_subject_second="","",Year2_Oxfordshire Year2_CP_Plans_became_subject_second)</f>
        <v>148</v>
      </c>
      <c r="AG252" s="438">
        <f>IF(Year3_Oxfordshire Year3_CP_Plans_became_subject_second="","",Year3_Oxfordshire Year3_CP_Plans_became_subject_second)</f>
        <v>230</v>
      </c>
      <c r="AH252" s="438">
        <f>IF(Year4_Oxfordshire Year4_CP_Plans_became_subject_second="","",Year4_Oxfordshire Year4_CP_Plans_became_subject_second)</f>
        <v>196</v>
      </c>
      <c r="AI252" s="438">
        <f>IF(Year5_Oxfordshire Year5_CP_Plans_became_subject_second="","",Year5_Oxfordshire Year5_CP_Plans_became_subject_second)</f>
        <v>160</v>
      </c>
      <c r="AJ252" s="121"/>
    </row>
    <row r="253" spans="1:76" s="61" customFormat="1" ht="13.5" customHeight="1">
      <c r="A253" s="1103">
        <f>VLOOKUP(B253,ReportData!$AQ$4:$AR$25,2,FALSE)</f>
        <v>0</v>
      </c>
      <c r="B253" s="885" t="str">
        <f t="shared" si="78"/>
        <v>Portsmouth</v>
      </c>
      <c r="C253" s="59"/>
      <c r="D253" s="922">
        <f t="shared" si="79"/>
        <v>0.19732441471571907</v>
      </c>
      <c r="E253" s="922">
        <f t="shared" si="80"/>
        <v>0.22112211221122113</v>
      </c>
      <c r="F253" s="922">
        <f t="shared" si="81"/>
        <v>0.22821576763485477</v>
      </c>
      <c r="G253" s="922">
        <f t="shared" si="82"/>
        <v>0.21705426356589147</v>
      </c>
      <c r="H253" s="923">
        <f t="shared" si="83"/>
        <v>0.29836065573770493</v>
      </c>
      <c r="I253" s="68"/>
      <c r="J253" s="68"/>
      <c r="K253" s="127"/>
      <c r="L253" s="127"/>
      <c r="M253" s="127"/>
      <c r="N253" s="127"/>
      <c r="O253" s="127"/>
      <c r="P253" s="127"/>
      <c r="Q253" s="127"/>
      <c r="R253" s="128"/>
      <c r="S253" s="120"/>
      <c r="T253" s="127"/>
      <c r="U253" s="89"/>
      <c r="V253" s="103"/>
      <c r="W253" s="115"/>
      <c r="X253" s="435" t="str">
        <f t="shared" si="84"/>
        <v>Portsmouth</v>
      </c>
      <c r="Y253" s="436">
        <f>IF(Year1_Portsmouth Year1_CP_Plans_became_subject="","",Year1_Portsmouth Year1_CP_Plans_became_subject)</f>
        <v>299</v>
      </c>
      <c r="Z253" s="438">
        <f>IF(Year2_Portsmouth Year2_CP_Plans_became_subject="","",Year2_Portsmouth Year2_CP_Plans_became_subject)</f>
        <v>303</v>
      </c>
      <c r="AA253" s="438">
        <f>IF(Year3_Portsmouth Year3_CP_Plans_became_subject="","",Year3_Portsmouth Year3_CP_Plans_became_subject)</f>
        <v>241</v>
      </c>
      <c r="AB253" s="438">
        <f>IF(Year4_Portsmouth Year4_CP_Plans_became_subject="","",Year4_Portsmouth Year4_CP_Plans_became_subject)</f>
        <v>258</v>
      </c>
      <c r="AC253" s="435">
        <f>IF(Year5_Portsmouth Year5_CP_Plans_became_subject="","",Year5_Portsmouth Year5_CP_Plans_became_subject)</f>
        <v>305</v>
      </c>
      <c r="AD253" s="437" t="str">
        <f t="shared" si="85"/>
        <v>Portsmouth</v>
      </c>
      <c r="AE253" s="354">
        <f>IF(Year1_Portsmouth Year1_CP_Plans_became_subject_second="","",Year1_Portsmouth Year1_CP_Plans_became_subject_second)</f>
        <v>59</v>
      </c>
      <c r="AF253" s="438">
        <f>IF(Year2_Portsmouth Year2_CP_Plans_became_subject_second="","",Year2_Portsmouth Year2_CP_Plans_became_subject_second)</f>
        <v>67</v>
      </c>
      <c r="AG253" s="438">
        <f>IF(Year3_Portsmouth Year3_CP_Plans_became_subject_second="","",Year3_Portsmouth Year3_CP_Plans_became_subject_second)</f>
        <v>55</v>
      </c>
      <c r="AH253" s="438">
        <f>IF(Year4_Portsmouth Year4_CP_Plans_became_subject_second="","",Year4_Portsmouth Year4_CP_Plans_became_subject_second)</f>
        <v>56</v>
      </c>
      <c r="AI253" s="438">
        <f>IF(Year5_Portsmouth Year5_CP_Plans_became_subject_second="","",Year5_Portsmouth Year5_CP_Plans_became_subject_second)</f>
        <v>91</v>
      </c>
      <c r="AJ253" s="122"/>
    </row>
    <row r="254" spans="1:76" s="61" customFormat="1" ht="13.5" customHeight="1">
      <c r="A254" s="1103">
        <f>VLOOKUP(B254,ReportData!$AQ$4:$AR$25,2,FALSE)</f>
        <v>0</v>
      </c>
      <c r="B254" s="885" t="str">
        <f t="shared" si="78"/>
        <v>Reading</v>
      </c>
      <c r="C254" s="59"/>
      <c r="D254" s="922">
        <f t="shared" si="79"/>
        <v>0.25</v>
      </c>
      <c r="E254" s="922">
        <f t="shared" si="80"/>
        <v>0.29022988505747127</v>
      </c>
      <c r="F254" s="922">
        <f t="shared" si="81"/>
        <v>0.28239202657807311</v>
      </c>
      <c r="G254" s="922">
        <f t="shared" si="82"/>
        <v>0.2788844621513944</v>
      </c>
      <c r="H254" s="923">
        <f t="shared" si="83"/>
        <v>0.30038022813688214</v>
      </c>
      <c r="I254" s="68"/>
      <c r="J254" s="68"/>
      <c r="K254" s="127"/>
      <c r="L254" s="127"/>
      <c r="M254" s="127"/>
      <c r="N254" s="127"/>
      <c r="O254" s="127"/>
      <c r="P254" s="127"/>
      <c r="Q254" s="127"/>
      <c r="R254" s="128"/>
      <c r="S254" s="120"/>
      <c r="T254" s="127"/>
      <c r="U254" s="89"/>
      <c r="V254" s="103"/>
      <c r="W254" s="115"/>
      <c r="X254" s="435" t="str">
        <f t="shared" si="84"/>
        <v>Reading</v>
      </c>
      <c r="Y254" s="436">
        <f>IF(Year1_Reading Year1_CP_Plans_became_subject="","",Year1_Reading Year1_CP_Plans_became_subject)</f>
        <v>252</v>
      </c>
      <c r="Z254" s="438">
        <f>IF(Year2_Reading Year2_CP_Plans_became_subject="","",Year2_Reading Year2_CP_Plans_became_subject)</f>
        <v>348</v>
      </c>
      <c r="AA254" s="438">
        <f>IF(Year3_Reading Year3_CP_Plans_became_subject="","",Year3_Reading Year3_CP_Plans_became_subject)</f>
        <v>301</v>
      </c>
      <c r="AB254" s="438">
        <f>IF(Year4_Reading Year4_CP_Plans_became_subject="","",Year4_Reading Year4_CP_Plans_became_subject)</f>
        <v>251</v>
      </c>
      <c r="AC254" s="435">
        <f>IF(Year5_Reading Year5_CP_Plans_became_subject="","",Year5_Reading Year5_CP_Plans_became_subject)</f>
        <v>263</v>
      </c>
      <c r="AD254" s="437" t="str">
        <f t="shared" si="85"/>
        <v>Reading</v>
      </c>
      <c r="AE254" s="354">
        <f>IF(Year1_Reading Year1_CP_Plans_became_subject_second="","",Year1_Reading Year1_CP_Plans_became_subject_second)</f>
        <v>63</v>
      </c>
      <c r="AF254" s="438">
        <f>IF(Year2_Reading Year2_CP_Plans_became_subject_second="","",Year2_Reading Year2_CP_Plans_became_subject_second)</f>
        <v>101</v>
      </c>
      <c r="AG254" s="438">
        <f>IF(Year3_Reading Year3_CP_Plans_became_subject_second="","",Year3_Reading Year3_CP_Plans_became_subject_second)</f>
        <v>85</v>
      </c>
      <c r="AH254" s="438">
        <f>IF(Year4_Reading Year4_CP_Plans_became_subject_second="","",Year4_Reading Year4_CP_Plans_became_subject_second)</f>
        <v>70</v>
      </c>
      <c r="AI254" s="438">
        <f>IF(Year5_Reading Year5_CP_Plans_became_subject_second="","",Year5_Reading Year5_CP_Plans_became_subject_second)</f>
        <v>79</v>
      </c>
      <c r="AJ254" s="121"/>
    </row>
    <row r="255" spans="1:76" s="61" customFormat="1" ht="13.5" customHeight="1">
      <c r="A255" s="1103">
        <f>VLOOKUP(B255,ReportData!$AQ$4:$AR$25,2,FALSE)</f>
        <v>0</v>
      </c>
      <c r="B255" s="885" t="str">
        <f t="shared" si="78"/>
        <v>Slough</v>
      </c>
      <c r="C255" s="59"/>
      <c r="D255" s="922">
        <f t="shared" si="79"/>
        <v>0.18296529968454259</v>
      </c>
      <c r="E255" s="922">
        <f t="shared" si="80"/>
        <v>0.13600000000000001</v>
      </c>
      <c r="F255" s="922">
        <f t="shared" si="81"/>
        <v>0.20710059171597633</v>
      </c>
      <c r="G255" s="922">
        <f t="shared" si="82"/>
        <v>0.17973856209150327</v>
      </c>
      <c r="H255" s="923">
        <f t="shared" si="83"/>
        <v>0.19691119691119691</v>
      </c>
      <c r="I255" s="68"/>
      <c r="J255" s="68"/>
      <c r="K255" s="127"/>
      <c r="L255" s="127"/>
      <c r="M255" s="127"/>
      <c r="N255" s="127"/>
      <c r="O255" s="127"/>
      <c r="P255" s="127"/>
      <c r="Q255" s="127"/>
      <c r="R255" s="128"/>
      <c r="S255" s="120"/>
      <c r="T255" s="127"/>
      <c r="U255" s="89"/>
      <c r="V255" s="103"/>
      <c r="W255" s="115"/>
      <c r="X255" s="435" t="str">
        <f t="shared" si="84"/>
        <v>Slough</v>
      </c>
      <c r="Y255" s="436">
        <f>IF(Year1_Slough Year1_CP_Plans_became_subject="","",Year1_Slough Year1_CP_Plans_became_subject)</f>
        <v>317</v>
      </c>
      <c r="Z255" s="438">
        <f>IF(Year2_Slough Year2_CP_Plans_became_subject="","",Year2_Slough Year2_CP_Plans_became_subject)</f>
        <v>375</v>
      </c>
      <c r="AA255" s="438">
        <f>IF(Year3_Slough Year3_CP_Plans_became_subject="","",Year3_Slough Year3_CP_Plans_became_subject)</f>
        <v>338</v>
      </c>
      <c r="AB255" s="438">
        <f>IF(Year4_Slough Year4_CP_Plans_became_subject="","",Year4_Slough Year4_CP_Plans_became_subject)</f>
        <v>306</v>
      </c>
      <c r="AC255" s="435">
        <f>IF(Year5_Slough Year5_CP_Plans_became_subject="","",Year5_Slough Year5_CP_Plans_became_subject)</f>
        <v>259</v>
      </c>
      <c r="AD255" s="437" t="str">
        <f t="shared" si="85"/>
        <v>Slough</v>
      </c>
      <c r="AE255" s="354">
        <f>IF(Year1_Slough Year1_CP_Plans_became_subject_second="","",Year1_Slough Year1_CP_Plans_became_subject_second)</f>
        <v>58</v>
      </c>
      <c r="AF255" s="438">
        <f>IF(Year2_Slough Year2_CP_Plans_became_subject_second="","",Year2_Slough Year2_CP_Plans_became_subject_second)</f>
        <v>51</v>
      </c>
      <c r="AG255" s="438">
        <f>IF(Year3_Slough Year3_CP_Plans_became_subject_second="","",Year3_Slough Year3_CP_Plans_became_subject_second)</f>
        <v>70</v>
      </c>
      <c r="AH255" s="438">
        <f>IF(Year4_Slough Year4_CP_Plans_became_subject_second="","",Year4_Slough Year4_CP_Plans_became_subject_second)</f>
        <v>55</v>
      </c>
      <c r="AI255" s="438">
        <f>IF(Year5_Slough Year5_CP_Plans_became_subject_second="","",Year5_Slough Year5_CP_Plans_became_subject_second)</f>
        <v>51</v>
      </c>
      <c r="AJ255" s="122"/>
    </row>
    <row r="256" spans="1:76" s="61" customFormat="1" ht="13.5" customHeight="1">
      <c r="A256" s="1103">
        <f>VLOOKUP(B256,ReportData!$AQ$4:$AR$25,2,FALSE)</f>
        <v>0</v>
      </c>
      <c r="B256" s="885" t="str">
        <f t="shared" si="78"/>
        <v>Southampton</v>
      </c>
      <c r="C256" s="59"/>
      <c r="D256" s="922">
        <f t="shared" si="79"/>
        <v>0.24377224199288255</v>
      </c>
      <c r="E256" s="922">
        <f t="shared" si="80"/>
        <v>0.23044397463002114</v>
      </c>
      <c r="F256" s="922">
        <f t="shared" si="81"/>
        <v>0.241852487135506</v>
      </c>
      <c r="G256" s="922">
        <f t="shared" si="82"/>
        <v>0.3306878306878307</v>
      </c>
      <c r="H256" s="923">
        <f t="shared" si="83"/>
        <v>0.29268292682926828</v>
      </c>
      <c r="I256" s="68"/>
      <c r="J256" s="68"/>
      <c r="K256" s="127"/>
      <c r="L256" s="127"/>
      <c r="M256" s="127"/>
      <c r="N256" s="127"/>
      <c r="O256" s="127"/>
      <c r="P256" s="127"/>
      <c r="Q256" s="127"/>
      <c r="R256" s="128"/>
      <c r="S256" s="120"/>
      <c r="T256" s="127"/>
      <c r="U256" s="89"/>
      <c r="V256" s="103"/>
      <c r="W256" s="115"/>
      <c r="X256" s="435" t="str">
        <f t="shared" si="84"/>
        <v>Southampton</v>
      </c>
      <c r="Y256" s="436">
        <f>IF(Year1_Southampton Year1_CP_Plans_became_subject="","",Year1_Southampton Year1_CP_Plans_became_subject)</f>
        <v>562</v>
      </c>
      <c r="Z256" s="438">
        <f>IF(Year2_Southampton Year2_CP_Plans_became_subject="","",Year2_Southampton Year2_CP_Plans_became_subject)</f>
        <v>473</v>
      </c>
      <c r="AA256" s="438">
        <f>IF(Year3_Southampton Year3_CP_Plans_became_subject="","",Year3_Southampton Year3_CP_Plans_became_subject)</f>
        <v>583</v>
      </c>
      <c r="AB256" s="438">
        <f>IF(Year4_Southampton Year4_CP_Plans_became_subject="","",Year4_Southampton Year4_CP_Plans_became_subject)</f>
        <v>378</v>
      </c>
      <c r="AC256" s="435">
        <f>IF(Year5_Southampton Year5_CP_Plans_became_subject="","",Year5_Southampton Year5_CP_Plans_became_subject)</f>
        <v>328</v>
      </c>
      <c r="AD256" s="437" t="str">
        <f t="shared" si="85"/>
        <v>Southampton</v>
      </c>
      <c r="AE256" s="354">
        <f>IF(Year1_Southampton Year1_CP_Plans_became_subject_second="","",Year1_Southampton Year1_CP_Plans_became_subject_second)</f>
        <v>137</v>
      </c>
      <c r="AF256" s="438">
        <f>IF(Year2_Southampton Year2_CP_Plans_became_subject_second="","",Year2_Southampton Year2_CP_Plans_became_subject_second)</f>
        <v>109</v>
      </c>
      <c r="AG256" s="438">
        <f>IF(Year3_Southampton Year3_CP_Plans_became_subject_second="","",Year3_Southampton Year3_CP_Plans_became_subject_second)</f>
        <v>141</v>
      </c>
      <c r="AH256" s="438">
        <f>IF(Year4_Southampton Year4_CP_Plans_became_subject_second="","",Year4_Southampton Year4_CP_Plans_became_subject_second)</f>
        <v>125</v>
      </c>
      <c r="AI256" s="438">
        <f>IF(Year5_Southampton Year5_CP_Plans_became_subject_second="","",Year5_Southampton Year5_CP_Plans_became_subject_second)</f>
        <v>96</v>
      </c>
      <c r="AJ256" s="121"/>
    </row>
    <row r="257" spans="1:76" s="61" customFormat="1" ht="13.5" customHeight="1">
      <c r="A257" s="1103">
        <f>VLOOKUP(B257,ReportData!$AQ$4:$AR$25,2,FALSE)</f>
        <v>0</v>
      </c>
      <c r="B257" s="885" t="str">
        <f t="shared" si="78"/>
        <v>Surrey</v>
      </c>
      <c r="C257" s="59"/>
      <c r="D257" s="922">
        <f t="shared" si="79"/>
        <v>0.26398852223816355</v>
      </c>
      <c r="E257" s="922">
        <f t="shared" si="80"/>
        <v>0.25937183383991896</v>
      </c>
      <c r="F257" s="922">
        <f t="shared" si="81"/>
        <v>0.23181377303588749</v>
      </c>
      <c r="G257" s="922">
        <f t="shared" si="82"/>
        <v>0.25938967136150237</v>
      </c>
      <c r="H257" s="923">
        <f t="shared" si="83"/>
        <v>0.29337539432176657</v>
      </c>
      <c r="I257" s="68"/>
      <c r="J257" s="68"/>
      <c r="K257" s="127"/>
      <c r="L257" s="127"/>
      <c r="M257" s="127"/>
      <c r="N257" s="127"/>
      <c r="O257" s="127"/>
      <c r="P257" s="127"/>
      <c r="Q257" s="127"/>
      <c r="R257" s="128"/>
      <c r="S257" s="120"/>
      <c r="T257" s="127"/>
      <c r="U257" s="89"/>
      <c r="V257" s="103"/>
      <c r="W257" s="115"/>
      <c r="X257" s="435" t="str">
        <f t="shared" si="84"/>
        <v>Surrey</v>
      </c>
      <c r="Y257" s="436">
        <f>IF(Year1_Surrey Year1_CP_Plans_became_subject="","",Year1_Surrey Year1_CP_Plans_became_subject)</f>
        <v>697</v>
      </c>
      <c r="Z257" s="438">
        <f>IF(Year2_Surrey Year2_CP_Plans_became_subject="","",Year2_Surrey Year2_CP_Plans_became_subject)</f>
        <v>987</v>
      </c>
      <c r="AA257" s="438">
        <f>IF(Year3_Surrey Year3_CP_Plans_became_subject="","",Year3_Surrey Year3_CP_Plans_became_subject)</f>
        <v>1031</v>
      </c>
      <c r="AB257" s="438">
        <f>IF(Year4_Surrey Year4_CP_Plans_became_subject="","",Year4_Surrey Year4_CP_Plans_became_subject)</f>
        <v>852</v>
      </c>
      <c r="AC257" s="435">
        <f>IF(Year5_Surrey Year5_CP_Plans_became_subject="","",Year5_Surrey Year5_CP_Plans_became_subject)</f>
        <v>634</v>
      </c>
      <c r="AD257" s="437" t="str">
        <f t="shared" si="85"/>
        <v>Surrey</v>
      </c>
      <c r="AE257" s="354">
        <f>IF(Year1_Surrey Year1_CP_Plans_became_subject_second="","",Year1_Surrey Year1_CP_Plans_became_subject_second)</f>
        <v>184</v>
      </c>
      <c r="AF257" s="438">
        <f>IF(Year2_Surrey Year2_CP_Plans_became_subject_second="","",Year2_Surrey Year2_CP_Plans_became_subject_second)</f>
        <v>256</v>
      </c>
      <c r="AG257" s="438">
        <f>IF(Year3_Surrey Year3_CP_Plans_became_subject_second="","",Year3_Surrey Year3_CP_Plans_became_subject_second)</f>
        <v>239</v>
      </c>
      <c r="AH257" s="438">
        <f>IF(Year4_Surrey Year4_CP_Plans_became_subject_second="","",Year4_Surrey Year4_CP_Plans_became_subject_second)</f>
        <v>221</v>
      </c>
      <c r="AI257" s="438">
        <f>IF(Year5_Surrey Year5_CP_Plans_became_subject_second="","",Year5_Surrey Year5_CP_Plans_became_subject_second)</f>
        <v>186</v>
      </c>
      <c r="AJ257" s="122"/>
    </row>
    <row r="258" spans="1:76" s="61" customFormat="1" ht="13.5" customHeight="1">
      <c r="A258" s="1103">
        <f>VLOOKUP(B258,ReportData!$AQ$4:$AR$25,2,FALSE)</f>
        <v>0</v>
      </c>
      <c r="B258" s="885" t="str">
        <f t="shared" si="78"/>
        <v>West Berkshire</v>
      </c>
      <c r="C258" s="59"/>
      <c r="D258" s="922">
        <f t="shared" si="79"/>
        <v>0.21764705882352942</v>
      </c>
      <c r="E258" s="922">
        <f t="shared" si="80"/>
        <v>0.22666666666666666</v>
      </c>
      <c r="F258" s="922">
        <f t="shared" si="81"/>
        <v>0.22448979591836735</v>
      </c>
      <c r="G258" s="922">
        <f t="shared" si="82"/>
        <v>0.25192802056555269</v>
      </c>
      <c r="H258" s="923">
        <f t="shared" si="83"/>
        <v>0.30392156862745096</v>
      </c>
      <c r="I258" s="68"/>
      <c r="J258" s="68"/>
      <c r="K258" s="127"/>
      <c r="L258" s="127"/>
      <c r="M258" s="127"/>
      <c r="N258" s="127"/>
      <c r="O258" s="127"/>
      <c r="P258" s="127"/>
      <c r="Q258" s="127"/>
      <c r="R258" s="128"/>
      <c r="S258" s="120"/>
      <c r="T258" s="127"/>
      <c r="U258" s="89"/>
      <c r="V258" s="103"/>
      <c r="W258" s="115"/>
      <c r="X258" s="435" t="str">
        <f t="shared" si="84"/>
        <v>West Berkshire</v>
      </c>
      <c r="Y258" s="436">
        <f>IF(Year1_West_Berkshire Year1_CP_Plans_became_subject="","",Year1_West_Berkshire Year1_CP_Plans_became_subject)</f>
        <v>170</v>
      </c>
      <c r="Z258" s="438">
        <f>IF(Year2_West_Berkshire Year2_CP_Plans_became_subject="","",Year2_West_Berkshire Year2_CP_Plans_became_subject)</f>
        <v>225</v>
      </c>
      <c r="AA258" s="438">
        <f>IF(Year3_West_Berkshire Year3_CP_Plans_became_subject="","",Year3_West_Berkshire Year3_CP_Plans_became_subject)</f>
        <v>245</v>
      </c>
      <c r="AB258" s="438">
        <f>IF(Year4_West_Berkshire Year4_CP_Plans_became_subject="","",Year4_West_Berkshire Year4_CP_Plans_became_subject)</f>
        <v>389</v>
      </c>
      <c r="AC258" s="267">
        <f>IF(Year5_West_Berkshire Year5_CP_Plans_became_subject="","",Year5_West_Berkshire Year5_CP_Plans_became_subject)</f>
        <v>204</v>
      </c>
      <c r="AD258" s="437" t="str">
        <f t="shared" si="85"/>
        <v>West Berkshire</v>
      </c>
      <c r="AE258" s="354">
        <f>IF(Year1_West_Berkshire Year1_CP_Plans_became_subject_second="","",Year1_West_Berkshire Year1_CP_Plans_became_subject_second)</f>
        <v>37</v>
      </c>
      <c r="AF258" s="438">
        <f>IF(Year2_West_Berkshire Year2_CP_Plans_became_subject_second="","",Year2_West_Berkshire Year2_CP_Plans_became_subject_second)</f>
        <v>51</v>
      </c>
      <c r="AG258" s="438">
        <f>IF(Year3_West_Berkshire Year3_CP_Plans_became_subject_second="","",Year3_West_Berkshire Year3_CP_Plans_became_subject_second)</f>
        <v>55</v>
      </c>
      <c r="AH258" s="438">
        <f>IF(Year4_West_Berkshire Year4_CP_Plans_became_subject_second="","",Year4_West_Berkshire Year4_CP_Plans_became_subject_second)</f>
        <v>98</v>
      </c>
      <c r="AI258" s="354">
        <f>IF(Year5_West_Berkshire Year5_CP_Plans_became_subject_second="","",Year5_West_Berkshire Year5_CP_Plans_became_subject_second)</f>
        <v>62</v>
      </c>
      <c r="AJ258" s="122"/>
    </row>
    <row r="259" spans="1:76" s="61" customFormat="1" ht="13.5" customHeight="1">
      <c r="A259" s="1103">
        <f>VLOOKUP(B259,ReportData!$AQ$4:$AR$25,2,FALSE)</f>
        <v>0</v>
      </c>
      <c r="B259" s="885" t="str">
        <f t="shared" si="78"/>
        <v>West Sussex</v>
      </c>
      <c r="C259" s="59"/>
      <c r="D259" s="922">
        <f t="shared" si="79"/>
        <v>0.2648888888888889</v>
      </c>
      <c r="E259" s="922">
        <f t="shared" si="80"/>
        <v>0.26284751474304968</v>
      </c>
      <c r="F259" s="922">
        <f t="shared" si="81"/>
        <v>0.26413043478260867</v>
      </c>
      <c r="G259" s="922">
        <f t="shared" si="82"/>
        <v>0.23891129032258066</v>
      </c>
      <c r="H259" s="923">
        <f t="shared" si="83"/>
        <v>0.25837320574162681</v>
      </c>
      <c r="I259" s="68"/>
      <c r="J259" s="68"/>
      <c r="K259" s="127"/>
      <c r="L259" s="127"/>
      <c r="M259" s="127"/>
      <c r="N259" s="127"/>
      <c r="O259" s="127"/>
      <c r="P259" s="127"/>
      <c r="Q259" s="127"/>
      <c r="R259" s="128"/>
      <c r="S259" s="120"/>
      <c r="T259" s="127"/>
      <c r="U259" s="89"/>
      <c r="V259" s="103"/>
      <c r="W259" s="115"/>
      <c r="X259" s="435" t="str">
        <f t="shared" si="84"/>
        <v>West Sussex</v>
      </c>
      <c r="Y259" s="436">
        <f>IF(Year1_West_Sussex Year1_CP_Plans_became_subject="","",Year1_West_Sussex Year1_CP_Plans_became_subject)</f>
        <v>1125</v>
      </c>
      <c r="Z259" s="438">
        <f>IF(Year2_West_Sussex Year2_CP_Plans_became_subject="","",Year2_West_Sussex Year2_CP_Plans_became_subject)</f>
        <v>1187</v>
      </c>
      <c r="AA259" s="438">
        <f>IF(Year3_West_Sussex Year3_CP_Plans_became_subject="","",Year3_West_Sussex Year3_CP_Plans_became_subject)</f>
        <v>920</v>
      </c>
      <c r="AB259" s="438">
        <f>IF(Year4_West_Sussex Year4_CP_Plans_became_subject="","",Year4_West_Sussex Year4_CP_Plans_became_subject)</f>
        <v>992</v>
      </c>
      <c r="AC259" s="267">
        <f>IF(Year5_West_Sussex Year5_CP_Plans_became_subject="","",Year5_West_Sussex Year5_CP_Plans_became_subject)</f>
        <v>836</v>
      </c>
      <c r="AD259" s="437" t="str">
        <f t="shared" si="85"/>
        <v>West Sussex</v>
      </c>
      <c r="AE259" s="354">
        <f>IF(Year1_West_Sussex Year1_CP_Plans_became_subject_second="","",Year1_West_Sussex Year1_CP_Plans_became_subject_second)</f>
        <v>298</v>
      </c>
      <c r="AF259" s="438">
        <f>IF(Year2_West_Sussex Year2_CP_Plans_became_subject_second="","",Year2_West_Sussex Year2_CP_Plans_became_subject_second)</f>
        <v>312</v>
      </c>
      <c r="AG259" s="438">
        <f>IF(Year3_West_Sussex Year3_CP_Plans_became_subject_second="","",Year3_West_Sussex Year3_CP_Plans_became_subject_second)</f>
        <v>243</v>
      </c>
      <c r="AH259" s="438">
        <f>IF(Year4_West_Sussex Year4_CP_Plans_became_subject_second="","",Year4_West_Sussex Year4_CP_Plans_became_subject_second)</f>
        <v>237</v>
      </c>
      <c r="AI259" s="354">
        <f>IF(Year5_West_Sussex Year5_CP_Plans_became_subject_second="","",Year5_West_Sussex Year5_CP_Plans_became_subject_second)</f>
        <v>216</v>
      </c>
      <c r="AJ259" s="121"/>
    </row>
    <row r="260" spans="1:76" s="61" customFormat="1" ht="13.5" customHeight="1">
      <c r="A260" s="1103">
        <f>VLOOKUP(B260,ReportData!$AQ$4:$AR$25,2,FALSE)</f>
        <v>0</v>
      </c>
      <c r="B260" s="885" t="str">
        <f t="shared" si="78"/>
        <v>Windsor &amp; Maidenhead</v>
      </c>
      <c r="C260" s="59"/>
      <c r="D260" s="922">
        <f t="shared" si="79"/>
        <v>0.15023474178403756</v>
      </c>
      <c r="E260" s="922">
        <f t="shared" si="80"/>
        <v>0.25877192982456143</v>
      </c>
      <c r="F260" s="922">
        <f t="shared" si="81"/>
        <v>0.32446808510638298</v>
      </c>
      <c r="G260" s="922">
        <f t="shared" si="82"/>
        <v>0.30808080808080807</v>
      </c>
      <c r="H260" s="923">
        <f t="shared" si="83"/>
        <v>0.30158730158730157</v>
      </c>
      <c r="I260" s="68"/>
      <c r="J260" s="68"/>
      <c r="K260" s="127"/>
      <c r="L260" s="127"/>
      <c r="M260" s="127"/>
      <c r="N260" s="127"/>
      <c r="O260" s="127"/>
      <c r="P260" s="127"/>
      <c r="Q260" s="127"/>
      <c r="R260" s="128"/>
      <c r="S260" s="120"/>
      <c r="T260" s="127"/>
      <c r="U260" s="89"/>
      <c r="V260" s="103"/>
      <c r="W260" s="115"/>
      <c r="X260" s="435" t="str">
        <f t="shared" si="84"/>
        <v>Windsor &amp; Maidenhead</v>
      </c>
      <c r="Y260" s="436">
        <f>IF(Year1_Windsor_and_Maidenhead Year1_CP_Plans_became_subject="","",Year1_Windsor_and_Maidenhead Year1_CP_Plans_became_subject)</f>
        <v>213</v>
      </c>
      <c r="Z260" s="438">
        <f>IF(Year2_Windsor_and_Maidenhead Year2_CP_Plans_became_subject="","",Year2_Windsor_and_Maidenhead Year2_CP_Plans_became_subject)</f>
        <v>228</v>
      </c>
      <c r="AA260" s="438">
        <f>IF(Year3_Windsor_and_Maidenhead Year3_CP_Plans_became_subject="","",Year3_Windsor_and_Maidenhead Year3_CP_Plans_became_subject)</f>
        <v>188</v>
      </c>
      <c r="AB260" s="438">
        <f>IF(Year4_Windsor_and_Maidenhead Year4_CP_Plans_became_subject="","",Year4_Windsor_and_Maidenhead Year4_CP_Plans_became_subject)</f>
        <v>198</v>
      </c>
      <c r="AC260" s="267">
        <f>IF(Year5_Windsor_and_Maidenhead Year5_CP_Plans_became_subject="","",Year5_Windsor_and_Maidenhead Year5_CP_Plans_became_subject)</f>
        <v>189</v>
      </c>
      <c r="AD260" s="437" t="str">
        <f t="shared" si="85"/>
        <v>Windsor &amp; Maidenhead</v>
      </c>
      <c r="AE260" s="354">
        <f>IF(Year1_Windsor_and_Maidenhead Year1_CP_Plans_became_subject_second="","",Year1_Windsor_and_Maidenhead Year1_CP_Plans_became_subject_second)</f>
        <v>32</v>
      </c>
      <c r="AF260" s="438">
        <f>IF(Year2_Windsor_and_Maidenhead Year2_CP_Plans_became_subject_second="","",Year2_Windsor_and_Maidenhead Year2_CP_Plans_became_subject_second)</f>
        <v>59</v>
      </c>
      <c r="AG260" s="438">
        <f>IF(Year3_Windsor_and_Maidenhead Year3_CP_Plans_became_subject_second="","",Year3_Windsor_and_Maidenhead Year3_CP_Plans_became_subject_second)</f>
        <v>61</v>
      </c>
      <c r="AH260" s="438">
        <f>IF(Year4_Windsor_and_Maidenhead Year4_CP_Plans_became_subject_second="","",Year4_Windsor_and_Maidenhead Year4_CP_Plans_became_subject_second)</f>
        <v>61</v>
      </c>
      <c r="AI260" s="354">
        <f>IF(Year5_Windsor_and_Maidenhead Year5_CP_Plans_became_subject_second="","",Year5_Windsor_and_Maidenhead Year5_CP_Plans_became_subject_second)</f>
        <v>57</v>
      </c>
      <c r="AJ260" s="121"/>
    </row>
    <row r="261" spans="1:76" s="61" customFormat="1" ht="13.5" customHeight="1">
      <c r="A261" s="1103">
        <f>VLOOKUP(B261,ReportData!$AQ$4:$AR$25,2,FALSE)</f>
        <v>0</v>
      </c>
      <c r="B261" s="885" t="str">
        <f t="shared" si="78"/>
        <v>Wokingham</v>
      </c>
      <c r="C261" s="59"/>
      <c r="D261" s="922">
        <f t="shared" si="79"/>
        <v>0.20224719101123595</v>
      </c>
      <c r="E261" s="922">
        <f t="shared" si="80"/>
        <v>0.18354430379746836</v>
      </c>
      <c r="F261" s="922">
        <f t="shared" si="81"/>
        <v>0.20512820512820512</v>
      </c>
      <c r="G261" s="922">
        <f t="shared" si="82"/>
        <v>0.21014492753623187</v>
      </c>
      <c r="H261" s="923">
        <f t="shared" si="83"/>
        <v>0.216</v>
      </c>
      <c r="I261" s="68"/>
      <c r="J261" s="68"/>
      <c r="K261" s="127"/>
      <c r="L261" s="127"/>
      <c r="M261" s="127"/>
      <c r="N261" s="127"/>
      <c r="O261" s="127"/>
      <c r="P261" s="127"/>
      <c r="Q261" s="127"/>
      <c r="R261" s="128"/>
      <c r="S261" s="120"/>
      <c r="T261" s="127"/>
      <c r="U261" s="89"/>
      <c r="V261" s="103"/>
      <c r="W261" s="115"/>
      <c r="X261" s="435" t="str">
        <f t="shared" si="84"/>
        <v>Wokingham</v>
      </c>
      <c r="Y261" s="436">
        <f>IF(Year1_Wokingham Year1_CP_Plans_became_subject="","",Year1_Wokingham Year1_CP_Plans_became_subject)</f>
        <v>178</v>
      </c>
      <c r="Z261" s="438">
        <f>IF(Year2_Wokingham Year2_CP_Plans_became_subject="","",Year2_Wokingham Year2_CP_Plans_became_subject)</f>
        <v>158</v>
      </c>
      <c r="AA261" s="438">
        <f>IF(Year3_Wokingham Year3_CP_Plans_became_subject="","",Year3_Wokingham Year3_CP_Plans_became_subject)</f>
        <v>195</v>
      </c>
      <c r="AB261" s="438">
        <f>IF(Year4_Wokingham Year4_CP_Plans_became_subject="","",Year4_Wokingham Year4_CP_Plans_became_subject)</f>
        <v>138</v>
      </c>
      <c r="AC261" s="267">
        <f>IF(Year5_Wokingham Year5_CP_Plans_became_subject="","",Year5_Wokingham Year5_CP_Plans_became_subject)</f>
        <v>125</v>
      </c>
      <c r="AD261" s="437" t="str">
        <f t="shared" si="85"/>
        <v>Wokingham</v>
      </c>
      <c r="AE261" s="354">
        <f>IF(Year1_Wokingham Year1_CP_Plans_became_subject_second="","",Year1_Wokingham Year1_CP_Plans_became_subject_second)</f>
        <v>36</v>
      </c>
      <c r="AF261" s="438">
        <f>IF(Year2_Wokingham Year2_CP_Plans_became_subject_second="","",Year2_Wokingham Year2_CP_Plans_became_subject_second)</f>
        <v>29</v>
      </c>
      <c r="AG261" s="438">
        <f>IF(Year3_Wokingham Year3_CP_Plans_became_subject_second="","",Year3_Wokingham Year3_CP_Plans_became_subject_second)</f>
        <v>40</v>
      </c>
      <c r="AH261" s="438">
        <f>IF(Year4_Wokingham Year4_CP_Plans_became_subject_second="","",Year4_Wokingham Year4_CP_Plans_became_subject_second)</f>
        <v>29</v>
      </c>
      <c r="AI261" s="354">
        <f>IF(Year5_Wokingham Year5_CP_Plans_became_subject_second="","",Year5_Wokingham Year5_CP_Plans_became_subject_second)</f>
        <v>27</v>
      </c>
      <c r="AJ261" s="122"/>
      <c r="AK261" s="56"/>
      <c r="AL261" s="56"/>
      <c r="AM261" s="56"/>
      <c r="AN261" s="56"/>
      <c r="AO261" s="56"/>
      <c r="AP261" s="56"/>
      <c r="AQ261" s="56"/>
      <c r="AR261" s="56"/>
      <c r="AS261" s="56"/>
      <c r="AT261" s="56"/>
      <c r="AU261" s="56"/>
      <c r="AV261" s="56"/>
      <c r="AW261" s="56"/>
      <c r="AX261" s="56"/>
    </row>
    <row r="262" spans="1:76" s="61" customFormat="1" ht="13.5" customHeight="1">
      <c r="A262" s="1148"/>
      <c r="B262" s="886" t="str">
        <f t="shared" si="78"/>
        <v>South East</v>
      </c>
      <c r="C262" s="59"/>
      <c r="D262" s="924">
        <f t="shared" si="79"/>
        <v>0.23443579766536965</v>
      </c>
      <c r="E262" s="924">
        <f t="shared" si="80"/>
        <v>0.23482926829268291</v>
      </c>
      <c r="F262" s="924">
        <f t="shared" si="81"/>
        <v>0.23721331925918818</v>
      </c>
      <c r="G262" s="924">
        <f t="shared" si="82"/>
        <v>0.25194552529182879</v>
      </c>
      <c r="H262" s="925">
        <f t="shared" si="83"/>
        <v>0.25303867403314917</v>
      </c>
      <c r="I262" s="68"/>
      <c r="J262" s="68"/>
      <c r="K262" s="129"/>
      <c r="L262" s="129"/>
      <c r="M262" s="129"/>
      <c r="N262" s="129"/>
      <c r="O262" s="129"/>
      <c r="P262" s="129"/>
      <c r="Q262" s="129"/>
      <c r="R262" s="130"/>
      <c r="S262" s="120"/>
      <c r="T262" s="131"/>
      <c r="U262" s="89"/>
      <c r="V262" s="103"/>
      <c r="W262" s="115"/>
      <c r="X262" s="435" t="str">
        <f t="shared" si="84"/>
        <v>South East</v>
      </c>
      <c r="Y262" s="437">
        <f>IF(Year1_South_East Year1_CP_Plans_became_subject="","",Year1_South_East Year1_CP_Plans_became_subject)</f>
        <v>10280</v>
      </c>
      <c r="Z262" s="438">
        <f>IF(Year2_South_East Year2_CP_Plans_became_subject="","",Year2_South_East Year2_CP_Plans_became_subject)</f>
        <v>10250</v>
      </c>
      <c r="AA262" s="438">
        <f>IF(Year3_South_East Year3_CP_Plans_became_subject="","",Year3_South_East Year3_CP_Plans_became_subject)</f>
        <v>10421</v>
      </c>
      <c r="AB262" s="438">
        <f>IF(Year4_South_East Year4_CP_Plans_became_subject="","",Year4_South_East Year4_CP_Plans_became_subject)</f>
        <v>10280</v>
      </c>
      <c r="AC262" s="435">
        <f>IF(Year5_South_East Year5_CP_Plans_became_subject="","",Year5_South_East Year5_CP_Plans_became_subject)</f>
        <v>9050</v>
      </c>
      <c r="AD262" s="437" t="str">
        <f t="shared" si="85"/>
        <v>South East</v>
      </c>
      <c r="AE262" s="438">
        <f>IF(Year1_South_East Year1_CP_Plans_became_subject_second="","",Year1_South_East Year1_CP_Plans_became_subject_second)</f>
        <v>2410</v>
      </c>
      <c r="AF262" s="438">
        <f>IF(Year2_South_East Year2_CP_Plans_became_subject_second="","",Year2_South_East Year2_CP_Plans_became_subject_second)</f>
        <v>2407</v>
      </c>
      <c r="AG262" s="438">
        <f>IF(Year3_South_East Year3_CP_Plans_became_subject_second="","",Year3_South_East Year3_CP_Plans_became_subject_second)</f>
        <v>2472</v>
      </c>
      <c r="AH262" s="438">
        <f>IF(Year4_South_East Year4_CP_Plans_became_subject_second="","",Year4_South_East Year4_CP_Plans_became_subject_second)</f>
        <v>2590</v>
      </c>
      <c r="AI262" s="438">
        <f>IF(Year5_South_East Year5_CP_Plans_became_subject_second="","",Year5_South_East Year5_CP_Plans_became_subject_second)</f>
        <v>2290</v>
      </c>
      <c r="AJ262" s="122"/>
      <c r="AK262" s="56"/>
      <c r="AL262" s="56"/>
      <c r="AM262" s="56"/>
      <c r="AN262" s="56"/>
      <c r="AO262" s="56"/>
      <c r="AP262" s="56"/>
      <c r="AQ262" s="56"/>
      <c r="AR262" s="56"/>
      <c r="AS262" s="56"/>
      <c r="AT262" s="56"/>
      <c r="AU262" s="56"/>
      <c r="AV262" s="56"/>
      <c r="AW262" s="56"/>
      <c r="AX262" s="56"/>
    </row>
    <row r="263" spans="1:76" s="61" customFormat="1" ht="13.5" customHeight="1">
      <c r="A263" s="1148"/>
      <c r="B263" s="887" t="str">
        <f t="shared" si="78"/>
        <v>England</v>
      </c>
      <c r="C263" s="59"/>
      <c r="D263" s="926">
        <f t="shared" si="79"/>
        <v>0.21904188008436276</v>
      </c>
      <c r="E263" s="926">
        <f t="shared" si="80"/>
        <v>0.22074259752467493</v>
      </c>
      <c r="F263" s="926">
        <f t="shared" si="81"/>
        <v>0.23280012424289487</v>
      </c>
      <c r="G263" s="926">
        <f t="shared" si="82"/>
        <v>0.23563488335681854</v>
      </c>
      <c r="H263" s="927">
        <f t="shared" si="83"/>
        <v>0.24682015778457575</v>
      </c>
      <c r="I263" s="68"/>
      <c r="J263" s="68"/>
      <c r="K263" s="129"/>
      <c r="L263" s="129"/>
      <c r="M263" s="129"/>
      <c r="N263" s="129"/>
      <c r="O263" s="129"/>
      <c r="P263" s="129"/>
      <c r="Q263" s="129"/>
      <c r="R263" s="130"/>
      <c r="S263" s="120"/>
      <c r="T263" s="131"/>
      <c r="U263" s="89"/>
      <c r="V263" s="103"/>
      <c r="W263" s="114"/>
      <c r="X263" s="435" t="str">
        <f t="shared" si="84"/>
        <v>England</v>
      </c>
      <c r="Y263" s="437">
        <f>IF(Year1_England Year1_CP_Plans_became_subject="","",Year1_England Year1_CP_Plans_became_subject)</f>
        <v>66380</v>
      </c>
      <c r="Z263" s="438">
        <f>IF(Year2_England Year2_CP_Plans_became_subject="","",Year2_England Year2_CP_Plans_became_subject)</f>
        <v>63830</v>
      </c>
      <c r="AA263" s="438">
        <f>IF(Year3_England Year3_CP_Plans_became_subject="","",Year3_England Year3_CP_Plans_became_subject)</f>
        <v>64390</v>
      </c>
      <c r="AB263" s="438">
        <f>IF(Year4_England Year4_CP_Plans_became_subject="","",Year4_England Year4_CP_Plans_became_subject)</f>
        <v>63870</v>
      </c>
      <c r="AC263" s="267">
        <f>IF(Year5_England Year5_CP_Plans_became_subject="","",Year5_England Year5_CP_Plans_became_subject)</f>
        <v>62110</v>
      </c>
      <c r="AD263" s="437" t="str">
        <f t="shared" si="85"/>
        <v>England</v>
      </c>
      <c r="AE263" s="438">
        <f>IF(Year1_England Year1_CP_Plans_became_subject_second="","",Year1_England Year1_CP_Plans_became_subject_second)</f>
        <v>14540</v>
      </c>
      <c r="AF263" s="438">
        <f>IF(Year2_England Year2_CP_Plans_became_subject_second="","",Year2_England Year2_CP_Plans_became_subject_second)</f>
        <v>14090</v>
      </c>
      <c r="AG263" s="438">
        <f>IF(Year3_England Year3_CP_Plans_became_subject_second="","",Year3_England Year3_CP_Plans_became_subject_second)</f>
        <v>14990</v>
      </c>
      <c r="AH263" s="438">
        <f>IF(Year4_England Year4_CP_Plans_became_subject_second="","",Year4_England Year4_CP_Plans_became_subject_second)</f>
        <v>15050</v>
      </c>
      <c r="AI263" s="354">
        <f>IF(Year5_England Year5_CP_Plans_became_subject_second="","",Year5_England Year5_CP_Plans_became_subject_second)</f>
        <v>15330</v>
      </c>
      <c r="AJ263" s="122"/>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row>
    <row r="264" spans="1:76" s="61" customFormat="1" ht="6" customHeight="1">
      <c r="A264" s="217"/>
      <c r="B264" s="68"/>
      <c r="C264" s="68"/>
      <c r="D264" s="68"/>
      <c r="E264" s="68"/>
      <c r="F264" s="68"/>
      <c r="G264" s="68"/>
      <c r="H264" s="68"/>
      <c r="I264" s="68"/>
      <c r="J264" s="68"/>
      <c r="K264" s="129"/>
      <c r="L264" s="129"/>
      <c r="M264" s="129"/>
      <c r="N264" s="129"/>
      <c r="O264" s="129"/>
      <c r="P264" s="129"/>
      <c r="Q264" s="129"/>
      <c r="R264" s="130"/>
      <c r="S264" s="120"/>
      <c r="T264" s="131"/>
      <c r="U264" s="89"/>
      <c r="V264" s="103"/>
      <c r="W264" s="114"/>
      <c r="X264" s="56"/>
      <c r="Y264" s="141"/>
      <c r="Z264" s="56"/>
      <c r="AA264" s="56"/>
      <c r="AB264" s="56"/>
      <c r="AC264" s="56"/>
      <c r="AD264" s="56"/>
      <c r="AE264" s="56"/>
      <c r="AF264" s="56"/>
      <c r="AG264" s="56"/>
      <c r="AH264" s="56"/>
      <c r="AI264" s="52"/>
      <c r="AJ264" s="119"/>
      <c r="AK264" s="52"/>
      <c r="AL264" s="52"/>
      <c r="AM264" s="52"/>
      <c r="AN264" s="52"/>
      <c r="AO264" s="52"/>
      <c r="AP264" s="52"/>
      <c r="AQ264" s="52"/>
      <c r="AR264" s="56"/>
      <c r="AS264" s="56"/>
      <c r="AT264" s="56"/>
      <c r="AU264" s="56"/>
      <c r="AV264" s="56"/>
      <c r="AW264" s="56"/>
      <c r="AX264" s="56"/>
      <c r="AY264" s="56"/>
      <c r="AZ264" s="56"/>
      <c r="BA264" s="56"/>
      <c r="BB264" s="56"/>
      <c r="BC264" s="56"/>
      <c r="BD264" s="56"/>
      <c r="BE264" s="56"/>
      <c r="BF264" s="56"/>
    </row>
    <row r="265" spans="1:76" s="61" customFormat="1" ht="39" customHeight="1">
      <c r="A265" s="166"/>
      <c r="B265" s="171"/>
      <c r="C265" s="171"/>
      <c r="D265" s="171"/>
      <c r="E265" s="171"/>
      <c r="F265" s="171"/>
      <c r="G265" s="171"/>
      <c r="H265" s="171"/>
      <c r="I265" s="171"/>
      <c r="J265" s="133"/>
      <c r="K265" s="133"/>
      <c r="L265" s="133"/>
      <c r="M265" s="133"/>
      <c r="N265" s="133"/>
      <c r="O265" s="133"/>
      <c r="P265" s="133"/>
      <c r="Q265" s="133"/>
      <c r="R265" s="101"/>
      <c r="S265" s="133"/>
      <c r="T265" s="133"/>
      <c r="U265" s="86"/>
      <c r="V265" s="102"/>
      <c r="W265" s="114"/>
      <c r="X265" s="56"/>
      <c r="Y265" s="56"/>
      <c r="Z265" s="56"/>
      <c r="AA265" s="56"/>
      <c r="AB265" s="56"/>
      <c r="AC265" s="56"/>
      <c r="AD265" s="56"/>
      <c r="AE265" s="56"/>
      <c r="AF265" s="56"/>
      <c r="AG265" s="56"/>
      <c r="AH265" s="56"/>
      <c r="AI265" s="56"/>
      <c r="AJ265" s="122"/>
      <c r="AK265" s="56"/>
      <c r="AL265" s="56"/>
      <c r="AM265" s="56"/>
      <c r="AN265" s="56"/>
      <c r="AO265" s="56"/>
      <c r="AP265" s="56"/>
      <c r="AQ265" s="56"/>
      <c r="AR265" s="56"/>
      <c r="AS265" s="52"/>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row>
    <row r="266" spans="1:76" s="61" customFormat="1" ht="39" customHeight="1">
      <c r="A266" s="166"/>
      <c r="B266" s="171"/>
      <c r="C266" s="171"/>
      <c r="D266" s="171"/>
      <c r="E266" s="171"/>
      <c r="F266" s="171"/>
      <c r="G266" s="171"/>
      <c r="H266" s="171"/>
      <c r="I266" s="171"/>
      <c r="J266" s="133"/>
      <c r="K266" s="133"/>
      <c r="L266" s="133"/>
      <c r="M266" s="133"/>
      <c r="N266" s="133"/>
      <c r="O266" s="133"/>
      <c r="P266" s="133"/>
      <c r="Q266" s="133"/>
      <c r="R266" s="101"/>
      <c r="S266" s="133"/>
      <c r="T266" s="133"/>
      <c r="U266" s="86"/>
      <c r="V266" s="102"/>
      <c r="W266" s="114"/>
      <c r="X266" s="56"/>
      <c r="Y266" s="56"/>
      <c r="Z266" s="56"/>
      <c r="AA266" s="56"/>
      <c r="AB266" s="56"/>
      <c r="AC266" s="56"/>
      <c r="AD266" s="56"/>
      <c r="AE266" s="56"/>
      <c r="AF266" s="56"/>
      <c r="AG266" s="56"/>
      <c r="AH266" s="56"/>
      <c r="AI266" s="52"/>
      <c r="AJ266" s="121"/>
      <c r="AL266" s="56"/>
      <c r="AM266" s="56"/>
      <c r="AN266" s="56"/>
      <c r="AO266" s="56"/>
      <c r="AP266" s="56"/>
      <c r="AQ266" s="56"/>
      <c r="AR266" s="56"/>
      <c r="AS266" s="52"/>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row>
    <row r="267" spans="1:76" s="56" customFormat="1" ht="47.25" customHeight="1">
      <c r="A267" s="166"/>
      <c r="B267" s="171"/>
      <c r="C267" s="171"/>
      <c r="D267" s="171"/>
      <c r="E267" s="171"/>
      <c r="F267" s="171"/>
      <c r="G267" s="171"/>
      <c r="H267" s="171"/>
      <c r="I267" s="171"/>
      <c r="J267" s="133"/>
      <c r="K267" s="133"/>
      <c r="L267" s="133"/>
      <c r="M267" s="133"/>
      <c r="N267" s="133"/>
      <c r="O267" s="133"/>
      <c r="P267" s="133"/>
      <c r="Q267" s="133"/>
      <c r="R267" s="101"/>
      <c r="S267" s="133"/>
      <c r="T267" s="133"/>
      <c r="U267" s="86"/>
      <c r="V267" s="121"/>
      <c r="W267" s="114"/>
      <c r="X267" s="364"/>
      <c r="Y267" s="373"/>
      <c r="Z267" s="146"/>
      <c r="AA267" s="146"/>
      <c r="AB267" s="146"/>
      <c r="AC267" s="146"/>
      <c r="AF267" s="146"/>
      <c r="AG267" s="146"/>
      <c r="AH267" s="146"/>
      <c r="AI267" s="146"/>
      <c r="AJ267" s="119"/>
      <c r="AK267" s="52"/>
      <c r="AL267" s="52"/>
      <c r="AM267" s="52"/>
      <c r="AN267" s="52"/>
      <c r="AO267" s="52"/>
      <c r="AP267" s="52"/>
      <c r="AQ267" s="52"/>
      <c r="AR267" s="52"/>
      <c r="AS267" s="52"/>
      <c r="AT267" s="52"/>
      <c r="AU267" s="52"/>
      <c r="AV267" s="52"/>
      <c r="AW267" s="52"/>
      <c r="AX267" s="52"/>
    </row>
    <row r="268" spans="1:76" s="56" customFormat="1" ht="7.5" customHeight="1">
      <c r="A268" s="87"/>
      <c r="B268" s="12"/>
      <c r="C268" s="12"/>
      <c r="D268" s="11"/>
      <c r="E268" s="11"/>
      <c r="F268" s="11"/>
      <c r="G268" s="11"/>
      <c r="H268" s="11"/>
      <c r="I268" s="11"/>
      <c r="J268" s="1"/>
      <c r="K268" s="13"/>
      <c r="L268" s="13"/>
      <c r="M268" s="13"/>
      <c r="N268" s="13"/>
      <c r="O268" s="13"/>
      <c r="P268" s="13"/>
      <c r="Q268" s="13"/>
      <c r="R268" s="13"/>
      <c r="S268" s="13"/>
      <c r="T268" s="14"/>
      <c r="U268" s="86"/>
      <c r="V268" s="185"/>
      <c r="W268" s="114"/>
      <c r="AJ268" s="119"/>
      <c r="AK268" s="52"/>
      <c r="AL268" s="52"/>
      <c r="AM268" s="52"/>
      <c r="AN268" s="52"/>
      <c r="AO268" s="52"/>
      <c r="AP268" s="52"/>
      <c r="AQ268" s="52"/>
      <c r="AR268" s="52"/>
      <c r="AS268" s="52"/>
      <c r="AT268" s="52"/>
      <c r="AU268" s="52"/>
      <c r="AV268" s="52"/>
      <c r="AW268" s="52"/>
      <c r="AX268" s="52"/>
    </row>
    <row r="269" spans="1:76" s="56" customFormat="1" ht="15" customHeight="1">
      <c r="A269" s="1565"/>
      <c r="B269" s="1751"/>
      <c r="C269" s="1751"/>
      <c r="D269" s="1751"/>
      <c r="E269" s="1751"/>
      <c r="F269" s="1751"/>
      <c r="G269" s="1751"/>
      <c r="H269" s="1751"/>
      <c r="I269" s="1751"/>
      <c r="J269" s="1751"/>
      <c r="K269" s="1751"/>
      <c r="L269" s="1751"/>
      <c r="M269" s="1751"/>
      <c r="N269" s="1751"/>
      <c r="O269" s="1751"/>
      <c r="P269" s="1751"/>
      <c r="Q269" s="1751"/>
      <c r="R269" s="1751"/>
      <c r="S269" s="1751"/>
      <c r="T269" s="1751"/>
      <c r="U269" s="1752"/>
      <c r="V269" s="185"/>
      <c r="W269" s="115"/>
      <c r="AJ269" s="119"/>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row>
    <row r="270" spans="1:76" s="56" customFormat="1" ht="11.25" customHeight="1">
      <c r="A270" s="1739"/>
      <c r="B270" s="1740"/>
      <c r="C270" s="1740"/>
      <c r="D270" s="1740"/>
      <c r="E270" s="1740"/>
      <c r="F270" s="1740"/>
      <c r="G270" s="1740"/>
      <c r="H270" s="1740"/>
      <c r="I270" s="1741"/>
      <c r="J270" s="1740"/>
      <c r="K270" s="1740"/>
      <c r="L270" s="1740"/>
      <c r="M270" s="1740"/>
      <c r="N270" s="1740"/>
      <c r="O270" s="1740"/>
      <c r="P270" s="1742"/>
      <c r="Q270" s="1740"/>
      <c r="R270" s="1740"/>
      <c r="S270" s="1741"/>
      <c r="T270" s="1740"/>
      <c r="U270" s="1743"/>
      <c r="V270" s="185"/>
      <c r="W270" s="115"/>
      <c r="X270" s="528"/>
      <c r="Y270" s="528"/>
      <c r="Z270" s="528"/>
      <c r="AA270" s="528"/>
      <c r="AB270" s="528"/>
      <c r="AC270" s="528"/>
      <c r="AD270" s="528"/>
      <c r="AE270" s="528"/>
      <c r="AF270" s="528"/>
      <c r="AG270" s="528"/>
      <c r="AH270" s="528"/>
      <c r="AI270" s="528"/>
      <c r="AJ270" s="119"/>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row>
    <row r="271" spans="1:76" s="56" customFormat="1" ht="10.5" hidden="1" customHeight="1">
      <c r="A271" s="268"/>
      <c r="B271" s="167"/>
      <c r="C271" s="167"/>
      <c r="D271" s="167"/>
      <c r="E271" s="167"/>
      <c r="F271" s="167"/>
      <c r="G271" s="167"/>
      <c r="H271" s="167"/>
      <c r="I271" s="168"/>
      <c r="J271" s="167"/>
      <c r="K271" s="167"/>
      <c r="L271" s="167"/>
      <c r="M271" s="167"/>
      <c r="N271" s="167"/>
      <c r="O271" s="167"/>
      <c r="P271" s="167"/>
      <c r="Q271" s="167"/>
      <c r="R271" s="167"/>
      <c r="S271" s="167"/>
      <c r="T271" s="167"/>
      <c r="U271" s="169"/>
      <c r="V271" s="102"/>
      <c r="W271" s="115"/>
      <c r="X271" s="1916" t="s">
        <v>171</v>
      </c>
      <c r="Y271" s="1916"/>
      <c r="Z271" s="1916"/>
      <c r="AA271" s="1916"/>
      <c r="AB271" s="1916"/>
      <c r="AC271" s="1916"/>
      <c r="AD271" s="1916" t="s">
        <v>169</v>
      </c>
      <c r="AE271" s="1916"/>
      <c r="AF271" s="1916"/>
      <c r="AG271" s="1916"/>
      <c r="AH271" s="1916"/>
      <c r="AI271" s="1916"/>
      <c r="AJ271" s="119"/>
      <c r="AK271" s="52"/>
      <c r="AL271" s="61"/>
      <c r="AM271" s="61"/>
      <c r="AN271" s="61"/>
      <c r="AO271" s="61"/>
      <c r="AP271" s="61"/>
      <c r="AQ271" s="61"/>
      <c r="AR271" s="61"/>
      <c r="AS271" s="61"/>
      <c r="AT271" s="61"/>
      <c r="AU271" s="61"/>
      <c r="AV271" s="61"/>
      <c r="AW271" s="61"/>
      <c r="AX271" s="61"/>
      <c r="AY271" s="52"/>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c r="BX271" s="52"/>
    </row>
    <row r="272" spans="1:76" s="56" customFormat="1" ht="18.75" hidden="1" customHeight="1">
      <c r="A272" s="269"/>
      <c r="B272" s="1919" t="s">
        <v>1061</v>
      </c>
      <c r="C272" s="1919"/>
      <c r="D272" s="1919"/>
      <c r="E272" s="1919"/>
      <c r="F272" s="1919"/>
      <c r="G272" s="1919"/>
      <c r="H272" s="1919"/>
      <c r="I272" s="1177"/>
      <c r="J272" s="50"/>
      <c r="K272" s="50"/>
      <c r="L272" s="50"/>
      <c r="M272" s="50"/>
      <c r="N272" s="50"/>
      <c r="O272" s="50"/>
      <c r="P272" s="50"/>
      <c r="Q272" s="50"/>
      <c r="R272" s="50"/>
      <c r="S272" s="50"/>
      <c r="T272" s="50"/>
      <c r="U272" s="170"/>
      <c r="V272" s="102"/>
      <c r="W272" s="115"/>
      <c r="X272" s="1916"/>
      <c r="Y272" s="1916"/>
      <c r="Z272" s="1916"/>
      <c r="AA272" s="1916"/>
      <c r="AB272" s="1916"/>
      <c r="AC272" s="1916"/>
      <c r="AD272" s="1916"/>
      <c r="AE272" s="1916"/>
      <c r="AF272" s="1916"/>
      <c r="AG272" s="1916"/>
      <c r="AH272" s="1916"/>
      <c r="AI272" s="1916"/>
      <c r="AJ272" s="119"/>
      <c r="AK272" s="52"/>
      <c r="AL272" s="61"/>
      <c r="AM272" s="61"/>
      <c r="AN272" s="61"/>
      <c r="AO272" s="61"/>
      <c r="AP272" s="61"/>
      <c r="AQ272" s="61"/>
      <c r="AR272" s="61"/>
      <c r="AS272" s="61"/>
      <c r="AT272" s="61"/>
      <c r="AU272" s="61"/>
      <c r="AV272" s="61"/>
      <c r="AW272" s="61"/>
      <c r="AX272" s="61"/>
      <c r="AY272" s="52"/>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c r="BX272" s="52"/>
    </row>
    <row r="273" spans="1:76" ht="18.75" hidden="1" customHeight="1">
      <c r="A273" s="269"/>
      <c r="B273" s="1919"/>
      <c r="C273" s="1919"/>
      <c r="D273" s="1919"/>
      <c r="E273" s="1919"/>
      <c r="F273" s="1919"/>
      <c r="G273" s="1919"/>
      <c r="H273" s="1919"/>
      <c r="I273" s="1177"/>
      <c r="J273" s="50"/>
      <c r="K273" s="50"/>
      <c r="L273" s="50"/>
      <c r="M273" s="50"/>
      <c r="N273" s="50"/>
      <c r="O273" s="50"/>
      <c r="P273" s="50"/>
      <c r="Q273" s="50"/>
      <c r="R273" s="50"/>
      <c r="S273" s="50"/>
      <c r="T273" s="50"/>
      <c r="U273" s="170"/>
      <c r="V273" s="102"/>
      <c r="W273" s="115"/>
      <c r="X273" s="52"/>
      <c r="Y273" s="52"/>
      <c r="Z273" s="52"/>
      <c r="AA273" s="52"/>
      <c r="AB273" s="52"/>
      <c r="AC273" s="52"/>
      <c r="AD273" s="52"/>
      <c r="AE273" s="52"/>
      <c r="AF273" s="52"/>
      <c r="AG273" s="52"/>
      <c r="AH273" s="52"/>
      <c r="AJ273" s="119"/>
      <c r="AL273" s="61"/>
      <c r="AM273" s="61"/>
      <c r="AN273" s="61"/>
      <c r="AO273" s="61"/>
      <c r="AP273" s="61"/>
      <c r="AQ273" s="61"/>
      <c r="AR273" s="61"/>
      <c r="AS273" s="61"/>
      <c r="AT273" s="61"/>
      <c r="AU273" s="61"/>
      <c r="AV273" s="61"/>
      <c r="AW273" s="61"/>
      <c r="AX273" s="61"/>
      <c r="AY273" s="61"/>
      <c r="AZ273" s="61"/>
      <c r="BA273" s="61"/>
      <c r="BB273" s="61"/>
      <c r="BC273" s="61"/>
      <c r="BD273" s="61"/>
      <c r="BE273" s="61"/>
      <c r="BF273" s="61"/>
    </row>
    <row r="274" spans="1:76" ht="16.5" hidden="1" customHeight="1">
      <c r="A274" s="269"/>
      <c r="B274" s="1749" t="s">
        <v>177</v>
      </c>
      <c r="C274" s="1175"/>
      <c r="D274" s="1088" t="str">
        <f>ReportData!$D$27</f>
        <v>2019/20</v>
      </c>
      <c r="E274" s="1088" t="str">
        <f>ReportData!$E$27</f>
        <v>2020/21</v>
      </c>
      <c r="F274" s="1088" t="str">
        <f>ReportData!$F$27</f>
        <v>2021/22</v>
      </c>
      <c r="G274" s="1088" t="str">
        <f>ReportData!$G$27</f>
        <v>2022/23</v>
      </c>
      <c r="H274" s="1089" t="str">
        <f>ReportData!$H$27</f>
        <v>2023/24</v>
      </c>
      <c r="I274" s="527"/>
      <c r="J274" s="50"/>
      <c r="K274" s="50"/>
      <c r="L274" s="50"/>
      <c r="M274" s="50"/>
      <c r="N274" s="50"/>
      <c r="O274" s="50"/>
      <c r="P274" s="50"/>
      <c r="Q274" s="50"/>
      <c r="R274" s="50"/>
      <c r="S274" s="50"/>
      <c r="T274" s="50"/>
      <c r="U274" s="170"/>
      <c r="V274" s="102"/>
      <c r="W274" s="115"/>
      <c r="X274" s="52"/>
      <c r="Y274" s="52"/>
      <c r="Z274" s="52"/>
      <c r="AA274" s="52"/>
      <c r="AB274" s="52"/>
      <c r="AC274" s="52"/>
      <c r="AD274" s="52"/>
      <c r="AE274" s="52"/>
      <c r="AF274" s="52"/>
      <c r="AG274" s="52"/>
      <c r="AH274" s="52"/>
      <c r="AJ274" s="119"/>
      <c r="AL274" s="61"/>
      <c r="AM274" s="61"/>
      <c r="AN274" s="61"/>
      <c r="AO274" s="61"/>
      <c r="AP274" s="61"/>
      <c r="AQ274" s="61"/>
      <c r="AR274" s="61"/>
      <c r="AS274" s="61"/>
      <c r="AT274" s="61"/>
      <c r="AU274" s="61"/>
      <c r="AV274" s="61"/>
      <c r="AW274" s="61"/>
      <c r="AX274" s="61"/>
      <c r="AY274" s="61"/>
      <c r="AZ274" s="61"/>
      <c r="BA274" s="61"/>
      <c r="BB274" s="61"/>
      <c r="BC274" s="61"/>
      <c r="BD274" s="61"/>
      <c r="BE274" s="61"/>
      <c r="BF274" s="61"/>
    </row>
    <row r="275" spans="1:76" ht="17.25" hidden="1" customHeight="1">
      <c r="A275" s="217"/>
      <c r="B275" s="1750"/>
      <c r="C275" s="896"/>
      <c r="D275" s="897" t="e">
        <f>ReportData!$D$28</f>
        <v>#N/A</v>
      </c>
      <c r="E275" s="897" t="e">
        <f>ReportData!$E$28</f>
        <v>#N/A</v>
      </c>
      <c r="F275" s="897" t="e">
        <f>ReportData!$F$28</f>
        <v>#N/A</v>
      </c>
      <c r="G275" s="897" t="e">
        <f>ReportData!$G$28</f>
        <v>#N/A</v>
      </c>
      <c r="H275" s="920" t="e">
        <f>ReportData!$H$28</f>
        <v>#N/A</v>
      </c>
      <c r="I275" s="68"/>
      <c r="J275" s="43"/>
      <c r="K275" s="43"/>
      <c r="L275" s="43"/>
      <c r="M275" s="43"/>
      <c r="N275" s="43"/>
      <c r="O275" s="225"/>
      <c r="P275" s="225"/>
      <c r="Q275" s="225"/>
      <c r="R275" s="120"/>
      <c r="S275" s="226"/>
      <c r="T275" s="226"/>
      <c r="U275" s="89"/>
      <c r="V275" s="103"/>
      <c r="W275" s="115"/>
      <c r="X275" s="358"/>
      <c r="Y275" s="356" t="e">
        <f>D242</f>
        <v>#N/A</v>
      </c>
      <c r="Z275" s="25" t="e">
        <f>E242</f>
        <v>#N/A</v>
      </c>
      <c r="AA275" s="25" t="e">
        <f>F242</f>
        <v>#N/A</v>
      </c>
      <c r="AB275" s="25" t="e">
        <f>G242</f>
        <v>#N/A</v>
      </c>
      <c r="AC275" s="359" t="e">
        <f>H242</f>
        <v>#N/A</v>
      </c>
      <c r="AD275" s="357"/>
      <c r="AE275" s="25" t="e">
        <f>Y275</f>
        <v>#N/A</v>
      </c>
      <c r="AF275" s="25" t="e">
        <f>Z275</f>
        <v>#N/A</v>
      </c>
      <c r="AG275" s="25" t="e">
        <f>AA275</f>
        <v>#N/A</v>
      </c>
      <c r="AH275" s="25" t="e">
        <f>AB275</f>
        <v>#N/A</v>
      </c>
      <c r="AI275" s="25" t="e">
        <f>AC275</f>
        <v>#N/A</v>
      </c>
      <c r="AJ275" s="119"/>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row>
    <row r="276" spans="1:76" ht="13.5" hidden="1" customHeight="1">
      <c r="A276" s="1103">
        <f>VLOOKUP(B276,ReportData!$AQ$4:$AR$25,2,FALSE)</f>
        <v>0</v>
      </c>
      <c r="B276" s="1197" t="str">
        <f t="shared" ref="B276:B288" si="86">B11</f>
        <v>Bracknell Forest</v>
      </c>
      <c r="C276" s="1122"/>
      <c r="D276" s="1198" t="e">
        <f t="shared" ref="D276:D295" si="87">IF(AND(ISNUMBER(AE276),ISNUMBER(Y276)),AE276/Y276,NA())</f>
        <v>#N/A</v>
      </c>
      <c r="E276" s="1198" t="e">
        <f t="shared" ref="E276:E295" si="88">IF(AND(ISNUMBER(AF276),ISNUMBER(Z276)),AF276/Z276,NA())</f>
        <v>#N/A</v>
      </c>
      <c r="F276" s="1198" t="e">
        <f t="shared" ref="F276:F295" si="89">IF(AND(ISNUMBER(AG276),ISNUMBER(AA276)),AG276/AA276,NA())</f>
        <v>#N/A</v>
      </c>
      <c r="G276" s="1198" t="e">
        <f t="shared" ref="G276:G295" si="90">IF(AND(ISNUMBER(AH276),ISNUMBER(AB276)),AH276/AB276,NA())</f>
        <v>#N/A</v>
      </c>
      <c r="H276" s="1199" t="e">
        <f t="shared" ref="H276:H295" si="91">IF(AND(ISNUMBER(AI276),ISNUMBER(AC276)),AI276/AC276,NA())</f>
        <v>#N/A</v>
      </c>
      <c r="I276" s="68"/>
      <c r="J276" s="127"/>
      <c r="K276" s="127"/>
      <c r="L276" s="127"/>
      <c r="M276" s="127"/>
      <c r="N276" s="127"/>
      <c r="O276" s="127"/>
      <c r="P276" s="127"/>
      <c r="Q276" s="128"/>
      <c r="R276" s="120"/>
      <c r="S276" s="127"/>
      <c r="T276" s="127"/>
      <c r="U276" s="89"/>
      <c r="V276" s="103"/>
      <c r="W276" s="115"/>
      <c r="X276" s="352" t="str">
        <f t="shared" ref="X276:X295" si="92">B276</f>
        <v>Bracknell Forest</v>
      </c>
      <c r="Y276" s="355">
        <f>IF(Year1_Bracknell_Forest Year1_CP_Plans_became_subject="","",Year1_Bracknell_Forest Year1_CP_Plans_became_subject)</f>
        <v>184</v>
      </c>
      <c r="Z276" s="248">
        <f>IF(Year2_Bracknell_Forest Year2_CP_Plans_became_subject="","",Year2_Bracknell_Forest Year2_CP_Plans_became_subject)</f>
        <v>213</v>
      </c>
      <c r="AA276" s="248">
        <f>IF(Year3_Bracknell_Forest Year3_CP_Plans_became_subject="","",Year3_Bracknell_Forest Year3_CP_Plans_became_subject)</f>
        <v>239</v>
      </c>
      <c r="AB276" s="248">
        <f>IF(Year4_Bracknell_Forest Year4_CP_Plans_became_subject="","",Year4_Bracknell_Forest Year4_CP_Plans_became_subject)</f>
        <v>198</v>
      </c>
      <c r="AC276" s="352">
        <f>IF(Year5_Bracknell_Forest Year5_CP_Plans_became_subject="","",Year5_Bracknell_Forest Year5_CP_Plans_became_subject)</f>
        <v>119</v>
      </c>
      <c r="AD276" s="252" t="str">
        <f>X276</f>
        <v>Bracknell Forest</v>
      </c>
      <c r="AE276" s="307" t="str">
        <f>IF(Year1_Bracknell_Forest Year1_CP_Plans_became_subject_second_2years="","",Year1_Bracknell_Forest Year1_CP_Plans_became_subject_second_2years)</f>
        <v/>
      </c>
      <c r="AF276" s="248" t="str">
        <f>IF(Year2_Bracknell_Forest Year2_CP_Plans_became_subject_second_2years="","",Year2_Bracknell_Forest Year2_CP_Plans_became_subject_second_2years)</f>
        <v/>
      </c>
      <c r="AG276" s="248" t="str">
        <f>IF(Year3_Bracknell_Forest Year3_CP_Plans_became_subject_second_2years="","",Year3_Bracknell_Forest Year3_CP_Plans_became_subject_second_2years)</f>
        <v/>
      </c>
      <c r="AH276" s="248" t="str">
        <f>IF(Year4_Bracknell_Forest Year4_CP_Plans_became_subject_second_2years="","",Year4_Bracknell_Forest Year4_CP_Plans_became_subject_second_2years)</f>
        <v/>
      </c>
      <c r="AI276" s="248" t="str">
        <f>IF(Year5_Bracknell_Forest Year5_CP_Plans_became_subject_second_2years="","",Year5_Bracknell_Forest Year5_CP_Plans_became_subject_second_2years)</f>
        <v/>
      </c>
      <c r="AJ276" s="119"/>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row>
    <row r="277" spans="1:76" s="61" customFormat="1" ht="13.5" hidden="1" customHeight="1">
      <c r="A277" s="1103">
        <f>VLOOKUP(B277,ReportData!$AQ$4:$AR$25,2,FALSE)</f>
        <v>0</v>
      </c>
      <c r="B277" s="1197" t="str">
        <f t="shared" si="86"/>
        <v>Brighton &amp; Hove</v>
      </c>
      <c r="C277" s="1122"/>
      <c r="D277" s="1198" t="e">
        <f t="shared" si="87"/>
        <v>#N/A</v>
      </c>
      <c r="E277" s="1198" t="e">
        <f t="shared" si="88"/>
        <v>#N/A</v>
      </c>
      <c r="F277" s="1198" t="e">
        <f t="shared" si="89"/>
        <v>#N/A</v>
      </c>
      <c r="G277" s="1198" t="e">
        <f t="shared" si="90"/>
        <v>#N/A</v>
      </c>
      <c r="H277" s="1199" t="e">
        <f t="shared" si="91"/>
        <v>#N/A</v>
      </c>
      <c r="I277" s="68"/>
      <c r="J277" s="127"/>
      <c r="K277" s="127"/>
      <c r="L277" s="127"/>
      <c r="M277" s="127"/>
      <c r="N277" s="127"/>
      <c r="O277" s="127"/>
      <c r="P277" s="127"/>
      <c r="Q277" s="128"/>
      <c r="R277" s="120"/>
      <c r="S277" s="127"/>
      <c r="T277" s="127"/>
      <c r="U277" s="89"/>
      <c r="V277" s="103"/>
      <c r="W277" s="115"/>
      <c r="X277" s="352" t="str">
        <f t="shared" si="92"/>
        <v>Brighton &amp; Hove</v>
      </c>
      <c r="Y277" s="355">
        <f>IF(Year1_Brighton_and_Hove Year1_CP_Plans_became_subject="","",Year1_Brighton_and_Hove Year1_CP_Plans_became_subject)</f>
        <v>392</v>
      </c>
      <c r="Z277" s="248">
        <f>IF(Year2_Brighton_and_Hove Year2_CP_Plans_became_subject="","",Year2_Brighton_and_Hove Year2_CP_Plans_became_subject)</f>
        <v>320</v>
      </c>
      <c r="AA277" s="248">
        <f>IF(Year3_Brighton_and_Hove Year3_CP_Plans_became_subject="","",Year3_Brighton_and_Hove Year3_CP_Plans_became_subject)</f>
        <v>318</v>
      </c>
      <c r="AB277" s="248">
        <f>IF(Year4_Brighton_and_Hove Year4_CP_Plans_became_subject="","",Year4_Brighton_and_Hove Year4_CP_Plans_became_subject)</f>
        <v>318</v>
      </c>
      <c r="AC277" s="352">
        <f>IF(Year5_Brighton_and_Hove Year5_CP_Plans_became_subject="","",Year5_Brighton_and_Hove Year5_CP_Plans_became_subject)</f>
        <v>285</v>
      </c>
      <c r="AD277" s="252" t="str">
        <f t="shared" ref="AD277:AD295" si="93">X277</f>
        <v>Brighton &amp; Hove</v>
      </c>
      <c r="AE277" s="307" t="str">
        <f>IF(Year1_Brighton_and_Hove Year1_CP_Plans_became_subject_second_2years="","",Year1_Brighton_and_Hove Year1_CP_Plans_became_subject_second_2years)</f>
        <v/>
      </c>
      <c r="AF277" s="248" t="str">
        <f>IF(Year2_Brighton_and_Hove Year2_CP_Plans_became_subject_second_2years="","",Year2_Brighton_and_Hove Year2_CP_Plans_became_subject_second_2years)</f>
        <v/>
      </c>
      <c r="AG277" s="248" t="str">
        <f>IF(Year3_Brighton_and_Hove Year3_CP_Plans_became_subject_second_2years="","",Year3_Brighton_and_Hove Year3_CP_Plans_became_subject_second_2years)</f>
        <v/>
      </c>
      <c r="AH277" s="248" t="str">
        <f>IF(Year4_Brighton_and_Hove Year4_CP_Plans_became_subject_second_2years="","",Year4_Brighton_and_Hove Year4_CP_Plans_became_subject_second_2years)</f>
        <v/>
      </c>
      <c r="AI277" s="248" t="str">
        <f>IF(Year5_Brighton_and_Hove Year5_CP_Plans_became_subject_second_2years="","",Year5_Brighton_and_Hove Year5_CP_Plans_became_subject_second_2years)</f>
        <v/>
      </c>
      <c r="AJ277" s="119"/>
      <c r="AK277" s="52"/>
      <c r="AQ277" s="61" t="s">
        <v>95</v>
      </c>
    </row>
    <row r="278" spans="1:76" s="61" customFormat="1" ht="13.5" hidden="1" customHeight="1">
      <c r="A278" s="1103">
        <f>VLOOKUP(B278,ReportData!$AQ$4:$AR$25,2,FALSE)</f>
        <v>0</v>
      </c>
      <c r="B278" s="1197" t="str">
        <f t="shared" si="86"/>
        <v>Buckinghamshire</v>
      </c>
      <c r="C278" s="1122"/>
      <c r="D278" s="1198" t="e">
        <f t="shared" si="87"/>
        <v>#N/A</v>
      </c>
      <c r="E278" s="1198" t="e">
        <f t="shared" si="88"/>
        <v>#N/A</v>
      </c>
      <c r="F278" s="1198" t="e">
        <f t="shared" si="89"/>
        <v>#N/A</v>
      </c>
      <c r="G278" s="1198" t="e">
        <f t="shared" si="90"/>
        <v>#N/A</v>
      </c>
      <c r="H278" s="1199" t="e">
        <f t="shared" si="91"/>
        <v>#N/A</v>
      </c>
      <c r="I278" s="68"/>
      <c r="J278" s="127"/>
      <c r="K278" s="127"/>
      <c r="L278" s="127"/>
      <c r="M278" s="127"/>
      <c r="N278" s="127"/>
      <c r="O278" s="127"/>
      <c r="P278" s="127"/>
      <c r="Q278" s="128"/>
      <c r="R278" s="120"/>
      <c r="S278" s="127"/>
      <c r="T278" s="127"/>
      <c r="U278" s="89"/>
      <c r="V278" s="103"/>
      <c r="W278" s="115"/>
      <c r="X278" s="352" t="str">
        <f t="shared" si="92"/>
        <v>Buckinghamshire</v>
      </c>
      <c r="Y278" s="355">
        <f>IF(Year1_Buckinghamshire Year1_CP_Plans_became_subject="","",Year1_Buckinghamshire Year1_CP_Plans_became_subject)</f>
        <v>734</v>
      </c>
      <c r="Z278" s="248">
        <f>IF(Year2_Buckinghamshire Year2_CP_Plans_became_subject="","",Year2_Buckinghamshire Year2_CP_Plans_became_subject)</f>
        <v>637</v>
      </c>
      <c r="AA278" s="248">
        <f>IF(Year3_Buckinghamshire Year3_CP_Plans_became_subject="","",Year3_Buckinghamshire Year3_CP_Plans_became_subject)</f>
        <v>882</v>
      </c>
      <c r="AB278" s="248">
        <f>IF(Year4_Buckinghamshire Year4_CP_Plans_became_subject="","",Year4_Buckinghamshire Year4_CP_Plans_became_subject)</f>
        <v>555</v>
      </c>
      <c r="AC278" s="352">
        <f>IF(Year5_Buckinghamshire Year5_CP_Plans_became_subject="","",Year5_Buckinghamshire Year5_CP_Plans_became_subject)</f>
        <v>542</v>
      </c>
      <c r="AD278" s="252" t="str">
        <f t="shared" si="93"/>
        <v>Buckinghamshire</v>
      </c>
      <c r="AE278" s="307" t="str">
        <f>IF(Year1_Buckinghamshire Year1_CP_Plans_became_subject_second_2years="","",Year1_Buckinghamshire Year1_CP_Plans_became_subject_second_2years)</f>
        <v/>
      </c>
      <c r="AF278" s="248" t="str">
        <f>IF(Year2_Buckinghamshire Year2_CP_Plans_became_subject_second_2years="","",Year2_Buckinghamshire Year2_CP_Plans_became_subject_second_2years)</f>
        <v/>
      </c>
      <c r="AG278" s="248" t="str">
        <f>IF(Year3_Buckinghamshire Year3_CP_Plans_became_subject_second_2years="","",Year3_Buckinghamshire Year3_CP_Plans_became_subject_second_2years)</f>
        <v/>
      </c>
      <c r="AH278" s="248" t="str">
        <f>IF(Year4_Buckinghamshire Year4_CP_Plans_became_subject_second_2years="","",Year4_Buckinghamshire Year4_CP_Plans_became_subject_second_2years)</f>
        <v/>
      </c>
      <c r="AI278" s="248" t="str">
        <f>IF(Year5_Buckinghamshire Year5_CP_Plans_became_subject_second_2years="","",Year5_Buckinghamshire Year5_CP_Plans_became_subject_second_2years)</f>
        <v/>
      </c>
      <c r="AJ278" s="119"/>
      <c r="AK278" s="52"/>
    </row>
    <row r="279" spans="1:76" s="61" customFormat="1" ht="13.5" hidden="1" customHeight="1">
      <c r="A279" s="1103">
        <f>VLOOKUP(B279,ReportData!$AQ$4:$AR$25,2,FALSE)</f>
        <v>0</v>
      </c>
      <c r="B279" s="1197" t="str">
        <f t="shared" si="86"/>
        <v>East Sussex</v>
      </c>
      <c r="C279" s="1122"/>
      <c r="D279" s="1198" t="e">
        <f t="shared" si="87"/>
        <v>#N/A</v>
      </c>
      <c r="E279" s="1198" t="e">
        <f t="shared" si="88"/>
        <v>#N/A</v>
      </c>
      <c r="F279" s="1198" t="e">
        <f t="shared" si="89"/>
        <v>#N/A</v>
      </c>
      <c r="G279" s="1198" t="e">
        <f t="shared" si="90"/>
        <v>#N/A</v>
      </c>
      <c r="H279" s="1199" t="e">
        <f t="shared" si="91"/>
        <v>#N/A</v>
      </c>
      <c r="I279" s="68"/>
      <c r="J279" s="127"/>
      <c r="K279" s="127"/>
      <c r="L279" s="127"/>
      <c r="M279" s="127"/>
      <c r="N279" s="127"/>
      <c r="O279" s="127"/>
      <c r="P279" s="127"/>
      <c r="Q279" s="128"/>
      <c r="R279" s="120"/>
      <c r="S279" s="127"/>
      <c r="T279" s="127"/>
      <c r="U279" s="89"/>
      <c r="V279" s="103"/>
      <c r="W279" s="115"/>
      <c r="X279" s="352" t="str">
        <f t="shared" si="92"/>
        <v>East Sussex</v>
      </c>
      <c r="Y279" s="355">
        <f>IF(Year1_East_Sussex Year1_CP_Plans_became_subject="","",Year1_East_Sussex Year1_CP_Plans_became_subject)</f>
        <v>591</v>
      </c>
      <c r="Z279" s="248">
        <f>IF(Year2_East_Sussex Year2_CP_Plans_became_subject="","",Year2_East_Sussex Year2_CP_Plans_became_subject)</f>
        <v>659</v>
      </c>
      <c r="AA279" s="248">
        <f>IF(Year3_East_Sussex Year3_CP_Plans_became_subject="","",Year3_East_Sussex Year3_CP_Plans_became_subject)</f>
        <v>588</v>
      </c>
      <c r="AB279" s="248">
        <f>IF(Year4_East_Sussex Year4_CP_Plans_became_subject="","",Year4_East_Sussex Year4_CP_Plans_became_subject)</f>
        <v>720</v>
      </c>
      <c r="AC279" s="352">
        <f>IF(Year5_East_Sussex Year5_CP_Plans_became_subject="","",Year5_East_Sussex Year5_CP_Plans_became_subject)</f>
        <v>675</v>
      </c>
      <c r="AD279" s="252" t="str">
        <f t="shared" si="93"/>
        <v>East Sussex</v>
      </c>
      <c r="AE279" s="307" t="str">
        <f>IF(Year1_East_Sussex Year1_CP_Plans_became_subject_second_2years="","",Year1_East_Sussex Year1_CP_Plans_became_subject_second_2years)</f>
        <v/>
      </c>
      <c r="AF279" s="248" t="str">
        <f>IF(Year2_East_Sussex Year2_CP_Plans_became_subject_second_2years="","",Year2_East_Sussex Year2_CP_Plans_became_subject_second_2years)</f>
        <v/>
      </c>
      <c r="AG279" s="248" t="str">
        <f>IF(Year3_East_Sussex Year3_CP_Plans_became_subject_second_2years="","",Year3_East_Sussex Year3_CP_Plans_became_subject_second_2years)</f>
        <v/>
      </c>
      <c r="AH279" s="248" t="str">
        <f>IF(Year4_East_Sussex Year4_CP_Plans_became_subject_second_2years="","",Year4_East_Sussex Year4_CP_Plans_became_subject_second_2years)</f>
        <v/>
      </c>
      <c r="AI279" s="248" t="str">
        <f>IF(Year5_East_Sussex Year5_CP_Plans_became_subject_second_2years="","",Year5_East_Sussex Year5_CP_Plans_became_subject_second_2years)</f>
        <v/>
      </c>
      <c r="AJ279" s="119"/>
      <c r="AK279" s="52"/>
    </row>
    <row r="280" spans="1:76" s="61" customFormat="1" ht="13.5" hidden="1" customHeight="1">
      <c r="A280" s="1103">
        <f>VLOOKUP(B280,ReportData!$AQ$4:$AR$25,2,FALSE)</f>
        <v>0</v>
      </c>
      <c r="B280" s="1197" t="str">
        <f t="shared" si="86"/>
        <v>Hampshire</v>
      </c>
      <c r="C280" s="1122"/>
      <c r="D280" s="1198" t="e">
        <f t="shared" si="87"/>
        <v>#N/A</v>
      </c>
      <c r="E280" s="1198" t="e">
        <f t="shared" si="88"/>
        <v>#N/A</v>
      </c>
      <c r="F280" s="1198" t="e">
        <f t="shared" si="89"/>
        <v>#N/A</v>
      </c>
      <c r="G280" s="1198" t="e">
        <f t="shared" si="90"/>
        <v>#N/A</v>
      </c>
      <c r="H280" s="1199" t="e">
        <f t="shared" si="91"/>
        <v>#N/A</v>
      </c>
      <c r="I280" s="68"/>
      <c r="J280" s="127"/>
      <c r="K280" s="127"/>
      <c r="L280" s="127"/>
      <c r="M280" s="127"/>
      <c r="N280" s="127"/>
      <c r="O280" s="127"/>
      <c r="P280" s="127"/>
      <c r="Q280" s="128"/>
      <c r="R280" s="120"/>
      <c r="S280" s="127"/>
      <c r="T280" s="127"/>
      <c r="U280" s="89"/>
      <c r="V280" s="103"/>
      <c r="W280" s="115"/>
      <c r="X280" s="352" t="str">
        <f t="shared" si="92"/>
        <v>Hampshire</v>
      </c>
      <c r="Y280" s="355">
        <f>IF(Year1_Hampshire Year1_CP_Plans_became_subject="","",Year1_Hampshire Year1_CP_Plans_became_subject)</f>
        <v>1343</v>
      </c>
      <c r="Z280" s="248">
        <f>IF(Year2_Hampshire Year2_CP_Plans_became_subject="","",Year2_Hampshire Year2_CP_Plans_became_subject)</f>
        <v>1460</v>
      </c>
      <c r="AA280" s="248">
        <f>IF(Year3_Hampshire Year3_CP_Plans_became_subject="","",Year3_Hampshire Year3_CP_Plans_became_subject)</f>
        <v>1388</v>
      </c>
      <c r="AB280" s="248">
        <f>IF(Year4_Hampshire Year4_CP_Plans_became_subject="","",Year4_Hampshire Year4_CP_Plans_became_subject)</f>
        <v>1449</v>
      </c>
      <c r="AC280" s="352" t="str">
        <f>IF(Year5_Hampshire Year5_CP_Plans_became_subject="","",Year5_Hampshire Year5_CP_Plans_became_subject)</f>
        <v>u</v>
      </c>
      <c r="AD280" s="252" t="str">
        <f t="shared" si="93"/>
        <v>Hampshire</v>
      </c>
      <c r="AE280" s="307" t="str">
        <f>IF(Year1_Hampshire Year1_CP_Plans_became_subject_second_2years="","",Year1_Hampshire Year1_CP_Plans_became_subject_second_2years)</f>
        <v/>
      </c>
      <c r="AF280" s="248" t="str">
        <f>IF(Year2_Hampshire Year2_CP_Plans_became_subject_second_2years="","",Year2_Hampshire Year2_CP_Plans_became_subject_second_2years)</f>
        <v/>
      </c>
      <c r="AG280" s="248" t="str">
        <f>IF(Year3_Hampshire Year3_CP_Plans_became_subject_second_2years="","",Year3_Hampshire Year3_CP_Plans_became_subject_second_2years)</f>
        <v/>
      </c>
      <c r="AH280" s="248" t="str">
        <f>IF(Year4_Hampshire Year4_CP_Plans_became_subject_second_2years="","",Year4_Hampshire Year4_CP_Plans_became_subject_second_2years)</f>
        <v/>
      </c>
      <c r="AI280" s="248" t="str">
        <f>IF(Year5_Hampshire Year5_CP_Plans_became_subject_second_2years="","",Year5_Hampshire Year5_CP_Plans_became_subject_second_2years)</f>
        <v/>
      </c>
      <c r="AJ280" s="119"/>
      <c r="AK280" s="52"/>
    </row>
    <row r="281" spans="1:76" s="61" customFormat="1" ht="13.5" hidden="1" customHeight="1">
      <c r="A281" s="1103">
        <f>VLOOKUP(B281,ReportData!$AQ$4:$AR$25,2,FALSE)</f>
        <v>0</v>
      </c>
      <c r="B281" s="1197" t="str">
        <f t="shared" si="86"/>
        <v>Isle of Wight</v>
      </c>
      <c r="C281" s="1122"/>
      <c r="D281" s="1198" t="e">
        <f t="shared" si="87"/>
        <v>#N/A</v>
      </c>
      <c r="E281" s="1198" t="e">
        <f t="shared" si="88"/>
        <v>#N/A</v>
      </c>
      <c r="F281" s="1198" t="e">
        <f t="shared" si="89"/>
        <v>#N/A</v>
      </c>
      <c r="G281" s="1198" t="e">
        <f t="shared" si="90"/>
        <v>#N/A</v>
      </c>
      <c r="H281" s="1199" t="e">
        <f t="shared" si="91"/>
        <v>#N/A</v>
      </c>
      <c r="I281" s="68"/>
      <c r="J281" s="127"/>
      <c r="K281" s="127"/>
      <c r="L281" s="127"/>
      <c r="M281" s="127"/>
      <c r="N281" s="127"/>
      <c r="O281" s="127"/>
      <c r="P281" s="127"/>
      <c r="Q281" s="128"/>
      <c r="R281" s="120"/>
      <c r="S281" s="127"/>
      <c r="T281" s="127"/>
      <c r="U281" s="89"/>
      <c r="V281" s="103"/>
      <c r="W281" s="115"/>
      <c r="X281" s="352" t="str">
        <f t="shared" si="92"/>
        <v>Isle of Wight</v>
      </c>
      <c r="Y281" s="355">
        <f>IF(Year1_Isle_of_Wight Year1_CP_Plans_became_subject="","",Year1_Isle_of_Wight Year1_CP_Plans_became_subject)</f>
        <v>147</v>
      </c>
      <c r="Z281" s="248">
        <f>IF(Year2_Isle_of_Wight Year2_CP_Plans_became_subject="","",Year2_Isle_of_Wight Year2_CP_Plans_became_subject)</f>
        <v>218</v>
      </c>
      <c r="AA281" s="248">
        <f>IF(Year3_Isle_of_Wight Year3_CP_Plans_became_subject="","",Year3_Isle_of_Wight Year3_CP_Plans_became_subject)</f>
        <v>236</v>
      </c>
      <c r="AB281" s="248">
        <f>IF(Year4_Isle_of_Wight Year4_CP_Plans_became_subject="","",Year4_Isle_of_Wight Year4_CP_Plans_became_subject)</f>
        <v>300</v>
      </c>
      <c r="AC281" s="352">
        <f>IF(Year5_Isle_of_Wight Year5_CP_Plans_became_subject="","",Year5_Isle_of_Wight Year5_CP_Plans_became_subject)</f>
        <v>233</v>
      </c>
      <c r="AD281" s="252" t="str">
        <f t="shared" si="93"/>
        <v>Isle of Wight</v>
      </c>
      <c r="AE281" s="307" t="str">
        <f>IF(Year1_Isle_of_Wight Year1_CP_Plans_became_subject_second_2years="","",Year1_Isle_of_Wight Year1_CP_Plans_became_subject_second_2years)</f>
        <v/>
      </c>
      <c r="AF281" s="248" t="str">
        <f>IF(Year2_Isle_of_Wight Year2_CP_Plans_became_subject_second_2years="","",Year2_Isle_of_Wight Year2_CP_Plans_became_subject_second_2years)</f>
        <v/>
      </c>
      <c r="AG281" s="248" t="str">
        <f>IF(Year3_Isle_of_Wight Year3_CP_Plans_became_subject_second_2years="","",Year3_Isle_of_Wight Year3_CP_Plans_became_subject_second_2years)</f>
        <v/>
      </c>
      <c r="AH281" s="248" t="str">
        <f>IF(Year4_Isle_of_Wight Year4_CP_Plans_became_subject_second_2years="","",Year4_Isle_of_Wight Year4_CP_Plans_became_subject_second_2years)</f>
        <v/>
      </c>
      <c r="AI281" s="248" t="str">
        <f>IF(Year5_Isle_of_Wight Year5_CP_Plans_became_subject_second_2years="","",Year5_Isle_of_Wight Year5_CP_Plans_became_subject_second_2years)</f>
        <v/>
      </c>
      <c r="AJ281" s="119"/>
      <c r="AK281" s="52"/>
    </row>
    <row r="282" spans="1:76" s="61" customFormat="1" ht="13.5" hidden="1" customHeight="1">
      <c r="A282" s="1103">
        <f>VLOOKUP(B282,ReportData!$AQ$4:$AR$25,2,FALSE)</f>
        <v>0</v>
      </c>
      <c r="B282" s="1197" t="str">
        <f t="shared" si="86"/>
        <v>Kent</v>
      </c>
      <c r="C282" s="1122"/>
      <c r="D282" s="1198" t="e">
        <f t="shared" si="87"/>
        <v>#N/A</v>
      </c>
      <c r="E282" s="1198" t="e">
        <f t="shared" si="88"/>
        <v>#N/A</v>
      </c>
      <c r="F282" s="1198" t="e">
        <f t="shared" si="89"/>
        <v>#N/A</v>
      </c>
      <c r="G282" s="1198" t="e">
        <f t="shared" si="90"/>
        <v>#N/A</v>
      </c>
      <c r="H282" s="1199" t="e">
        <f t="shared" si="91"/>
        <v>#N/A</v>
      </c>
      <c r="I282" s="68"/>
      <c r="J282" s="127"/>
      <c r="K282" s="127"/>
      <c r="L282" s="127"/>
      <c r="M282" s="127"/>
      <c r="N282" s="127"/>
      <c r="O282" s="127"/>
      <c r="P282" s="127"/>
      <c r="Q282" s="128"/>
      <c r="R282" s="120"/>
      <c r="S282" s="127"/>
      <c r="T282" s="127"/>
      <c r="U282" s="89"/>
      <c r="V282" s="103"/>
      <c r="W282" s="115"/>
      <c r="X282" s="352" t="str">
        <f t="shared" si="92"/>
        <v>Kent</v>
      </c>
      <c r="Y282" s="355">
        <f>IF(Year1_Kent Year1_CP_Plans_became_subject="","",Year1_Kent Year1_CP_Plans_became_subject)</f>
        <v>1520</v>
      </c>
      <c r="Z282" s="248">
        <f>IF(Year2_Kent Year2_CP_Plans_became_subject="","",Year2_Kent Year2_CP_Plans_became_subject)</f>
        <v>1305</v>
      </c>
      <c r="AA282" s="248">
        <f>IF(Year3_Kent Year3_CP_Plans_became_subject="","",Year3_Kent Year3_CP_Plans_became_subject)</f>
        <v>1443</v>
      </c>
      <c r="AB282" s="248">
        <f>IF(Year4_Kent Year4_CP_Plans_became_subject="","",Year4_Kent Year4_CP_Plans_became_subject)</f>
        <v>1559</v>
      </c>
      <c r="AC282" s="352">
        <f>IF(Year5_Kent Year5_CP_Plans_became_subject="","",Year5_Kent Year5_CP_Plans_became_subject)</f>
        <v>1349</v>
      </c>
      <c r="AD282" s="252" t="str">
        <f t="shared" si="93"/>
        <v>Kent</v>
      </c>
      <c r="AE282" s="307" t="str">
        <f>IF(Year1_Kent Year1_CP_Plans_became_subject_second_2years="","",Year1_Kent Year1_CP_Plans_became_subject_second_2years)</f>
        <v/>
      </c>
      <c r="AF282" s="248" t="str">
        <f>IF(Year2_Kent Year2_CP_Plans_became_subject_second_2years="","",Year2_Kent Year2_CP_Plans_became_subject_second_2years)</f>
        <v/>
      </c>
      <c r="AG282" s="248" t="str">
        <f>IF(Year3_Kent Year3_CP_Plans_became_subject_second_2years="","",Year3_Kent Year3_CP_Plans_became_subject_second_2years)</f>
        <v/>
      </c>
      <c r="AH282" s="248" t="str">
        <f>IF(Year4_Kent Year4_CP_Plans_became_subject_second_2years="","",Year4_Kent Year4_CP_Plans_became_subject_second_2years)</f>
        <v/>
      </c>
      <c r="AI282" s="248" t="str">
        <f>IF(Year5_Kent Year5_CP_Plans_became_subject_second_2years="","",Year5_Kent Year5_CP_Plans_became_subject_second_2years)</f>
        <v/>
      </c>
      <c r="AJ282" s="119"/>
      <c r="AK282" s="52"/>
    </row>
    <row r="283" spans="1:76" s="61" customFormat="1" ht="13.5" hidden="1" customHeight="1">
      <c r="A283" s="1103">
        <f>VLOOKUP(B283,ReportData!$AQ$4:$AR$25,2,FALSE)</f>
        <v>0</v>
      </c>
      <c r="B283" s="1197" t="str">
        <f t="shared" si="86"/>
        <v>Medway</v>
      </c>
      <c r="C283" s="1122"/>
      <c r="D283" s="1198" t="e">
        <f t="shared" si="87"/>
        <v>#N/A</v>
      </c>
      <c r="E283" s="1198" t="e">
        <f t="shared" si="88"/>
        <v>#N/A</v>
      </c>
      <c r="F283" s="1198" t="e">
        <f t="shared" si="89"/>
        <v>#N/A</v>
      </c>
      <c r="G283" s="1198" t="e">
        <f t="shared" si="90"/>
        <v>#N/A</v>
      </c>
      <c r="H283" s="1199" t="e">
        <f t="shared" si="91"/>
        <v>#N/A</v>
      </c>
      <c r="I283" s="68"/>
      <c r="J283" s="127"/>
      <c r="K283" s="127"/>
      <c r="L283" s="127"/>
      <c r="M283" s="127"/>
      <c r="N283" s="127"/>
      <c r="O283" s="127"/>
      <c r="P283" s="127"/>
      <c r="Q283" s="128"/>
      <c r="R283" s="120"/>
      <c r="S283" s="127"/>
      <c r="T283" s="127"/>
      <c r="U283" s="89"/>
      <c r="V283" s="103"/>
      <c r="W283" s="115"/>
      <c r="X283" s="352" t="str">
        <f t="shared" si="92"/>
        <v>Medway</v>
      </c>
      <c r="Y283" s="355">
        <f>IF(Year1_Medway Year1_CP_Plans_became_subject="","",Year1_Medway Year1_CP_Plans_became_subject)</f>
        <v>583</v>
      </c>
      <c r="Z283" s="248">
        <f>IF(Year2_Medway Year2_CP_Plans_became_subject="","",Year2_Medway Year2_CP_Plans_became_subject)</f>
        <v>217</v>
      </c>
      <c r="AA283" s="248">
        <f>IF(Year3_Medway Year3_CP_Plans_became_subject="","",Year3_Medway Year3_CP_Plans_became_subject)</f>
        <v>262</v>
      </c>
      <c r="AB283" s="248">
        <f>IF(Year4_Medway Year4_CP_Plans_became_subject="","",Year4_Medway Year4_CP_Plans_became_subject)</f>
        <v>395</v>
      </c>
      <c r="AC283" s="352">
        <f>IF(Year5_Medway Year5_CP_Plans_became_subject="","",Year5_Medway Year5_CP_Plans_became_subject)</f>
        <v>385</v>
      </c>
      <c r="AD283" s="252" t="str">
        <f t="shared" si="93"/>
        <v>Medway</v>
      </c>
      <c r="AE283" s="307" t="str">
        <f>IF(Year1_Medway Year1_CP_Plans_became_subject_second_2years="","",Year1_Medway Year1_CP_Plans_became_subject_second_2years)</f>
        <v/>
      </c>
      <c r="AF283" s="248" t="str">
        <f>IF(Year2_Medway Year2_CP_Plans_became_subject_second_2years="","",Year2_Medway Year2_CP_Plans_became_subject_second_2years)</f>
        <v/>
      </c>
      <c r="AG283" s="248" t="str">
        <f>IF(Year3_Medway Year3_CP_Plans_became_subject_second_2years="","",Year3_Medway Year3_CP_Plans_became_subject_second_2years)</f>
        <v/>
      </c>
      <c r="AH283" s="248" t="str">
        <f>IF(Year4_Medway Year4_CP_Plans_became_subject_second_2years="","",Year4_Medway Year4_CP_Plans_became_subject_second_2years)</f>
        <v/>
      </c>
      <c r="AI283" s="248" t="str">
        <f>IF(Year5_Medway Year5_CP_Plans_became_subject_second_2years="","",Year5_Medway Year5_CP_Plans_became_subject_second_2years)</f>
        <v/>
      </c>
      <c r="AJ283" s="119"/>
      <c r="AK283" s="52"/>
    </row>
    <row r="284" spans="1:76" s="61" customFormat="1" ht="13.5" hidden="1" customHeight="1">
      <c r="A284" s="1103">
        <f>VLOOKUP(B284,ReportData!$AQ$4:$AR$25,2,FALSE)</f>
        <v>0</v>
      </c>
      <c r="B284" s="1197" t="str">
        <f t="shared" si="86"/>
        <v>Milton Keynes</v>
      </c>
      <c r="C284" s="1122"/>
      <c r="D284" s="1198" t="e">
        <f t="shared" si="87"/>
        <v>#N/A</v>
      </c>
      <c r="E284" s="1198" t="e">
        <f t="shared" si="88"/>
        <v>#N/A</v>
      </c>
      <c r="F284" s="1198" t="e">
        <f t="shared" si="89"/>
        <v>#N/A</v>
      </c>
      <c r="G284" s="1198" t="e">
        <f t="shared" si="90"/>
        <v>#N/A</v>
      </c>
      <c r="H284" s="1199" t="e">
        <f t="shared" si="91"/>
        <v>#N/A</v>
      </c>
      <c r="I284" s="68"/>
      <c r="J284" s="127"/>
      <c r="K284" s="127"/>
      <c r="L284" s="127"/>
      <c r="M284" s="127"/>
      <c r="N284" s="127"/>
      <c r="O284" s="127"/>
      <c r="P284" s="127"/>
      <c r="Q284" s="128"/>
      <c r="R284" s="120"/>
      <c r="S284" s="127"/>
      <c r="T284" s="127"/>
      <c r="U284" s="89"/>
      <c r="V284" s="103"/>
      <c r="W284" s="115"/>
      <c r="X284" s="352" t="str">
        <f t="shared" si="92"/>
        <v>Milton Keynes</v>
      </c>
      <c r="Y284" s="355">
        <f>IF(Year1_Milton_Keynes Year1_CP_Plans_became_subject="","",Year1_Milton_Keynes Year1_CP_Plans_became_subject)</f>
        <v>224</v>
      </c>
      <c r="Z284" s="248">
        <f>IF(Year2_Milton_Keynes Year2_CP_Plans_became_subject="","",Year2_Milton_Keynes Year2_CP_Plans_became_subject)</f>
        <v>243</v>
      </c>
      <c r="AA284" s="248">
        <f>IF(Year3_Milton_Keynes Year3_CP_Plans_became_subject="","",Year3_Milton_Keynes Year3_CP_Plans_became_subject)</f>
        <v>263</v>
      </c>
      <c r="AB284" s="248">
        <f>IF(Year4_Milton_Keynes Year4_CP_Plans_became_subject="","",Year4_Milton_Keynes Year4_CP_Plans_became_subject)</f>
        <v>291</v>
      </c>
      <c r="AC284" s="352">
        <f>IF(Year5_Milton_Keynes Year5_CP_Plans_became_subject="","",Year5_Milton_Keynes Year5_CP_Plans_became_subject)</f>
        <v>286</v>
      </c>
      <c r="AD284" s="252" t="str">
        <f t="shared" si="93"/>
        <v>Milton Keynes</v>
      </c>
      <c r="AE284" s="307" t="str">
        <f>IF(Year1_Milton_Keynes Year1_CP_Plans_became_subject_second_2years="","",Year1_Milton_Keynes Year1_CP_Plans_became_subject_second_2years)</f>
        <v/>
      </c>
      <c r="AF284" s="248" t="str">
        <f>IF(Year2_Milton_Keynes Year2_CP_Plans_became_subject_second_2years="","",Year2_Milton_Keynes Year2_CP_Plans_became_subject_second_2years)</f>
        <v/>
      </c>
      <c r="AG284" s="248" t="str">
        <f>IF(Year3_Milton_Keynes Year3_CP_Plans_became_subject_second_2years="","",Year3_Milton_Keynes Year3_CP_Plans_became_subject_second_2years)</f>
        <v/>
      </c>
      <c r="AH284" s="248" t="str">
        <f>IF(Year4_Milton_Keynes Year4_CP_Plans_became_subject_second_2years="","",Year4_Milton_Keynes Year4_CP_Plans_became_subject_second_2years)</f>
        <v/>
      </c>
      <c r="AI284" s="248" t="str">
        <f>IF(Year5_Milton_Keynes Year5_CP_Plans_became_subject_second_2years="","",Year5_Milton_Keynes Year5_CP_Plans_became_subject_second_2years)</f>
        <v/>
      </c>
      <c r="AJ284" s="119"/>
      <c r="AK284" s="52"/>
    </row>
    <row r="285" spans="1:76" s="61" customFormat="1" ht="13.5" hidden="1" customHeight="1">
      <c r="A285" s="1103">
        <f>VLOOKUP(B285,ReportData!$AQ$4:$AR$25,2,FALSE)</f>
        <v>0</v>
      </c>
      <c r="B285" s="1197" t="str">
        <f t="shared" si="86"/>
        <v>Oxfordshire</v>
      </c>
      <c r="C285" s="1122"/>
      <c r="D285" s="1198" t="e">
        <f t="shared" si="87"/>
        <v>#N/A</v>
      </c>
      <c r="E285" s="1198" t="e">
        <f t="shared" si="88"/>
        <v>#N/A</v>
      </c>
      <c r="F285" s="1198" t="e">
        <f t="shared" si="89"/>
        <v>#N/A</v>
      </c>
      <c r="G285" s="1198" t="e">
        <f t="shared" si="90"/>
        <v>#N/A</v>
      </c>
      <c r="H285" s="1199" t="e">
        <f t="shared" si="91"/>
        <v>#N/A</v>
      </c>
      <c r="I285" s="68"/>
      <c r="J285" s="127"/>
      <c r="K285" s="127"/>
      <c r="L285" s="127"/>
      <c r="M285" s="127"/>
      <c r="N285" s="127"/>
      <c r="O285" s="127"/>
      <c r="P285" s="127"/>
      <c r="Q285" s="128"/>
      <c r="R285" s="120"/>
      <c r="S285" s="127"/>
      <c r="T285" s="127"/>
      <c r="U285" s="89"/>
      <c r="V285" s="103"/>
      <c r="W285" s="115"/>
      <c r="X285" s="352" t="str">
        <f t="shared" si="92"/>
        <v>Oxfordshire</v>
      </c>
      <c r="Y285" s="355">
        <f>IF(Year1_Oxfordshire Year1_CP_Plans_became_subject="","",Year1_Oxfordshire Year1_CP_Plans_became_subject)</f>
        <v>747</v>
      </c>
      <c r="Z285" s="248">
        <f>IF(Year2_Oxfordshire Year2_CP_Plans_became_subject="","",Year2_Oxfordshire Year2_CP_Plans_became_subject)</f>
        <v>694</v>
      </c>
      <c r="AA285" s="248">
        <f>IF(Year3_Oxfordshire Year3_CP_Plans_became_subject="","",Year3_Oxfordshire Year3_CP_Plans_became_subject)</f>
        <v>760</v>
      </c>
      <c r="AB285" s="248">
        <f>IF(Year4_Oxfordshire Year4_CP_Plans_became_subject="","",Year4_Oxfordshire Year4_CP_Plans_became_subject)</f>
        <v>736</v>
      </c>
      <c r="AC285" s="352">
        <f>IF(Year5_Oxfordshire Year5_CP_Plans_became_subject="","",Year5_Oxfordshire Year5_CP_Plans_became_subject)</f>
        <v>580</v>
      </c>
      <c r="AD285" s="252" t="str">
        <f t="shared" si="93"/>
        <v>Oxfordshire</v>
      </c>
      <c r="AE285" s="307" t="str">
        <f>IF(Year1_Oxfordshire Year1_CP_Plans_became_subject_second_2years="","",Year1_Oxfordshire Year1_CP_Plans_became_subject_second_2years)</f>
        <v/>
      </c>
      <c r="AF285" s="248" t="str">
        <f>IF(Year2_Oxfordshire Year2_CP_Plans_became_subject_second_2years="","",Year2_Oxfordshire Year2_CP_Plans_became_subject_second_2years)</f>
        <v/>
      </c>
      <c r="AG285" s="248" t="str">
        <f>IF(Year3_Oxfordshire Year3_CP_Plans_became_subject_second_2years="","",Year3_Oxfordshire Year3_CP_Plans_became_subject_second_2years)</f>
        <v/>
      </c>
      <c r="AH285" s="248" t="str">
        <f>IF(Year4_Oxfordshire Year4_CP_Plans_became_subject_second_2years="","",Year4_Oxfordshire Year4_CP_Plans_became_subject_second_2years)</f>
        <v/>
      </c>
      <c r="AI285" s="248" t="str">
        <f>IF(Year5_Oxfordshire Year5_CP_Plans_became_subject_second_2years="","",Year5_Oxfordshire Year5_CP_Plans_became_subject_second_2years)</f>
        <v/>
      </c>
      <c r="AJ285" s="119"/>
      <c r="AK285" s="52"/>
    </row>
    <row r="286" spans="1:76" s="61" customFormat="1" ht="13.5" hidden="1" customHeight="1">
      <c r="A286" s="1103">
        <f>VLOOKUP(B286,ReportData!$AQ$4:$AR$25,2,FALSE)</f>
        <v>0</v>
      </c>
      <c r="B286" s="1197" t="str">
        <f t="shared" si="86"/>
        <v>Portsmouth</v>
      </c>
      <c r="C286" s="1122"/>
      <c r="D286" s="1198" t="e">
        <f t="shared" si="87"/>
        <v>#N/A</v>
      </c>
      <c r="E286" s="1198" t="e">
        <f t="shared" si="88"/>
        <v>#N/A</v>
      </c>
      <c r="F286" s="1198" t="e">
        <f t="shared" si="89"/>
        <v>#N/A</v>
      </c>
      <c r="G286" s="1198" t="e">
        <f t="shared" si="90"/>
        <v>#N/A</v>
      </c>
      <c r="H286" s="1199" t="e">
        <f t="shared" si="91"/>
        <v>#N/A</v>
      </c>
      <c r="I286" s="68"/>
      <c r="J286" s="127"/>
      <c r="K286" s="127"/>
      <c r="L286" s="127"/>
      <c r="M286" s="127"/>
      <c r="N286" s="127"/>
      <c r="O286" s="127"/>
      <c r="P286" s="127"/>
      <c r="Q286" s="128"/>
      <c r="R286" s="120"/>
      <c r="S286" s="127"/>
      <c r="T286" s="127"/>
      <c r="U286" s="89"/>
      <c r="V286" s="103"/>
      <c r="W286" s="115"/>
      <c r="X286" s="352" t="str">
        <f t="shared" si="92"/>
        <v>Portsmouth</v>
      </c>
      <c r="Y286" s="355">
        <f>IF(Year1_Portsmouth Year1_CP_Plans_became_subject="","",Year1_Portsmouth Year1_CP_Plans_became_subject)</f>
        <v>299</v>
      </c>
      <c r="Z286" s="248">
        <f>IF(Year2_Portsmouth Year2_CP_Plans_became_subject="","",Year2_Portsmouth Year2_CP_Plans_became_subject)</f>
        <v>303</v>
      </c>
      <c r="AA286" s="248">
        <f>IF(Year3_Portsmouth Year3_CP_Plans_became_subject="","",Year3_Portsmouth Year3_CP_Plans_became_subject)</f>
        <v>241</v>
      </c>
      <c r="AB286" s="248">
        <f>IF(Year4_Portsmouth Year4_CP_Plans_became_subject="","",Year4_Portsmouth Year4_CP_Plans_became_subject)</f>
        <v>258</v>
      </c>
      <c r="AC286" s="352">
        <f>IF(Year5_Portsmouth Year5_CP_Plans_became_subject="","",Year5_Portsmouth Year5_CP_Plans_became_subject)</f>
        <v>305</v>
      </c>
      <c r="AD286" s="252" t="str">
        <f t="shared" si="93"/>
        <v>Portsmouth</v>
      </c>
      <c r="AE286" s="307" t="str">
        <f>IF(Year1_Portsmouth Year1_CP_Plans_became_subject_second_2years="","",Year1_Portsmouth Year1_CP_Plans_became_subject_second_2years)</f>
        <v/>
      </c>
      <c r="AF286" s="248" t="str">
        <f>IF(Year2_Portsmouth Year2_CP_Plans_became_subject_second_2years="","",Year2_Portsmouth Year2_CP_Plans_became_subject_second_2years)</f>
        <v/>
      </c>
      <c r="AG286" s="248" t="str">
        <f>IF(Year3_Portsmouth Year3_CP_Plans_became_subject_second_2years="","",Year3_Portsmouth Year3_CP_Plans_became_subject_second_2years)</f>
        <v/>
      </c>
      <c r="AH286" s="248" t="str">
        <f>IF(Year4_Portsmouth Year4_CP_Plans_became_subject_second_2years="","",Year4_Portsmouth Year4_CP_Plans_became_subject_second_2years)</f>
        <v/>
      </c>
      <c r="AI286" s="248" t="str">
        <f>IF(Year5_Portsmouth Year5_CP_Plans_became_subject_second_2years="","",Year5_Portsmouth Year5_CP_Plans_became_subject_second_2years)</f>
        <v/>
      </c>
      <c r="AJ286" s="119"/>
      <c r="AK286" s="52"/>
    </row>
    <row r="287" spans="1:76" s="61" customFormat="1" ht="13.5" hidden="1" customHeight="1">
      <c r="A287" s="1103">
        <f>VLOOKUP(B287,ReportData!$AQ$4:$AR$25,2,FALSE)</f>
        <v>0</v>
      </c>
      <c r="B287" s="1197" t="str">
        <f t="shared" si="86"/>
        <v>Reading</v>
      </c>
      <c r="C287" s="1122"/>
      <c r="D287" s="1198" t="e">
        <f t="shared" si="87"/>
        <v>#N/A</v>
      </c>
      <c r="E287" s="1198" t="e">
        <f t="shared" si="88"/>
        <v>#N/A</v>
      </c>
      <c r="F287" s="1198" t="e">
        <f t="shared" si="89"/>
        <v>#N/A</v>
      </c>
      <c r="G287" s="1198" t="e">
        <f t="shared" si="90"/>
        <v>#N/A</v>
      </c>
      <c r="H287" s="1199" t="e">
        <f t="shared" si="91"/>
        <v>#N/A</v>
      </c>
      <c r="I287" s="68"/>
      <c r="J287" s="127"/>
      <c r="K287" s="127"/>
      <c r="L287" s="127"/>
      <c r="M287" s="127"/>
      <c r="N287" s="127"/>
      <c r="O287" s="127"/>
      <c r="P287" s="127"/>
      <c r="Q287" s="128"/>
      <c r="R287" s="120"/>
      <c r="S287" s="127"/>
      <c r="T287" s="127"/>
      <c r="U287" s="89"/>
      <c r="V287" s="103"/>
      <c r="W287" s="115"/>
      <c r="X287" s="352" t="str">
        <f t="shared" si="92"/>
        <v>Reading</v>
      </c>
      <c r="Y287" s="355">
        <f>IF(Year1_Reading Year1_CP_Plans_became_subject="","",Year1_Reading Year1_CP_Plans_became_subject)</f>
        <v>252</v>
      </c>
      <c r="Z287" s="248">
        <f>IF(Year2_Reading Year2_CP_Plans_became_subject="","",Year2_Reading Year2_CP_Plans_became_subject)</f>
        <v>348</v>
      </c>
      <c r="AA287" s="248">
        <f>IF(Year3_Reading Year3_CP_Plans_became_subject="","",Year3_Reading Year3_CP_Plans_became_subject)</f>
        <v>301</v>
      </c>
      <c r="AB287" s="248">
        <f>IF(Year4_Reading Year4_CP_Plans_became_subject="","",Year4_Reading Year4_CP_Plans_became_subject)</f>
        <v>251</v>
      </c>
      <c r="AC287" s="352">
        <f>IF(Year5_Reading Year5_CP_Plans_became_subject="","",Year5_Reading Year5_CP_Plans_became_subject)</f>
        <v>263</v>
      </c>
      <c r="AD287" s="252" t="str">
        <f t="shared" si="93"/>
        <v>Reading</v>
      </c>
      <c r="AE287" s="307" t="str">
        <f>IF(Year1_Reading Year1_CP_Plans_became_subject_second_2years="","",Year1_Reading Year1_CP_Plans_became_subject_second_2years)</f>
        <v/>
      </c>
      <c r="AF287" s="248" t="str">
        <f>IF(Year2_Reading Year2_CP_Plans_became_subject_second_2years="","",Year2_Reading Year2_CP_Plans_became_subject_second_2years)</f>
        <v/>
      </c>
      <c r="AG287" s="248" t="str">
        <f>IF(Year3_Reading Year3_CP_Plans_became_subject_second_2years="","",Year3_Reading Year3_CP_Plans_became_subject_second_2years)</f>
        <v/>
      </c>
      <c r="AH287" s="248" t="str">
        <f>IF(Year4_Reading Year4_CP_Plans_became_subject_second_2years="","",Year4_Reading Year4_CP_Plans_became_subject_second_2years)</f>
        <v/>
      </c>
      <c r="AI287" s="248" t="str">
        <f>IF(Year5_Reading Year5_CP_Plans_became_subject_second_2years="","",Year5_Reading Year5_CP_Plans_became_subject_second_2years)</f>
        <v/>
      </c>
      <c r="AJ287" s="119"/>
      <c r="AK287" s="52"/>
    </row>
    <row r="288" spans="1:76" s="61" customFormat="1" ht="13.5" hidden="1" customHeight="1">
      <c r="A288" s="1103">
        <f>VLOOKUP(B288,ReportData!$AQ$4:$AR$25,2,FALSE)</f>
        <v>0</v>
      </c>
      <c r="B288" s="1197" t="str">
        <f t="shared" si="86"/>
        <v>Slough</v>
      </c>
      <c r="C288" s="1122"/>
      <c r="D288" s="1198" t="e">
        <f t="shared" si="87"/>
        <v>#N/A</v>
      </c>
      <c r="E288" s="1198" t="e">
        <f t="shared" si="88"/>
        <v>#N/A</v>
      </c>
      <c r="F288" s="1198" t="e">
        <f t="shared" si="89"/>
        <v>#N/A</v>
      </c>
      <c r="G288" s="1198" t="e">
        <f t="shared" si="90"/>
        <v>#N/A</v>
      </c>
      <c r="H288" s="1199" t="e">
        <f t="shared" si="91"/>
        <v>#N/A</v>
      </c>
      <c r="I288" s="68"/>
      <c r="J288" s="127"/>
      <c r="K288" s="127"/>
      <c r="L288" s="127"/>
      <c r="M288" s="127"/>
      <c r="N288" s="127"/>
      <c r="O288" s="127"/>
      <c r="P288" s="127"/>
      <c r="Q288" s="128"/>
      <c r="R288" s="120"/>
      <c r="S288" s="127"/>
      <c r="T288" s="127"/>
      <c r="U288" s="89"/>
      <c r="V288" s="103"/>
      <c r="W288" s="115"/>
      <c r="X288" s="352" t="str">
        <f t="shared" si="92"/>
        <v>Slough</v>
      </c>
      <c r="Y288" s="355">
        <f>IF(Year1_Slough Year1_CP_Plans_became_subject="","",Year1_Slough Year1_CP_Plans_became_subject)</f>
        <v>317</v>
      </c>
      <c r="Z288" s="248">
        <f>IF(Year2_Slough Year2_CP_Plans_became_subject="","",Year2_Slough Year2_CP_Plans_became_subject)</f>
        <v>375</v>
      </c>
      <c r="AA288" s="248">
        <f>IF(Year3_Slough Year3_CP_Plans_became_subject="","",Year3_Slough Year3_CP_Plans_became_subject)</f>
        <v>338</v>
      </c>
      <c r="AB288" s="248">
        <f>IF(Year4_Slough Year4_CP_Plans_became_subject="","",Year4_Slough Year4_CP_Plans_became_subject)</f>
        <v>306</v>
      </c>
      <c r="AC288" s="352">
        <f>IF(Year5_Slough Year5_CP_Plans_became_subject="","",Year5_Slough Year5_CP_Plans_became_subject)</f>
        <v>259</v>
      </c>
      <c r="AD288" s="252" t="str">
        <f t="shared" si="93"/>
        <v>Slough</v>
      </c>
      <c r="AE288" s="307" t="str">
        <f>IF(Year1_Slough Year1_CP_Plans_became_subject_second_2years="","",Year1_Slough Year1_CP_Plans_became_subject_second_2years)</f>
        <v/>
      </c>
      <c r="AF288" s="248" t="str">
        <f>IF(Year2_Slough Year2_CP_Plans_became_subject_second_2years="","",Year2_Slough Year2_CP_Plans_became_subject_second_2years)</f>
        <v/>
      </c>
      <c r="AG288" s="248" t="str">
        <f>IF(Year3_Slough Year3_CP_Plans_became_subject_second_2years="","",Year3_Slough Year3_CP_Plans_became_subject_second_2years)</f>
        <v/>
      </c>
      <c r="AH288" s="248" t="str">
        <f>IF(Year4_Slough Year4_CP_Plans_became_subject_second_2years="","",Year4_Slough Year4_CP_Plans_became_subject_second_2years)</f>
        <v/>
      </c>
      <c r="AI288" s="248" t="str">
        <f>IF(Year5_Slough Year5_CP_Plans_became_subject_second_2years="","",Year5_Slough Year5_CP_Plans_became_subject_second_2years)</f>
        <v/>
      </c>
      <c r="AJ288" s="119"/>
      <c r="AK288" s="52"/>
    </row>
    <row r="289" spans="1:76" s="61" customFormat="1" ht="13.5" hidden="1" customHeight="1">
      <c r="A289" s="1103">
        <f>VLOOKUP(B289,ReportData!$AQ$4:$AR$25,2,FALSE)</f>
        <v>0</v>
      </c>
      <c r="B289" s="1197" t="str">
        <f t="shared" ref="B289:B295" si="94">B24</f>
        <v>Southampton</v>
      </c>
      <c r="C289" s="1122"/>
      <c r="D289" s="1198" t="e">
        <f t="shared" si="87"/>
        <v>#N/A</v>
      </c>
      <c r="E289" s="1198" t="e">
        <f t="shared" si="88"/>
        <v>#N/A</v>
      </c>
      <c r="F289" s="1198" t="e">
        <f t="shared" si="89"/>
        <v>#N/A</v>
      </c>
      <c r="G289" s="1198" t="e">
        <f t="shared" si="90"/>
        <v>#N/A</v>
      </c>
      <c r="H289" s="1199" t="e">
        <f t="shared" si="91"/>
        <v>#N/A</v>
      </c>
      <c r="I289" s="68"/>
      <c r="J289" s="127"/>
      <c r="K289" s="127"/>
      <c r="L289" s="127"/>
      <c r="M289" s="127"/>
      <c r="N289" s="127"/>
      <c r="O289" s="127"/>
      <c r="P289" s="127"/>
      <c r="Q289" s="128"/>
      <c r="R289" s="120"/>
      <c r="S289" s="127"/>
      <c r="T289" s="127"/>
      <c r="U289" s="89"/>
      <c r="V289" s="103"/>
      <c r="W289" s="115"/>
      <c r="X289" s="352" t="str">
        <f t="shared" si="92"/>
        <v>Southampton</v>
      </c>
      <c r="Y289" s="355">
        <f>IF(Year1_Southampton Year1_CP_Plans_became_subject="","",Year1_Southampton Year1_CP_Plans_became_subject)</f>
        <v>562</v>
      </c>
      <c r="Z289" s="248">
        <f>IF(Year2_Southampton Year2_CP_Plans_became_subject="","",Year2_Southampton Year2_CP_Plans_became_subject)</f>
        <v>473</v>
      </c>
      <c r="AA289" s="248">
        <f>IF(Year3_Southampton Year3_CP_Plans_became_subject="","",Year3_Southampton Year3_CP_Plans_became_subject)</f>
        <v>583</v>
      </c>
      <c r="AB289" s="248">
        <f>IF(Year4_Southampton Year4_CP_Plans_became_subject="","",Year4_Southampton Year4_CP_Plans_became_subject)</f>
        <v>378</v>
      </c>
      <c r="AC289" s="352">
        <f>IF(Year5_Southampton Year5_CP_Plans_became_subject="","",Year5_Southampton Year5_CP_Plans_became_subject)</f>
        <v>328</v>
      </c>
      <c r="AD289" s="252" t="str">
        <f t="shared" si="93"/>
        <v>Southampton</v>
      </c>
      <c r="AE289" s="307" t="str">
        <f>IF(Year1_Southampton Year1_CP_Plans_became_subject_second_2years="","",Year1_Southampton Year1_CP_Plans_became_subject_second_2years)</f>
        <v/>
      </c>
      <c r="AF289" s="248" t="str">
        <f>IF(Year2_Southampton Year2_CP_Plans_became_subject_second_2years="","",Year2_Southampton Year2_CP_Plans_became_subject_second_2years)</f>
        <v/>
      </c>
      <c r="AG289" s="248" t="str">
        <f>IF(Year3_Southampton Year3_CP_Plans_became_subject_second_2years="","",Year3_Southampton Year3_CP_Plans_became_subject_second_2years)</f>
        <v/>
      </c>
      <c r="AH289" s="248" t="str">
        <f>IF(Year4_Southampton Year4_CP_Plans_became_subject_second_2years="","",Year4_Southampton Year4_CP_Plans_became_subject_second_2years)</f>
        <v/>
      </c>
      <c r="AI289" s="248" t="str">
        <f>IF(Year5_Southampton Year5_CP_Plans_became_subject_second_2years="","",Year5_Southampton Year5_CP_Plans_became_subject_second_2years)</f>
        <v/>
      </c>
      <c r="AJ289" s="119"/>
      <c r="AK289" s="52"/>
    </row>
    <row r="290" spans="1:76" s="61" customFormat="1" ht="13.5" hidden="1" customHeight="1">
      <c r="A290" s="1103">
        <f>VLOOKUP(B290,ReportData!$AQ$4:$AR$25,2,FALSE)</f>
        <v>0</v>
      </c>
      <c r="B290" s="1197" t="str">
        <f t="shared" si="94"/>
        <v>Surrey</v>
      </c>
      <c r="C290" s="1122"/>
      <c r="D290" s="1198" t="e">
        <f t="shared" si="87"/>
        <v>#N/A</v>
      </c>
      <c r="E290" s="1198" t="e">
        <f t="shared" si="88"/>
        <v>#N/A</v>
      </c>
      <c r="F290" s="1198" t="e">
        <f t="shared" si="89"/>
        <v>#N/A</v>
      </c>
      <c r="G290" s="1198" t="e">
        <f t="shared" si="90"/>
        <v>#N/A</v>
      </c>
      <c r="H290" s="1199" t="e">
        <f t="shared" si="91"/>
        <v>#N/A</v>
      </c>
      <c r="I290" s="68"/>
      <c r="J290" s="127"/>
      <c r="K290" s="127"/>
      <c r="L290" s="127"/>
      <c r="M290" s="127"/>
      <c r="N290" s="127"/>
      <c r="O290" s="127"/>
      <c r="P290" s="127"/>
      <c r="Q290" s="128"/>
      <c r="R290" s="120"/>
      <c r="S290" s="127"/>
      <c r="T290" s="127"/>
      <c r="U290" s="89"/>
      <c r="V290" s="103"/>
      <c r="W290" s="115"/>
      <c r="X290" s="352" t="str">
        <f t="shared" si="92"/>
        <v>Surrey</v>
      </c>
      <c r="Y290" s="355">
        <f>IF(Year1_Surrey Year1_CP_Plans_became_subject="","",Year1_Surrey Year1_CP_Plans_became_subject)</f>
        <v>697</v>
      </c>
      <c r="Z290" s="248">
        <f>IF(Year2_Surrey Year2_CP_Plans_became_subject="","",Year2_Surrey Year2_CP_Plans_became_subject)</f>
        <v>987</v>
      </c>
      <c r="AA290" s="248">
        <f>IF(Year3_Surrey Year3_CP_Plans_became_subject="","",Year3_Surrey Year3_CP_Plans_became_subject)</f>
        <v>1031</v>
      </c>
      <c r="AB290" s="248">
        <f>IF(Year4_Surrey Year4_CP_Plans_became_subject="","",Year4_Surrey Year4_CP_Plans_became_subject)</f>
        <v>852</v>
      </c>
      <c r="AC290" s="352">
        <f>IF(Year5_Surrey Year5_CP_Plans_became_subject="","",Year5_Surrey Year5_CP_Plans_became_subject)</f>
        <v>634</v>
      </c>
      <c r="AD290" s="252" t="str">
        <f t="shared" si="93"/>
        <v>Surrey</v>
      </c>
      <c r="AE290" s="307" t="str">
        <f>IF(Year1_Surrey Year1_CP_Plans_became_subject_second_2years="","",Year1_Surrey Year1_CP_Plans_became_subject_second_2years)</f>
        <v/>
      </c>
      <c r="AF290" s="248" t="str">
        <f>IF(Year2_Surrey Year2_CP_Plans_became_subject_second_2years="","",Year2_Surrey Year2_CP_Plans_became_subject_second_2years)</f>
        <v/>
      </c>
      <c r="AG290" s="248" t="str">
        <f>IF(Year3_Surrey Year3_CP_Plans_became_subject_second_2years="","",Year3_Surrey Year3_CP_Plans_became_subject_second_2years)</f>
        <v/>
      </c>
      <c r="AH290" s="248" t="str">
        <f>IF(Year4_Surrey Year4_CP_Plans_became_subject_second_2years="","",Year4_Surrey Year4_CP_Plans_became_subject_second_2years)</f>
        <v/>
      </c>
      <c r="AI290" s="248" t="str">
        <f>IF(Year5_Surrey Year5_CP_Plans_became_subject_second_2years="","",Year5_Surrey Year5_CP_Plans_became_subject_second_2years)</f>
        <v/>
      </c>
      <c r="AJ290" s="119"/>
      <c r="AK290" s="52"/>
    </row>
    <row r="291" spans="1:76" s="61" customFormat="1" ht="13.5" hidden="1" customHeight="1">
      <c r="A291" s="1103">
        <f>VLOOKUP(B291,ReportData!$AQ$4:$AR$25,2,FALSE)</f>
        <v>0</v>
      </c>
      <c r="B291" s="1197" t="str">
        <f t="shared" si="94"/>
        <v>West Berkshire</v>
      </c>
      <c r="C291" s="1122"/>
      <c r="D291" s="1198" t="e">
        <f t="shared" si="87"/>
        <v>#N/A</v>
      </c>
      <c r="E291" s="1198" t="e">
        <f t="shared" si="88"/>
        <v>#N/A</v>
      </c>
      <c r="F291" s="1198" t="e">
        <f t="shared" si="89"/>
        <v>#N/A</v>
      </c>
      <c r="G291" s="1198" t="e">
        <f t="shared" si="90"/>
        <v>#N/A</v>
      </c>
      <c r="H291" s="1199" t="e">
        <f t="shared" si="91"/>
        <v>#N/A</v>
      </c>
      <c r="I291" s="68"/>
      <c r="J291" s="127"/>
      <c r="K291" s="127"/>
      <c r="L291" s="127"/>
      <c r="M291" s="127"/>
      <c r="N291" s="127"/>
      <c r="O291" s="127"/>
      <c r="P291" s="127"/>
      <c r="Q291" s="128"/>
      <c r="R291" s="120"/>
      <c r="S291" s="127"/>
      <c r="T291" s="127"/>
      <c r="U291" s="89"/>
      <c r="V291" s="103"/>
      <c r="W291"/>
      <c r="X291" s="352" t="str">
        <f t="shared" si="92"/>
        <v>West Berkshire</v>
      </c>
      <c r="Y291" s="355">
        <f>IF(Year1_West_Berkshire Year1_CP_Plans_became_subject="","",Year1_West_Berkshire Year1_CP_Plans_became_subject)</f>
        <v>170</v>
      </c>
      <c r="Z291" s="248">
        <f>IF(Year2_West_Berkshire Year2_CP_Plans_became_subject="","",Year2_West_Berkshire Year2_CP_Plans_became_subject)</f>
        <v>225</v>
      </c>
      <c r="AA291" s="248">
        <f>IF(Year3_West_Berkshire Year3_CP_Plans_became_subject="","",Year3_West_Berkshire Year3_CP_Plans_became_subject)</f>
        <v>245</v>
      </c>
      <c r="AB291" s="248">
        <f>IF(Year4_West_Berkshire Year4_CP_Plans_became_subject="","",Year4_West_Berkshire Year4_CP_Plans_became_subject)</f>
        <v>389</v>
      </c>
      <c r="AC291" s="353">
        <f>IF(Year5_West_Berkshire Year5_CP_Plans_became_subject="","",Year5_West_Berkshire Year5_CP_Plans_became_subject)</f>
        <v>204</v>
      </c>
      <c r="AD291" s="252" t="str">
        <f t="shared" si="93"/>
        <v>West Berkshire</v>
      </c>
      <c r="AE291" s="307" t="str">
        <f>IF(Year1_West_Berkshire Year1_CP_Plans_became_subject_second_2years="","",Year1_West_Berkshire Year1_CP_Plans_became_subject_second_2years)</f>
        <v/>
      </c>
      <c r="AF291" s="248" t="str">
        <f>IF(Year2_West_Berkshire Year2_CP_Plans_became_subject_second_2years="","",Year2_West_Berkshire Year2_CP_Plans_became_subject_second_2years)</f>
        <v/>
      </c>
      <c r="AG291" s="248" t="str">
        <f>IF(Year3_West_Berkshire Year3_CP_Plans_became_subject_second_2years="","",Year3_West_Berkshire Year3_CP_Plans_became_subject_second_2years)</f>
        <v/>
      </c>
      <c r="AH291" s="248" t="str">
        <f>IF(Year4_West_Berkshire Year4_CP_Plans_became_subject_second_2years="","",Year4_West_Berkshire Year4_CP_Plans_became_subject_second_2years)</f>
        <v/>
      </c>
      <c r="AI291" s="307" t="str">
        <f>IF(Year5_West_Berkshire Year5_CP_Plans_became_subject_second_2years="","",Year5_West_Berkshire Year5_CP_Plans_became_subject_second_2years)</f>
        <v/>
      </c>
      <c r="AJ291" s="119"/>
      <c r="AK291" s="52"/>
    </row>
    <row r="292" spans="1:76" s="61" customFormat="1" ht="13.5" hidden="1" customHeight="1">
      <c r="A292" s="1103">
        <f>VLOOKUP(B292,ReportData!$AQ$4:$AR$25,2,FALSE)</f>
        <v>0</v>
      </c>
      <c r="B292" s="1197" t="str">
        <f t="shared" si="94"/>
        <v>West Sussex</v>
      </c>
      <c r="C292" s="1122"/>
      <c r="D292" s="1198" t="e">
        <f t="shared" si="87"/>
        <v>#N/A</v>
      </c>
      <c r="E292" s="1198" t="e">
        <f t="shared" si="88"/>
        <v>#N/A</v>
      </c>
      <c r="F292" s="1198" t="e">
        <f t="shared" si="89"/>
        <v>#N/A</v>
      </c>
      <c r="G292" s="1198" t="e">
        <f t="shared" si="90"/>
        <v>#N/A</v>
      </c>
      <c r="H292" s="1199" t="e">
        <f t="shared" si="91"/>
        <v>#N/A</v>
      </c>
      <c r="I292" s="68"/>
      <c r="J292" s="127"/>
      <c r="K292" s="127"/>
      <c r="L292" s="127"/>
      <c r="M292" s="127"/>
      <c r="N292" s="127"/>
      <c r="O292" s="127"/>
      <c r="P292" s="127"/>
      <c r="Q292" s="128"/>
      <c r="R292" s="120"/>
      <c r="S292" s="127"/>
      <c r="T292" s="127"/>
      <c r="U292" s="89"/>
      <c r="V292" s="103"/>
      <c r="W292" s="115"/>
      <c r="X292" s="352" t="str">
        <f t="shared" si="92"/>
        <v>West Sussex</v>
      </c>
      <c r="Y292" s="355">
        <f>IF(Year1_West_Sussex Year1_CP_Plans_became_subject="","",Year1_West_Sussex Year1_CP_Plans_became_subject)</f>
        <v>1125</v>
      </c>
      <c r="Z292" s="248">
        <f>IF(Year2_West_Sussex Year2_CP_Plans_became_subject="","",Year2_West_Sussex Year2_CP_Plans_became_subject)</f>
        <v>1187</v>
      </c>
      <c r="AA292" s="248">
        <f>IF(Year3_West_Sussex Year3_CP_Plans_became_subject="","",Year3_West_Sussex Year3_CP_Plans_became_subject)</f>
        <v>920</v>
      </c>
      <c r="AB292" s="248">
        <f>IF(Year4_West_Sussex Year4_CP_Plans_became_subject="","",Year4_West_Sussex Year4_CP_Plans_became_subject)</f>
        <v>992</v>
      </c>
      <c r="AC292" s="353">
        <f>IF(Year5_West_Sussex Year5_CP_Plans_became_subject="","",Year5_West_Sussex Year5_CP_Plans_became_subject)</f>
        <v>836</v>
      </c>
      <c r="AD292" s="252" t="str">
        <f t="shared" si="93"/>
        <v>West Sussex</v>
      </c>
      <c r="AE292" s="307" t="str">
        <f>IF(Year1_West_Sussex Year1_CP_Plans_became_subject_second_2years="","",Year1_West_Sussex Year1_CP_Plans_became_subject_second_2years)</f>
        <v/>
      </c>
      <c r="AF292" s="248" t="str">
        <f>IF(Year2_West_Sussex Year2_CP_Plans_became_subject_second_2years="","",Year2_West_Sussex Year2_CP_Plans_became_subject_second_2years)</f>
        <v/>
      </c>
      <c r="AG292" s="248" t="str">
        <f>IF(Year3_West_Sussex Year3_CP_Plans_became_subject_second_2years="","",Year3_West_Sussex Year3_CP_Plans_became_subject_second_2years)</f>
        <v/>
      </c>
      <c r="AH292" s="248" t="str">
        <f>IF(Year4_West_Sussex Year4_CP_Plans_became_subject_second_2years="","",Year4_West_Sussex Year4_CP_Plans_became_subject_second_2years)</f>
        <v/>
      </c>
      <c r="AI292" s="307" t="str">
        <f>IF(Year5_West_Sussex Year5_CP_Plans_became_subject_second_2years="","",Year5_West_Sussex Year5_CP_Plans_became_subject_second_2years)</f>
        <v/>
      </c>
      <c r="AJ292" s="119"/>
      <c r="AK292" s="52"/>
    </row>
    <row r="293" spans="1:76" s="61" customFormat="1" ht="13.5" hidden="1" customHeight="1">
      <c r="A293" s="1103">
        <f>VLOOKUP(B293,ReportData!$AQ$4:$AR$25,2,FALSE)</f>
        <v>0</v>
      </c>
      <c r="B293" s="1197" t="str">
        <f t="shared" si="94"/>
        <v>Windsor &amp; Maidenhead</v>
      </c>
      <c r="C293" s="1122"/>
      <c r="D293" s="1198" t="e">
        <f t="shared" si="87"/>
        <v>#N/A</v>
      </c>
      <c r="E293" s="1198" t="e">
        <f t="shared" si="88"/>
        <v>#N/A</v>
      </c>
      <c r="F293" s="1198" t="e">
        <f t="shared" si="89"/>
        <v>#N/A</v>
      </c>
      <c r="G293" s="1198" t="e">
        <f t="shared" si="90"/>
        <v>#N/A</v>
      </c>
      <c r="H293" s="1199" t="e">
        <f t="shared" si="91"/>
        <v>#N/A</v>
      </c>
      <c r="I293" s="68"/>
      <c r="J293" s="127"/>
      <c r="K293" s="127"/>
      <c r="L293" s="127"/>
      <c r="M293" s="127"/>
      <c r="N293" s="127"/>
      <c r="O293" s="127"/>
      <c r="P293" s="127"/>
      <c r="Q293" s="128"/>
      <c r="R293" s="120"/>
      <c r="S293" s="127"/>
      <c r="T293" s="127"/>
      <c r="U293" s="89"/>
      <c r="V293" s="103"/>
      <c r="W293" s="115"/>
      <c r="X293" s="352" t="str">
        <f t="shared" si="92"/>
        <v>Windsor &amp; Maidenhead</v>
      </c>
      <c r="Y293" s="355">
        <f>IF(Year1_Windsor_and_Maidenhead Year1_CP_Plans_became_subject="","",Year1_Windsor_and_Maidenhead Year1_CP_Plans_became_subject)</f>
        <v>213</v>
      </c>
      <c r="Z293" s="248">
        <f>IF(Year2_Windsor_and_Maidenhead Year2_CP_Plans_became_subject="","",Year2_Windsor_and_Maidenhead Year2_CP_Plans_became_subject)</f>
        <v>228</v>
      </c>
      <c r="AA293" s="248">
        <f>IF(Year3_Windsor_and_Maidenhead Year3_CP_Plans_became_subject="","",Year3_Windsor_and_Maidenhead Year3_CP_Plans_became_subject)</f>
        <v>188</v>
      </c>
      <c r="AB293" s="248">
        <f>IF(Year4_Windsor_and_Maidenhead Year4_CP_Plans_became_subject="","",Year4_Windsor_and_Maidenhead Year4_CP_Plans_became_subject)</f>
        <v>198</v>
      </c>
      <c r="AC293" s="353">
        <f>IF(Year5_Windsor_and_Maidenhead Year5_CP_Plans_became_subject="","",Year5_Windsor_and_Maidenhead Year5_CP_Plans_became_subject)</f>
        <v>189</v>
      </c>
      <c r="AD293" s="252" t="str">
        <f t="shared" si="93"/>
        <v>Windsor &amp; Maidenhead</v>
      </c>
      <c r="AE293" s="307" t="str">
        <f>IF(Year1_Windsor_and_Maidenhead Year1_CP_Plans_became_subject_second_2years="","",Year1_Windsor_and_Maidenhead Year1_CP_Plans_became_subject_second_2years)</f>
        <v/>
      </c>
      <c r="AF293" s="248" t="str">
        <f>IF(Year2_Windsor_and_Maidenhead Year2_CP_Plans_became_subject_second_2years="","",Year2_Windsor_and_Maidenhead Year2_CP_Plans_became_subject_second_2years)</f>
        <v/>
      </c>
      <c r="AG293" s="248" t="str">
        <f>IF(Year3_Windsor_and_Maidenhead Year3_CP_Plans_became_subject_second_2years="","",Year3_Windsor_and_Maidenhead Year3_CP_Plans_became_subject_second_2years)</f>
        <v/>
      </c>
      <c r="AH293" s="248" t="str">
        <f>IF(Year4_Windsor_and_Maidenhead Year4_CP_Plans_became_subject_second_2years="","",Year4_Windsor_and_Maidenhead Year4_CP_Plans_became_subject_second_2years)</f>
        <v/>
      </c>
      <c r="AI293" s="307" t="str">
        <f>IF(Year5_Windsor_and_Maidenhead Year5_CP_Plans_became_subject_second_2years="","",Year5_Windsor_and_Maidenhead Year5_CP_Plans_became_subject_second_2years)</f>
        <v/>
      </c>
      <c r="AJ293" s="119"/>
      <c r="AK293" s="52"/>
      <c r="AL293"/>
      <c r="AM293"/>
      <c r="AN293"/>
      <c r="AO293"/>
      <c r="AP293"/>
      <c r="AQ293"/>
      <c r="AR293"/>
      <c r="AS293"/>
      <c r="AT293"/>
      <c r="AU293"/>
      <c r="AV293"/>
      <c r="AW293"/>
      <c r="AX293"/>
    </row>
    <row r="294" spans="1:76" s="61" customFormat="1" ht="13.5" hidden="1" customHeight="1">
      <c r="A294" s="1103">
        <f>VLOOKUP(B294,ReportData!$AQ$4:$AR$25,2,FALSE)</f>
        <v>0</v>
      </c>
      <c r="B294" s="1197" t="str">
        <f t="shared" si="94"/>
        <v>Wokingham</v>
      </c>
      <c r="C294" s="1122"/>
      <c r="D294" s="1198" t="e">
        <f t="shared" si="87"/>
        <v>#N/A</v>
      </c>
      <c r="E294" s="1198" t="e">
        <f t="shared" si="88"/>
        <v>#N/A</v>
      </c>
      <c r="F294" s="1198" t="e">
        <f t="shared" si="89"/>
        <v>#N/A</v>
      </c>
      <c r="G294" s="1198" t="e">
        <f t="shared" si="90"/>
        <v>#N/A</v>
      </c>
      <c r="H294" s="1199" t="e">
        <f t="shared" si="91"/>
        <v>#N/A</v>
      </c>
      <c r="I294" s="68"/>
      <c r="J294" s="127"/>
      <c r="K294" s="127"/>
      <c r="L294" s="127"/>
      <c r="M294" s="127"/>
      <c r="N294" s="127"/>
      <c r="O294" s="127"/>
      <c r="P294" s="127"/>
      <c r="Q294" s="128"/>
      <c r="R294" s="120"/>
      <c r="S294" s="127"/>
      <c r="T294" s="127"/>
      <c r="U294" s="89"/>
      <c r="V294" s="103"/>
      <c r="W294" s="115"/>
      <c r="X294" s="352" t="str">
        <f t="shared" si="92"/>
        <v>Wokingham</v>
      </c>
      <c r="Y294" s="355">
        <f>IF(Year1_Wokingham Year1_CP_Plans_became_subject="","",Year1_Wokingham Year1_CP_Plans_became_subject)</f>
        <v>178</v>
      </c>
      <c r="Z294" s="248">
        <f>IF(Year2_Wokingham Year2_CP_Plans_became_subject="","",Year2_Wokingham Year2_CP_Plans_became_subject)</f>
        <v>158</v>
      </c>
      <c r="AA294" s="248">
        <f>IF(Year3_Wokingham Year3_CP_Plans_became_subject="","",Year3_Wokingham Year3_CP_Plans_became_subject)</f>
        <v>195</v>
      </c>
      <c r="AB294" s="248">
        <f>IF(Year4_Wokingham Year4_CP_Plans_became_subject="","",Year4_Wokingham Year4_CP_Plans_became_subject)</f>
        <v>138</v>
      </c>
      <c r="AC294" s="353">
        <f>IF(Year5_Wokingham Year5_CP_Plans_became_subject="","",Year5_Wokingham Year5_CP_Plans_became_subject)</f>
        <v>125</v>
      </c>
      <c r="AD294" s="252" t="str">
        <f t="shared" si="93"/>
        <v>Wokingham</v>
      </c>
      <c r="AE294" s="307" t="str">
        <f>IF(Year1_Wokingham Year1_CP_Plans_became_subject_second_2years="","",Year1_Wokingham Year1_CP_Plans_became_subject_second_2years)</f>
        <v/>
      </c>
      <c r="AF294" s="248" t="str">
        <f>IF(Year2_Wokingham Year2_CP_Plans_became_subject_second_2years="","",Year2_Wokingham Year2_CP_Plans_became_subject_second_2years)</f>
        <v/>
      </c>
      <c r="AG294" s="248" t="str">
        <f>IF(Year3_Wokingham Year3_CP_Plans_became_subject_second_2years="","",Year3_Wokingham Year3_CP_Plans_became_subject_second_2years)</f>
        <v/>
      </c>
      <c r="AH294" s="248" t="str">
        <f>IF(Year4_Wokingham Year4_CP_Plans_became_subject_second_2years="","",Year4_Wokingham Year4_CP_Plans_became_subject_second_2years)</f>
        <v/>
      </c>
      <c r="AI294" s="307" t="str">
        <f>IF(Year5_Wokingham Year5_CP_Plans_became_subject_second_2years="","",Year5_Wokingham Year5_CP_Plans_became_subject_second_2years)</f>
        <v/>
      </c>
      <c r="AJ294" s="119"/>
      <c r="AK294" s="52"/>
    </row>
    <row r="295" spans="1:76" s="61" customFormat="1" ht="13.5" hidden="1" customHeight="1">
      <c r="A295" s="1097"/>
      <c r="B295" s="1200" t="str">
        <f t="shared" si="94"/>
        <v>South East</v>
      </c>
      <c r="C295" s="1122"/>
      <c r="D295" s="1201" t="e">
        <f t="shared" si="87"/>
        <v>#N/A</v>
      </c>
      <c r="E295" s="1201" t="e">
        <f t="shared" si="88"/>
        <v>#N/A</v>
      </c>
      <c r="F295" s="1201" t="e">
        <f t="shared" si="89"/>
        <v>#N/A</v>
      </c>
      <c r="G295" s="1201" t="e">
        <f t="shared" si="90"/>
        <v>#N/A</v>
      </c>
      <c r="H295" s="1202" t="e">
        <f t="shared" si="91"/>
        <v>#N/A</v>
      </c>
      <c r="I295" s="68"/>
      <c r="J295" s="129"/>
      <c r="K295" s="129"/>
      <c r="L295" s="129"/>
      <c r="M295" s="129"/>
      <c r="N295" s="129"/>
      <c r="O295" s="129"/>
      <c r="P295" s="129"/>
      <c r="Q295" s="130"/>
      <c r="R295" s="120"/>
      <c r="S295" s="131"/>
      <c r="T295" s="131"/>
      <c r="U295" s="89"/>
      <c r="V295" s="103"/>
      <c r="W295" s="114"/>
      <c r="X295" s="352" t="str">
        <f t="shared" si="92"/>
        <v>South East</v>
      </c>
      <c r="Y295" s="252">
        <f>IF(Year1_South_East Year1_CP_Plans_became_subject="","",Year1_South_East Year1_CP_Plans_became_subject)</f>
        <v>10280</v>
      </c>
      <c r="Z295" s="248">
        <f>IF(Year2_South_East Year2_CP_Plans_became_subject="","",Year2_South_East Year2_CP_Plans_became_subject)</f>
        <v>10250</v>
      </c>
      <c r="AA295" s="248">
        <f>IF(Year3_South_East Year3_CP_Plans_became_subject="","",Year3_South_East Year3_CP_Plans_became_subject)</f>
        <v>10421</v>
      </c>
      <c r="AB295" s="248">
        <f>IF(Year4_South_East Year4_CP_Plans_became_subject="","",Year4_South_East Year4_CP_Plans_became_subject)</f>
        <v>10280</v>
      </c>
      <c r="AC295" s="352">
        <f>IF(Year5_South_East Year5_CP_Plans_became_subject="","",Year5_South_East Year5_CP_Plans_became_subject)</f>
        <v>9050</v>
      </c>
      <c r="AD295" s="252" t="str">
        <f t="shared" si="93"/>
        <v>South East</v>
      </c>
      <c r="AE295" s="248" t="e">
        <f>IF(Year1_South_East Year1_CP_Plans_became_subject_second_2years=0,NA(),Year1_South_East Year1_CP_Plans_became_subject_second_2years)</f>
        <v>#N/A</v>
      </c>
      <c r="AF295" s="248" t="e">
        <f>IF(Year2_South_East Year2_CP_Plans_became_subject_second_2years=0,NA(),Year2_South_East Year2_CP_Plans_became_subject_second_2years)</f>
        <v>#N/A</v>
      </c>
      <c r="AG295" s="248" t="e">
        <f>IF(Year3_South_East Year3_CP_Plans_became_subject_second_2years=0,NA(),Year3_South_East Year3_CP_Plans_became_subject_second_2years)</f>
        <v>#N/A</v>
      </c>
      <c r="AH295" s="248" t="e">
        <f>IF(Year4_South_East Year4_CP_Plans_became_subject_second_2years=0,NA(),Year4_South_East Year4_CP_Plans_became_subject_second_2years)</f>
        <v>#N/A</v>
      </c>
      <c r="AI295" s="248" t="e">
        <f>IF(Year5_South_East Year5_CP_Plans_became_subject_second_2years=0,NA(),Year5_South_East Year5_CP_Plans_became_subject_second_2years)</f>
        <v>#N/A</v>
      </c>
      <c r="AJ295" s="119"/>
      <c r="AK295" s="52"/>
      <c r="AY295"/>
      <c r="AZ295"/>
      <c r="BA295"/>
      <c r="BB295"/>
      <c r="BC295"/>
      <c r="BD295"/>
      <c r="BE295"/>
      <c r="BF295"/>
    </row>
    <row r="296" spans="1:76" s="61" customFormat="1" ht="13.5" hidden="1" customHeight="1">
      <c r="A296" s="1097"/>
      <c r="B296" s="887"/>
      <c r="C296" s="896"/>
      <c r="D296" s="926"/>
      <c r="E296" s="926"/>
      <c r="F296" s="926"/>
      <c r="G296" s="926"/>
      <c r="H296" s="927"/>
      <c r="I296" s="68"/>
      <c r="J296" s="129"/>
      <c r="K296" s="129"/>
      <c r="L296" s="129"/>
      <c r="M296" s="129"/>
      <c r="N296" s="129"/>
      <c r="O296" s="129"/>
      <c r="P296" s="129"/>
      <c r="Q296" s="130"/>
      <c r="R296" s="120"/>
      <c r="S296" s="131"/>
      <c r="T296" s="131"/>
      <c r="U296" s="89"/>
      <c r="V296" s="103"/>
      <c r="W296" s="114"/>
      <c r="X296" s="56"/>
      <c r="Y296" s="56"/>
      <c r="Z296" s="56"/>
      <c r="AA296" s="56"/>
      <c r="AB296" s="56"/>
      <c r="AC296" s="56"/>
      <c r="AD296" s="56"/>
      <c r="AE296" s="56"/>
      <c r="AF296" s="56"/>
      <c r="AG296" s="56"/>
      <c r="AH296" s="56"/>
      <c r="AI296" s="52"/>
      <c r="AJ296" s="119"/>
      <c r="AK296" s="52"/>
    </row>
    <row r="297" spans="1:76" s="61" customFormat="1" ht="6" hidden="1" customHeight="1">
      <c r="A297" s="270"/>
      <c r="B297" s="47"/>
      <c r="C297" s="47"/>
      <c r="D297" s="47"/>
      <c r="E297" s="47"/>
      <c r="F297" s="47"/>
      <c r="G297" s="47"/>
      <c r="H297" s="47"/>
      <c r="I297" s="47"/>
      <c r="J297" s="47"/>
      <c r="K297" s="47"/>
      <c r="L297" s="47"/>
      <c r="M297" s="47"/>
      <c r="N297" s="47"/>
      <c r="O297" s="47"/>
      <c r="P297" s="47"/>
      <c r="Q297" s="47"/>
      <c r="R297" s="47"/>
      <c r="S297" s="47"/>
      <c r="T297" s="47"/>
      <c r="U297" s="89"/>
      <c r="V297" s="103"/>
      <c r="W297" s="114"/>
      <c r="X297" s="56"/>
      <c r="Y297" s="56"/>
      <c r="Z297" s="56"/>
      <c r="AA297" s="56"/>
      <c r="AB297" s="56"/>
      <c r="AC297" s="56"/>
      <c r="AD297" s="56"/>
      <c r="AE297" s="56"/>
      <c r="AF297" s="56"/>
      <c r="AG297" s="56"/>
      <c r="AH297" s="56"/>
      <c r="AI297" s="52"/>
      <c r="AJ297" s="119"/>
      <c r="AK297" s="52"/>
      <c r="AL297" s="52"/>
      <c r="AM297" s="52"/>
      <c r="AN297" s="52"/>
      <c r="AO297" s="52"/>
      <c r="AP297" s="52"/>
      <c r="AQ297" s="52"/>
      <c r="AR297" s="56"/>
      <c r="AS297" s="56"/>
      <c r="AT297" s="56"/>
      <c r="AU297" s="56"/>
      <c r="AV297" s="56"/>
      <c r="AW297" s="56"/>
      <c r="AX297" s="56"/>
      <c r="BG297"/>
      <c r="BH297"/>
      <c r="BI297"/>
      <c r="BJ297"/>
      <c r="BK297"/>
      <c r="BL297"/>
      <c r="BM297"/>
      <c r="BN297"/>
      <c r="BO297"/>
      <c r="BP297"/>
      <c r="BQ297"/>
      <c r="BR297"/>
      <c r="BS297"/>
      <c r="BT297"/>
      <c r="BU297"/>
      <c r="BV297"/>
      <c r="BW297"/>
      <c r="BX297"/>
    </row>
    <row r="298" spans="1:76" s="61" customFormat="1" ht="39" hidden="1" customHeight="1">
      <c r="A298" s="217"/>
      <c r="B298" s="271"/>
      <c r="C298" s="120"/>
      <c r="D298" s="1917"/>
      <c r="E298" s="1918"/>
      <c r="F298" s="1918"/>
      <c r="G298" s="1917"/>
      <c r="H298" s="1917"/>
      <c r="I298" s="68"/>
      <c r="J298" s="1917"/>
      <c r="K298" s="1918"/>
      <c r="L298" s="1918"/>
      <c r="M298" s="1917"/>
      <c r="N298" s="1917"/>
      <c r="O298" s="225"/>
      <c r="P298" s="225"/>
      <c r="Q298" s="225"/>
      <c r="R298" s="120"/>
      <c r="S298" s="226"/>
      <c r="T298" s="226"/>
      <c r="U298" s="89"/>
      <c r="V298" s="103"/>
      <c r="W298" s="114"/>
      <c r="X298" s="56"/>
      <c r="Y298" s="56"/>
      <c r="Z298" s="56"/>
      <c r="AA298" s="56"/>
      <c r="AB298" s="56"/>
      <c r="AC298" s="56"/>
      <c r="AD298" s="56"/>
      <c r="AE298" s="56"/>
      <c r="AF298" s="56"/>
      <c r="AG298" s="56"/>
      <c r="AH298" s="56"/>
      <c r="AI298" s="52"/>
      <c r="AJ298" s="119"/>
      <c r="AK298" s="52"/>
      <c r="AL298" s="56"/>
      <c r="AM298" s="56"/>
      <c r="AN298" s="56"/>
      <c r="AO298" s="56"/>
      <c r="AP298" s="56"/>
      <c r="AQ298" s="56"/>
      <c r="AR298" s="56"/>
      <c r="AS298" s="52"/>
      <c r="AT298" s="56"/>
      <c r="AU298" s="56"/>
      <c r="AV298" s="56"/>
      <c r="AW298" s="56"/>
      <c r="AX298" s="56"/>
    </row>
    <row r="299" spans="1:76" customFormat="1" ht="39" hidden="1" customHeight="1">
      <c r="A299" s="217"/>
      <c r="B299" s="272"/>
      <c r="C299" s="120"/>
      <c r="D299" s="273"/>
      <c r="E299" s="274"/>
      <c r="F299" s="274"/>
      <c r="G299" s="274"/>
      <c r="H299" s="274"/>
      <c r="I299" s="68"/>
      <c r="J299" s="127"/>
      <c r="K299" s="127"/>
      <c r="L299" s="127"/>
      <c r="M299" s="127"/>
      <c r="N299" s="127"/>
      <c r="O299" s="127"/>
      <c r="P299" s="127"/>
      <c r="Q299" s="128"/>
      <c r="R299" s="120"/>
      <c r="S299" s="127"/>
      <c r="T299" s="127"/>
      <c r="U299" s="89"/>
      <c r="V299" s="103"/>
      <c r="W299" s="114"/>
      <c r="X299" s="56"/>
      <c r="Y299" s="56"/>
      <c r="Z299" s="56"/>
      <c r="AA299" s="56"/>
      <c r="AB299" s="56"/>
      <c r="AC299" s="56"/>
      <c r="AD299" s="56"/>
      <c r="AE299" s="56"/>
      <c r="AF299" s="56"/>
      <c r="AG299" s="56"/>
      <c r="AH299" s="56"/>
      <c r="AI299" s="52"/>
      <c r="AJ299" s="119"/>
      <c r="AK299" s="52"/>
      <c r="AL299" s="56"/>
      <c r="AM299" s="56"/>
      <c r="AN299" s="56"/>
      <c r="AO299" s="56"/>
      <c r="AP299" s="56"/>
      <c r="AQ299" s="56"/>
      <c r="AR299" s="56"/>
      <c r="AS299" s="52"/>
      <c r="AT299" s="56"/>
      <c r="AU299" s="56"/>
      <c r="AV299" s="56"/>
      <c r="AW299" s="56"/>
      <c r="AX299" s="56"/>
      <c r="AY299" s="56"/>
      <c r="AZ299" s="56"/>
      <c r="BA299" s="56"/>
      <c r="BB299" s="56"/>
      <c r="BC299" s="56"/>
      <c r="BD299" s="56"/>
      <c r="BE299" s="56"/>
      <c r="BF299" s="56"/>
      <c r="BG299" s="61"/>
      <c r="BH299" s="61"/>
      <c r="BI299" s="61"/>
      <c r="BJ299" s="61"/>
      <c r="BK299" s="61"/>
      <c r="BL299" s="61"/>
      <c r="BM299" s="61"/>
      <c r="BN299" s="61"/>
      <c r="BO299" s="61"/>
      <c r="BP299" s="61"/>
      <c r="BQ299" s="61"/>
      <c r="BR299" s="61"/>
      <c r="BS299" s="61"/>
      <c r="BT299" s="61"/>
      <c r="BU299" s="61"/>
      <c r="BV299" s="61"/>
      <c r="BW299" s="61"/>
      <c r="BX299" s="61"/>
    </row>
    <row r="300" spans="1:76" s="61" customFormat="1" ht="47.25" hidden="1" customHeight="1">
      <c r="A300" s="217"/>
      <c r="B300" s="272"/>
      <c r="C300" s="120"/>
      <c r="D300" s="273"/>
      <c r="E300" s="274"/>
      <c r="F300" s="274"/>
      <c r="G300" s="274"/>
      <c r="H300" s="274"/>
      <c r="I300" s="68"/>
      <c r="J300" s="127"/>
      <c r="K300" s="127"/>
      <c r="L300" s="127"/>
      <c r="M300" s="127"/>
      <c r="N300" s="127"/>
      <c r="O300" s="127"/>
      <c r="P300" s="127"/>
      <c r="Q300" s="128"/>
      <c r="R300" s="120"/>
      <c r="S300" s="127"/>
      <c r="T300" s="127"/>
      <c r="U300" s="89"/>
      <c r="V300" s="103"/>
      <c r="W300" s="114"/>
      <c r="X300" s="56"/>
      <c r="Y300" s="56"/>
      <c r="Z300" s="56"/>
      <c r="AA300" s="56"/>
      <c r="AB300" s="56"/>
      <c r="AC300" s="56"/>
      <c r="AD300" s="56"/>
      <c r="AE300" s="57"/>
      <c r="AF300" s="56"/>
      <c r="AG300" s="56"/>
      <c r="AH300" s="52"/>
      <c r="AI300" s="52"/>
      <c r="AJ300" s="119"/>
      <c r="AK300" s="52"/>
      <c r="AL300" s="56"/>
      <c r="AM300" s="56"/>
      <c r="AN300" s="56"/>
      <c r="AO300" s="56"/>
      <c r="AP300" s="56"/>
      <c r="AQ300" s="56"/>
      <c r="AR300" s="52"/>
      <c r="AS300" s="52"/>
      <c r="AT300" s="52"/>
      <c r="AU300" s="52"/>
      <c r="AV300" s="52"/>
      <c r="AW300" s="52"/>
      <c r="AX300" s="52"/>
      <c r="AY300" s="56"/>
      <c r="AZ300" s="56"/>
      <c r="BA300" s="56"/>
      <c r="BB300" s="56"/>
      <c r="BC300" s="56"/>
      <c r="BD300" s="56"/>
      <c r="BE300" s="56"/>
      <c r="BF300" s="56"/>
    </row>
    <row r="301" spans="1:76" s="61" customFormat="1" ht="7.5" hidden="1" customHeight="1">
      <c r="A301" s="208"/>
      <c r="B301" s="12"/>
      <c r="C301" s="12"/>
      <c r="D301" s="11"/>
      <c r="E301" s="11"/>
      <c r="F301" s="11"/>
      <c r="G301" s="11"/>
      <c r="H301" s="11"/>
      <c r="I301" s="1"/>
      <c r="J301" s="13"/>
      <c r="K301" s="13"/>
      <c r="L301" s="13"/>
      <c r="M301" s="13"/>
      <c r="N301" s="13"/>
      <c r="O301" s="13"/>
      <c r="P301" s="13"/>
      <c r="Q301" s="13"/>
      <c r="R301" s="13"/>
      <c r="S301" s="14"/>
      <c r="T301" s="14"/>
      <c r="U301" s="86"/>
      <c r="V301" s="102"/>
      <c r="W301" s="114"/>
      <c r="X301" s="56"/>
      <c r="Y301" s="56"/>
      <c r="Z301" s="56"/>
      <c r="AA301" s="56"/>
      <c r="AB301" s="56"/>
      <c r="AC301" s="56"/>
      <c r="AD301" s="56"/>
      <c r="AE301" s="57"/>
      <c r="AF301" s="56"/>
      <c r="AG301" s="56"/>
      <c r="AH301" s="52"/>
      <c r="AI301" s="52"/>
      <c r="AJ301" s="119"/>
      <c r="AK301" s="52"/>
      <c r="AL301" s="56"/>
      <c r="AM301" s="56"/>
      <c r="AN301" s="56"/>
      <c r="AO301" s="56"/>
      <c r="AP301" s="56"/>
      <c r="AQ301" s="56"/>
      <c r="AR301" s="52"/>
      <c r="AS301" s="52"/>
      <c r="AT301" s="52"/>
      <c r="AU301" s="52"/>
      <c r="AV301" s="52"/>
      <c r="AW301" s="52"/>
      <c r="AX301" s="52"/>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row>
    <row r="302" spans="1:76" s="61" customFormat="1" ht="15" hidden="1" customHeight="1">
      <c r="A302" s="1758"/>
      <c r="B302" s="1759"/>
      <c r="C302" s="1759"/>
      <c r="D302" s="1759"/>
      <c r="E302" s="1759"/>
      <c r="F302" s="1759"/>
      <c r="G302" s="1759"/>
      <c r="H302" s="1759"/>
      <c r="I302" s="1759"/>
      <c r="J302" s="1759"/>
      <c r="K302" s="1759"/>
      <c r="L302" s="1759"/>
      <c r="M302" s="1759"/>
      <c r="N302" s="1759"/>
      <c r="O302" s="1759"/>
      <c r="P302" s="1759"/>
      <c r="Q302" s="1759"/>
      <c r="R302" s="1759"/>
      <c r="S302" s="1759"/>
      <c r="T302" s="1759"/>
      <c r="U302" s="1760"/>
      <c r="V302" s="102"/>
      <c r="W302" s="114"/>
      <c r="X302" s="56"/>
      <c r="Y302" s="56"/>
      <c r="Z302" s="56"/>
      <c r="AA302" s="56"/>
      <c r="AB302" s="56"/>
      <c r="AC302" s="56"/>
      <c r="AD302" s="56"/>
      <c r="AE302" s="57"/>
      <c r="AF302" s="56"/>
      <c r="AG302" s="56"/>
      <c r="AH302" s="52"/>
      <c r="AI302" s="52"/>
      <c r="AJ302" s="119"/>
      <c r="AK302" s="52"/>
      <c r="AL302" s="56"/>
      <c r="AM302" s="56"/>
      <c r="AN302" s="56"/>
      <c r="AO302" s="56"/>
      <c r="AP302" s="56"/>
      <c r="AQ302" s="56"/>
      <c r="AR302" s="52"/>
      <c r="AS302" s="52"/>
      <c r="AT302" s="52"/>
      <c r="AU302" s="52"/>
      <c r="AV302" s="52"/>
      <c r="AW302" s="52"/>
      <c r="AX302" s="52"/>
      <c r="AY302" s="52"/>
      <c r="AZ302" s="52"/>
      <c r="BA302" s="52"/>
      <c r="BB302" s="52"/>
      <c r="BC302" s="52"/>
      <c r="BD302" s="52"/>
      <c r="BE302" s="52"/>
      <c r="BF302" s="52"/>
      <c r="BG302" s="56"/>
      <c r="BH302" s="56"/>
      <c r="BI302" s="56"/>
      <c r="BJ302" s="56"/>
      <c r="BK302" s="56"/>
      <c r="BL302" s="56"/>
      <c r="BM302" s="56"/>
      <c r="BN302" s="56"/>
      <c r="BO302" s="56"/>
      <c r="BP302" s="56"/>
      <c r="BQ302" s="56"/>
      <c r="BR302" s="56"/>
      <c r="BS302" s="56"/>
      <c r="BT302" s="56"/>
      <c r="BU302" s="56"/>
      <c r="BV302" s="56"/>
      <c r="BW302" s="56"/>
      <c r="BX302" s="56"/>
    </row>
    <row r="303" spans="1:76" s="56" customFormat="1" ht="11.25" hidden="1" customHeight="1">
      <c r="A303" s="1739"/>
      <c r="B303" s="1740"/>
      <c r="C303" s="1740"/>
      <c r="D303" s="1740"/>
      <c r="E303" s="1740"/>
      <c r="F303" s="1740"/>
      <c r="G303" s="1740"/>
      <c r="H303" s="1740"/>
      <c r="I303" s="1741"/>
      <c r="J303" s="1740"/>
      <c r="K303" s="1740"/>
      <c r="L303" s="1740"/>
      <c r="M303" s="1740"/>
      <c r="N303" s="1740"/>
      <c r="O303" s="1740"/>
      <c r="P303" s="1742"/>
      <c r="Q303" s="1740"/>
      <c r="R303" s="1740"/>
      <c r="S303" s="1741"/>
      <c r="T303" s="1740"/>
      <c r="U303" s="1743"/>
      <c r="V303" s="102"/>
      <c r="W303" s="114"/>
      <c r="AE303" s="57"/>
      <c r="AH303" s="52"/>
      <c r="AI303" s="52"/>
      <c r="AJ303" s="119"/>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row>
    <row r="304" spans="1:76" s="56" customFormat="1" ht="11.25" customHeight="1">
      <c r="A304" s="106"/>
      <c r="B304" s="705"/>
      <c r="C304" s="5"/>
      <c r="D304" s="5"/>
      <c r="E304" s="9"/>
      <c r="F304" s="5"/>
      <c r="G304" s="40"/>
      <c r="H304" s="554"/>
      <c r="I304" s="40"/>
      <c r="J304" s="40"/>
      <c r="K304" s="40"/>
      <c r="L304" s="40"/>
      <c r="M304" s="40"/>
      <c r="N304" s="40"/>
      <c r="O304" s="40"/>
      <c r="P304" s="40"/>
      <c r="Q304" s="40"/>
      <c r="R304" s="40"/>
      <c r="S304" s="40"/>
      <c r="T304" s="40"/>
      <c r="U304" s="40"/>
      <c r="V304" s="119"/>
      <c r="W304" s="116"/>
      <c r="AE304" s="57"/>
      <c r="AH304" s="52"/>
      <c r="AI304" s="52"/>
      <c r="AJ304" s="119"/>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c r="BX304" s="52"/>
    </row>
    <row r="305" spans="1:76" s="56" customFormat="1" ht="11.25" customHeight="1">
      <c r="A305" s="106"/>
      <c r="B305" s="705"/>
      <c r="C305" s="5"/>
      <c r="D305" s="5"/>
      <c r="E305" s="9"/>
      <c r="F305" s="5"/>
      <c r="G305" s="40"/>
      <c r="H305" s="554"/>
      <c r="I305" s="40"/>
      <c r="J305" s="40"/>
      <c r="K305" s="40"/>
      <c r="L305" s="40"/>
      <c r="M305" s="40"/>
      <c r="N305" s="40"/>
      <c r="O305" s="40"/>
      <c r="P305" s="40"/>
      <c r="Q305" s="40"/>
      <c r="R305" s="40"/>
      <c r="S305" s="40"/>
      <c r="T305" s="40"/>
      <c r="U305" s="40"/>
      <c r="V305" s="119"/>
      <c r="W305" s="114"/>
      <c r="AE305" s="57"/>
      <c r="AH305" s="52"/>
      <c r="AI305" s="52"/>
      <c r="AJ305" s="119"/>
      <c r="AK305" s="52"/>
      <c r="AL305" s="52"/>
      <c r="AM305" s="52"/>
      <c r="AN305" s="52"/>
      <c r="AO305" s="52"/>
      <c r="AP305" s="52"/>
      <c r="AQ305" s="52"/>
      <c r="AR305" s="52"/>
      <c r="AS305" s="52"/>
      <c r="AT305" s="52"/>
      <c r="AU305" s="52"/>
      <c r="AV305" s="52"/>
      <c r="AW305" s="52"/>
      <c r="AX305" s="52"/>
      <c r="AY305" s="52"/>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c r="BX305" s="52"/>
    </row>
    <row r="306" spans="1:76" ht="11.25" customHeight="1">
      <c r="A306" s="106"/>
      <c r="B306" s="1317"/>
      <c r="C306" s="5"/>
      <c r="D306" s="5"/>
      <c r="E306" s="9"/>
      <c r="F306" s="5"/>
      <c r="G306" s="40"/>
      <c r="H306" s="554"/>
      <c r="I306" s="40"/>
      <c r="J306" s="40"/>
      <c r="K306" s="40"/>
      <c r="L306" s="40"/>
      <c r="M306" s="40"/>
      <c r="N306" s="40"/>
      <c r="O306" s="40"/>
      <c r="P306" s="40"/>
      <c r="Q306" s="40"/>
      <c r="R306" s="40"/>
      <c r="S306" s="40"/>
      <c r="T306" s="40"/>
      <c r="U306" s="40"/>
      <c r="V306" s="119"/>
      <c r="W306" s="114"/>
      <c r="AE306" s="57"/>
      <c r="AH306" s="52"/>
      <c r="AJ306" s="119"/>
    </row>
    <row r="307" spans="1:76" ht="11.25" customHeight="1">
      <c r="A307" s="106"/>
      <c r="B307" s="1318"/>
      <c r="C307" s="5"/>
      <c r="D307" s="5"/>
      <c r="E307" s="9"/>
      <c r="F307" s="2"/>
      <c r="G307" s="554"/>
      <c r="H307" s="554"/>
      <c r="I307" s="40"/>
      <c r="J307" s="40"/>
      <c r="K307" s="40"/>
      <c r="L307" s="40"/>
      <c r="M307" s="40"/>
      <c r="N307" s="40"/>
      <c r="O307" s="40"/>
      <c r="P307" s="40"/>
      <c r="Q307" s="40"/>
      <c r="R307" s="40"/>
      <c r="S307" s="40"/>
      <c r="T307" s="40"/>
      <c r="U307" s="40"/>
      <c r="V307" s="119"/>
      <c r="W307" s="114"/>
      <c r="AE307" s="57"/>
      <c r="AH307" s="52"/>
      <c r="AJ307" s="119"/>
    </row>
    <row r="308" spans="1:76" ht="11.25" customHeight="1">
      <c r="A308" s="106"/>
      <c r="B308" s="420"/>
      <c r="C308" s="420"/>
      <c r="D308" s="420"/>
      <c r="E308" s="420"/>
      <c r="F308" s="420"/>
      <c r="G308" s="420"/>
      <c r="H308" s="554"/>
      <c r="I308" s="40"/>
      <c r="J308" s="40"/>
      <c r="K308" s="40"/>
      <c r="L308" s="40"/>
      <c r="M308" s="40"/>
      <c r="N308" s="40"/>
      <c r="O308" s="40"/>
      <c r="P308" s="40"/>
      <c r="Q308" s="40"/>
      <c r="R308" s="40"/>
      <c r="S308" s="40"/>
      <c r="T308" s="40"/>
      <c r="U308" s="40"/>
      <c r="V308" s="119"/>
      <c r="W308" s="114"/>
      <c r="AE308" s="57"/>
      <c r="AH308" s="52"/>
      <c r="AJ308" s="119"/>
    </row>
    <row r="309" spans="1:76" ht="11.25" customHeight="1">
      <c r="A309" s="106"/>
      <c r="B309" s="420"/>
      <c r="C309" s="420"/>
      <c r="D309" s="420"/>
      <c r="E309" s="420"/>
      <c r="F309" s="420"/>
      <c r="G309" s="420"/>
      <c r="H309" s="554"/>
      <c r="I309" s="40"/>
      <c r="J309" s="40"/>
      <c r="K309" s="40"/>
      <c r="L309" s="40"/>
      <c r="M309" s="40"/>
      <c r="N309" s="40"/>
      <c r="O309" s="40"/>
      <c r="P309" s="40"/>
      <c r="Q309" s="40"/>
      <c r="R309" s="40"/>
      <c r="S309" s="40"/>
      <c r="T309" s="40"/>
      <c r="U309" s="40"/>
      <c r="V309" s="119"/>
      <c r="W309" s="114"/>
      <c r="AE309" s="57"/>
      <c r="AH309" s="52"/>
      <c r="AJ309" s="119"/>
    </row>
    <row r="310" spans="1:76" ht="11.25" customHeight="1">
      <c r="A310" s="106"/>
      <c r="B310" s="420"/>
      <c r="C310" s="420"/>
      <c r="D310" s="420"/>
      <c r="E310" s="420"/>
      <c r="F310" s="420"/>
      <c r="G310" s="420"/>
      <c r="H310" s="554"/>
      <c r="I310" s="40"/>
      <c r="J310" s="40"/>
      <c r="K310" s="40"/>
      <c r="L310" s="40"/>
      <c r="M310" s="40"/>
      <c r="N310" s="40"/>
      <c r="O310" s="40"/>
      <c r="P310" s="40"/>
      <c r="Q310" s="40"/>
      <c r="R310" s="40"/>
      <c r="S310" s="40"/>
      <c r="T310" s="40"/>
      <c r="U310" s="40"/>
      <c r="V310" s="119"/>
      <c r="W310" s="114"/>
      <c r="Z310" s="52"/>
      <c r="AA310" s="52"/>
      <c r="AE310" s="57"/>
      <c r="AH310" s="52"/>
      <c r="AJ310" s="119"/>
    </row>
    <row r="311" spans="1:76" ht="11.25" customHeight="1">
      <c r="A311" s="106"/>
      <c r="B311" s="420"/>
      <c r="C311" s="420"/>
      <c r="D311" s="420"/>
      <c r="E311" s="420"/>
      <c r="F311" s="420"/>
      <c r="G311" s="420"/>
      <c r="H311" s="554"/>
      <c r="I311" s="40"/>
      <c r="J311" s="40"/>
      <c r="K311" s="40"/>
      <c r="L311" s="40"/>
      <c r="M311" s="40"/>
      <c r="N311" s="40"/>
      <c r="O311" s="40"/>
      <c r="P311" s="40"/>
      <c r="Q311" s="40"/>
      <c r="R311" s="40"/>
      <c r="S311" s="40"/>
      <c r="T311" s="40"/>
      <c r="U311" s="40"/>
      <c r="V311" s="119"/>
      <c r="W311" s="114"/>
      <c r="Z311" s="52"/>
      <c r="AA311" s="52"/>
      <c r="AE311" s="57"/>
      <c r="AH311" s="52"/>
      <c r="AJ311" s="119"/>
    </row>
    <row r="312" spans="1:76" ht="11.25" customHeight="1">
      <c r="A312" s="106"/>
      <c r="B312" s="420"/>
      <c r="C312" s="420"/>
      <c r="D312" s="420"/>
      <c r="E312" s="420"/>
      <c r="F312" s="420"/>
      <c r="G312" s="420"/>
      <c r="H312" s="554"/>
      <c r="I312" s="40"/>
      <c r="J312" s="40"/>
      <c r="K312" s="40"/>
      <c r="L312" s="40"/>
      <c r="M312" s="40"/>
      <c r="N312" s="40"/>
      <c r="O312" s="40"/>
      <c r="P312" s="40"/>
      <c r="Q312" s="40"/>
      <c r="R312" s="40"/>
      <c r="S312" s="40"/>
      <c r="T312" s="40"/>
      <c r="U312" s="40"/>
      <c r="V312" s="119"/>
      <c r="W312" s="114"/>
      <c r="Z312" s="52"/>
      <c r="AA312" s="52"/>
      <c r="AE312" s="57"/>
      <c r="AH312" s="52"/>
      <c r="AJ312" s="119"/>
    </row>
    <row r="313" spans="1:76" ht="11.25" customHeight="1">
      <c r="A313" s="106"/>
      <c r="B313" s="420"/>
      <c r="C313" s="420"/>
      <c r="D313" s="420"/>
      <c r="E313" s="420"/>
      <c r="F313" s="420"/>
      <c r="G313" s="420"/>
      <c r="H313" s="554"/>
      <c r="I313" s="40"/>
      <c r="J313" s="40"/>
      <c r="K313" s="40"/>
      <c r="L313" s="40"/>
      <c r="M313" s="40"/>
      <c r="N313" s="40"/>
      <c r="O313" s="40"/>
      <c r="P313" s="40"/>
      <c r="Q313" s="40"/>
      <c r="R313" s="40"/>
      <c r="S313" s="40"/>
      <c r="T313" s="40"/>
      <c r="U313" s="40"/>
      <c r="V313" s="119"/>
      <c r="W313" s="114"/>
      <c r="Z313" s="52"/>
      <c r="AA313" s="52"/>
      <c r="AE313" s="57"/>
      <c r="AH313" s="52"/>
      <c r="AJ313" s="119"/>
    </row>
    <row r="314" spans="1:76" ht="11.25" customHeight="1">
      <c r="A314" s="106"/>
      <c r="B314" s="420"/>
      <c r="C314" s="420"/>
      <c r="D314" s="420"/>
      <c r="E314" s="420"/>
      <c r="F314" s="420"/>
      <c r="G314" s="420"/>
      <c r="H314" s="554"/>
      <c r="I314" s="40"/>
      <c r="J314" s="40"/>
      <c r="K314" s="40"/>
      <c r="L314" s="40"/>
      <c r="M314" s="40"/>
      <c r="N314" s="40"/>
      <c r="O314" s="40"/>
      <c r="P314" s="40"/>
      <c r="Q314" s="40"/>
      <c r="R314" s="40"/>
      <c r="S314" s="40"/>
      <c r="T314" s="40"/>
      <c r="U314" s="40"/>
      <c r="V314" s="119"/>
      <c r="W314" s="114"/>
      <c r="Z314" s="52"/>
      <c r="AA314" s="52"/>
      <c r="AE314" s="57"/>
      <c r="AH314" s="52"/>
      <c r="AJ314" s="119"/>
    </row>
    <row r="315" spans="1:76" ht="11.25" customHeight="1">
      <c r="A315" s="106"/>
      <c r="B315" s="420"/>
      <c r="C315" s="420"/>
      <c r="D315" s="420"/>
      <c r="E315" s="420"/>
      <c r="F315" s="420"/>
      <c r="G315" s="420"/>
      <c r="H315" s="554"/>
      <c r="I315" s="40"/>
      <c r="J315" s="40"/>
      <c r="K315" s="40"/>
      <c r="L315" s="40"/>
      <c r="M315" s="40"/>
      <c r="N315" s="40"/>
      <c r="O315" s="40"/>
      <c r="P315" s="40"/>
      <c r="Q315" s="40"/>
      <c r="R315" s="40"/>
      <c r="S315" s="40"/>
      <c r="T315" s="40"/>
      <c r="U315" s="40"/>
      <c r="V315" s="119"/>
      <c r="W315" s="114"/>
      <c r="Z315" s="52"/>
      <c r="AA315" s="52"/>
      <c r="AE315" s="57"/>
      <c r="AH315" s="52"/>
      <c r="AJ315" s="119"/>
    </row>
    <row r="316" spans="1:76" ht="11.25" customHeight="1">
      <c r="A316" s="106"/>
      <c r="B316" s="420"/>
      <c r="C316" s="420"/>
      <c r="D316" s="420"/>
      <c r="E316" s="420"/>
      <c r="F316" s="420"/>
      <c r="G316" s="420"/>
      <c r="H316" s="554"/>
      <c r="I316" s="40"/>
      <c r="J316" s="40"/>
      <c r="K316" s="40"/>
      <c r="L316" s="40"/>
      <c r="M316" s="40"/>
      <c r="N316" s="40"/>
      <c r="O316" s="40"/>
      <c r="P316" s="40"/>
      <c r="Q316" s="40"/>
      <c r="R316" s="40"/>
      <c r="S316" s="40"/>
      <c r="T316" s="40"/>
      <c r="U316" s="40"/>
      <c r="V316" s="119"/>
      <c r="W316" s="114"/>
      <c r="AE316" s="57"/>
      <c r="AH316" s="52"/>
      <c r="AJ316" s="119"/>
    </row>
    <row r="317" spans="1:76" ht="11.25" customHeight="1">
      <c r="A317" s="106"/>
      <c r="B317" s="420"/>
      <c r="C317" s="420"/>
      <c r="D317" s="420"/>
      <c r="E317" s="420"/>
      <c r="F317" s="420"/>
      <c r="G317" s="420"/>
      <c r="H317" s="554"/>
      <c r="I317" s="40"/>
      <c r="J317" s="40"/>
      <c r="K317" s="40"/>
      <c r="L317" s="40"/>
      <c r="M317" s="40"/>
      <c r="N317" s="40"/>
      <c r="O317" s="40"/>
      <c r="P317" s="40"/>
      <c r="Q317" s="40"/>
      <c r="R317" s="40"/>
      <c r="S317" s="40"/>
      <c r="T317" s="40"/>
      <c r="U317" s="40"/>
      <c r="V317" s="119"/>
      <c r="W317" s="114"/>
      <c r="AE317" s="57"/>
      <c r="AH317" s="52"/>
      <c r="AJ317" s="119"/>
    </row>
    <row r="318" spans="1:76" ht="11.25" customHeight="1">
      <c r="A318" s="106"/>
      <c r="B318" s="420"/>
      <c r="C318" s="420"/>
      <c r="D318" s="420"/>
      <c r="E318" s="420"/>
      <c r="F318" s="420"/>
      <c r="G318" s="420"/>
      <c r="H318" s="554"/>
      <c r="I318" s="40"/>
      <c r="J318" s="40"/>
      <c r="K318" s="40"/>
      <c r="L318" s="40"/>
      <c r="M318" s="40"/>
      <c r="N318" s="40"/>
      <c r="O318" s="40"/>
      <c r="P318" s="40"/>
      <c r="Q318" s="40"/>
      <c r="R318" s="40"/>
      <c r="S318" s="40"/>
      <c r="T318" s="40"/>
      <c r="U318" s="40"/>
      <c r="V318" s="119"/>
      <c r="W318" s="114"/>
      <c r="AE318" s="57"/>
      <c r="AH318" s="52"/>
      <c r="AJ318" s="119"/>
    </row>
    <row r="319" spans="1:76" ht="11.25" customHeight="1">
      <c r="A319" s="106"/>
      <c r="B319" s="420"/>
      <c r="C319" s="420"/>
      <c r="D319" s="420"/>
      <c r="E319" s="420"/>
      <c r="F319" s="420"/>
      <c r="G319" s="420"/>
      <c r="H319" s="554"/>
      <c r="I319" s="40"/>
      <c r="J319" s="40"/>
      <c r="K319" s="40"/>
      <c r="L319" s="40"/>
      <c r="M319" s="40"/>
      <c r="N319" s="40"/>
      <c r="O319" s="40"/>
      <c r="P319" s="40"/>
      <c r="Q319" s="40"/>
      <c r="R319" s="40"/>
      <c r="S319" s="40"/>
      <c r="T319" s="40"/>
      <c r="U319" s="40"/>
      <c r="V319" s="119"/>
      <c r="W319" s="114"/>
      <c r="AE319" s="57"/>
      <c r="AH319" s="52"/>
      <c r="AJ319" s="119"/>
    </row>
    <row r="320" spans="1:76" ht="11.25" customHeight="1">
      <c r="A320" s="106"/>
      <c r="B320" s="420"/>
      <c r="C320" s="420"/>
      <c r="D320" s="420"/>
      <c r="E320" s="420"/>
      <c r="F320" s="420"/>
      <c r="G320" s="420"/>
      <c r="H320" s="554"/>
      <c r="I320" s="40"/>
      <c r="J320" s="40"/>
      <c r="K320" s="40"/>
      <c r="L320" s="40"/>
      <c r="M320" s="40"/>
      <c r="N320" s="40"/>
      <c r="O320" s="40"/>
      <c r="P320" s="40"/>
      <c r="Q320" s="40"/>
      <c r="R320" s="40"/>
      <c r="S320" s="40"/>
      <c r="T320" s="40"/>
      <c r="U320" s="40"/>
      <c r="V320" s="119"/>
      <c r="W320" s="114"/>
      <c r="AE320" s="57"/>
      <c r="AH320" s="52"/>
      <c r="AJ320" s="119"/>
    </row>
    <row r="321" spans="1:36" ht="11.25" customHeight="1">
      <c r="A321" s="106"/>
      <c r="B321" s="420"/>
      <c r="C321" s="420"/>
      <c r="D321" s="420"/>
      <c r="E321" s="420"/>
      <c r="F321" s="420"/>
      <c r="G321" s="420"/>
      <c r="H321" s="554"/>
      <c r="I321" s="40"/>
      <c r="J321" s="40"/>
      <c r="K321" s="40"/>
      <c r="L321" s="40"/>
      <c r="M321" s="40"/>
      <c r="N321" s="40"/>
      <c r="O321" s="40"/>
      <c r="P321" s="40"/>
      <c r="Q321" s="40"/>
      <c r="R321" s="40"/>
      <c r="S321" s="40"/>
      <c r="T321" s="40"/>
      <c r="U321" s="40"/>
      <c r="V321" s="119"/>
      <c r="W321" s="114"/>
      <c r="AE321" s="57"/>
      <c r="AH321" s="52"/>
      <c r="AJ321" s="119"/>
    </row>
    <row r="322" spans="1:36" ht="11.25" customHeight="1">
      <c r="A322" s="106"/>
      <c r="B322" s="420"/>
      <c r="C322" s="420"/>
      <c r="D322" s="420"/>
      <c r="E322" s="420"/>
      <c r="F322" s="420"/>
      <c r="G322" s="420"/>
      <c r="H322" s="554"/>
      <c r="I322" s="40"/>
      <c r="J322" s="40"/>
      <c r="K322" s="40"/>
      <c r="L322" s="40"/>
      <c r="M322" s="40"/>
      <c r="N322" s="40"/>
      <c r="O322" s="40"/>
      <c r="P322" s="40"/>
      <c r="Q322" s="40"/>
      <c r="R322" s="40"/>
      <c r="S322" s="40"/>
      <c r="T322" s="40"/>
      <c r="U322" s="40"/>
      <c r="V322" s="119"/>
      <c r="W322" s="114"/>
      <c r="AE322" s="57"/>
      <c r="AH322" s="52"/>
      <c r="AJ322" s="119"/>
    </row>
    <row r="323" spans="1:36" ht="11.25" customHeight="1">
      <c r="A323" s="106"/>
      <c r="B323" s="420"/>
      <c r="C323" s="420"/>
      <c r="D323" s="420"/>
      <c r="E323" s="420"/>
      <c r="F323" s="420"/>
      <c r="G323" s="420"/>
      <c r="H323" s="554"/>
      <c r="I323" s="40"/>
      <c r="J323" s="40"/>
      <c r="K323" s="40"/>
      <c r="L323" s="40"/>
      <c r="M323" s="40"/>
      <c r="N323" s="40"/>
      <c r="O323" s="40"/>
      <c r="P323" s="40"/>
      <c r="Q323" s="40"/>
      <c r="R323" s="40"/>
      <c r="S323" s="40"/>
      <c r="T323" s="40"/>
      <c r="U323" s="40"/>
      <c r="V323" s="119"/>
      <c r="W323" s="114"/>
      <c r="AE323" s="57"/>
      <c r="AH323" s="52"/>
      <c r="AJ323" s="119"/>
    </row>
    <row r="324" spans="1:36" ht="11.25" customHeight="1">
      <c r="A324" s="106"/>
      <c r="B324" s="420"/>
      <c r="C324" s="420"/>
      <c r="D324" s="420"/>
      <c r="E324" s="420"/>
      <c r="F324" s="420"/>
      <c r="G324" s="420"/>
      <c r="H324" s="554"/>
      <c r="I324" s="40"/>
      <c r="J324" s="40"/>
      <c r="K324" s="40"/>
      <c r="L324" s="40"/>
      <c r="M324" s="40"/>
      <c r="N324" s="40"/>
      <c r="O324" s="40"/>
      <c r="P324" s="40"/>
      <c r="Q324" s="40"/>
      <c r="R324" s="40"/>
      <c r="S324" s="40"/>
      <c r="T324" s="40"/>
      <c r="U324" s="40"/>
      <c r="V324" s="119"/>
      <c r="W324" s="114"/>
      <c r="AE324" s="57"/>
      <c r="AH324" s="52"/>
      <c r="AJ324" s="119"/>
    </row>
    <row r="325" spans="1:36" ht="11.25" customHeight="1">
      <c r="A325" s="106"/>
      <c r="B325" s="420"/>
      <c r="C325" s="420"/>
      <c r="D325" s="420"/>
      <c r="E325" s="420"/>
      <c r="F325" s="420"/>
      <c r="G325" s="420"/>
      <c r="H325" s="554"/>
      <c r="I325" s="40"/>
      <c r="J325" s="40"/>
      <c r="K325" s="40"/>
      <c r="L325" s="40"/>
      <c r="M325" s="40"/>
      <c r="N325" s="40"/>
      <c r="O325" s="40"/>
      <c r="P325" s="40"/>
      <c r="Q325" s="40"/>
      <c r="R325" s="40"/>
      <c r="S325" s="40"/>
      <c r="T325" s="40"/>
      <c r="U325" s="40"/>
      <c r="V325" s="119"/>
      <c r="W325" s="114"/>
      <c r="AE325" s="57"/>
      <c r="AH325" s="52"/>
      <c r="AJ325" s="119"/>
    </row>
    <row r="326" spans="1:36" ht="11.25" customHeight="1">
      <c r="A326" s="106"/>
      <c r="B326" s="420"/>
      <c r="C326" s="420"/>
      <c r="D326" s="420"/>
      <c r="E326" s="420"/>
      <c r="F326" s="420"/>
      <c r="G326" s="420"/>
      <c r="H326" s="554"/>
      <c r="I326" s="40"/>
      <c r="J326" s="40"/>
      <c r="K326" s="40"/>
      <c r="L326" s="40"/>
      <c r="M326" s="40"/>
      <c r="N326" s="40"/>
      <c r="O326" s="40"/>
      <c r="P326" s="40"/>
      <c r="Q326" s="40"/>
      <c r="R326" s="40"/>
      <c r="S326" s="40"/>
      <c r="T326" s="40"/>
      <c r="U326" s="40"/>
      <c r="V326" s="119"/>
      <c r="W326" s="114"/>
      <c r="AE326" s="57"/>
      <c r="AH326" s="52"/>
      <c r="AJ326" s="119"/>
    </row>
    <row r="327" spans="1:36" ht="11.25" customHeight="1">
      <c r="A327" s="106"/>
      <c r="B327" s="420"/>
      <c r="C327" s="420"/>
      <c r="D327" s="420"/>
      <c r="E327" s="420"/>
      <c r="F327" s="420"/>
      <c r="G327" s="420"/>
      <c r="H327" s="554"/>
      <c r="I327" s="40"/>
      <c r="J327" s="40"/>
      <c r="K327" s="40"/>
      <c r="L327" s="40"/>
      <c r="M327" s="40"/>
      <c r="N327" s="40"/>
      <c r="O327" s="40"/>
      <c r="P327" s="40"/>
      <c r="Q327" s="40"/>
      <c r="R327" s="40"/>
      <c r="S327" s="40"/>
      <c r="T327" s="40"/>
      <c r="U327" s="40"/>
      <c r="V327" s="119"/>
      <c r="W327" s="114"/>
      <c r="AE327" s="57"/>
      <c r="AH327" s="52"/>
      <c r="AJ327" s="119"/>
    </row>
    <row r="328" spans="1:36" ht="11.25" customHeight="1">
      <c r="A328" s="106"/>
      <c r="B328" s="420"/>
      <c r="C328" s="420"/>
      <c r="D328" s="420"/>
      <c r="E328" s="420"/>
      <c r="F328" s="420"/>
      <c r="G328" s="420"/>
      <c r="H328" s="554"/>
      <c r="I328" s="40"/>
      <c r="J328" s="40"/>
      <c r="K328" s="40"/>
      <c r="L328" s="40"/>
      <c r="M328" s="40"/>
      <c r="N328" s="40"/>
      <c r="O328" s="40"/>
      <c r="P328" s="40"/>
      <c r="Q328" s="40"/>
      <c r="R328" s="40"/>
      <c r="S328" s="40"/>
      <c r="T328" s="40"/>
      <c r="U328" s="40"/>
      <c r="V328" s="119"/>
      <c r="W328" s="114"/>
      <c r="AE328" s="57"/>
      <c r="AH328" s="52"/>
      <c r="AJ328" s="119"/>
    </row>
    <row r="329" spans="1:36" ht="11.25" customHeight="1">
      <c r="A329" s="106"/>
      <c r="B329" s="420"/>
      <c r="C329" s="420"/>
      <c r="D329" s="420"/>
      <c r="E329" s="420"/>
      <c r="F329" s="420"/>
      <c r="G329" s="420"/>
      <c r="H329" s="554"/>
      <c r="I329" s="40"/>
      <c r="J329" s="40"/>
      <c r="K329" s="40"/>
      <c r="L329" s="40"/>
      <c r="M329" s="40"/>
      <c r="N329" s="40"/>
      <c r="O329" s="40"/>
      <c r="P329" s="40"/>
      <c r="Q329" s="40"/>
      <c r="R329" s="40"/>
      <c r="S329" s="40"/>
      <c r="T329" s="40"/>
      <c r="U329" s="40"/>
      <c r="V329" s="119"/>
      <c r="W329" s="114"/>
      <c r="AE329" s="57"/>
      <c r="AH329" s="52"/>
      <c r="AJ329" s="119"/>
    </row>
    <row r="330" spans="1:36" ht="11.25" customHeight="1">
      <c r="A330" s="106"/>
      <c r="B330" s="420"/>
      <c r="C330" s="420"/>
      <c r="D330" s="420"/>
      <c r="E330" s="420"/>
      <c r="F330" s="420"/>
      <c r="G330" s="420"/>
      <c r="H330" s="554"/>
      <c r="I330" s="40"/>
      <c r="J330" s="40"/>
      <c r="K330" s="40"/>
      <c r="L330" s="40"/>
      <c r="M330" s="40"/>
      <c r="N330" s="40"/>
      <c r="O330" s="40"/>
      <c r="P330" s="40"/>
      <c r="Q330" s="40"/>
      <c r="R330" s="40"/>
      <c r="S330" s="40"/>
      <c r="T330" s="40"/>
      <c r="U330" s="40"/>
      <c r="V330" s="119"/>
      <c r="W330" s="114"/>
      <c r="AE330" s="57"/>
      <c r="AH330" s="52"/>
      <c r="AJ330" s="119"/>
    </row>
    <row r="331" spans="1:36" ht="11.25" customHeight="1">
      <c r="A331" s="106"/>
      <c r="B331" s="420"/>
      <c r="C331" s="420"/>
      <c r="D331" s="420"/>
      <c r="E331" s="420"/>
      <c r="F331" s="420"/>
      <c r="G331" s="420"/>
      <c r="H331" s="554"/>
      <c r="I331" s="40"/>
      <c r="J331" s="40"/>
      <c r="K331" s="40"/>
      <c r="L331" s="40"/>
      <c r="M331" s="40"/>
      <c r="N331" s="40"/>
      <c r="O331" s="40"/>
      <c r="P331" s="40"/>
      <c r="Q331" s="40"/>
      <c r="R331" s="40"/>
      <c r="S331" s="40"/>
      <c r="T331" s="40"/>
      <c r="U331" s="40"/>
      <c r="V331" s="119"/>
      <c r="W331" s="114"/>
      <c r="AE331" s="57"/>
      <c r="AH331" s="52"/>
      <c r="AJ331" s="119"/>
    </row>
    <row r="332" spans="1:36" ht="11.25" customHeight="1">
      <c r="A332" s="106"/>
      <c r="B332" s="420"/>
      <c r="C332" s="420"/>
      <c r="D332" s="420"/>
      <c r="E332" s="420"/>
      <c r="F332" s="420"/>
      <c r="G332" s="420"/>
      <c r="H332" s="554"/>
      <c r="I332" s="40"/>
      <c r="J332" s="40"/>
      <c r="K332" s="40"/>
      <c r="L332" s="40"/>
      <c r="M332" s="40"/>
      <c r="N332" s="40"/>
      <c r="O332" s="40"/>
      <c r="P332" s="40"/>
      <c r="Q332" s="40"/>
      <c r="R332" s="40"/>
      <c r="S332" s="40"/>
      <c r="T332" s="40"/>
      <c r="U332" s="40"/>
      <c r="V332" s="119"/>
      <c r="W332" s="114"/>
      <c r="AE332" s="57"/>
      <c r="AH332" s="52"/>
      <c r="AJ332" s="119"/>
    </row>
    <row r="333" spans="1:36" ht="11.25" customHeight="1">
      <c r="A333" s="106"/>
      <c r="B333" s="420"/>
      <c r="C333" s="420"/>
      <c r="D333" s="420"/>
      <c r="E333" s="420"/>
      <c r="F333" s="420"/>
      <c r="G333" s="420"/>
      <c r="H333" s="554"/>
      <c r="I333" s="40"/>
      <c r="J333" s="40"/>
      <c r="K333" s="40"/>
      <c r="L333" s="40"/>
      <c r="M333" s="40"/>
      <c r="N333" s="40"/>
      <c r="O333" s="40"/>
      <c r="P333" s="40"/>
      <c r="Q333" s="40"/>
      <c r="R333" s="40"/>
      <c r="S333" s="40"/>
      <c r="T333" s="40"/>
      <c r="U333" s="40"/>
      <c r="V333" s="119"/>
      <c r="W333" s="114"/>
      <c r="AE333" s="57"/>
      <c r="AH333" s="52"/>
      <c r="AJ333" s="119"/>
    </row>
    <row r="334" spans="1:36" ht="11.25" customHeight="1">
      <c r="A334" s="106"/>
      <c r="B334" s="420"/>
      <c r="C334" s="420"/>
      <c r="D334" s="420"/>
      <c r="E334" s="420"/>
      <c r="F334" s="420"/>
      <c r="G334" s="420"/>
      <c r="H334" s="554"/>
      <c r="I334" s="40"/>
      <c r="J334" s="40"/>
      <c r="K334" s="40"/>
      <c r="L334" s="40"/>
      <c r="M334" s="40"/>
      <c r="N334" s="40"/>
      <c r="O334" s="40"/>
      <c r="P334" s="40"/>
      <c r="Q334" s="40"/>
      <c r="R334" s="40"/>
      <c r="S334" s="40"/>
      <c r="T334" s="40"/>
      <c r="U334" s="40"/>
      <c r="V334" s="119"/>
      <c r="W334" s="114"/>
      <c r="AE334" s="57"/>
      <c r="AH334" s="52"/>
      <c r="AJ334" s="119"/>
    </row>
    <row r="335" spans="1:36" ht="11.25" customHeight="1">
      <c r="A335" s="106"/>
      <c r="B335" s="420"/>
      <c r="C335" s="420"/>
      <c r="D335" s="420"/>
      <c r="E335" s="420"/>
      <c r="F335" s="420"/>
      <c r="G335" s="420"/>
      <c r="H335" s="554"/>
      <c r="I335" s="40"/>
      <c r="J335" s="40"/>
      <c r="K335" s="40"/>
      <c r="L335" s="40"/>
      <c r="M335" s="40"/>
      <c r="N335" s="40"/>
      <c r="O335" s="40"/>
      <c r="P335" s="40"/>
      <c r="Q335" s="40"/>
      <c r="R335" s="40"/>
      <c r="S335" s="40"/>
      <c r="T335" s="40"/>
      <c r="U335" s="40"/>
      <c r="V335" s="119"/>
      <c r="W335" s="114"/>
      <c r="AE335" s="57"/>
      <c r="AH335" s="52"/>
      <c r="AJ335" s="119"/>
    </row>
    <row r="336" spans="1:36" ht="11.25" customHeight="1">
      <c r="A336" s="106"/>
      <c r="B336" s="420"/>
      <c r="C336" s="420"/>
      <c r="D336" s="420"/>
      <c r="E336" s="420"/>
      <c r="F336" s="420"/>
      <c r="G336" s="420"/>
      <c r="H336" s="554"/>
      <c r="I336" s="40"/>
      <c r="J336" s="40"/>
      <c r="K336" s="40"/>
      <c r="L336" s="40"/>
      <c r="M336" s="40"/>
      <c r="N336" s="40"/>
      <c r="O336" s="40"/>
      <c r="P336" s="40"/>
      <c r="Q336" s="40"/>
      <c r="R336" s="40"/>
      <c r="S336" s="40"/>
      <c r="T336" s="40"/>
      <c r="U336" s="40"/>
      <c r="V336" s="119"/>
      <c r="W336" s="138"/>
      <c r="AE336" s="57"/>
      <c r="AH336" s="52"/>
      <c r="AJ336" s="119"/>
    </row>
    <row r="337" spans="1:76" ht="11.25" customHeight="1">
      <c r="A337" s="106"/>
      <c r="B337" s="420"/>
      <c r="C337" s="420"/>
      <c r="D337" s="420"/>
      <c r="E337" s="420"/>
      <c r="F337" s="420"/>
      <c r="G337" s="420"/>
      <c r="H337" s="554"/>
      <c r="I337" s="40"/>
      <c r="J337" s="40"/>
      <c r="K337" s="40"/>
      <c r="L337" s="40"/>
      <c r="M337" s="40"/>
      <c r="N337" s="40"/>
      <c r="O337" s="40"/>
      <c r="P337" s="40"/>
      <c r="Q337" s="40"/>
      <c r="R337" s="40"/>
      <c r="S337" s="40"/>
      <c r="T337" s="40"/>
      <c r="U337" s="40"/>
      <c r="V337" s="119"/>
      <c r="W337" s="114"/>
      <c r="AE337" s="57"/>
      <c r="AH337" s="52"/>
      <c r="AJ337" s="119"/>
    </row>
    <row r="338" spans="1:76" ht="11.25" customHeight="1">
      <c r="A338" s="106"/>
      <c r="B338" s="420"/>
      <c r="C338" s="420"/>
      <c r="D338" s="420"/>
      <c r="E338" s="420"/>
      <c r="F338" s="420"/>
      <c r="G338" s="420"/>
      <c r="H338" s="554"/>
      <c r="I338" s="40"/>
      <c r="J338" s="40"/>
      <c r="K338" s="40"/>
      <c r="L338" s="40"/>
      <c r="M338" s="40"/>
      <c r="N338" s="40"/>
      <c r="O338" s="40"/>
      <c r="P338" s="40"/>
      <c r="Q338" s="40"/>
      <c r="R338" s="40"/>
      <c r="S338" s="40"/>
      <c r="T338" s="40"/>
      <c r="U338" s="40"/>
      <c r="V338" s="119"/>
      <c r="W338" s="114"/>
      <c r="AE338" s="57"/>
      <c r="AH338" s="52"/>
      <c r="AJ338" s="119"/>
    </row>
    <row r="339" spans="1:76" ht="11.25" customHeight="1">
      <c r="A339" s="106"/>
      <c r="B339" s="420"/>
      <c r="C339" s="420"/>
      <c r="D339" s="420"/>
      <c r="E339" s="420"/>
      <c r="F339" s="420"/>
      <c r="G339" s="420"/>
      <c r="H339" s="554"/>
      <c r="I339" s="40"/>
      <c r="J339" s="40"/>
      <c r="K339" s="40"/>
      <c r="L339" s="40"/>
      <c r="M339" s="40"/>
      <c r="N339" s="40"/>
      <c r="O339" s="40"/>
      <c r="P339" s="40"/>
      <c r="Q339" s="40"/>
      <c r="R339" s="40"/>
      <c r="S339" s="40"/>
      <c r="T339" s="40"/>
      <c r="U339" s="40"/>
      <c r="V339" s="119"/>
      <c r="W339" s="114"/>
      <c r="AE339" s="57"/>
      <c r="AH339" s="52"/>
      <c r="AJ339" s="119"/>
    </row>
    <row r="340" spans="1:76" ht="11.25" customHeight="1">
      <c r="A340" s="106"/>
      <c r="B340" s="420"/>
      <c r="C340" s="420"/>
      <c r="D340" s="420"/>
      <c r="E340" s="420"/>
      <c r="F340" s="420"/>
      <c r="G340" s="420"/>
      <c r="H340" s="554"/>
      <c r="I340" s="40"/>
      <c r="J340" s="40"/>
      <c r="K340" s="40"/>
      <c r="L340" s="40"/>
      <c r="M340" s="40"/>
      <c r="N340" s="40"/>
      <c r="O340" s="40"/>
      <c r="P340" s="40"/>
      <c r="Q340" s="40"/>
      <c r="R340" s="40"/>
      <c r="S340" s="40"/>
      <c r="T340" s="40"/>
      <c r="U340" s="40"/>
      <c r="V340" s="119"/>
      <c r="W340" s="114"/>
      <c r="AE340" s="57"/>
      <c r="AH340" s="52"/>
      <c r="AJ340" s="119"/>
    </row>
    <row r="341" spans="1:76" ht="11.25" customHeight="1">
      <c r="A341" s="711"/>
      <c r="B341" s="712"/>
      <c r="C341" s="713"/>
      <c r="D341" s="713"/>
      <c r="E341" s="713"/>
      <c r="F341" s="152"/>
      <c r="G341" s="152"/>
      <c r="H341" s="714"/>
      <c r="I341" s="152"/>
      <c r="J341" s="152"/>
      <c r="K341" s="152"/>
      <c r="L341" s="152"/>
      <c r="M341" s="152"/>
      <c r="N341" s="152"/>
      <c r="O341" s="152"/>
      <c r="P341" s="152"/>
      <c r="Q341" s="152"/>
      <c r="R341" s="152"/>
      <c r="S341" s="859"/>
      <c r="T341" s="151"/>
      <c r="U341" s="151"/>
      <c r="V341" s="865"/>
      <c r="W341" s="1232"/>
      <c r="AE341" s="57"/>
      <c r="AH341" s="52"/>
      <c r="AJ341" s="1333"/>
    </row>
    <row r="342" spans="1:76" s="55" customFormat="1" ht="11.25" customHeight="1">
      <c r="A342" s="52"/>
      <c r="B342" s="52"/>
      <c r="C342" s="52"/>
      <c r="D342" s="52"/>
      <c r="E342" s="52"/>
      <c r="F342" s="52"/>
      <c r="G342" s="52"/>
      <c r="H342" s="52"/>
      <c r="I342" s="52"/>
      <c r="J342" s="52"/>
      <c r="K342" s="52"/>
      <c r="L342" s="52"/>
      <c r="M342" s="52"/>
      <c r="N342" s="52"/>
      <c r="O342" s="52"/>
      <c r="P342" s="52"/>
      <c r="Q342" s="52"/>
      <c r="R342" s="52"/>
      <c r="S342" s="52"/>
      <c r="T342" s="52"/>
      <c r="U342" s="52"/>
      <c r="V342" s="52"/>
      <c r="X342" s="56"/>
      <c r="Y342" s="56"/>
      <c r="Z342" s="56"/>
      <c r="AA342" s="56"/>
      <c r="AB342" s="56"/>
      <c r="AC342" s="56"/>
      <c r="AD342" s="56"/>
      <c r="AE342" s="57"/>
      <c r="AF342" s="56"/>
      <c r="AG342" s="56"/>
      <c r="AH342" s="52"/>
      <c r="AI342" s="52"/>
      <c r="AJ342" s="52"/>
      <c r="AK342" s="52"/>
      <c r="AL342" s="52"/>
      <c r="AM342" s="52"/>
      <c r="AN342" s="52"/>
      <c r="AO342" s="52"/>
      <c r="AP342" s="52"/>
      <c r="AQ342" s="52"/>
      <c r="AR342" s="52"/>
      <c r="AS342" s="52"/>
      <c r="AT342" s="52"/>
      <c r="AU342" s="52"/>
      <c r="AV342" s="52"/>
      <c r="AW342" s="52"/>
      <c r="AX342" s="52"/>
      <c r="AY342" s="52"/>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c r="BX342" s="52"/>
    </row>
    <row r="343" spans="1:76" ht="11.25" customHeight="1">
      <c r="J343" s="52"/>
      <c r="V343" s="52"/>
      <c r="AE343" s="57"/>
      <c r="AH343" s="52"/>
    </row>
    <row r="344" spans="1:76" ht="11.25" customHeight="1">
      <c r="J344" s="52"/>
      <c r="V344" s="52"/>
      <c r="AE344" s="57"/>
      <c r="AH344" s="52"/>
    </row>
    <row r="345" spans="1:76" ht="11.25" customHeight="1">
      <c r="J345" s="52"/>
      <c r="V345" s="52"/>
      <c r="AE345" s="57"/>
      <c r="AH345" s="52"/>
    </row>
    <row r="346" spans="1:76" ht="11.25" customHeight="1">
      <c r="J346" s="52"/>
      <c r="V346" s="52"/>
      <c r="AE346" s="57"/>
      <c r="AH346" s="52"/>
    </row>
    <row r="347" spans="1:76" ht="11.25" customHeight="1">
      <c r="J347" s="52"/>
      <c r="V347" s="52"/>
      <c r="AE347" s="57"/>
      <c r="AH347" s="52"/>
    </row>
    <row r="348" spans="1:76" ht="11.25" customHeight="1">
      <c r="J348" s="52"/>
      <c r="V348" s="52"/>
      <c r="AE348" s="57"/>
      <c r="AH348" s="52"/>
    </row>
    <row r="349" spans="1:76" ht="11.25" customHeight="1">
      <c r="J349" s="52"/>
      <c r="V349" s="52"/>
      <c r="AE349" s="57"/>
      <c r="AH349" s="52"/>
    </row>
    <row r="350" spans="1:76" ht="11.25" customHeight="1">
      <c r="J350" s="52"/>
      <c r="V350" s="52"/>
    </row>
    <row r="351" spans="1:76" ht="11.25" customHeight="1">
      <c r="J351" s="52"/>
      <c r="V351" s="52"/>
    </row>
    <row r="352" spans="1:76" ht="11.25" customHeight="1">
      <c r="J352" s="52"/>
      <c r="V352" s="52"/>
    </row>
    <row r="353" spans="10:22" ht="11.25" customHeight="1">
      <c r="J353" s="52"/>
      <c r="V353" s="52"/>
    </row>
    <row r="460" spans="37:37" ht="11.25" customHeight="1">
      <c r="AK460" s="52" t="b">
        <v>1</v>
      </c>
    </row>
  </sheetData>
  <mergeCells count="67">
    <mergeCell ref="M8:M9"/>
    <mergeCell ref="N8:N9"/>
    <mergeCell ref="O8:P9"/>
    <mergeCell ref="F8:F9"/>
    <mergeCell ref="G8:G9"/>
    <mergeCell ref="H8:H9"/>
    <mergeCell ref="K8:K9"/>
    <mergeCell ref="L8:L9"/>
    <mergeCell ref="AD271:AI272"/>
    <mergeCell ref="D298:F298"/>
    <mergeCell ref="G298:H298"/>
    <mergeCell ref="J298:L298"/>
    <mergeCell ref="M298:N298"/>
    <mergeCell ref="B272:H273"/>
    <mergeCell ref="L62:O62"/>
    <mergeCell ref="L61:O61"/>
    <mergeCell ref="A302:U302"/>
    <mergeCell ref="A303:U303"/>
    <mergeCell ref="Y8:Y10"/>
    <mergeCell ref="A67:U67"/>
    <mergeCell ref="B274:B275"/>
    <mergeCell ref="X271:AC272"/>
    <mergeCell ref="A269:U269"/>
    <mergeCell ref="A270:U270"/>
    <mergeCell ref="A34:U34"/>
    <mergeCell ref="A35:U35"/>
    <mergeCell ref="A237:U237"/>
    <mergeCell ref="B241:B242"/>
    <mergeCell ref="D8:D9"/>
    <mergeCell ref="E8:E9"/>
    <mergeCell ref="B206:H207"/>
    <mergeCell ref="A68:U68"/>
    <mergeCell ref="A102:U102"/>
    <mergeCell ref="A103:U103"/>
    <mergeCell ref="A171:U171"/>
    <mergeCell ref="B5:N6"/>
    <mergeCell ref="AW35:BA35"/>
    <mergeCell ref="AR35:AV35"/>
    <mergeCell ref="A135:U135"/>
    <mergeCell ref="A136:U136"/>
    <mergeCell ref="B107:B108"/>
    <mergeCell ref="K7:P7"/>
    <mergeCell ref="D7:H7"/>
    <mergeCell ref="I7:I10"/>
    <mergeCell ref="Q7:Q10"/>
    <mergeCell ref="B7:B10"/>
    <mergeCell ref="O10:P10"/>
    <mergeCell ref="Z8:Z10"/>
    <mergeCell ref="S7:T9"/>
    <mergeCell ref="Q62:T62"/>
    <mergeCell ref="Q61:T61"/>
    <mergeCell ref="B239:H240"/>
    <mergeCell ref="B105:H106"/>
    <mergeCell ref="B173:H174"/>
    <mergeCell ref="BR35:BV35"/>
    <mergeCell ref="BQ34:BQ37"/>
    <mergeCell ref="BL35:BP35"/>
    <mergeCell ref="BG35:BK35"/>
    <mergeCell ref="BB35:BF35"/>
    <mergeCell ref="A236:U236"/>
    <mergeCell ref="B138:I139"/>
    <mergeCell ref="A170:U170"/>
    <mergeCell ref="B140:B141"/>
    <mergeCell ref="B175:B176"/>
    <mergeCell ref="B208:B209"/>
    <mergeCell ref="A203:U203"/>
    <mergeCell ref="A204:U204"/>
  </mergeCells>
  <conditionalFormatting sqref="A1:A303">
    <cfRule type="containsErrors" dxfId="403" priority="42">
      <formula>ISERROR(A1)</formula>
    </cfRule>
  </conditionalFormatting>
  <conditionalFormatting sqref="A11:A31 A109:A127 A142:A162 A177:A195 A210:A228 A243:A261 A276:A294">
    <cfRule type="cellIs" dxfId="402" priority="81" operator="equal">
      <formula>0</formula>
    </cfRule>
  </conditionalFormatting>
  <conditionalFormatting sqref="A35">
    <cfRule type="cellIs" dxfId="401" priority="69" operator="equal">
      <formula>0</formula>
    </cfRule>
  </conditionalFormatting>
  <conditionalFormatting sqref="A68">
    <cfRule type="cellIs" dxfId="400" priority="67" operator="equal">
      <formula>0</formula>
    </cfRule>
  </conditionalFormatting>
  <conditionalFormatting sqref="A103">
    <cfRule type="cellIs" dxfId="399" priority="65" operator="equal">
      <formula>0</formula>
    </cfRule>
  </conditionalFormatting>
  <conditionalFormatting sqref="A136">
    <cfRule type="cellIs" dxfId="398" priority="41" operator="equal">
      <formula>0</formula>
    </cfRule>
  </conditionalFormatting>
  <conditionalFormatting sqref="A171">
    <cfRule type="cellIs" dxfId="397" priority="49" operator="equal">
      <formula>0</formula>
    </cfRule>
  </conditionalFormatting>
  <conditionalFormatting sqref="A204">
    <cfRule type="cellIs" dxfId="396" priority="57" operator="equal">
      <formula>0</formula>
    </cfRule>
  </conditionalFormatting>
  <conditionalFormatting sqref="A237">
    <cfRule type="cellIs" dxfId="395" priority="63" operator="equal">
      <formula>0</formula>
    </cfRule>
  </conditionalFormatting>
  <conditionalFormatting sqref="A270">
    <cfRule type="cellIs" dxfId="394" priority="61" operator="equal">
      <formula>0</formula>
    </cfRule>
  </conditionalFormatting>
  <conditionalFormatting sqref="A303">
    <cfRule type="cellIs" dxfId="393" priority="59" operator="equal">
      <formula>0</formula>
    </cfRule>
  </conditionalFormatting>
  <conditionalFormatting sqref="A354:A1048576">
    <cfRule type="containsErrors" dxfId="392" priority="76">
      <formula>ISERROR(A354)</formula>
    </cfRule>
  </conditionalFormatting>
  <conditionalFormatting sqref="B11:B29 D11:I29 K11:O29 Q11:Q29 B48:C63 B109:B127 B142:B162 B177:B195 B210:B228 D210:H228 B243:B261 D243:H261">
    <cfRule type="expression" dxfId="391" priority="4807">
      <formula>$B11=$Y$4</formula>
    </cfRule>
  </conditionalFormatting>
  <conditionalFormatting sqref="B295 D295:H295">
    <cfRule type="containsErrors" dxfId="390" priority="71">
      <formula>ISERROR(B295)</formula>
    </cfRule>
  </conditionalFormatting>
  <conditionalFormatting sqref="D163:E163">
    <cfRule type="containsErrors" dxfId="389" priority="5">
      <formula>ISERROR(D163)</formula>
    </cfRule>
  </conditionalFormatting>
  <conditionalFormatting sqref="D8:H8">
    <cfRule type="containsErrors" dxfId="388" priority="2">
      <formula>ISERROR(D8)</formula>
    </cfRule>
  </conditionalFormatting>
  <conditionalFormatting sqref="D10:H10">
    <cfRule type="containsErrors" dxfId="387" priority="3">
      <formula>ISERROR(D10)</formula>
    </cfRule>
  </conditionalFormatting>
  <conditionalFormatting sqref="D107:H107">
    <cfRule type="containsErrors" dxfId="386" priority="22">
      <formula>ISERROR(D107)</formula>
    </cfRule>
  </conditionalFormatting>
  <conditionalFormatting sqref="D108:H108">
    <cfRule type="containsErrors" dxfId="385" priority="23">
      <formula>ISERROR(D108)</formula>
    </cfRule>
  </conditionalFormatting>
  <conditionalFormatting sqref="D140:H140">
    <cfRule type="containsErrors" dxfId="384" priority="20">
      <formula>ISERROR(D140)</formula>
    </cfRule>
  </conditionalFormatting>
  <conditionalFormatting sqref="D141:H141">
    <cfRule type="containsErrors" dxfId="383" priority="21">
      <formula>ISERROR(D141)</formula>
    </cfRule>
  </conditionalFormatting>
  <conditionalFormatting sqref="D175:H175">
    <cfRule type="containsErrors" dxfId="382" priority="18">
      <formula>ISERROR(D175)</formula>
    </cfRule>
  </conditionalFormatting>
  <conditionalFormatting sqref="D176:H176">
    <cfRule type="containsErrors" dxfId="381" priority="19">
      <formula>ISERROR(D176)</formula>
    </cfRule>
  </conditionalFormatting>
  <conditionalFormatting sqref="D208:H208">
    <cfRule type="containsErrors" dxfId="380" priority="16">
      <formula>ISERROR(D208)</formula>
    </cfRule>
  </conditionalFormatting>
  <conditionalFormatting sqref="D209:H209">
    <cfRule type="containsErrors" dxfId="379" priority="17">
      <formula>ISERROR(D209)</formula>
    </cfRule>
  </conditionalFormatting>
  <conditionalFormatting sqref="D241:H241">
    <cfRule type="containsErrors" dxfId="378" priority="14">
      <formula>ISERROR(D241)</formula>
    </cfRule>
  </conditionalFormatting>
  <conditionalFormatting sqref="D242:H242">
    <cfRule type="containsErrors" dxfId="377" priority="15">
      <formula>ISERROR(D242)</formula>
    </cfRule>
  </conditionalFormatting>
  <conditionalFormatting sqref="D274:H274">
    <cfRule type="containsErrors" dxfId="376" priority="12">
      <formula>ISERROR(D274)</formula>
    </cfRule>
  </conditionalFormatting>
  <conditionalFormatting sqref="D275:H275">
    <cfRule type="containsErrors" dxfId="375" priority="13">
      <formula>ISERROR(D275)</formula>
    </cfRule>
  </conditionalFormatting>
  <conditionalFormatting sqref="D276:H295 D11:I29 S11:T29 AF11:AG29 D109:H127 D142:H162 D177:H195">
    <cfRule type="containsErrors" dxfId="374" priority="85">
      <formula>ISERROR(D11)</formula>
    </cfRule>
  </conditionalFormatting>
  <conditionalFormatting sqref="D31:I31 K31:O31 B129:H129 B164:H164 B197:H197 B230:H230 B263:H263">
    <cfRule type="containsErrors" dxfId="373" priority="9">
      <formula>ISERROR(B31)</formula>
    </cfRule>
  </conditionalFormatting>
  <conditionalFormatting sqref="K8:O8">
    <cfRule type="containsErrors" dxfId="372" priority="1">
      <formula>ISERROR(K8)</formula>
    </cfRule>
  </conditionalFormatting>
  <conditionalFormatting sqref="K10:O10">
    <cfRule type="containsErrors" dxfId="371" priority="4">
      <formula>ISERROR(K10)</formula>
    </cfRule>
  </conditionalFormatting>
  <conditionalFormatting sqref="P11:P31">
    <cfRule type="containsErrors" dxfId="370" priority="4285">
      <formula>ISERROR(P11)</formula>
    </cfRule>
    <cfRule type="dataBar" priority="4286">
      <dataBar showValue="0">
        <cfvo type="min"/>
        <cfvo type="max"/>
        <color theme="9"/>
      </dataBar>
      <extLst>
        <ext xmlns:x14="http://schemas.microsoft.com/office/spreadsheetml/2009/9/main" uri="{B025F937-C7B1-47D3-B67F-A62EFF666E3E}">
          <x14:id>{50CEE49D-8871-448E-8CDD-B879413DF560}</x14:id>
        </ext>
      </extLst>
    </cfRule>
  </conditionalFormatting>
  <conditionalFormatting sqref="P30:P31">
    <cfRule type="containsErrors" dxfId="369" priority="30">
      <formula>ISERROR(P30)</formula>
    </cfRule>
  </conditionalFormatting>
  <conditionalFormatting sqref="Q11:Q29 B11:B29 K11:O29 B48:C63 B109:B127 B142:B162 B177:B195 B210:B228 D210:H228 B243:B261 D243:H261">
    <cfRule type="containsErrors" dxfId="368" priority="4808">
      <formula>ISERROR(B11)</formula>
    </cfRule>
  </conditionalFormatting>
  <conditionalFormatting sqref="Q11:Q29">
    <cfRule type="containsErrors" dxfId="367" priority="40">
      <formula>ISERROR(Q11)</formula>
    </cfRule>
  </conditionalFormatting>
  <conditionalFormatting sqref="S11:T29 P11:P31 D109:H127 D142:H162 D177:H195 B276:B294 D276:H294">
    <cfRule type="expression" dxfId="366" priority="4831">
      <formula>$B11=$Y$4</formula>
    </cfRule>
  </conditionalFormatting>
  <conditionalFormatting sqref="T30">
    <cfRule type="containsErrors" dxfId="365" priority="25">
      <formula>ISERROR(T30)</formula>
    </cfRule>
  </conditionalFormatting>
  <conditionalFormatting sqref="T31">
    <cfRule type="containsErrors" dxfId="364" priority="24">
      <formula>ISERROR(T31)</formula>
    </cfRule>
  </conditionalFormatting>
  <conditionalFormatting sqref="X2:AC3">
    <cfRule type="containsErrors" dxfId="363" priority="7">
      <formula>ISERROR(X2)</formula>
    </cfRule>
  </conditionalFormatting>
  <conditionalFormatting sqref="AA10:AE10">
    <cfRule type="cellIs" dxfId="362" priority="11" stopIfTrue="1" operator="equal">
      <formula>0</formula>
    </cfRule>
  </conditionalFormatting>
  <conditionalFormatting sqref="AF11:AG22 AG12:AG23">
    <cfRule type="expression" dxfId="361" priority="74">
      <formula>$B11=$W$4</formula>
    </cfRule>
  </conditionalFormatting>
  <conditionalFormatting sqref="AG24">
    <cfRule type="expression" dxfId="360" priority="4283">
      <formula>#REF!=$W$4</formula>
    </cfRule>
  </conditionalFormatting>
  <conditionalFormatting sqref="AG25:AG27">
    <cfRule type="expression" dxfId="359" priority="4134">
      <formula>$B24=$W$4</formula>
    </cfRule>
  </conditionalFormatting>
  <conditionalFormatting sqref="AG28">
    <cfRule type="expression" dxfId="358" priority="2057">
      <formula>#REF!=$W$4</formula>
    </cfRule>
  </conditionalFormatting>
  <conditionalFormatting sqref="AG29">
    <cfRule type="expression" dxfId="357" priority="2056">
      <formula>$B26=$W$4</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6" manualBreakCount="6">
    <brk id="35" max="21" man="1"/>
    <brk id="68" max="21" man="1"/>
    <brk id="136" max="20" man="1"/>
    <brk id="204" max="21" man="1"/>
    <brk id="237" max="21" man="1"/>
    <brk id="270" max="20" man="1"/>
  </rowBreaks>
  <ignoredErrors>
    <ignoredError sqref="A276:A288 A243:A255 A210:A222 A11 A225:A228 A258:A261 A291:A294 A223:A224 A256:A257 A289:A29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99329" r:id="rId4" name="Check Box 1">
              <controlPr defaultSize="0" autoFill="0" autoLine="0" autoPict="0" macro="[0]!CheckBox1_Click" altText="">
                <anchor>
                  <from>
                    <xdr:col>22</xdr:col>
                    <xdr:colOff>95250</xdr:colOff>
                    <xdr:row>36</xdr:row>
                    <xdr:rowOff>19050</xdr:rowOff>
                  </from>
                  <to>
                    <xdr:col>35</xdr:col>
                    <xdr:colOff>66675</xdr:colOff>
                    <xdr:row>38</xdr:row>
                    <xdr:rowOff>19050</xdr:rowOff>
                  </to>
                </anchor>
              </controlPr>
            </control>
          </mc:Choice>
        </mc:AlternateContent>
        <mc:AlternateContent xmlns:mc="http://schemas.openxmlformats.org/markup-compatibility/2006">
          <mc:Choice Requires="x14">
            <control shapeId="99330" r:id="rId5" name="Check Box 2">
              <controlPr defaultSize="0" autoFill="0" autoLine="0" autoPict="0" macro="[0]!CheckBox1_Click" altText="">
                <anchor>
                  <from>
                    <xdr:col>22</xdr:col>
                    <xdr:colOff>95250</xdr:colOff>
                    <xdr:row>37</xdr:row>
                    <xdr:rowOff>152400</xdr:rowOff>
                  </from>
                  <to>
                    <xdr:col>35</xdr:col>
                    <xdr:colOff>66675</xdr:colOff>
                    <xdr:row>39</xdr:row>
                    <xdr:rowOff>19050</xdr:rowOff>
                  </to>
                </anchor>
              </controlPr>
            </control>
          </mc:Choice>
        </mc:AlternateContent>
        <mc:AlternateContent xmlns:mc="http://schemas.openxmlformats.org/markup-compatibility/2006">
          <mc:Choice Requires="x14">
            <control shapeId="99331" r:id="rId6" name="Check Box 3">
              <controlPr defaultSize="0" autoFill="0" autoLine="0" autoPict="0" macro="[0]!CheckBox1_Click" altText="">
                <anchor>
                  <from>
                    <xdr:col>22</xdr:col>
                    <xdr:colOff>95250</xdr:colOff>
                    <xdr:row>38</xdr:row>
                    <xdr:rowOff>152400</xdr:rowOff>
                  </from>
                  <to>
                    <xdr:col>35</xdr:col>
                    <xdr:colOff>66675</xdr:colOff>
                    <xdr:row>40</xdr:row>
                    <xdr:rowOff>19050</xdr:rowOff>
                  </to>
                </anchor>
              </controlPr>
            </control>
          </mc:Choice>
        </mc:AlternateContent>
        <mc:AlternateContent xmlns:mc="http://schemas.openxmlformats.org/markup-compatibility/2006">
          <mc:Choice Requires="x14">
            <control shapeId="99332" r:id="rId7" name="Check Box 4">
              <controlPr defaultSize="0" autoFill="0" autoLine="0" autoPict="0" macro="[0]!CheckBox1_Click" altText="">
                <anchor>
                  <from>
                    <xdr:col>22</xdr:col>
                    <xdr:colOff>95250</xdr:colOff>
                    <xdr:row>39</xdr:row>
                    <xdr:rowOff>152400</xdr:rowOff>
                  </from>
                  <to>
                    <xdr:col>35</xdr:col>
                    <xdr:colOff>66675</xdr:colOff>
                    <xdr:row>41</xdr:row>
                    <xdr:rowOff>19050</xdr:rowOff>
                  </to>
                </anchor>
              </controlPr>
            </control>
          </mc:Choice>
        </mc:AlternateContent>
        <mc:AlternateContent xmlns:mc="http://schemas.openxmlformats.org/markup-compatibility/2006">
          <mc:Choice Requires="x14">
            <control shapeId="99333" r:id="rId8" name="Check Box 5">
              <controlPr defaultSize="0" autoFill="0" autoLine="0" autoPict="0" macro="[0]!CheckBox1_Click" altText="">
                <anchor>
                  <from>
                    <xdr:col>22</xdr:col>
                    <xdr:colOff>95250</xdr:colOff>
                    <xdr:row>40</xdr:row>
                    <xdr:rowOff>152400</xdr:rowOff>
                  </from>
                  <to>
                    <xdr:col>35</xdr:col>
                    <xdr:colOff>66675</xdr:colOff>
                    <xdr:row>42</xdr:row>
                    <xdr:rowOff>19050</xdr:rowOff>
                  </to>
                </anchor>
              </controlPr>
            </control>
          </mc:Choice>
        </mc:AlternateContent>
        <mc:AlternateContent xmlns:mc="http://schemas.openxmlformats.org/markup-compatibility/2006">
          <mc:Choice Requires="x14">
            <control shapeId="99334" r:id="rId9" name="Check Box 6">
              <controlPr defaultSize="0" autoFill="0" autoLine="0" autoPict="0" macro="[0]!CheckBox1_Click" altText="">
                <anchor>
                  <from>
                    <xdr:col>22</xdr:col>
                    <xdr:colOff>95250</xdr:colOff>
                    <xdr:row>41</xdr:row>
                    <xdr:rowOff>152400</xdr:rowOff>
                  </from>
                  <to>
                    <xdr:col>35</xdr:col>
                    <xdr:colOff>66675</xdr:colOff>
                    <xdr:row>43</xdr:row>
                    <xdr:rowOff>19050</xdr:rowOff>
                  </to>
                </anchor>
              </controlPr>
            </control>
          </mc:Choice>
        </mc:AlternateContent>
        <mc:AlternateContent xmlns:mc="http://schemas.openxmlformats.org/markup-compatibility/2006">
          <mc:Choice Requires="x14">
            <control shapeId="99335" r:id="rId10" name="Check Box 7">
              <controlPr defaultSize="0" autoFill="0" autoLine="0" autoPict="0" macro="[0]!CheckBox1_Click" altText="">
                <anchor>
                  <from>
                    <xdr:col>22</xdr:col>
                    <xdr:colOff>95250</xdr:colOff>
                    <xdr:row>42</xdr:row>
                    <xdr:rowOff>152400</xdr:rowOff>
                  </from>
                  <to>
                    <xdr:col>35</xdr:col>
                    <xdr:colOff>66675</xdr:colOff>
                    <xdr:row>44</xdr:row>
                    <xdr:rowOff>19050</xdr:rowOff>
                  </to>
                </anchor>
              </controlPr>
            </control>
          </mc:Choice>
        </mc:AlternateContent>
        <mc:AlternateContent xmlns:mc="http://schemas.openxmlformats.org/markup-compatibility/2006">
          <mc:Choice Requires="x14">
            <control shapeId="99336" r:id="rId11" name="Check Box 8">
              <controlPr defaultSize="0" autoFill="0" autoLine="0" autoPict="0" macro="[0]!CheckBox1_Click" altText="">
                <anchor>
                  <from>
                    <xdr:col>22</xdr:col>
                    <xdr:colOff>95250</xdr:colOff>
                    <xdr:row>43</xdr:row>
                    <xdr:rowOff>152400</xdr:rowOff>
                  </from>
                  <to>
                    <xdr:col>35</xdr:col>
                    <xdr:colOff>66675</xdr:colOff>
                    <xdr:row>45</xdr:row>
                    <xdr:rowOff>19050</xdr:rowOff>
                  </to>
                </anchor>
              </controlPr>
            </control>
          </mc:Choice>
        </mc:AlternateContent>
        <mc:AlternateContent xmlns:mc="http://schemas.openxmlformats.org/markup-compatibility/2006">
          <mc:Choice Requires="x14">
            <control shapeId="99337" r:id="rId12" name="Check Box 9">
              <controlPr defaultSize="0" autoFill="0" autoLine="0" autoPict="0" macro="[0]!CheckBox1_Click" altText="">
                <anchor>
                  <from>
                    <xdr:col>22</xdr:col>
                    <xdr:colOff>95250</xdr:colOff>
                    <xdr:row>44</xdr:row>
                    <xdr:rowOff>152400</xdr:rowOff>
                  </from>
                  <to>
                    <xdr:col>35</xdr:col>
                    <xdr:colOff>66675</xdr:colOff>
                    <xdr:row>46</xdr:row>
                    <xdr:rowOff>19050</xdr:rowOff>
                  </to>
                </anchor>
              </controlPr>
            </control>
          </mc:Choice>
        </mc:AlternateContent>
        <mc:AlternateContent xmlns:mc="http://schemas.openxmlformats.org/markup-compatibility/2006">
          <mc:Choice Requires="x14">
            <control shapeId="99338" r:id="rId13" name="Check Box 10">
              <controlPr defaultSize="0" autoFill="0" autoLine="0" autoPict="0" macro="[0]!CheckBox1_Click" altText="">
                <anchor>
                  <from>
                    <xdr:col>22</xdr:col>
                    <xdr:colOff>95250</xdr:colOff>
                    <xdr:row>45</xdr:row>
                    <xdr:rowOff>152400</xdr:rowOff>
                  </from>
                  <to>
                    <xdr:col>35</xdr:col>
                    <xdr:colOff>66675</xdr:colOff>
                    <xdr:row>47</xdr:row>
                    <xdr:rowOff>19050</xdr:rowOff>
                  </to>
                </anchor>
              </controlPr>
            </control>
          </mc:Choice>
        </mc:AlternateContent>
        <mc:AlternateContent xmlns:mc="http://schemas.openxmlformats.org/markup-compatibility/2006">
          <mc:Choice Requires="x14">
            <control shapeId="99339" r:id="rId14" name="Check Box 11">
              <controlPr defaultSize="0" autoFill="0" autoLine="0" autoPict="0" macro="[0]!CheckBox1_Click" altText="">
                <anchor>
                  <from>
                    <xdr:col>22</xdr:col>
                    <xdr:colOff>95250</xdr:colOff>
                    <xdr:row>46</xdr:row>
                    <xdr:rowOff>152400</xdr:rowOff>
                  </from>
                  <to>
                    <xdr:col>35</xdr:col>
                    <xdr:colOff>66675</xdr:colOff>
                    <xdr:row>48</xdr:row>
                    <xdr:rowOff>19050</xdr:rowOff>
                  </to>
                </anchor>
              </controlPr>
            </control>
          </mc:Choice>
        </mc:AlternateContent>
        <mc:AlternateContent xmlns:mc="http://schemas.openxmlformats.org/markup-compatibility/2006">
          <mc:Choice Requires="x14">
            <control shapeId="99340" r:id="rId15" name="Check Box 12">
              <controlPr defaultSize="0" autoFill="0" autoLine="0" autoPict="0" macro="[0]!CheckBox1_Click" altText="">
                <anchor>
                  <from>
                    <xdr:col>22</xdr:col>
                    <xdr:colOff>95250</xdr:colOff>
                    <xdr:row>47</xdr:row>
                    <xdr:rowOff>152400</xdr:rowOff>
                  </from>
                  <to>
                    <xdr:col>35</xdr:col>
                    <xdr:colOff>66675</xdr:colOff>
                    <xdr:row>49</xdr:row>
                    <xdr:rowOff>19050</xdr:rowOff>
                  </to>
                </anchor>
              </controlPr>
            </control>
          </mc:Choice>
        </mc:AlternateContent>
        <mc:AlternateContent xmlns:mc="http://schemas.openxmlformats.org/markup-compatibility/2006">
          <mc:Choice Requires="x14">
            <control shapeId="99341" r:id="rId16" name="Check Box 13">
              <controlPr defaultSize="0" autoFill="0" autoLine="0" autoPict="0" macro="[0]!CheckBox1_Click" altText="">
                <anchor>
                  <from>
                    <xdr:col>22</xdr:col>
                    <xdr:colOff>95250</xdr:colOff>
                    <xdr:row>48</xdr:row>
                    <xdr:rowOff>152400</xdr:rowOff>
                  </from>
                  <to>
                    <xdr:col>35</xdr:col>
                    <xdr:colOff>66675</xdr:colOff>
                    <xdr:row>50</xdr:row>
                    <xdr:rowOff>19050</xdr:rowOff>
                  </to>
                </anchor>
              </controlPr>
            </control>
          </mc:Choice>
        </mc:AlternateContent>
        <mc:AlternateContent xmlns:mc="http://schemas.openxmlformats.org/markup-compatibility/2006">
          <mc:Choice Requires="x14">
            <control shapeId="99343" r:id="rId17" name="Check Box 15">
              <controlPr defaultSize="0" autoFill="0" autoLine="0" autoPict="0" macro="[0]!CheckBox1_Click" altText="">
                <anchor>
                  <from>
                    <xdr:col>22</xdr:col>
                    <xdr:colOff>95250</xdr:colOff>
                    <xdr:row>49</xdr:row>
                    <xdr:rowOff>152400</xdr:rowOff>
                  </from>
                  <to>
                    <xdr:col>35</xdr:col>
                    <xdr:colOff>66675</xdr:colOff>
                    <xdr:row>51</xdr:row>
                    <xdr:rowOff>19050</xdr:rowOff>
                  </to>
                </anchor>
              </controlPr>
            </control>
          </mc:Choice>
        </mc:AlternateContent>
        <mc:AlternateContent xmlns:mc="http://schemas.openxmlformats.org/markup-compatibility/2006">
          <mc:Choice Requires="x14">
            <control shapeId="99344" r:id="rId18" name="Check Box 16">
              <controlPr defaultSize="0" autoFill="0" autoLine="0" autoPict="0" macro="[0]!CheckBox1_Click" altText="">
                <anchor>
                  <from>
                    <xdr:col>22</xdr:col>
                    <xdr:colOff>95250</xdr:colOff>
                    <xdr:row>50</xdr:row>
                    <xdr:rowOff>152400</xdr:rowOff>
                  </from>
                  <to>
                    <xdr:col>35</xdr:col>
                    <xdr:colOff>66675</xdr:colOff>
                    <xdr:row>52</xdr:row>
                    <xdr:rowOff>19050</xdr:rowOff>
                  </to>
                </anchor>
              </controlPr>
            </control>
          </mc:Choice>
        </mc:AlternateContent>
        <mc:AlternateContent xmlns:mc="http://schemas.openxmlformats.org/markup-compatibility/2006">
          <mc:Choice Requires="x14">
            <control shapeId="99345" r:id="rId19" name="Check Box 17">
              <controlPr defaultSize="0" autoFill="0" autoLine="0" autoPict="0" macro="[0]!CheckBox1_Click" altText="">
                <anchor>
                  <from>
                    <xdr:col>22</xdr:col>
                    <xdr:colOff>95250</xdr:colOff>
                    <xdr:row>51</xdr:row>
                    <xdr:rowOff>161925</xdr:rowOff>
                  </from>
                  <to>
                    <xdr:col>35</xdr:col>
                    <xdr:colOff>66675</xdr:colOff>
                    <xdr:row>53</xdr:row>
                    <xdr:rowOff>28575</xdr:rowOff>
                  </to>
                </anchor>
              </controlPr>
            </control>
          </mc:Choice>
        </mc:AlternateContent>
        <mc:AlternateContent xmlns:mc="http://schemas.openxmlformats.org/markup-compatibility/2006">
          <mc:Choice Requires="x14">
            <control shapeId="99346" r:id="rId20" name="Check Box 18">
              <controlPr defaultSize="0" autoFill="0" autoLine="0" autoPict="0" macro="[0]!CheckBox1_Click" altText="">
                <anchor>
                  <from>
                    <xdr:col>22</xdr:col>
                    <xdr:colOff>95250</xdr:colOff>
                    <xdr:row>52</xdr:row>
                    <xdr:rowOff>161925</xdr:rowOff>
                  </from>
                  <to>
                    <xdr:col>35</xdr:col>
                    <xdr:colOff>66675</xdr:colOff>
                    <xdr:row>54</xdr:row>
                    <xdr:rowOff>28575</xdr:rowOff>
                  </to>
                </anchor>
              </controlPr>
            </control>
          </mc:Choice>
        </mc:AlternateContent>
        <mc:AlternateContent xmlns:mc="http://schemas.openxmlformats.org/markup-compatibility/2006">
          <mc:Choice Requires="x14">
            <control shapeId="99347" r:id="rId21" name="Check Box 19">
              <controlPr defaultSize="0" autoFill="0" autoLine="0" autoPict="0" macro="[0]!CheckBox1_Click" altText="">
                <anchor>
                  <from>
                    <xdr:col>22</xdr:col>
                    <xdr:colOff>95250</xdr:colOff>
                    <xdr:row>53</xdr:row>
                    <xdr:rowOff>161925</xdr:rowOff>
                  </from>
                  <to>
                    <xdr:col>35</xdr:col>
                    <xdr:colOff>66675</xdr:colOff>
                    <xdr:row>55</xdr:row>
                    <xdr:rowOff>28575</xdr:rowOff>
                  </to>
                </anchor>
              </controlPr>
            </control>
          </mc:Choice>
        </mc:AlternateContent>
        <mc:AlternateContent xmlns:mc="http://schemas.openxmlformats.org/markup-compatibility/2006">
          <mc:Choice Requires="x14">
            <control shapeId="99348" r:id="rId22" name="Check Box 20">
              <controlPr defaultSize="0" autoFill="0" autoLine="0" autoPict="0" macro="[0]!CheckBox1_Click" altText="">
                <anchor>
                  <from>
                    <xdr:col>22</xdr:col>
                    <xdr:colOff>95250</xdr:colOff>
                    <xdr:row>54</xdr:row>
                    <xdr:rowOff>161925</xdr:rowOff>
                  </from>
                  <to>
                    <xdr:col>35</xdr:col>
                    <xdr:colOff>66675</xdr:colOff>
                    <xdr:row>56</xdr:row>
                    <xdr:rowOff>28575</xdr:rowOff>
                  </to>
                </anchor>
              </controlPr>
            </control>
          </mc:Choice>
        </mc:AlternateContent>
        <mc:AlternateContent xmlns:mc="http://schemas.openxmlformats.org/markup-compatibility/2006">
          <mc:Choice Requires="x14">
            <control shapeId="99349" r:id="rId23" name="Check Box 21">
              <controlPr defaultSize="0" autoFill="0" autoLine="0" autoPict="0" macro="[0]!CheckBox1_Click" altText="">
                <anchor>
                  <from>
                    <xdr:col>22</xdr:col>
                    <xdr:colOff>95250</xdr:colOff>
                    <xdr:row>55</xdr:row>
                    <xdr:rowOff>161925</xdr:rowOff>
                  </from>
                  <to>
                    <xdr:col>35</xdr:col>
                    <xdr:colOff>66675</xdr:colOff>
                    <xdr:row>57</xdr:row>
                    <xdr:rowOff>28575</xdr:rowOff>
                  </to>
                </anchor>
              </controlPr>
            </control>
          </mc:Choice>
        </mc:AlternateContent>
        <mc:AlternateContent xmlns:mc="http://schemas.openxmlformats.org/markup-compatibility/2006">
          <mc:Choice Requires="x14">
            <control shapeId="99352" r:id="rId24" name="Check Box 24">
              <controlPr defaultSize="0" autoFill="0" autoLine="0" autoPict="0" macro="[0]!CheckBox1_Click" altText="">
                <anchor>
                  <from>
                    <xdr:col>22</xdr:col>
                    <xdr:colOff>95250</xdr:colOff>
                    <xdr:row>56</xdr:row>
                    <xdr:rowOff>161925</xdr:rowOff>
                  </from>
                  <to>
                    <xdr:col>35</xdr:col>
                    <xdr:colOff>66675</xdr:colOff>
                    <xdr:row>58</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50CEE49D-8871-448E-8CDD-B879413DF560}">
            <x14:dataBar minLength="0" maxLength="100" gradient="0" negativeBarColorSameAsPositive="1">
              <x14:cfvo type="autoMin"/>
              <x14:cfvo type="autoMax"/>
              <x14:axisColor rgb="FF000000"/>
            </x14:dataBar>
          </x14:cfRule>
          <xm:sqref>P11:P31</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tabColor rgb="FFFFC000"/>
  </sheetPr>
  <dimension ref="A1:BX365"/>
  <sheetViews>
    <sheetView showGridLines="0" showRowColHeaders="0" workbookViewId="0"/>
  </sheetViews>
  <sheetFormatPr defaultColWidth="9.140625" defaultRowHeight="11.25" customHeight="1"/>
  <cols>
    <col min="1" max="1" width="2" style="52" customWidth="1"/>
    <col min="2" max="2" width="19.42578125" style="52" customWidth="1"/>
    <col min="3" max="3" width="1.140625" style="52" customWidth="1"/>
    <col min="4" max="9" width="7.42578125" style="52" customWidth="1"/>
    <col min="10" max="10" width="1.140625" customWidth="1"/>
    <col min="11" max="14" width="7.42578125" style="52" customWidth="1"/>
    <col min="15" max="15" width="7.28515625" style="52" customWidth="1"/>
    <col min="16" max="16" width="6" style="52" customWidth="1"/>
    <col min="17" max="17" width="6.42578125" style="52" customWidth="1"/>
    <col min="18" max="18" width="1.140625" style="52" customWidth="1"/>
    <col min="19" max="19" width="8.7109375" style="52" customWidth="1"/>
    <col min="20" max="20" width="8.28515625" style="52" customWidth="1"/>
    <col min="21" max="21" width="2" style="52" customWidth="1"/>
    <col min="22" max="22" width="6.42578125" style="55" customWidth="1"/>
    <col min="23" max="23" width="4.85546875" style="55" customWidth="1"/>
    <col min="24" max="24" width="17.85546875" style="56" hidden="1" customWidth="1"/>
    <col min="25" max="25" width="19.42578125" style="56" hidden="1" customWidth="1"/>
    <col min="26" max="26" width="19.85546875" style="56" hidden="1" customWidth="1"/>
    <col min="27" max="28" width="16.5703125" style="56" hidden="1" customWidth="1"/>
    <col min="29" max="30" width="8.5703125" style="56" hidden="1" customWidth="1"/>
    <col min="31" max="31" width="7.85546875" style="56" hidden="1" customWidth="1"/>
    <col min="32" max="32" width="17" style="56" hidden="1" customWidth="1"/>
    <col min="33" max="33" width="5.5703125" style="56" hidden="1" customWidth="1"/>
    <col min="34" max="34" width="4.85546875" style="56" hidden="1" customWidth="1"/>
    <col min="35" max="35" width="5.5703125" style="52" hidden="1" customWidth="1"/>
    <col min="36" max="36" width="31.5703125" style="52" customWidth="1"/>
    <col min="37" max="37" width="17" style="52" hidden="1" customWidth="1"/>
    <col min="38" max="42" width="13.5703125" style="52" hidden="1" customWidth="1"/>
    <col min="43" max="50" width="9.140625" style="52" hidden="1" customWidth="1"/>
    <col min="51" max="66" width="9.140625" style="52" customWidth="1"/>
    <col min="67" max="16384" width="9.140625" style="52"/>
  </cols>
  <sheetData>
    <row r="1" spans="1:49" ht="18.75" customHeight="1" thickBot="1">
      <c r="A1" s="81"/>
      <c r="B1" s="82"/>
      <c r="C1" s="82"/>
      <c r="D1" s="82"/>
      <c r="E1" s="82"/>
      <c r="F1" s="82"/>
      <c r="G1" s="82"/>
      <c r="H1" s="82"/>
      <c r="I1" s="82"/>
      <c r="J1" s="83"/>
      <c r="K1" s="82"/>
      <c r="L1" s="82"/>
      <c r="M1" s="82"/>
      <c r="N1" s="82"/>
      <c r="O1" s="82"/>
      <c r="P1" s="82"/>
      <c r="Q1" s="82"/>
      <c r="R1" s="82"/>
      <c r="S1" s="82"/>
      <c r="T1" s="82"/>
      <c r="U1" s="84"/>
      <c r="V1" s="207"/>
      <c r="W1" s="117"/>
      <c r="X1" s="135"/>
      <c r="Y1" s="534" t="str">
        <f>IF(ReportData!$C$3="Annual"," the year ending 31st March"," the quarter")</f>
        <v xml:space="preserve"> the year ending 31st March</v>
      </c>
      <c r="Z1" s="135"/>
      <c r="AA1" s="135"/>
      <c r="AB1" s="135"/>
      <c r="AC1" s="135"/>
      <c r="AD1" s="135"/>
      <c r="AE1" s="135"/>
      <c r="AF1" s="135"/>
      <c r="AG1" s="135"/>
      <c r="AH1" s="135"/>
      <c r="AI1" s="136"/>
      <c r="AJ1" s="118"/>
    </row>
    <row r="2" spans="1:49" ht="18.75" customHeight="1">
      <c r="A2" s="87"/>
      <c r="B2" s="888" t="s">
        <v>132</v>
      </c>
      <c r="C2" s="5"/>
      <c r="D2" s="5"/>
      <c r="E2" s="5"/>
      <c r="F2" s="5"/>
      <c r="G2" s="5"/>
      <c r="H2" s="5"/>
      <c r="I2" s="5"/>
      <c r="J2" s="1"/>
      <c r="K2" s="5"/>
      <c r="L2" s="5"/>
      <c r="M2" s="5"/>
      <c r="N2" s="5"/>
      <c r="O2" s="5"/>
      <c r="P2" s="5"/>
      <c r="Q2" s="5"/>
      <c r="R2" s="5"/>
      <c r="S2" s="5"/>
      <c r="T2" s="5"/>
      <c r="U2" s="86"/>
      <c r="V2" s="122"/>
      <c r="W2" s="114"/>
      <c r="X2" s="483">
        <f>IF(ReportData!$C$3="Annual",1,4)</f>
        <v>1</v>
      </c>
      <c r="Y2" s="461" t="str">
        <f>IF(ReportData!$C$3="Annual","",ReportData!$D$28)</f>
        <v/>
      </c>
      <c r="Z2" s="462" t="str">
        <f>IF(ReportData!$C$3="Annual","",ReportData!$E$28)</f>
        <v/>
      </c>
      <c r="AA2" s="462" t="str">
        <f>IF(ReportData!$C$3="Annual","",ReportData!$F$28)</f>
        <v/>
      </c>
      <c r="AB2" s="462" t="str">
        <f>IF(ReportData!$C$3="Annual","",ReportData!$G$28)</f>
        <v/>
      </c>
      <c r="AC2" s="463" t="str">
        <f>IF(ReportData!$C$3="Annual","",ReportData!$H$28)</f>
        <v/>
      </c>
      <c r="AJ2" s="119"/>
    </row>
    <row r="3" spans="1:49" ht="18.75" customHeight="1" thickBot="1">
      <c r="A3" s="91"/>
      <c r="B3" s="92"/>
      <c r="C3" s="92"/>
      <c r="D3" s="92"/>
      <c r="E3" s="92"/>
      <c r="F3" s="92"/>
      <c r="G3" s="92"/>
      <c r="H3" s="92"/>
      <c r="I3" s="200"/>
      <c r="J3" s="93"/>
      <c r="K3" s="92"/>
      <c r="L3" s="92"/>
      <c r="M3" s="92"/>
      <c r="N3" s="92"/>
      <c r="O3" s="92"/>
      <c r="P3" s="329"/>
      <c r="Q3" s="92"/>
      <c r="R3" s="92"/>
      <c r="S3" s="200"/>
      <c r="T3" s="92"/>
      <c r="U3" s="94"/>
      <c r="V3" s="122"/>
      <c r="W3" s="114"/>
      <c r="X3" s="464"/>
      <c r="Y3" s="464" t="str">
        <f>ReportData!$D$27</f>
        <v>2019/20</v>
      </c>
      <c r="Z3" s="465" t="str">
        <f>ReportData!$E$27</f>
        <v>2020/21</v>
      </c>
      <c r="AA3" s="465" t="str">
        <f>ReportData!$F$27</f>
        <v>2021/22</v>
      </c>
      <c r="AB3" s="465" t="str">
        <f>ReportData!$G$27</f>
        <v>2022/23</v>
      </c>
      <c r="AC3" s="466" t="str">
        <f>ReportData!$H$27</f>
        <v>2023/24</v>
      </c>
      <c r="AJ3" s="119"/>
      <c r="AQ3" s="52">
        <v>0</v>
      </c>
    </row>
    <row r="4" spans="1:49" ht="11.25" customHeight="1">
      <c r="A4" s="81"/>
      <c r="B4" s="82"/>
      <c r="C4" s="82"/>
      <c r="D4" s="82"/>
      <c r="E4" s="82"/>
      <c r="F4" s="82"/>
      <c r="G4" s="82"/>
      <c r="H4" s="82"/>
      <c r="I4" s="82"/>
      <c r="J4" s="83"/>
      <c r="K4" s="82"/>
      <c r="L4" s="82"/>
      <c r="M4" s="82"/>
      <c r="N4" s="82"/>
      <c r="O4" s="82"/>
      <c r="P4" s="82"/>
      <c r="Q4" s="82"/>
      <c r="R4" s="82"/>
      <c r="S4" s="82"/>
      <c r="T4" s="82"/>
      <c r="U4" s="84"/>
      <c r="V4" s="119"/>
      <c r="W4" s="114"/>
      <c r="X4" s="52"/>
      <c r="Y4" s="140" t="str">
        <f>Home!$D$5</f>
        <v>(none)</v>
      </c>
      <c r="Z4" s="25" t="str">
        <f>"Selected LA- "&amp;Y4</f>
        <v>Selected LA- (none)</v>
      </c>
      <c r="AJ4" s="119"/>
    </row>
    <row r="5" spans="1:49" ht="18.75" customHeight="1">
      <c r="A5" s="87"/>
      <c r="B5" s="1775" t="str">
        <f>"Care Applications to Court during"&amp;Y1&amp;" [SCB29]"</f>
        <v>Care Applications to Court during the year ending 31st March [SCB29]</v>
      </c>
      <c r="C5" s="1776"/>
      <c r="D5" s="1776"/>
      <c r="E5" s="1776"/>
      <c r="F5" s="1776"/>
      <c r="G5" s="1776"/>
      <c r="H5" s="1776"/>
      <c r="I5" s="1776"/>
      <c r="J5" s="1776"/>
      <c r="K5" s="1776"/>
      <c r="L5" s="1776"/>
      <c r="M5" s="1776"/>
      <c r="N5" s="1776"/>
      <c r="O5" s="50"/>
      <c r="P5" s="50"/>
      <c r="Q5" s="50"/>
      <c r="R5" s="50"/>
      <c r="S5" s="50"/>
      <c r="T5" s="50"/>
      <c r="U5" s="86"/>
      <c r="V5" s="119"/>
      <c r="W5" s="114"/>
      <c r="X5" s="52"/>
      <c r="Y5" s="52"/>
      <c r="Z5" s="52"/>
      <c r="AA5" s="52"/>
      <c r="AB5" s="52"/>
      <c r="AC5" s="52"/>
      <c r="AD5" s="52"/>
      <c r="AE5" s="52"/>
      <c r="AF5" s="52"/>
      <c r="AG5" s="52"/>
      <c r="AH5" s="52"/>
      <c r="AJ5" s="119"/>
      <c r="AK5" s="52" t="str">
        <f>CONCATENATE($I$7,"in Number of "&amp;$B5)</f>
        <v>Average Annual Change in Number of Care Applications to Court during the year ending 31st March [SCB29]</v>
      </c>
      <c r="AQ5" s="530" t="s">
        <v>604</v>
      </c>
    </row>
    <row r="6" spans="1:49" ht="18.75" customHeight="1">
      <c r="A6" s="87"/>
      <c r="B6" s="1776"/>
      <c r="C6" s="1776"/>
      <c r="D6" s="1776"/>
      <c r="E6" s="1776"/>
      <c r="F6" s="1776"/>
      <c r="G6" s="1776"/>
      <c r="H6" s="1776"/>
      <c r="I6" s="1776"/>
      <c r="J6" s="1776"/>
      <c r="K6" s="1776"/>
      <c r="L6" s="1776"/>
      <c r="M6" s="1776"/>
      <c r="N6" s="1776"/>
      <c r="O6" s="50"/>
      <c r="P6" s="50"/>
      <c r="Q6" s="50"/>
      <c r="R6" s="50"/>
      <c r="S6" s="50"/>
      <c r="T6" s="50"/>
      <c r="U6" s="86"/>
      <c r="V6" s="119"/>
      <c r="W6" s="114"/>
      <c r="Y6" s="141"/>
      <c r="AJ6" s="119"/>
    </row>
    <row r="7" spans="1:49" s="61" customFormat="1" ht="13.5" customHeight="1">
      <c r="A7" s="88"/>
      <c r="B7" s="1749" t="s">
        <v>177</v>
      </c>
      <c r="C7" s="896"/>
      <c r="D7" s="1777" t="s">
        <v>84</v>
      </c>
      <c r="E7" s="1777"/>
      <c r="F7" s="1777"/>
      <c r="G7" s="1777"/>
      <c r="H7" s="1778"/>
      <c r="I7" s="1761" t="str">
        <f>"Average "&amp;ReportData!C3&amp;" Change "</f>
        <v xml:space="preserve">Average Annual Change </v>
      </c>
      <c r="J7" s="896"/>
      <c r="K7" s="1765" t="s">
        <v>85</v>
      </c>
      <c r="L7" s="1766"/>
      <c r="M7" s="1766"/>
      <c r="N7" s="1766"/>
      <c r="O7" s="1766"/>
      <c r="P7" s="1767"/>
      <c r="Q7" s="1761" t="str">
        <f>IF(ISNA(O8),"Rank "&amp;O10,"Rank "&amp;LEFT(O8,5)&amp;" "&amp;RIGHT(O8,2))</f>
        <v>Rank 2023/ 24</v>
      </c>
      <c r="R7" s="64"/>
      <c r="S7" s="1783" t="str">
        <f>"Distance from "&amp;ReportData!$B$8&amp;" Expected Rate based on IDACI"</f>
        <v>Distance from 2024 Expected Rate based on IDACI</v>
      </c>
      <c r="T7" s="1784"/>
      <c r="U7" s="89"/>
      <c r="V7" s="186"/>
      <c r="W7" s="115"/>
      <c r="AA7" s="153" t="s">
        <v>76</v>
      </c>
      <c r="AB7" s="141"/>
      <c r="AC7" s="141"/>
      <c r="AD7" s="149"/>
      <c r="AE7" s="149"/>
      <c r="AF7" s="154" t="s">
        <v>88</v>
      </c>
      <c r="AG7" s="141"/>
      <c r="AH7" s="141"/>
      <c r="AJ7" s="121"/>
      <c r="AK7" s="350"/>
      <c r="AL7" s="350"/>
      <c r="AM7" s="350"/>
      <c r="AN7" s="350"/>
      <c r="AO7" s="350"/>
      <c r="AP7" s="52"/>
    </row>
    <row r="8" spans="1:49" s="61" customFormat="1" ht="13.5" customHeight="1">
      <c r="A8" s="217"/>
      <c r="B8" s="1749"/>
      <c r="C8" s="896"/>
      <c r="D8" s="1770" t="str">
        <f>ReportData!$D$27</f>
        <v>2019/20</v>
      </c>
      <c r="E8" s="1770" t="str">
        <f>ReportData!$E$27</f>
        <v>2020/21</v>
      </c>
      <c r="F8" s="1770" t="str">
        <f>ReportData!$F$27</f>
        <v>2021/22</v>
      </c>
      <c r="G8" s="1770" t="str">
        <f>ReportData!$G$27</f>
        <v>2022/23</v>
      </c>
      <c r="H8" s="1781" t="str">
        <f>ReportData!$H$27</f>
        <v>2023/24</v>
      </c>
      <c r="I8" s="1762"/>
      <c r="J8" s="896"/>
      <c r="K8" s="1770" t="str">
        <f>ReportData!$D$27</f>
        <v>2019/20</v>
      </c>
      <c r="L8" s="1770" t="str">
        <f>ReportData!$E$27</f>
        <v>2020/21</v>
      </c>
      <c r="M8" s="1770" t="str">
        <f>ReportData!$F$27</f>
        <v>2021/22</v>
      </c>
      <c r="N8" s="1770" t="str">
        <f>ReportData!$G$27</f>
        <v>2022/23</v>
      </c>
      <c r="O8" s="1789" t="str">
        <f>ReportData!$H$27</f>
        <v>2023/24</v>
      </c>
      <c r="P8" s="1790"/>
      <c r="Q8" s="1762"/>
      <c r="R8" s="64"/>
      <c r="S8" s="1785"/>
      <c r="T8" s="1786"/>
      <c r="U8" s="89"/>
      <c r="V8" s="103"/>
      <c r="W8" s="115"/>
      <c r="Y8" s="1772" t="s">
        <v>73</v>
      </c>
      <c r="Z8" s="1772" t="s">
        <v>74</v>
      </c>
      <c r="AA8" s="444" t="str">
        <f>ReportData!$D$27</f>
        <v>2019/20</v>
      </c>
      <c r="AB8" s="444" t="str">
        <f>ReportData!$E$27</f>
        <v>2020/21</v>
      </c>
      <c r="AC8" s="444" t="str">
        <f>ReportData!$F$27</f>
        <v>2021/22</v>
      </c>
      <c r="AD8" s="444" t="str">
        <f>ReportData!$G$27</f>
        <v>2022/23</v>
      </c>
      <c r="AE8" s="444" t="str">
        <f>ReportData!$H$27</f>
        <v>2023/24</v>
      </c>
      <c r="AF8" s="154"/>
      <c r="AG8" s="141"/>
      <c r="AH8" s="141"/>
      <c r="AJ8" s="121"/>
      <c r="AK8" s="109"/>
      <c r="AL8" s="109"/>
      <c r="AM8" s="109"/>
      <c r="AN8" s="109"/>
      <c r="AO8" s="109"/>
    </row>
    <row r="9" spans="1:49" s="61" customFormat="1" ht="9" customHeight="1">
      <c r="A9" s="217"/>
      <c r="B9" s="1749"/>
      <c r="C9" s="896"/>
      <c r="D9" s="1771"/>
      <c r="E9" s="1771"/>
      <c r="F9" s="1771"/>
      <c r="G9" s="1771"/>
      <c r="H9" s="1782"/>
      <c r="I9" s="1762"/>
      <c r="J9" s="896"/>
      <c r="K9" s="1771"/>
      <c r="L9" s="1771"/>
      <c r="M9" s="1771"/>
      <c r="N9" s="1771"/>
      <c r="O9" s="1791"/>
      <c r="P9" s="1792"/>
      <c r="Q9" s="1762"/>
      <c r="R9" s="64"/>
      <c r="S9" s="1787"/>
      <c r="T9" s="1788"/>
      <c r="U9" s="89"/>
      <c r="V9" s="103"/>
      <c r="W9" s="918"/>
      <c r="Y9" s="1773"/>
      <c r="Z9" s="1773"/>
      <c r="AA9" s="444"/>
      <c r="AB9" s="444"/>
      <c r="AC9" s="444"/>
      <c r="AD9" s="444"/>
      <c r="AE9" s="444"/>
      <c r="AF9" s="154"/>
      <c r="AG9" s="141"/>
      <c r="AH9" s="141"/>
      <c r="AJ9" s="121"/>
      <c r="AK9" s="109"/>
      <c r="AL9" s="109"/>
      <c r="AM9" s="109"/>
      <c r="AN9" s="109"/>
      <c r="AO9" s="109"/>
    </row>
    <row r="10" spans="1:49" s="61" customFormat="1" ht="13.5" customHeight="1">
      <c r="A10" s="88"/>
      <c r="B10" s="1764"/>
      <c r="C10" s="896"/>
      <c r="D10" s="897" t="e">
        <f>ReportData!$D$28</f>
        <v>#N/A</v>
      </c>
      <c r="E10" s="897" t="e">
        <f>ReportData!$E$28</f>
        <v>#N/A</v>
      </c>
      <c r="F10" s="897" t="e">
        <f>ReportData!$F$28</f>
        <v>#N/A</v>
      </c>
      <c r="G10" s="897" t="e">
        <f>ReportData!$G$28</f>
        <v>#N/A</v>
      </c>
      <c r="H10" s="920" t="e">
        <f>ReportData!$H$28</f>
        <v>#N/A</v>
      </c>
      <c r="I10" s="1763"/>
      <c r="J10" s="896"/>
      <c r="K10" s="897" t="e">
        <f>ReportData!$D$28</f>
        <v>#N/A</v>
      </c>
      <c r="L10" s="897" t="e">
        <f>ReportData!$E$28</f>
        <v>#N/A</v>
      </c>
      <c r="M10" s="897" t="e">
        <f>ReportData!$F$28</f>
        <v>#N/A</v>
      </c>
      <c r="N10" s="897" t="e">
        <f>ReportData!$G$28</f>
        <v>#N/A</v>
      </c>
      <c r="O10" s="1779" t="e">
        <f>ReportData!$H$28</f>
        <v>#N/A</v>
      </c>
      <c r="P10" s="1780"/>
      <c r="Q10" s="1763"/>
      <c r="R10" s="64"/>
      <c r="S10" s="898" t="s">
        <v>110</v>
      </c>
      <c r="T10" s="899" t="s">
        <v>111</v>
      </c>
      <c r="U10" s="89"/>
      <c r="V10" s="103"/>
      <c r="W10" s="115"/>
      <c r="Y10" s="1774"/>
      <c r="Z10" s="1774"/>
      <c r="AA10" s="444" t="e">
        <f>ReportData!$D$28</f>
        <v>#N/A</v>
      </c>
      <c r="AB10" s="444" t="e">
        <f>ReportData!$E$28</f>
        <v>#N/A</v>
      </c>
      <c r="AC10" s="444" t="e">
        <f>ReportData!$F$28</f>
        <v>#N/A</v>
      </c>
      <c r="AD10" s="444" t="e">
        <f>ReportData!$G$28</f>
        <v>#N/A</v>
      </c>
      <c r="AE10" s="444" t="e">
        <f>ReportData!$H$28</f>
        <v>#N/A</v>
      </c>
      <c r="AF10" s="141"/>
      <c r="AG10" s="141">
        <f>COLUMNS($B$4:O$4)</f>
        <v>14</v>
      </c>
      <c r="AH10" s="141"/>
      <c r="AJ10" s="121"/>
      <c r="AK10" s="479" t="s">
        <v>598</v>
      </c>
      <c r="AL10" s="479" t="s">
        <v>599</v>
      </c>
      <c r="AM10" s="479" t="s">
        <v>600</v>
      </c>
      <c r="AN10" s="479" t="s">
        <v>601</v>
      </c>
      <c r="AO10" s="479" t="s">
        <v>602</v>
      </c>
      <c r="AQ10" s="532" t="s">
        <v>605</v>
      </c>
      <c r="AR10" s="532" t="s">
        <v>606</v>
      </c>
      <c r="AS10" s="532" t="s">
        <v>607</v>
      </c>
      <c r="AT10" s="532" t="s">
        <v>608</v>
      </c>
      <c r="AU10" s="533" t="s">
        <v>609</v>
      </c>
      <c r="AV10" s="533" t="s">
        <v>610</v>
      </c>
      <c r="AW10" s="533" t="s">
        <v>611</v>
      </c>
    </row>
    <row r="11" spans="1:49" s="61" customFormat="1" ht="15.75" customHeight="1">
      <c r="A11" s="1103">
        <f>VLOOKUP(B11,ReportData!$AQ$4:$AR$25,2,FALSE)</f>
        <v>0</v>
      </c>
      <c r="B11" s="885" t="str">
        <f>ReportData!$K$4</f>
        <v>Bracknell Forest</v>
      </c>
      <c r="C11" s="896"/>
      <c r="D11" s="889">
        <f>IF(Year1_Bracknell_Forest Year1_Care_Applications="","",Year1_Bracknell_Forest Year1_Care_Applications)</f>
        <v>29</v>
      </c>
      <c r="E11" s="889">
        <f>IF(Year2_Bracknell_Forest Year2_Care_Applications="","",Year2_Bracknell_Forest Year2_Care_Applications)</f>
        <v>19</v>
      </c>
      <c r="F11" s="889">
        <f>IF(Year3_Bracknell_Forest Year3_Care_Applications="","",Year3_Bracknell_Forest Year3_Care_Applications)</f>
        <v>24</v>
      </c>
      <c r="G11" s="889">
        <f>IF(Year4_Bracknell_Forest Year4_Care_Applications="","",Year4_Bracknell_Forest Year4_Care_Applications)</f>
        <v>21</v>
      </c>
      <c r="H11" s="890">
        <f>IF(Year5_Bracknell_Forest Year5_Care_Applications="","",Year5_Bracknell_Forest Year5_Care_Applications)</f>
        <v>17</v>
      </c>
      <c r="I11" s="900">
        <f>AO11</f>
        <v>-9.9286470486561237E-2</v>
      </c>
      <c r="J11" s="896"/>
      <c r="K11" s="901">
        <f>IF(ISNUMBER(D11),D11/Population!D11*10000,NA())</f>
        <v>10.623488900285734</v>
      </c>
      <c r="L11" s="901">
        <f>IF(ISNUMBER(E11),E11/Population!E11*10000,NA())</f>
        <v>6.8855548307603094</v>
      </c>
      <c r="M11" s="901">
        <f>IF(ISNUMBER(F11),F11/Population!F11*10000,NA())</f>
        <v>8.6259569420982647</v>
      </c>
      <c r="N11" s="901">
        <f>IF(ISNUMBER(G11),G11/Population!G11*10000,NA())</f>
        <v>7.4126367807977411</v>
      </c>
      <c r="O11" s="902">
        <f>IF(ISNUMBER(H11),H11/Population!H11*10000,NA())</f>
        <v>5.9343037665375089</v>
      </c>
      <c r="P11" s="903">
        <f>IF(ISNUMBER(O11),O11,"")</f>
        <v>5.9343037665375089</v>
      </c>
      <c r="Q11" s="904">
        <f>IF(ISNA(VLOOKUP(B11,$AF$11:$AH$29,3,FALSE)),"--",IF(ISNUMBER(H11),VLOOKUP(B11,$AF$11:$AH$29,3,FALSE),NA()))</f>
        <v>5</v>
      </c>
      <c r="R11" s="64"/>
      <c r="S11" s="905">
        <f>((AQ38*$Y$41)+$Z$41)/$X$2</f>
        <v>6.2420385671798284</v>
      </c>
      <c r="T11" s="906">
        <f t="shared" ref="T11:T31" si="0">O11-S11</f>
        <v>-0.30773480064231951</v>
      </c>
      <c r="U11" s="89"/>
      <c r="V11" s="103"/>
      <c r="W11" s="115"/>
      <c r="X11" s="51" t="str">
        <f t="shared" ref="X11:X31" si="1">B11</f>
        <v>Bracknell Forest</v>
      </c>
      <c r="Y11" s="27">
        <f>IF(H11&gt;0,IDACI!D9,0)</f>
        <v>24849</v>
      </c>
      <c r="Z11" s="27">
        <f>IF(H11&gt;0,IDACI!E9,0)</f>
        <v>2211.5610000000001</v>
      </c>
      <c r="AA11" s="155">
        <f>IF(ISNUMBER(D11),Population!D11,"")</f>
        <v>27298</v>
      </c>
      <c r="AB11" s="155">
        <f>IF(ISNUMBER(E11),Population!E11,"")</f>
        <v>27594</v>
      </c>
      <c r="AC11" s="155">
        <f>IF(ISNUMBER(F11),Population!F11,"")</f>
        <v>27823</v>
      </c>
      <c r="AD11" s="155">
        <f>IF(ISNUMBER(G11),Population!G11,"")</f>
        <v>28330</v>
      </c>
      <c r="AE11" s="155">
        <f>IF(ISNUMBER(H11),Population!H11,"")</f>
        <v>28647</v>
      </c>
      <c r="AF11" s="65" t="str">
        <f>B11</f>
        <v>Bracknell Forest</v>
      </c>
      <c r="AG11" s="70">
        <f t="shared" ref="AG11:AG29" si="2">IFERROR(VLOOKUP(AF11,$B$11:$O$29,$AG$10,FALSE),"")</f>
        <v>5.9343037665375089</v>
      </c>
      <c r="AH11" s="156">
        <f t="shared" ref="AH11:AH29" si="3">RANK(AG11,$AG$11:$AG$29,1)</f>
        <v>5</v>
      </c>
      <c r="AJ11" s="121"/>
      <c r="AK11" s="480">
        <f t="shared" ref="AK11:AK29" si="4">IF(ISERROR((E11-D11)/D11),"x",(E11-D11)/D11)</f>
        <v>-0.34482758620689657</v>
      </c>
      <c r="AL11" s="480">
        <f t="shared" ref="AL11:AL29" si="5">IF(ISERROR((F11-E11)/E11),"x",(F11-E11)/E11)</f>
        <v>0.26315789473684209</v>
      </c>
      <c r="AM11" s="480">
        <f t="shared" ref="AM11:AM29" si="6">IF(ISERROR((G11-F11)/F11),"x",(G11-F11)/F11)</f>
        <v>-0.125</v>
      </c>
      <c r="AN11" s="480">
        <f t="shared" ref="AN11:AN29" si="7">IF(ISERROR((H11-G11)/G11),"x",(H11-G11)/G11)</f>
        <v>-0.19047619047619047</v>
      </c>
      <c r="AO11" s="480">
        <f>AVERAGE(AK11:AN11)</f>
        <v>-9.9286470486561237E-2</v>
      </c>
      <c r="AQ11" s="531">
        <f t="shared" ref="AQ11:AQ31" si="8">IF(ISNUMBER(L11),L11,"")</f>
        <v>6.8855548307603094</v>
      </c>
      <c r="AR11" s="531">
        <f t="shared" ref="AR11:AR31" si="9">IF(ISNUMBER(M11),M11,"")</f>
        <v>8.6259569420982647</v>
      </c>
      <c r="AS11" s="531">
        <f t="shared" ref="AS11:AS31" si="10">IF(ISNUMBER(N11),N11,"")</f>
        <v>7.4126367807977411</v>
      </c>
      <c r="AT11" s="531">
        <f t="shared" ref="AT11:AT31" si="11">IF(ISNUMBER(O11),O11,"")</f>
        <v>5.9343037665375089</v>
      </c>
      <c r="AU11" s="531">
        <f t="shared" ref="AU11:AU23" si="12">SUM(AQ11:AT11)</f>
        <v>28.858452320193827</v>
      </c>
      <c r="AV11" s="350">
        <f t="shared" ref="AV11:AV23" si="13">COUNTBLANK(AQ11:AT11)</f>
        <v>0</v>
      </c>
      <c r="AW11" s="531">
        <f>AU11/(4-AV11)*4</f>
        <v>28.858452320193827</v>
      </c>
    </row>
    <row r="12" spans="1:49" s="61" customFormat="1" ht="15.75" customHeight="1">
      <c r="A12" s="1103">
        <f>VLOOKUP(B12,ReportData!$AQ$4:$AR$25,2,FALSE)</f>
        <v>0</v>
      </c>
      <c r="B12" s="885" t="str">
        <f>ReportData!$K$5</f>
        <v>Brighton &amp; Hove</v>
      </c>
      <c r="C12" s="896"/>
      <c r="D12" s="889">
        <f>IF(Year1_Brighton_and_Hove Year1_Care_Applications="","",Year1_Brighton_and_Hove Year1_Care_Applications)</f>
        <v>79</v>
      </c>
      <c r="E12" s="889">
        <f>IF(Year2_Brighton_and_Hove Year2_Care_Applications="","",Year2_Brighton_and_Hove Year2_Care_Applications)</f>
        <v>63</v>
      </c>
      <c r="F12" s="889">
        <f>IF(Year3_Brighton_and_Hove Year3_Care_Applications="","",Year3_Brighton_and_Hove Year3_Care_Applications)</f>
        <v>67</v>
      </c>
      <c r="G12" s="889">
        <f>IF(Year4_Brighton_and_Hove Year4_Care_Applications="","",Year4_Brighton_and_Hove Year4_Care_Applications)</f>
        <v>37</v>
      </c>
      <c r="H12" s="890">
        <f>IF(Year5_Brighton_and_Hove Year5_Care_Applications="","",Year5_Brighton_and_Hove Year5_Care_Applications)</f>
        <v>45</v>
      </c>
      <c r="I12" s="900">
        <f t="shared" ref="I12:I25" si="14">AO12</f>
        <v>-9.2646139972797831E-2</v>
      </c>
      <c r="J12" s="896"/>
      <c r="K12" s="901">
        <f>IF(ISNUMBER(D12),D12/Population!D12*10000,NA())</f>
        <v>16.32163960166935</v>
      </c>
      <c r="L12" s="901">
        <f>IF(ISNUMBER(E12),E12/Population!E12*10000,NA())</f>
        <v>13.134851138353765</v>
      </c>
      <c r="M12" s="901">
        <f>IF(ISNUMBER(F12),F12/Population!F12*10000,NA())</f>
        <v>14.217506631299734</v>
      </c>
      <c r="N12" s="901">
        <f>IF(ISNUMBER(G12),G12/Population!G12*10000,NA())</f>
        <v>7.8489605430632157</v>
      </c>
      <c r="O12" s="902">
        <f>IF(ISNUMBER(H12),H12/Population!H12*10000,NA())</f>
        <v>9.6429948999271424</v>
      </c>
      <c r="P12" s="903">
        <f t="shared" ref="P12:P25" si="15">IF(ISNUMBER(O12),O12,"")</f>
        <v>9.6429948999271424</v>
      </c>
      <c r="Q12" s="904">
        <f t="shared" ref="Q12:Q29" si="16">IF(ISNA(VLOOKUP(B12,$AF$11:$AH$29,3,FALSE)),"--",IF(ISNUMBER(H12),VLOOKUP(B12,$AF$11:$AH$29,3,FALSE),NA()))</f>
        <v>14</v>
      </c>
      <c r="R12" s="64"/>
      <c r="S12" s="905">
        <f t="shared" ref="S12:S31" si="17">((AQ39*$Y$41)+$Z$41)/$X$2</f>
        <v>9.6677091162245308</v>
      </c>
      <c r="T12" s="906">
        <f t="shared" si="0"/>
        <v>-2.4714216297388347E-2</v>
      </c>
      <c r="U12" s="89"/>
      <c r="V12" s="103"/>
      <c r="W12" s="115"/>
      <c r="X12" s="51" t="str">
        <f t="shared" si="1"/>
        <v>Brighton &amp; Hove</v>
      </c>
      <c r="Y12" s="27">
        <f>IF(H12&gt;0,IDACI!D10,0)</f>
        <v>45576</v>
      </c>
      <c r="Z12" s="27">
        <f>IF(H12&gt;0,IDACI!E10,0)</f>
        <v>6973.1279999999997</v>
      </c>
      <c r="AA12" s="155">
        <f>IF(ISNUMBER(D12),Population!D12,"")</f>
        <v>48402</v>
      </c>
      <c r="AB12" s="155">
        <f>IF(ISNUMBER(E12),Population!E12,"")</f>
        <v>47964</v>
      </c>
      <c r="AC12" s="155">
        <f>IF(ISNUMBER(F12),Population!F12,"")</f>
        <v>47125</v>
      </c>
      <c r="AD12" s="155">
        <f>IF(ISNUMBER(G12),Population!G12,"")</f>
        <v>47140</v>
      </c>
      <c r="AE12" s="155">
        <f>IF(ISNUMBER(H12),Population!H12,"")</f>
        <v>46666</v>
      </c>
      <c r="AF12" s="65" t="s">
        <v>28</v>
      </c>
      <c r="AG12" s="70">
        <f t="shared" si="2"/>
        <v>9.6429948999271424</v>
      </c>
      <c r="AH12" s="156">
        <f t="shared" si="3"/>
        <v>14</v>
      </c>
      <c r="AJ12" s="121"/>
      <c r="AK12" s="480">
        <f t="shared" si="4"/>
        <v>-0.20253164556962025</v>
      </c>
      <c r="AL12" s="480">
        <f t="shared" si="5"/>
        <v>6.3492063492063489E-2</v>
      </c>
      <c r="AM12" s="480">
        <f t="shared" si="6"/>
        <v>-0.44776119402985076</v>
      </c>
      <c r="AN12" s="480">
        <f t="shared" si="7"/>
        <v>0.21621621621621623</v>
      </c>
      <c r="AO12" s="480">
        <f t="shared" ref="AO12:AO25" si="18">AVERAGE(AK12:AN12)</f>
        <v>-9.2646139972797831E-2</v>
      </c>
      <c r="AQ12" s="531">
        <f t="shared" si="8"/>
        <v>13.134851138353765</v>
      </c>
      <c r="AR12" s="531">
        <f t="shared" si="9"/>
        <v>14.217506631299734</v>
      </c>
      <c r="AS12" s="531">
        <f t="shared" si="10"/>
        <v>7.8489605430632157</v>
      </c>
      <c r="AT12" s="531">
        <f t="shared" si="11"/>
        <v>9.6429948999271424</v>
      </c>
      <c r="AU12" s="531">
        <f t="shared" si="12"/>
        <v>44.844313212643854</v>
      </c>
      <c r="AV12" s="350">
        <f t="shared" si="13"/>
        <v>0</v>
      </c>
      <c r="AW12" s="531">
        <f t="shared" ref="AW12:AW25" si="19">AU12/(4-AV12)*4</f>
        <v>44.844313212643854</v>
      </c>
    </row>
    <row r="13" spans="1:49" s="61" customFormat="1" ht="15.75" customHeight="1">
      <c r="A13" s="1103">
        <f>VLOOKUP(B13,ReportData!$AQ$4:$AR$25,2,FALSE)</f>
        <v>0</v>
      </c>
      <c r="B13" s="885" t="str">
        <f>ReportData!$K$6</f>
        <v>Buckinghamshire</v>
      </c>
      <c r="C13" s="896"/>
      <c r="D13" s="889">
        <f>IF(Year1_Buckinghamshire Year1_Care_Applications="","",Year1_Buckinghamshire Year1_Care_Applications)</f>
        <v>90</v>
      </c>
      <c r="E13" s="889">
        <f>IF(Year2_Buckinghamshire Year2_Care_Applications="","",Year2_Buckinghamshire Year2_Care_Applications)</f>
        <v>103</v>
      </c>
      <c r="F13" s="889">
        <f>IF(Year3_Buckinghamshire Year3_Care_Applications="","",Year3_Buckinghamshire Year3_Care_Applications)</f>
        <v>83</v>
      </c>
      <c r="G13" s="889">
        <f>IF(Year4_Buckinghamshire Year4_Care_Applications="","",Year4_Buckinghamshire Year4_Care_Applications)</f>
        <v>59</v>
      </c>
      <c r="H13" s="890">
        <f>IF(Year5_Buckinghamshire Year5_Care_Applications="","",Year5_Buckinghamshire Year5_Care_Applications)</f>
        <v>77</v>
      </c>
      <c r="I13" s="900">
        <f t="shared" si="14"/>
        <v>-8.4505483951052979E-3</v>
      </c>
      <c r="J13" s="896"/>
      <c r="K13" s="901">
        <f>IF(ISNUMBER(D13),D13/Population!D13*10000,NA())</f>
        <v>7.3687744090652298</v>
      </c>
      <c r="L13" s="901">
        <f>IF(ISNUMBER(E13),E13/Population!E13*10000,NA())</f>
        <v>8.4085064696518224</v>
      </c>
      <c r="M13" s="901">
        <f>IF(ISNUMBER(F13),F13/Population!F13*10000,NA())</f>
        <v>6.7201036353331718</v>
      </c>
      <c r="N13" s="901">
        <f>IF(ISNUMBER(G13),G13/Population!G13*10000,NA())</f>
        <v>4.6857006710876385</v>
      </c>
      <c r="O13" s="902">
        <f>IF(ISNUMBER(H13),H13/Population!H13*10000,NA())</f>
        <v>6.0337261785356064</v>
      </c>
      <c r="P13" s="903">
        <f t="shared" si="15"/>
        <v>6.0337261785356064</v>
      </c>
      <c r="Q13" s="904">
        <f t="shared" si="16"/>
        <v>6</v>
      </c>
      <c r="R13" s="64"/>
      <c r="S13" s="905">
        <f t="shared" si="17"/>
        <v>6.0279341578645349</v>
      </c>
      <c r="T13" s="906">
        <f t="shared" si="0"/>
        <v>5.7920206710715405E-3</v>
      </c>
      <c r="U13" s="89"/>
      <c r="V13" s="103"/>
      <c r="W13" s="115"/>
      <c r="X13" s="51" t="str">
        <f t="shared" si="1"/>
        <v>Buckinghamshire</v>
      </c>
      <c r="Y13" s="27">
        <f>IF(H13&gt;0,IDACI!D11,0)</f>
        <v>107385</v>
      </c>
      <c r="Z13" s="27">
        <f>IF(H13&gt;0,IDACI!E11,0)</f>
        <v>9127.7250000000004</v>
      </c>
      <c r="AA13" s="155">
        <f>IF(ISNUMBER(D13),Population!D13,"")</f>
        <v>122137</v>
      </c>
      <c r="AB13" s="155">
        <f>IF(ISNUMBER(E13),Population!E13,"")</f>
        <v>122495</v>
      </c>
      <c r="AC13" s="155">
        <f>IF(ISNUMBER(F13),Population!F13,"")</f>
        <v>123510</v>
      </c>
      <c r="AD13" s="155">
        <f>IF(ISNUMBER(G13),Population!G13,"")</f>
        <v>125915</v>
      </c>
      <c r="AE13" s="155">
        <f>IF(ISNUMBER(H13),Population!H13,"")</f>
        <v>127616</v>
      </c>
      <c r="AF13" s="65" t="s">
        <v>8</v>
      </c>
      <c r="AG13" s="70">
        <f t="shared" si="2"/>
        <v>6.0337261785356064</v>
      </c>
      <c r="AH13" s="156">
        <f t="shared" si="3"/>
        <v>6</v>
      </c>
      <c r="AJ13" s="121"/>
      <c r="AK13" s="480">
        <f t="shared" si="4"/>
        <v>0.14444444444444443</v>
      </c>
      <c r="AL13" s="480">
        <f t="shared" si="5"/>
        <v>-0.1941747572815534</v>
      </c>
      <c r="AM13" s="480">
        <f t="shared" si="6"/>
        <v>-0.28915662650602408</v>
      </c>
      <c r="AN13" s="480">
        <f t="shared" si="7"/>
        <v>0.30508474576271188</v>
      </c>
      <c r="AO13" s="480">
        <f t="shared" si="18"/>
        <v>-8.4505483951052979E-3</v>
      </c>
      <c r="AQ13" s="531">
        <f t="shared" si="8"/>
        <v>8.4085064696518224</v>
      </c>
      <c r="AR13" s="531">
        <f t="shared" si="9"/>
        <v>6.7201036353331718</v>
      </c>
      <c r="AS13" s="531">
        <f t="shared" si="10"/>
        <v>4.6857006710876385</v>
      </c>
      <c r="AT13" s="531">
        <f t="shared" si="11"/>
        <v>6.0337261785356064</v>
      </c>
      <c r="AU13" s="531">
        <f t="shared" si="12"/>
        <v>25.848036954608236</v>
      </c>
      <c r="AV13" s="350">
        <f t="shared" si="13"/>
        <v>0</v>
      </c>
      <c r="AW13" s="531">
        <f t="shared" si="19"/>
        <v>25.848036954608236</v>
      </c>
    </row>
    <row r="14" spans="1:49" s="61" customFormat="1" ht="15.75" customHeight="1">
      <c r="A14" s="1103">
        <f>VLOOKUP(B14,ReportData!$AQ$4:$AR$25,2,FALSE)</f>
        <v>0</v>
      </c>
      <c r="B14" s="885" t="str">
        <f>ReportData!$K$7</f>
        <v>East Sussex</v>
      </c>
      <c r="C14" s="896"/>
      <c r="D14" s="889">
        <f>IF(Year1_East_Sussex Year1_Care_Applications="","",Year1_East_Sussex Year1_Care_Applications)</f>
        <v>69</v>
      </c>
      <c r="E14" s="889">
        <f>IF(Year2_East_Sussex Year2_Care_Applications="","",Year2_East_Sussex Year2_Care_Applications)</f>
        <v>83</v>
      </c>
      <c r="F14" s="889">
        <f>IF(Year3_East_Sussex Year3_Care_Applications="","",Year3_East_Sussex Year3_Care_Applications)</f>
        <v>61</v>
      </c>
      <c r="G14" s="889">
        <f>IF(Year4_East_Sussex Year4_Care_Applications="","",Year4_East_Sussex Year4_Care_Applications)</f>
        <v>69</v>
      </c>
      <c r="H14" s="890">
        <f>IF(Year5_East_Sussex Year5_Care_Applications="","",Year5_East_Sussex Year5_Care_Applications)</f>
        <v>70</v>
      </c>
      <c r="I14" s="900">
        <f t="shared" si="14"/>
        <v>2.0869651091894304E-2</v>
      </c>
      <c r="J14" s="896"/>
      <c r="K14" s="901">
        <f>IF(ISNUMBER(D14),D14/Population!D14*10000,NA())</f>
        <v>6.7041711604045826</v>
      </c>
      <c r="L14" s="901">
        <f>IF(ISNUMBER(E14),E14/Population!E14*10000,NA())</f>
        <v>8.103965084603443</v>
      </c>
      <c r="M14" s="901">
        <f>IF(ISNUMBER(F14),F14/Population!F14*10000,NA())</f>
        <v>5.9827970066399239</v>
      </c>
      <c r="N14" s="901">
        <f>IF(ISNUMBER(G14),G14/Population!G14*10000,NA())</f>
        <v>6.7104303428154628</v>
      </c>
      <c r="O14" s="902">
        <f>IF(ISNUMBER(H14),H14/Population!H14*10000,NA())</f>
        <v>6.7563654614597608</v>
      </c>
      <c r="P14" s="903">
        <f t="shared" si="15"/>
        <v>6.7563654614597608</v>
      </c>
      <c r="Q14" s="904">
        <f t="shared" si="16"/>
        <v>8</v>
      </c>
      <c r="R14" s="64"/>
      <c r="S14" s="905">
        <f t="shared" si="17"/>
        <v>10.09591793485512</v>
      </c>
      <c r="T14" s="906">
        <f t="shared" si="0"/>
        <v>-3.3395524733953588</v>
      </c>
      <c r="U14" s="89"/>
      <c r="V14" s="103"/>
      <c r="W14" s="115"/>
      <c r="X14" s="51" t="str">
        <f t="shared" si="1"/>
        <v>East Sussex</v>
      </c>
      <c r="Y14" s="27">
        <f>IF(H14&gt;0,IDACI!D12,0)</f>
        <v>93130</v>
      </c>
      <c r="Z14" s="27">
        <f>IF(H14&gt;0,IDACI!E12,0)</f>
        <v>14993.93</v>
      </c>
      <c r="AA14" s="155">
        <f>IF(ISNUMBER(D14),Population!D14,"")</f>
        <v>102921</v>
      </c>
      <c r="AB14" s="155">
        <f>IF(ISNUMBER(E14),Population!E14,"")</f>
        <v>102419</v>
      </c>
      <c r="AC14" s="155">
        <f>IF(ISNUMBER(F14),Population!F14,"")</f>
        <v>101959</v>
      </c>
      <c r="AD14" s="155">
        <f>IF(ISNUMBER(G14),Population!G14,"")</f>
        <v>102825</v>
      </c>
      <c r="AE14" s="155">
        <f>IF(ISNUMBER(H14),Population!H14,"")</f>
        <v>103606</v>
      </c>
      <c r="AF14" s="65" t="s">
        <v>4</v>
      </c>
      <c r="AG14" s="70">
        <f t="shared" si="2"/>
        <v>6.7563654614597608</v>
      </c>
      <c r="AH14" s="156">
        <f t="shared" si="3"/>
        <v>8</v>
      </c>
      <c r="AJ14" s="121"/>
      <c r="AK14" s="480">
        <f t="shared" si="4"/>
        <v>0.20289855072463769</v>
      </c>
      <c r="AL14" s="480">
        <f t="shared" si="5"/>
        <v>-0.26506024096385544</v>
      </c>
      <c r="AM14" s="480">
        <f t="shared" si="6"/>
        <v>0.13114754098360656</v>
      </c>
      <c r="AN14" s="480">
        <f t="shared" si="7"/>
        <v>1.4492753623188406E-2</v>
      </c>
      <c r="AO14" s="480">
        <f t="shared" si="18"/>
        <v>2.0869651091894304E-2</v>
      </c>
      <c r="AQ14" s="531">
        <f t="shared" si="8"/>
        <v>8.103965084603443</v>
      </c>
      <c r="AR14" s="531">
        <f t="shared" si="9"/>
        <v>5.9827970066399239</v>
      </c>
      <c r="AS14" s="531">
        <f t="shared" si="10"/>
        <v>6.7104303428154628</v>
      </c>
      <c r="AT14" s="531">
        <f t="shared" si="11"/>
        <v>6.7563654614597608</v>
      </c>
      <c r="AU14" s="531">
        <f t="shared" si="12"/>
        <v>27.55355789551859</v>
      </c>
      <c r="AV14" s="350">
        <f t="shared" si="13"/>
        <v>0</v>
      </c>
      <c r="AW14" s="531">
        <f t="shared" si="19"/>
        <v>27.55355789551859</v>
      </c>
    </row>
    <row r="15" spans="1:49" s="61" customFormat="1" ht="15.75" customHeight="1">
      <c r="A15" s="1103">
        <f>VLOOKUP(B15,ReportData!$AQ$4:$AR$25,2,FALSE)</f>
        <v>0</v>
      </c>
      <c r="B15" s="885" t="str">
        <f>ReportData!$K$8</f>
        <v>Hampshire</v>
      </c>
      <c r="C15" s="896"/>
      <c r="D15" s="889">
        <f>IF(Year1_Hampshire Year1_Care_Applications="","",Year1_Hampshire Year1_Care_Applications)</f>
        <v>206</v>
      </c>
      <c r="E15" s="889">
        <f>IF(Year2_Hampshire Year2_Care_Applications="","",Year2_Hampshire Year2_Care_Applications)</f>
        <v>249</v>
      </c>
      <c r="F15" s="891">
        <f>IF(Year3_Hampshire Year3_Care_Applications="","",Year3_Hampshire Year3_Care_Applications)</f>
        <v>219</v>
      </c>
      <c r="G15" s="891">
        <f>IF(Year4_Hampshire Year4_Care_Applications="","",Year4_Hampshire Year4_Care_Applications)</f>
        <v>224</v>
      </c>
      <c r="H15" s="890">
        <f>IF(Year5_Hampshire Year5_Care_Applications="","",Year5_Hampshire Year5_Care_Applications)</f>
        <v>222</v>
      </c>
      <c r="I15" s="900">
        <f t="shared" si="14"/>
        <v>2.5539603791641399E-2</v>
      </c>
      <c r="J15" s="896"/>
      <c r="K15" s="901">
        <f>IF(ISNUMBER(D15),D15/Population!D15*10000,NA())</f>
        <v>7.3745256676451634</v>
      </c>
      <c r="L15" s="901">
        <f>IF(ISNUMBER(E15),E15/Population!E15*10000,NA())</f>
        <v>8.9095306931543323</v>
      </c>
      <c r="M15" s="901">
        <f>IF(ISNUMBER(F15),F15/Population!F15*10000,NA())</f>
        <v>7.7955640037162413</v>
      </c>
      <c r="N15" s="901">
        <f>IF(ISNUMBER(G15),G15/Population!G15*10000,NA())</f>
        <v>7.9015968986232172</v>
      </c>
      <c r="O15" s="902">
        <f>IF(ISNUMBER(H15),H15/Population!H15*10000,NA())</f>
        <v>7.7728370855362208</v>
      </c>
      <c r="P15" s="903">
        <f t="shared" si="15"/>
        <v>7.7728370855362208</v>
      </c>
      <c r="Q15" s="904">
        <f t="shared" si="16"/>
        <v>10</v>
      </c>
      <c r="R15" s="64"/>
      <c r="S15" s="905">
        <f t="shared" si="17"/>
        <v>6.8843517951257107</v>
      </c>
      <c r="T15" s="906">
        <f t="shared" si="0"/>
        <v>0.88848529041051005</v>
      </c>
      <c r="U15" s="89"/>
      <c r="V15" s="103"/>
      <c r="W15" s="115"/>
      <c r="X15" s="51" t="str">
        <f t="shared" si="1"/>
        <v>Hampshire</v>
      </c>
      <c r="Y15" s="27">
        <f>IF(H15&gt;0,IDACI!D13,0)</f>
        <v>249483</v>
      </c>
      <c r="Z15" s="27">
        <f>IF(H15&gt;0,IDACI!E13,0)</f>
        <v>25197.783000000007</v>
      </c>
      <c r="AA15" s="155">
        <f>IF(ISNUMBER(D15),Population!D15,"")</f>
        <v>279340</v>
      </c>
      <c r="AB15" s="155">
        <f>IF(ISNUMBER(E15),Population!E15,"")</f>
        <v>279476</v>
      </c>
      <c r="AC15" s="155">
        <f>IF(ISNUMBER(F15),Population!F15,"")</f>
        <v>280929</v>
      </c>
      <c r="AD15" s="155">
        <f>IF(ISNUMBER(G15),Population!G15,"")</f>
        <v>283487</v>
      </c>
      <c r="AE15" s="155">
        <f>IF(ISNUMBER(H15),Population!H15,"")</f>
        <v>285610</v>
      </c>
      <c r="AF15" s="65" t="s">
        <v>6</v>
      </c>
      <c r="AG15" s="70">
        <f t="shared" si="2"/>
        <v>7.7728370855362208</v>
      </c>
      <c r="AH15" s="156">
        <f t="shared" si="3"/>
        <v>10</v>
      </c>
      <c r="AJ15" s="121"/>
      <c r="AK15" s="480">
        <f t="shared" si="4"/>
        <v>0.20873786407766989</v>
      </c>
      <c r="AL15" s="480">
        <f t="shared" si="5"/>
        <v>-0.12048192771084337</v>
      </c>
      <c r="AM15" s="480">
        <f t="shared" si="6"/>
        <v>2.2831050228310501E-2</v>
      </c>
      <c r="AN15" s="480">
        <f t="shared" si="7"/>
        <v>-8.9285714285714281E-3</v>
      </c>
      <c r="AO15" s="480">
        <f t="shared" si="18"/>
        <v>2.5539603791641399E-2</v>
      </c>
      <c r="AQ15" s="531">
        <f t="shared" si="8"/>
        <v>8.9095306931543323</v>
      </c>
      <c r="AR15" s="531">
        <f t="shared" si="9"/>
        <v>7.7955640037162413</v>
      </c>
      <c r="AS15" s="531">
        <f t="shared" si="10"/>
        <v>7.9015968986232172</v>
      </c>
      <c r="AT15" s="531">
        <f t="shared" si="11"/>
        <v>7.7728370855362208</v>
      </c>
      <c r="AU15" s="531">
        <f t="shared" si="12"/>
        <v>32.37952868103001</v>
      </c>
      <c r="AV15" s="350">
        <f t="shared" si="13"/>
        <v>0</v>
      </c>
      <c r="AW15" s="531">
        <f t="shared" si="19"/>
        <v>32.37952868103001</v>
      </c>
    </row>
    <row r="16" spans="1:49" s="61" customFormat="1" ht="15.75" customHeight="1">
      <c r="A16" s="1103">
        <f>VLOOKUP(B16,ReportData!$AQ$4:$AR$25,2,FALSE)</f>
        <v>0</v>
      </c>
      <c r="B16" s="885" t="str">
        <f>ReportData!$K$9</f>
        <v>Isle of Wight</v>
      </c>
      <c r="C16" s="896"/>
      <c r="D16" s="889">
        <f>IF(Year1_Isle_of_Wight Year1_Care_Applications="","",Year1_Isle_of_Wight Year1_Care_Applications)</f>
        <v>26</v>
      </c>
      <c r="E16" s="889">
        <f>IF(Year2_Isle_of_Wight Year2_Care_Applications="","",Year2_Isle_of_Wight Year2_Care_Applications)</f>
        <v>32</v>
      </c>
      <c r="F16" s="889">
        <f>IF(Year3_Isle_of_Wight Year3_Care_Applications="","",Year3_Isle_of_Wight Year3_Care_Applications)</f>
        <v>32</v>
      </c>
      <c r="G16" s="889">
        <f>IF(Year4_Isle_of_Wight Year4_Care_Applications="","",Year4_Isle_of_Wight Year4_Care_Applications)</f>
        <v>36</v>
      </c>
      <c r="H16" s="890">
        <f>IF(Year5_Isle_of_Wight Year5_Care_Applications="","",Year5_Isle_of_Wight Year5_Care_Applications)</f>
        <v>31</v>
      </c>
      <c r="I16" s="900">
        <f t="shared" si="14"/>
        <v>5.4220085470085472E-2</v>
      </c>
      <c r="J16" s="896"/>
      <c r="K16" s="901">
        <f>IF(ISNUMBER(D16),D16/Population!D16*10000,NA())</f>
        <v>10.699148183202338</v>
      </c>
      <c r="L16" s="901">
        <f>IF(ISNUMBER(E16),E16/Population!E16*10000,NA())</f>
        <v>13.393604553825547</v>
      </c>
      <c r="M16" s="901">
        <f>IF(ISNUMBER(F16),F16/Population!F16*10000,NA())</f>
        <v>13.538669825689626</v>
      </c>
      <c r="N16" s="901">
        <f>IF(ISNUMBER(G16),G16/Population!G16*10000,NA())</f>
        <v>15.297017081669075</v>
      </c>
      <c r="O16" s="902">
        <f>IF(ISNUMBER(H16),H16/Population!H16*10000,NA())</f>
        <v>13.226384503797252</v>
      </c>
      <c r="P16" s="903">
        <f t="shared" si="15"/>
        <v>13.226384503797252</v>
      </c>
      <c r="Q16" s="904">
        <f t="shared" si="16"/>
        <v>17</v>
      </c>
      <c r="R16" s="64"/>
      <c r="S16" s="905">
        <f t="shared" si="17"/>
        <v>11.112913879102765</v>
      </c>
      <c r="T16" s="906">
        <f t="shared" si="0"/>
        <v>2.1134706246944877</v>
      </c>
      <c r="U16" s="89"/>
      <c r="V16" s="103"/>
      <c r="W16" s="115"/>
      <c r="X16" s="51" t="str">
        <f t="shared" si="1"/>
        <v>Isle of Wight</v>
      </c>
      <c r="Y16" s="27">
        <f>IF(H16&gt;0,IDACI!D14,0)</f>
        <v>22123</v>
      </c>
      <c r="Z16" s="27">
        <f>IF(H16&gt;0,IDACI!E14,0)</f>
        <v>3982.14</v>
      </c>
      <c r="AA16" s="155">
        <f>IF(ISNUMBER(D16),Population!D16,"")</f>
        <v>24301</v>
      </c>
      <c r="AB16" s="155">
        <f>IF(ISNUMBER(E16),Population!E16,"")</f>
        <v>23892</v>
      </c>
      <c r="AC16" s="155">
        <f>IF(ISNUMBER(F16),Population!F16,"")</f>
        <v>23636</v>
      </c>
      <c r="AD16" s="155">
        <f>IF(ISNUMBER(G16),Population!G16,"")</f>
        <v>23534</v>
      </c>
      <c r="AE16" s="155">
        <f>IF(ISNUMBER(H16),Population!H16,"")</f>
        <v>23438</v>
      </c>
      <c r="AF16" s="65" t="s">
        <v>1</v>
      </c>
      <c r="AG16" s="70">
        <f t="shared" si="2"/>
        <v>13.226384503797252</v>
      </c>
      <c r="AH16" s="156">
        <f t="shared" si="3"/>
        <v>17</v>
      </c>
      <c r="AJ16" s="121"/>
      <c r="AK16" s="480">
        <f t="shared" si="4"/>
        <v>0.23076923076923078</v>
      </c>
      <c r="AL16" s="480">
        <f t="shared" si="5"/>
        <v>0</v>
      </c>
      <c r="AM16" s="480">
        <f t="shared" si="6"/>
        <v>0.125</v>
      </c>
      <c r="AN16" s="480">
        <f t="shared" si="7"/>
        <v>-0.1388888888888889</v>
      </c>
      <c r="AO16" s="480">
        <f t="shared" si="18"/>
        <v>5.4220085470085472E-2</v>
      </c>
      <c r="AQ16" s="531">
        <f t="shared" si="8"/>
        <v>13.393604553825547</v>
      </c>
      <c r="AR16" s="531">
        <f t="shared" si="9"/>
        <v>13.538669825689626</v>
      </c>
      <c r="AS16" s="531">
        <f t="shared" si="10"/>
        <v>15.297017081669075</v>
      </c>
      <c r="AT16" s="531">
        <f t="shared" si="11"/>
        <v>13.226384503797252</v>
      </c>
      <c r="AU16" s="531">
        <f t="shared" si="12"/>
        <v>55.455675964981495</v>
      </c>
      <c r="AV16" s="350">
        <f t="shared" si="13"/>
        <v>0</v>
      </c>
      <c r="AW16" s="531">
        <f t="shared" si="19"/>
        <v>55.455675964981495</v>
      </c>
    </row>
    <row r="17" spans="1:49" s="61" customFormat="1" ht="15.75" customHeight="1">
      <c r="A17" s="1103">
        <f>VLOOKUP(B17,ReportData!$AQ$4:$AR$25,2,FALSE)</f>
        <v>0</v>
      </c>
      <c r="B17" s="885" t="str">
        <f>ReportData!$K$10</f>
        <v>Kent</v>
      </c>
      <c r="C17" s="896"/>
      <c r="D17" s="889">
        <f>IF(Year1_Kent Year1_Care_Applications="","",Year1_Kent Year1_Care_Applications)</f>
        <v>270</v>
      </c>
      <c r="E17" s="889">
        <f>IF(Year2_Kent Year2_Care_Applications="","",Year2_Kent Year2_Care_Applications)</f>
        <v>236</v>
      </c>
      <c r="F17" s="889">
        <f>IF(Year3_Kent Year3_Care_Applications="","",Year3_Kent Year3_Care_Applications)</f>
        <v>268</v>
      </c>
      <c r="G17" s="889">
        <f>IF(Year4_Kent Year4_Care_Applications="","",Year4_Kent Year4_Care_Applications)</f>
        <v>263</v>
      </c>
      <c r="H17" s="890">
        <f>IF(Year5_Kent Year5_Care_Applications="","",Year5_Kent Year5_Care_Applications)</f>
        <v>205</v>
      </c>
      <c r="I17" s="900">
        <f t="shared" si="14"/>
        <v>-5.7380435349122072E-2</v>
      </c>
      <c r="J17" s="896"/>
      <c r="K17" s="901">
        <f>IF(ISNUMBER(D17),D17/Population!D17*10000,NA())</f>
        <v>8.099765106811903</v>
      </c>
      <c r="L17" s="901">
        <f>IF(ISNUMBER(E17),E17/Population!E17*10000,NA())</f>
        <v>7.0569097911633136</v>
      </c>
      <c r="M17" s="901">
        <f>IF(ISNUMBER(F17),F17/Population!F17*10000,NA())</f>
        <v>7.974030842837208</v>
      </c>
      <c r="N17" s="901">
        <f>IF(ISNUMBER(G17),G17/Population!G17*10000,NA())</f>
        <v>7.6708141562979426</v>
      </c>
      <c r="O17" s="902">
        <f>IF(ISNUMBER(H17),H17/Population!H17*10000,NA())</f>
        <v>5.8851899911578611</v>
      </c>
      <c r="P17" s="903">
        <f t="shared" si="15"/>
        <v>5.8851899911578611</v>
      </c>
      <c r="Q17" s="904">
        <f t="shared" si="16"/>
        <v>4</v>
      </c>
      <c r="R17" s="64"/>
      <c r="S17" s="905">
        <f t="shared" si="17"/>
        <v>9.9353396278686485</v>
      </c>
      <c r="T17" s="906">
        <f t="shared" si="0"/>
        <v>-4.0501496367107874</v>
      </c>
      <c r="U17" s="89"/>
      <c r="V17" s="103"/>
      <c r="W17" s="115"/>
      <c r="X17" s="51" t="str">
        <f t="shared" si="1"/>
        <v>Kent</v>
      </c>
      <c r="Y17" s="27">
        <f>IF(H17&gt;0,IDACI!D15,0)</f>
        <v>291866</v>
      </c>
      <c r="Z17" s="27">
        <f>IF(H17&gt;0,IDACI!E15,0)</f>
        <v>46114.828000000001</v>
      </c>
      <c r="AA17" s="155">
        <f>IF(ISNUMBER(D17),Population!D17,"")</f>
        <v>333343</v>
      </c>
      <c r="AB17" s="155">
        <f>IF(ISNUMBER(E17),Population!E17,"")</f>
        <v>334424</v>
      </c>
      <c r="AC17" s="155">
        <f>IF(ISNUMBER(F17),Population!F17,"")</f>
        <v>336091</v>
      </c>
      <c r="AD17" s="155">
        <f>IF(ISNUMBER(G17),Population!G17,"")</f>
        <v>342858</v>
      </c>
      <c r="AE17" s="155">
        <f>IF(ISNUMBER(H17),Population!H17,"")</f>
        <v>348332</v>
      </c>
      <c r="AF17" s="65" t="s">
        <v>9</v>
      </c>
      <c r="AG17" s="70">
        <f t="shared" si="2"/>
        <v>5.8851899911578611</v>
      </c>
      <c r="AH17" s="156">
        <f t="shared" si="3"/>
        <v>4</v>
      </c>
      <c r="AJ17" s="121"/>
      <c r="AK17" s="480">
        <f t="shared" si="4"/>
        <v>-0.12592592592592591</v>
      </c>
      <c r="AL17" s="480">
        <f t="shared" si="5"/>
        <v>0.13559322033898305</v>
      </c>
      <c r="AM17" s="480">
        <f t="shared" si="6"/>
        <v>-1.8656716417910446E-2</v>
      </c>
      <c r="AN17" s="480">
        <f t="shared" si="7"/>
        <v>-0.22053231939163498</v>
      </c>
      <c r="AO17" s="480">
        <f t="shared" si="18"/>
        <v>-5.7380435349122072E-2</v>
      </c>
      <c r="AQ17" s="531">
        <f t="shared" si="8"/>
        <v>7.0569097911633136</v>
      </c>
      <c r="AR17" s="531">
        <f t="shared" si="9"/>
        <v>7.974030842837208</v>
      </c>
      <c r="AS17" s="531">
        <f t="shared" si="10"/>
        <v>7.6708141562979426</v>
      </c>
      <c r="AT17" s="531">
        <f t="shared" si="11"/>
        <v>5.8851899911578611</v>
      </c>
      <c r="AU17" s="531">
        <f t="shared" si="12"/>
        <v>28.586944781456328</v>
      </c>
      <c r="AV17" s="350">
        <f t="shared" si="13"/>
        <v>0</v>
      </c>
      <c r="AW17" s="531">
        <f t="shared" si="19"/>
        <v>28.586944781456328</v>
      </c>
    </row>
    <row r="18" spans="1:49" s="61" customFormat="1" ht="15.75" customHeight="1">
      <c r="A18" s="1103">
        <f>VLOOKUP(B18,ReportData!$AQ$4:$AR$25,2,FALSE)</f>
        <v>0</v>
      </c>
      <c r="B18" s="885" t="str">
        <f>ReportData!$K$11</f>
        <v>Medway</v>
      </c>
      <c r="C18" s="896"/>
      <c r="D18" s="889">
        <f>IF(Year1_Medway Year1_Care_Applications="","",Year1_Medway Year1_Care_Applications)</f>
        <v>94</v>
      </c>
      <c r="E18" s="1173">
        <f>IF(Year2_Medway Year2_Care_Applications="","",Year2_Medway Year2_Care_Applications)</f>
        <v>71</v>
      </c>
      <c r="F18" s="1173">
        <f>IF(Year3_Medway Year3_Care_Applications="","",Year3_Medway Year3_Care_Applications)</f>
        <v>85</v>
      </c>
      <c r="G18" s="1173">
        <f>IF(Year4_Medway Year4_Care_Applications="","",Year4_Medway Year4_Care_Applications)</f>
        <v>84</v>
      </c>
      <c r="H18" s="890">
        <f>IF(Year5_Medway Year5_Care_Applications="","",Year5_Medway Year5_Care_Applications)</f>
        <v>67</v>
      </c>
      <c r="I18" s="900">
        <f t="shared" si="14"/>
        <v>-6.5410852683896459E-2</v>
      </c>
      <c r="J18" s="896"/>
      <c r="K18" s="901">
        <f>IF(ISNUMBER(D18),D18/Population!D18*10000,NA())</f>
        <v>14.763161201155924</v>
      </c>
      <c r="L18" s="901">
        <f>IF(ISNUMBER(E18),E18/Population!E18*10000,NA())</f>
        <v>11.146871810974172</v>
      </c>
      <c r="M18" s="901">
        <f>IF(ISNUMBER(F18),F18/Population!F18*10000,NA())</f>
        <v>13.319334973439679</v>
      </c>
      <c r="N18" s="901">
        <f>IF(ISNUMBER(G18),G18/Population!G18*10000,NA())</f>
        <v>12.932029866830883</v>
      </c>
      <c r="O18" s="902">
        <f>IF(ISNUMBER(H18),H18/Population!H18*10000,NA())</f>
        <v>10.046935684616193</v>
      </c>
      <c r="P18" s="903">
        <f t="shared" si="15"/>
        <v>10.046935684616193</v>
      </c>
      <c r="Q18" s="904">
        <f t="shared" si="16"/>
        <v>15</v>
      </c>
      <c r="R18" s="64"/>
      <c r="S18" s="905">
        <f t="shared" si="17"/>
        <v>11.594648800062176</v>
      </c>
      <c r="T18" s="906">
        <f t="shared" si="0"/>
        <v>-1.5477131154459833</v>
      </c>
      <c r="U18" s="89"/>
      <c r="V18" s="103"/>
      <c r="W18" s="115"/>
      <c r="X18" s="51" t="str">
        <f t="shared" si="1"/>
        <v>Medway</v>
      </c>
      <c r="Y18" s="27">
        <f>IF(H18&gt;0,IDACI!D16,0)</f>
        <v>55993</v>
      </c>
      <c r="Z18" s="27">
        <f>IF(H18&gt;0,IDACI!E16,0)</f>
        <v>10582.676999999998</v>
      </c>
      <c r="AA18" s="155">
        <f>IF(ISNUMBER(D18),Population!D18,"")</f>
        <v>63672</v>
      </c>
      <c r="AB18" s="155">
        <f>IF(ISNUMBER(E18),Population!E18,"")</f>
        <v>63695</v>
      </c>
      <c r="AC18" s="155">
        <f>IF(ISNUMBER(F18),Population!F18,"")</f>
        <v>63817</v>
      </c>
      <c r="AD18" s="155">
        <f>IF(ISNUMBER(G18),Population!G18,"")</f>
        <v>64955</v>
      </c>
      <c r="AE18" s="155">
        <f>IF(ISNUMBER(H18),Population!H18,"")</f>
        <v>66687</v>
      </c>
      <c r="AF18" s="65" t="s">
        <v>2</v>
      </c>
      <c r="AG18" s="70">
        <f t="shared" si="2"/>
        <v>10.046935684616193</v>
      </c>
      <c r="AH18" s="156">
        <f t="shared" si="3"/>
        <v>15</v>
      </c>
      <c r="AJ18" s="121"/>
      <c r="AK18" s="480">
        <f t="shared" si="4"/>
        <v>-0.24468085106382978</v>
      </c>
      <c r="AL18" s="480">
        <f t="shared" si="5"/>
        <v>0.19718309859154928</v>
      </c>
      <c r="AM18" s="480">
        <f t="shared" si="6"/>
        <v>-1.1764705882352941E-2</v>
      </c>
      <c r="AN18" s="480">
        <f t="shared" si="7"/>
        <v>-0.20238095238095238</v>
      </c>
      <c r="AO18" s="480">
        <f t="shared" si="18"/>
        <v>-6.5410852683896459E-2</v>
      </c>
      <c r="AQ18" s="531">
        <f t="shared" si="8"/>
        <v>11.146871810974172</v>
      </c>
      <c r="AR18" s="531">
        <f t="shared" si="9"/>
        <v>13.319334973439679</v>
      </c>
      <c r="AS18" s="531">
        <f t="shared" si="10"/>
        <v>12.932029866830883</v>
      </c>
      <c r="AT18" s="531">
        <f t="shared" si="11"/>
        <v>10.046935684616193</v>
      </c>
      <c r="AU18" s="531">
        <f t="shared" si="12"/>
        <v>47.445172335860924</v>
      </c>
      <c r="AV18" s="350">
        <f t="shared" si="13"/>
        <v>0</v>
      </c>
      <c r="AW18" s="531">
        <f t="shared" si="19"/>
        <v>47.445172335860924</v>
      </c>
    </row>
    <row r="19" spans="1:49" s="61" customFormat="1" ht="15.75" customHeight="1">
      <c r="A19" s="1103">
        <f>VLOOKUP(B19,ReportData!$AQ$4:$AR$25,2,FALSE)</f>
        <v>0</v>
      </c>
      <c r="B19" s="885" t="str">
        <f>ReportData!$K$12</f>
        <v>Milton Keynes</v>
      </c>
      <c r="C19" s="896"/>
      <c r="D19" s="889">
        <f>IF(Year1_Milton_Keynes Year1_Care_Applications="","",Year1_Milton_Keynes Year1_Care_Applications)</f>
        <v>70</v>
      </c>
      <c r="E19" s="889">
        <f>IF(Year2_Milton_Keynes Year2_Care_Applications="","",Year2_Milton_Keynes Year2_Care_Applications)</f>
        <v>72</v>
      </c>
      <c r="F19" s="889">
        <f>IF(Year3_Milton_Keynes Year3_Care_Applications="","",Year3_Milton_Keynes Year3_Care_Applications)</f>
        <v>72</v>
      </c>
      <c r="G19" s="889">
        <f>IF(Year4_Milton_Keynes Year4_Care_Applications="","",Year4_Milton_Keynes Year4_Care_Applications)</f>
        <v>72</v>
      </c>
      <c r="H19" s="890">
        <f>IF(Year5_Milton_Keynes Year5_Care_Applications="","",Year5_Milton_Keynes Year5_Care_Applications)</f>
        <v>89</v>
      </c>
      <c r="I19" s="900">
        <f t="shared" si="14"/>
        <v>6.6170634920634921E-2</v>
      </c>
      <c r="J19" s="896"/>
      <c r="K19" s="901">
        <f>IF(ISNUMBER(D19),D19/Population!D19*10000,NA())</f>
        <v>10.139490418181554</v>
      </c>
      <c r="L19" s="901">
        <f>IF(ISNUMBER(E19),E19/Population!E19*10000,NA())</f>
        <v>10.388860832551764</v>
      </c>
      <c r="M19" s="901">
        <f>IF(ISNUMBER(F19),F19/Population!F19*10000,NA())</f>
        <v>10.33962806060171</v>
      </c>
      <c r="N19" s="901">
        <f>IF(ISNUMBER(G19),G19/Population!G19*10000,NA())</f>
        <v>10.147848515172441</v>
      </c>
      <c r="O19" s="902">
        <f>IF(ISNUMBER(H19),H19/Population!H19*10000,NA())</f>
        <v>12.225778534829733</v>
      </c>
      <c r="P19" s="903">
        <f t="shared" si="15"/>
        <v>12.225778534829733</v>
      </c>
      <c r="Q19" s="904">
        <f t="shared" si="16"/>
        <v>16</v>
      </c>
      <c r="R19" s="64"/>
      <c r="S19" s="905">
        <f t="shared" si="17"/>
        <v>9.5071308092380598</v>
      </c>
      <c r="T19" s="906">
        <f t="shared" si="0"/>
        <v>2.7186477255916728</v>
      </c>
      <c r="U19" s="89"/>
      <c r="V19" s="103"/>
      <c r="W19" s="115"/>
      <c r="X19" s="51" t="str">
        <f t="shared" si="1"/>
        <v>Milton Keynes</v>
      </c>
      <c r="Y19" s="27">
        <f>IF(H19&gt;0,IDACI!D17,0)</f>
        <v>59903</v>
      </c>
      <c r="Z19" s="27">
        <f>IF(H19&gt;0,IDACI!E17,0)</f>
        <v>8985.4499999999989</v>
      </c>
      <c r="AA19" s="155">
        <f>IF(ISNUMBER(D19),Population!D19,"")</f>
        <v>69037</v>
      </c>
      <c r="AB19" s="155">
        <f>IF(ISNUMBER(E19),Population!E19,"")</f>
        <v>69305</v>
      </c>
      <c r="AC19" s="155">
        <f>IF(ISNUMBER(F19),Population!F19,"")</f>
        <v>69635</v>
      </c>
      <c r="AD19" s="155">
        <f>IF(ISNUMBER(G19),Population!G19,"")</f>
        <v>70951</v>
      </c>
      <c r="AE19" s="155">
        <f>IF(ISNUMBER(H19),Population!H19,"")</f>
        <v>72797</v>
      </c>
      <c r="AF19" s="65" t="s">
        <v>10</v>
      </c>
      <c r="AG19" s="70">
        <f t="shared" si="2"/>
        <v>12.225778534829733</v>
      </c>
      <c r="AH19" s="156">
        <f t="shared" si="3"/>
        <v>16</v>
      </c>
      <c r="AJ19" s="121"/>
      <c r="AK19" s="480">
        <f t="shared" si="4"/>
        <v>2.8571428571428571E-2</v>
      </c>
      <c r="AL19" s="480">
        <f t="shared" si="5"/>
        <v>0</v>
      </c>
      <c r="AM19" s="480">
        <f t="shared" si="6"/>
        <v>0</v>
      </c>
      <c r="AN19" s="480">
        <f t="shared" si="7"/>
        <v>0.2361111111111111</v>
      </c>
      <c r="AO19" s="480">
        <f t="shared" si="18"/>
        <v>6.6170634920634921E-2</v>
      </c>
      <c r="AQ19" s="531">
        <f t="shared" si="8"/>
        <v>10.388860832551764</v>
      </c>
      <c r="AR19" s="531">
        <f t="shared" si="9"/>
        <v>10.33962806060171</v>
      </c>
      <c r="AS19" s="531">
        <f t="shared" si="10"/>
        <v>10.147848515172441</v>
      </c>
      <c r="AT19" s="531">
        <f t="shared" si="11"/>
        <v>12.225778534829733</v>
      </c>
      <c r="AU19" s="531">
        <f t="shared" si="12"/>
        <v>43.102115943155653</v>
      </c>
      <c r="AV19" s="350">
        <f t="shared" si="13"/>
        <v>0</v>
      </c>
      <c r="AW19" s="531">
        <f t="shared" si="19"/>
        <v>43.102115943155653</v>
      </c>
    </row>
    <row r="20" spans="1:49" s="61" customFormat="1" ht="15.75" customHeight="1">
      <c r="A20" s="1103">
        <f>VLOOKUP(B20,ReportData!$AQ$4:$AR$25,2,FALSE)</f>
        <v>0</v>
      </c>
      <c r="B20" s="885" t="str">
        <f>ReportData!$K$13</f>
        <v>Oxfordshire</v>
      </c>
      <c r="C20" s="896"/>
      <c r="D20" s="889">
        <f>IF(Year1_Oxfordshire Year1_Care_Applications="","",Year1_Oxfordshire Year1_Care_Applications)</f>
        <v>147</v>
      </c>
      <c r="E20" s="889">
        <f>IF(Year2_Oxfordshire Year2_Care_Applications="","",Year2_Oxfordshire Year2_Care_Applications)</f>
        <v>140</v>
      </c>
      <c r="F20" s="889">
        <f>IF(Year3_Oxfordshire Year3_Care_Applications="","",Year3_Oxfordshire Year3_Care_Applications)</f>
        <v>144</v>
      </c>
      <c r="G20" s="889">
        <f>IF(Year4_Oxfordshire Year4_Care_Applications="","",Year4_Oxfordshire Year4_Care_Applications)</f>
        <v>106</v>
      </c>
      <c r="H20" s="890">
        <f>IF(Year5_Oxfordshire Year5_Care_Applications="","",Year5_Oxfordshire Year5_Care_Applications)</f>
        <v>79</v>
      </c>
      <c r="I20" s="900">
        <f t="shared" si="14"/>
        <v>-0.13441337226714584</v>
      </c>
      <c r="J20" s="896"/>
      <c r="K20" s="901">
        <f>IF(ISNUMBER(D20),D20/Population!D20*10000,NA())</f>
        <v>10.178011341212638</v>
      </c>
      <c r="L20" s="901">
        <f>IF(ISNUMBER(E20),E20/Population!E20*10000,NA())</f>
        <v>9.6406117656780452</v>
      </c>
      <c r="M20" s="901">
        <f>IF(ISNUMBER(F20),F20/Population!F20*10000,NA())</f>
        <v>9.8398966810848485</v>
      </c>
      <c r="N20" s="901">
        <f>IF(ISNUMBER(G20),G20/Population!G20*10000,NA())</f>
        <v>7.0884992443392321</v>
      </c>
      <c r="O20" s="902">
        <f>IF(ISNUMBER(H20),H20/Population!H20*10000,NA())</f>
        <v>5.1801580276056516</v>
      </c>
      <c r="P20" s="903">
        <f t="shared" si="15"/>
        <v>5.1801580276056516</v>
      </c>
      <c r="Q20" s="904">
        <f t="shared" si="16"/>
        <v>2</v>
      </c>
      <c r="R20" s="64"/>
      <c r="S20" s="905">
        <f t="shared" si="17"/>
        <v>6.8843517951257107</v>
      </c>
      <c r="T20" s="906">
        <f t="shared" si="0"/>
        <v>-1.7041937675200591</v>
      </c>
      <c r="U20" s="89"/>
      <c r="V20" s="103"/>
      <c r="W20" s="115"/>
      <c r="X20" s="51" t="str">
        <f t="shared" si="1"/>
        <v>Oxfordshire</v>
      </c>
      <c r="Y20" s="27">
        <f>IF(H20&gt;0,IDACI!D18,0)</f>
        <v>126119</v>
      </c>
      <c r="Z20" s="27">
        <f>IF(H20&gt;0,IDACI!E18,0)</f>
        <v>12738.019000000002</v>
      </c>
      <c r="AA20" s="155">
        <f>IF(ISNUMBER(D20),Population!D20,"")</f>
        <v>144429</v>
      </c>
      <c r="AB20" s="155">
        <f>IF(ISNUMBER(E20),Population!E20,"")</f>
        <v>145219</v>
      </c>
      <c r="AC20" s="155">
        <f>IF(ISNUMBER(F20),Population!F20,"")</f>
        <v>146343</v>
      </c>
      <c r="AD20" s="155">
        <f>IF(ISNUMBER(G20),Population!G20,"")</f>
        <v>149538</v>
      </c>
      <c r="AE20" s="155">
        <f>IF(ISNUMBER(H20),Population!H20,"")</f>
        <v>152505</v>
      </c>
      <c r="AF20" s="65" t="s">
        <v>11</v>
      </c>
      <c r="AG20" s="70">
        <f t="shared" si="2"/>
        <v>5.1801580276056516</v>
      </c>
      <c r="AH20" s="156">
        <f t="shared" si="3"/>
        <v>2</v>
      </c>
      <c r="AJ20" s="121"/>
      <c r="AK20" s="480">
        <f t="shared" si="4"/>
        <v>-4.7619047619047616E-2</v>
      </c>
      <c r="AL20" s="480">
        <f t="shared" si="5"/>
        <v>2.8571428571428571E-2</v>
      </c>
      <c r="AM20" s="480">
        <f t="shared" si="6"/>
        <v>-0.2638888888888889</v>
      </c>
      <c r="AN20" s="480">
        <f t="shared" si="7"/>
        <v>-0.25471698113207547</v>
      </c>
      <c r="AO20" s="480">
        <f t="shared" si="18"/>
        <v>-0.13441337226714584</v>
      </c>
      <c r="AQ20" s="531">
        <f t="shared" si="8"/>
        <v>9.6406117656780452</v>
      </c>
      <c r="AR20" s="531">
        <f t="shared" si="9"/>
        <v>9.8398966810848485</v>
      </c>
      <c r="AS20" s="531">
        <f t="shared" si="10"/>
        <v>7.0884992443392321</v>
      </c>
      <c r="AT20" s="531">
        <f t="shared" si="11"/>
        <v>5.1801580276056516</v>
      </c>
      <c r="AU20" s="531">
        <f t="shared" si="12"/>
        <v>31.749165718707779</v>
      </c>
      <c r="AV20" s="350">
        <f t="shared" si="13"/>
        <v>0</v>
      </c>
      <c r="AW20" s="531">
        <f t="shared" si="19"/>
        <v>31.749165718707779</v>
      </c>
    </row>
    <row r="21" spans="1:49" s="61" customFormat="1" ht="15.75" customHeight="1">
      <c r="A21" s="1103">
        <f>VLOOKUP(B21,ReportData!$AQ$4:$AR$25,2,FALSE)</f>
        <v>0</v>
      </c>
      <c r="B21" s="885" t="str">
        <f>ReportData!$K$14</f>
        <v>Portsmouth</v>
      </c>
      <c r="C21" s="896"/>
      <c r="D21" s="889">
        <f>IF(Year1_Portsmouth Year1_Care_Applications="","",Year1_Portsmouth Year1_Care_Applications)</f>
        <v>62</v>
      </c>
      <c r="E21" s="889">
        <f>IF(Year2_Portsmouth Year2_Care_Applications="","",Year2_Portsmouth Year2_Care_Applications)</f>
        <v>49</v>
      </c>
      <c r="F21" s="889">
        <f>IF(Year3_Portsmouth Year3_Care_Applications="","",Year3_Portsmouth Year3_Care_Applications)</f>
        <v>49</v>
      </c>
      <c r="G21" s="889">
        <f>IF(Year4_Portsmouth Year4_Care_Applications="","",Year4_Portsmouth Year4_Care_Applications)</f>
        <v>65</v>
      </c>
      <c r="H21" s="890">
        <f>IF(Year5_Portsmouth Year5_Care_Applications="","",Year5_Portsmouth Year5_Care_Applications)</f>
        <v>62</v>
      </c>
      <c r="I21" s="900">
        <f t="shared" si="14"/>
        <v>1.7674836684053265E-2</v>
      </c>
      <c r="J21" s="896"/>
      <c r="K21" s="901">
        <f>IF(ISNUMBER(D21),D21/Population!D21*10000,NA())</f>
        <v>14.750315228510933</v>
      </c>
      <c r="L21" s="901">
        <f>IF(ISNUMBER(E21),E21/Population!E21*10000,NA())</f>
        <v>11.704287591066524</v>
      </c>
      <c r="M21" s="901">
        <f>IF(ISNUMBER(F21),F21/Population!F21*10000,NA())</f>
        <v>11.822327309576085</v>
      </c>
      <c r="N21" s="901">
        <f>IF(ISNUMBER(G21),G21/Population!G21*10000,NA())</f>
        <v>15.523870936925316</v>
      </c>
      <c r="O21" s="902">
        <f>IF(ISNUMBER(H21),H21/Population!H21*10000,NA())</f>
        <v>14.654785260122438</v>
      </c>
      <c r="P21" s="903">
        <f t="shared" si="15"/>
        <v>14.654785260122438</v>
      </c>
      <c r="Q21" s="904">
        <f t="shared" si="16"/>
        <v>19</v>
      </c>
      <c r="R21" s="64"/>
      <c r="S21" s="905">
        <f t="shared" si="17"/>
        <v>12.290488130336882</v>
      </c>
      <c r="T21" s="906">
        <f t="shared" si="0"/>
        <v>2.3642971297855553</v>
      </c>
      <c r="U21" s="89"/>
      <c r="V21" s="103"/>
      <c r="W21" s="115"/>
      <c r="X21" s="51" t="str">
        <f t="shared" si="1"/>
        <v>Portsmouth</v>
      </c>
      <c r="Y21" s="27">
        <f>IF(H21&gt;0,IDACI!D19,0)</f>
        <v>39325</v>
      </c>
      <c r="Z21" s="27">
        <f>IF(H21&gt;0,IDACI!E19,0)</f>
        <v>7943.6500000000015</v>
      </c>
      <c r="AA21" s="155">
        <f>IF(ISNUMBER(D21),Population!D21,"")</f>
        <v>42033</v>
      </c>
      <c r="AB21" s="155">
        <f>IF(ISNUMBER(E21),Population!E21,"")</f>
        <v>41865</v>
      </c>
      <c r="AC21" s="155">
        <f>IF(ISNUMBER(F21),Population!F21,"")</f>
        <v>41447</v>
      </c>
      <c r="AD21" s="155">
        <f>IF(ISNUMBER(G21),Population!G21,"")</f>
        <v>41871</v>
      </c>
      <c r="AE21" s="155">
        <f>IF(ISNUMBER(H21),Population!H21,"")</f>
        <v>42307</v>
      </c>
      <c r="AF21" s="65" t="s">
        <v>12</v>
      </c>
      <c r="AG21" s="70">
        <f t="shared" si="2"/>
        <v>14.654785260122438</v>
      </c>
      <c r="AH21" s="156">
        <f t="shared" si="3"/>
        <v>19</v>
      </c>
      <c r="AJ21" s="121"/>
      <c r="AK21" s="480">
        <f t="shared" si="4"/>
        <v>-0.20967741935483872</v>
      </c>
      <c r="AL21" s="480">
        <f t="shared" si="5"/>
        <v>0</v>
      </c>
      <c r="AM21" s="480">
        <f t="shared" si="6"/>
        <v>0.32653061224489793</v>
      </c>
      <c r="AN21" s="480">
        <f t="shared" si="7"/>
        <v>-4.6153846153846156E-2</v>
      </c>
      <c r="AO21" s="480">
        <f t="shared" si="18"/>
        <v>1.7674836684053265E-2</v>
      </c>
      <c r="AQ21" s="531">
        <f t="shared" si="8"/>
        <v>11.704287591066524</v>
      </c>
      <c r="AR21" s="531">
        <f t="shared" si="9"/>
        <v>11.822327309576085</v>
      </c>
      <c r="AS21" s="531">
        <f t="shared" si="10"/>
        <v>15.523870936925316</v>
      </c>
      <c r="AT21" s="531">
        <f t="shared" si="11"/>
        <v>14.654785260122438</v>
      </c>
      <c r="AU21" s="531">
        <f t="shared" si="12"/>
        <v>53.705271097690364</v>
      </c>
      <c r="AV21" s="350">
        <f t="shared" si="13"/>
        <v>0</v>
      </c>
      <c r="AW21" s="531">
        <f t="shared" si="19"/>
        <v>53.705271097690364</v>
      </c>
    </row>
    <row r="22" spans="1:49" s="61" customFormat="1" ht="15.75" customHeight="1">
      <c r="A22" s="1103">
        <f>VLOOKUP(B22,ReportData!$AQ$4:$AR$25,2,FALSE)</f>
        <v>0</v>
      </c>
      <c r="B22" s="885" t="str">
        <f>ReportData!$K$15</f>
        <v>Reading</v>
      </c>
      <c r="C22" s="896"/>
      <c r="D22" s="889">
        <f>IF(Year1_Reading Year1_Care_Applications="","",Year1_Reading Year1_Care_Applications)</f>
        <v>50</v>
      </c>
      <c r="E22" s="889">
        <f>IF(Year2_Reading Year2_Care_Applications="","",Year2_Reading Year2_Care_Applications)</f>
        <v>39</v>
      </c>
      <c r="F22" s="889">
        <f>IF(Year3_Reading Year3_Care_Applications="","",Year3_Reading Year3_Care_Applications)</f>
        <v>26</v>
      </c>
      <c r="G22" s="889">
        <f>IF(Year4_Reading Year4_Care_Applications="","",Year4_Reading Year4_Care_Applications)</f>
        <v>33</v>
      </c>
      <c r="H22" s="890">
        <f>IF(Year5_Reading Year5_Care_Applications="","",Year5_Reading Year5_Care_Applications)</f>
        <v>54</v>
      </c>
      <c r="I22" s="900">
        <f t="shared" si="14"/>
        <v>8.8065268065268057E-2</v>
      </c>
      <c r="J22" s="896"/>
      <c r="K22" s="901">
        <f>IF(ISNUMBER(D22),D22/Population!D22*10000,NA())</f>
        <v>13.502565487442613</v>
      </c>
      <c r="L22" s="901">
        <f>IF(ISNUMBER(E22),E22/Population!E22*10000,NA())</f>
        <v>10.548808525601148</v>
      </c>
      <c r="M22" s="901">
        <f>IF(ISNUMBER(F22),F22/Population!F22*10000,NA())</f>
        <v>7.1558320030825122</v>
      </c>
      <c r="N22" s="901">
        <f>IF(ISNUMBER(G22),G22/Population!G22*10000,NA())</f>
        <v>8.8566827697262482</v>
      </c>
      <c r="O22" s="902">
        <f>IF(ISNUMBER(H22),H22/Population!H22*10000,NA())</f>
        <v>14.23712726409871</v>
      </c>
      <c r="P22" s="903">
        <f t="shared" si="15"/>
        <v>14.23712726409871</v>
      </c>
      <c r="Q22" s="904">
        <f t="shared" si="16"/>
        <v>18</v>
      </c>
      <c r="R22" s="64"/>
      <c r="S22" s="905">
        <f t="shared" si="17"/>
        <v>10.042391832526295</v>
      </c>
      <c r="T22" s="906">
        <f t="shared" si="0"/>
        <v>4.1947354315724148</v>
      </c>
      <c r="U22" s="89"/>
      <c r="V22" s="103"/>
      <c r="W22" s="115"/>
      <c r="X22" s="51" t="str">
        <f t="shared" si="1"/>
        <v>Reading</v>
      </c>
      <c r="Y22" s="27">
        <f>IF(H22&gt;0,IDACI!D20,0)</f>
        <v>33203</v>
      </c>
      <c r="Z22" s="27">
        <f>IF(H22&gt;0,IDACI!E20,0)</f>
        <v>5312.4800000000005</v>
      </c>
      <c r="AA22" s="155">
        <f>IF(ISNUMBER(D22),Population!D22,"")</f>
        <v>37030</v>
      </c>
      <c r="AB22" s="155">
        <f>IF(ISNUMBER(E22),Population!E22,"")</f>
        <v>36971</v>
      </c>
      <c r="AC22" s="155">
        <f>IF(ISNUMBER(F22),Population!F22,"")</f>
        <v>36334</v>
      </c>
      <c r="AD22" s="155">
        <f>IF(ISNUMBER(G22),Population!G22,"")</f>
        <v>37260</v>
      </c>
      <c r="AE22" s="155">
        <f>IF(ISNUMBER(H22),Population!H22,"")</f>
        <v>37929</v>
      </c>
      <c r="AF22" s="65" t="s">
        <v>3</v>
      </c>
      <c r="AG22" s="70">
        <f t="shared" si="2"/>
        <v>14.23712726409871</v>
      </c>
      <c r="AH22" s="156">
        <f t="shared" si="3"/>
        <v>18</v>
      </c>
      <c r="AJ22" s="121"/>
      <c r="AK22" s="480">
        <f t="shared" si="4"/>
        <v>-0.22</v>
      </c>
      <c r="AL22" s="480">
        <f t="shared" si="5"/>
        <v>-0.33333333333333331</v>
      </c>
      <c r="AM22" s="480">
        <f t="shared" si="6"/>
        <v>0.26923076923076922</v>
      </c>
      <c r="AN22" s="480">
        <f t="shared" si="7"/>
        <v>0.63636363636363635</v>
      </c>
      <c r="AO22" s="480">
        <f t="shared" si="18"/>
        <v>8.8065268065268057E-2</v>
      </c>
      <c r="AQ22" s="531">
        <f t="shared" si="8"/>
        <v>10.548808525601148</v>
      </c>
      <c r="AR22" s="531">
        <f t="shared" si="9"/>
        <v>7.1558320030825122</v>
      </c>
      <c r="AS22" s="531">
        <f t="shared" si="10"/>
        <v>8.8566827697262482</v>
      </c>
      <c r="AT22" s="531">
        <f t="shared" si="11"/>
        <v>14.23712726409871</v>
      </c>
      <c r="AU22" s="531">
        <f t="shared" si="12"/>
        <v>40.79845056250862</v>
      </c>
      <c r="AV22" s="350">
        <f t="shared" si="13"/>
        <v>0</v>
      </c>
      <c r="AW22" s="531">
        <f t="shared" si="19"/>
        <v>40.79845056250862</v>
      </c>
    </row>
    <row r="23" spans="1:49" s="61" customFormat="1" ht="15.75" customHeight="1">
      <c r="A23" s="1103">
        <f>VLOOKUP(B23,ReportData!$AQ$4:$AR$25,2,FALSE)</f>
        <v>0</v>
      </c>
      <c r="B23" s="885" t="str">
        <f>ReportData!$K$16</f>
        <v>Slough</v>
      </c>
      <c r="C23" s="896"/>
      <c r="D23" s="889">
        <f>IF(Year1_Slough Year1_Care_Applications="","",Year1_Slough Year1_Care_Applications)</f>
        <v>50</v>
      </c>
      <c r="E23" s="889">
        <f>IF(Year2_Slough Year2_Care_Applications="","",Year2_Slough Year2_Care_Applications)</f>
        <v>64</v>
      </c>
      <c r="F23" s="889">
        <f>IF(Year3_Slough Year3_Care_Applications="","",Year3_Slough Year3_Care_Applications)</f>
        <v>45</v>
      </c>
      <c r="G23" s="889">
        <f>IF(Year4_Slough Year4_Care_Applications="","",Year4_Slough Year4_Care_Applications)</f>
        <v>43</v>
      </c>
      <c r="H23" s="890">
        <f>IF(Year5_Slough Year5_Care_Applications="","",Year5_Slough Year5_Care_Applications)</f>
        <v>25</v>
      </c>
      <c r="I23" s="900">
        <f t="shared" si="14"/>
        <v>-0.11998102390180879</v>
      </c>
      <c r="J23" s="896"/>
      <c r="K23" s="901">
        <f>IF(ISNUMBER(D23),D23/Population!D23*10000,NA())</f>
        <v>11.499804503323444</v>
      </c>
      <c r="L23" s="901">
        <f>IF(ISNUMBER(E23),E23/Population!E23*10000,NA())</f>
        <v>14.57858769931663</v>
      </c>
      <c r="M23" s="901">
        <f>IF(ISNUMBER(F23),F23/Population!F23*10000,NA())</f>
        <v>10.288771520680431</v>
      </c>
      <c r="N23" s="901">
        <f>IF(ISNUMBER(G23),G23/Population!G23*10000,NA())</f>
        <v>9.7175141242937855</v>
      </c>
      <c r="O23" s="902">
        <f>IF(ISNUMBER(H23),H23/Population!H23*10000,NA())</f>
        <v>5.5742602956587666</v>
      </c>
      <c r="P23" s="903">
        <f t="shared" si="15"/>
        <v>5.5742602956587666</v>
      </c>
      <c r="Q23" s="904">
        <f t="shared" si="16"/>
        <v>3</v>
      </c>
      <c r="R23" s="64"/>
      <c r="S23" s="905">
        <f t="shared" si="17"/>
        <v>9.3465525022515905</v>
      </c>
      <c r="T23" s="906">
        <f t="shared" si="0"/>
        <v>-3.7722922065928239</v>
      </c>
      <c r="U23" s="89"/>
      <c r="V23" s="103"/>
      <c r="W23" s="115"/>
      <c r="X23" s="51" t="str">
        <f t="shared" si="1"/>
        <v>Slough</v>
      </c>
      <c r="Y23" s="27">
        <f>IF(H23&gt;0,IDACI!D21,0)</f>
        <v>37031</v>
      </c>
      <c r="Z23" s="27">
        <f>IF(H23&gt;0,IDACI!E21,0)</f>
        <v>5443.5569999999998</v>
      </c>
      <c r="AA23" s="155">
        <f>IF(ISNUMBER(D23),Population!D23,"")</f>
        <v>43479</v>
      </c>
      <c r="AB23" s="155">
        <f>IF(ISNUMBER(E23),Population!E23,"")</f>
        <v>43900</v>
      </c>
      <c r="AC23" s="155">
        <f>IF(ISNUMBER(F23),Population!F23,"")</f>
        <v>43737</v>
      </c>
      <c r="AD23" s="155">
        <f>IF(ISNUMBER(G23),Population!G23,"")</f>
        <v>44250</v>
      </c>
      <c r="AE23" s="155">
        <f>IF(ISNUMBER(H23),Population!H23,"")</f>
        <v>44849</v>
      </c>
      <c r="AF23" s="65" t="s">
        <v>13</v>
      </c>
      <c r="AG23" s="70">
        <f t="shared" si="2"/>
        <v>5.5742602956587666</v>
      </c>
      <c r="AH23" s="156">
        <f t="shared" si="3"/>
        <v>3</v>
      </c>
      <c r="AJ23" s="121"/>
      <c r="AK23" s="480">
        <f t="shared" si="4"/>
        <v>0.28000000000000003</v>
      </c>
      <c r="AL23" s="480">
        <f t="shared" si="5"/>
        <v>-0.296875</v>
      </c>
      <c r="AM23" s="480">
        <f t="shared" si="6"/>
        <v>-4.4444444444444446E-2</v>
      </c>
      <c r="AN23" s="480">
        <f t="shared" si="7"/>
        <v>-0.41860465116279072</v>
      </c>
      <c r="AO23" s="480">
        <f t="shared" si="18"/>
        <v>-0.11998102390180879</v>
      </c>
      <c r="AQ23" s="531">
        <f t="shared" si="8"/>
        <v>14.57858769931663</v>
      </c>
      <c r="AR23" s="531">
        <f t="shared" si="9"/>
        <v>10.288771520680431</v>
      </c>
      <c r="AS23" s="531">
        <f t="shared" si="10"/>
        <v>9.7175141242937855</v>
      </c>
      <c r="AT23" s="531">
        <f t="shared" si="11"/>
        <v>5.5742602956587666</v>
      </c>
      <c r="AU23" s="531">
        <f t="shared" si="12"/>
        <v>40.159133639949616</v>
      </c>
      <c r="AV23" s="350">
        <f t="shared" si="13"/>
        <v>0</v>
      </c>
      <c r="AW23" s="531">
        <f t="shared" si="19"/>
        <v>40.159133639949616</v>
      </c>
    </row>
    <row r="24" spans="1:49" s="61" customFormat="1" ht="15.75" customHeight="1">
      <c r="A24" s="1103">
        <f>VLOOKUP(B24,ReportData!$AQ$4:$AR$25,2,FALSE)</f>
        <v>0</v>
      </c>
      <c r="B24" s="885" t="str">
        <f>ReportData!$K$17</f>
        <v>Southampton</v>
      </c>
      <c r="C24" s="896"/>
      <c r="D24" s="889">
        <f>IF(Year1_Southampton Year1_Care_Applications="","",Year1_Southampton Year1_Care_Applications)</f>
        <v>101</v>
      </c>
      <c r="E24" s="889">
        <f>IF(Year2_Southampton Year2_Care_Applications="","",Year2_Southampton Year2_Care_Applications)</f>
        <v>98</v>
      </c>
      <c r="F24" s="889">
        <f>IF(Year3_Southampton Year3_Care_Applications="","",Year3_Southampton Year3_Care_Applications)</f>
        <v>94</v>
      </c>
      <c r="G24" s="889">
        <f>IF(Year4_Southampton Year4_Care_Applications="","",Year4_Southampton Year4_Care_Applications)</f>
        <v>61</v>
      </c>
      <c r="H24" s="890">
        <f>IF(Year5_Southampton Year5_Care_Applications="","",Year5_Southampton Year5_Care_Applications)</f>
        <v>44</v>
      </c>
      <c r="I24" s="900">
        <f t="shared" si="14"/>
        <v>-0.17506791280125997</v>
      </c>
      <c r="J24" s="896"/>
      <c r="K24" s="901">
        <f>IF(ISNUMBER(D24),D24/Population!D24*10000,NA())</f>
        <v>20.36783092683714</v>
      </c>
      <c r="L24" s="901">
        <f>IF(ISNUMBER(E24),E24/Population!E24*10000,NA())</f>
        <v>19.703641152461952</v>
      </c>
      <c r="M24" s="901">
        <f>IF(ISNUMBER(F24),F24/Population!F24*10000,NA())</f>
        <v>19.032963472908399</v>
      </c>
      <c r="N24" s="901">
        <f>IF(ISNUMBER(G24),G24/Population!G24*10000,NA())</f>
        <v>12.231557418138797</v>
      </c>
      <c r="O24" s="902">
        <f>IF(ISNUMBER(H24),H24/Population!H24*10000,NA())</f>
        <v>8.7348381077164348</v>
      </c>
      <c r="P24" s="903">
        <f t="shared" si="15"/>
        <v>8.7348381077164348</v>
      </c>
      <c r="Q24" s="904">
        <f t="shared" si="16"/>
        <v>11</v>
      </c>
      <c r="R24" s="64"/>
      <c r="S24" s="905">
        <f t="shared" si="17"/>
        <v>12.451066437323352</v>
      </c>
      <c r="T24" s="906">
        <f t="shared" si="0"/>
        <v>-3.716228329606917</v>
      </c>
      <c r="U24" s="89"/>
      <c r="V24" s="103"/>
      <c r="W24" s="115"/>
      <c r="X24" s="51" t="str">
        <f t="shared" si="1"/>
        <v>Southampton</v>
      </c>
      <c r="Y24" s="27">
        <f>IF(H24&gt;0,IDACI!D22,0)</f>
        <v>44295</v>
      </c>
      <c r="Z24" s="27">
        <f>IF(H24&gt;0,IDACI!E22,0)</f>
        <v>9080.4750000000004</v>
      </c>
      <c r="AA24" s="155">
        <f>IF(ISNUMBER(D24),Population!D24,"")</f>
        <v>49588</v>
      </c>
      <c r="AB24" s="155">
        <f>IF(ISNUMBER(E24),Population!E24,"")</f>
        <v>49737</v>
      </c>
      <c r="AC24" s="155">
        <f>IF(ISNUMBER(F24),Population!F24,"")</f>
        <v>49388</v>
      </c>
      <c r="AD24" s="155">
        <f>IF(ISNUMBER(G24),Population!G24,"")</f>
        <v>49871</v>
      </c>
      <c r="AF24" s="65" t="s">
        <v>14</v>
      </c>
      <c r="AG24" s="70">
        <f t="shared" si="2"/>
        <v>8.7348381077164348</v>
      </c>
      <c r="AH24" s="156">
        <f t="shared" si="3"/>
        <v>11</v>
      </c>
      <c r="AJ24" s="121"/>
      <c r="AK24" s="480">
        <f t="shared" si="4"/>
        <v>-2.9702970297029702E-2</v>
      </c>
      <c r="AL24" s="480">
        <f t="shared" si="5"/>
        <v>-4.0816326530612242E-2</v>
      </c>
      <c r="AM24" s="480">
        <f t="shared" si="6"/>
        <v>-0.35106382978723405</v>
      </c>
      <c r="AN24" s="480">
        <f t="shared" si="7"/>
        <v>-0.27868852459016391</v>
      </c>
      <c r="AO24" s="480">
        <f t="shared" si="18"/>
        <v>-0.17506791280125997</v>
      </c>
      <c r="AQ24" s="531">
        <f t="shared" si="8"/>
        <v>19.703641152461952</v>
      </c>
      <c r="AR24" s="531">
        <f t="shared" si="9"/>
        <v>19.032963472908399</v>
      </c>
      <c r="AS24" s="531">
        <f t="shared" si="10"/>
        <v>12.231557418138797</v>
      </c>
      <c r="AT24" s="531">
        <f t="shared" si="11"/>
        <v>8.7348381077164348</v>
      </c>
      <c r="AU24" s="531">
        <f>SUM(AQ24:AT24)</f>
        <v>59.703000151225581</v>
      </c>
      <c r="AV24" s="350">
        <f>COUNTBLANK(AQ24:AT24)</f>
        <v>0</v>
      </c>
      <c r="AW24" s="531">
        <f t="shared" si="19"/>
        <v>59.703000151225581</v>
      </c>
    </row>
    <row r="25" spans="1:49" s="61" customFormat="1" ht="15.75" customHeight="1">
      <c r="A25" s="1103">
        <f>VLOOKUP(B25,ReportData!$AQ$4:$AR$25,2,FALSE)</f>
        <v>0</v>
      </c>
      <c r="B25" s="885" t="str">
        <f>ReportData!$K$18</f>
        <v>Surrey</v>
      </c>
      <c r="C25" s="896"/>
      <c r="D25" s="889">
        <f>IF(Year1_Surrey Year1_Care_Applications="","",Year1_Surrey Year1_Care_Applications)</f>
        <v>148</v>
      </c>
      <c r="E25" s="889">
        <f>IF(Year2_Surrey Year2_Care_Applications="","",Year2_Surrey Year2_Care_Applications)</f>
        <v>195</v>
      </c>
      <c r="F25" s="889">
        <f>IF(Year3_Surrey Year3_Care_Applications="","",Year3_Surrey Year3_Care_Applications)</f>
        <v>164</v>
      </c>
      <c r="G25" s="889">
        <f>IF(Year4_Surrey Year4_Care_Applications="","",Year4_Surrey Year4_Care_Applications)</f>
        <v>129</v>
      </c>
      <c r="H25" s="890">
        <f>IF(Year5_Surrey Year5_Care_Applications="","",Year5_Surrey Year5_Care_Applications)</f>
        <v>113</v>
      </c>
      <c r="I25" s="900">
        <f t="shared" si="14"/>
        <v>-4.4713108326267716E-2</v>
      </c>
      <c r="J25" s="896"/>
      <c r="K25" s="901">
        <f>IF(ISNUMBER(D25),D25/Population!D25*10000,NA())</f>
        <v>5.7354337421767525</v>
      </c>
      <c r="L25" s="901">
        <f>IF(ISNUMBER(E25),E25/Population!E25*10000,NA())</f>
        <v>7.542965894189595</v>
      </c>
      <c r="M25" s="901">
        <f>IF(ISNUMBER(F25),F25/Population!F25*10000,NA())</f>
        <v>6.3201381181403384</v>
      </c>
      <c r="N25" s="901">
        <f>IF(ISNUMBER(G25),G25/Population!G25*10000,NA())</f>
        <v>4.8950040601971656</v>
      </c>
      <c r="O25" s="902">
        <f>IF(ISNUMBER(H25),H25/Population!H25*10000,NA())</f>
        <v>4.2533650516426267</v>
      </c>
      <c r="P25" s="903">
        <f t="shared" si="15"/>
        <v>4.2533650516426267</v>
      </c>
      <c r="Q25" s="904">
        <f t="shared" si="16"/>
        <v>1</v>
      </c>
      <c r="R25" s="64"/>
      <c r="S25" s="905">
        <f t="shared" si="17"/>
        <v>5.9208819532068881</v>
      </c>
      <c r="T25" s="906">
        <f t="shared" si="0"/>
        <v>-1.6675169015642615</v>
      </c>
      <c r="U25" s="89"/>
      <c r="V25" s="103"/>
      <c r="W25" s="115"/>
      <c r="X25" s="51" t="str">
        <f t="shared" si="1"/>
        <v>Surrey</v>
      </c>
      <c r="Y25" s="27">
        <f>IF(H25&gt;0,IDACI!D23,0)</f>
        <v>228466</v>
      </c>
      <c r="Z25" s="27">
        <f>IF(H25&gt;0,IDACI!E23,0)</f>
        <v>18962.678</v>
      </c>
      <c r="AA25" s="155">
        <f>IF(ISNUMBER(D25),Population!D25,"")</f>
        <v>258045</v>
      </c>
      <c r="AB25" s="155">
        <f>IF(ISNUMBER(E25),Population!E25,"")</f>
        <v>258519</v>
      </c>
      <c r="AC25" s="155">
        <f>IF(ISNUMBER(F25),Population!F25,"")</f>
        <v>259488</v>
      </c>
      <c r="AD25" s="155">
        <f>IF(ISNUMBER(G25),Population!G25,"")</f>
        <v>263534</v>
      </c>
      <c r="AE25" s="155">
        <f>IF(ISNUMBER(H24),Population!H24,"")</f>
        <v>50373</v>
      </c>
      <c r="AF25" s="65" t="s">
        <v>7</v>
      </c>
      <c r="AG25" s="70">
        <f t="shared" si="2"/>
        <v>4.2533650516426267</v>
      </c>
      <c r="AH25" s="156">
        <f t="shared" si="3"/>
        <v>1</v>
      </c>
      <c r="AJ25" s="121"/>
      <c r="AK25" s="480">
        <f t="shared" si="4"/>
        <v>0.31756756756756754</v>
      </c>
      <c r="AL25" s="480">
        <f t="shared" si="5"/>
        <v>-0.15897435897435896</v>
      </c>
      <c r="AM25" s="480">
        <f t="shared" si="6"/>
        <v>-0.21341463414634146</v>
      </c>
      <c r="AN25" s="480">
        <f t="shared" si="7"/>
        <v>-0.12403100775193798</v>
      </c>
      <c r="AO25" s="480">
        <f t="shared" si="18"/>
        <v>-4.4713108326267716E-2</v>
      </c>
      <c r="AQ25" s="531">
        <f t="shared" si="8"/>
        <v>7.542965894189595</v>
      </c>
      <c r="AR25" s="531">
        <f t="shared" si="9"/>
        <v>6.3201381181403384</v>
      </c>
      <c r="AS25" s="531">
        <f t="shared" si="10"/>
        <v>4.8950040601971656</v>
      </c>
      <c r="AT25" s="531">
        <f t="shared" si="11"/>
        <v>4.2533650516426267</v>
      </c>
      <c r="AU25" s="531">
        <f>SUM(AQ25:AT25)</f>
        <v>23.011473124169726</v>
      </c>
      <c r="AV25" s="350">
        <f>COUNTBLANK(AQ25:AT25)</f>
        <v>0</v>
      </c>
      <c r="AW25" s="531">
        <f t="shared" si="19"/>
        <v>23.011473124169726</v>
      </c>
    </row>
    <row r="26" spans="1:49" s="61" customFormat="1" ht="15.75" customHeight="1">
      <c r="A26" s="1103">
        <f>VLOOKUP(B26,ReportData!$AQ$4:$AR$25,2,FALSE)</f>
        <v>0</v>
      </c>
      <c r="B26" s="885" t="str">
        <f>ReportData!$K$19</f>
        <v>West Berkshire</v>
      </c>
      <c r="C26" s="896"/>
      <c r="D26" s="889">
        <f>IF(Year1_West_Berkshire Year1_Care_Applications="","",Year1_West_Berkshire Year1_Care_Applications)</f>
        <v>22</v>
      </c>
      <c r="E26" s="889">
        <f>IF(Year2_West_Berkshire Year2_Care_Applications="","",Year2_West_Berkshire Year2_Care_Applications)</f>
        <v>18</v>
      </c>
      <c r="F26" s="889">
        <f>IF(Year3_West_Berkshire Year3_Care_Applications="","",Year3_West_Berkshire Year3_Care_Applications)</f>
        <v>25</v>
      </c>
      <c r="G26" s="889">
        <f>IF(Year4_West_Berkshire Year4_Care_Applications="","",Year4_West_Berkshire Year4_Care_Applications)</f>
        <v>32</v>
      </c>
      <c r="H26" s="890">
        <f>IF(Year5_West_Berkshire Year5_Care_Applications="","",Year5_West_Berkshire Year5_Care_Applications)</f>
        <v>34</v>
      </c>
      <c r="I26" s="900">
        <f t="shared" ref="I26:I31" si="20">AO26</f>
        <v>0.13739267676767677</v>
      </c>
      <c r="J26" s="896"/>
      <c r="K26" s="901">
        <f>IF(ISNUMBER(D26),D26/Population!D26*10000,NA())</f>
        <v>6.274778243632527</v>
      </c>
      <c r="L26" s="901">
        <f>IF(ISNUMBER(E26),E26/Population!E26*10000,NA())</f>
        <v>5.1688490696071669</v>
      </c>
      <c r="M26" s="901">
        <f>IF(ISNUMBER(F26),F26/Population!F26*10000,NA())</f>
        <v>7.2264778147131095</v>
      </c>
      <c r="N26" s="901">
        <f>IF(ISNUMBER(G26),G26/Population!G26*10000,NA())</f>
        <v>9.1659028414298813</v>
      </c>
      <c r="O26" s="902">
        <f>IF(ISNUMBER(H26),H26/Population!H26*10000,NA())</f>
        <v>9.624911535739562</v>
      </c>
      <c r="P26" s="903">
        <f t="shared" ref="P26:P31" si="21">IF(ISNUMBER(O26),O26,"")</f>
        <v>9.624911535739562</v>
      </c>
      <c r="Q26" s="904">
        <f t="shared" si="16"/>
        <v>13</v>
      </c>
      <c r="R26" s="64"/>
      <c r="S26" s="905">
        <f t="shared" si="17"/>
        <v>6.1349863625221808</v>
      </c>
      <c r="T26" s="906">
        <f t="shared" si="0"/>
        <v>3.4899251732173813</v>
      </c>
      <c r="U26" s="89"/>
      <c r="V26" s="103"/>
      <c r="W26" s="115"/>
      <c r="X26" s="51" t="str">
        <f t="shared" si="1"/>
        <v>West Berkshire</v>
      </c>
      <c r="Y26" s="27">
        <f>IF(H26&gt;0,IDACI!D24,0)</f>
        <v>31625</v>
      </c>
      <c r="Z26" s="27">
        <f>IF(H26&gt;0,IDACI!E24,0)</f>
        <v>2751.375</v>
      </c>
      <c r="AA26" s="155">
        <f>IF(ISNUMBER(D26),Population!D26,"")</f>
        <v>35061</v>
      </c>
      <c r="AB26" s="155">
        <f>IF(ISNUMBER(E26),Population!E26,"")</f>
        <v>34824</v>
      </c>
      <c r="AC26" s="155">
        <f>IF(ISNUMBER(F26),Population!F26,"")</f>
        <v>34595</v>
      </c>
      <c r="AD26" s="155">
        <f>IF(ISNUMBER(G26),Population!G26,"")</f>
        <v>34912</v>
      </c>
      <c r="AE26" s="155">
        <f>IF(ISNUMBER(H25),Population!H25,"")</f>
        <v>265672</v>
      </c>
      <c r="AF26" s="65" t="s">
        <v>15</v>
      </c>
      <c r="AG26" s="70">
        <f t="shared" si="2"/>
        <v>9.624911535739562</v>
      </c>
      <c r="AH26" s="156">
        <f t="shared" si="3"/>
        <v>13</v>
      </c>
      <c r="AJ26" s="121"/>
      <c r="AK26" s="480">
        <f t="shared" si="4"/>
        <v>-0.18181818181818182</v>
      </c>
      <c r="AL26" s="480">
        <f t="shared" si="5"/>
        <v>0.3888888888888889</v>
      </c>
      <c r="AM26" s="480">
        <f t="shared" si="6"/>
        <v>0.28000000000000003</v>
      </c>
      <c r="AN26" s="480">
        <f t="shared" si="7"/>
        <v>6.25E-2</v>
      </c>
      <c r="AO26" s="480">
        <f t="shared" ref="AO26:AO31" si="22">AVERAGE(AK26:AN26)</f>
        <v>0.13739267676767677</v>
      </c>
      <c r="AQ26" s="531">
        <f t="shared" si="8"/>
        <v>5.1688490696071669</v>
      </c>
      <c r="AR26" s="531">
        <f t="shared" si="9"/>
        <v>7.2264778147131095</v>
      </c>
      <c r="AS26" s="531">
        <f t="shared" si="10"/>
        <v>9.1659028414298813</v>
      </c>
      <c r="AT26" s="531">
        <f t="shared" si="11"/>
        <v>9.624911535739562</v>
      </c>
      <c r="AU26" s="531">
        <f t="shared" ref="AU26:AU31" si="23">SUM(AQ26:AT26)</f>
        <v>31.186141261489723</v>
      </c>
      <c r="AV26" s="350">
        <f t="shared" ref="AV26:AV31" si="24">COUNTBLANK(AQ26:AT26)</f>
        <v>0</v>
      </c>
      <c r="AW26" s="531">
        <f t="shared" ref="AW26:AW31" si="25">AU26/(4-AV26)*4</f>
        <v>31.186141261489723</v>
      </c>
    </row>
    <row r="27" spans="1:49" s="61" customFormat="1" ht="15.75" customHeight="1">
      <c r="A27" s="1103">
        <f>VLOOKUP(B27,ReportData!$AQ$4:$AR$25,2,FALSE)</f>
        <v>0</v>
      </c>
      <c r="B27" s="885" t="str">
        <f>ReportData!$K$20</f>
        <v>West Sussex</v>
      </c>
      <c r="C27" s="896"/>
      <c r="D27" s="889">
        <f>IF(Year1_West_Sussex Year1_Care_Applications="","",Year1_West_Sussex Year1_Care_Applications)</f>
        <v>194</v>
      </c>
      <c r="E27" s="889">
        <f>IF(Year2_West_Sussex Year2_Care_Applications="","",Year2_West_Sussex Year2_Care_Applications)</f>
        <v>229</v>
      </c>
      <c r="F27" s="889">
        <f>IF(Year3_West_Sussex Year3_Care_Applications="","",Year3_West_Sussex Year3_Care_Applications)</f>
        <v>140</v>
      </c>
      <c r="G27" s="889">
        <f>IF(Year4_West_Sussex Year4_Care_Applications="","",Year4_West_Sussex Year4_Care_Applications)</f>
        <v>161</v>
      </c>
      <c r="H27" s="890">
        <f>IF(Year5_West_Sussex Year5_Care_Applications="","",Year5_West_Sussex Year5_Care_Applications)</f>
        <v>135</v>
      </c>
      <c r="I27" s="900">
        <f t="shared" si="20"/>
        <v>-5.4931150076350015E-2</v>
      </c>
      <c r="J27" s="896"/>
      <c r="K27" s="901">
        <f>IF(ISNUMBER(D27),D27/Population!D27*10000,NA())</f>
        <v>11.178270364330947</v>
      </c>
      <c r="L27" s="901">
        <f>IF(ISNUMBER(E27),E27/Population!E27*10000,NA())</f>
        <v>13.170532515111605</v>
      </c>
      <c r="M27" s="901">
        <f>IF(ISNUMBER(F27),F27/Population!F27*10000,NA())</f>
        <v>8.0075957765651982</v>
      </c>
      <c r="N27" s="901">
        <f>IF(ISNUMBER(G27),G27/Population!G27*10000,NA())</f>
        <v>9.0781453518204227</v>
      </c>
      <c r="O27" s="902">
        <f>IF(ISNUMBER(H27),H27/Population!H27*10000,NA())</f>
        <v>7.5415623882731495</v>
      </c>
      <c r="P27" s="903">
        <f t="shared" si="21"/>
        <v>7.5415623882731495</v>
      </c>
      <c r="Q27" s="904">
        <f t="shared" si="16"/>
        <v>9</v>
      </c>
      <c r="R27" s="64"/>
      <c r="S27" s="905">
        <f t="shared" si="17"/>
        <v>7.3660867160851211</v>
      </c>
      <c r="T27" s="906">
        <f t="shared" si="0"/>
        <v>0.1754756721880284</v>
      </c>
      <c r="U27" s="89"/>
      <c r="V27" s="103"/>
      <c r="W27" s="115"/>
      <c r="X27" s="51" t="str">
        <f t="shared" si="1"/>
        <v>West Sussex</v>
      </c>
      <c r="Y27" s="27">
        <f>IF(H27&gt;0,IDACI!D25,0)</f>
        <v>151487</v>
      </c>
      <c r="Z27" s="27">
        <f>IF(H27&gt;0,IDACI!E25,0)</f>
        <v>16663.57</v>
      </c>
      <c r="AA27" s="155">
        <f>IF(ISNUMBER(D27),Population!D27,"")</f>
        <v>173551</v>
      </c>
      <c r="AB27" s="155">
        <f>IF(ISNUMBER(E27),Population!E27,"")</f>
        <v>173873</v>
      </c>
      <c r="AC27" s="155">
        <f>IF(ISNUMBER(F27),Population!F27,"")</f>
        <v>174834</v>
      </c>
      <c r="AD27" s="155">
        <f>IF(ISNUMBER(G27),Population!G27,"")</f>
        <v>177349</v>
      </c>
      <c r="AE27" s="155">
        <f>IF(ISNUMBER(H26),Population!H26,"")</f>
        <v>35325</v>
      </c>
      <c r="AF27" s="65" t="s">
        <v>5</v>
      </c>
      <c r="AG27" s="70">
        <f t="shared" si="2"/>
        <v>7.5415623882731495</v>
      </c>
      <c r="AH27" s="156">
        <f t="shared" si="3"/>
        <v>9</v>
      </c>
      <c r="AJ27" s="121"/>
      <c r="AK27" s="480">
        <f t="shared" si="4"/>
        <v>0.18041237113402062</v>
      </c>
      <c r="AL27" s="480">
        <f t="shared" si="5"/>
        <v>-0.388646288209607</v>
      </c>
      <c r="AM27" s="480">
        <f t="shared" si="6"/>
        <v>0.15</v>
      </c>
      <c r="AN27" s="480">
        <f t="shared" si="7"/>
        <v>-0.16149068322981366</v>
      </c>
      <c r="AO27" s="480">
        <f t="shared" si="22"/>
        <v>-5.4931150076350015E-2</v>
      </c>
      <c r="AQ27" s="531">
        <f t="shared" si="8"/>
        <v>13.170532515111605</v>
      </c>
      <c r="AR27" s="531">
        <f t="shared" si="9"/>
        <v>8.0075957765651982</v>
      </c>
      <c r="AS27" s="531">
        <f t="shared" si="10"/>
        <v>9.0781453518204227</v>
      </c>
      <c r="AT27" s="531">
        <f t="shared" si="11"/>
        <v>7.5415623882731495</v>
      </c>
      <c r="AU27" s="531">
        <f t="shared" si="23"/>
        <v>37.797836031770373</v>
      </c>
      <c r="AV27" s="350">
        <f t="shared" si="24"/>
        <v>0</v>
      </c>
      <c r="AW27" s="531">
        <f t="shared" si="25"/>
        <v>37.797836031770373</v>
      </c>
    </row>
    <row r="28" spans="1:49" s="61" customFormat="1" ht="15.75" customHeight="1">
      <c r="A28" s="1103">
        <f>VLOOKUP(B28,ReportData!$AQ$4:$AR$25,2,FALSE)</f>
        <v>0</v>
      </c>
      <c r="B28" s="885" t="str">
        <f>ReportData!$K$21</f>
        <v>Windsor &amp; Maidenhead</v>
      </c>
      <c r="C28" s="896"/>
      <c r="D28" s="889">
        <f>IF(Year1_Windsor_and_Maidenhead Year1_Care_Applications="","",Year1_Windsor_and_Maidenhead Year1_Care_Applications)</f>
        <v>29</v>
      </c>
      <c r="E28" s="889">
        <f>IF(Year2_Windsor_and_Maidenhead Year2_Care_Applications="","",Year2_Windsor_and_Maidenhead Year2_Care_Applications)</f>
        <v>23</v>
      </c>
      <c r="F28" s="889">
        <f>IF(Year3_Windsor_and_Maidenhead Year3_Care_Applications="","",Year3_Windsor_and_Maidenhead Year3_Care_Applications)</f>
        <v>28</v>
      </c>
      <c r="G28" s="889">
        <f>IF(Year4_Windsor_and_Maidenhead Year4_Care_Applications="","",Year4_Windsor_and_Maidenhead Year4_Care_Applications)</f>
        <v>27</v>
      </c>
      <c r="H28" s="890">
        <f>IF(Year5_Windsor_and_Maidenhead Year5_Care_Applications="","",Year5_Windsor_and_Maidenhead Year5_Care_Applications)</f>
        <v>30</v>
      </c>
      <c r="I28" s="900">
        <f t="shared" si="20"/>
        <v>2.1472894505128386E-2</v>
      </c>
      <c r="J28" s="896"/>
      <c r="K28" s="901">
        <f>IF(ISNUMBER(D28),D28/Population!D28*10000,NA())</f>
        <v>8.4612242516193028</v>
      </c>
      <c r="L28" s="901">
        <f>IF(ISNUMBER(E28),E28/Population!E28*10000,NA())</f>
        <v>6.7482322565501862</v>
      </c>
      <c r="M28" s="901">
        <f>IF(ISNUMBER(F28),F28/Population!F28*10000,NA())</f>
        <v>8.2654386586373843</v>
      </c>
      <c r="N28" s="901">
        <f>IF(ISNUMBER(G28),G28/Population!G28*10000,NA())</f>
        <v>7.9148711634860609</v>
      </c>
      <c r="O28" s="902">
        <f>IF(ISNUMBER(H28),H28/Population!H28*10000,NA())</f>
        <v>8.7512032904524375</v>
      </c>
      <c r="P28" s="903">
        <f t="shared" si="21"/>
        <v>8.7512032904524375</v>
      </c>
      <c r="Q28" s="904">
        <f t="shared" si="16"/>
        <v>12</v>
      </c>
      <c r="R28" s="64"/>
      <c r="S28" s="905">
        <f t="shared" si="17"/>
        <v>5.0644643159457114</v>
      </c>
      <c r="T28" s="906">
        <f t="shared" si="0"/>
        <v>3.6867389745067261</v>
      </c>
      <c r="U28" s="89"/>
      <c r="V28" s="103"/>
      <c r="W28" s="115"/>
      <c r="X28" s="51" t="str">
        <f t="shared" si="1"/>
        <v>Windsor &amp; Maidenhead</v>
      </c>
      <c r="Y28" s="27">
        <f>IF(H28&gt;0,IDACI!D26,0)</f>
        <v>29792</v>
      </c>
      <c r="Z28" s="27">
        <f>IF(H28&gt;0,IDACI!E26,0)</f>
        <v>1996.0640000000001</v>
      </c>
      <c r="AA28" s="155">
        <f>IF(ISNUMBER(D28),Population!D28,"")</f>
        <v>34274</v>
      </c>
      <c r="AB28" s="155">
        <f>IF(ISNUMBER(E28),Population!E28,"")</f>
        <v>34083</v>
      </c>
      <c r="AC28" s="155">
        <f>IF(ISNUMBER(F28),Population!F28,"")</f>
        <v>33876</v>
      </c>
      <c r="AD28" s="155">
        <f>IF(ISNUMBER(G28),Population!G28,"")</f>
        <v>34113</v>
      </c>
      <c r="AE28" s="155">
        <f>IF(ISNUMBER(H27),Population!H27,"")</f>
        <v>179008</v>
      </c>
      <c r="AF28" s="65" t="s">
        <v>27</v>
      </c>
      <c r="AG28" s="70">
        <f t="shared" si="2"/>
        <v>8.7512032904524375</v>
      </c>
      <c r="AH28" s="156">
        <f t="shared" si="3"/>
        <v>12</v>
      </c>
      <c r="AJ28" s="121"/>
      <c r="AK28" s="480">
        <f t="shared" si="4"/>
        <v>-0.20689655172413793</v>
      </c>
      <c r="AL28" s="480">
        <f t="shared" si="5"/>
        <v>0.21739130434782608</v>
      </c>
      <c r="AM28" s="480">
        <f t="shared" si="6"/>
        <v>-3.5714285714285712E-2</v>
      </c>
      <c r="AN28" s="480">
        <f t="shared" si="7"/>
        <v>0.1111111111111111</v>
      </c>
      <c r="AO28" s="480">
        <f t="shared" si="22"/>
        <v>2.1472894505128386E-2</v>
      </c>
      <c r="AQ28" s="531">
        <f t="shared" si="8"/>
        <v>6.7482322565501862</v>
      </c>
      <c r="AR28" s="531">
        <f t="shared" si="9"/>
        <v>8.2654386586373843</v>
      </c>
      <c r="AS28" s="531">
        <f t="shared" si="10"/>
        <v>7.9148711634860609</v>
      </c>
      <c r="AT28" s="531">
        <f t="shared" si="11"/>
        <v>8.7512032904524375</v>
      </c>
      <c r="AU28" s="531">
        <f t="shared" si="23"/>
        <v>31.679745369126071</v>
      </c>
      <c r="AV28" s="350">
        <f t="shared" si="24"/>
        <v>0</v>
      </c>
      <c r="AW28" s="531">
        <f t="shared" si="25"/>
        <v>31.679745369126071</v>
      </c>
    </row>
    <row r="29" spans="1:49" s="61" customFormat="1" ht="15.75" customHeight="1">
      <c r="A29" s="1103">
        <f>VLOOKUP(B29,ReportData!$AQ$4:$AR$25,2,FALSE)</f>
        <v>0</v>
      </c>
      <c r="B29" s="885" t="str">
        <f>ReportData!$K$22</f>
        <v>Wokingham</v>
      </c>
      <c r="C29" s="896"/>
      <c r="D29" s="889">
        <f>IF(Year1_Wokingham Year1_Care_Applications="","",Year1_Wokingham Year1_Care_Applications)</f>
        <v>26</v>
      </c>
      <c r="E29" s="889">
        <f>IF(Year2_Wokingham Year2_Care_Applications="","",Year2_Wokingham Year2_Care_Applications)</f>
        <v>27</v>
      </c>
      <c r="F29" s="889">
        <f>IF(Year3_Wokingham Year3_Care_Applications="","",Year3_Wokingham Year3_Care_Applications)</f>
        <v>31</v>
      </c>
      <c r="G29" s="889">
        <f>IF(Year4_Wokingham Year4_Care_Applications="","",Year4_Wokingham Year4_Care_Applications)</f>
        <v>31</v>
      </c>
      <c r="H29" s="890">
        <f>IF(Year5_Wokingham Year5_Care_Applications="","",Year5_Wokingham Year5_Care_Applications)</f>
        <v>29</v>
      </c>
      <c r="I29" s="900">
        <f t="shared" si="20"/>
        <v>3.0523389394357135E-2</v>
      </c>
      <c r="J29" s="896"/>
      <c r="K29" s="901">
        <f>IF(ISNUMBER(D29),D29/Population!D29*10000,NA())</f>
        <v>6.537262395655234</v>
      </c>
      <c r="L29" s="901">
        <f>IF(ISNUMBER(E29),E29/Population!E29*10000,NA())</f>
        <v>6.6706196264453013</v>
      </c>
      <c r="M29" s="901">
        <f>IF(ISNUMBER(F29),F29/Population!F29*10000,NA())</f>
        <v>7.5372608135378929</v>
      </c>
      <c r="N29" s="901">
        <f>IF(ISNUMBER(G29),G29/Population!G29*10000,NA())</f>
        <v>7.2906867356538099</v>
      </c>
      <c r="O29" s="902">
        <f>IF(ISNUMBER(H29),H29/Population!H29*10000,NA())</f>
        <v>6.6952948238444847</v>
      </c>
      <c r="P29" s="903">
        <f t="shared" si="21"/>
        <v>6.6952948238444847</v>
      </c>
      <c r="Q29" s="904">
        <f t="shared" si="16"/>
        <v>7</v>
      </c>
      <c r="R29" s="64"/>
      <c r="S29" s="905">
        <f t="shared" si="17"/>
        <v>4.4756771903286534</v>
      </c>
      <c r="T29" s="906">
        <f t="shared" si="0"/>
        <v>2.2196176335158313</v>
      </c>
      <c r="U29" s="89"/>
      <c r="V29" s="103"/>
      <c r="W29" s="115"/>
      <c r="X29" s="51" t="str">
        <f t="shared" si="1"/>
        <v>Wokingham</v>
      </c>
      <c r="Y29" s="27">
        <f>IF(H29&gt;0,IDACI!D27,0)</f>
        <v>33327</v>
      </c>
      <c r="Z29" s="27">
        <f>IF(H29&gt;0,IDACI!E27,0)</f>
        <v>1866.3120000000004</v>
      </c>
      <c r="AA29" s="155">
        <f>IF(ISNUMBER(D29),Population!D29,"")</f>
        <v>39772</v>
      </c>
      <c r="AB29" s="155">
        <f>IF(ISNUMBER(E29),Population!E29,"")</f>
        <v>40476</v>
      </c>
      <c r="AC29" s="155">
        <f>IF(ISNUMBER(F29),Population!F29,"")</f>
        <v>41129</v>
      </c>
      <c r="AD29" s="155">
        <f>IF(ISNUMBER(G29),Population!G29,"")</f>
        <v>42520</v>
      </c>
      <c r="AE29" s="155">
        <f>IF(ISNUMBER(H29),Population!H29,"")</f>
        <v>43314</v>
      </c>
      <c r="AF29" s="65" t="s">
        <v>16</v>
      </c>
      <c r="AG29" s="70">
        <f t="shared" si="2"/>
        <v>6.6952948238444847</v>
      </c>
      <c r="AH29" s="156">
        <f t="shared" si="3"/>
        <v>7</v>
      </c>
      <c r="AJ29" s="121"/>
      <c r="AK29" s="480">
        <f t="shared" si="4"/>
        <v>3.8461538461538464E-2</v>
      </c>
      <c r="AL29" s="480">
        <f t="shared" si="5"/>
        <v>0.14814814814814814</v>
      </c>
      <c r="AM29" s="480">
        <f t="shared" si="6"/>
        <v>0</v>
      </c>
      <c r="AN29" s="480">
        <f t="shared" si="7"/>
        <v>-6.4516129032258063E-2</v>
      </c>
      <c r="AO29" s="480">
        <f t="shared" si="22"/>
        <v>3.0523389394357135E-2</v>
      </c>
      <c r="AQ29" s="531">
        <f t="shared" si="8"/>
        <v>6.6706196264453013</v>
      </c>
      <c r="AR29" s="531">
        <f t="shared" si="9"/>
        <v>7.5372608135378929</v>
      </c>
      <c r="AS29" s="531">
        <f t="shared" si="10"/>
        <v>7.2906867356538099</v>
      </c>
      <c r="AT29" s="531">
        <f t="shared" si="11"/>
        <v>6.6952948238444847</v>
      </c>
      <c r="AU29" s="531">
        <f t="shared" si="23"/>
        <v>28.193861999481488</v>
      </c>
      <c r="AV29" s="350">
        <f t="shared" si="24"/>
        <v>0</v>
      </c>
      <c r="AW29" s="531">
        <f t="shared" si="25"/>
        <v>28.193861999481488</v>
      </c>
    </row>
    <row r="30" spans="1:49" s="61" customFormat="1" ht="15.75" customHeight="1">
      <c r="A30" s="1103"/>
      <c r="B30" s="886" t="str">
        <f>ReportData!$K$23</f>
        <v>South East</v>
      </c>
      <c r="C30" s="896"/>
      <c r="D30" s="892">
        <f>IF(Year1_South_East Year1_Care_Applications="","",Year1_South_East Year1_Care_Applications)</f>
        <v>1762</v>
      </c>
      <c r="E30" s="892">
        <f>IF(Year2_South_East Year2_Care_Applications="","",Year2_South_East Year2_Care_Applications)</f>
        <v>1810</v>
      </c>
      <c r="F30" s="892">
        <f>IF(Year3_South_East Year3_Care_Applications="","",Year3_South_East Year3_Care_Applications)</f>
        <v>1657</v>
      </c>
      <c r="G30" s="892">
        <f>IF(Year4_South_East Year4_Care_Applications="","",Year4_South_East Year4_Care_Applications)</f>
        <v>1553</v>
      </c>
      <c r="H30" s="1194">
        <f>IF(Year5_South_East Year5_Care_Applications="","",Year5_South_East Year5_Care_Applications)</f>
        <v>1428</v>
      </c>
      <c r="I30" s="907">
        <f t="shared" si="20"/>
        <v>-5.3404633465679918E-2</v>
      </c>
      <c r="J30" s="896"/>
      <c r="K30" s="908">
        <f>IF(ISNUMBER(D30),D30/AA30*10000,NA())</f>
        <v>9.1403647742169092</v>
      </c>
      <c r="L30" s="908">
        <f>IF(ISNUMBER(E30),E30/AB30*10000,NA())</f>
        <v>9.3746876183165853</v>
      </c>
      <c r="M30" s="908">
        <f>IF(ISNUMBER(F30),F30/AC30*10000,NA())</f>
        <v>8.5602284656268335</v>
      </c>
      <c r="N30" s="908">
        <f>IF(ISNUMBER(G30),G30/AD30*10000,NA())</f>
        <v>7.9024512864508836</v>
      </c>
      <c r="O30" s="909">
        <f>IF(ISNUMBER(H30),H30/AE30*10000,NA())</f>
        <v>7.3055398809319785</v>
      </c>
      <c r="P30" s="903">
        <f t="shared" si="21"/>
        <v>7.3055398809319785</v>
      </c>
      <c r="Q30" s="910" t="str">
        <f t="shared" ref="Q30:Q31" si="26">IF(ISNA(VLOOKUP(B30,$AF$11:$AH$29,3,FALSE)),"--",IF(ISNUMBER(H30),VLOOKUP(B30,$AF$11:$AH$29,3,FALSE),NA()))</f>
        <v>--</v>
      </c>
      <c r="R30" s="64"/>
      <c r="S30" s="911">
        <f t="shared" si="17"/>
        <v>8.1000731633012606</v>
      </c>
      <c r="T30" s="912">
        <f t="shared" si="0"/>
        <v>-0.79453328236928211</v>
      </c>
      <c r="U30" s="89"/>
      <c r="V30" s="103"/>
      <c r="W30" s="115"/>
      <c r="X30" s="51" t="str">
        <f t="shared" si="1"/>
        <v>South East</v>
      </c>
      <c r="Y30" s="27">
        <f>SUM(Y24:Y25,Y11:Y23,Y26:Y29)</f>
        <v>1704978</v>
      </c>
      <c r="Z30" s="27">
        <f>SUM(Z24:Z25,Z11:Z23,Z26:Z29)</f>
        <v>210927.40200000003</v>
      </c>
      <c r="AA30" s="155">
        <f>SUM(AA11:AA23,AA24:AA25,AA26:AA29)</f>
        <v>1927713</v>
      </c>
      <c r="AB30" s="155">
        <f>SUM(AB11:AB23,AB24:AB25,AB26:AB29)</f>
        <v>1930731</v>
      </c>
      <c r="AC30" s="155">
        <f>SUM(AC11:AC23,AC24:AC25,AC26:AC29)</f>
        <v>1935696</v>
      </c>
      <c r="AD30" s="155">
        <f>SUM(AD11:AD23,AD24:AD25,AD26:AD29)</f>
        <v>1965213</v>
      </c>
      <c r="AE30" s="155">
        <f>SUM(AE11:AE23,AE25:AE26,AE27:AE29)</f>
        <v>1954681</v>
      </c>
      <c r="AH30" s="141"/>
      <c r="AJ30" s="121"/>
      <c r="AK30" s="581">
        <f>IF(ISERROR((L30-K30)/K30),"x",(L30-K30)/K30)</f>
        <v>2.5636049532799028E-2</v>
      </c>
      <c r="AL30" s="581">
        <f>IF(ISERROR((M30-L30)/L30),"x",(M30-L30)/L30)</f>
        <v>-8.6878537808388792E-2</v>
      </c>
      <c r="AM30" s="581">
        <f>IF(ISERROR((N30-M30)/M30),"x",(N30-M30)/M30)</f>
        <v>-7.6841077526986698E-2</v>
      </c>
      <c r="AN30" s="581">
        <f>IF(ISERROR((O30-N30)/N30),"x",(O30-N30)/N30)</f>
        <v>-7.5534968060143204E-2</v>
      </c>
      <c r="AO30" s="480">
        <f t="shared" si="22"/>
        <v>-5.3404633465679918E-2</v>
      </c>
      <c r="AQ30" s="531">
        <f t="shared" si="8"/>
        <v>9.3746876183165853</v>
      </c>
      <c r="AR30" s="531">
        <f t="shared" si="9"/>
        <v>8.5602284656268335</v>
      </c>
      <c r="AS30" s="531">
        <f t="shared" si="10"/>
        <v>7.9024512864508836</v>
      </c>
      <c r="AT30" s="531">
        <f t="shared" si="11"/>
        <v>7.3055398809319785</v>
      </c>
      <c r="AU30" s="531">
        <f t="shared" si="23"/>
        <v>33.142907251326285</v>
      </c>
      <c r="AV30" s="350">
        <f t="shared" si="24"/>
        <v>0</v>
      </c>
      <c r="AW30" s="531">
        <f t="shared" si="25"/>
        <v>33.142907251326285</v>
      </c>
    </row>
    <row r="31" spans="1:49" s="61" customFormat="1" ht="15.75" customHeight="1">
      <c r="A31" s="1103"/>
      <c r="B31" s="887" t="str">
        <f>ReportData!$K$24</f>
        <v>England</v>
      </c>
      <c r="C31" s="896"/>
      <c r="D31" s="894">
        <f>IF(Year1_England Year1_Care_Applications="","",Year1_England Year1_Care_Applications)</f>
        <v>13084</v>
      </c>
      <c r="E31" s="894">
        <f>IF(Year2_England Year2_Care_Applications="","",Year2_England Year2_Care_Applications)</f>
        <v>12786</v>
      </c>
      <c r="F31" s="894">
        <f>IF(Year3_England Year3_Care_Applications="","",Year3_England Year3_Care_Applications)</f>
        <v>11900</v>
      </c>
      <c r="G31" s="894">
        <f>IF(Year4_England Year4_Care_Applications="","",Year4_England Year4_Care_Applications)</f>
        <v>11942</v>
      </c>
      <c r="H31" s="1195">
        <f>IF(Year5_England Year5_Care_Applications="","",Year5_England Year5_Care_Applications)</f>
        <v>11445</v>
      </c>
      <c r="I31" s="913">
        <f t="shared" si="20"/>
        <v>-3.2539714526982649E-2</v>
      </c>
      <c r="J31" s="896"/>
      <c r="K31" s="914">
        <f>IF(ISNUMBER(D31),D31/Population!D31*10000,NA())</f>
        <v>11.097077204242197</v>
      </c>
      <c r="L31" s="914">
        <f>IF(ISNUMBER(E31),E31/Population!E31*10000,NA())</f>
        <v>10.84681323748956</v>
      </c>
      <c r="M31" s="914">
        <f>IF(ISNUMBER(F31),F31/Population!F31*10000,NA())</f>
        <v>10.116571811762395</v>
      </c>
      <c r="N31" s="914">
        <f>IF(ISNUMBER(G31),G31/Population!G31*10000,NA())</f>
        <v>10.047292611369762</v>
      </c>
      <c r="O31" s="1086">
        <f>IF(ISNUMBER(H31),H31/Population!H31*10000,NA())</f>
        <v>9.5385762693557261</v>
      </c>
      <c r="P31" s="903">
        <f t="shared" si="21"/>
        <v>9.5385762693557261</v>
      </c>
      <c r="Q31" s="916" t="str">
        <f t="shared" si="26"/>
        <v>--</v>
      </c>
      <c r="R31" s="64"/>
      <c r="S31" s="917">
        <f t="shared" si="17"/>
        <v>10.622836061369796</v>
      </c>
      <c r="T31" s="1087">
        <f t="shared" si="0"/>
        <v>-1.0842597920140697</v>
      </c>
      <c r="U31" s="89"/>
      <c r="V31" s="103"/>
      <c r="W31" s="115"/>
      <c r="X31" s="51" t="str">
        <f t="shared" si="1"/>
        <v>England</v>
      </c>
      <c r="Y31" s="27">
        <f>IF(H31&gt;0,IDACI!D29,0)</f>
        <v>10405050</v>
      </c>
      <c r="Z31" s="27">
        <f>IF(H31&gt;0,IDACI!E29,0)</f>
        <v>1777641.7570000088</v>
      </c>
      <c r="AA31" s="155">
        <f>IF(ISNUMBER(D31),Population!D31,"")</f>
        <v>11790492</v>
      </c>
      <c r="AB31" s="155">
        <f>IF(ISNUMBER(E31),Population!E31,"")</f>
        <v>11787794</v>
      </c>
      <c r="AC31" s="155">
        <f>IF(ISNUMBER(F31),Population!F31,"")</f>
        <v>11762878</v>
      </c>
      <c r="AD31" s="155">
        <f>IF(ISNUMBER(G31),Population!G31,"")</f>
        <v>11885789</v>
      </c>
      <c r="AE31" s="155">
        <f>IF(ISNUMBER(H31),Population!H31,"")</f>
        <v>11998646</v>
      </c>
      <c r="AH31" s="141"/>
      <c r="AJ31" s="121"/>
      <c r="AK31" s="480">
        <f>IF(ISERROR((E31-D31)/D31),"x",(E31-D31)/D31)</f>
        <v>-2.2775909507795782E-2</v>
      </c>
      <c r="AL31" s="480">
        <f>IF(ISERROR((F31-E31)/E31),"x",(F31-E31)/E31)</f>
        <v>-6.9294540904113869E-2</v>
      </c>
      <c r="AM31" s="480">
        <f>IF(ISERROR((G31-F31)/F31),"x",(G31-F31)/F31)</f>
        <v>3.5294117647058825E-3</v>
      </c>
      <c r="AN31" s="480">
        <f>IF(ISERROR((H31-G31)/G31),"x",(H31-G31)/G31)</f>
        <v>-4.1617819460726846E-2</v>
      </c>
      <c r="AO31" s="480">
        <f t="shared" si="22"/>
        <v>-3.2539714526982649E-2</v>
      </c>
      <c r="AQ31" s="531">
        <f t="shared" si="8"/>
        <v>10.84681323748956</v>
      </c>
      <c r="AR31" s="531">
        <f t="shared" si="9"/>
        <v>10.116571811762395</v>
      </c>
      <c r="AS31" s="531">
        <f t="shared" si="10"/>
        <v>10.047292611369762</v>
      </c>
      <c r="AT31" s="531">
        <f t="shared" si="11"/>
        <v>9.5385762693557261</v>
      </c>
      <c r="AU31" s="531">
        <f t="shared" si="23"/>
        <v>40.549253929977439</v>
      </c>
      <c r="AV31" s="350">
        <f t="shared" si="24"/>
        <v>0</v>
      </c>
      <c r="AW31" s="531">
        <f t="shared" si="25"/>
        <v>40.549253929977439</v>
      </c>
    </row>
    <row r="32" spans="1:49" s="56" customFormat="1" ht="12.75" customHeight="1">
      <c r="A32" s="87"/>
      <c r="B32" s="1077"/>
      <c r="C32" s="1184"/>
      <c r="D32" s="1184"/>
      <c r="E32" s="1184"/>
      <c r="F32" s="1184"/>
      <c r="G32" s="1184"/>
      <c r="H32" s="1184"/>
      <c r="I32" s="1184"/>
      <c r="J32" s="1184"/>
      <c r="K32" s="1184"/>
      <c r="L32" s="1184"/>
      <c r="M32" s="1184"/>
      <c r="N32" s="1184"/>
      <c r="O32" s="1184"/>
      <c r="P32" s="1184"/>
      <c r="Q32" s="1091" t="s">
        <v>100</v>
      </c>
      <c r="R32" s="1113"/>
      <c r="S32" s="1184"/>
      <c r="T32" s="1184"/>
      <c r="U32" s="86"/>
      <c r="V32" s="121"/>
      <c r="W32" s="114"/>
      <c r="X32" s="55"/>
      <c r="Y32" s="52"/>
      <c r="Z32" s="52"/>
      <c r="AA32" s="52"/>
      <c r="AB32" s="52"/>
      <c r="AC32" s="52"/>
      <c r="AD32" s="52"/>
      <c r="AE32" s="52"/>
      <c r="AF32" s="52"/>
      <c r="AG32" s="52"/>
      <c r="AI32" s="52"/>
      <c r="AJ32" s="122"/>
    </row>
    <row r="33" spans="1:50"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Y33" s="141"/>
      <c r="AI33" s="52"/>
      <c r="AJ33" s="119"/>
      <c r="AK33" s="52"/>
      <c r="AL33" s="52"/>
      <c r="AM33" s="52"/>
      <c r="AN33" s="52"/>
      <c r="AO33" s="52"/>
      <c r="AP33" s="52"/>
      <c r="AQ33" s="52"/>
    </row>
    <row r="34" spans="1:50" s="56" customFormat="1" ht="15" customHeight="1">
      <c r="A34" s="1565"/>
      <c r="B34" s="1751"/>
      <c r="C34" s="1751"/>
      <c r="D34" s="1751"/>
      <c r="E34" s="1751"/>
      <c r="F34" s="1751"/>
      <c r="G34" s="1751"/>
      <c r="H34" s="1751"/>
      <c r="I34" s="1751"/>
      <c r="J34" s="1751"/>
      <c r="K34" s="1751"/>
      <c r="L34" s="1751"/>
      <c r="M34" s="1751"/>
      <c r="N34" s="1751"/>
      <c r="O34" s="1751"/>
      <c r="P34" s="1751"/>
      <c r="Q34" s="1751"/>
      <c r="R34" s="1751"/>
      <c r="S34" s="1751"/>
      <c r="T34" s="1751"/>
      <c r="U34" s="1752"/>
      <c r="V34" s="185"/>
      <c r="W34" s="114"/>
      <c r="Y34" s="141"/>
      <c r="AJ34" s="122"/>
      <c r="AL34" s="56">
        <f>COLUMNS($B$4:K$4)</f>
        <v>10</v>
      </c>
      <c r="AM34" s="56">
        <f>COLUMNS($B$4:L$4)</f>
        <v>11</v>
      </c>
      <c r="AN34" s="56">
        <f>COLUMNS($B$4:M$4)</f>
        <v>12</v>
      </c>
      <c r="AO34" s="56">
        <f>COLUMNS($B$4:N$4)</f>
        <v>13</v>
      </c>
      <c r="AP34" s="56">
        <f>COLUMNS($B$4:O$4)</f>
        <v>14</v>
      </c>
      <c r="AQ34" s="56">
        <f>COLUMNS($B$4:R$4)</f>
        <v>17</v>
      </c>
    </row>
    <row r="35" spans="1:50" s="56" customFormat="1" ht="11.45" customHeight="1">
      <c r="A35" s="1739"/>
      <c r="B35" s="1740"/>
      <c r="C35" s="1740"/>
      <c r="D35" s="1740"/>
      <c r="E35" s="1740"/>
      <c r="F35" s="1740"/>
      <c r="G35" s="1740"/>
      <c r="H35" s="1740"/>
      <c r="I35" s="1741"/>
      <c r="J35" s="1740"/>
      <c r="K35" s="1740"/>
      <c r="L35" s="1740"/>
      <c r="M35" s="1740"/>
      <c r="N35" s="1740"/>
      <c r="O35" s="1740"/>
      <c r="P35" s="1742"/>
      <c r="Q35" s="1740"/>
      <c r="R35" s="1740"/>
      <c r="S35" s="1741"/>
      <c r="T35" s="1740"/>
      <c r="U35" s="1743"/>
      <c r="V35" s="185"/>
      <c r="W35" s="114"/>
      <c r="Y35" s="141"/>
      <c r="AI35" s="52"/>
      <c r="AJ35" s="121"/>
      <c r="AK35" s="61"/>
      <c r="AL35" s="1738" t="s">
        <v>85</v>
      </c>
      <c r="AM35" s="1738"/>
      <c r="AN35" s="1738"/>
      <c r="AO35" s="1738"/>
      <c r="AP35" s="1738"/>
      <c r="AQ35" s="1738" t="s">
        <v>862</v>
      </c>
    </row>
    <row r="36" spans="1:50" s="56" customFormat="1" ht="11.1" customHeight="1">
      <c r="A36" s="81"/>
      <c r="B36" s="82"/>
      <c r="C36" s="82"/>
      <c r="D36" s="82"/>
      <c r="E36" s="82"/>
      <c r="F36" s="82"/>
      <c r="G36" s="82"/>
      <c r="H36" s="82"/>
      <c r="I36" s="82"/>
      <c r="J36" s="83"/>
      <c r="K36" s="82"/>
      <c r="L36" s="82"/>
      <c r="M36" s="82"/>
      <c r="N36" s="82"/>
      <c r="O36" s="82"/>
      <c r="P36" s="82"/>
      <c r="Q36" s="82"/>
      <c r="R36" s="82"/>
      <c r="S36" s="82"/>
      <c r="T36" s="82"/>
      <c r="U36" s="84"/>
      <c r="V36" s="102"/>
      <c r="W36" s="1093" t="s">
        <v>94</v>
      </c>
      <c r="X36" s="147"/>
      <c r="Y36" s="147"/>
      <c r="Z36" s="147"/>
      <c r="AA36" s="147"/>
      <c r="AB36" s="147"/>
      <c r="AI36" s="52"/>
      <c r="AJ36" s="121"/>
      <c r="AK36" s="61"/>
      <c r="AL36" s="444" t="str">
        <f>ReportData!$D$27</f>
        <v>2019/20</v>
      </c>
      <c r="AM36" s="444" t="str">
        <f>ReportData!$E$27</f>
        <v>2020/21</v>
      </c>
      <c r="AN36" s="444" t="str">
        <f>ReportData!$F$27</f>
        <v>2021/22</v>
      </c>
      <c r="AO36" s="444" t="str">
        <f>ReportData!$G$27</f>
        <v>2022/23</v>
      </c>
      <c r="AP36" s="444" t="str">
        <f>ReportData!$H$27</f>
        <v>2023/24</v>
      </c>
      <c r="AQ36" s="1738"/>
    </row>
    <row r="37" spans="1:50" s="56" customFormat="1" ht="3.75" customHeight="1">
      <c r="A37" s="85"/>
      <c r="B37" s="5"/>
      <c r="C37" s="5"/>
      <c r="D37" s="5"/>
      <c r="E37" s="5"/>
      <c r="F37" s="5"/>
      <c r="G37" s="5"/>
      <c r="H37" s="5"/>
      <c r="I37" s="5"/>
      <c r="J37" s="1"/>
      <c r="K37" s="5"/>
      <c r="L37" s="5"/>
      <c r="M37" s="5"/>
      <c r="N37" s="5"/>
      <c r="O37" s="5"/>
      <c r="P37" s="5"/>
      <c r="Q37" s="5"/>
      <c r="R37" s="5"/>
      <c r="S37" s="5"/>
      <c r="T37" s="5"/>
      <c r="U37" s="86"/>
      <c r="V37" s="102"/>
      <c r="W37" s="218"/>
      <c r="AC37" s="748" t="s">
        <v>762</v>
      </c>
      <c r="AJ37" s="121"/>
      <c r="AK37" s="61"/>
      <c r="AL37" s="444" t="e">
        <f>ReportData!$D$28</f>
        <v>#N/A</v>
      </c>
      <c r="AM37" s="444" t="e">
        <f>ReportData!$E$28</f>
        <v>#N/A</v>
      </c>
      <c r="AN37" s="444" t="e">
        <f>ReportData!$F$28</f>
        <v>#N/A</v>
      </c>
      <c r="AO37" s="444" t="e">
        <f>ReportData!$G$28</f>
        <v>#N/A</v>
      </c>
      <c r="AP37" s="444" t="e">
        <f>ReportData!$H$28</f>
        <v>#N/A</v>
      </c>
      <c r="AQ37" s="1738"/>
    </row>
    <row r="38" spans="1:50" s="56" customFormat="1" ht="14.25" customHeight="1">
      <c r="A38" s="87"/>
      <c r="B38" s="5"/>
      <c r="C38" s="5"/>
      <c r="D38" s="5"/>
      <c r="E38" s="5"/>
      <c r="F38" s="5"/>
      <c r="G38" s="5"/>
      <c r="H38" s="5"/>
      <c r="I38" s="5"/>
      <c r="J38" s="1"/>
      <c r="K38" s="5"/>
      <c r="L38" s="5"/>
      <c r="M38" s="5"/>
      <c r="N38" s="5"/>
      <c r="O38" s="5"/>
      <c r="P38" s="5"/>
      <c r="Q38" s="5"/>
      <c r="R38" s="5"/>
      <c r="S38" s="5"/>
      <c r="T38" s="5"/>
      <c r="U38" s="86"/>
      <c r="V38" s="102"/>
      <c r="W38" s="218"/>
      <c r="X38" s="26" t="s">
        <v>69</v>
      </c>
      <c r="Y38" s="26" t="s">
        <v>67</v>
      </c>
      <c r="Z38" s="26" t="s">
        <v>68</v>
      </c>
      <c r="AA38" s="693">
        <v>3</v>
      </c>
      <c r="AB38" s="165">
        <f>(AA38*Y39)+Z39</f>
        <v>4.7704995479162093</v>
      </c>
      <c r="AC38" s="156">
        <f>ROUND(ChartLabels!$X33,3)</f>
        <v>0.32100000000000001</v>
      </c>
      <c r="AI38" s="361" t="b">
        <v>1</v>
      </c>
      <c r="AJ38" s="921" t="s">
        <v>0</v>
      </c>
      <c r="AK38" s="61" t="str">
        <f t="shared" ref="AK38:AK58" si="27">IF(AI38=TRUE,B11,"")</f>
        <v>Bracknell Forest</v>
      </c>
      <c r="AL38" s="110">
        <f t="shared" ref="AL38:AP47" si="28">VLOOKUP($AK38,$B$11:$O$31,AL$34,FALSE)</f>
        <v>10.623488900285734</v>
      </c>
      <c r="AM38" s="110">
        <f t="shared" si="28"/>
        <v>6.8855548307603094</v>
      </c>
      <c r="AN38" s="110">
        <f t="shared" si="28"/>
        <v>8.6259569420982647</v>
      </c>
      <c r="AO38" s="110">
        <f t="shared" si="28"/>
        <v>7.4126367807977411</v>
      </c>
      <c r="AP38" s="110">
        <f t="shared" si="28"/>
        <v>5.9343037665375089</v>
      </c>
      <c r="AQ38" s="111">
        <f>VLOOKUP(AK38,IDACI!$B$8:$C$29,2,FALSE)</f>
        <v>8.9</v>
      </c>
    </row>
    <row r="39" spans="1:50" s="56" customFormat="1" ht="14.25" customHeight="1">
      <c r="A39" s="87"/>
      <c r="B39" s="5"/>
      <c r="C39" s="5"/>
      <c r="D39" s="5"/>
      <c r="E39" s="5"/>
      <c r="F39" s="5"/>
      <c r="G39" s="5"/>
      <c r="H39" s="5"/>
      <c r="I39" s="5"/>
      <c r="J39" s="1"/>
      <c r="K39" s="5"/>
      <c r="L39" s="5"/>
      <c r="M39" s="5"/>
      <c r="N39" s="5"/>
      <c r="O39" s="5"/>
      <c r="P39" s="5"/>
      <c r="Q39" s="5"/>
      <c r="R39" s="5"/>
      <c r="S39" s="5"/>
      <c r="T39" s="5"/>
      <c r="U39" s="86"/>
      <c r="V39" s="102"/>
      <c r="W39" s="218"/>
      <c r="X39" s="161" t="str">
        <f>"Y= "&amp;Y39&amp;"x + "&amp;Z39</f>
        <v>Y= 0.376867976703989x + 3.63989561780424</v>
      </c>
      <c r="Y39" s="433">
        <f>ChartLabels!$V33</f>
        <v>0.37686797670398936</v>
      </c>
      <c r="Z39" s="433">
        <f>ChartLabels!$W33</f>
        <v>3.6398956178042416</v>
      </c>
      <c r="AA39" s="164">
        <v>22</v>
      </c>
      <c r="AB39" s="165">
        <f>(AA39*Y39)+Z39</f>
        <v>11.930991105292009</v>
      </c>
      <c r="AC39" s="747" t="str">
        <f>AC37&amp;" = "&amp;AC38</f>
        <v>r² = 0.321</v>
      </c>
      <c r="AI39" s="361" t="b">
        <v>1</v>
      </c>
      <c r="AJ39" s="921" t="s">
        <v>28</v>
      </c>
      <c r="AK39" s="61" t="str">
        <f t="shared" si="27"/>
        <v>Brighton &amp; Hove</v>
      </c>
      <c r="AL39" s="110">
        <f t="shared" si="28"/>
        <v>16.32163960166935</v>
      </c>
      <c r="AM39" s="110">
        <f t="shared" si="28"/>
        <v>13.134851138353765</v>
      </c>
      <c r="AN39" s="110">
        <f t="shared" si="28"/>
        <v>14.217506631299734</v>
      </c>
      <c r="AO39" s="110">
        <f t="shared" si="28"/>
        <v>7.8489605430632157</v>
      </c>
      <c r="AP39" s="110">
        <f t="shared" si="28"/>
        <v>9.6429948999271424</v>
      </c>
      <c r="AQ39" s="111">
        <f>VLOOKUP(AK39,IDACI!$B$8:$C$29,2,FALSE)</f>
        <v>15.299999999999999</v>
      </c>
    </row>
    <row r="40" spans="1:50" ht="14.25" customHeight="1">
      <c r="A40" s="87"/>
      <c r="B40" s="5"/>
      <c r="C40" s="5"/>
      <c r="D40" s="5"/>
      <c r="E40" s="5"/>
      <c r="F40" s="5"/>
      <c r="G40" s="5"/>
      <c r="H40" s="5"/>
      <c r="I40" s="5"/>
      <c r="J40" s="1"/>
      <c r="K40" s="5"/>
      <c r="L40" s="5"/>
      <c r="M40" s="5"/>
      <c r="N40" s="5"/>
      <c r="O40" s="5"/>
      <c r="P40" s="5"/>
      <c r="Q40" s="5"/>
      <c r="R40" s="5"/>
      <c r="S40" s="5"/>
      <c r="T40" s="5"/>
      <c r="U40" s="86"/>
      <c r="V40" s="102"/>
      <c r="W40" s="218"/>
      <c r="X40" s="26" t="str">
        <f>"National Trend "&amp;ReportData!$B$8</f>
        <v>National Trend 2024</v>
      </c>
      <c r="Y40" s="26" t="s">
        <v>67</v>
      </c>
      <c r="Z40" s="26" t="s">
        <v>68</v>
      </c>
      <c r="AA40" s="693">
        <v>3</v>
      </c>
      <c r="AB40" s="165">
        <f>((AA40*Y41)+Z41)/$X$2</f>
        <v>3.0839985297792434</v>
      </c>
      <c r="AC40" s="747" t="str">
        <f>$AC$37&amp;" = "&amp;AC41</f>
        <v>r² = 0.298</v>
      </c>
      <c r="AI40" s="361" t="b">
        <v>1</v>
      </c>
      <c r="AJ40" s="921" t="s">
        <v>8</v>
      </c>
      <c r="AK40" s="61" t="str">
        <f t="shared" si="27"/>
        <v>Buckinghamshire</v>
      </c>
      <c r="AL40" s="110">
        <f t="shared" si="28"/>
        <v>7.3687744090652298</v>
      </c>
      <c r="AM40" s="110">
        <f t="shared" si="28"/>
        <v>8.4085064696518224</v>
      </c>
      <c r="AN40" s="110">
        <f t="shared" si="28"/>
        <v>6.7201036353331718</v>
      </c>
      <c r="AO40" s="110">
        <f t="shared" si="28"/>
        <v>4.6857006710876385</v>
      </c>
      <c r="AP40" s="110">
        <f t="shared" si="28"/>
        <v>6.0337261785356064</v>
      </c>
      <c r="AQ40" s="111">
        <f>VLOOKUP(AK40,IDACI!$B$8:$C$29,2,FALSE)</f>
        <v>8.5</v>
      </c>
      <c r="AR40" s="56"/>
      <c r="AS40" s="56"/>
      <c r="AT40" s="56"/>
      <c r="AU40" s="56"/>
      <c r="AV40" s="56"/>
      <c r="AW40" s="56"/>
      <c r="AX40" s="56"/>
    </row>
    <row r="41" spans="1:50" ht="14.25" customHeight="1">
      <c r="A41" s="87"/>
      <c r="B41" s="5"/>
      <c r="C41" s="5"/>
      <c r="D41" s="5"/>
      <c r="E41" s="5"/>
      <c r="F41" s="5"/>
      <c r="G41" s="5"/>
      <c r="H41" s="5"/>
      <c r="I41" s="5"/>
      <c r="J41" s="1"/>
      <c r="K41" s="10"/>
      <c r="L41" s="10"/>
      <c r="M41" s="10"/>
      <c r="N41" s="10"/>
      <c r="O41" s="5"/>
      <c r="P41" s="5"/>
      <c r="Q41" s="5"/>
      <c r="R41" s="5"/>
      <c r="S41" s="5"/>
      <c r="T41" s="5"/>
      <c r="U41" s="86"/>
      <c r="V41" s="102"/>
      <c r="W41" s="218"/>
      <c r="X41" s="51" t="str">
        <f>"Y= "&amp;Y41&amp;"x + "&amp;Z41</f>
        <v>Y= 0.535261023288235x + 1.47821545991454</v>
      </c>
      <c r="Y41" s="433">
        <f>ReportData!$F$11</f>
        <v>0.53526102328823477</v>
      </c>
      <c r="Z41" s="433">
        <f>ReportData!$F$12</f>
        <v>1.478215459914539</v>
      </c>
      <c r="AA41" s="164">
        <v>22</v>
      </c>
      <c r="AB41" s="165">
        <f>((AA41*Y41)+Z41)/$X$2</f>
        <v>13.253957972255703</v>
      </c>
      <c r="AC41" s="694">
        <f>ROUND(ReportData!$F$13,3)</f>
        <v>0.29799999999999999</v>
      </c>
      <c r="AI41" s="361" t="b">
        <v>1</v>
      </c>
      <c r="AJ41" s="921" t="s">
        <v>4</v>
      </c>
      <c r="AK41" s="61" t="str">
        <f t="shared" si="27"/>
        <v>East Sussex</v>
      </c>
      <c r="AL41" s="110">
        <f t="shared" si="28"/>
        <v>6.7041711604045826</v>
      </c>
      <c r="AM41" s="110">
        <f t="shared" si="28"/>
        <v>8.103965084603443</v>
      </c>
      <c r="AN41" s="110">
        <f t="shared" si="28"/>
        <v>5.9827970066399239</v>
      </c>
      <c r="AO41" s="110">
        <f t="shared" si="28"/>
        <v>6.7104303428154628</v>
      </c>
      <c r="AP41" s="110">
        <f t="shared" si="28"/>
        <v>6.7563654614597608</v>
      </c>
      <c r="AQ41" s="111">
        <f>VLOOKUP(AK41,IDACI!$B$8:$C$29,2,FALSE)</f>
        <v>16.100000000000001</v>
      </c>
      <c r="AR41" s="56"/>
      <c r="AS41" s="56"/>
      <c r="AT41" s="56"/>
      <c r="AU41" s="56"/>
      <c r="AV41" s="56"/>
      <c r="AW41" s="56"/>
      <c r="AX41" s="56"/>
    </row>
    <row r="42" spans="1:50" ht="14.25" customHeight="1">
      <c r="A42" s="87"/>
      <c r="B42" s="76"/>
      <c r="C42" s="76"/>
      <c r="D42" s="77"/>
      <c r="E42" s="77"/>
      <c r="F42" s="77"/>
      <c r="G42" s="77"/>
      <c r="H42" s="77"/>
      <c r="I42" s="77"/>
      <c r="J42" s="1"/>
      <c r="K42" s="5"/>
      <c r="L42" s="5"/>
      <c r="M42" s="5"/>
      <c r="N42" s="5"/>
      <c r="O42" s="5"/>
      <c r="P42" s="5"/>
      <c r="Q42" s="5"/>
      <c r="R42" s="5"/>
      <c r="S42" s="5"/>
      <c r="T42" s="5"/>
      <c r="U42" s="86"/>
      <c r="V42" s="102"/>
      <c r="W42" s="218"/>
      <c r="X42" s="52"/>
      <c r="Y42" s="52"/>
      <c r="Z42" s="52"/>
      <c r="AA42" s="52"/>
      <c r="AB42" s="52"/>
      <c r="AC42" s="52"/>
      <c r="AI42" s="361" t="b">
        <v>1</v>
      </c>
      <c r="AJ42" s="921" t="s">
        <v>6</v>
      </c>
      <c r="AK42" s="61" t="str">
        <f t="shared" si="27"/>
        <v>Hampshire</v>
      </c>
      <c r="AL42" s="110">
        <f t="shared" si="28"/>
        <v>7.3745256676451634</v>
      </c>
      <c r="AM42" s="110">
        <f t="shared" si="28"/>
        <v>8.9095306931543323</v>
      </c>
      <c r="AN42" s="110">
        <f t="shared" si="28"/>
        <v>7.7955640037162413</v>
      </c>
      <c r="AO42" s="110">
        <f t="shared" si="28"/>
        <v>7.9015968986232172</v>
      </c>
      <c r="AP42" s="110">
        <f t="shared" si="28"/>
        <v>7.7728370855362208</v>
      </c>
      <c r="AQ42" s="111">
        <f>VLOOKUP(AK42,IDACI!$B$8:$C$29,2,FALSE)</f>
        <v>10.100000000000001</v>
      </c>
      <c r="AR42" s="56"/>
      <c r="AS42" s="56"/>
      <c r="AT42" s="56"/>
      <c r="AU42" s="56"/>
      <c r="AV42" s="56"/>
      <c r="AW42" s="56"/>
      <c r="AX42" s="56"/>
    </row>
    <row r="43" spans="1:50" ht="14.25" customHeight="1">
      <c r="A43" s="87"/>
      <c r="B43" s="77"/>
      <c r="C43" s="77"/>
      <c r="D43" s="77"/>
      <c r="E43" s="77"/>
      <c r="F43" s="77"/>
      <c r="G43" s="77"/>
      <c r="H43" s="77"/>
      <c r="I43" s="77"/>
      <c r="J43" s="1"/>
      <c r="K43" s="5"/>
      <c r="L43" s="5"/>
      <c r="M43" s="5"/>
      <c r="N43" s="5"/>
      <c r="O43" s="5"/>
      <c r="P43" s="5"/>
      <c r="Q43" s="5"/>
      <c r="R43" s="5"/>
      <c r="S43" s="5"/>
      <c r="T43" s="5"/>
      <c r="U43" s="86"/>
      <c r="V43" s="102"/>
      <c r="W43" s="218"/>
      <c r="AI43" s="361" t="b">
        <v>1</v>
      </c>
      <c r="AJ43" s="921" t="s">
        <v>1</v>
      </c>
      <c r="AK43" s="61" t="str">
        <f t="shared" si="27"/>
        <v>Isle of Wight</v>
      </c>
      <c r="AL43" s="110">
        <f t="shared" si="28"/>
        <v>10.699148183202338</v>
      </c>
      <c r="AM43" s="110">
        <f t="shared" si="28"/>
        <v>13.393604553825547</v>
      </c>
      <c r="AN43" s="110">
        <f t="shared" si="28"/>
        <v>13.538669825689626</v>
      </c>
      <c r="AO43" s="110">
        <f t="shared" si="28"/>
        <v>15.297017081669075</v>
      </c>
      <c r="AP43" s="110">
        <f t="shared" si="28"/>
        <v>13.226384503797252</v>
      </c>
      <c r="AQ43" s="111">
        <f>VLOOKUP(AK43,IDACI!$B$8:$C$29,2,FALSE)</f>
        <v>18</v>
      </c>
      <c r="AR43" s="237"/>
      <c r="AS43" s="237"/>
      <c r="AT43" s="237"/>
      <c r="AU43" s="237"/>
      <c r="AV43" s="237"/>
    </row>
    <row r="44" spans="1:50" ht="14.25" customHeight="1">
      <c r="A44" s="87"/>
      <c r="B44" s="77"/>
      <c r="C44" s="77"/>
      <c r="D44" s="77"/>
      <c r="E44" s="77"/>
      <c r="F44" s="77"/>
      <c r="G44" s="77"/>
      <c r="H44" s="77"/>
      <c r="I44" s="77"/>
      <c r="J44" s="1"/>
      <c r="K44" s="5"/>
      <c r="L44" s="5"/>
      <c r="M44" s="5"/>
      <c r="N44" s="5"/>
      <c r="O44" s="5"/>
      <c r="P44" s="5"/>
      <c r="Q44" s="5"/>
      <c r="R44" s="5"/>
      <c r="S44" s="5"/>
      <c r="T44" s="5"/>
      <c r="U44" s="86"/>
      <c r="V44" s="102"/>
      <c r="W44" s="218"/>
      <c r="AC44" s="157"/>
      <c r="AI44" s="361" t="b">
        <v>1</v>
      </c>
      <c r="AJ44" s="921" t="s">
        <v>9</v>
      </c>
      <c r="AK44" s="61" t="str">
        <f t="shared" si="27"/>
        <v>Kent</v>
      </c>
      <c r="AL44" s="110">
        <f t="shared" si="28"/>
        <v>8.099765106811903</v>
      </c>
      <c r="AM44" s="110">
        <f t="shared" si="28"/>
        <v>7.0569097911633136</v>
      </c>
      <c r="AN44" s="110">
        <f t="shared" si="28"/>
        <v>7.974030842837208</v>
      </c>
      <c r="AO44" s="110">
        <f t="shared" si="28"/>
        <v>7.6708141562979426</v>
      </c>
      <c r="AP44" s="110">
        <f t="shared" si="28"/>
        <v>5.8851899911578611</v>
      </c>
      <c r="AQ44" s="111">
        <f>VLOOKUP(AK44,IDACI!$B$8:$C$29,2,FALSE)</f>
        <v>15.8</v>
      </c>
      <c r="AR44" s="237"/>
      <c r="AS44" s="237"/>
      <c r="AT44" s="237"/>
      <c r="AU44" s="237"/>
      <c r="AV44" s="237"/>
    </row>
    <row r="45" spans="1:50" ht="14.25" customHeight="1">
      <c r="A45" s="87"/>
      <c r="B45" s="40"/>
      <c r="C45" s="40"/>
      <c r="D45" s="40"/>
      <c r="E45" s="40"/>
      <c r="F45" s="40"/>
      <c r="G45" s="40"/>
      <c r="H45" s="40"/>
      <c r="I45" s="40"/>
      <c r="J45" s="1"/>
      <c r="K45" s="5"/>
      <c r="L45" s="5"/>
      <c r="M45" s="5"/>
      <c r="N45" s="5"/>
      <c r="O45" s="5"/>
      <c r="P45" s="5"/>
      <c r="Q45" s="5"/>
      <c r="R45" s="5"/>
      <c r="S45" s="5"/>
      <c r="T45" s="5"/>
      <c r="U45" s="86"/>
      <c r="V45" s="102"/>
      <c r="W45" s="218"/>
      <c r="AC45" s="52"/>
      <c r="AI45" s="361" t="b">
        <v>1</v>
      </c>
      <c r="AJ45" s="921" t="s">
        <v>2</v>
      </c>
      <c r="AK45" s="61" t="str">
        <f t="shared" si="27"/>
        <v>Medway</v>
      </c>
      <c r="AL45" s="110">
        <f t="shared" si="28"/>
        <v>14.763161201155924</v>
      </c>
      <c r="AM45" s="110">
        <f t="shared" si="28"/>
        <v>11.146871810974172</v>
      </c>
      <c r="AN45" s="110">
        <f t="shared" si="28"/>
        <v>13.319334973439679</v>
      </c>
      <c r="AO45" s="110">
        <f t="shared" si="28"/>
        <v>12.932029866830883</v>
      </c>
      <c r="AP45" s="110">
        <f t="shared" si="28"/>
        <v>10.046935684616193</v>
      </c>
      <c r="AQ45" s="111">
        <f>VLOOKUP(AK45,IDACI!$B$8:$C$29,2,FALSE)</f>
        <v>18.899999999999999</v>
      </c>
      <c r="AR45" s="237"/>
      <c r="AS45" s="237"/>
      <c r="AT45" s="237"/>
      <c r="AU45" s="237"/>
      <c r="AV45" s="237"/>
    </row>
    <row r="46" spans="1:50" ht="14.25" customHeight="1">
      <c r="A46" s="87"/>
      <c r="B46" s="40"/>
      <c r="C46" s="40"/>
      <c r="D46" s="49"/>
      <c r="E46" s="50"/>
      <c r="F46" s="49"/>
      <c r="G46" s="50"/>
      <c r="H46" s="50"/>
      <c r="I46" s="50"/>
      <c r="J46" s="1"/>
      <c r="K46" s="5"/>
      <c r="L46" s="5"/>
      <c r="M46" s="5"/>
      <c r="N46" s="5"/>
      <c r="O46" s="5"/>
      <c r="P46" s="5"/>
      <c r="Q46" s="5"/>
      <c r="R46" s="5"/>
      <c r="S46" s="5"/>
      <c r="T46" s="5"/>
      <c r="U46" s="86"/>
      <c r="V46" s="102"/>
      <c r="W46" s="218"/>
      <c r="AI46" s="361" t="b">
        <v>1</v>
      </c>
      <c r="AJ46" s="921" t="s">
        <v>10</v>
      </c>
      <c r="AK46" s="61" t="str">
        <f t="shared" si="27"/>
        <v>Milton Keynes</v>
      </c>
      <c r="AL46" s="110">
        <f t="shared" si="28"/>
        <v>10.139490418181554</v>
      </c>
      <c r="AM46" s="110">
        <f t="shared" si="28"/>
        <v>10.388860832551764</v>
      </c>
      <c r="AN46" s="110">
        <f t="shared" si="28"/>
        <v>10.33962806060171</v>
      </c>
      <c r="AO46" s="110">
        <f t="shared" si="28"/>
        <v>10.147848515172441</v>
      </c>
      <c r="AP46" s="110">
        <f t="shared" si="28"/>
        <v>12.225778534829733</v>
      </c>
      <c r="AQ46" s="111">
        <f>VLOOKUP(AK46,IDACI!$B$8:$C$29,2,FALSE)</f>
        <v>15</v>
      </c>
      <c r="AR46" s="237"/>
      <c r="AS46" s="237"/>
      <c r="AT46" s="237"/>
      <c r="AU46" s="237"/>
      <c r="AV46" s="237"/>
    </row>
    <row r="47" spans="1:50" ht="14.25" customHeight="1">
      <c r="A47" s="87"/>
      <c r="B47" s="40"/>
      <c r="C47" s="40"/>
      <c r="D47" s="43"/>
      <c r="E47" s="43"/>
      <c r="F47" s="43"/>
      <c r="G47" s="43"/>
      <c r="H47" s="43"/>
      <c r="I47" s="43"/>
      <c r="J47" s="1"/>
      <c r="K47" s="5"/>
      <c r="L47" s="5"/>
      <c r="M47" s="5"/>
      <c r="N47" s="5"/>
      <c r="O47" s="5"/>
      <c r="P47" s="5"/>
      <c r="Q47" s="5"/>
      <c r="R47" s="5"/>
      <c r="S47" s="5"/>
      <c r="T47" s="5"/>
      <c r="U47" s="86"/>
      <c r="V47" s="102"/>
      <c r="W47" s="218"/>
      <c r="AI47" s="361" t="b">
        <v>1</v>
      </c>
      <c r="AJ47" s="921" t="s">
        <v>11</v>
      </c>
      <c r="AK47" s="61" t="str">
        <f t="shared" si="27"/>
        <v>Oxfordshire</v>
      </c>
      <c r="AL47" s="110">
        <f t="shared" si="28"/>
        <v>10.178011341212638</v>
      </c>
      <c r="AM47" s="110">
        <f t="shared" si="28"/>
        <v>9.6406117656780452</v>
      </c>
      <c r="AN47" s="110">
        <f t="shared" si="28"/>
        <v>9.8398966810848485</v>
      </c>
      <c r="AO47" s="110">
        <f t="shared" si="28"/>
        <v>7.0884992443392321</v>
      </c>
      <c r="AP47" s="110">
        <f t="shared" si="28"/>
        <v>5.1801580276056516</v>
      </c>
      <c r="AQ47" s="111">
        <f>VLOOKUP(AK47,IDACI!$B$8:$C$29,2,FALSE)</f>
        <v>10.100000000000001</v>
      </c>
      <c r="AR47" s="237"/>
      <c r="AS47" s="237"/>
      <c r="AT47" s="237"/>
      <c r="AU47" s="237"/>
      <c r="AV47" s="237"/>
    </row>
    <row r="48" spans="1:50" ht="14.25" customHeight="1">
      <c r="A48" s="87"/>
      <c r="B48" s="48"/>
      <c r="C48" s="48"/>
      <c r="D48" s="40"/>
      <c r="E48" s="40"/>
      <c r="F48" s="40"/>
      <c r="G48" s="40"/>
      <c r="H48" s="40"/>
      <c r="I48" s="40"/>
      <c r="J48" s="1"/>
      <c r="K48" s="5"/>
      <c r="L48" s="5"/>
      <c r="M48" s="5"/>
      <c r="N48" s="5"/>
      <c r="O48" s="5"/>
      <c r="P48" s="5"/>
      <c r="Q48" s="5"/>
      <c r="R48" s="5"/>
      <c r="S48" s="5"/>
      <c r="T48" s="5"/>
      <c r="U48" s="86"/>
      <c r="V48" s="102"/>
      <c r="W48" s="218"/>
      <c r="AI48" s="361" t="b">
        <v>1</v>
      </c>
      <c r="AJ48" s="921" t="s">
        <v>12</v>
      </c>
      <c r="AK48" s="61" t="str">
        <f t="shared" si="27"/>
        <v>Portsmouth</v>
      </c>
      <c r="AL48" s="110">
        <f t="shared" ref="AL48:AP58" si="29">VLOOKUP($AK48,$B$11:$O$31,AL$34,FALSE)</f>
        <v>14.750315228510933</v>
      </c>
      <c r="AM48" s="110">
        <f t="shared" si="29"/>
        <v>11.704287591066524</v>
      </c>
      <c r="AN48" s="110">
        <f t="shared" si="29"/>
        <v>11.822327309576085</v>
      </c>
      <c r="AO48" s="110">
        <f t="shared" si="29"/>
        <v>15.523870936925316</v>
      </c>
      <c r="AP48" s="110">
        <f t="shared" si="29"/>
        <v>14.654785260122438</v>
      </c>
      <c r="AQ48" s="111">
        <f>VLOOKUP(AK48,IDACI!$B$8:$C$29,2,FALSE)</f>
        <v>20.200000000000003</v>
      </c>
      <c r="AR48" s="237"/>
      <c r="AS48" s="237"/>
      <c r="AT48" s="237"/>
      <c r="AU48" s="237"/>
      <c r="AV48" s="237"/>
    </row>
    <row r="49" spans="1:76" ht="14.25" customHeight="1">
      <c r="A49" s="87"/>
      <c r="B49" s="48"/>
      <c r="C49" s="48"/>
      <c r="D49" s="40"/>
      <c r="E49" s="40"/>
      <c r="F49" s="40"/>
      <c r="G49" s="40"/>
      <c r="H49" s="40"/>
      <c r="I49" s="40"/>
      <c r="J49" s="1"/>
      <c r="K49" s="5"/>
      <c r="L49" s="5"/>
      <c r="M49" s="5"/>
      <c r="N49" s="5"/>
      <c r="O49" s="5"/>
      <c r="P49" s="5"/>
      <c r="Q49" s="5"/>
      <c r="R49" s="5"/>
      <c r="S49" s="5"/>
      <c r="T49" s="5"/>
      <c r="U49" s="86"/>
      <c r="V49" s="102"/>
      <c r="W49" s="218"/>
      <c r="AI49" s="361" t="b">
        <v>1</v>
      </c>
      <c r="AJ49" s="921" t="s">
        <v>3</v>
      </c>
      <c r="AK49" s="61" t="str">
        <f t="shared" si="27"/>
        <v>Reading</v>
      </c>
      <c r="AL49" s="110">
        <f t="shared" si="29"/>
        <v>13.502565487442613</v>
      </c>
      <c r="AM49" s="110">
        <f t="shared" si="29"/>
        <v>10.548808525601148</v>
      </c>
      <c r="AN49" s="110">
        <f t="shared" si="29"/>
        <v>7.1558320030825122</v>
      </c>
      <c r="AO49" s="110">
        <f t="shared" si="29"/>
        <v>8.8566827697262482</v>
      </c>
      <c r="AP49" s="110">
        <f t="shared" si="29"/>
        <v>14.23712726409871</v>
      </c>
      <c r="AQ49" s="111">
        <f>VLOOKUP(AK49,IDACI!$B$8:$C$29,2,FALSE)</f>
        <v>16</v>
      </c>
      <c r="AR49" s="237"/>
      <c r="AS49" s="237"/>
      <c r="AT49" s="237"/>
      <c r="AU49" s="237"/>
      <c r="AV49" s="237"/>
    </row>
    <row r="50" spans="1:76" ht="14.25" customHeight="1">
      <c r="A50" s="87"/>
      <c r="B50" s="48"/>
      <c r="C50" s="48"/>
      <c r="D50" s="40"/>
      <c r="E50" s="40"/>
      <c r="F50" s="40"/>
      <c r="G50" s="40"/>
      <c r="H50" s="40"/>
      <c r="I50" s="40"/>
      <c r="J50" s="1"/>
      <c r="K50" s="5"/>
      <c r="L50" s="5"/>
      <c r="M50" s="5"/>
      <c r="N50" s="5"/>
      <c r="O50" s="5"/>
      <c r="P50" s="5"/>
      <c r="Q50" s="5"/>
      <c r="R50" s="5"/>
      <c r="S50" s="5"/>
      <c r="T50" s="5"/>
      <c r="U50" s="86"/>
      <c r="V50" s="102"/>
      <c r="W50" s="218"/>
      <c r="AI50" s="361" t="b">
        <v>1</v>
      </c>
      <c r="AJ50" s="921" t="s">
        <v>13</v>
      </c>
      <c r="AK50" s="61" t="str">
        <f t="shared" si="27"/>
        <v>Slough</v>
      </c>
      <c r="AL50" s="110">
        <f t="shared" si="29"/>
        <v>11.499804503323444</v>
      </c>
      <c r="AM50" s="110">
        <f t="shared" si="29"/>
        <v>14.57858769931663</v>
      </c>
      <c r="AN50" s="110">
        <f t="shared" si="29"/>
        <v>10.288771520680431</v>
      </c>
      <c r="AO50" s="110">
        <f t="shared" si="29"/>
        <v>9.7175141242937855</v>
      </c>
      <c r="AP50" s="110">
        <f t="shared" si="29"/>
        <v>5.5742602956587666</v>
      </c>
      <c r="AQ50" s="111">
        <f>VLOOKUP(AK50,IDACI!$B$8:$C$29,2,FALSE)</f>
        <v>14.7</v>
      </c>
      <c r="AR50" s="237"/>
      <c r="AS50" s="237"/>
      <c r="AT50" s="237"/>
      <c r="AU50" s="237"/>
      <c r="AV50" s="237"/>
    </row>
    <row r="51" spans="1:76" ht="14.25" customHeight="1">
      <c r="A51" s="87"/>
      <c r="B51" s="48"/>
      <c r="C51" s="48"/>
      <c r="D51" s="40"/>
      <c r="E51" s="40"/>
      <c r="F51" s="40"/>
      <c r="G51" s="40"/>
      <c r="H51" s="40"/>
      <c r="I51" s="40"/>
      <c r="J51" s="1"/>
      <c r="K51" s="5"/>
      <c r="L51" s="5"/>
      <c r="M51" s="5"/>
      <c r="N51" s="5"/>
      <c r="O51" s="5"/>
      <c r="P51" s="5"/>
      <c r="Q51" s="5"/>
      <c r="R51" s="5"/>
      <c r="S51" s="5"/>
      <c r="T51" s="5"/>
      <c r="U51" s="86"/>
      <c r="V51" s="102"/>
      <c r="W51" s="218"/>
      <c r="AI51" s="361" t="b">
        <v>1</v>
      </c>
      <c r="AJ51" s="921" t="s">
        <v>14</v>
      </c>
      <c r="AK51" s="61" t="str">
        <f t="shared" si="27"/>
        <v>Southampton</v>
      </c>
      <c r="AL51" s="110">
        <f t="shared" si="29"/>
        <v>20.36783092683714</v>
      </c>
      <c r="AM51" s="110">
        <f t="shared" si="29"/>
        <v>19.703641152461952</v>
      </c>
      <c r="AN51" s="110">
        <f t="shared" si="29"/>
        <v>19.032963472908399</v>
      </c>
      <c r="AO51" s="110">
        <f t="shared" si="29"/>
        <v>12.231557418138797</v>
      </c>
      <c r="AP51" s="110">
        <f t="shared" si="29"/>
        <v>8.7348381077164348</v>
      </c>
      <c r="AQ51" s="111">
        <f>VLOOKUP(AK51,IDACI!$B$8:$C$29,2,FALSE)</f>
        <v>20.5</v>
      </c>
      <c r="AR51" s="237"/>
      <c r="AS51" s="237"/>
      <c r="AT51" s="237"/>
      <c r="AU51" s="237"/>
      <c r="AV51" s="237"/>
    </row>
    <row r="52" spans="1:76" ht="14.25" customHeight="1">
      <c r="A52" s="87"/>
      <c r="B52" s="48"/>
      <c r="C52" s="48"/>
      <c r="D52" s="40"/>
      <c r="E52" s="40"/>
      <c r="F52" s="40"/>
      <c r="G52" s="40"/>
      <c r="H52" s="40"/>
      <c r="I52" s="40"/>
      <c r="J52" s="1"/>
      <c r="K52" s="5"/>
      <c r="L52" s="5"/>
      <c r="M52" s="5"/>
      <c r="N52" s="5"/>
      <c r="O52" s="5"/>
      <c r="P52" s="5"/>
      <c r="Q52" s="5"/>
      <c r="R52" s="5"/>
      <c r="S52" s="5"/>
      <c r="T52" s="5"/>
      <c r="U52" s="86"/>
      <c r="V52" s="102"/>
      <c r="W52" s="218"/>
      <c r="AI52" s="361" t="b">
        <v>1</v>
      </c>
      <c r="AJ52" s="921" t="s">
        <v>7</v>
      </c>
      <c r="AK52" s="61" t="str">
        <f t="shared" si="27"/>
        <v>Surrey</v>
      </c>
      <c r="AL52" s="110">
        <f t="shared" si="29"/>
        <v>5.7354337421767525</v>
      </c>
      <c r="AM52" s="110">
        <f t="shared" si="29"/>
        <v>7.542965894189595</v>
      </c>
      <c r="AN52" s="110">
        <f t="shared" si="29"/>
        <v>6.3201381181403384</v>
      </c>
      <c r="AO52" s="110">
        <f t="shared" si="29"/>
        <v>4.8950040601971656</v>
      </c>
      <c r="AP52" s="110">
        <f t="shared" si="29"/>
        <v>4.2533650516426267</v>
      </c>
      <c r="AQ52" s="111">
        <f>VLOOKUP(AK52,IDACI!$B$8:$C$29,2,FALSE)</f>
        <v>8.3000000000000007</v>
      </c>
      <c r="AR52" s="237"/>
      <c r="AS52" s="237"/>
      <c r="AT52" s="237"/>
      <c r="AU52" s="237"/>
      <c r="AV52" s="237"/>
    </row>
    <row r="53" spans="1:76" ht="14.25" customHeight="1">
      <c r="A53" s="87"/>
      <c r="B53" s="48"/>
      <c r="C53" s="48"/>
      <c r="D53" s="40"/>
      <c r="E53" s="40"/>
      <c r="F53" s="40"/>
      <c r="G53" s="40"/>
      <c r="H53" s="40"/>
      <c r="I53" s="40"/>
      <c r="J53" s="1"/>
      <c r="K53" s="5"/>
      <c r="L53" s="5"/>
      <c r="M53" s="5"/>
      <c r="N53" s="5"/>
      <c r="O53" s="5"/>
      <c r="P53" s="5"/>
      <c r="Q53" s="5"/>
      <c r="R53" s="5"/>
      <c r="S53" s="5"/>
      <c r="T53" s="5"/>
      <c r="U53" s="86"/>
      <c r="V53" s="102"/>
      <c r="W53" s="218"/>
      <c r="AI53" s="361" t="b">
        <v>1</v>
      </c>
      <c r="AJ53" s="921" t="s">
        <v>15</v>
      </c>
      <c r="AK53" s="61" t="str">
        <f t="shared" si="27"/>
        <v>West Berkshire</v>
      </c>
      <c r="AL53" s="110">
        <f t="shared" si="29"/>
        <v>6.274778243632527</v>
      </c>
      <c r="AM53" s="110">
        <f t="shared" si="29"/>
        <v>5.1688490696071669</v>
      </c>
      <c r="AN53" s="110">
        <f t="shared" si="29"/>
        <v>7.2264778147131095</v>
      </c>
      <c r="AO53" s="110">
        <f t="shared" si="29"/>
        <v>9.1659028414298813</v>
      </c>
      <c r="AP53" s="110">
        <f t="shared" si="29"/>
        <v>9.624911535739562</v>
      </c>
      <c r="AQ53" s="111">
        <f>VLOOKUP(AK53,IDACI!$B$8:$C$29,2,FALSE)</f>
        <v>8.6999999999999993</v>
      </c>
      <c r="AR53" s="237"/>
      <c r="AS53" s="237"/>
      <c r="AT53" s="237"/>
      <c r="AU53" s="237"/>
      <c r="AV53" s="237"/>
    </row>
    <row r="54" spans="1:76" ht="14.25" customHeight="1">
      <c r="A54" s="208"/>
      <c r="B54" s="48"/>
      <c r="C54" s="48"/>
      <c r="D54" s="40"/>
      <c r="E54" s="40"/>
      <c r="F54" s="40"/>
      <c r="G54" s="40"/>
      <c r="H54" s="40"/>
      <c r="I54" s="40"/>
      <c r="J54" s="1"/>
      <c r="K54" s="5"/>
      <c r="L54" s="5"/>
      <c r="M54" s="5"/>
      <c r="N54" s="5"/>
      <c r="O54" s="5"/>
      <c r="P54" s="5"/>
      <c r="Q54" s="5"/>
      <c r="R54" s="5"/>
      <c r="S54" s="5"/>
      <c r="T54" s="5"/>
      <c r="U54" s="86"/>
      <c r="V54" s="102"/>
      <c r="W54" s="218"/>
      <c r="AI54" s="361" t="b">
        <v>1</v>
      </c>
      <c r="AJ54" s="921" t="s">
        <v>5</v>
      </c>
      <c r="AK54" s="61" t="str">
        <f t="shared" si="27"/>
        <v>West Sussex</v>
      </c>
      <c r="AL54" s="110">
        <f t="shared" si="29"/>
        <v>11.178270364330947</v>
      </c>
      <c r="AM54" s="110">
        <f t="shared" si="29"/>
        <v>13.170532515111605</v>
      </c>
      <c r="AN54" s="110">
        <f t="shared" si="29"/>
        <v>8.0075957765651982</v>
      </c>
      <c r="AO54" s="110">
        <f t="shared" si="29"/>
        <v>9.0781453518204227</v>
      </c>
      <c r="AP54" s="110">
        <f t="shared" si="29"/>
        <v>7.5415623882731495</v>
      </c>
      <c r="AQ54" s="111">
        <f>VLOOKUP(AK54,IDACI!$B$8:$C$29,2,FALSE)</f>
        <v>11</v>
      </c>
      <c r="AR54" s="237"/>
      <c r="AS54" s="237"/>
      <c r="AT54" s="237"/>
      <c r="AU54" s="237"/>
      <c r="AV54" s="237"/>
    </row>
    <row r="55" spans="1:76" ht="14.25" customHeight="1">
      <c r="A55" s="208"/>
      <c r="B55" s="48"/>
      <c r="C55" s="48"/>
      <c r="D55" s="40"/>
      <c r="E55" s="40"/>
      <c r="F55" s="40"/>
      <c r="G55" s="40"/>
      <c r="H55" s="40"/>
      <c r="I55" s="40"/>
      <c r="J55" s="1"/>
      <c r="K55" s="5"/>
      <c r="L55" s="5"/>
      <c r="M55" s="5"/>
      <c r="N55" s="5"/>
      <c r="O55" s="5"/>
      <c r="P55" s="5"/>
      <c r="Q55" s="5"/>
      <c r="R55" s="5"/>
      <c r="S55" s="5"/>
      <c r="T55" s="5"/>
      <c r="U55" s="86"/>
      <c r="V55" s="102"/>
      <c r="W55" s="218"/>
      <c r="AI55" s="361" t="b">
        <v>1</v>
      </c>
      <c r="AJ55" s="921" t="s">
        <v>27</v>
      </c>
      <c r="AK55" s="61" t="str">
        <f t="shared" si="27"/>
        <v>Windsor &amp; Maidenhead</v>
      </c>
      <c r="AL55" s="110">
        <f t="shared" si="29"/>
        <v>8.4612242516193028</v>
      </c>
      <c r="AM55" s="110">
        <f t="shared" si="29"/>
        <v>6.7482322565501862</v>
      </c>
      <c r="AN55" s="110">
        <f t="shared" si="29"/>
        <v>8.2654386586373843</v>
      </c>
      <c r="AO55" s="110">
        <f t="shared" si="29"/>
        <v>7.9148711634860609</v>
      </c>
      <c r="AP55" s="110">
        <f t="shared" si="29"/>
        <v>8.7512032904524375</v>
      </c>
      <c r="AQ55" s="111">
        <f>VLOOKUP(AK55,IDACI!$B$8:$C$29,2,FALSE)</f>
        <v>6.7</v>
      </c>
      <c r="AR55" s="237"/>
      <c r="AS55" s="237"/>
      <c r="AT55" s="237"/>
      <c r="AU55" s="237"/>
      <c r="AV55" s="237"/>
    </row>
    <row r="56" spans="1:76" ht="14.25" customHeight="1">
      <c r="A56" s="87"/>
      <c r="B56" s="48"/>
      <c r="C56" s="48"/>
      <c r="D56" s="40"/>
      <c r="E56" s="40"/>
      <c r="F56" s="40"/>
      <c r="G56" s="40"/>
      <c r="H56" s="40"/>
      <c r="I56" s="40"/>
      <c r="J56" s="1"/>
      <c r="K56" s="5"/>
      <c r="L56" s="5"/>
      <c r="M56" s="5"/>
      <c r="N56" s="5"/>
      <c r="O56" s="5"/>
      <c r="P56" s="5"/>
      <c r="Q56" s="5"/>
      <c r="R56" s="5"/>
      <c r="S56" s="5"/>
      <c r="T56" s="5"/>
      <c r="U56" s="86"/>
      <c r="V56" s="102"/>
      <c r="W56" s="218"/>
      <c r="AI56" s="361" t="b">
        <v>1</v>
      </c>
      <c r="AJ56" s="921" t="s">
        <v>16</v>
      </c>
      <c r="AK56" s="61" t="str">
        <f t="shared" si="27"/>
        <v>Wokingham</v>
      </c>
      <c r="AL56" s="110">
        <f t="shared" si="29"/>
        <v>6.537262395655234</v>
      </c>
      <c r="AM56" s="110">
        <f t="shared" si="29"/>
        <v>6.6706196264453013</v>
      </c>
      <c r="AN56" s="110">
        <f t="shared" si="29"/>
        <v>7.5372608135378929</v>
      </c>
      <c r="AO56" s="110">
        <f t="shared" si="29"/>
        <v>7.2906867356538099</v>
      </c>
      <c r="AP56" s="110">
        <f t="shared" si="29"/>
        <v>6.6952948238444847</v>
      </c>
      <c r="AQ56" s="111">
        <f>VLOOKUP(AK56,IDACI!$B$8:$C$29,2,FALSE)</f>
        <v>5.6000000000000005</v>
      </c>
      <c r="AR56" s="237"/>
      <c r="AS56" s="237"/>
      <c r="AT56" s="237"/>
      <c r="AU56" s="237"/>
      <c r="AV56" s="237"/>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row>
    <row r="57" spans="1:76" ht="14.25" customHeight="1">
      <c r="A57" s="87"/>
      <c r="B57" s="48"/>
      <c r="C57" s="48"/>
      <c r="D57" s="40"/>
      <c r="E57" s="40"/>
      <c r="F57" s="40"/>
      <c r="G57" s="40"/>
      <c r="H57" s="40"/>
      <c r="I57" s="40"/>
      <c r="J57" s="1"/>
      <c r="K57" s="5"/>
      <c r="L57" s="5"/>
      <c r="M57" s="5"/>
      <c r="N57" s="5"/>
      <c r="O57" s="5"/>
      <c r="P57" s="5"/>
      <c r="Q57" s="5"/>
      <c r="R57" s="5"/>
      <c r="S57" s="5"/>
      <c r="T57" s="5"/>
      <c r="U57" s="86"/>
      <c r="V57" s="102"/>
      <c r="W57" s="218"/>
      <c r="AI57" s="361" t="b">
        <v>1</v>
      </c>
      <c r="AJ57" s="921" t="s">
        <v>71</v>
      </c>
      <c r="AK57" s="61" t="str">
        <f t="shared" si="27"/>
        <v>South East</v>
      </c>
      <c r="AL57" s="110">
        <f t="shared" si="29"/>
        <v>9.1403647742169092</v>
      </c>
      <c r="AM57" s="110">
        <f t="shared" si="29"/>
        <v>9.3746876183165853</v>
      </c>
      <c r="AN57" s="110">
        <f t="shared" si="29"/>
        <v>8.5602284656268335</v>
      </c>
      <c r="AO57" s="110">
        <f t="shared" si="29"/>
        <v>7.9024512864508836</v>
      </c>
      <c r="AP57" s="110">
        <f t="shared" si="29"/>
        <v>7.3055398809319785</v>
      </c>
      <c r="AQ57" s="111">
        <f>Z30/Y30*100</f>
        <v>12.371268250968637</v>
      </c>
      <c r="AR57" s="237"/>
      <c r="AS57" s="237"/>
      <c r="AT57" s="237"/>
      <c r="AU57" s="237"/>
      <c r="AV57" s="237"/>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row>
    <row r="58" spans="1:76"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218"/>
      <c r="AI58" s="361" t="b">
        <v>1</v>
      </c>
      <c r="AJ58" s="921" t="s">
        <v>109</v>
      </c>
      <c r="AK58" s="61" t="str">
        <f t="shared" si="27"/>
        <v>England</v>
      </c>
      <c r="AL58" s="110">
        <f t="shared" si="29"/>
        <v>11.097077204242197</v>
      </c>
      <c r="AM58" s="110">
        <f t="shared" si="29"/>
        <v>10.84681323748956</v>
      </c>
      <c r="AN58" s="110">
        <f t="shared" si="29"/>
        <v>10.116571811762395</v>
      </c>
      <c r="AO58" s="110">
        <f t="shared" si="29"/>
        <v>10.047292611369762</v>
      </c>
      <c r="AP58" s="110">
        <f t="shared" si="29"/>
        <v>9.5385762693557261</v>
      </c>
      <c r="AQ58" s="111">
        <f>VLOOKUP(AK58,IDACI!$B$8:$C$29,2,FALSE)</f>
        <v>17.084413405029373</v>
      </c>
      <c r="AR58" s="237"/>
      <c r="AS58" s="237"/>
      <c r="AT58" s="237"/>
      <c r="AU58" s="237"/>
      <c r="AV58" s="237"/>
    </row>
    <row r="59" spans="1:76" s="56" customFormat="1" ht="14.25" customHeight="1">
      <c r="A59" s="87"/>
      <c r="B59" s="48"/>
      <c r="C59" s="48"/>
      <c r="D59" s="40"/>
      <c r="E59" s="40"/>
      <c r="F59" s="40"/>
      <c r="G59" s="40"/>
      <c r="H59" s="40"/>
      <c r="I59" s="40"/>
      <c r="J59" s="1"/>
      <c r="K59" s="5"/>
      <c r="L59" s="5"/>
      <c r="M59" s="5"/>
      <c r="N59" s="5"/>
      <c r="O59" s="5"/>
      <c r="P59" s="5"/>
      <c r="Q59" s="5"/>
      <c r="R59" s="5"/>
      <c r="S59" s="5"/>
      <c r="T59" s="5"/>
      <c r="U59" s="86"/>
      <c r="V59" s="102"/>
      <c r="W59" s="218"/>
      <c r="AJ59" s="122"/>
      <c r="AK59" s="52" t="str">
        <f>Z4</f>
        <v>Selected LA- (none)</v>
      </c>
      <c r="AL59" s="112" t="e">
        <f>VLOOKUP($Y4,$B$11:$O$30,AL$34,FALSE)</f>
        <v>#N/A</v>
      </c>
      <c r="AM59" s="112" t="e">
        <f>VLOOKUP($Y4,$B$11:$O$30,AM$34,FALSE)</f>
        <v>#N/A</v>
      </c>
      <c r="AN59" s="112" t="e">
        <f>VLOOKUP($Y4,$B$11:$O$30,AN$34,FALSE)</f>
        <v>#N/A</v>
      </c>
      <c r="AO59" s="112" t="e">
        <f>VLOOKUP($Y4,$B$11:$O$30,AO$34,FALSE)</f>
        <v>#N/A</v>
      </c>
      <c r="AP59" s="112" t="e">
        <f>VLOOKUP($Y4,$B$11:$O$30,AP$34,FALSE)</f>
        <v>#N/A</v>
      </c>
      <c r="AQ59" s="111" t="e">
        <f>VLOOKUP(Y4,IDACI!$B$8:$C$29,2,FALSE)</f>
        <v>#N/A</v>
      </c>
      <c r="AR59" s="237"/>
      <c r="AS59" s="237"/>
      <c r="AT59" s="237"/>
      <c r="AU59" s="237"/>
      <c r="AV59" s="237"/>
    </row>
    <row r="60" spans="1:76" s="56" customFormat="1" ht="1.5" customHeight="1">
      <c r="A60" s="87"/>
      <c r="B60" s="48"/>
      <c r="C60" s="48"/>
      <c r="D60" s="40"/>
      <c r="E60" s="40"/>
      <c r="F60" s="40"/>
      <c r="G60" s="40"/>
      <c r="H60" s="40"/>
      <c r="I60" s="40"/>
      <c r="J60" s="1"/>
      <c r="K60" s="5"/>
      <c r="L60" s="5"/>
      <c r="M60" s="5"/>
      <c r="N60" s="5"/>
      <c r="O60" s="5"/>
      <c r="P60" s="5"/>
      <c r="Q60" s="5"/>
      <c r="R60" s="5"/>
      <c r="S60" s="5"/>
      <c r="T60" s="5"/>
      <c r="U60" s="86"/>
      <c r="V60" s="102"/>
      <c r="W60" s="114"/>
      <c r="AJ60" s="815"/>
      <c r="AR60" s="132"/>
      <c r="AS60" s="132"/>
      <c r="AT60" s="132"/>
      <c r="AU60" s="132"/>
      <c r="AV60" s="132"/>
    </row>
    <row r="61" spans="1:76" s="56" customFormat="1" ht="14.25" customHeight="1">
      <c r="A61" s="87"/>
      <c r="B61" s="48"/>
      <c r="C61" s="48"/>
      <c r="D61" s="40"/>
      <c r="E61" s="40"/>
      <c r="F61" s="40"/>
      <c r="G61" s="40"/>
      <c r="H61" s="40"/>
      <c r="I61" s="40"/>
      <c r="J61" s="1"/>
      <c r="K61" s="79"/>
      <c r="L61" s="1882" t="s">
        <v>69</v>
      </c>
      <c r="M61" s="1882"/>
      <c r="N61" s="1882"/>
      <c r="O61" s="1882"/>
      <c r="P61" s="80"/>
      <c r="Q61" s="1753" t="s">
        <v>93</v>
      </c>
      <c r="R61" s="1753"/>
      <c r="S61" s="1753"/>
      <c r="T61" s="1753"/>
      <c r="U61" s="86"/>
      <c r="V61" s="102"/>
      <c r="W61" s="114"/>
      <c r="AJ61" s="122"/>
    </row>
    <row r="62" spans="1:76" s="56" customFormat="1" ht="14.25" customHeight="1">
      <c r="A62" s="87"/>
      <c r="B62" s="48"/>
      <c r="C62" s="48"/>
      <c r="D62" s="40"/>
      <c r="E62" s="40"/>
      <c r="F62" s="40"/>
      <c r="G62" s="40"/>
      <c r="H62" s="40"/>
      <c r="I62" s="40"/>
      <c r="J62" s="1"/>
      <c r="K62" s="80"/>
      <c r="L62" s="1753" t="str">
        <f>Z4</f>
        <v>Selected LA- (none)</v>
      </c>
      <c r="M62" s="1753"/>
      <c r="N62" s="1753"/>
      <c r="O62" s="1753"/>
      <c r="P62" s="79"/>
      <c r="Q62" s="1753" t="s">
        <v>167</v>
      </c>
      <c r="R62" s="1753"/>
      <c r="S62" s="1753"/>
      <c r="T62" s="1753"/>
      <c r="U62" s="86"/>
      <c r="V62" s="102"/>
      <c r="W62" s="115"/>
      <c r="X62" s="61"/>
      <c r="Y62" s="61"/>
      <c r="Z62" s="61"/>
      <c r="AA62" s="61"/>
      <c r="AB62" s="61"/>
      <c r="AC62" s="61"/>
      <c r="AD62" s="141"/>
      <c r="AE62" s="141"/>
      <c r="AF62" s="141"/>
      <c r="AG62" s="141"/>
      <c r="AH62" s="141"/>
      <c r="AI62" s="61"/>
      <c r="AJ62" s="12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row>
    <row r="63" spans="1:76" s="56" customFormat="1" ht="46.5" customHeight="1">
      <c r="A63" s="87"/>
      <c r="B63" s="48"/>
      <c r="C63" s="48"/>
      <c r="D63" s="40"/>
      <c r="E63" s="40"/>
      <c r="F63" s="40"/>
      <c r="G63" s="40"/>
      <c r="H63" s="40"/>
      <c r="I63" s="40"/>
      <c r="J63" s="1"/>
      <c r="K63" s="5"/>
      <c r="L63" s="5"/>
      <c r="M63" s="5"/>
      <c r="N63" s="5"/>
      <c r="O63" s="5"/>
      <c r="P63" s="5"/>
      <c r="Q63" s="5"/>
      <c r="R63" s="5"/>
      <c r="S63" s="5"/>
      <c r="T63" s="5"/>
      <c r="U63" s="86"/>
      <c r="V63" s="102"/>
      <c r="W63" s="247"/>
      <c r="X63" s="61"/>
      <c r="Y63" s="61"/>
      <c r="Z63" s="61"/>
      <c r="AA63" s="61"/>
      <c r="AB63" s="61"/>
      <c r="AC63" s="61"/>
      <c r="AD63" s="141"/>
      <c r="AE63" s="141"/>
      <c r="AF63" s="141"/>
      <c r="AG63" s="141"/>
      <c r="AH63" s="141"/>
      <c r="AI63" s="61"/>
      <c r="AJ63" s="12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row>
    <row r="64" spans="1:76" s="61" customFormat="1" ht="46.5" customHeight="1">
      <c r="A64" s="88"/>
      <c r="B64" s="78"/>
      <c r="C64" s="78"/>
      <c r="D64" s="78"/>
      <c r="E64" s="78"/>
      <c r="F64" s="78"/>
      <c r="G64" s="78"/>
      <c r="H64" s="78"/>
      <c r="I64" s="78"/>
      <c r="J64" s="68"/>
      <c r="K64" s="59"/>
      <c r="L64" s="59"/>
      <c r="M64" s="59"/>
      <c r="N64" s="59"/>
      <c r="O64" s="59"/>
      <c r="P64" s="59"/>
      <c r="Q64" s="59"/>
      <c r="R64" s="59"/>
      <c r="S64" s="59"/>
      <c r="T64" s="59"/>
      <c r="U64" s="89"/>
      <c r="V64" s="103"/>
      <c r="W64" s="114"/>
      <c r="AC64" s="56"/>
      <c r="AD64" s="56"/>
      <c r="AE64" s="56"/>
      <c r="AF64" s="56"/>
      <c r="AG64" s="56"/>
      <c r="AH64" s="56"/>
      <c r="AI64" s="52"/>
      <c r="AJ64" s="119"/>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row>
    <row r="65" spans="1:76" s="61" customFormat="1" ht="46.5" customHeight="1">
      <c r="A65" s="88"/>
      <c r="B65" s="78"/>
      <c r="C65" s="78"/>
      <c r="D65" s="78"/>
      <c r="E65" s="78"/>
      <c r="F65" s="78"/>
      <c r="G65" s="78"/>
      <c r="H65" s="78"/>
      <c r="I65" s="78"/>
      <c r="J65" s="68"/>
      <c r="K65" s="59"/>
      <c r="L65" s="59"/>
      <c r="M65" s="59"/>
      <c r="N65" s="59"/>
      <c r="O65" s="59"/>
      <c r="P65" s="59"/>
      <c r="Q65" s="59"/>
      <c r="R65" s="59"/>
      <c r="S65" s="59"/>
      <c r="T65" s="59"/>
      <c r="U65" s="89"/>
      <c r="V65" s="121"/>
      <c r="W65" s="114"/>
      <c r="AC65" s="56"/>
      <c r="AD65" s="56"/>
      <c r="AE65" s="56"/>
      <c r="AF65" s="56"/>
      <c r="AG65" s="56"/>
      <c r="AH65" s="56"/>
      <c r="AI65" s="52"/>
      <c r="AJ65" s="119"/>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row>
    <row r="66" spans="1:76" ht="7.5" customHeight="1">
      <c r="A66" s="87"/>
      <c r="B66" s="12"/>
      <c r="C66" s="12"/>
      <c r="D66" s="11"/>
      <c r="E66" s="11"/>
      <c r="F66" s="11"/>
      <c r="G66" s="11"/>
      <c r="H66" s="11"/>
      <c r="I66" s="11"/>
      <c r="J66" s="1"/>
      <c r="K66" s="13"/>
      <c r="L66" s="13"/>
      <c r="M66" s="13"/>
      <c r="N66" s="13"/>
      <c r="O66" s="13"/>
      <c r="P66" s="13"/>
      <c r="Q66" s="13"/>
      <c r="R66" s="13"/>
      <c r="S66" s="13"/>
      <c r="T66" s="14"/>
      <c r="U66" s="86"/>
      <c r="V66" s="185"/>
      <c r="W66" s="114"/>
      <c r="X66" s="61"/>
      <c r="Y66" s="61"/>
      <c r="Z66" s="61"/>
      <c r="AA66" s="61"/>
      <c r="AB66" s="61"/>
      <c r="AJ66" s="119"/>
    </row>
    <row r="67" spans="1:76" ht="15" customHeight="1">
      <c r="A67" s="1565"/>
      <c r="B67" s="1751"/>
      <c r="C67" s="1751"/>
      <c r="D67" s="1751"/>
      <c r="E67" s="1751"/>
      <c r="F67" s="1751"/>
      <c r="G67" s="1751"/>
      <c r="H67" s="1751"/>
      <c r="I67" s="1751"/>
      <c r="J67" s="1751"/>
      <c r="K67" s="1751"/>
      <c r="L67" s="1751"/>
      <c r="M67" s="1751"/>
      <c r="N67" s="1751"/>
      <c r="O67" s="1751"/>
      <c r="P67" s="1751"/>
      <c r="Q67" s="1751"/>
      <c r="R67" s="1751"/>
      <c r="S67" s="1751"/>
      <c r="T67" s="1751"/>
      <c r="U67" s="1752"/>
      <c r="V67" s="185"/>
      <c r="W67" s="114"/>
      <c r="X67" s="52"/>
      <c r="Y67" s="52"/>
      <c r="Z67" s="52"/>
      <c r="AJ67" s="119"/>
    </row>
    <row r="68" spans="1:76" ht="11.25" customHeight="1">
      <c r="A68" s="1739"/>
      <c r="B68" s="1740"/>
      <c r="C68" s="1740"/>
      <c r="D68" s="1740"/>
      <c r="E68" s="1740"/>
      <c r="F68" s="1740"/>
      <c r="G68" s="1740"/>
      <c r="H68" s="1740"/>
      <c r="I68" s="1741"/>
      <c r="J68" s="1740"/>
      <c r="K68" s="1740"/>
      <c r="L68" s="1740"/>
      <c r="M68" s="1740"/>
      <c r="N68" s="1740"/>
      <c r="O68" s="1740"/>
      <c r="P68" s="1742"/>
      <c r="Q68" s="1740"/>
      <c r="R68" s="1740"/>
      <c r="S68" s="1741"/>
      <c r="T68" s="1740"/>
      <c r="U68" s="1743"/>
      <c r="V68" s="185"/>
      <c r="W68" s="114"/>
      <c r="X68" s="52"/>
      <c r="Y68" s="52"/>
      <c r="Z68" s="52"/>
      <c r="AA68" s="52"/>
      <c r="AB68" s="52"/>
      <c r="AC68" s="52"/>
      <c r="AD68" s="52"/>
      <c r="AE68" s="52"/>
      <c r="AF68" s="52"/>
      <c r="AG68" s="52"/>
      <c r="AH68" s="52"/>
      <c r="AJ68" s="119"/>
    </row>
    <row r="69" spans="1:76" ht="11.25" customHeight="1">
      <c r="A69" s="81"/>
      <c r="B69" s="82"/>
      <c r="C69" s="82"/>
      <c r="D69" s="82"/>
      <c r="E69" s="82"/>
      <c r="F69" s="82"/>
      <c r="G69" s="82"/>
      <c r="H69" s="82"/>
      <c r="I69" s="82"/>
      <c r="J69" s="83"/>
      <c r="K69" s="82"/>
      <c r="L69" s="82"/>
      <c r="M69" s="82"/>
      <c r="N69" s="82"/>
      <c r="O69" s="82"/>
      <c r="P69" s="82"/>
      <c r="Q69" s="82"/>
      <c r="R69" s="82"/>
      <c r="S69" s="82"/>
      <c r="T69" s="82"/>
      <c r="U69" s="84"/>
      <c r="V69" s="102"/>
      <c r="W69" s="114"/>
      <c r="X69" s="52"/>
      <c r="Y69" s="52"/>
      <c r="Z69" s="146"/>
      <c r="AA69" s="146"/>
      <c r="AB69" s="147"/>
      <c r="AC69" s="147"/>
      <c r="AJ69" s="119"/>
    </row>
    <row r="70" spans="1:76" ht="15" customHeight="1">
      <c r="A70" s="87"/>
      <c r="B70" s="41"/>
      <c r="C70" s="47"/>
      <c r="D70" s="47"/>
      <c r="E70" s="47"/>
      <c r="F70" s="47"/>
      <c r="G70" s="47"/>
      <c r="H70" s="47"/>
      <c r="I70" s="47"/>
      <c r="J70" s="50"/>
      <c r="K70" s="50"/>
      <c r="L70" s="50"/>
      <c r="M70" s="50"/>
      <c r="N70" s="224"/>
      <c r="O70" s="50"/>
      <c r="P70" s="50"/>
      <c r="Q70" s="50"/>
      <c r="R70" s="50"/>
      <c r="S70" s="50"/>
      <c r="T70" s="50"/>
      <c r="U70" s="86"/>
      <c r="V70" s="102"/>
      <c r="W70" s="115"/>
      <c r="X70" s="52"/>
      <c r="Y70" s="52"/>
      <c r="Z70" s="146"/>
      <c r="AA70" s="146"/>
      <c r="AB70" s="147"/>
      <c r="AC70" s="147"/>
      <c r="AD70" s="149"/>
      <c r="AE70" s="141"/>
      <c r="AF70" s="141"/>
      <c r="AG70" s="141"/>
      <c r="AH70" s="141"/>
      <c r="AI70" s="61"/>
      <c r="AJ70" s="12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row>
    <row r="71" spans="1:76" ht="13.5" customHeight="1">
      <c r="A71" s="87"/>
      <c r="B71" s="47"/>
      <c r="C71" s="47"/>
      <c r="D71" s="47"/>
      <c r="E71" s="47"/>
      <c r="F71" s="47"/>
      <c r="G71" s="47"/>
      <c r="H71" s="47"/>
      <c r="I71" s="47"/>
      <c r="J71" s="50"/>
      <c r="K71" s="50"/>
      <c r="L71" s="50"/>
      <c r="M71" s="50"/>
      <c r="N71" s="224"/>
      <c r="O71" s="50"/>
      <c r="P71" s="50"/>
      <c r="Q71" s="50"/>
      <c r="R71" s="5"/>
      <c r="S71" s="50"/>
      <c r="T71" s="50"/>
      <c r="U71" s="86"/>
      <c r="V71" s="102"/>
      <c r="W71" s="115"/>
      <c r="X71" s="453"/>
      <c r="Y71" s="242" t="s">
        <v>112</v>
      </c>
      <c r="Z71" s="242" t="s">
        <v>113</v>
      </c>
      <c r="AA71" s="146"/>
      <c r="AB71" s="147"/>
      <c r="AC71" s="147"/>
      <c r="AD71" s="149"/>
      <c r="AE71" s="141"/>
      <c r="AF71" s="141"/>
      <c r="AG71" s="141"/>
      <c r="AH71" s="141"/>
      <c r="AI71" s="61"/>
      <c r="AJ71" s="12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row>
    <row r="72" spans="1:76" s="61" customFormat="1" ht="12" customHeight="1">
      <c r="A72" s="88"/>
      <c r="B72" s="47"/>
      <c r="C72" s="47"/>
      <c r="D72" s="47"/>
      <c r="E72" s="47"/>
      <c r="F72" s="47"/>
      <c r="G72" s="47"/>
      <c r="H72" s="47"/>
      <c r="I72" s="68"/>
      <c r="J72" s="68"/>
      <c r="K72" s="43"/>
      <c r="L72" s="43"/>
      <c r="M72" s="43"/>
      <c r="N72" s="43"/>
      <c r="O72" s="43"/>
      <c r="P72" s="43"/>
      <c r="Q72" s="225"/>
      <c r="R72" s="225"/>
      <c r="S72" s="120"/>
      <c r="T72" s="226"/>
      <c r="U72" s="89"/>
      <c r="V72" s="103"/>
      <c r="W72" s="115"/>
      <c r="X72" s="351" t="str">
        <f t="shared" ref="X72:X84" si="30">B11</f>
        <v>Bracknell Forest</v>
      </c>
      <c r="Y72" s="244" t="e">
        <f t="shared" ref="Y72:Y92" si="31">IF(X72=$Y$4,I11,#N/A)</f>
        <v>#N/A</v>
      </c>
      <c r="Z72" s="244" t="e">
        <f t="shared" ref="Z72:Z84" si="32">IF(X72=$Y$4,T11,#N/A)</f>
        <v>#N/A</v>
      </c>
      <c r="AA72" s="146"/>
      <c r="AB72" s="147"/>
      <c r="AC72" s="147"/>
      <c r="AD72" s="149"/>
      <c r="AE72" s="141"/>
      <c r="AF72" s="141"/>
      <c r="AG72" s="141"/>
      <c r="AH72" s="141"/>
      <c r="AJ72" s="121"/>
    </row>
    <row r="73" spans="1:76" s="61" customFormat="1" ht="24" customHeight="1">
      <c r="A73" s="88"/>
      <c r="B73" s="47"/>
      <c r="C73" s="47"/>
      <c r="D73" s="47"/>
      <c r="E73" s="47"/>
      <c r="F73" s="47"/>
      <c r="G73" s="47"/>
      <c r="H73" s="47"/>
      <c r="I73" s="68"/>
      <c r="J73" s="68"/>
      <c r="K73" s="127"/>
      <c r="L73" s="127"/>
      <c r="M73" s="127"/>
      <c r="N73" s="127"/>
      <c r="O73" s="127"/>
      <c r="P73" s="127"/>
      <c r="Q73" s="127"/>
      <c r="R73" s="128"/>
      <c r="S73" s="120"/>
      <c r="T73" s="127"/>
      <c r="U73" s="89"/>
      <c r="V73" s="103"/>
      <c r="W73" s="115"/>
      <c r="X73" s="351" t="str">
        <f t="shared" si="30"/>
        <v>Brighton &amp; Hove</v>
      </c>
      <c r="Y73" s="244" t="e">
        <f t="shared" si="31"/>
        <v>#N/A</v>
      </c>
      <c r="Z73" s="244" t="e">
        <f t="shared" si="32"/>
        <v>#N/A</v>
      </c>
      <c r="AA73" s="146"/>
      <c r="AB73" s="147"/>
      <c r="AC73" s="147"/>
      <c r="AD73" s="149"/>
      <c r="AE73" s="141"/>
      <c r="AF73" s="141"/>
      <c r="AG73" s="141"/>
      <c r="AH73" s="141"/>
      <c r="AJ73" s="121"/>
    </row>
    <row r="74" spans="1:76" s="61" customFormat="1" ht="12.75" customHeight="1">
      <c r="A74" s="88"/>
      <c r="B74" s="47"/>
      <c r="C74" s="47"/>
      <c r="D74" s="47"/>
      <c r="E74" s="47"/>
      <c r="F74" s="47"/>
      <c r="G74" s="47"/>
      <c r="H74" s="47"/>
      <c r="I74" s="68"/>
      <c r="J74" s="68"/>
      <c r="K74" s="127"/>
      <c r="L74" s="127"/>
      <c r="M74" s="127"/>
      <c r="N74" s="127"/>
      <c r="O74" s="127"/>
      <c r="P74" s="127"/>
      <c r="Q74" s="127"/>
      <c r="R74" s="128"/>
      <c r="S74" s="120"/>
      <c r="T74" s="127"/>
      <c r="U74" s="89"/>
      <c r="V74" s="103"/>
      <c r="W74" s="115"/>
      <c r="X74" s="351" t="str">
        <f t="shared" si="30"/>
        <v>Buckinghamshire</v>
      </c>
      <c r="Y74" s="244" t="e">
        <f t="shared" si="31"/>
        <v>#N/A</v>
      </c>
      <c r="Z74" s="244" t="e">
        <f t="shared" si="32"/>
        <v>#N/A</v>
      </c>
      <c r="AA74" s="146"/>
      <c r="AB74" s="147"/>
      <c r="AC74" s="147"/>
      <c r="AD74" s="149"/>
      <c r="AE74" s="141"/>
      <c r="AF74" s="141"/>
      <c r="AG74" s="141"/>
      <c r="AH74" s="141"/>
      <c r="AJ74" s="121"/>
    </row>
    <row r="75" spans="1:76" s="61" customFormat="1" ht="12.75" customHeight="1">
      <c r="A75" s="88"/>
      <c r="B75" s="47"/>
      <c r="C75" s="47"/>
      <c r="D75" s="47"/>
      <c r="E75" s="47"/>
      <c r="F75" s="47"/>
      <c r="G75" s="47"/>
      <c r="H75" s="47"/>
      <c r="I75" s="68"/>
      <c r="J75" s="68"/>
      <c r="K75" s="127"/>
      <c r="L75" s="127"/>
      <c r="M75" s="127"/>
      <c r="N75" s="127"/>
      <c r="O75" s="127"/>
      <c r="P75" s="127"/>
      <c r="Q75" s="127"/>
      <c r="R75" s="128"/>
      <c r="S75" s="120"/>
      <c r="T75" s="127"/>
      <c r="U75" s="89"/>
      <c r="V75" s="103"/>
      <c r="W75" s="115"/>
      <c r="X75" s="351" t="str">
        <f t="shared" si="30"/>
        <v>East Sussex</v>
      </c>
      <c r="Y75" s="244" t="e">
        <f t="shared" si="31"/>
        <v>#N/A</v>
      </c>
      <c r="Z75" s="244" t="e">
        <f t="shared" si="32"/>
        <v>#N/A</v>
      </c>
      <c r="AA75" s="146"/>
      <c r="AB75" s="147"/>
      <c r="AC75" s="147"/>
      <c r="AD75" s="149"/>
      <c r="AE75" s="141"/>
      <c r="AF75" s="141"/>
      <c r="AG75" s="141"/>
      <c r="AH75" s="141"/>
      <c r="AJ75" s="121"/>
    </row>
    <row r="76" spans="1:76" s="61" customFormat="1" ht="12.75" customHeight="1">
      <c r="A76" s="88"/>
      <c r="B76" s="47"/>
      <c r="C76" s="47"/>
      <c r="D76" s="47"/>
      <c r="E76" s="47"/>
      <c r="F76" s="47"/>
      <c r="G76" s="47"/>
      <c r="H76" s="47"/>
      <c r="I76" s="68"/>
      <c r="J76" s="68"/>
      <c r="K76" s="127"/>
      <c r="L76" s="127"/>
      <c r="M76" s="127"/>
      <c r="N76" s="127"/>
      <c r="O76" s="127"/>
      <c r="P76" s="127"/>
      <c r="Q76" s="127"/>
      <c r="R76" s="128"/>
      <c r="S76" s="120"/>
      <c r="T76" s="127"/>
      <c r="U76" s="89"/>
      <c r="V76" s="103"/>
      <c r="W76" s="115"/>
      <c r="X76" s="351" t="str">
        <f t="shared" si="30"/>
        <v>Hampshire</v>
      </c>
      <c r="Y76" s="244" t="e">
        <f t="shared" si="31"/>
        <v>#N/A</v>
      </c>
      <c r="Z76" s="244" t="e">
        <f t="shared" si="32"/>
        <v>#N/A</v>
      </c>
      <c r="AA76" s="146"/>
      <c r="AB76" s="147"/>
      <c r="AC76" s="147"/>
      <c r="AD76" s="149"/>
      <c r="AE76" s="141"/>
      <c r="AF76" s="141"/>
      <c r="AG76" s="141"/>
      <c r="AH76" s="141"/>
      <c r="AJ76" s="121"/>
      <c r="AR76" s="61" t="s">
        <v>95</v>
      </c>
    </row>
    <row r="77" spans="1:76" s="61" customFormat="1" ht="12.75" customHeight="1">
      <c r="A77" s="88"/>
      <c r="B77" s="47"/>
      <c r="C77" s="47"/>
      <c r="D77" s="47"/>
      <c r="E77" s="47"/>
      <c r="F77" s="47"/>
      <c r="G77" s="47"/>
      <c r="H77" s="47"/>
      <c r="I77" s="68"/>
      <c r="J77" s="68"/>
      <c r="K77" s="127"/>
      <c r="L77" s="127"/>
      <c r="M77" s="127"/>
      <c r="N77" s="127"/>
      <c r="O77" s="127"/>
      <c r="P77" s="127"/>
      <c r="Q77" s="127"/>
      <c r="R77" s="128"/>
      <c r="S77" s="120"/>
      <c r="T77" s="127"/>
      <c r="U77" s="89"/>
      <c r="V77" s="103"/>
      <c r="W77" s="115"/>
      <c r="X77" s="351" t="str">
        <f t="shared" si="30"/>
        <v>Isle of Wight</v>
      </c>
      <c r="Y77" s="244" t="e">
        <f t="shared" si="31"/>
        <v>#N/A</v>
      </c>
      <c r="Z77" s="244" t="e">
        <f t="shared" si="32"/>
        <v>#N/A</v>
      </c>
      <c r="AA77" s="146"/>
      <c r="AB77" s="147"/>
      <c r="AC77" s="147"/>
      <c r="AD77" s="149"/>
      <c r="AE77" s="141"/>
      <c r="AF77" s="141"/>
      <c r="AG77" s="141"/>
      <c r="AH77" s="141"/>
      <c r="AJ77" s="121"/>
    </row>
    <row r="78" spans="1:76" s="61" customFormat="1" ht="12.75" customHeight="1">
      <c r="A78" s="88"/>
      <c r="B78" s="47"/>
      <c r="C78" s="47"/>
      <c r="D78" s="47"/>
      <c r="E78" s="47"/>
      <c r="F78" s="47"/>
      <c r="G78" s="47"/>
      <c r="H78" s="47"/>
      <c r="I78" s="68"/>
      <c r="J78" s="68"/>
      <c r="K78" s="127"/>
      <c r="L78" s="127"/>
      <c r="M78" s="127"/>
      <c r="N78" s="127"/>
      <c r="O78" s="127"/>
      <c r="P78" s="127"/>
      <c r="Q78" s="127"/>
      <c r="R78" s="128"/>
      <c r="S78" s="120"/>
      <c r="T78" s="127"/>
      <c r="U78" s="89"/>
      <c r="V78" s="103"/>
      <c r="W78" s="115"/>
      <c r="X78" s="351" t="str">
        <f t="shared" si="30"/>
        <v>Kent</v>
      </c>
      <c r="Y78" s="244" t="e">
        <f t="shared" si="31"/>
        <v>#N/A</v>
      </c>
      <c r="Z78" s="244" t="e">
        <f t="shared" si="32"/>
        <v>#N/A</v>
      </c>
      <c r="AA78" s="146"/>
      <c r="AB78" s="147"/>
      <c r="AC78" s="147"/>
      <c r="AD78" s="149"/>
      <c r="AE78" s="141"/>
      <c r="AF78" s="141"/>
      <c r="AG78" s="141"/>
      <c r="AH78" s="141"/>
      <c r="AJ78" s="121"/>
    </row>
    <row r="79" spans="1:76" s="61" customFormat="1" ht="12.75" customHeight="1">
      <c r="A79" s="88"/>
      <c r="B79" s="47"/>
      <c r="C79" s="47"/>
      <c r="D79" s="47"/>
      <c r="E79" s="47"/>
      <c r="F79" s="47"/>
      <c r="G79" s="47"/>
      <c r="H79" s="47"/>
      <c r="I79" s="68"/>
      <c r="J79" s="68"/>
      <c r="K79" s="127"/>
      <c r="L79" s="127"/>
      <c r="M79" s="127"/>
      <c r="N79" s="127"/>
      <c r="O79" s="127"/>
      <c r="P79" s="127"/>
      <c r="Q79" s="127"/>
      <c r="R79" s="128"/>
      <c r="S79" s="120"/>
      <c r="T79" s="127"/>
      <c r="U79" s="89"/>
      <c r="V79" s="103"/>
      <c r="W79" s="115"/>
      <c r="X79" s="351" t="str">
        <f t="shared" si="30"/>
        <v>Medway</v>
      </c>
      <c r="Y79" s="244" t="e">
        <f t="shared" si="31"/>
        <v>#N/A</v>
      </c>
      <c r="Z79" s="244" t="e">
        <f t="shared" si="32"/>
        <v>#N/A</v>
      </c>
      <c r="AA79" s="146"/>
      <c r="AB79" s="147"/>
      <c r="AC79" s="147"/>
      <c r="AD79" s="149"/>
      <c r="AE79" s="141"/>
      <c r="AF79" s="141"/>
      <c r="AG79" s="141"/>
      <c r="AH79" s="141"/>
      <c r="AJ79" s="121"/>
    </row>
    <row r="80" spans="1:76" s="61" customFormat="1" ht="12.75" customHeight="1">
      <c r="A80" s="88"/>
      <c r="B80" s="47"/>
      <c r="C80" s="47"/>
      <c r="D80" s="47"/>
      <c r="E80" s="47"/>
      <c r="F80" s="47"/>
      <c r="G80" s="47"/>
      <c r="H80" s="47"/>
      <c r="I80" s="68"/>
      <c r="J80" s="68"/>
      <c r="K80" s="127"/>
      <c r="L80" s="127"/>
      <c r="M80" s="127"/>
      <c r="N80" s="127"/>
      <c r="O80" s="127"/>
      <c r="P80" s="127"/>
      <c r="Q80" s="127"/>
      <c r="R80" s="128"/>
      <c r="S80" s="120"/>
      <c r="T80" s="127"/>
      <c r="U80" s="89"/>
      <c r="V80" s="103"/>
      <c r="W80" s="115"/>
      <c r="X80" s="351" t="str">
        <f t="shared" si="30"/>
        <v>Milton Keynes</v>
      </c>
      <c r="Y80" s="244" t="e">
        <f t="shared" si="31"/>
        <v>#N/A</v>
      </c>
      <c r="Z80" s="244" t="e">
        <f t="shared" si="32"/>
        <v>#N/A</v>
      </c>
      <c r="AA80" s="146"/>
      <c r="AB80" s="147"/>
      <c r="AC80" s="147"/>
      <c r="AD80" s="149"/>
      <c r="AE80" s="141"/>
      <c r="AF80" s="141"/>
      <c r="AG80" s="141"/>
      <c r="AH80" s="141"/>
      <c r="AJ80" s="121"/>
    </row>
    <row r="81" spans="1:76" s="61" customFormat="1" ht="12.75" customHeight="1">
      <c r="A81" s="88"/>
      <c r="B81" s="47"/>
      <c r="C81" s="47"/>
      <c r="D81" s="47"/>
      <c r="E81" s="47"/>
      <c r="F81" s="47"/>
      <c r="G81" s="47"/>
      <c r="H81" s="47"/>
      <c r="I81" s="68"/>
      <c r="J81" s="68"/>
      <c r="K81" s="127"/>
      <c r="L81" s="127"/>
      <c r="M81" s="127"/>
      <c r="N81" s="127"/>
      <c r="O81" s="127"/>
      <c r="P81" s="127"/>
      <c r="Q81" s="127"/>
      <c r="R81" s="128"/>
      <c r="S81" s="120"/>
      <c r="T81" s="127"/>
      <c r="U81" s="89"/>
      <c r="V81" s="103"/>
      <c r="W81" s="115"/>
      <c r="X81" s="351" t="str">
        <f t="shared" si="30"/>
        <v>Oxfordshire</v>
      </c>
      <c r="Y81" s="244" t="e">
        <f t="shared" si="31"/>
        <v>#N/A</v>
      </c>
      <c r="Z81" s="244" t="e">
        <f t="shared" si="32"/>
        <v>#N/A</v>
      </c>
      <c r="AA81" s="146"/>
      <c r="AB81" s="147"/>
      <c r="AC81" s="147"/>
      <c r="AD81" s="149"/>
      <c r="AE81" s="141"/>
      <c r="AF81" s="141"/>
      <c r="AG81" s="141"/>
      <c r="AH81" s="141"/>
      <c r="AJ81" s="121"/>
    </row>
    <row r="82" spans="1:76" s="61" customFormat="1" ht="12.75" customHeight="1">
      <c r="A82" s="88"/>
      <c r="B82" s="47"/>
      <c r="C82" s="47"/>
      <c r="D82" s="47"/>
      <c r="E82" s="47"/>
      <c r="F82" s="47"/>
      <c r="G82" s="47"/>
      <c r="H82" s="47"/>
      <c r="I82" s="68"/>
      <c r="J82" s="68"/>
      <c r="K82" s="127"/>
      <c r="L82" s="127"/>
      <c r="M82" s="127"/>
      <c r="N82" s="127"/>
      <c r="O82" s="127"/>
      <c r="P82" s="127"/>
      <c r="Q82" s="127"/>
      <c r="R82" s="128"/>
      <c r="S82" s="120"/>
      <c r="T82" s="127"/>
      <c r="U82" s="89"/>
      <c r="V82" s="103"/>
      <c r="W82" s="115"/>
      <c r="X82" s="351" t="str">
        <f t="shared" si="30"/>
        <v>Portsmouth</v>
      </c>
      <c r="Y82" s="244" t="e">
        <f t="shared" si="31"/>
        <v>#N/A</v>
      </c>
      <c r="Z82" s="244" t="e">
        <f t="shared" si="32"/>
        <v>#N/A</v>
      </c>
      <c r="AA82" s="146"/>
      <c r="AB82" s="147"/>
      <c r="AC82" s="147"/>
      <c r="AD82" s="149"/>
      <c r="AE82" s="141"/>
      <c r="AF82" s="141"/>
      <c r="AG82" s="141"/>
      <c r="AH82" s="141"/>
      <c r="AJ82" s="121"/>
    </row>
    <row r="83" spans="1:76" s="61" customFormat="1" ht="12.75" customHeight="1">
      <c r="A83" s="88"/>
      <c r="B83" s="47"/>
      <c r="C83" s="47"/>
      <c r="D83" s="47"/>
      <c r="E83" s="47"/>
      <c r="F83" s="47"/>
      <c r="G83" s="47"/>
      <c r="H83" s="47"/>
      <c r="I83" s="68"/>
      <c r="J83" s="68"/>
      <c r="K83" s="127"/>
      <c r="L83" s="127"/>
      <c r="M83" s="127"/>
      <c r="N83" s="127"/>
      <c r="O83" s="127"/>
      <c r="P83" s="127"/>
      <c r="Q83" s="127"/>
      <c r="R83" s="128"/>
      <c r="S83" s="120"/>
      <c r="T83" s="127"/>
      <c r="U83" s="89"/>
      <c r="V83" s="103"/>
      <c r="W83" s="115"/>
      <c r="X83" s="351" t="str">
        <f t="shared" si="30"/>
        <v>Reading</v>
      </c>
      <c r="Y83" s="244" t="e">
        <f t="shared" si="31"/>
        <v>#N/A</v>
      </c>
      <c r="Z83" s="244" t="e">
        <f t="shared" si="32"/>
        <v>#N/A</v>
      </c>
      <c r="AA83" s="146"/>
      <c r="AB83" s="147"/>
      <c r="AC83" s="147"/>
      <c r="AD83" s="149"/>
      <c r="AE83" s="141"/>
      <c r="AF83" s="141"/>
      <c r="AG83" s="141"/>
      <c r="AH83" s="141"/>
      <c r="AJ83" s="121"/>
    </row>
    <row r="84" spans="1:76" s="61" customFormat="1" ht="12.75" customHeight="1">
      <c r="A84" s="88"/>
      <c r="B84" s="47"/>
      <c r="C84" s="47"/>
      <c r="D84" s="47"/>
      <c r="E84" s="47"/>
      <c r="F84" s="47"/>
      <c r="G84" s="47"/>
      <c r="H84" s="47"/>
      <c r="I84" s="68"/>
      <c r="J84" s="68"/>
      <c r="K84" s="127"/>
      <c r="L84" s="127"/>
      <c r="M84" s="127"/>
      <c r="N84" s="127"/>
      <c r="O84" s="127"/>
      <c r="P84" s="127"/>
      <c r="Q84" s="127"/>
      <c r="R84" s="128"/>
      <c r="S84" s="120"/>
      <c r="T84" s="127"/>
      <c r="U84" s="89"/>
      <c r="V84" s="103"/>
      <c r="W84" s="115"/>
      <c r="X84" s="351" t="str">
        <f t="shared" si="30"/>
        <v>Slough</v>
      </c>
      <c r="Y84" s="244" t="e">
        <f t="shared" si="31"/>
        <v>#N/A</v>
      </c>
      <c r="Z84" s="244" t="e">
        <f t="shared" si="32"/>
        <v>#N/A</v>
      </c>
      <c r="AA84" s="146"/>
      <c r="AB84" s="147"/>
      <c r="AC84" s="147"/>
      <c r="AD84" s="149"/>
      <c r="AE84" s="141"/>
      <c r="AF84" s="141"/>
      <c r="AG84" s="141"/>
      <c r="AH84" s="141"/>
      <c r="AJ84" s="121"/>
    </row>
    <row r="85" spans="1:76" s="61" customFormat="1" ht="12.75" customHeight="1">
      <c r="A85" s="88"/>
      <c r="B85" s="47"/>
      <c r="C85" s="47"/>
      <c r="D85" s="47"/>
      <c r="E85" s="47"/>
      <c r="F85" s="47"/>
      <c r="G85" s="47"/>
      <c r="H85" s="47"/>
      <c r="I85" s="68"/>
      <c r="J85" s="68"/>
      <c r="K85" s="127"/>
      <c r="L85" s="127"/>
      <c r="M85" s="127"/>
      <c r="N85" s="127"/>
      <c r="O85" s="127"/>
      <c r="P85" s="127"/>
      <c r="Q85" s="127"/>
      <c r="R85" s="128"/>
      <c r="S85" s="120"/>
      <c r="T85" s="127"/>
      <c r="U85" s="89"/>
      <c r="V85" s="103"/>
      <c r="W85" s="115"/>
      <c r="X85" s="351" t="str">
        <f t="shared" ref="X85:X92" si="33">B24</f>
        <v>Southampton</v>
      </c>
      <c r="Y85" s="244" t="e">
        <f t="shared" si="31"/>
        <v>#N/A</v>
      </c>
      <c r="Z85" s="244" t="e">
        <f t="shared" ref="Z85:Z92" si="34">IF(X85=$Y$4,T24,#N/A)</f>
        <v>#N/A</v>
      </c>
      <c r="AA85" s="146"/>
      <c r="AB85" s="147"/>
      <c r="AC85" s="147"/>
      <c r="AD85" s="149"/>
      <c r="AE85" s="141"/>
      <c r="AF85" s="141"/>
      <c r="AG85" s="141"/>
      <c r="AH85" s="141"/>
      <c r="AJ85" s="121"/>
    </row>
    <row r="86" spans="1:76" s="61" customFormat="1" ht="12.75" customHeight="1">
      <c r="A86" s="88"/>
      <c r="B86" s="47"/>
      <c r="C86" s="47"/>
      <c r="D86" s="47"/>
      <c r="E86" s="47"/>
      <c r="F86" s="47"/>
      <c r="G86" s="47"/>
      <c r="H86" s="47"/>
      <c r="I86" s="68"/>
      <c r="J86" s="68"/>
      <c r="K86" s="127"/>
      <c r="L86" s="127"/>
      <c r="M86" s="127"/>
      <c r="N86" s="127"/>
      <c r="O86" s="127"/>
      <c r="P86" s="127"/>
      <c r="Q86" s="127"/>
      <c r="R86" s="128"/>
      <c r="S86" s="120"/>
      <c r="T86" s="127"/>
      <c r="U86" s="89"/>
      <c r="V86" s="103"/>
      <c r="W86" s="115"/>
      <c r="X86" s="351" t="str">
        <f t="shared" si="33"/>
        <v>Surrey</v>
      </c>
      <c r="Y86" s="244" t="e">
        <f t="shared" si="31"/>
        <v>#N/A</v>
      </c>
      <c r="Z86" s="244" t="e">
        <f t="shared" si="34"/>
        <v>#N/A</v>
      </c>
      <c r="AA86" s="146"/>
      <c r="AB86" s="147"/>
      <c r="AC86" s="147"/>
      <c r="AD86" s="149"/>
      <c r="AE86" s="141"/>
      <c r="AF86" s="141"/>
      <c r="AG86" s="141"/>
      <c r="AH86" s="141"/>
      <c r="AJ86" s="121"/>
    </row>
    <row r="87" spans="1:76" s="61" customFormat="1" ht="12.75" customHeight="1">
      <c r="A87" s="88"/>
      <c r="B87" s="47"/>
      <c r="C87" s="47"/>
      <c r="D87" s="47"/>
      <c r="E87" s="47"/>
      <c r="F87" s="47"/>
      <c r="G87" s="47"/>
      <c r="H87" s="47"/>
      <c r="I87" s="68"/>
      <c r="J87" s="68"/>
      <c r="K87" s="127"/>
      <c r="L87" s="127"/>
      <c r="M87" s="127"/>
      <c r="N87" s="127"/>
      <c r="O87" s="127"/>
      <c r="P87" s="127"/>
      <c r="Q87" s="127"/>
      <c r="R87" s="128"/>
      <c r="S87" s="120"/>
      <c r="T87" s="127"/>
      <c r="U87" s="89"/>
      <c r="V87" s="103"/>
      <c r="W87" s="115"/>
      <c r="X87" s="351" t="str">
        <f t="shared" si="33"/>
        <v>West Berkshire</v>
      </c>
      <c r="Y87" s="244" t="e">
        <f t="shared" si="31"/>
        <v>#N/A</v>
      </c>
      <c r="Z87" s="244" t="e">
        <f t="shared" si="34"/>
        <v>#N/A</v>
      </c>
      <c r="AA87" s="146"/>
      <c r="AB87" s="147"/>
      <c r="AC87" s="147"/>
      <c r="AD87" s="149"/>
      <c r="AE87" s="141"/>
      <c r="AF87" s="141"/>
      <c r="AG87" s="141"/>
      <c r="AH87" s="141"/>
      <c r="AJ87" s="121"/>
    </row>
    <row r="88" spans="1:76" s="61" customFormat="1" ht="12.75" customHeight="1">
      <c r="A88" s="88"/>
      <c r="B88" s="47"/>
      <c r="C88" s="47"/>
      <c r="D88" s="47"/>
      <c r="E88" s="47"/>
      <c r="F88" s="47"/>
      <c r="G88" s="47"/>
      <c r="H88" s="47"/>
      <c r="I88" s="68"/>
      <c r="J88" s="68"/>
      <c r="K88" s="127"/>
      <c r="L88" s="127"/>
      <c r="M88" s="127"/>
      <c r="N88" s="127"/>
      <c r="O88" s="127"/>
      <c r="P88" s="127"/>
      <c r="Q88" s="127"/>
      <c r="R88" s="128"/>
      <c r="S88" s="120"/>
      <c r="T88" s="127"/>
      <c r="U88" s="89"/>
      <c r="V88" s="103"/>
      <c r="W88" s="115"/>
      <c r="X88" s="351" t="str">
        <f t="shared" si="33"/>
        <v>West Sussex</v>
      </c>
      <c r="Y88" s="244" t="e">
        <f t="shared" si="31"/>
        <v>#N/A</v>
      </c>
      <c r="Z88" s="244" t="e">
        <f t="shared" si="34"/>
        <v>#N/A</v>
      </c>
      <c r="AA88" s="146"/>
      <c r="AB88" s="147"/>
      <c r="AC88" s="147"/>
      <c r="AD88" s="149"/>
      <c r="AE88" s="141"/>
      <c r="AF88" s="141"/>
      <c r="AG88" s="141"/>
      <c r="AH88" s="141"/>
      <c r="AJ88" s="121"/>
    </row>
    <row r="89" spans="1:76" s="61" customFormat="1" ht="12.75" customHeight="1">
      <c r="A89" s="217"/>
      <c r="B89" s="47"/>
      <c r="C89" s="47"/>
      <c r="D89" s="47"/>
      <c r="E89" s="47"/>
      <c r="F89" s="47"/>
      <c r="G89" s="47"/>
      <c r="H89" s="47"/>
      <c r="I89" s="68"/>
      <c r="J89" s="68"/>
      <c r="K89" s="127"/>
      <c r="L89" s="127"/>
      <c r="M89" s="127"/>
      <c r="N89" s="127"/>
      <c r="O89" s="127"/>
      <c r="P89" s="127"/>
      <c r="Q89" s="127"/>
      <c r="R89" s="128"/>
      <c r="S89" s="120"/>
      <c r="T89" s="127"/>
      <c r="U89" s="89"/>
      <c r="V89" s="103"/>
      <c r="W89" s="115"/>
      <c r="X89" s="351" t="str">
        <f t="shared" si="33"/>
        <v>Windsor &amp; Maidenhead</v>
      </c>
      <c r="Y89" s="244" t="e">
        <f t="shared" si="31"/>
        <v>#N/A</v>
      </c>
      <c r="Z89" s="244" t="e">
        <f t="shared" si="34"/>
        <v>#N/A</v>
      </c>
      <c r="AA89" s="146"/>
      <c r="AB89" s="147"/>
      <c r="AC89" s="147"/>
      <c r="AD89" s="149"/>
      <c r="AF89" s="141"/>
      <c r="AG89" s="141"/>
      <c r="AH89" s="141"/>
      <c r="AJ89" s="121"/>
    </row>
    <row r="90" spans="1:76" s="61" customFormat="1" ht="12.75" customHeight="1">
      <c r="A90" s="217"/>
      <c r="B90" s="47"/>
      <c r="C90" s="47"/>
      <c r="D90" s="47"/>
      <c r="E90" s="47"/>
      <c r="F90" s="47"/>
      <c r="G90" s="47"/>
      <c r="H90" s="47"/>
      <c r="I90" s="68"/>
      <c r="J90" s="68"/>
      <c r="K90" s="127"/>
      <c r="L90" s="127"/>
      <c r="M90" s="127"/>
      <c r="N90" s="127"/>
      <c r="O90" s="127"/>
      <c r="P90" s="127"/>
      <c r="Q90" s="127"/>
      <c r="R90" s="128"/>
      <c r="S90" s="120"/>
      <c r="T90" s="127"/>
      <c r="U90" s="89"/>
      <c r="V90" s="103"/>
      <c r="W90" s="115"/>
      <c r="X90" s="351" t="str">
        <f t="shared" si="33"/>
        <v>Wokingham</v>
      </c>
      <c r="Y90" s="244" t="e">
        <f t="shared" si="31"/>
        <v>#N/A</v>
      </c>
      <c r="Z90" s="244" t="e">
        <f t="shared" si="34"/>
        <v>#N/A</v>
      </c>
      <c r="AA90" s="146"/>
      <c r="AB90" s="147"/>
      <c r="AC90" s="147"/>
      <c r="AD90" s="149"/>
      <c r="AF90" s="141"/>
      <c r="AG90" s="141"/>
      <c r="AH90" s="141"/>
      <c r="AJ90" s="121"/>
    </row>
    <row r="91" spans="1:76" s="61" customFormat="1" ht="12.75" customHeight="1">
      <c r="A91" s="88"/>
      <c r="B91" s="47"/>
      <c r="C91" s="47"/>
      <c r="D91" s="47"/>
      <c r="E91" s="47"/>
      <c r="F91" s="47"/>
      <c r="G91" s="47"/>
      <c r="H91" s="47"/>
      <c r="I91" s="68"/>
      <c r="J91" s="68"/>
      <c r="K91" s="127"/>
      <c r="L91" s="127"/>
      <c r="M91" s="127"/>
      <c r="N91" s="127"/>
      <c r="O91" s="127"/>
      <c r="P91" s="127"/>
      <c r="Q91" s="127"/>
      <c r="R91" s="128"/>
      <c r="S91" s="120"/>
      <c r="T91" s="127"/>
      <c r="U91" s="89"/>
      <c r="V91" s="103"/>
      <c r="W91" s="115"/>
      <c r="X91" s="351" t="str">
        <f t="shared" si="33"/>
        <v>South East</v>
      </c>
      <c r="Y91" s="244" t="e">
        <f t="shared" si="31"/>
        <v>#N/A</v>
      </c>
      <c r="Z91" s="244" t="e">
        <f t="shared" si="34"/>
        <v>#N/A</v>
      </c>
      <c r="AA91" s="146"/>
      <c r="AB91" s="147"/>
      <c r="AC91" s="147"/>
      <c r="AD91" s="149"/>
      <c r="AH91" s="141"/>
      <c r="AJ91" s="121"/>
    </row>
    <row r="92" spans="1:76" s="61" customFormat="1" ht="12.75" customHeight="1">
      <c r="A92" s="88"/>
      <c r="B92" s="47"/>
      <c r="C92" s="47"/>
      <c r="D92" s="47"/>
      <c r="E92" s="47"/>
      <c r="F92" s="47"/>
      <c r="G92" s="47"/>
      <c r="H92" s="47"/>
      <c r="I92" s="68"/>
      <c r="J92" s="68"/>
      <c r="K92" s="127"/>
      <c r="L92" s="127"/>
      <c r="M92" s="127"/>
      <c r="N92" s="127"/>
      <c r="O92" s="127"/>
      <c r="P92" s="127"/>
      <c r="Q92" s="127"/>
      <c r="R92" s="128"/>
      <c r="S92" s="120"/>
      <c r="T92" s="127"/>
      <c r="U92" s="89"/>
      <c r="V92" s="103"/>
      <c r="W92" s="115"/>
      <c r="X92" s="351" t="str">
        <f t="shared" si="33"/>
        <v>England</v>
      </c>
      <c r="Y92" s="244" t="e">
        <f t="shared" si="31"/>
        <v>#N/A</v>
      </c>
      <c r="Z92" s="244" t="e">
        <f t="shared" si="34"/>
        <v>#N/A</v>
      </c>
      <c r="AA92" s="146"/>
      <c r="AB92" s="147"/>
      <c r="AC92" s="147"/>
      <c r="AD92" s="149"/>
      <c r="AH92" s="141"/>
      <c r="AJ92" s="121"/>
    </row>
    <row r="93" spans="1:76" s="61" customFormat="1" ht="12.75" customHeight="1">
      <c r="A93" s="88"/>
      <c r="B93" s="47"/>
      <c r="C93" s="47"/>
      <c r="D93" s="47"/>
      <c r="E93" s="47"/>
      <c r="F93" s="47"/>
      <c r="G93" s="47"/>
      <c r="H93" s="47"/>
      <c r="I93" s="68"/>
      <c r="J93" s="68"/>
      <c r="K93" s="127"/>
      <c r="L93" s="127"/>
      <c r="M93" s="127"/>
      <c r="N93" s="127"/>
      <c r="O93" s="127"/>
      <c r="P93" s="127"/>
      <c r="Q93" s="127"/>
      <c r="R93" s="128"/>
      <c r="S93" s="120"/>
      <c r="T93" s="127"/>
      <c r="U93" s="89"/>
      <c r="V93" s="103"/>
      <c r="W93" s="115"/>
      <c r="AA93" s="146"/>
      <c r="AB93" s="147"/>
      <c r="AC93" s="147"/>
      <c r="AD93" s="149"/>
      <c r="AH93" s="141"/>
      <c r="AJ93" s="121"/>
    </row>
    <row r="94" spans="1:76" s="61" customFormat="1" ht="12.75" customHeight="1">
      <c r="A94" s="88"/>
      <c r="B94" s="47"/>
      <c r="C94" s="47"/>
      <c r="D94" s="47"/>
      <c r="E94" s="47"/>
      <c r="F94" s="47"/>
      <c r="G94" s="47"/>
      <c r="H94" s="47"/>
      <c r="I94" s="68"/>
      <c r="J94" s="68"/>
      <c r="K94" s="127"/>
      <c r="L94" s="127"/>
      <c r="M94" s="127"/>
      <c r="N94" s="127"/>
      <c r="O94" s="127"/>
      <c r="P94" s="127"/>
      <c r="Q94" s="127"/>
      <c r="R94" s="128"/>
      <c r="S94" s="120"/>
      <c r="T94" s="127"/>
      <c r="U94" s="89"/>
      <c r="V94" s="103"/>
      <c r="W94" s="115"/>
      <c r="AA94" s="146"/>
      <c r="AB94" s="147"/>
      <c r="AC94" s="147"/>
      <c r="AD94" s="149"/>
      <c r="AH94" s="141"/>
      <c r="AJ94" s="121"/>
    </row>
    <row r="95" spans="1:76" s="61" customFormat="1" ht="12.75" customHeight="1">
      <c r="A95" s="88"/>
      <c r="B95" s="47"/>
      <c r="C95" s="47"/>
      <c r="D95" s="47"/>
      <c r="E95" s="47"/>
      <c r="F95" s="47"/>
      <c r="G95" s="47"/>
      <c r="H95" s="47"/>
      <c r="I95" s="68"/>
      <c r="J95" s="68"/>
      <c r="K95" s="129"/>
      <c r="L95" s="129"/>
      <c r="M95" s="129"/>
      <c r="N95" s="129"/>
      <c r="O95" s="129"/>
      <c r="P95" s="129"/>
      <c r="Q95" s="129"/>
      <c r="R95" s="130"/>
      <c r="S95" s="120"/>
      <c r="T95" s="131"/>
      <c r="U95" s="89"/>
      <c r="V95" s="103"/>
      <c r="W95" s="115"/>
      <c r="AA95" s="146"/>
      <c r="AB95" s="147"/>
      <c r="AC95" s="147"/>
      <c r="AD95" s="149"/>
      <c r="AH95" s="141"/>
      <c r="AJ95" s="121"/>
    </row>
    <row r="96" spans="1:76" s="61" customFormat="1" ht="12.75" customHeight="1">
      <c r="A96" s="88"/>
      <c r="B96" s="47"/>
      <c r="C96" s="47"/>
      <c r="D96" s="47"/>
      <c r="E96" s="47"/>
      <c r="F96" s="47"/>
      <c r="G96" s="47"/>
      <c r="H96" s="47"/>
      <c r="I96" s="68"/>
      <c r="J96" s="68"/>
      <c r="K96" s="129"/>
      <c r="L96" s="129"/>
      <c r="M96" s="129"/>
      <c r="N96" s="129"/>
      <c r="O96" s="129"/>
      <c r="P96" s="129"/>
      <c r="Q96" s="129"/>
      <c r="R96" s="130"/>
      <c r="S96" s="120"/>
      <c r="T96" s="131"/>
      <c r="U96" s="89"/>
      <c r="V96" s="103"/>
      <c r="W96" s="114"/>
      <c r="X96" s="56"/>
      <c r="Y96" s="56"/>
      <c r="Z96" s="56"/>
      <c r="AA96" s="56"/>
      <c r="AB96" s="56"/>
      <c r="AC96" s="147"/>
      <c r="AD96" s="149"/>
      <c r="AE96" s="52"/>
      <c r="AF96" s="52"/>
      <c r="AG96" s="52"/>
      <c r="AH96" s="56"/>
      <c r="AI96" s="52"/>
      <c r="AJ96" s="122"/>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s="61" customFormat="1" ht="11.25" customHeight="1">
      <c r="A97" s="217"/>
      <c r="B97" s="47"/>
      <c r="C97" s="47"/>
      <c r="D97" s="47"/>
      <c r="E97" s="47"/>
      <c r="F97" s="47"/>
      <c r="G97" s="47"/>
      <c r="H97" s="47"/>
      <c r="I97" s="68"/>
      <c r="J97" s="68"/>
      <c r="K97" s="129"/>
      <c r="L97" s="129"/>
      <c r="M97" s="129"/>
      <c r="N97" s="129"/>
      <c r="O97" s="129"/>
      <c r="P97" s="129"/>
      <c r="Q97" s="129"/>
      <c r="R97" s="130"/>
      <c r="S97" s="120"/>
      <c r="T97" s="131"/>
      <c r="U97" s="89"/>
      <c r="V97" s="103"/>
      <c r="W97" s="114"/>
      <c r="X97" s="56"/>
      <c r="Y97" s="141"/>
      <c r="Z97" s="56"/>
      <c r="AA97" s="56"/>
      <c r="AB97" s="56"/>
      <c r="AC97" s="56"/>
      <c r="AD97" s="149"/>
      <c r="AE97" s="52"/>
      <c r="AF97" s="52"/>
      <c r="AG97" s="52"/>
      <c r="AH97" s="56"/>
      <c r="AI97" s="52"/>
      <c r="AJ97" s="122"/>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s="56" customFormat="1" ht="35.450000000000003" customHeight="1">
      <c r="A98" s="166"/>
      <c r="B98" s="47"/>
      <c r="C98" s="47"/>
      <c r="D98" s="47"/>
      <c r="E98" s="47"/>
      <c r="F98" s="47"/>
      <c r="G98" s="47"/>
      <c r="H98" s="47"/>
      <c r="I98" s="171"/>
      <c r="J98" s="133"/>
      <c r="K98" s="133"/>
      <c r="L98" s="133"/>
      <c r="M98" s="133"/>
      <c r="N98" s="133"/>
      <c r="O98" s="133"/>
      <c r="P98" s="133"/>
      <c r="Q98" s="133"/>
      <c r="R98" s="101"/>
      <c r="S98" s="133"/>
      <c r="T98" s="133"/>
      <c r="U98" s="86"/>
      <c r="V98" s="102"/>
      <c r="W98" s="114"/>
      <c r="Y98" s="141"/>
      <c r="AD98" s="149"/>
      <c r="AE98" s="52"/>
      <c r="AF98" s="52"/>
      <c r="AG98" s="52"/>
      <c r="AI98" s="52"/>
      <c r="AJ98" s="122"/>
    </row>
    <row r="99" spans="1:76" s="56" customFormat="1" ht="36.6" customHeight="1">
      <c r="A99" s="166"/>
      <c r="B99" s="47"/>
      <c r="C99" s="47"/>
      <c r="D99" s="47"/>
      <c r="E99" s="47"/>
      <c r="F99" s="47"/>
      <c r="G99" s="47"/>
      <c r="H99" s="47"/>
      <c r="I99" s="171"/>
      <c r="J99" s="133"/>
      <c r="K99" s="133"/>
      <c r="L99" s="133"/>
      <c r="M99" s="133"/>
      <c r="N99" s="133"/>
      <c r="O99" s="133"/>
      <c r="P99" s="133"/>
      <c r="Q99" s="133"/>
      <c r="R99" s="101"/>
      <c r="S99" s="133"/>
      <c r="T99" s="133"/>
      <c r="U99" s="86"/>
      <c r="V99" s="102"/>
      <c r="W99" s="114"/>
      <c r="Y99" s="141"/>
      <c r="AI99" s="52"/>
      <c r="AJ99" s="119"/>
      <c r="AK99" s="52"/>
      <c r="AL99" s="52"/>
      <c r="AM99" s="52"/>
      <c r="AN99" s="52"/>
      <c r="AO99" s="52"/>
      <c r="AP99" s="52"/>
      <c r="AQ99" s="52"/>
    </row>
    <row r="100" spans="1:76" s="56" customFormat="1" ht="45.75" customHeight="1">
      <c r="A100" s="166"/>
      <c r="B100" s="171"/>
      <c r="C100" s="171"/>
      <c r="D100" s="171"/>
      <c r="E100" s="171"/>
      <c r="F100" s="171"/>
      <c r="G100" s="171"/>
      <c r="H100" s="171"/>
      <c r="I100" s="171"/>
      <c r="J100" s="133"/>
      <c r="K100" s="133"/>
      <c r="L100" s="133"/>
      <c r="M100" s="133"/>
      <c r="N100" s="133"/>
      <c r="O100" s="133"/>
      <c r="P100" s="133"/>
      <c r="Q100" s="133"/>
      <c r="R100" s="101"/>
      <c r="S100" s="133"/>
      <c r="T100" s="133"/>
      <c r="U100" s="86"/>
      <c r="V100" s="121"/>
      <c r="W100" s="114"/>
      <c r="X100" s="52"/>
      <c r="Y100" s="52"/>
      <c r="AJ100" s="122"/>
      <c r="AS100" s="52"/>
    </row>
    <row r="101" spans="1:76" s="56" customFormat="1" ht="7.5" customHeight="1">
      <c r="A101" s="87"/>
      <c r="B101" s="12"/>
      <c r="C101" s="12"/>
      <c r="D101" s="11"/>
      <c r="E101" s="11"/>
      <c r="F101" s="11"/>
      <c r="G101" s="11"/>
      <c r="H101" s="11"/>
      <c r="I101" s="11"/>
      <c r="J101" s="1"/>
      <c r="K101" s="13"/>
      <c r="L101" s="13"/>
      <c r="M101" s="13"/>
      <c r="N101" s="13"/>
      <c r="O101" s="13"/>
      <c r="P101" s="13"/>
      <c r="Q101" s="13"/>
      <c r="R101" s="13"/>
      <c r="S101" s="13"/>
      <c r="T101" s="14"/>
      <c r="U101" s="86"/>
      <c r="V101" s="185"/>
      <c r="W101" s="114"/>
      <c r="X101" s="52"/>
      <c r="Y101" s="52"/>
      <c r="AJ101" s="122"/>
      <c r="AK101" s="61"/>
      <c r="AS101" s="52"/>
    </row>
    <row r="102" spans="1:76" s="56" customFormat="1" ht="15" customHeight="1">
      <c r="A102" s="1565"/>
      <c r="B102" s="1751"/>
      <c r="C102" s="1751"/>
      <c r="D102" s="1751"/>
      <c r="E102" s="1751"/>
      <c r="F102" s="1751"/>
      <c r="G102" s="1751"/>
      <c r="H102" s="1751"/>
      <c r="I102" s="1751"/>
      <c r="J102" s="1751"/>
      <c r="K102" s="1751"/>
      <c r="L102" s="1751"/>
      <c r="M102" s="1751"/>
      <c r="N102" s="1751"/>
      <c r="O102" s="1751"/>
      <c r="P102" s="1751"/>
      <c r="Q102" s="1751"/>
      <c r="R102" s="1751"/>
      <c r="S102" s="1751"/>
      <c r="T102" s="1751"/>
      <c r="U102" s="1752"/>
      <c r="V102" s="185"/>
      <c r="W102" s="114"/>
      <c r="Y102" s="141"/>
      <c r="AJ102" s="12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row>
    <row r="103" spans="1:76" s="56" customFormat="1" ht="11.1" customHeight="1">
      <c r="A103" s="1739"/>
      <c r="B103" s="1740"/>
      <c r="C103" s="1740"/>
      <c r="D103" s="1740"/>
      <c r="E103" s="1740"/>
      <c r="F103" s="1740"/>
      <c r="G103" s="1740"/>
      <c r="H103" s="1740"/>
      <c r="I103" s="1741"/>
      <c r="J103" s="1740"/>
      <c r="K103" s="1740"/>
      <c r="L103" s="1740"/>
      <c r="M103" s="1740"/>
      <c r="N103" s="1740"/>
      <c r="O103" s="1740"/>
      <c r="P103" s="1742"/>
      <c r="Q103" s="1740"/>
      <c r="R103" s="1740"/>
      <c r="S103" s="1741"/>
      <c r="T103" s="1740"/>
      <c r="U103" s="1743"/>
      <c r="V103" s="185"/>
      <c r="W103" s="114"/>
      <c r="Y103" s="141"/>
      <c r="AJ103" s="12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row>
    <row r="104" spans="1:76" ht="18.75" customHeight="1">
      <c r="A104" s="81"/>
      <c r="B104" s="82"/>
      <c r="C104" s="82"/>
      <c r="D104" s="82"/>
      <c r="E104" s="82"/>
      <c r="F104" s="82"/>
      <c r="G104" s="82"/>
      <c r="H104" s="82"/>
      <c r="I104" s="82"/>
      <c r="J104" s="83"/>
      <c r="K104" s="82"/>
      <c r="L104" s="82"/>
      <c r="M104" s="82"/>
      <c r="N104" s="82"/>
      <c r="O104" s="82"/>
      <c r="P104" s="82"/>
      <c r="Q104" s="82"/>
      <c r="R104" s="82"/>
      <c r="S104" s="82"/>
      <c r="T104" s="82"/>
      <c r="U104" s="84"/>
      <c r="V104" s="600"/>
      <c r="W104" s="114"/>
      <c r="Y104" s="141"/>
      <c r="AI104" s="56"/>
      <c r="AJ104" s="122"/>
      <c r="AQ104" s="52">
        <v>0</v>
      </c>
    </row>
    <row r="105" spans="1:76" ht="18.75" customHeight="1">
      <c r="A105" s="87"/>
      <c r="B105" s="888" t="s">
        <v>650</v>
      </c>
      <c r="C105" s="5"/>
      <c r="D105" s="5"/>
      <c r="E105" s="5"/>
      <c r="F105" s="5"/>
      <c r="G105" s="5"/>
      <c r="H105" s="5"/>
      <c r="I105" s="5"/>
      <c r="J105" s="1"/>
      <c r="K105" s="5"/>
      <c r="L105" s="5"/>
      <c r="M105" s="5"/>
      <c r="N105" s="5"/>
      <c r="O105" s="5"/>
      <c r="P105" s="5"/>
      <c r="Q105" s="5"/>
      <c r="R105" s="5"/>
      <c r="S105" s="5"/>
      <c r="T105" s="5"/>
      <c r="U105" s="86"/>
      <c r="V105" s="122"/>
      <c r="W105" s="114"/>
      <c r="Y105" s="141"/>
      <c r="AJ105" s="119"/>
    </row>
    <row r="106" spans="1:76" ht="18.75" customHeight="1">
      <c r="A106" s="91"/>
      <c r="B106" s="92"/>
      <c r="C106" s="92"/>
      <c r="D106" s="92"/>
      <c r="E106" s="92"/>
      <c r="F106" s="92"/>
      <c r="G106" s="92"/>
      <c r="H106" s="92"/>
      <c r="I106" s="200"/>
      <c r="J106" s="93"/>
      <c r="K106" s="92"/>
      <c r="L106" s="92"/>
      <c r="M106" s="92"/>
      <c r="N106" s="92"/>
      <c r="O106" s="92"/>
      <c r="P106" s="329"/>
      <c r="Q106" s="92"/>
      <c r="R106" s="92"/>
      <c r="S106" s="200"/>
      <c r="T106" s="92"/>
      <c r="U106" s="94"/>
      <c r="V106" s="122"/>
      <c r="W106" s="114"/>
      <c r="Y106" s="141"/>
      <c r="AE106" s="52"/>
      <c r="AF106" s="52"/>
      <c r="AG106" s="52"/>
      <c r="AH106" s="52"/>
      <c r="AJ106" s="119"/>
      <c r="AK106" s="52" t="str">
        <f>CONCATENATE($I$7,"in Number of "&amp;$B108)</f>
        <v>Average Annual Change in Number of Children subject to Care Applications to Court during the year ending 31st March [SCB30]</v>
      </c>
      <c r="AQ106" s="530" t="s">
        <v>604</v>
      </c>
    </row>
    <row r="107" spans="1:76" ht="11.25" customHeight="1">
      <c r="A107" s="81"/>
      <c r="B107" s="82"/>
      <c r="C107" s="82"/>
      <c r="D107" s="82"/>
      <c r="E107" s="82"/>
      <c r="F107" s="82"/>
      <c r="G107" s="82"/>
      <c r="H107" s="82"/>
      <c r="I107" s="82"/>
      <c r="J107" s="83"/>
      <c r="K107" s="82"/>
      <c r="L107" s="82"/>
      <c r="M107" s="82"/>
      <c r="N107" s="82"/>
      <c r="O107" s="82"/>
      <c r="P107" s="82"/>
      <c r="Q107" s="82"/>
      <c r="R107" s="82"/>
      <c r="S107" s="82"/>
      <c r="T107" s="82"/>
      <c r="U107" s="84"/>
      <c r="V107" s="102"/>
      <c r="W107" s="114"/>
      <c r="Y107" s="141"/>
      <c r="AJ107" s="119"/>
    </row>
    <row r="108" spans="1:76" ht="18.75" customHeight="1">
      <c r="A108" s="87"/>
      <c r="B108" s="1920" t="str">
        <f>"Children subject to Care Applications to Court during"&amp;Y1&amp;" [SCB30]"</f>
        <v>Children subject to Care Applications to Court during the year ending 31st March [SCB30]</v>
      </c>
      <c r="C108" s="1920"/>
      <c r="D108" s="1920"/>
      <c r="E108" s="1920"/>
      <c r="F108" s="1920"/>
      <c r="G108" s="1920"/>
      <c r="H108" s="1920"/>
      <c r="I108" s="1920"/>
      <c r="J108" s="1920"/>
      <c r="K108" s="1920"/>
      <c r="L108" s="1920"/>
      <c r="M108" s="1920"/>
      <c r="N108" s="1920"/>
      <c r="O108" s="1920"/>
      <c r="P108" s="1920"/>
      <c r="Q108" s="1920"/>
      <c r="R108" s="1920"/>
      <c r="S108" s="1920"/>
      <c r="T108" s="1920"/>
      <c r="U108" s="86"/>
      <c r="V108" s="102"/>
      <c r="W108" s="115"/>
      <c r="X108" s="61"/>
      <c r="Y108" s="61"/>
      <c r="Z108" s="61"/>
      <c r="AA108" s="153" t="s">
        <v>76</v>
      </c>
      <c r="AB108" s="141"/>
      <c r="AC108" s="141"/>
      <c r="AD108" s="149"/>
      <c r="AE108" s="149"/>
      <c r="AF108" s="154" t="s">
        <v>88</v>
      </c>
      <c r="AG108" s="141"/>
      <c r="AH108" s="141"/>
      <c r="AI108" s="61"/>
      <c r="AJ108" s="12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row>
    <row r="109" spans="1:76" ht="18.75" customHeight="1">
      <c r="A109" s="87"/>
      <c r="B109" s="1920"/>
      <c r="C109" s="1920"/>
      <c r="D109" s="1920"/>
      <c r="E109" s="1920"/>
      <c r="F109" s="1920"/>
      <c r="G109" s="1920"/>
      <c r="H109" s="1920"/>
      <c r="I109" s="1920"/>
      <c r="J109" s="1920"/>
      <c r="K109" s="1920"/>
      <c r="L109" s="1920"/>
      <c r="M109" s="1920"/>
      <c r="N109" s="1920"/>
      <c r="O109" s="1920"/>
      <c r="P109" s="1920"/>
      <c r="Q109" s="1920"/>
      <c r="R109" s="1920"/>
      <c r="S109" s="1920"/>
      <c r="T109" s="1920"/>
      <c r="U109" s="86"/>
      <c r="V109" s="102"/>
      <c r="W109" s="115"/>
      <c r="X109" s="61"/>
      <c r="Y109" s="1772" t="s">
        <v>73</v>
      </c>
      <c r="Z109" s="1772" t="s">
        <v>74</v>
      </c>
      <c r="AA109" s="444" t="str">
        <f>ReportData!$D$27</f>
        <v>2019/20</v>
      </c>
      <c r="AB109" s="444" t="str">
        <f>ReportData!$E$27</f>
        <v>2020/21</v>
      </c>
      <c r="AC109" s="444" t="str">
        <f>ReportData!$F$27</f>
        <v>2021/22</v>
      </c>
      <c r="AD109" s="444" t="str">
        <f>ReportData!$G$27</f>
        <v>2022/23</v>
      </c>
      <c r="AE109" s="444" t="str">
        <f>ReportData!$H$27</f>
        <v>2023/24</v>
      </c>
      <c r="AF109" s="154"/>
      <c r="AG109" s="141"/>
      <c r="AH109" s="141"/>
      <c r="AI109" s="61"/>
      <c r="AJ109" s="12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row>
    <row r="110" spans="1:76" s="61" customFormat="1" ht="13.5" customHeight="1">
      <c r="A110" s="88"/>
      <c r="B110" s="1749" t="s">
        <v>177</v>
      </c>
      <c r="C110" s="896"/>
      <c r="D110" s="1777" t="s">
        <v>84</v>
      </c>
      <c r="E110" s="1777"/>
      <c r="F110" s="1777"/>
      <c r="G110" s="1777"/>
      <c r="H110" s="1778"/>
      <c r="I110" s="1761" t="str">
        <f>"Average "&amp;ReportData!C101&amp;" Change "</f>
        <v xml:space="preserve">Average West Sussex Change </v>
      </c>
      <c r="J110" s="896"/>
      <c r="K110" s="1765" t="s">
        <v>85</v>
      </c>
      <c r="L110" s="1766"/>
      <c r="M110" s="1766"/>
      <c r="N110" s="1766"/>
      <c r="O110" s="1766"/>
      <c r="P110" s="1767"/>
      <c r="Q110" s="1761" t="str">
        <f>IF(ISNA(O111),"Rank "&amp;O113,"Rank "&amp;LEFT(O111,5)&amp;" "&amp;RIGHT(O111,2))</f>
        <v>Rank 2023/ 24</v>
      </c>
      <c r="R110" s="64"/>
      <c r="S110" s="1783" t="str">
        <f>"Distance from "&amp;ReportData!$B$8&amp;" Expected Rate based on IDACI"</f>
        <v>Distance from 2024 Expected Rate based on IDACI</v>
      </c>
      <c r="T110" s="1784"/>
      <c r="U110" s="89"/>
      <c r="V110" s="103"/>
      <c r="W110" s="115"/>
      <c r="Y110" s="1774"/>
      <c r="Z110" s="1774"/>
      <c r="AA110" s="444" t="e">
        <f>ReportData!$D$28</f>
        <v>#N/A</v>
      </c>
      <c r="AB110" s="444" t="e">
        <f>ReportData!$E$28</f>
        <v>#N/A</v>
      </c>
      <c r="AC110" s="444" t="e">
        <f>ReportData!$F$28</f>
        <v>#N/A</v>
      </c>
      <c r="AD110" s="444" t="e">
        <f>ReportData!$G$28</f>
        <v>#N/A</v>
      </c>
      <c r="AE110" s="444" t="e">
        <f>ReportData!$H$28</f>
        <v>#N/A</v>
      </c>
      <c r="AF110" s="141"/>
      <c r="AG110" s="141">
        <f>COLUMNS($B$4:O$4)</f>
        <v>14</v>
      </c>
      <c r="AH110" s="141"/>
      <c r="AJ110" s="121"/>
      <c r="AK110" s="479" t="s">
        <v>598</v>
      </c>
      <c r="AL110" s="479" t="s">
        <v>599</v>
      </c>
      <c r="AM110" s="479" t="s">
        <v>600</v>
      </c>
      <c r="AN110" s="479" t="s">
        <v>601</v>
      </c>
      <c r="AO110" s="479" t="s">
        <v>602</v>
      </c>
      <c r="AQ110" s="532" t="s">
        <v>605</v>
      </c>
      <c r="AR110" s="532" t="s">
        <v>606</v>
      </c>
      <c r="AS110" s="532" t="s">
        <v>607</v>
      </c>
      <c r="AT110" s="532" t="s">
        <v>608</v>
      </c>
      <c r="AU110" s="533" t="s">
        <v>609</v>
      </c>
      <c r="AV110" s="533" t="s">
        <v>610</v>
      </c>
      <c r="AW110" s="533" t="s">
        <v>611</v>
      </c>
    </row>
    <row r="111" spans="1:76" s="61" customFormat="1" ht="13.5" customHeight="1">
      <c r="A111" s="217"/>
      <c r="B111" s="1749"/>
      <c r="C111" s="896"/>
      <c r="D111" s="1770" t="str">
        <f>ReportData!$D$27</f>
        <v>2019/20</v>
      </c>
      <c r="E111" s="1770" t="str">
        <f>ReportData!$E$27</f>
        <v>2020/21</v>
      </c>
      <c r="F111" s="1770" t="str">
        <f>ReportData!$F$27</f>
        <v>2021/22</v>
      </c>
      <c r="G111" s="1770" t="str">
        <f>ReportData!$G$27</f>
        <v>2022/23</v>
      </c>
      <c r="H111" s="1781" t="str">
        <f>ReportData!$H$27</f>
        <v>2023/24</v>
      </c>
      <c r="I111" s="1762"/>
      <c r="J111" s="896"/>
      <c r="K111" s="1770" t="str">
        <f>ReportData!$D$27</f>
        <v>2019/20</v>
      </c>
      <c r="L111" s="1770" t="str">
        <f>ReportData!$E$27</f>
        <v>2020/21</v>
      </c>
      <c r="M111" s="1770" t="str">
        <f>ReportData!$F$27</f>
        <v>2021/22</v>
      </c>
      <c r="N111" s="1770" t="str">
        <f>ReportData!$G$27</f>
        <v>2022/23</v>
      </c>
      <c r="O111" s="1789" t="str">
        <f>ReportData!$H$27</f>
        <v>2023/24</v>
      </c>
      <c r="P111" s="1790"/>
      <c r="Q111" s="1762"/>
      <c r="R111" s="64"/>
      <c r="S111" s="1785"/>
      <c r="T111" s="1786"/>
      <c r="U111" s="89"/>
      <c r="V111" s="103"/>
      <c r="W111" s="115"/>
      <c r="X111" s="51" t="str">
        <f t="shared" ref="X111:X131" si="35">B114</f>
        <v>Bracknell Forest</v>
      </c>
      <c r="Y111" s="27">
        <f>IF(H114&gt;0,IDACI!D9,0)</f>
        <v>24849</v>
      </c>
      <c r="Z111" s="27">
        <f>IF(H114&gt;0,IDACI!E9,0)</f>
        <v>2211.5610000000001</v>
      </c>
      <c r="AA111" s="155">
        <f>IF(ISNUMBER(D114),Population!D11,"")</f>
        <v>27298</v>
      </c>
      <c r="AB111" s="155">
        <f>IF(ISNUMBER(E114),Population!E11,"")</f>
        <v>27594</v>
      </c>
      <c r="AC111" s="155">
        <f>IF(ISNUMBER(F114),Population!F11,"")</f>
        <v>27823</v>
      </c>
      <c r="AD111" s="155">
        <f>IF(ISNUMBER(G114),Population!G11,"")</f>
        <v>28330</v>
      </c>
      <c r="AE111" s="155">
        <f>IF(ISNUMBER(H114),Population!H11,"")</f>
        <v>28647</v>
      </c>
      <c r="AF111" s="65" t="str">
        <f>B114</f>
        <v>Bracknell Forest</v>
      </c>
      <c r="AG111" s="70">
        <f t="shared" ref="AG111:AG129" si="36">IFERROR(VLOOKUP(AF111,$B$114:$O$132,AG$110,FALSE),"")</f>
        <v>7.6796872272838339</v>
      </c>
      <c r="AH111" s="156">
        <f t="shared" ref="AH111:AH129" si="37">RANK(AG111,$AG$111:$AG$129,1)</f>
        <v>3</v>
      </c>
      <c r="AJ111" s="121"/>
      <c r="AK111" s="480">
        <f>IF(ISERROR((E114-D114)/D114),"x",(E114-D114)/D114)</f>
        <v>-0.46666666666666667</v>
      </c>
      <c r="AL111" s="480">
        <f>IF(ISERROR((F114-E114)/E114),"x",(F114-E114)/E114)</f>
        <v>0.625</v>
      </c>
      <c r="AM111" s="480">
        <f>IF(ISERROR((G114-F114)/F114),"x",(G114-F114)/F114)</f>
        <v>-2.564102564102564E-2</v>
      </c>
      <c r="AN111" s="480">
        <f>IF(ISERROR((H114-G114)/G114),"x",(H114-G114)/G114)</f>
        <v>-0.42105263157894735</v>
      </c>
      <c r="AO111" s="480">
        <f>AVERAGE(AK111:AN111)</f>
        <v>-7.209008097165992E-2</v>
      </c>
      <c r="AQ111" s="531">
        <f>IF(ISNUMBER(L114),L114,"")</f>
        <v>8.6975429441182861</v>
      </c>
      <c r="AR111" s="531">
        <f>IF(ISNUMBER(M114),M114,"")</f>
        <v>14.01718003090968</v>
      </c>
      <c r="AS111" s="531">
        <f>IF(ISNUMBER(N114),N114,"")</f>
        <v>13.413342746205435</v>
      </c>
      <c r="AT111" s="531">
        <f>IF(ISNUMBER(O114),O114,"")</f>
        <v>7.6796872272838339</v>
      </c>
      <c r="AU111" s="531">
        <f t="shared" ref="AU111:AU124" si="38">SUM(AQ111:AT111)</f>
        <v>43.807752948517241</v>
      </c>
      <c r="AV111" s="350">
        <f t="shared" ref="AV111:AV124" si="39">COUNTBLANK(AQ111:AT111)</f>
        <v>0</v>
      </c>
      <c r="AW111" s="531">
        <f>AU111/(4-AV111)*4</f>
        <v>43.807752948517241</v>
      </c>
    </row>
    <row r="112" spans="1:76" s="61" customFormat="1" ht="9" customHeight="1">
      <c r="A112" s="217"/>
      <c r="B112" s="1749"/>
      <c r="C112" s="896"/>
      <c r="D112" s="1771"/>
      <c r="E112" s="1771"/>
      <c r="F112" s="1771"/>
      <c r="G112" s="1771"/>
      <c r="H112" s="1782"/>
      <c r="I112" s="1762"/>
      <c r="J112" s="896"/>
      <c r="K112" s="1771"/>
      <c r="L112" s="1771"/>
      <c r="M112" s="1771"/>
      <c r="N112" s="1771"/>
      <c r="O112" s="1791"/>
      <c r="P112" s="1792"/>
      <c r="Q112" s="1762"/>
      <c r="R112" s="64"/>
      <c r="S112" s="1787"/>
      <c r="T112" s="1788"/>
      <c r="U112" s="89"/>
      <c r="V112" s="103"/>
      <c r="W112" s="115"/>
      <c r="X112" s="51" t="str">
        <f t="shared" si="35"/>
        <v>Brighton &amp; Hove</v>
      </c>
      <c r="Y112" s="27">
        <f>IF(H115&gt;0,IDACI!D10,0)</f>
        <v>45576</v>
      </c>
      <c r="Z112" s="27">
        <f>IF(H115&gt;0,IDACI!E10,0)</f>
        <v>6973.1279999999997</v>
      </c>
      <c r="AA112" s="155">
        <f>IF(ISNUMBER(D115),Population!D12,"")</f>
        <v>48402</v>
      </c>
      <c r="AB112" s="155">
        <f>IF(ISNUMBER(E115),Population!E12,"")</f>
        <v>47964</v>
      </c>
      <c r="AC112" s="155">
        <f>IF(ISNUMBER(F115),Population!F12,"")</f>
        <v>47125</v>
      </c>
      <c r="AD112" s="155">
        <f>IF(ISNUMBER(G115),Population!G12,"")</f>
        <v>47140</v>
      </c>
      <c r="AE112" s="155">
        <f>IF(ISNUMBER(H115),Population!H12,"")</f>
        <v>46666</v>
      </c>
      <c r="AF112" s="65" t="s">
        <v>28</v>
      </c>
      <c r="AG112" s="70">
        <f t="shared" si="36"/>
        <v>18.000257146530664</v>
      </c>
      <c r="AH112" s="156">
        <f t="shared" si="37"/>
        <v>14</v>
      </c>
      <c r="AJ112" s="121"/>
      <c r="AK112" s="480"/>
      <c r="AL112" s="480"/>
      <c r="AM112" s="480"/>
      <c r="AN112" s="480"/>
      <c r="AO112" s="480"/>
      <c r="AQ112" s="531"/>
      <c r="AR112" s="531"/>
      <c r="AS112" s="531"/>
      <c r="AT112" s="531"/>
      <c r="AU112" s="531"/>
      <c r="AV112" s="350"/>
      <c r="AW112" s="531"/>
    </row>
    <row r="113" spans="1:49" s="61" customFormat="1" ht="13.5" customHeight="1">
      <c r="A113" s="88"/>
      <c r="B113" s="1764"/>
      <c r="C113" s="896"/>
      <c r="D113" s="897" t="e">
        <f>ReportData!$D$28</f>
        <v>#N/A</v>
      </c>
      <c r="E113" s="897" t="e">
        <f>ReportData!$E$28</f>
        <v>#N/A</v>
      </c>
      <c r="F113" s="897" t="e">
        <f>ReportData!$F$28</f>
        <v>#N/A</v>
      </c>
      <c r="G113" s="897" t="e">
        <f>ReportData!$G$28</f>
        <v>#N/A</v>
      </c>
      <c r="H113" s="920" t="e">
        <f>ReportData!$H$28</f>
        <v>#N/A</v>
      </c>
      <c r="I113" s="1763"/>
      <c r="J113" s="896"/>
      <c r="K113" s="897" t="e">
        <f>ReportData!$D$28</f>
        <v>#N/A</v>
      </c>
      <c r="L113" s="897" t="e">
        <f>ReportData!$E$28</f>
        <v>#N/A</v>
      </c>
      <c r="M113" s="897" t="e">
        <f>ReportData!$F$28</f>
        <v>#N/A</v>
      </c>
      <c r="N113" s="897" t="e">
        <f>ReportData!$G$28</f>
        <v>#N/A</v>
      </c>
      <c r="O113" s="1779" t="e">
        <f>ReportData!$H$28</f>
        <v>#N/A</v>
      </c>
      <c r="P113" s="1780"/>
      <c r="Q113" s="1763"/>
      <c r="R113" s="64"/>
      <c r="S113" s="898" t="s">
        <v>110</v>
      </c>
      <c r="T113" s="899" t="s">
        <v>111</v>
      </c>
      <c r="U113" s="89"/>
      <c r="V113" s="103"/>
      <c r="W113" s="115"/>
      <c r="X113" s="51" t="str">
        <f t="shared" si="35"/>
        <v>Buckinghamshire</v>
      </c>
      <c r="Y113" s="27">
        <f>IF(H116&gt;0,IDACI!D11,0)</f>
        <v>107385</v>
      </c>
      <c r="Z113" s="27">
        <f>IF(H116&gt;0,IDACI!E11,0)</f>
        <v>9127.7250000000004</v>
      </c>
      <c r="AA113" s="155">
        <f>IF(ISNUMBER(D116),Population!D13,"")</f>
        <v>122137</v>
      </c>
      <c r="AB113" s="155">
        <f>IF(ISNUMBER(E116),Population!E13,"")</f>
        <v>122495</v>
      </c>
      <c r="AC113" s="155">
        <f>IF(ISNUMBER(F116),Population!F13,"")</f>
        <v>123510</v>
      </c>
      <c r="AD113" s="155">
        <f>IF(ISNUMBER(G116),Population!G13,"")</f>
        <v>125915</v>
      </c>
      <c r="AE113" s="155">
        <f>IF(ISNUMBER(H116),Population!H13,"")</f>
        <v>127616</v>
      </c>
      <c r="AF113" s="65" t="s">
        <v>8</v>
      </c>
      <c r="AG113" s="70">
        <f t="shared" si="36"/>
        <v>10.265170511534604</v>
      </c>
      <c r="AH113" s="156">
        <f t="shared" si="37"/>
        <v>6</v>
      </c>
      <c r="AJ113" s="121"/>
      <c r="AK113" s="480">
        <f t="shared" ref="AK113:AK130" si="40">IF(ISERROR((E115-D115)/D115),"x",(E115-D115)/D115)</f>
        <v>-0.29133858267716534</v>
      </c>
      <c r="AL113" s="480">
        <f t="shared" ref="AL113:AL130" si="41">IF(ISERROR((F115-E115)/E115),"x",(F115-E115)/E115)</f>
        <v>0.1</v>
      </c>
      <c r="AM113" s="480">
        <f t="shared" ref="AM113:AM130" si="42">IF(ISERROR((G115-F115)/F115),"x",(G115-F115)/F115)</f>
        <v>-0.49494949494949497</v>
      </c>
      <c r="AN113" s="480">
        <f t="shared" ref="AN113:AN130" si="43">IF(ISERROR((H115-G115)/G115),"x",(H115-G115)/G115)</f>
        <v>0.68</v>
      </c>
      <c r="AO113" s="480">
        <f t="shared" ref="AO113:AO124" si="44">AVERAGE(AK113:AN113)</f>
        <v>-1.5720194066650706E-3</v>
      </c>
      <c r="AQ113" s="531">
        <f t="shared" ref="AQ113:AQ132" si="45">IF(ISNUMBER(L115),L115,"")</f>
        <v>18.764073054791094</v>
      </c>
      <c r="AR113" s="531">
        <f t="shared" ref="AR113:AR132" si="46">IF(ISNUMBER(M115),M115,"")</f>
        <v>21.007957559681699</v>
      </c>
      <c r="AS113" s="531">
        <f t="shared" ref="AS113:AS132" si="47">IF(ISNUMBER(N115),N115,"")</f>
        <v>10.606703436571914</v>
      </c>
      <c r="AT113" s="531">
        <f t="shared" ref="AT113:AT132" si="48">IF(ISNUMBER(O115),O115,"")</f>
        <v>18.000257146530664</v>
      </c>
      <c r="AU113" s="531">
        <f t="shared" si="38"/>
        <v>68.378991197575374</v>
      </c>
      <c r="AV113" s="350">
        <f t="shared" si="39"/>
        <v>0</v>
      </c>
      <c r="AW113" s="531">
        <f t="shared" ref="AW113:AW124" si="49">AU113/(4-AV113)*4</f>
        <v>68.378991197575374</v>
      </c>
    </row>
    <row r="114" spans="1:49" s="61" customFormat="1" ht="15.75" customHeight="1">
      <c r="A114" s="1103">
        <f>VLOOKUP(B114,ReportData!$AQ$4:$AR$25,2,FALSE)</f>
        <v>0</v>
      </c>
      <c r="B114" s="885" t="str">
        <f>ReportData!$K$4</f>
        <v>Bracknell Forest</v>
      </c>
      <c r="C114" s="896"/>
      <c r="D114" s="889">
        <f>IF(Year1_Bracknell_Forest Year1_Care_Applications_Children="","",Year1_Bracknell_Forest Year1_Care_Applications_Children)</f>
        <v>45</v>
      </c>
      <c r="E114" s="889">
        <f>IF(Year2_Bracknell_Forest Year2_Care_Applications_Children="","",Year2_Bracknell_Forest Year2_Care_Applications_Children)</f>
        <v>24</v>
      </c>
      <c r="F114" s="889">
        <f>IF(Year3_Bracknell_Forest Year3_Care_Applications_Children="","",Year3_Bracknell_Forest Year3_Care_Applications_Children)</f>
        <v>39</v>
      </c>
      <c r="G114" s="889">
        <f>IF(Year4_Bracknell_Forest Year4_Care_Applications_Children="","",Year4_Bracknell_Forest Year4_Care_Applications_Children)</f>
        <v>38</v>
      </c>
      <c r="H114" s="1204">
        <f>IF(Year5_Bracknell_Forest Year5_Care_Applications_Children="","",Year5_Bracknell_Forest Year5_Care_Applications_Children)</f>
        <v>22</v>
      </c>
      <c r="I114" s="1205">
        <f>AO111</f>
        <v>-7.209008097165992E-2</v>
      </c>
      <c r="J114" s="896"/>
      <c r="K114" s="901">
        <f>IF(ISNUMBER(D114),D114/Population!D11*10000,NA())</f>
        <v>16.484724155615794</v>
      </c>
      <c r="L114" s="901">
        <f>IF(ISNUMBER(E114),E114/Population!E11*10000,NA())</f>
        <v>8.6975429441182861</v>
      </c>
      <c r="M114" s="901">
        <f>IF(ISNUMBER(F114),F114/Population!F11*10000,NA())</f>
        <v>14.01718003090968</v>
      </c>
      <c r="N114" s="901">
        <f>IF(ISNUMBER(G114),G114/Population!G11*10000,NA())</f>
        <v>13.413342746205435</v>
      </c>
      <c r="O114" s="901">
        <f>IF(ISNUMBER(H114),H114/Population!H11*10000,NA())</f>
        <v>7.6796872272838339</v>
      </c>
      <c r="P114" s="903">
        <f>IF(ISNUMBER(O114),O114,"")</f>
        <v>7.6796872272838339</v>
      </c>
      <c r="Q114" s="904">
        <f>IF(ISNA(VLOOKUP(B114,$AF$111:$AH$129,3,FALSE)),"--",IF(ISNUMBER(H114),VLOOKUP(B114,$AF$111:$AH$129,3,FALSE),NA()))</f>
        <v>3</v>
      </c>
      <c r="R114" s="64"/>
      <c r="S114" s="905">
        <f>(AQ139*$Y$142)+$Z$142/$X$2</f>
        <v>10.092008848156516</v>
      </c>
      <c r="T114" s="906">
        <f t="shared" ref="T114:T126" si="50">O114-S114</f>
        <v>-2.4123216208726816</v>
      </c>
      <c r="U114" s="89"/>
      <c r="V114" s="103"/>
      <c r="W114" s="115"/>
      <c r="X114" s="51" t="str">
        <f t="shared" si="35"/>
        <v>East Sussex</v>
      </c>
      <c r="Y114" s="27">
        <f>IF(H117&gt;0,IDACI!D12,0)</f>
        <v>93130</v>
      </c>
      <c r="Z114" s="27">
        <f>IF(H117&gt;0,IDACI!E12,0)</f>
        <v>14993.93</v>
      </c>
      <c r="AA114" s="155">
        <f>IF(ISNUMBER(D117),Population!D14,"")</f>
        <v>102921</v>
      </c>
      <c r="AB114" s="155">
        <f>IF(ISNUMBER(E117),Population!E14,"")</f>
        <v>102419</v>
      </c>
      <c r="AC114" s="155">
        <f>IF(ISNUMBER(F117),Population!F14,"")</f>
        <v>101959</v>
      </c>
      <c r="AD114" s="155">
        <f>IF(ISNUMBER(G117),Population!G14,"")</f>
        <v>102825</v>
      </c>
      <c r="AE114" s="155">
        <f>IF(ISNUMBER(H117),Population!H14,"")</f>
        <v>103606</v>
      </c>
      <c r="AF114" s="65" t="s">
        <v>4</v>
      </c>
      <c r="AG114" s="70">
        <f t="shared" si="36"/>
        <v>11.77537980425844</v>
      </c>
      <c r="AH114" s="156">
        <f t="shared" si="37"/>
        <v>8</v>
      </c>
      <c r="AJ114" s="121"/>
      <c r="AK114" s="480">
        <f t="shared" si="40"/>
        <v>7.9136690647482008E-2</v>
      </c>
      <c r="AL114" s="480">
        <f t="shared" si="41"/>
        <v>-0.14666666666666667</v>
      </c>
      <c r="AM114" s="480">
        <f t="shared" si="42"/>
        <v>-0.34375</v>
      </c>
      <c r="AN114" s="480">
        <f t="shared" si="43"/>
        <v>0.55952380952380953</v>
      </c>
      <c r="AO114" s="480">
        <f t="shared" si="44"/>
        <v>3.7060958376156222E-2</v>
      </c>
      <c r="AQ114" s="531">
        <f t="shared" si="45"/>
        <v>12.245397771337606</v>
      </c>
      <c r="AR114" s="531">
        <f t="shared" si="46"/>
        <v>10.363533317140313</v>
      </c>
      <c r="AS114" s="531">
        <f t="shared" si="47"/>
        <v>6.671167057141723</v>
      </c>
      <c r="AT114" s="531">
        <f t="shared" si="48"/>
        <v>10.265170511534604</v>
      </c>
      <c r="AU114" s="531">
        <f t="shared" si="38"/>
        <v>39.545268657154246</v>
      </c>
      <c r="AV114" s="350">
        <f t="shared" si="39"/>
        <v>0</v>
      </c>
      <c r="AW114" s="531">
        <f t="shared" si="49"/>
        <v>39.545268657154246</v>
      </c>
    </row>
    <row r="115" spans="1:49" s="61" customFormat="1" ht="15.75" customHeight="1">
      <c r="A115" s="1103">
        <f>VLOOKUP(B115,ReportData!$AQ$4:$AR$25,2,FALSE)</f>
        <v>0</v>
      </c>
      <c r="B115" s="885" t="str">
        <f>ReportData!$K$5</f>
        <v>Brighton &amp; Hove</v>
      </c>
      <c r="C115" s="896"/>
      <c r="D115" s="889">
        <f>IF(Year1_Brighton_and_Hove Year1_Care_Applications_Children="","",Year1_Brighton_and_Hove Year1_Care_Applications_Children)</f>
        <v>127</v>
      </c>
      <c r="E115" s="889">
        <f>IF(Year2_Brighton_and_Hove Year2_Care_Applications_Children="","",Year2_Brighton_and_Hove Year2_Care_Applications_Children)</f>
        <v>90</v>
      </c>
      <c r="F115" s="889">
        <f>IF(Year3_Brighton_and_Hove Year3_Care_Applications_Children="","",Year3_Brighton_and_Hove Year3_Care_Applications_Children)</f>
        <v>99</v>
      </c>
      <c r="G115" s="889">
        <f>IF(Year4_Brighton_and_Hove Year4_Care_Applications_Children="","",Year4_Brighton_and_Hove Year4_Care_Applications_Children)</f>
        <v>50</v>
      </c>
      <c r="H115" s="1204">
        <f>IF(Year5_Brighton_and_Hove Year5_Care_Applications_Children="","",Year5_Brighton_and_Hove Year5_Care_Applications_Children)</f>
        <v>84</v>
      </c>
      <c r="I115" s="1205">
        <f t="shared" ref="I115:I126" si="51">AO113</f>
        <v>-1.5720194066650706E-3</v>
      </c>
      <c r="J115" s="896"/>
      <c r="K115" s="901">
        <f>IF(ISNUMBER(D115),D115/Population!D12*10000,NA())</f>
        <v>26.238585182430477</v>
      </c>
      <c r="L115" s="901">
        <f>IF(ISNUMBER(E115),E115/Population!E12*10000,NA())</f>
        <v>18.764073054791094</v>
      </c>
      <c r="M115" s="901">
        <f>IF(ISNUMBER(F115),F115/Population!F12*10000,NA())</f>
        <v>21.007957559681699</v>
      </c>
      <c r="N115" s="901">
        <f>IF(ISNUMBER(G115),G115/Population!G12*10000,NA())</f>
        <v>10.606703436571914</v>
      </c>
      <c r="O115" s="902">
        <f>IF(ISNUMBER(H115),H115/Population!H12*10000,NA())</f>
        <v>18.000257146530664</v>
      </c>
      <c r="P115" s="903">
        <f t="shared" ref="P115:P128" si="52">IF(ISNUMBER(O115),O115,"")</f>
        <v>18.000257146530664</v>
      </c>
      <c r="Q115" s="904">
        <f t="shared" ref="Q115:Q132" si="53">IF(ISNA(VLOOKUP(B115,$AF$111:$AH$129,3,FALSE)),"--",IF(ISNUMBER(H115),VLOOKUP(B115,$AF$111:$AH$129,3,FALSE),NA()))</f>
        <v>14</v>
      </c>
      <c r="R115" s="64"/>
      <c r="S115" s="905">
        <f t="shared" ref="S115:S134" si="54">(AQ140*$Y$142)+$Z$142/$X$2</f>
        <v>15.853421950189837</v>
      </c>
      <c r="T115" s="906">
        <f t="shared" si="50"/>
        <v>2.1468351963408274</v>
      </c>
      <c r="U115" s="89"/>
      <c r="V115" s="103"/>
      <c r="W115" s="115"/>
      <c r="X115" s="51" t="str">
        <f t="shared" si="35"/>
        <v>Hampshire</v>
      </c>
      <c r="Y115" s="27">
        <f>IF(H118&gt;0,IDACI!D13,0)</f>
        <v>249483</v>
      </c>
      <c r="Z115" s="27">
        <f>IF(H118&gt;0,IDACI!E13,0)</f>
        <v>25197.783000000007</v>
      </c>
      <c r="AA115" s="155">
        <f>IF(ISNUMBER(D118),Population!D15,"")</f>
        <v>279340</v>
      </c>
      <c r="AB115" s="155">
        <f>IF(ISNUMBER(E118),Population!E15,"")</f>
        <v>279476</v>
      </c>
      <c r="AC115" s="155">
        <f>IF(ISNUMBER(F118),Population!F15,"")</f>
        <v>280929</v>
      </c>
      <c r="AD115" s="155">
        <f>IF(ISNUMBER(G118),Population!G15,"")</f>
        <v>283487</v>
      </c>
      <c r="AE115" s="155">
        <f>IF(ISNUMBER(H118),Population!H15,"")</f>
        <v>285610</v>
      </c>
      <c r="AF115" s="65" t="s">
        <v>6</v>
      </c>
      <c r="AG115" s="70">
        <f t="shared" si="36"/>
        <v>12.954728475893702</v>
      </c>
      <c r="AH115" s="156">
        <f t="shared" si="37"/>
        <v>10</v>
      </c>
      <c r="AJ115" s="121"/>
      <c r="AK115" s="480">
        <f t="shared" si="40"/>
        <v>0.25233644859813081</v>
      </c>
      <c r="AL115" s="480">
        <f t="shared" si="41"/>
        <v>-0.20895522388059701</v>
      </c>
      <c r="AM115" s="480">
        <f t="shared" si="42"/>
        <v>0.18867924528301888</v>
      </c>
      <c r="AN115" s="480">
        <f t="shared" si="43"/>
        <v>-3.1746031746031744E-2</v>
      </c>
      <c r="AO115" s="480">
        <f t="shared" si="44"/>
        <v>5.0078609563630236E-2</v>
      </c>
      <c r="AQ115" s="531">
        <f t="shared" si="45"/>
        <v>13.083509895624836</v>
      </c>
      <c r="AR115" s="531">
        <f t="shared" si="46"/>
        <v>10.396335782030031</v>
      </c>
      <c r="AS115" s="531">
        <f t="shared" si="47"/>
        <v>12.253829321663019</v>
      </c>
      <c r="AT115" s="531">
        <f t="shared" si="48"/>
        <v>11.77537980425844</v>
      </c>
      <c r="AU115" s="531">
        <f t="shared" si="38"/>
        <v>47.509054803576326</v>
      </c>
      <c r="AV115" s="350">
        <f t="shared" si="39"/>
        <v>0</v>
      </c>
      <c r="AW115" s="531">
        <f t="shared" si="49"/>
        <v>47.509054803576326</v>
      </c>
    </row>
    <row r="116" spans="1:49" s="61" customFormat="1" ht="15.75" customHeight="1">
      <c r="A116" s="1103">
        <f>VLOOKUP(B116,ReportData!$AQ$4:$AR$25,2,FALSE)</f>
        <v>0</v>
      </c>
      <c r="B116" s="885" t="str">
        <f>ReportData!$K$6</f>
        <v>Buckinghamshire</v>
      </c>
      <c r="C116" s="896"/>
      <c r="D116" s="889">
        <f>IF(Year1_Buckinghamshire Year1_Care_Applications_Children="","",Year1_Buckinghamshire Year1_Care_Applications_Children)</f>
        <v>139</v>
      </c>
      <c r="E116" s="889">
        <f>IF(Year2_Buckinghamshire Year2_Care_Applications_Children="","",Year2_Buckinghamshire Year2_Care_Applications_Children)</f>
        <v>150</v>
      </c>
      <c r="F116" s="889">
        <f>IF(Year3_Buckinghamshire Year3_Care_Applications_Children="","",Year3_Buckinghamshire Year3_Care_Applications_Children)</f>
        <v>128</v>
      </c>
      <c r="G116" s="889">
        <f>IF(Year4_Buckinghamshire Year4_Care_Applications_Children="","",Year4_Buckinghamshire Year4_Care_Applications_Children)</f>
        <v>84</v>
      </c>
      <c r="H116" s="1204">
        <f>IF(Year5_Buckinghamshire Year5_Care_Applications_Children="","",Year5_Buckinghamshire Year5_Care_Applications_Children)</f>
        <v>131</v>
      </c>
      <c r="I116" s="1205">
        <f t="shared" si="51"/>
        <v>3.7060958376156222E-2</v>
      </c>
      <c r="J116" s="896"/>
      <c r="K116" s="901">
        <f>IF(ISNUMBER(D116),D116/Population!D13*10000,NA())</f>
        <v>11.380662698445187</v>
      </c>
      <c r="L116" s="901">
        <f>IF(ISNUMBER(E116),E116/Population!E13*10000,NA())</f>
        <v>12.245397771337606</v>
      </c>
      <c r="M116" s="901">
        <f>IF(ISNUMBER(F116),F116/Population!F13*10000,NA())</f>
        <v>10.363533317140313</v>
      </c>
      <c r="N116" s="901">
        <f>IF(ISNUMBER(G116),G116/Population!G13*10000,NA())</f>
        <v>6.671167057141723</v>
      </c>
      <c r="O116" s="902">
        <f>IF(ISNUMBER(H116),H116/Population!H13*10000,NA())</f>
        <v>10.265170511534604</v>
      </c>
      <c r="P116" s="903">
        <f t="shared" si="52"/>
        <v>10.265170511534604</v>
      </c>
      <c r="Q116" s="904">
        <f t="shared" si="53"/>
        <v>6</v>
      </c>
      <c r="R116" s="64"/>
      <c r="S116" s="905">
        <f t="shared" si="54"/>
        <v>9.7319205292794315</v>
      </c>
      <c r="T116" s="906">
        <f t="shared" si="50"/>
        <v>0.53324998225517284</v>
      </c>
      <c r="U116" s="89"/>
      <c r="V116" s="103"/>
      <c r="W116" s="115"/>
      <c r="X116" s="51" t="str">
        <f t="shared" si="35"/>
        <v>Isle of Wight</v>
      </c>
      <c r="Y116" s="27">
        <f>IF(H119&gt;0,IDACI!D14,0)</f>
        <v>22123</v>
      </c>
      <c r="Z116" s="27">
        <f>IF(H119&gt;0,IDACI!E14,0)</f>
        <v>3982.14</v>
      </c>
      <c r="AA116" s="155">
        <f>IF(ISNUMBER(D119),Population!D16,"")</f>
        <v>24301</v>
      </c>
      <c r="AB116" s="155">
        <f>IF(ISNUMBER(E119),Population!E16,"")</f>
        <v>23892</v>
      </c>
      <c r="AC116" s="155">
        <f>IF(ISNUMBER(F119),Population!F16,"")</f>
        <v>23636</v>
      </c>
      <c r="AD116" s="155">
        <f>IF(ISNUMBER(G119),Population!G16,"")</f>
        <v>23534</v>
      </c>
      <c r="AE116" s="155">
        <f>IF(ISNUMBER(H119),Population!H16,"")</f>
        <v>23438</v>
      </c>
      <c r="AF116" s="65" t="s">
        <v>1</v>
      </c>
      <c r="AG116" s="70">
        <f t="shared" si="36"/>
        <v>22.186193361208293</v>
      </c>
      <c r="AH116" s="156">
        <f t="shared" si="37"/>
        <v>17</v>
      </c>
      <c r="AJ116" s="121"/>
      <c r="AK116" s="480">
        <f t="shared" si="40"/>
        <v>0.32621951219512196</v>
      </c>
      <c r="AL116" s="480">
        <f t="shared" si="41"/>
        <v>-9.8850574712643677E-2</v>
      </c>
      <c r="AM116" s="480">
        <f t="shared" si="42"/>
        <v>-2.8061224489795918E-2</v>
      </c>
      <c r="AN116" s="480">
        <f t="shared" si="43"/>
        <v>-2.8871391076115485E-2</v>
      </c>
      <c r="AO116" s="480">
        <f t="shared" si="44"/>
        <v>4.260908047914172E-2</v>
      </c>
      <c r="AQ116" s="531">
        <f t="shared" si="45"/>
        <v>15.564842777197327</v>
      </c>
      <c r="AR116" s="531">
        <f t="shared" si="46"/>
        <v>13.953703604825417</v>
      </c>
      <c r="AS116" s="531">
        <f t="shared" si="47"/>
        <v>13.439769724890382</v>
      </c>
      <c r="AT116" s="531">
        <f t="shared" si="48"/>
        <v>12.954728475893702</v>
      </c>
      <c r="AU116" s="531">
        <f t="shared" si="38"/>
        <v>55.913044582806833</v>
      </c>
      <c r="AV116" s="350">
        <f t="shared" si="39"/>
        <v>0</v>
      </c>
      <c r="AW116" s="531">
        <f t="shared" si="49"/>
        <v>55.913044582806833</v>
      </c>
    </row>
    <row r="117" spans="1:49" s="61" customFormat="1" ht="15.75" customHeight="1">
      <c r="A117" s="1103">
        <f>VLOOKUP(B117,ReportData!$AQ$4:$AR$25,2,FALSE)</f>
        <v>0</v>
      </c>
      <c r="B117" s="885" t="str">
        <f>ReportData!$K$7</f>
        <v>East Sussex</v>
      </c>
      <c r="C117" s="896"/>
      <c r="D117" s="889">
        <f>IF(Year1_East_Sussex Year1_Care_Applications_Children="","",Year1_East_Sussex Year1_Care_Applications_Children)</f>
        <v>107</v>
      </c>
      <c r="E117" s="889">
        <f>IF(Year2_East_Sussex Year2_Care_Applications_Children="","",Year2_East_Sussex Year2_Care_Applications_Children)</f>
        <v>134</v>
      </c>
      <c r="F117" s="889">
        <f>IF(Year3_East_Sussex Year3_Care_Applications_Children="","",Year3_East_Sussex Year3_Care_Applications_Children)</f>
        <v>106</v>
      </c>
      <c r="G117" s="889">
        <f>IF(Year4_East_Sussex Year4_Care_Applications_Children="","",Year4_East_Sussex Year4_Care_Applications_Children)</f>
        <v>126</v>
      </c>
      <c r="H117" s="1204">
        <f>IF(Year5_East_Sussex Year5_Care_Applications_Children="","",Year5_East_Sussex Year5_Care_Applications_Children)</f>
        <v>122</v>
      </c>
      <c r="I117" s="1205">
        <f t="shared" si="51"/>
        <v>5.0078609563630236E-2</v>
      </c>
      <c r="J117" s="896"/>
      <c r="K117" s="901">
        <f>IF(ISNUMBER(D117),D117/Population!D14*10000,NA())</f>
        <v>10.396323393670874</v>
      </c>
      <c r="L117" s="901">
        <f>IF(ISNUMBER(E117),E117/Population!E14*10000,NA())</f>
        <v>13.083509895624836</v>
      </c>
      <c r="M117" s="901">
        <f>IF(ISNUMBER(F117),F117/Population!F14*10000,NA())</f>
        <v>10.396335782030031</v>
      </c>
      <c r="N117" s="901">
        <f>IF(ISNUMBER(G117),G117/Population!G14*10000,NA())</f>
        <v>12.253829321663019</v>
      </c>
      <c r="O117" s="902">
        <f>IF(ISNUMBER(H117),H117/Population!H14*10000,NA())</f>
        <v>11.77537980425844</v>
      </c>
      <c r="P117" s="903">
        <f t="shared" si="52"/>
        <v>11.77537980425844</v>
      </c>
      <c r="Q117" s="904">
        <f t="shared" si="53"/>
        <v>8</v>
      </c>
      <c r="R117" s="64"/>
      <c r="S117" s="905">
        <f t="shared" si="54"/>
        <v>16.573598587944005</v>
      </c>
      <c r="T117" s="906">
        <f t="shared" si="50"/>
        <v>-4.7982187836855648</v>
      </c>
      <c r="U117" s="89"/>
      <c r="V117" s="103"/>
      <c r="W117" s="115"/>
      <c r="X117" s="51" t="str">
        <f t="shared" si="35"/>
        <v>Kent</v>
      </c>
      <c r="Y117" s="27">
        <f>IF(H120&gt;0,IDACI!D15,0)</f>
        <v>291866</v>
      </c>
      <c r="Z117" s="27">
        <f>IF(H120&gt;0,IDACI!E15,0)</f>
        <v>46114.828000000001</v>
      </c>
      <c r="AA117" s="155">
        <f>IF(ISNUMBER(D120),Population!D17,"")</f>
        <v>333343</v>
      </c>
      <c r="AB117" s="155">
        <f>IF(ISNUMBER(E120),Population!E17,"")</f>
        <v>334424</v>
      </c>
      <c r="AC117" s="155">
        <f>IF(ISNUMBER(F120),Population!F17,"")</f>
        <v>336091</v>
      </c>
      <c r="AD117" s="155">
        <f>IF(ISNUMBER(G120),Population!G17,"")</f>
        <v>342858</v>
      </c>
      <c r="AE117" s="155">
        <f>IF(ISNUMBER(H120),Population!H17,"")</f>
        <v>348332</v>
      </c>
      <c r="AF117" s="65" t="s">
        <v>9</v>
      </c>
      <c r="AG117" s="70">
        <f t="shared" si="36"/>
        <v>9.1866380349781238</v>
      </c>
      <c r="AH117" s="156">
        <f t="shared" si="37"/>
        <v>5</v>
      </c>
      <c r="AJ117" s="121"/>
      <c r="AK117" s="480">
        <f t="shared" si="40"/>
        <v>0.24444444444444444</v>
      </c>
      <c r="AL117" s="480">
        <f t="shared" si="41"/>
        <v>0.19642857142857142</v>
      </c>
      <c r="AM117" s="480">
        <f t="shared" si="42"/>
        <v>4.4776119402985072E-2</v>
      </c>
      <c r="AN117" s="480">
        <f t="shared" si="43"/>
        <v>-0.25714285714285712</v>
      </c>
      <c r="AO117" s="480">
        <f t="shared" si="44"/>
        <v>5.7126569533285959E-2</v>
      </c>
      <c r="AQ117" s="531">
        <f t="shared" si="45"/>
        <v>23.438807969194709</v>
      </c>
      <c r="AR117" s="531">
        <f t="shared" si="46"/>
        <v>28.346589947537655</v>
      </c>
      <c r="AS117" s="531">
        <f t="shared" si="47"/>
        <v>29.744199881023199</v>
      </c>
      <c r="AT117" s="531">
        <f t="shared" si="48"/>
        <v>22.186193361208293</v>
      </c>
      <c r="AU117" s="531">
        <f t="shared" si="38"/>
        <v>103.71579115896387</v>
      </c>
      <c r="AV117" s="350">
        <f t="shared" si="39"/>
        <v>0</v>
      </c>
      <c r="AW117" s="531">
        <f t="shared" si="49"/>
        <v>103.71579115896387</v>
      </c>
    </row>
    <row r="118" spans="1:49" s="61" customFormat="1" ht="15.75" customHeight="1">
      <c r="A118" s="1103">
        <f>VLOOKUP(B118,ReportData!$AQ$4:$AR$25,2,FALSE)</f>
        <v>0</v>
      </c>
      <c r="B118" s="885" t="str">
        <f>ReportData!$K$8</f>
        <v>Hampshire</v>
      </c>
      <c r="C118" s="896"/>
      <c r="D118" s="889">
        <f>IF(Year1_Hampshire Year1_Care_Applications_Children="","",Year1_Hampshire Year1_Care_Applications_Children)</f>
        <v>328</v>
      </c>
      <c r="E118" s="889">
        <f>IF(Year2_Hampshire Year2_Care_Applications_Children="","",Year2_Hampshire Year2_Care_Applications_Children)</f>
        <v>435</v>
      </c>
      <c r="F118" s="891">
        <f>IF(Year3_Hampshire Year3_Care_Applications_Children="","",Year3_Hampshire Year3_Care_Applications_Children)</f>
        <v>392</v>
      </c>
      <c r="G118" s="891">
        <f>IF(Year4_Hampshire Year4_Care_Applications_Children="","",Year4_Hampshire Year4_Care_Applications_Children)</f>
        <v>381</v>
      </c>
      <c r="H118" s="1204">
        <f>IF(Year5_Hampshire Year5_Care_Applications_Children="","",Year5_Hampshire Year5_Care_Applications_Children)</f>
        <v>370</v>
      </c>
      <c r="I118" s="1205">
        <f t="shared" si="51"/>
        <v>4.260908047914172E-2</v>
      </c>
      <c r="J118" s="896"/>
      <c r="K118" s="901">
        <f>IF(ISNUMBER(D118),D118/Population!D15*10000,NA())</f>
        <v>11.741963198968998</v>
      </c>
      <c r="L118" s="901">
        <f>IF(ISNUMBER(E118),E118/Population!E15*10000,NA())</f>
        <v>15.564842777197327</v>
      </c>
      <c r="M118" s="901">
        <f>IF(ISNUMBER(F118),F118/Population!F15*10000,NA())</f>
        <v>13.953703604825417</v>
      </c>
      <c r="N118" s="901">
        <f>IF(ISNUMBER(G118),G118/Population!G15*10000,NA())</f>
        <v>13.439769724890382</v>
      </c>
      <c r="O118" s="902">
        <f>IF(ISNUMBER(H118),H118/Population!H15*10000,NA())</f>
        <v>12.954728475893702</v>
      </c>
      <c r="P118" s="903">
        <f t="shared" si="52"/>
        <v>12.954728475893702</v>
      </c>
      <c r="Q118" s="904">
        <f t="shared" si="53"/>
        <v>10</v>
      </c>
      <c r="R118" s="64"/>
      <c r="S118" s="905">
        <f t="shared" si="54"/>
        <v>11.172273804787764</v>
      </c>
      <c r="T118" s="906">
        <f t="shared" si="50"/>
        <v>1.7824546711059384</v>
      </c>
      <c r="U118" s="89"/>
      <c r="V118" s="103"/>
      <c r="W118" s="115"/>
      <c r="X118" s="51" t="str">
        <f t="shared" si="35"/>
        <v>Medway</v>
      </c>
      <c r="Y118" s="27">
        <f>IF(H121&gt;0,IDACI!D16,0)</f>
        <v>55993</v>
      </c>
      <c r="Z118" s="27">
        <f>IF(H121&gt;0,IDACI!E16,0)</f>
        <v>10582.676999999998</v>
      </c>
      <c r="AA118" s="155">
        <f>IF(ISNUMBER(D121),Population!D18,"")</f>
        <v>63672</v>
      </c>
      <c r="AB118" s="155">
        <f>IF(ISNUMBER(E121),Population!E18,"")</f>
        <v>63695</v>
      </c>
      <c r="AC118" s="155">
        <f>IF(ISNUMBER(F121),Population!F18,"")</f>
        <v>63817</v>
      </c>
      <c r="AD118" s="155">
        <f>IF(ISNUMBER(G121),Population!G18,"")</f>
        <v>64955</v>
      </c>
      <c r="AE118" s="155">
        <f>IF(ISNUMBER(H121),Population!H18,"")</f>
        <v>66687</v>
      </c>
      <c r="AF118" s="65" t="s">
        <v>2</v>
      </c>
      <c r="AG118" s="70">
        <f t="shared" si="36"/>
        <v>16.794877562343483</v>
      </c>
      <c r="AH118" s="156">
        <f t="shared" si="37"/>
        <v>13</v>
      </c>
      <c r="AJ118" s="121"/>
      <c r="AK118" s="480">
        <f t="shared" si="40"/>
        <v>-0.17763157894736842</v>
      </c>
      <c r="AL118" s="480">
        <f t="shared" si="41"/>
        <v>9.6000000000000002E-2</v>
      </c>
      <c r="AM118" s="480">
        <f t="shared" si="42"/>
        <v>0.11435523114355231</v>
      </c>
      <c r="AN118" s="480">
        <f t="shared" si="43"/>
        <v>-0.30131004366812225</v>
      </c>
      <c r="AO118" s="480">
        <f t="shared" si="44"/>
        <v>-6.7146597867984589E-2</v>
      </c>
      <c r="AQ118" s="531">
        <f t="shared" si="45"/>
        <v>11.213310049517977</v>
      </c>
      <c r="AR118" s="531">
        <f t="shared" si="46"/>
        <v>12.228830882112286</v>
      </c>
      <c r="AS118" s="531">
        <f t="shared" si="47"/>
        <v>13.358299937583491</v>
      </c>
      <c r="AT118" s="531">
        <f t="shared" si="48"/>
        <v>9.1866380349781238</v>
      </c>
      <c r="AU118" s="531">
        <f t="shared" si="38"/>
        <v>45.987078904191875</v>
      </c>
      <c r="AV118" s="350">
        <f t="shared" si="39"/>
        <v>0</v>
      </c>
      <c r="AW118" s="531">
        <f t="shared" si="49"/>
        <v>45.987078904191875</v>
      </c>
    </row>
    <row r="119" spans="1:49" s="61" customFormat="1" ht="15.75" customHeight="1">
      <c r="A119" s="1103">
        <f>VLOOKUP(B119,ReportData!$AQ$4:$AR$25,2,FALSE)</f>
        <v>0</v>
      </c>
      <c r="B119" s="885" t="str">
        <f>ReportData!$K$9</f>
        <v>Isle of Wight</v>
      </c>
      <c r="C119" s="896"/>
      <c r="D119" s="889">
        <f>IF(Year1_Isle_of_Wight Year1_Care_Applications_Children="","",Year1_Isle_of_Wight Year1_Care_Applications_Children)</f>
        <v>45</v>
      </c>
      <c r="E119" s="889">
        <f>IF(Year2_Isle_of_Wight Year2_Care_Applications_Children="","",Year2_Isle_of_Wight Year2_Care_Applications_Children)</f>
        <v>56</v>
      </c>
      <c r="F119" s="889">
        <f>IF(Year3_Isle_of_Wight Year3_Care_Applications_Children="","",Year3_Isle_of_Wight Year3_Care_Applications_Children)</f>
        <v>67</v>
      </c>
      <c r="G119" s="889">
        <f>IF(Year4_Isle_of_Wight Year4_Care_Applications_Children="","",Year4_Isle_of_Wight Year4_Care_Applications_Children)</f>
        <v>70</v>
      </c>
      <c r="H119" s="1204">
        <f>IF(Year5_Isle_of_Wight Year5_Care_Applications_Children="","",Year5_Isle_of_Wight Year5_Care_Applications_Children)</f>
        <v>52</v>
      </c>
      <c r="I119" s="1205">
        <f t="shared" si="51"/>
        <v>5.7126569533285959E-2</v>
      </c>
      <c r="J119" s="896"/>
      <c r="K119" s="901">
        <f>IF(ISNUMBER(D119),D119/Population!D16*10000,NA())</f>
        <v>18.517756470927122</v>
      </c>
      <c r="L119" s="901">
        <f>IF(ISNUMBER(E119),E119/Population!E16*10000,NA())</f>
        <v>23.438807969194709</v>
      </c>
      <c r="M119" s="901">
        <f>IF(ISNUMBER(F119),F119/Population!F16*10000,NA())</f>
        <v>28.346589947537655</v>
      </c>
      <c r="N119" s="901">
        <f>IF(ISNUMBER(G119),G119/Population!G16*10000,NA())</f>
        <v>29.744199881023199</v>
      </c>
      <c r="O119" s="902">
        <f>IF(ISNUMBER(H119),H119/Population!H16*10000,NA())</f>
        <v>22.186193361208293</v>
      </c>
      <c r="P119" s="903">
        <f t="shared" si="52"/>
        <v>22.186193361208293</v>
      </c>
      <c r="Q119" s="904">
        <f t="shared" si="53"/>
        <v>17</v>
      </c>
      <c r="R119" s="64"/>
      <c r="S119" s="905">
        <f t="shared" si="54"/>
        <v>18.284018102610148</v>
      </c>
      <c r="T119" s="906">
        <f t="shared" si="50"/>
        <v>3.9021752585981453</v>
      </c>
      <c r="U119" s="89"/>
      <c r="V119" s="103"/>
      <c r="W119" s="115"/>
      <c r="X119" s="51" t="str">
        <f t="shared" si="35"/>
        <v>Milton Keynes</v>
      </c>
      <c r="Y119" s="27">
        <f>IF(H122&gt;0,IDACI!D17,0)</f>
        <v>59903</v>
      </c>
      <c r="Z119" s="27">
        <f>IF(H122&gt;0,IDACI!E17,0)</f>
        <v>8985.4499999999989</v>
      </c>
      <c r="AA119" s="155">
        <f>IF(ISNUMBER(D122),Population!D19,"")</f>
        <v>69037</v>
      </c>
      <c r="AB119" s="155">
        <f>IF(ISNUMBER(E122),Population!E19,"")</f>
        <v>69305</v>
      </c>
      <c r="AC119" s="155">
        <f>IF(ISNUMBER(F122),Population!F19,"")</f>
        <v>69635</v>
      </c>
      <c r="AD119" s="155">
        <f>IF(ISNUMBER(G122),Population!G19,"")</f>
        <v>70951</v>
      </c>
      <c r="AE119" s="155">
        <f>IF(ISNUMBER(H122),Population!H19,"")</f>
        <v>72797</v>
      </c>
      <c r="AF119" s="65" t="s">
        <v>10</v>
      </c>
      <c r="AG119" s="70">
        <f t="shared" si="36"/>
        <v>21.017349616055608</v>
      </c>
      <c r="AH119" s="156">
        <f t="shared" si="37"/>
        <v>16</v>
      </c>
      <c r="AJ119" s="121"/>
      <c r="AK119" s="480">
        <f t="shared" si="40"/>
        <v>-0.18709677419354839</v>
      </c>
      <c r="AL119" s="480">
        <f t="shared" si="41"/>
        <v>0.11904761904761904</v>
      </c>
      <c r="AM119" s="480">
        <f t="shared" si="42"/>
        <v>9.2198581560283682E-2</v>
      </c>
      <c r="AN119" s="480">
        <f t="shared" si="43"/>
        <v>-0.27272727272727271</v>
      </c>
      <c r="AO119" s="480">
        <f t="shared" si="44"/>
        <v>-6.2144461578229594E-2</v>
      </c>
      <c r="AQ119" s="531">
        <f t="shared" si="45"/>
        <v>19.78177250961614</v>
      </c>
      <c r="AR119" s="531">
        <f t="shared" si="46"/>
        <v>22.094426250058763</v>
      </c>
      <c r="AS119" s="531">
        <f t="shared" si="47"/>
        <v>23.708721422523283</v>
      </c>
      <c r="AT119" s="531">
        <f t="shared" si="48"/>
        <v>16.794877562343483</v>
      </c>
      <c r="AU119" s="531">
        <f t="shared" si="38"/>
        <v>82.379797744541676</v>
      </c>
      <c r="AV119" s="350">
        <f t="shared" si="39"/>
        <v>0</v>
      </c>
      <c r="AW119" s="531">
        <f t="shared" si="49"/>
        <v>82.379797744541676</v>
      </c>
    </row>
    <row r="120" spans="1:49" s="61" customFormat="1" ht="15.75" customHeight="1">
      <c r="A120" s="1103">
        <f>VLOOKUP(B120,ReportData!$AQ$4:$AR$25,2,FALSE)</f>
        <v>0</v>
      </c>
      <c r="B120" s="885" t="str">
        <f>ReportData!$K$10</f>
        <v>Kent</v>
      </c>
      <c r="C120" s="896"/>
      <c r="D120" s="889">
        <f>IF(Year1_Kent Year1_Care_Applications_Children="","",Year1_Kent Year1_Care_Applications_Children)</f>
        <v>456</v>
      </c>
      <c r="E120" s="889">
        <f>IF(Year2_Kent Year2_Care_Applications_Children="","",Year2_Kent Year2_Care_Applications_Children)</f>
        <v>375</v>
      </c>
      <c r="F120" s="889">
        <f>IF(Year3_Kent Year3_Care_Applications_Children="","",Year3_Kent Year3_Care_Applications_Children)</f>
        <v>411</v>
      </c>
      <c r="G120" s="889">
        <f>IF(Year4_Kent Year4_Care_Applications_Children="","",Year4_Kent Year4_Care_Applications_Children)</f>
        <v>458</v>
      </c>
      <c r="H120" s="1204">
        <f>IF(Year5_Kent Year5_Care_Applications_Children="","",Year5_Kent Year5_Care_Applications_Children)</f>
        <v>320</v>
      </c>
      <c r="I120" s="1205">
        <f t="shared" si="51"/>
        <v>-6.7146597867984589E-2</v>
      </c>
      <c r="J120" s="896"/>
      <c r="K120" s="901">
        <f>IF(ISNUMBER(D120),D120/Population!D17*10000,NA())</f>
        <v>13.679603291504545</v>
      </c>
      <c r="L120" s="901">
        <f>IF(ISNUMBER(E120),E120/Population!E17*10000,NA())</f>
        <v>11.213310049517977</v>
      </c>
      <c r="M120" s="901">
        <f>IF(ISNUMBER(F120),F120/Population!F17*10000,NA())</f>
        <v>12.228830882112286</v>
      </c>
      <c r="N120" s="901">
        <f>IF(ISNUMBER(G120),G120/Population!G17*10000,NA())</f>
        <v>13.358299937583491</v>
      </c>
      <c r="O120" s="902">
        <f>IF(ISNUMBER(H120),H120/Population!H17*10000,NA())</f>
        <v>9.1866380349781238</v>
      </c>
      <c r="P120" s="903">
        <f t="shared" si="52"/>
        <v>9.1866380349781238</v>
      </c>
      <c r="Q120" s="904">
        <f t="shared" si="53"/>
        <v>5</v>
      </c>
      <c r="R120" s="64"/>
      <c r="S120" s="905">
        <f t="shared" si="54"/>
        <v>16.303532348786192</v>
      </c>
      <c r="T120" s="906">
        <f t="shared" si="50"/>
        <v>-7.1168943138080678</v>
      </c>
      <c r="U120" s="89"/>
      <c r="V120" s="103"/>
      <c r="W120" s="115"/>
      <c r="X120" s="51" t="str">
        <f t="shared" si="35"/>
        <v>Oxfordshire</v>
      </c>
      <c r="Y120" s="27">
        <f>IF(H123&gt;0,IDACI!D18,0)</f>
        <v>126119</v>
      </c>
      <c r="Z120" s="27">
        <f>IF(H123&gt;0,IDACI!E18,0)</f>
        <v>12738.019000000002</v>
      </c>
      <c r="AA120" s="155">
        <f>IF(ISNUMBER(D123),Population!D20,"")</f>
        <v>144429</v>
      </c>
      <c r="AB120" s="155">
        <f>IF(ISNUMBER(E123),Population!E20,"")</f>
        <v>145219</v>
      </c>
      <c r="AC120" s="155">
        <f>IF(ISNUMBER(F123),Population!F20,"")</f>
        <v>146343</v>
      </c>
      <c r="AD120" s="155">
        <f>IF(ISNUMBER(G123),Population!G20,"")</f>
        <v>149538</v>
      </c>
      <c r="AE120" s="155">
        <f>IF(ISNUMBER(H123),Population!H20,"")</f>
        <v>152505</v>
      </c>
      <c r="AF120" s="65" t="s">
        <v>11</v>
      </c>
      <c r="AG120" s="70">
        <f t="shared" si="36"/>
        <v>7.6718796105045737</v>
      </c>
      <c r="AH120" s="156">
        <f t="shared" si="37"/>
        <v>2</v>
      </c>
      <c r="AJ120" s="121"/>
      <c r="AK120" s="480">
        <f t="shared" si="40"/>
        <v>0.24761904761904763</v>
      </c>
      <c r="AL120" s="480">
        <f t="shared" si="41"/>
        <v>-0.18320610687022901</v>
      </c>
      <c r="AM120" s="480">
        <f t="shared" si="42"/>
        <v>0.14018691588785046</v>
      </c>
      <c r="AN120" s="480">
        <f t="shared" si="43"/>
        <v>0.25409836065573771</v>
      </c>
      <c r="AO120" s="480">
        <f t="shared" si="44"/>
        <v>0.1146745543231017</v>
      </c>
      <c r="AQ120" s="531">
        <f t="shared" si="45"/>
        <v>18.901955125892794</v>
      </c>
      <c r="AR120" s="531">
        <f t="shared" si="46"/>
        <v>15.365836145616429</v>
      </c>
      <c r="AS120" s="531">
        <f t="shared" si="47"/>
        <v>17.194965539597749</v>
      </c>
      <c r="AT120" s="531">
        <f t="shared" si="48"/>
        <v>21.017349616055608</v>
      </c>
      <c r="AU120" s="531">
        <f t="shared" si="38"/>
        <v>72.480106427162582</v>
      </c>
      <c r="AV120" s="350">
        <f t="shared" si="39"/>
        <v>0</v>
      </c>
      <c r="AW120" s="531">
        <f t="shared" si="49"/>
        <v>72.480106427162582</v>
      </c>
    </row>
    <row r="121" spans="1:49" s="61" customFormat="1" ht="15.75" customHeight="1">
      <c r="A121" s="1103">
        <f>VLOOKUP(B121,ReportData!$AQ$4:$AR$25,2,FALSE)</f>
        <v>0</v>
      </c>
      <c r="B121" s="885" t="str">
        <f>ReportData!$K$11</f>
        <v>Medway</v>
      </c>
      <c r="C121" s="896"/>
      <c r="D121" s="889">
        <f>IF(Year1_Medway Year1_Care_Applications_Children="","",Year1_Medway Year1_Care_Applications_Children)</f>
        <v>155</v>
      </c>
      <c r="E121" s="1173">
        <f>IF(Year2_Medway Year2_Care_Applications_Children="","",Year2_Medway Year2_Care_Applications_Children)</f>
        <v>126</v>
      </c>
      <c r="F121" s="1173">
        <f>IF(Year3_Medway Year3_Care_Applications_Children="","",Year3_Medway Year3_Care_Applications_Children)</f>
        <v>141</v>
      </c>
      <c r="G121" s="1173">
        <f>IF(Year4_Medway Year4_Care_Applications_Children="","",Year4_Medway Year4_Care_Applications_Children)</f>
        <v>154</v>
      </c>
      <c r="H121" s="1204">
        <f>IF(Year5_Medway Year5_Care_Applications_Children="","",Year5_Medway Year5_Care_Applications_Children)</f>
        <v>112</v>
      </c>
      <c r="I121" s="1205">
        <f t="shared" si="51"/>
        <v>-6.2144461578229594E-2</v>
      </c>
      <c r="J121" s="896"/>
      <c r="K121" s="901">
        <f>IF(ISNUMBER(D121),D121/Population!D18*10000,NA())</f>
        <v>24.343510491267747</v>
      </c>
      <c r="L121" s="901">
        <f>IF(ISNUMBER(E121),E121/Population!E18*10000,NA())</f>
        <v>19.78177250961614</v>
      </c>
      <c r="M121" s="901">
        <f>IF(ISNUMBER(F121),F121/Population!F18*10000,NA())</f>
        <v>22.094426250058763</v>
      </c>
      <c r="N121" s="901">
        <f>IF(ISNUMBER(G121),G121/Population!G18*10000,NA())</f>
        <v>23.708721422523283</v>
      </c>
      <c r="O121" s="902">
        <f>IF(ISNUMBER(H121),H121/Population!H18*10000,NA())</f>
        <v>16.794877562343483</v>
      </c>
      <c r="P121" s="903">
        <f t="shared" si="52"/>
        <v>16.794877562343483</v>
      </c>
      <c r="Q121" s="904">
        <f t="shared" si="53"/>
        <v>13</v>
      </c>
      <c r="R121" s="64"/>
      <c r="S121" s="905">
        <f t="shared" si="54"/>
        <v>19.094216820083581</v>
      </c>
      <c r="T121" s="906">
        <f t="shared" si="50"/>
        <v>-2.2993392577400975</v>
      </c>
      <c r="U121" s="89"/>
      <c r="V121" s="103"/>
      <c r="W121" s="115"/>
      <c r="X121" s="51" t="str">
        <f t="shared" si="35"/>
        <v>Portsmouth</v>
      </c>
      <c r="Y121" s="27">
        <f>IF(H124&gt;0,IDACI!D19,0)</f>
        <v>39325</v>
      </c>
      <c r="Z121" s="27">
        <f>IF(H124&gt;0,IDACI!E19,0)</f>
        <v>7943.6500000000015</v>
      </c>
      <c r="AA121" s="155">
        <f>IF(ISNUMBER(D124),Population!D21,"")</f>
        <v>42033</v>
      </c>
      <c r="AB121" s="155">
        <f>IF(ISNUMBER(E124),Population!E21,"")</f>
        <v>41865</v>
      </c>
      <c r="AC121" s="155">
        <f>IF(ISNUMBER(F124),Population!F21,"")</f>
        <v>41447</v>
      </c>
      <c r="AD121" s="155">
        <f>IF(ISNUMBER(G124),Population!G21,"")</f>
        <v>41871</v>
      </c>
      <c r="AE121" s="155">
        <f>IF(ISNUMBER(H124),Population!H21,"")</f>
        <v>42307</v>
      </c>
      <c r="AF121" s="65" t="s">
        <v>12</v>
      </c>
      <c r="AG121" s="70">
        <f t="shared" si="36"/>
        <v>25.76405795731203</v>
      </c>
      <c r="AH121" s="156">
        <f t="shared" si="37"/>
        <v>19</v>
      </c>
      <c r="AJ121" s="121"/>
      <c r="AK121" s="480">
        <f t="shared" si="40"/>
        <v>-0.08</v>
      </c>
      <c r="AL121" s="480">
        <f t="shared" si="41"/>
        <v>1.3043478260869565E-2</v>
      </c>
      <c r="AM121" s="480">
        <f t="shared" si="42"/>
        <v>-0.14163090128755365</v>
      </c>
      <c r="AN121" s="480">
        <f t="shared" si="43"/>
        <v>-0.41499999999999998</v>
      </c>
      <c r="AO121" s="480">
        <f t="shared" si="44"/>
        <v>-0.155896855756671</v>
      </c>
      <c r="AQ121" s="531">
        <f t="shared" si="45"/>
        <v>15.838147900756788</v>
      </c>
      <c r="AR121" s="531">
        <f t="shared" si="46"/>
        <v>15.921499490922013</v>
      </c>
      <c r="AS121" s="531">
        <f t="shared" si="47"/>
        <v>13.374526876111757</v>
      </c>
      <c r="AT121" s="531">
        <f t="shared" si="48"/>
        <v>7.6718796105045737</v>
      </c>
      <c r="AU121" s="531">
        <f t="shared" si="38"/>
        <v>52.806053878295131</v>
      </c>
      <c r="AV121" s="350">
        <f t="shared" si="39"/>
        <v>0</v>
      </c>
      <c r="AW121" s="531">
        <f t="shared" si="49"/>
        <v>52.806053878295131</v>
      </c>
    </row>
    <row r="122" spans="1:49" s="61" customFormat="1" ht="15.75" customHeight="1">
      <c r="A122" s="1103">
        <f>VLOOKUP(B122,ReportData!$AQ$4:$AR$25,2,FALSE)</f>
        <v>0</v>
      </c>
      <c r="B122" s="885" t="str">
        <f>ReportData!$K$12</f>
        <v>Milton Keynes</v>
      </c>
      <c r="C122" s="896"/>
      <c r="D122" s="889">
        <f>IF(Year1_Milton_Keynes Year1_Care_Applications_Children="","",Year1_Milton_Keynes Year1_Care_Applications_Children)</f>
        <v>105</v>
      </c>
      <c r="E122" s="889">
        <f>IF(Year2_Milton_Keynes Year2_Care_Applications_Children="","",Year2_Milton_Keynes Year2_Care_Applications_Children)</f>
        <v>131</v>
      </c>
      <c r="F122" s="889">
        <f>IF(Year3_Milton_Keynes Year3_Care_Applications_Children="","",Year3_Milton_Keynes Year3_Care_Applications_Children)</f>
        <v>107</v>
      </c>
      <c r="G122" s="889">
        <f>IF(Year4_Milton_Keynes Year4_Care_Applications_Children="","",Year4_Milton_Keynes Year4_Care_Applications_Children)</f>
        <v>122</v>
      </c>
      <c r="H122" s="1204">
        <f>IF(Year5_Milton_Keynes Year5_Care_Applications_Children="","",Year5_Milton_Keynes Year5_Care_Applications_Children)</f>
        <v>153</v>
      </c>
      <c r="I122" s="1205">
        <f t="shared" si="51"/>
        <v>0.1146745543231017</v>
      </c>
      <c r="J122" s="896"/>
      <c r="K122" s="901">
        <f>IF(ISNUMBER(D122),D122/Population!D19*10000,NA())</f>
        <v>15.209235627272333</v>
      </c>
      <c r="L122" s="901">
        <f>IF(ISNUMBER(E122),E122/Population!E19*10000,NA())</f>
        <v>18.901955125892794</v>
      </c>
      <c r="M122" s="901">
        <f>IF(ISNUMBER(F122),F122/Population!F19*10000,NA())</f>
        <v>15.365836145616429</v>
      </c>
      <c r="N122" s="901">
        <f>IF(ISNUMBER(G122),G122/Population!G19*10000,NA())</f>
        <v>17.194965539597749</v>
      </c>
      <c r="O122" s="902">
        <f>IF(ISNUMBER(H122),H122/Population!H19*10000,NA())</f>
        <v>21.017349616055608</v>
      </c>
      <c r="P122" s="903">
        <f t="shared" si="52"/>
        <v>21.017349616055608</v>
      </c>
      <c r="Q122" s="904">
        <f t="shared" si="53"/>
        <v>16</v>
      </c>
      <c r="R122" s="64"/>
      <c r="S122" s="905">
        <f t="shared" si="54"/>
        <v>15.583355711032025</v>
      </c>
      <c r="T122" s="906">
        <f t="shared" si="50"/>
        <v>5.4339939050235824</v>
      </c>
      <c r="U122" s="89"/>
      <c r="V122" s="103"/>
      <c r="W122" s="115"/>
      <c r="X122" s="51" t="str">
        <f t="shared" si="35"/>
        <v>Reading</v>
      </c>
      <c r="Y122" s="27">
        <f>IF(H125&gt;0,IDACI!D20,0)</f>
        <v>33203</v>
      </c>
      <c r="Z122" s="27">
        <f>IF(H125&gt;0,IDACI!E20,0)</f>
        <v>5312.4800000000005</v>
      </c>
      <c r="AA122" s="155">
        <f>IF(ISNUMBER(D125),Population!D22,"")</f>
        <v>37030</v>
      </c>
      <c r="AB122" s="155">
        <f>IF(ISNUMBER(E125),Population!E22,"")</f>
        <v>36971</v>
      </c>
      <c r="AC122" s="155">
        <f>IF(ISNUMBER(F125),Population!F22,"")</f>
        <v>36334</v>
      </c>
      <c r="AD122" s="155">
        <f>IF(ISNUMBER(G125),Population!G22,"")</f>
        <v>37260</v>
      </c>
      <c r="AE122" s="155">
        <f>IF(ISNUMBER(H125),Population!H22,"")</f>
        <v>37929</v>
      </c>
      <c r="AF122" s="65" t="s">
        <v>3</v>
      </c>
      <c r="AG122" s="70">
        <f t="shared" si="36"/>
        <v>22.673943420601653</v>
      </c>
      <c r="AH122" s="156">
        <f t="shared" si="37"/>
        <v>18</v>
      </c>
      <c r="AJ122" s="121"/>
      <c r="AK122" s="480">
        <f t="shared" si="40"/>
        <v>-0.13414634146341464</v>
      </c>
      <c r="AL122" s="480">
        <f t="shared" si="41"/>
        <v>-2.8169014084507043E-2</v>
      </c>
      <c r="AM122" s="480">
        <f t="shared" si="42"/>
        <v>0.49275362318840582</v>
      </c>
      <c r="AN122" s="480">
        <f t="shared" si="43"/>
        <v>5.8252427184466021E-2</v>
      </c>
      <c r="AO122" s="480">
        <f t="shared" si="44"/>
        <v>9.7172673706237528E-2</v>
      </c>
      <c r="AQ122" s="531">
        <f t="shared" si="45"/>
        <v>16.959273856443328</v>
      </c>
      <c r="AR122" s="531">
        <f t="shared" si="46"/>
        <v>16.647767027770406</v>
      </c>
      <c r="AS122" s="531">
        <f t="shared" si="47"/>
        <v>24.599364715435506</v>
      </c>
      <c r="AT122" s="531">
        <f t="shared" si="48"/>
        <v>25.76405795731203</v>
      </c>
      <c r="AU122" s="531">
        <f t="shared" si="38"/>
        <v>83.970463556961263</v>
      </c>
      <c r="AV122" s="350">
        <f t="shared" si="39"/>
        <v>0</v>
      </c>
      <c r="AW122" s="531">
        <f t="shared" si="49"/>
        <v>83.970463556961263</v>
      </c>
    </row>
    <row r="123" spans="1:49" s="61" customFormat="1" ht="15.75" customHeight="1">
      <c r="A123" s="1103">
        <f>VLOOKUP(B123,ReportData!$AQ$4:$AR$25,2,FALSE)</f>
        <v>0</v>
      </c>
      <c r="B123" s="885" t="str">
        <f>ReportData!$K$13</f>
        <v>Oxfordshire</v>
      </c>
      <c r="C123" s="896"/>
      <c r="D123" s="889">
        <f>IF(Year1_Oxfordshire Year1_Care_Applications_Children="","",Year1_Oxfordshire Year1_Care_Applications_Children)</f>
        <v>250</v>
      </c>
      <c r="E123" s="889">
        <f>IF(Year2_Oxfordshire Year2_Care_Applications_Children="","",Year2_Oxfordshire Year2_Care_Applications_Children)</f>
        <v>230</v>
      </c>
      <c r="F123" s="889">
        <f>IF(Year3_Oxfordshire Year3_Care_Applications_Children="","",Year3_Oxfordshire Year3_Care_Applications_Children)</f>
        <v>233</v>
      </c>
      <c r="G123" s="889">
        <f>IF(Year4_Oxfordshire Year4_Care_Applications_Children="","",Year4_Oxfordshire Year4_Care_Applications_Children)</f>
        <v>200</v>
      </c>
      <c r="H123" s="1204">
        <f>IF(Year5_Oxfordshire Year5_Care_Applications_Children="","",Year5_Oxfordshire Year5_Care_Applications_Children)</f>
        <v>117</v>
      </c>
      <c r="I123" s="1205">
        <f t="shared" si="51"/>
        <v>-0.155896855756671</v>
      </c>
      <c r="J123" s="896"/>
      <c r="K123" s="901">
        <f>IF(ISNUMBER(D123),D123/Population!D20*10000,NA())</f>
        <v>17.309543097300402</v>
      </c>
      <c r="L123" s="901">
        <f>IF(ISNUMBER(E123),E123/Population!E20*10000,NA())</f>
        <v>15.838147900756788</v>
      </c>
      <c r="M123" s="901">
        <f>IF(ISNUMBER(F123),F123/Population!F20*10000,NA())</f>
        <v>15.921499490922013</v>
      </c>
      <c r="N123" s="901">
        <f>IF(ISNUMBER(G123),G123/Population!G20*10000,NA())</f>
        <v>13.374526876111757</v>
      </c>
      <c r="O123" s="902">
        <f>IF(ISNUMBER(H123),H123/Population!H20*10000,NA())</f>
        <v>7.6718796105045737</v>
      </c>
      <c r="P123" s="903">
        <f t="shared" si="52"/>
        <v>7.6718796105045737</v>
      </c>
      <c r="Q123" s="904">
        <f t="shared" si="53"/>
        <v>2</v>
      </c>
      <c r="R123" s="64"/>
      <c r="S123" s="905">
        <f t="shared" si="54"/>
        <v>11.172273804787764</v>
      </c>
      <c r="T123" s="906">
        <f t="shared" si="50"/>
        <v>-3.5003941942831904</v>
      </c>
      <c r="U123" s="89"/>
      <c r="V123" s="103"/>
      <c r="W123" s="115"/>
      <c r="X123" s="51" t="str">
        <f t="shared" si="35"/>
        <v>Slough</v>
      </c>
      <c r="Y123" s="27">
        <f>IF(H126&gt;0,IDACI!D21,0)</f>
        <v>37031</v>
      </c>
      <c r="Z123" s="27">
        <f>IF(H126&gt;0,IDACI!E21,0)</f>
        <v>5443.5569999999998</v>
      </c>
      <c r="AA123" s="155">
        <f>IF(ISNUMBER(D126),Population!D23,"")</f>
        <v>43479</v>
      </c>
      <c r="AB123" s="155">
        <f>IF(ISNUMBER(E126),Population!E23,"")</f>
        <v>43900</v>
      </c>
      <c r="AC123" s="155">
        <f>IF(ISNUMBER(F126),Population!F23,"")</f>
        <v>43737</v>
      </c>
      <c r="AD123" s="155">
        <f>IF(ISNUMBER(G126),Population!G23,"")</f>
        <v>44250</v>
      </c>
      <c r="AE123" s="155">
        <f>IF(ISNUMBER(H126),Population!H23,"")</f>
        <v>44849</v>
      </c>
      <c r="AF123" s="65" t="s">
        <v>13</v>
      </c>
      <c r="AG123" s="70">
        <f t="shared" si="36"/>
        <v>8.2499052375749731</v>
      </c>
      <c r="AH123" s="156">
        <f t="shared" si="37"/>
        <v>4</v>
      </c>
      <c r="AJ123" s="121"/>
      <c r="AK123" s="480">
        <f t="shared" si="40"/>
        <v>-0.11842105263157894</v>
      </c>
      <c r="AL123" s="480">
        <f t="shared" si="41"/>
        <v>-0.46268656716417911</v>
      </c>
      <c r="AM123" s="480">
        <f t="shared" si="42"/>
        <v>0.61111111111111116</v>
      </c>
      <c r="AN123" s="480">
        <f t="shared" si="43"/>
        <v>0.48275862068965519</v>
      </c>
      <c r="AO123" s="480">
        <f t="shared" si="44"/>
        <v>0.12819052800125208</v>
      </c>
      <c r="AQ123" s="531">
        <f t="shared" si="45"/>
        <v>18.122312082442996</v>
      </c>
      <c r="AR123" s="531">
        <f t="shared" si="46"/>
        <v>9.9080750811911713</v>
      </c>
      <c r="AS123" s="531">
        <f t="shared" si="47"/>
        <v>15.566290928609769</v>
      </c>
      <c r="AT123" s="531">
        <f t="shared" si="48"/>
        <v>22.673943420601653</v>
      </c>
      <c r="AU123" s="531">
        <f t="shared" si="38"/>
        <v>66.270621512845594</v>
      </c>
      <c r="AV123" s="350">
        <f t="shared" si="39"/>
        <v>0</v>
      </c>
      <c r="AW123" s="531">
        <f t="shared" si="49"/>
        <v>66.270621512845594</v>
      </c>
    </row>
    <row r="124" spans="1:49" s="61" customFormat="1" ht="15.75" customHeight="1">
      <c r="A124" s="1103">
        <f>VLOOKUP(B124,ReportData!$AQ$4:$AR$25,2,FALSE)</f>
        <v>0</v>
      </c>
      <c r="B124" s="885" t="str">
        <f>ReportData!$K$14</f>
        <v>Portsmouth</v>
      </c>
      <c r="C124" s="896"/>
      <c r="D124" s="889">
        <f>IF(Year1_Portsmouth Year1_Care_Applications_Children="","",Year1_Portsmouth Year1_Care_Applications_Children)</f>
        <v>82</v>
      </c>
      <c r="E124" s="889">
        <f>IF(Year2_Portsmouth Year2_Care_Applications_Children="","",Year2_Portsmouth Year2_Care_Applications_Children)</f>
        <v>71</v>
      </c>
      <c r="F124" s="889">
        <f>IF(Year3_Portsmouth Year3_Care_Applications_Children="","",Year3_Portsmouth Year3_Care_Applications_Children)</f>
        <v>69</v>
      </c>
      <c r="G124" s="889">
        <f>IF(Year4_Portsmouth Year4_Care_Applications_Children="","",Year4_Portsmouth Year4_Care_Applications_Children)</f>
        <v>103</v>
      </c>
      <c r="H124" s="1204">
        <f>IF(Year5_Portsmouth Year5_Care_Applications_Children="","",Year5_Portsmouth Year5_Care_Applications_Children)</f>
        <v>109</v>
      </c>
      <c r="I124" s="1205">
        <f t="shared" si="51"/>
        <v>9.7172673706237528E-2</v>
      </c>
      <c r="J124" s="896"/>
      <c r="K124" s="901">
        <f>IF(ISNUMBER(D124),D124/Population!D21*10000,NA())</f>
        <v>19.508481431256396</v>
      </c>
      <c r="L124" s="901">
        <f>IF(ISNUMBER(E124),E124/Population!E21*10000,NA())</f>
        <v>16.959273856443328</v>
      </c>
      <c r="M124" s="901">
        <f>IF(ISNUMBER(F124),F124/Population!F21*10000,NA())</f>
        <v>16.647767027770406</v>
      </c>
      <c r="N124" s="901">
        <f>IF(ISNUMBER(G124),G124/Population!G21*10000,NA())</f>
        <v>24.599364715435506</v>
      </c>
      <c r="O124" s="902">
        <f>IF(ISNUMBER(H124),H124/Population!H21*10000,NA())</f>
        <v>25.76405795731203</v>
      </c>
      <c r="P124" s="903">
        <f t="shared" si="52"/>
        <v>25.76405795731203</v>
      </c>
      <c r="Q124" s="904">
        <f t="shared" si="53"/>
        <v>19</v>
      </c>
      <c r="R124" s="64"/>
      <c r="S124" s="905">
        <f t="shared" si="54"/>
        <v>20.264503856434104</v>
      </c>
      <c r="T124" s="906">
        <f t="shared" si="50"/>
        <v>5.4995541008779263</v>
      </c>
      <c r="U124" s="89"/>
      <c r="V124" s="103"/>
      <c r="W124" s="115"/>
      <c r="X124" s="51" t="str">
        <f t="shared" si="35"/>
        <v>Southampton</v>
      </c>
      <c r="Y124" s="27">
        <f>IF(H127&gt;0,IDACI!D22,0)</f>
        <v>44295</v>
      </c>
      <c r="Z124" s="27">
        <f>IF(H127&gt;0,IDACI!E22,0)</f>
        <v>9080.4750000000004</v>
      </c>
      <c r="AA124" s="155">
        <f>IF(ISNUMBER(D127),Population!D24,"")</f>
        <v>49588</v>
      </c>
      <c r="AB124" s="155">
        <f>IF(ISNUMBER(E127),Population!E24,"")</f>
        <v>49737</v>
      </c>
      <c r="AC124" s="155">
        <f>IF(ISNUMBER(F127),Population!F24,"")</f>
        <v>49388</v>
      </c>
      <c r="AD124" s="155">
        <f>IF(ISNUMBER(G127),Population!G24,"")</f>
        <v>49871</v>
      </c>
      <c r="AE124" s="155">
        <f>IF(ISNUMBER(H127),Population!H24,"")</f>
        <v>50373</v>
      </c>
      <c r="AF124" s="65" t="s">
        <v>14</v>
      </c>
      <c r="AG124" s="70">
        <f t="shared" si="36"/>
        <v>14.293371448990529</v>
      </c>
      <c r="AH124" s="156">
        <f t="shared" si="37"/>
        <v>11</v>
      </c>
      <c r="AJ124" s="121"/>
      <c r="AK124" s="480">
        <f t="shared" si="40"/>
        <v>0.27160493827160492</v>
      </c>
      <c r="AL124" s="480">
        <f t="shared" si="41"/>
        <v>-0.39805825242718446</v>
      </c>
      <c r="AM124" s="480">
        <f t="shared" si="42"/>
        <v>0.12903225806451613</v>
      </c>
      <c r="AN124" s="480">
        <f t="shared" si="43"/>
        <v>-0.47142857142857142</v>
      </c>
      <c r="AO124" s="480">
        <f t="shared" si="44"/>
        <v>-0.11721240687990871</v>
      </c>
      <c r="AQ124" s="531">
        <f t="shared" si="45"/>
        <v>23.462414578587698</v>
      </c>
      <c r="AR124" s="531">
        <f t="shared" si="46"/>
        <v>14.17564076182637</v>
      </c>
      <c r="AS124" s="531">
        <f t="shared" si="47"/>
        <v>15.819209039548022</v>
      </c>
      <c r="AT124" s="531">
        <f t="shared" si="48"/>
        <v>8.2499052375749731</v>
      </c>
      <c r="AU124" s="531">
        <f t="shared" si="38"/>
        <v>61.707169617537062</v>
      </c>
      <c r="AV124" s="350">
        <f t="shared" si="39"/>
        <v>0</v>
      </c>
      <c r="AW124" s="531">
        <f t="shared" si="49"/>
        <v>61.707169617537062</v>
      </c>
    </row>
    <row r="125" spans="1:49" s="61" customFormat="1" ht="15.75" customHeight="1">
      <c r="A125" s="1103">
        <f>VLOOKUP(B125,ReportData!$AQ$4:$AR$25,2,FALSE)</f>
        <v>0</v>
      </c>
      <c r="B125" s="885" t="str">
        <f>ReportData!$K$15</f>
        <v>Reading</v>
      </c>
      <c r="C125" s="896"/>
      <c r="D125" s="889">
        <f>IF(Year1_Reading Year1_Care_Applications_Children="","",Year1_Reading Year1_Care_Applications_Children)</f>
        <v>76</v>
      </c>
      <c r="E125" s="889">
        <f>IF(Year2_Reading Year2_Care_Applications_Children="","",Year2_Reading Year2_Care_Applications_Children)</f>
        <v>67</v>
      </c>
      <c r="F125" s="889">
        <f>IF(Year3_Reading Year3_Care_Applications_Children="","",Year3_Reading Year3_Care_Applications_Children)</f>
        <v>36</v>
      </c>
      <c r="G125" s="889">
        <f>IF(Year4_Reading Year4_Care_Applications_Children="","",Year4_Reading Year4_Care_Applications_Children)</f>
        <v>58</v>
      </c>
      <c r="H125" s="1204">
        <f>IF(Year5_Reading Year5_Care_Applications_Children="","",Year5_Reading Year5_Care_Applications_Children)</f>
        <v>86</v>
      </c>
      <c r="I125" s="1205">
        <f t="shared" si="51"/>
        <v>0.12819052800125208</v>
      </c>
      <c r="J125" s="896"/>
      <c r="K125" s="901">
        <f>IF(ISNUMBER(D125),D125/Population!D22*10000,NA())</f>
        <v>20.523899540912772</v>
      </c>
      <c r="L125" s="901">
        <f>IF(ISNUMBER(E125),E125/Population!E22*10000,NA())</f>
        <v>18.122312082442996</v>
      </c>
      <c r="M125" s="901">
        <f>IF(ISNUMBER(F125),F125/Population!F22*10000,NA())</f>
        <v>9.9080750811911713</v>
      </c>
      <c r="N125" s="901">
        <f>IF(ISNUMBER(G125),G125/Population!G22*10000,NA())</f>
        <v>15.566290928609769</v>
      </c>
      <c r="O125" s="902">
        <f>IF(ISNUMBER(H125),H125/Population!H22*10000,NA())</f>
        <v>22.673943420601653</v>
      </c>
      <c r="P125" s="903">
        <f t="shared" si="52"/>
        <v>22.673943420601653</v>
      </c>
      <c r="Q125" s="904">
        <f t="shared" si="53"/>
        <v>18</v>
      </c>
      <c r="R125" s="64"/>
      <c r="S125" s="905">
        <f t="shared" si="54"/>
        <v>16.483576508224733</v>
      </c>
      <c r="T125" s="906">
        <f t="shared" si="50"/>
        <v>6.1903669123769198</v>
      </c>
      <c r="U125" s="89"/>
      <c r="V125" s="103"/>
      <c r="W125" s="115"/>
      <c r="X125" s="51" t="str">
        <f t="shared" si="35"/>
        <v>Surrey</v>
      </c>
      <c r="Y125" s="27">
        <f>IF(H128&gt;0,IDACI!D23,0)</f>
        <v>228466</v>
      </c>
      <c r="Z125" s="27">
        <f>IF(H128&gt;0,IDACI!E23,0)</f>
        <v>18962.678</v>
      </c>
      <c r="AA125" s="155">
        <f>IF(ISNUMBER(D128),Population!D25,"")</f>
        <v>258045</v>
      </c>
      <c r="AB125" s="155">
        <f>IF(ISNUMBER(E128),Population!E25,"")</f>
        <v>258519</v>
      </c>
      <c r="AC125" s="155">
        <f>IF(ISNUMBER(F128),Population!F25,"")</f>
        <v>259488</v>
      </c>
      <c r="AD125" s="155">
        <f>IF(ISNUMBER(G128),Population!G25,"")</f>
        <v>263534</v>
      </c>
      <c r="AE125" s="155">
        <f>IF(ISNUMBER(H128),Population!H25,"")</f>
        <v>265672</v>
      </c>
      <c r="AF125" s="65" t="s">
        <v>7</v>
      </c>
      <c r="AG125" s="70">
        <f t="shared" si="36"/>
        <v>6.5870697702430068</v>
      </c>
      <c r="AH125" s="156">
        <f t="shared" si="37"/>
        <v>1</v>
      </c>
      <c r="AJ125" s="121"/>
      <c r="AK125" s="480">
        <f t="shared" si="40"/>
        <v>-3.1645569620253167E-2</v>
      </c>
      <c r="AL125" s="480">
        <f t="shared" si="41"/>
        <v>9.8039215686274508E-2</v>
      </c>
      <c r="AM125" s="480">
        <f t="shared" si="42"/>
        <v>-0.30357142857142855</v>
      </c>
      <c r="AN125" s="480">
        <f t="shared" si="43"/>
        <v>-0.38461538461538464</v>
      </c>
      <c r="AO125" s="480">
        <f>AVERAGE(AK125:AN125)</f>
        <v>-0.15544829178019798</v>
      </c>
      <c r="AQ125" s="531">
        <f t="shared" si="45"/>
        <v>30.76180710537427</v>
      </c>
      <c r="AR125" s="531">
        <f t="shared" si="46"/>
        <v>34.016360249453307</v>
      </c>
      <c r="AS125" s="531">
        <f t="shared" si="47"/>
        <v>23.460528162659664</v>
      </c>
      <c r="AT125" s="531">
        <f t="shared" si="48"/>
        <v>14.293371448990529</v>
      </c>
      <c r="AU125" s="531">
        <f>SUM(AQ125:AT125)</f>
        <v>102.53206696647776</v>
      </c>
      <c r="AV125" s="350">
        <f>COUNTBLANK(AQ125:AT125)</f>
        <v>0</v>
      </c>
      <c r="AW125" s="531">
        <f t="shared" ref="AW125:AW132" si="55">AU125/(4-AV125)*4</f>
        <v>102.53206696647776</v>
      </c>
    </row>
    <row r="126" spans="1:49" s="61" customFormat="1" ht="15.75" customHeight="1">
      <c r="A126" s="1103">
        <f>VLOOKUP(B126,ReportData!$AQ$4:$AR$25,2,FALSE)</f>
        <v>0</v>
      </c>
      <c r="B126" s="885" t="str">
        <f>ReportData!$K$16</f>
        <v>Slough</v>
      </c>
      <c r="C126" s="896"/>
      <c r="D126" s="889">
        <f>IF(Year1_Slough Year1_Care_Applications_Children="","",Year1_Slough Year1_Care_Applications_Children)</f>
        <v>81</v>
      </c>
      <c r="E126" s="889">
        <f>IF(Year2_Slough Year2_Care_Applications_Children="","",Year2_Slough Year2_Care_Applications_Children)</f>
        <v>103</v>
      </c>
      <c r="F126" s="889">
        <f>IF(Year3_Slough Year3_Care_Applications_Children="","",Year3_Slough Year3_Care_Applications_Children)</f>
        <v>62</v>
      </c>
      <c r="G126" s="889">
        <f>IF(Year4_Slough Year4_Care_Applications_Children="","",Year4_Slough Year4_Care_Applications_Children)</f>
        <v>70</v>
      </c>
      <c r="H126" s="1204">
        <f>IF(Year5_Slough Year5_Care_Applications_Children="","",Year5_Slough Year5_Care_Applications_Children)</f>
        <v>37</v>
      </c>
      <c r="I126" s="1205">
        <f t="shared" si="51"/>
        <v>-0.11721240687990871</v>
      </c>
      <c r="J126" s="896"/>
      <c r="K126" s="901">
        <f>IF(ISNUMBER(D126),D126/Population!D23*10000,NA())</f>
        <v>18.62968329538398</v>
      </c>
      <c r="L126" s="901">
        <f>IF(ISNUMBER(E126),E126/Population!E23*10000,NA())</f>
        <v>23.462414578587698</v>
      </c>
      <c r="M126" s="901">
        <f>IF(ISNUMBER(F126),F126/Population!F23*10000,NA())</f>
        <v>14.17564076182637</v>
      </c>
      <c r="N126" s="901">
        <f>IF(ISNUMBER(G126),G126/Population!G23*10000,NA())</f>
        <v>15.819209039548022</v>
      </c>
      <c r="O126" s="902">
        <f>IF(ISNUMBER(H126),H126/Population!H23*10000,NA())</f>
        <v>8.2499052375749731</v>
      </c>
      <c r="P126" s="903">
        <f t="shared" si="52"/>
        <v>8.2499052375749731</v>
      </c>
      <c r="Q126" s="904">
        <f t="shared" si="53"/>
        <v>4</v>
      </c>
      <c r="R126" s="64"/>
      <c r="S126" s="905">
        <f t="shared" si="54"/>
        <v>15.313289471874214</v>
      </c>
      <c r="T126" s="906">
        <f t="shared" si="50"/>
        <v>-7.0633842342992406</v>
      </c>
      <c r="U126" s="89"/>
      <c r="V126" s="103"/>
      <c r="W126" s="115"/>
      <c r="X126" s="51" t="str">
        <f t="shared" si="35"/>
        <v>West Berkshire</v>
      </c>
      <c r="Y126" s="27">
        <f>IF(H129&gt;0,IDACI!D24,0)</f>
        <v>31625</v>
      </c>
      <c r="Z126" s="27">
        <f>IF(H129&gt;0,IDACI!E24,0)</f>
        <v>2751.375</v>
      </c>
      <c r="AA126" s="155">
        <f>IF(ISNUMBER(D129),Population!D26,"")</f>
        <v>35061</v>
      </c>
      <c r="AB126" s="155">
        <f>IF(ISNUMBER(E129),Population!E26,"")</f>
        <v>34824</v>
      </c>
      <c r="AC126" s="155">
        <f>IF(ISNUMBER(F129),Population!F26,"")</f>
        <v>34595</v>
      </c>
      <c r="AD126" s="155">
        <f>IF(ISNUMBER(G129),Population!G26,"")</f>
        <v>34912</v>
      </c>
      <c r="AE126" s="155">
        <f>IF(ISNUMBER(H129),Population!H26,"")</f>
        <v>35325</v>
      </c>
      <c r="AF126" s="65" t="s">
        <v>15</v>
      </c>
      <c r="AG126" s="70">
        <f t="shared" si="36"/>
        <v>18.117480537862704</v>
      </c>
      <c r="AH126" s="156">
        <f t="shared" si="37"/>
        <v>15</v>
      </c>
      <c r="AJ126" s="121"/>
      <c r="AK126" s="480">
        <f t="shared" si="40"/>
        <v>0.4219409282700422</v>
      </c>
      <c r="AL126" s="480">
        <f t="shared" si="41"/>
        <v>-0.20771513353115728</v>
      </c>
      <c r="AM126" s="480">
        <f t="shared" si="42"/>
        <v>-0.2247191011235955</v>
      </c>
      <c r="AN126" s="480">
        <f t="shared" si="43"/>
        <v>-0.15458937198067632</v>
      </c>
      <c r="AO126" s="480">
        <f>AVERAGE(AK126:AN126)</f>
        <v>-4.1270669591346724E-2</v>
      </c>
      <c r="AQ126" s="531">
        <f t="shared" si="45"/>
        <v>13.035792340214838</v>
      </c>
      <c r="AR126" s="531">
        <f t="shared" si="46"/>
        <v>10.289493155752867</v>
      </c>
      <c r="AS126" s="531">
        <f t="shared" si="47"/>
        <v>7.8547739570605692</v>
      </c>
      <c r="AT126" s="531">
        <f t="shared" si="48"/>
        <v>6.5870697702430068</v>
      </c>
      <c r="AU126" s="531">
        <f>SUM(AQ126:AT126)</f>
        <v>37.767129223271283</v>
      </c>
      <c r="AV126" s="350">
        <f>COUNTBLANK(AQ126:AT126)</f>
        <v>0</v>
      </c>
      <c r="AW126" s="531">
        <f t="shared" si="55"/>
        <v>37.767129223271283</v>
      </c>
    </row>
    <row r="127" spans="1:49" s="61" customFormat="1" ht="15.75" customHeight="1">
      <c r="A127" s="1103">
        <f>VLOOKUP(B127,ReportData!$AQ$4:$AR$25,2,FALSE)</f>
        <v>0</v>
      </c>
      <c r="B127" s="885" t="str">
        <f>ReportData!$K$17</f>
        <v>Southampton</v>
      </c>
      <c r="C127" s="896"/>
      <c r="D127" s="889">
        <f>IF(Year1_Southampton Year1_Care_Applications_Children="","",Year1_Southampton Year1_Care_Applications_Children)</f>
        <v>158</v>
      </c>
      <c r="E127" s="889">
        <f>IF(Year2_Southampton Year2_Care_Applications_Children="","",Year2_Southampton Year2_Care_Applications_Children)</f>
        <v>153</v>
      </c>
      <c r="F127" s="889">
        <f>IF(Year3_Southampton Year3_Care_Applications_Children="","",Year3_Southampton Year3_Care_Applications_Children)</f>
        <v>168</v>
      </c>
      <c r="G127" s="889">
        <f>IF(Year4_Southampton Year4_Care_Applications_Children="","",Year4_Southampton Year4_Care_Applications_Children)</f>
        <v>117</v>
      </c>
      <c r="H127" s="1204">
        <f>IF(Year5_Southampton Year5_Care_Applications_Children="","",Year5_Southampton Year5_Care_Applications_Children)</f>
        <v>72</v>
      </c>
      <c r="I127" s="1205">
        <f t="shared" ref="I127:I134" si="56">AO125</f>
        <v>-0.15544829178019798</v>
      </c>
      <c r="J127" s="896"/>
      <c r="K127" s="901">
        <f>IF(ISNUMBER(D127),D127/Population!D24*10000,NA())</f>
        <v>31.862547390497699</v>
      </c>
      <c r="L127" s="901">
        <f>IF(ISNUMBER(E127),E127/Population!E24*10000,NA())</f>
        <v>30.76180710537427</v>
      </c>
      <c r="M127" s="901">
        <f>IF(ISNUMBER(F127),F127/Population!F24*10000,NA())</f>
        <v>34.016360249453307</v>
      </c>
      <c r="N127" s="901">
        <f>IF(ISNUMBER(G127),G127/Population!G24*10000,NA())</f>
        <v>23.460528162659664</v>
      </c>
      <c r="O127" s="902">
        <f>IF(ISNUMBER(H127),H127/Population!H24*10000,NA())</f>
        <v>14.293371448990529</v>
      </c>
      <c r="P127" s="903">
        <f t="shared" si="52"/>
        <v>14.293371448990529</v>
      </c>
      <c r="Q127" s="904">
        <f t="shared" si="53"/>
        <v>11</v>
      </c>
      <c r="R127" s="64"/>
      <c r="S127" s="905">
        <f t="shared" si="54"/>
        <v>20.534570095591913</v>
      </c>
      <c r="T127" s="906">
        <f t="shared" ref="T127:T130" si="57">O127-S127</f>
        <v>-6.2411986466013847</v>
      </c>
      <c r="U127" s="89"/>
      <c r="V127" s="103"/>
      <c r="W127" s="115"/>
      <c r="X127" s="51" t="str">
        <f t="shared" si="35"/>
        <v>West Sussex</v>
      </c>
      <c r="Y127" s="27">
        <f>IF(H130&gt;0,IDACI!D25,0)</f>
        <v>151487</v>
      </c>
      <c r="Z127" s="27">
        <f>IF(H130&gt;0,IDACI!E25,0)</f>
        <v>16663.57</v>
      </c>
      <c r="AA127" s="155">
        <f>IF(ISNUMBER(D130),Population!D27,"")</f>
        <v>173551</v>
      </c>
      <c r="AB127" s="155">
        <f>IF(ISNUMBER(E130),Population!E27,"")</f>
        <v>173873</v>
      </c>
      <c r="AC127" s="155">
        <f>IF(ISNUMBER(F130),Population!F27,"")</f>
        <v>174834</v>
      </c>
      <c r="AD127" s="155">
        <f>IF(ISNUMBER(G130),Population!G27,"")</f>
        <v>177349</v>
      </c>
      <c r="AE127" s="155">
        <f>IF(ISNUMBER(H130),Population!H27,"")</f>
        <v>179008</v>
      </c>
      <c r="AF127" s="65" t="s">
        <v>5</v>
      </c>
      <c r="AG127" s="70">
        <f t="shared" si="36"/>
        <v>11.843046120843763</v>
      </c>
      <c r="AH127" s="156">
        <f t="shared" si="37"/>
        <v>9</v>
      </c>
      <c r="AJ127" s="121"/>
      <c r="AK127" s="480">
        <f t="shared" si="40"/>
        <v>-0.34146341463414637</v>
      </c>
      <c r="AL127" s="480">
        <f t="shared" si="41"/>
        <v>0.44444444444444442</v>
      </c>
      <c r="AM127" s="480">
        <f t="shared" si="42"/>
        <v>0.23076923076923078</v>
      </c>
      <c r="AN127" s="480">
        <f t="shared" si="43"/>
        <v>0.33333333333333331</v>
      </c>
      <c r="AO127" s="480">
        <f t="shared" ref="AO127:AO132" si="58">AVERAGE(AK127:AN127)</f>
        <v>0.16677089847821552</v>
      </c>
      <c r="AQ127" s="531">
        <f t="shared" si="45"/>
        <v>7.7532736044107509</v>
      </c>
      <c r="AR127" s="531">
        <f t="shared" si="46"/>
        <v>11.27330539095245</v>
      </c>
      <c r="AS127" s="531">
        <f t="shared" si="47"/>
        <v>13.748854262144821</v>
      </c>
      <c r="AT127" s="531">
        <f t="shared" si="48"/>
        <v>18.117480537862704</v>
      </c>
      <c r="AU127" s="531">
        <f t="shared" ref="AU127:AU132" si="59">SUM(AQ127:AT127)</f>
        <v>50.892913795370731</v>
      </c>
      <c r="AV127" s="350">
        <f t="shared" ref="AV127:AV132" si="60">COUNTBLANK(AQ127:AT127)</f>
        <v>0</v>
      </c>
      <c r="AW127" s="531">
        <f t="shared" si="55"/>
        <v>50.892913795370731</v>
      </c>
    </row>
    <row r="128" spans="1:49" s="61" customFormat="1" ht="15.75" customHeight="1">
      <c r="A128" s="1103">
        <f>VLOOKUP(B128,ReportData!$AQ$4:$AR$25,2,FALSE)</f>
        <v>0</v>
      </c>
      <c r="B128" s="885" t="str">
        <f>ReportData!$K$18</f>
        <v>Surrey</v>
      </c>
      <c r="C128" s="896"/>
      <c r="D128" s="889">
        <f>IF(Year1_Surrey Year1_Care_Applications_Children="","",Year1_Surrey Year1_Care_Applications_Children)</f>
        <v>237</v>
      </c>
      <c r="E128" s="889">
        <f>IF(Year2_Surrey Year2_Care_Applications_Children="","",Year2_Surrey Year2_Care_Applications_Children)</f>
        <v>337</v>
      </c>
      <c r="F128" s="889">
        <f>IF(Year3_Surrey Year3_Care_Applications_Children="","",Year3_Surrey Year3_Care_Applications_Children)</f>
        <v>267</v>
      </c>
      <c r="G128" s="889">
        <f>IF(Year4_Surrey Year4_Care_Applications_Children="","",Year4_Surrey Year4_Care_Applications_Children)</f>
        <v>207</v>
      </c>
      <c r="H128" s="1204">
        <f>IF(Year5_Surrey Year5_Care_Applications_Children="","",Year5_Surrey Year5_Care_Applications_Children)</f>
        <v>175</v>
      </c>
      <c r="I128" s="1205">
        <f t="shared" si="56"/>
        <v>-4.1270669591346724E-2</v>
      </c>
      <c r="J128" s="896"/>
      <c r="K128" s="901">
        <f>IF(ISNUMBER(D128),D128/Population!D25*10000,NA())</f>
        <v>9.1844445736208797</v>
      </c>
      <c r="L128" s="901">
        <f>IF(ISNUMBER(E128),E128/Population!E25*10000,NA())</f>
        <v>13.035792340214838</v>
      </c>
      <c r="M128" s="901">
        <f>IF(ISNUMBER(F128),F128/Population!F25*10000,NA())</f>
        <v>10.289493155752867</v>
      </c>
      <c r="N128" s="901">
        <f>IF(ISNUMBER(G128),G128/Population!G25*10000,NA())</f>
        <v>7.8547739570605692</v>
      </c>
      <c r="O128" s="902">
        <f>IF(ISNUMBER(H128),H128/Population!H25*10000,NA())</f>
        <v>6.5870697702430068</v>
      </c>
      <c r="P128" s="903">
        <f t="shared" si="52"/>
        <v>6.5870697702430068</v>
      </c>
      <c r="Q128" s="904">
        <f t="shared" si="53"/>
        <v>1</v>
      </c>
      <c r="R128" s="64"/>
      <c r="S128" s="905">
        <f t="shared" si="54"/>
        <v>9.5518763698408904</v>
      </c>
      <c r="T128" s="906">
        <f t="shared" si="57"/>
        <v>-2.9648065995978836</v>
      </c>
      <c r="U128" s="89"/>
      <c r="V128" s="103"/>
      <c r="W128" s="115"/>
      <c r="X128" s="51" t="str">
        <f t="shared" si="35"/>
        <v>Windsor &amp; Maidenhead</v>
      </c>
      <c r="Y128" s="27">
        <f>IF(H131&gt;0,IDACI!D26,0)</f>
        <v>29792</v>
      </c>
      <c r="Z128" s="27">
        <f>IF(H131&gt;0,IDACI!E26,0)</f>
        <v>1996.0640000000001</v>
      </c>
      <c r="AA128" s="155">
        <f>IF(ISNUMBER(D131),Population!D28,"")</f>
        <v>34274</v>
      </c>
      <c r="AB128" s="155">
        <f>IF(ISNUMBER(E131),Population!E28,"")</f>
        <v>34083</v>
      </c>
      <c r="AC128" s="155">
        <f>IF(ISNUMBER(F131),Population!F28,"")</f>
        <v>33876</v>
      </c>
      <c r="AD128" s="155">
        <f>IF(ISNUMBER(G131),Population!G28,"")</f>
        <v>34113</v>
      </c>
      <c r="AE128" s="155">
        <f>IF(ISNUMBER(H131),Population!H28,"")</f>
        <v>34281</v>
      </c>
      <c r="AF128" s="65" t="s">
        <v>27</v>
      </c>
      <c r="AG128" s="70">
        <f t="shared" si="36"/>
        <v>14.585338817420729</v>
      </c>
      <c r="AH128" s="156">
        <f t="shared" si="37"/>
        <v>12</v>
      </c>
      <c r="AJ128" s="121"/>
      <c r="AK128" s="480">
        <f t="shared" si="40"/>
        <v>0.15773809523809523</v>
      </c>
      <c r="AL128" s="480">
        <f t="shared" si="41"/>
        <v>-0.46015424164524421</v>
      </c>
      <c r="AM128" s="480">
        <f t="shared" si="42"/>
        <v>0.19047619047619047</v>
      </c>
      <c r="AN128" s="480">
        <f t="shared" si="43"/>
        <v>-0.152</v>
      </c>
      <c r="AO128" s="480">
        <f t="shared" si="58"/>
        <v>-6.5984988982739634E-2</v>
      </c>
      <c r="AQ128" s="531">
        <f t="shared" si="45"/>
        <v>22.37265130296251</v>
      </c>
      <c r="AR128" s="531">
        <f t="shared" si="46"/>
        <v>12.011393664847798</v>
      </c>
      <c r="AS128" s="531">
        <f t="shared" si="47"/>
        <v>14.096498993509972</v>
      </c>
      <c r="AT128" s="531">
        <f t="shared" si="48"/>
        <v>11.843046120843763</v>
      </c>
      <c r="AU128" s="531">
        <f t="shared" si="59"/>
        <v>60.323590082164046</v>
      </c>
      <c r="AV128" s="350">
        <f t="shared" si="60"/>
        <v>0</v>
      </c>
      <c r="AW128" s="531">
        <f t="shared" si="55"/>
        <v>60.323590082164046</v>
      </c>
    </row>
    <row r="129" spans="1:76" s="61" customFormat="1" ht="15.75" customHeight="1">
      <c r="A129" s="1103">
        <f>VLOOKUP(B129,ReportData!$AQ$4:$AR$25,2,FALSE)</f>
        <v>0</v>
      </c>
      <c r="B129" s="885" t="str">
        <f>ReportData!$K$19</f>
        <v>West Berkshire</v>
      </c>
      <c r="C129" s="896"/>
      <c r="D129" s="889">
        <f>IF(Year1_West_Berkshire Year1_Care_Applications_Children="","",Year1_West_Berkshire Year1_Care_Applications_Children)</f>
        <v>41</v>
      </c>
      <c r="E129" s="889">
        <f>IF(Year2_West_Berkshire Year2_Care_Applications_Children="","",Year2_West_Berkshire Year2_Care_Applications_Children)</f>
        <v>27</v>
      </c>
      <c r="F129" s="889">
        <f>IF(Year3_West_Berkshire Year3_Care_Applications_Children="","",Year3_West_Berkshire Year3_Care_Applications_Children)</f>
        <v>39</v>
      </c>
      <c r="G129" s="889">
        <f>IF(Year4_West_Berkshire Year4_Care_Applications_Children="","",Year4_West_Berkshire Year4_Care_Applications_Children)</f>
        <v>48</v>
      </c>
      <c r="H129" s="1204">
        <f>IF(Year5_West_Berkshire Year5_Care_Applications_Children="","",Year5_West_Berkshire Year5_Care_Applications_Children)</f>
        <v>64</v>
      </c>
      <c r="I129" s="1205">
        <f t="shared" si="56"/>
        <v>0.16677089847821552</v>
      </c>
      <c r="J129" s="896"/>
      <c r="K129" s="901">
        <f>IF(ISNUMBER(D129),D129/Population!D26*10000,NA())</f>
        <v>11.693904908587889</v>
      </c>
      <c r="L129" s="901">
        <f>IF(ISNUMBER(E129),E129/Population!E26*10000,NA())</f>
        <v>7.7532736044107509</v>
      </c>
      <c r="M129" s="901">
        <f>IF(ISNUMBER(F129),F129/Population!F26*10000,NA())</f>
        <v>11.27330539095245</v>
      </c>
      <c r="N129" s="901">
        <f>IF(ISNUMBER(G129),G129/Population!G26*10000,NA())</f>
        <v>13.748854262144821</v>
      </c>
      <c r="O129" s="902">
        <f>IF(ISNUMBER(H129),H129/Population!H26*10000,NA())</f>
        <v>18.117480537862704</v>
      </c>
      <c r="P129" s="903">
        <f t="shared" ref="P129:P134" si="61">IF(ISNUMBER(O129),O129,"")</f>
        <v>18.117480537862704</v>
      </c>
      <c r="Q129" s="904">
        <f t="shared" si="53"/>
        <v>15</v>
      </c>
      <c r="R129" s="64"/>
      <c r="S129" s="905">
        <f t="shared" si="54"/>
        <v>9.9119646887179726</v>
      </c>
      <c r="T129" s="906">
        <f t="shared" si="57"/>
        <v>8.2055158491447315</v>
      </c>
      <c r="U129" s="89"/>
      <c r="V129" s="103"/>
      <c r="W129" s="115"/>
      <c r="X129" s="51" t="str">
        <f t="shared" si="35"/>
        <v>Wokingham</v>
      </c>
      <c r="Y129" s="27">
        <f>IF(H132&gt;0,IDACI!D27,0)</f>
        <v>33327</v>
      </c>
      <c r="Z129" s="27">
        <f>IF(H132&gt;0,IDACI!E27,0)</f>
        <v>1866.3120000000004</v>
      </c>
      <c r="AA129" s="155">
        <f>IF(ISNUMBER(D132),Population!D29,"")</f>
        <v>39772</v>
      </c>
      <c r="AB129" s="155">
        <f>IF(ISNUMBER(E132),Population!E29,"")</f>
        <v>40476</v>
      </c>
      <c r="AC129" s="155">
        <f>IF(ISNUMBER(F132),Population!F29,"")</f>
        <v>41129</v>
      </c>
      <c r="AD129" s="155">
        <f>IF(ISNUMBER(G132),Population!G29,"")</f>
        <v>42520</v>
      </c>
      <c r="AE129" s="155">
        <f>IF(ISNUMBER(H132),Population!H29,"")</f>
        <v>43314</v>
      </c>
      <c r="AF129" s="65" t="s">
        <v>16</v>
      </c>
      <c r="AG129" s="70">
        <f t="shared" si="36"/>
        <v>10.850995059334164</v>
      </c>
      <c r="AH129" s="156">
        <f t="shared" si="37"/>
        <v>7</v>
      </c>
      <c r="AJ129" s="121"/>
      <c r="AK129" s="480">
        <f t="shared" si="40"/>
        <v>-0.1</v>
      </c>
      <c r="AL129" s="480">
        <f t="shared" si="41"/>
        <v>0.41666666666666669</v>
      </c>
      <c r="AM129" s="480">
        <f t="shared" si="42"/>
        <v>7.8431372549019607E-2</v>
      </c>
      <c r="AN129" s="480">
        <f t="shared" si="43"/>
        <v>-9.0909090909090912E-2</v>
      </c>
      <c r="AO129" s="480">
        <f t="shared" si="58"/>
        <v>7.6047237076648844E-2</v>
      </c>
      <c r="AQ129" s="531">
        <f t="shared" si="45"/>
        <v>10.562450488513335</v>
      </c>
      <c r="AR129" s="531">
        <f t="shared" si="46"/>
        <v>15.054906128232377</v>
      </c>
      <c r="AS129" s="531">
        <f t="shared" si="47"/>
        <v>16.122885703397532</v>
      </c>
      <c r="AT129" s="531">
        <f t="shared" si="48"/>
        <v>14.585338817420729</v>
      </c>
      <c r="AU129" s="531">
        <f t="shared" si="59"/>
        <v>56.325581137563965</v>
      </c>
      <c r="AV129" s="350">
        <f t="shared" si="60"/>
        <v>0</v>
      </c>
      <c r="AW129" s="531">
        <f t="shared" si="55"/>
        <v>56.325581137563965</v>
      </c>
    </row>
    <row r="130" spans="1:76" s="61" customFormat="1" ht="15.75" customHeight="1">
      <c r="A130" s="1103">
        <f>VLOOKUP(B130,ReportData!$AQ$4:$AR$25,2,FALSE)</f>
        <v>0</v>
      </c>
      <c r="B130" s="885" t="str">
        <f>ReportData!$K$20</f>
        <v>West Sussex</v>
      </c>
      <c r="C130" s="896"/>
      <c r="D130" s="889">
        <f>IF(Year1_West_Sussex Year1_Care_Applications_Children="","",Year1_West_Sussex Year1_Care_Applications_Children)</f>
        <v>336</v>
      </c>
      <c r="E130" s="889">
        <f>IF(Year2_West_Sussex Year2_Care_Applications_Children="","",Year2_West_Sussex Year2_Care_Applications_Children)</f>
        <v>389</v>
      </c>
      <c r="F130" s="889">
        <f>IF(Year3_West_Sussex Year3_Care_Applications_Children="","",Year3_West_Sussex Year3_Care_Applications_Children)</f>
        <v>210</v>
      </c>
      <c r="G130" s="889">
        <f>IF(Year4_West_Sussex Year4_Care_Applications_Children="","",Year4_West_Sussex Year4_Care_Applications_Children)</f>
        <v>250</v>
      </c>
      <c r="H130" s="1204">
        <f>IF(Year5_West_Sussex Year5_Care_Applications_Children="","",Year5_West_Sussex Year5_Care_Applications_Children)</f>
        <v>212</v>
      </c>
      <c r="I130" s="1205">
        <f t="shared" si="56"/>
        <v>-6.5984988982739634E-2</v>
      </c>
      <c r="J130" s="896"/>
      <c r="K130" s="901">
        <f>IF(ISNUMBER(D130),D130/Population!D27*10000,NA())</f>
        <v>19.360303311418548</v>
      </c>
      <c r="L130" s="901">
        <f>IF(ISNUMBER(E130),E130/Population!E27*10000,NA())</f>
        <v>22.37265130296251</v>
      </c>
      <c r="M130" s="901">
        <f>IF(ISNUMBER(F130),F130/Population!F27*10000,NA())</f>
        <v>12.011393664847798</v>
      </c>
      <c r="N130" s="901">
        <f>IF(ISNUMBER(G130),G130/Population!G27*10000,NA())</f>
        <v>14.096498993509972</v>
      </c>
      <c r="O130" s="902">
        <f>IF(ISNUMBER(H130),H130/Population!H27*10000,NA())</f>
        <v>11.843046120843763</v>
      </c>
      <c r="P130" s="903">
        <f t="shared" si="61"/>
        <v>11.843046120843763</v>
      </c>
      <c r="Q130" s="904">
        <f t="shared" si="53"/>
        <v>9</v>
      </c>
      <c r="R130" s="64"/>
      <c r="S130" s="905">
        <f t="shared" si="54"/>
        <v>11.982472522261199</v>
      </c>
      <c r="T130" s="906">
        <f t="shared" si="57"/>
        <v>-0.13942640141743645</v>
      </c>
      <c r="U130" s="89"/>
      <c r="V130" s="103"/>
      <c r="W130" s="115"/>
      <c r="X130" s="51" t="str">
        <f t="shared" si="35"/>
        <v>South East</v>
      </c>
      <c r="Y130" s="27">
        <f>SUM(Y124:Y125,Y111:Y123,Y126:Y129)</f>
        <v>1704978</v>
      </c>
      <c r="Z130" s="27">
        <f>SUM(Z124:Z125,Z111:Z123,Z126:Z129)</f>
        <v>210927.40200000003</v>
      </c>
      <c r="AA130" s="155">
        <f>SUM(AA111:AA123,AA124:AA125,AA126:AA129)</f>
        <v>1927713</v>
      </c>
      <c r="AB130" s="155">
        <f>SUM(AB111:AB123,AB124:AB125,AB126:AB129)</f>
        <v>1930731</v>
      </c>
      <c r="AC130" s="155">
        <f>SUM(AC111:AC123,AC124:AC125,AC126:AC129)</f>
        <v>1935696</v>
      </c>
      <c r="AD130" s="155">
        <f>SUM(AD111:AD123,AD124:AD125,AD126:AD129)</f>
        <v>1965213</v>
      </c>
      <c r="AE130" s="155">
        <f>SUM(AE111:AE123,AE124:AE125,AE126:AE129)</f>
        <v>1988962</v>
      </c>
      <c r="AF130" s="52"/>
      <c r="AG130" s="52"/>
      <c r="AH130" s="56"/>
      <c r="AJ130" s="121"/>
      <c r="AK130" s="480">
        <f t="shared" si="40"/>
        <v>0.2</v>
      </c>
      <c r="AL130" s="480">
        <f t="shared" si="41"/>
        <v>0</v>
      </c>
      <c r="AM130" s="480">
        <f t="shared" si="42"/>
        <v>0.16666666666666666</v>
      </c>
      <c r="AN130" s="480">
        <f t="shared" si="43"/>
        <v>-0.16071428571428573</v>
      </c>
      <c r="AO130" s="480">
        <f t="shared" si="58"/>
        <v>5.1488095238095243E-2</v>
      </c>
      <c r="AQ130" s="531">
        <f t="shared" si="45"/>
        <v>11.858879335902756</v>
      </c>
      <c r="AR130" s="531">
        <f t="shared" si="46"/>
        <v>11.670597388703834</v>
      </c>
      <c r="AS130" s="531">
        <f t="shared" si="47"/>
        <v>13.170272812793979</v>
      </c>
      <c r="AT130" s="531">
        <f t="shared" si="48"/>
        <v>10.850995059334164</v>
      </c>
      <c r="AU130" s="531">
        <f t="shared" si="59"/>
        <v>47.550744596734731</v>
      </c>
      <c r="AV130" s="350">
        <f t="shared" si="60"/>
        <v>0</v>
      </c>
      <c r="AW130" s="531">
        <f t="shared" si="55"/>
        <v>47.550744596734731</v>
      </c>
    </row>
    <row r="131" spans="1:76" s="61" customFormat="1" ht="15.75" customHeight="1">
      <c r="A131" s="1103">
        <f>VLOOKUP(B131,ReportData!$AQ$4:$AR$25,2,FALSE)</f>
        <v>0</v>
      </c>
      <c r="B131" s="885" t="str">
        <f>ReportData!$K$21</f>
        <v>Windsor &amp; Maidenhead</v>
      </c>
      <c r="C131" s="896"/>
      <c r="D131" s="889">
        <f>IF(Year1_Windsor_and_Maidenhead Year1_Care_Applications_Children="","",Year1_Windsor_and_Maidenhead Year1_Care_Applications_Children)</f>
        <v>40</v>
      </c>
      <c r="E131" s="889">
        <f>IF(Year2_Windsor_and_Maidenhead Year2_Care_Applications_Children="","",Year2_Windsor_and_Maidenhead Year2_Care_Applications_Children)</f>
        <v>36</v>
      </c>
      <c r="F131" s="889">
        <f>IF(Year3_Windsor_and_Maidenhead Year3_Care_Applications_Children="","",Year3_Windsor_and_Maidenhead Year3_Care_Applications_Children)</f>
        <v>51</v>
      </c>
      <c r="G131" s="889">
        <f>IF(Year4_Windsor_and_Maidenhead Year4_Care_Applications_Children="","",Year4_Windsor_and_Maidenhead Year4_Care_Applications_Children)</f>
        <v>55</v>
      </c>
      <c r="H131" s="1204">
        <f>IF(Year5_Windsor_and_Maidenhead Year5_Care_Applications_Children="","",Year5_Windsor_and_Maidenhead Year5_Care_Applications_Children)</f>
        <v>50</v>
      </c>
      <c r="I131" s="1205">
        <f t="shared" si="56"/>
        <v>7.6047237076648844E-2</v>
      </c>
      <c r="J131" s="896"/>
      <c r="K131" s="901">
        <f>IF(ISNUMBER(D131),D131/Population!D28*10000,NA())</f>
        <v>11.670654140164556</v>
      </c>
      <c r="L131" s="901">
        <f>IF(ISNUMBER(E131),E131/Population!E28*10000,NA())</f>
        <v>10.562450488513335</v>
      </c>
      <c r="M131" s="901">
        <f>IF(ISNUMBER(F131),F131/Population!F28*10000,NA())</f>
        <v>15.054906128232377</v>
      </c>
      <c r="N131" s="901">
        <f>IF(ISNUMBER(G131),G131/Population!G28*10000,NA())</f>
        <v>16.122885703397532</v>
      </c>
      <c r="O131" s="902">
        <f>IF(ISNUMBER(H131),H131/Population!H28*10000,NA())</f>
        <v>14.585338817420729</v>
      </c>
      <c r="P131" s="903">
        <f t="shared" si="61"/>
        <v>14.585338817420729</v>
      </c>
      <c r="Q131" s="904">
        <f t="shared" si="53"/>
        <v>12</v>
      </c>
      <c r="R131" s="64"/>
      <c r="S131" s="905">
        <f t="shared" si="54"/>
        <v>8.1115230943325614</v>
      </c>
      <c r="T131" s="906">
        <f t="shared" ref="T131:T134" si="62">O131-S131</f>
        <v>6.4738157230881672</v>
      </c>
      <c r="U131" s="89"/>
      <c r="V131" s="103"/>
      <c r="W131" s="115"/>
      <c r="X131" s="51" t="str">
        <f t="shared" si="35"/>
        <v>England</v>
      </c>
      <c r="Y131" s="27">
        <f>IF(H134&gt;0,IDACI!D138,0)</f>
        <v>0</v>
      </c>
      <c r="Z131" s="27">
        <f>IF(H134&gt;0,IDACI!E138,0)</f>
        <v>0</v>
      </c>
      <c r="AA131" s="155">
        <f>IF(ISNUMBER(D134),Population!D125,"")</f>
        <v>0</v>
      </c>
      <c r="AB131" s="155">
        <f>IF(ISNUMBER(E134),Population!E125,"")</f>
        <v>0</v>
      </c>
      <c r="AC131" s="155">
        <f>IF(ISNUMBER(F134),Population!F125,"")</f>
        <v>0</v>
      </c>
      <c r="AD131" s="155">
        <f>IF(ISNUMBER(G134),Population!G125,"")</f>
        <v>0</v>
      </c>
      <c r="AE131" s="155">
        <f>IF(ISNUMBER(H134),Population!H125,"")</f>
        <v>0</v>
      </c>
      <c r="AF131" s="52"/>
      <c r="AG131" s="52"/>
      <c r="AH131" s="56"/>
      <c r="AJ131" s="121"/>
      <c r="AK131" s="581">
        <f>IF(ISERROR((L133-K133)/K133),"x",(L133-K133)/K133)</f>
        <v>4.5413876731057526E-2</v>
      </c>
      <c r="AL131" s="581">
        <f>IF(ISERROR((M133-L133)/L133),"x",(M133-L133)/L133)</f>
        <v>-0.1059209127480433</v>
      </c>
      <c r="AM131" s="581">
        <f>IF(ISERROR((N133-M133)/M133),"x",(N133-M133)/M133)</f>
        <v>-2.4600549020887513E-2</v>
      </c>
      <c r="AN131" s="581">
        <f>IF(ISERROR((O133-N133)/N133),"x",(O133-N133)/N133)</f>
        <v>-0.12840227873470483</v>
      </c>
      <c r="AO131" s="480">
        <f t="shared" si="58"/>
        <v>-5.3377465943144534E-2</v>
      </c>
      <c r="AQ131" s="531">
        <f t="shared" si="45"/>
        <v>15.444927335812187</v>
      </c>
      <c r="AR131" s="531">
        <f t="shared" si="46"/>
        <v>13.808986535075755</v>
      </c>
      <c r="AS131" s="531">
        <f t="shared" si="47"/>
        <v>13.469277884890849</v>
      </c>
      <c r="AT131" s="531">
        <f t="shared" si="48"/>
        <v>11.739791911559898</v>
      </c>
      <c r="AU131" s="531">
        <f t="shared" si="59"/>
        <v>54.46298366733869</v>
      </c>
      <c r="AV131" s="350">
        <f t="shared" si="60"/>
        <v>0</v>
      </c>
      <c r="AW131" s="531">
        <f t="shared" si="55"/>
        <v>54.46298366733869</v>
      </c>
    </row>
    <row r="132" spans="1:76" s="61" customFormat="1" ht="15.75" customHeight="1">
      <c r="A132" s="1103">
        <f>VLOOKUP(B132,ReportData!$AQ$4:$AR$25,2,FALSE)</f>
        <v>0</v>
      </c>
      <c r="B132" s="885" t="str">
        <f>ReportData!$K$22</f>
        <v>Wokingham</v>
      </c>
      <c r="C132" s="896"/>
      <c r="D132" s="889">
        <f>IF(Year1_Wokingham Year1_Care_Applications_Children="","",Year1_Wokingham Year1_Care_Applications_Children)</f>
        <v>40</v>
      </c>
      <c r="E132" s="889">
        <f>IF(Year2_Wokingham Year2_Care_Applications_Children="","",Year2_Wokingham Year2_Care_Applications_Children)</f>
        <v>48</v>
      </c>
      <c r="F132" s="889">
        <f>IF(Year3_Wokingham Year3_Care_Applications_Children="","",Year3_Wokingham Year3_Care_Applications_Children)</f>
        <v>48</v>
      </c>
      <c r="G132" s="889">
        <f>IF(Year4_Wokingham Year4_Care_Applications_Children="","",Year4_Wokingham Year4_Care_Applications_Children)</f>
        <v>56</v>
      </c>
      <c r="H132" s="1204">
        <f>IF(Year5_Wokingham Year5_Care_Applications_Children="","",Year5_Wokingham Year5_Care_Applications_Children)</f>
        <v>47</v>
      </c>
      <c r="I132" s="1205">
        <f t="shared" si="56"/>
        <v>5.1488095238095243E-2</v>
      </c>
      <c r="J132" s="896"/>
      <c r="K132" s="901">
        <f>IF(ISNUMBER(D132),D132/Population!D29*10000,NA())</f>
        <v>10.057326762546515</v>
      </c>
      <c r="L132" s="901">
        <f>IF(ISNUMBER(E132),E132/Population!E29*10000,NA())</f>
        <v>11.858879335902756</v>
      </c>
      <c r="M132" s="901">
        <f>IF(ISNUMBER(F132),F132/Population!F29*10000,NA())</f>
        <v>11.670597388703834</v>
      </c>
      <c r="N132" s="901">
        <f>IF(ISNUMBER(G132),G132/Population!G29*10000,NA())</f>
        <v>13.170272812793979</v>
      </c>
      <c r="O132" s="902">
        <f>IF(ISNUMBER(H132),H132/Population!H29*10000,NA())</f>
        <v>10.850995059334164</v>
      </c>
      <c r="P132" s="903">
        <f t="shared" si="61"/>
        <v>10.850995059334164</v>
      </c>
      <c r="Q132" s="904">
        <f t="shared" si="53"/>
        <v>7</v>
      </c>
      <c r="R132" s="64"/>
      <c r="S132" s="905">
        <f t="shared" si="54"/>
        <v>7.1212802174205834</v>
      </c>
      <c r="T132" s="906">
        <f t="shared" si="62"/>
        <v>3.7297148419135802</v>
      </c>
      <c r="U132" s="89"/>
      <c r="V132" s="103"/>
      <c r="W132" s="115"/>
      <c r="AJ132" s="121"/>
      <c r="AK132" s="480">
        <f>IF(ISERROR((E134-D134)/D134),"x",(E134-D134)/D134)</f>
        <v>-1.7436626391850271E-2</v>
      </c>
      <c r="AL132" s="480">
        <f>IF(ISERROR((F134-E134)/E134),"x",(F134-E134)/E134)</f>
        <v>-7.6240536239571777E-2</v>
      </c>
      <c r="AM132" s="480">
        <f>IF(ISERROR((G134-F134)/F134),"x",(G134-F134)/F134)</f>
        <v>1.5243265817498434E-2</v>
      </c>
      <c r="AN132" s="480">
        <f>IF(ISERROR((H134-G134)/G134),"x",(H134-G134)/G134)</f>
        <v>-2.8846153846153848E-2</v>
      </c>
      <c r="AO132" s="480">
        <f t="shared" si="58"/>
        <v>-2.6820012665019363E-2</v>
      </c>
      <c r="AQ132" s="531">
        <f t="shared" si="45"/>
        <v>17.591926021102847</v>
      </c>
      <c r="AR132" s="531">
        <f t="shared" si="46"/>
        <v>16.285130220682387</v>
      </c>
      <c r="AS132" s="531">
        <f t="shared" si="47"/>
        <v>16.362397145027561</v>
      </c>
      <c r="AT132" s="531">
        <f t="shared" si="48"/>
        <v>15.740942769709182</v>
      </c>
      <c r="AU132" s="531">
        <f t="shared" si="59"/>
        <v>65.980396156521977</v>
      </c>
      <c r="AV132" s="350">
        <f t="shared" si="60"/>
        <v>0</v>
      </c>
      <c r="AW132" s="531">
        <f t="shared" si="55"/>
        <v>65.980396156521977</v>
      </c>
    </row>
    <row r="133" spans="1:76" s="61" customFormat="1" ht="15.75" customHeight="1">
      <c r="A133" s="1103">
        <f>VLOOKUP(B132,ReportData!$AQ$4:$AR$25,2,FALSE)</f>
        <v>0</v>
      </c>
      <c r="B133" s="886" t="str">
        <f>ReportData!$K$23</f>
        <v>South East</v>
      </c>
      <c r="C133" s="896"/>
      <c r="D133" s="892">
        <f>IF(Year1_South_East Year1_Care_Applications_Children="","",Year1_South_East Year1_Care_Applications_Children)</f>
        <v>2848</v>
      </c>
      <c r="E133" s="892">
        <f>IF(Year2_South_East Year2_Care_Applications_Children="","",Year2_South_East Year2_Care_Applications_Children)</f>
        <v>2982</v>
      </c>
      <c r="F133" s="892">
        <f>IF(Year3_South_East Year3_Care_Applications_Children="","",Year3_South_East Year3_Care_Applications_Children)</f>
        <v>2673</v>
      </c>
      <c r="G133" s="892">
        <f>IF(Year4_South_East Year4_Care_Applications_Children="","",Year4_South_East Year4_Care_Applications_Children)</f>
        <v>2647</v>
      </c>
      <c r="H133" s="1194">
        <f>IF(Year5_South_East Year5_Care_Applications_Children="","",Year5_South_East Year5_Care_Applications_Children)</f>
        <v>2335</v>
      </c>
      <c r="I133" s="1206">
        <f t="shared" si="56"/>
        <v>-5.3377465943144534E-2</v>
      </c>
      <c r="J133" s="896"/>
      <c r="K133" s="908">
        <f>IF(ISNUMBER(D133),D133/Population!D30*10000,NA())</f>
        <v>14.773983471605991</v>
      </c>
      <c r="L133" s="908">
        <f>IF(ISNUMBER(E133),E133/Population!E30*10000,NA())</f>
        <v>15.444927335812187</v>
      </c>
      <c r="M133" s="908">
        <f>IF(ISNUMBER(F133),F133/Population!F30*10000,NA())</f>
        <v>13.808986535075755</v>
      </c>
      <c r="N133" s="908">
        <f>IF(ISNUMBER(G133),G133/Population!G30*10000,NA())</f>
        <v>13.469277884890849</v>
      </c>
      <c r="O133" s="909">
        <f>IF(ISNUMBER(H133),H133/Population!H30*10000,NA())</f>
        <v>11.739791911559898</v>
      </c>
      <c r="P133" s="903">
        <f t="shared" si="61"/>
        <v>11.739791911559898</v>
      </c>
      <c r="Q133" s="910" t="str">
        <f t="shared" ref="Q133:Q134" si="63">IF(ISNA(VLOOKUP(B133,$AF$11:$AH$29,3,FALSE)),"--",IF(ISNUMBER(H133),VLOOKUP(B133,$AF$11:$AH$29,3,FALSE),NA()))</f>
        <v>--</v>
      </c>
      <c r="R133" s="64"/>
      <c r="S133" s="911">
        <f t="shared" si="54"/>
        <v>13.216916720313234</v>
      </c>
      <c r="T133" s="912">
        <f t="shared" si="62"/>
        <v>-1.4771248087533362</v>
      </c>
      <c r="U133" s="89"/>
      <c r="V133" s="103"/>
      <c r="W133" s="114"/>
      <c r="AI133" s="52"/>
      <c r="AJ133" s="122"/>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row>
    <row r="134" spans="1:76" s="61" customFormat="1" ht="15.75" customHeight="1">
      <c r="A134" s="1148"/>
      <c r="B134" s="887" t="str">
        <f>ReportData!$K$24</f>
        <v>England</v>
      </c>
      <c r="C134" s="896"/>
      <c r="D134" s="894">
        <f>IF(Year1_England Year1_Care_Applications_Children="","",Year1_England Year1_Care_Applications_Children)</f>
        <v>21105</v>
      </c>
      <c r="E134" s="894">
        <f>IF(Year2_England Year2_Care_Applications_Children="","",Year2_England Year2_Care_Applications_Children)</f>
        <v>20737</v>
      </c>
      <c r="F134" s="894">
        <f>IF(Year3_England Year3_Care_Applications_Children="","",Year3_England Year3_Care_Applications_Children)</f>
        <v>19156</v>
      </c>
      <c r="G134" s="894">
        <f>IF(Year4_England Year4_Care_Applications_Children="","",Year4_England Year4_Care_Applications_Children)</f>
        <v>19448</v>
      </c>
      <c r="H134" s="1195">
        <f>IF(Year5_England Year5_Care_Applications_Children="","",Year5_England Year5_Care_Applications_Children)</f>
        <v>18887</v>
      </c>
      <c r="I134" s="1207">
        <f t="shared" si="56"/>
        <v>-2.6820012665019363E-2</v>
      </c>
      <c r="J134" s="896"/>
      <c r="K134" s="914">
        <f>IF(ISNUMBER(D134),D134/Population!D31*10000,NA())</f>
        <v>17.900016386084651</v>
      </c>
      <c r="L134" s="914">
        <f>IF(ISNUMBER(E134),E134/Population!E31*10000,NA())</f>
        <v>17.591926021102847</v>
      </c>
      <c r="M134" s="914">
        <f>IF(ISNUMBER(F134),F134/Population!F31*10000,NA())</f>
        <v>16.285130220682387</v>
      </c>
      <c r="N134" s="914">
        <f>IF(ISNUMBER(G134),G134/Population!G31*10000,NA())</f>
        <v>16.362397145027561</v>
      </c>
      <c r="O134" s="1086">
        <f>IF(ISNUMBER(H134),H134/Population!H31*10000,NA())</f>
        <v>15.740942769709182</v>
      </c>
      <c r="P134" s="903">
        <f t="shared" si="61"/>
        <v>15.740942769709182</v>
      </c>
      <c r="Q134" s="916" t="str">
        <f t="shared" si="63"/>
        <v>--</v>
      </c>
      <c r="R134" s="64"/>
      <c r="S134" s="917">
        <f t="shared" si="54"/>
        <v>17.459788008186734</v>
      </c>
      <c r="T134" s="1087">
        <f t="shared" si="62"/>
        <v>-1.7188452384775523</v>
      </c>
      <c r="U134" s="89"/>
      <c r="V134" s="103"/>
      <c r="W134" s="114"/>
      <c r="AI134" s="52"/>
      <c r="AJ134" s="119"/>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row>
    <row r="135" spans="1:76" s="56" customFormat="1" ht="12.75" customHeight="1">
      <c r="A135" s="87"/>
      <c r="B135" s="1542"/>
      <c r="C135" s="1543"/>
      <c r="D135" s="1543"/>
      <c r="E135" s="1543"/>
      <c r="F135" s="1543"/>
      <c r="G135" s="1543"/>
      <c r="H135" s="1543"/>
      <c r="I135" s="1543"/>
      <c r="J135" s="1543"/>
      <c r="K135" s="1543"/>
      <c r="L135" s="1543"/>
      <c r="M135" s="1543"/>
      <c r="N135" s="1543"/>
      <c r="O135" s="1543"/>
      <c r="P135" s="1543"/>
      <c r="Q135" s="1091" t="s">
        <v>100</v>
      </c>
      <c r="R135" s="1543"/>
      <c r="S135" s="1543"/>
      <c r="T135" s="1543"/>
      <c r="U135" s="86"/>
      <c r="V135" s="121"/>
      <c r="W135" s="114"/>
      <c r="Y135" s="141"/>
      <c r="AJ135" s="122"/>
      <c r="AL135" s="56">
        <f>COLUMNS($B$4:K$4)</f>
        <v>10</v>
      </c>
      <c r="AM135" s="56">
        <f>COLUMNS($B$4:L$4)</f>
        <v>11</v>
      </c>
      <c r="AN135" s="56">
        <f>COLUMNS($B$4:M$4)</f>
        <v>12</v>
      </c>
      <c r="AO135" s="56">
        <f>COLUMNS($B$4:N$4)</f>
        <v>13</v>
      </c>
      <c r="AP135" s="56">
        <f>COLUMNS($B$4:O$4)</f>
        <v>14</v>
      </c>
      <c r="AQ135" s="56">
        <f>COLUMNS($B$4:R$4)</f>
        <v>17</v>
      </c>
    </row>
    <row r="136" spans="1:76" s="56" customFormat="1" ht="7.5" customHeight="1">
      <c r="A136" s="87"/>
      <c r="B136" s="12"/>
      <c r="C136" s="12"/>
      <c r="D136" s="11"/>
      <c r="E136" s="11"/>
      <c r="F136" s="11"/>
      <c r="G136" s="11"/>
      <c r="H136" s="11"/>
      <c r="I136" s="11"/>
      <c r="J136" s="1"/>
      <c r="K136" s="13"/>
      <c r="L136" s="13"/>
      <c r="M136" s="13"/>
      <c r="N136" s="13"/>
      <c r="O136" s="13"/>
      <c r="P136" s="13"/>
      <c r="Q136" s="13"/>
      <c r="R136" s="13"/>
      <c r="S136" s="13"/>
      <c r="T136" s="14"/>
      <c r="U136" s="86"/>
      <c r="V136" s="185"/>
      <c r="W136" s="114"/>
      <c r="Y136" s="141"/>
      <c r="AI136" s="52"/>
      <c r="AJ136" s="121"/>
      <c r="AK136" s="61"/>
      <c r="AL136" s="1738" t="s">
        <v>85</v>
      </c>
      <c r="AM136" s="1738"/>
      <c r="AN136" s="1738"/>
      <c r="AO136" s="1738"/>
      <c r="AP136" s="1738"/>
      <c r="AQ136" s="1738" t="s">
        <v>862</v>
      </c>
    </row>
    <row r="137" spans="1:76" s="56" customFormat="1" ht="15" customHeight="1">
      <c r="A137" s="1565"/>
      <c r="B137" s="1751"/>
      <c r="C137" s="1751"/>
      <c r="D137" s="1751"/>
      <c r="E137" s="1751"/>
      <c r="F137" s="1751"/>
      <c r="G137" s="1751"/>
      <c r="H137" s="1751"/>
      <c r="I137" s="1751"/>
      <c r="J137" s="1751"/>
      <c r="K137" s="1751"/>
      <c r="L137" s="1751"/>
      <c r="M137" s="1751"/>
      <c r="N137" s="1751"/>
      <c r="O137" s="1751"/>
      <c r="P137" s="1751"/>
      <c r="Q137" s="1751"/>
      <c r="R137" s="1751"/>
      <c r="S137" s="1751"/>
      <c r="T137" s="1751"/>
      <c r="U137" s="1752"/>
      <c r="V137" s="185"/>
      <c r="W137" s="113"/>
      <c r="X137" s="147"/>
      <c r="Y137" s="147"/>
      <c r="Z137" s="147"/>
      <c r="AA137" s="147"/>
      <c r="AB137" s="147"/>
      <c r="AI137" s="52"/>
      <c r="AJ137" s="121"/>
      <c r="AK137" s="61"/>
      <c r="AL137" s="444" t="str">
        <f>ReportData!$D$27</f>
        <v>2019/20</v>
      </c>
      <c r="AM137" s="444" t="str">
        <f>ReportData!$E$27</f>
        <v>2020/21</v>
      </c>
      <c r="AN137" s="444" t="str">
        <f>ReportData!$F$27</f>
        <v>2021/22</v>
      </c>
      <c r="AO137" s="444" t="str">
        <f>ReportData!$G$27</f>
        <v>2022/23</v>
      </c>
      <c r="AP137" s="444" t="str">
        <f>ReportData!$H$27</f>
        <v>2023/24</v>
      </c>
      <c r="AQ137" s="1738"/>
    </row>
    <row r="138" spans="1:76" s="56" customFormat="1" ht="11.25" customHeight="1">
      <c r="A138" s="1739"/>
      <c r="B138" s="1740"/>
      <c r="C138" s="1740"/>
      <c r="D138" s="1740"/>
      <c r="E138" s="1740"/>
      <c r="F138" s="1740"/>
      <c r="G138" s="1740"/>
      <c r="H138" s="1740"/>
      <c r="I138" s="1741"/>
      <c r="J138" s="1740"/>
      <c r="K138" s="1740"/>
      <c r="L138" s="1740"/>
      <c r="M138" s="1740"/>
      <c r="N138" s="1740"/>
      <c r="O138" s="1740"/>
      <c r="P138" s="1742"/>
      <c r="Q138" s="1740"/>
      <c r="R138" s="1740"/>
      <c r="S138" s="1741"/>
      <c r="T138" s="1740"/>
      <c r="U138" s="1743"/>
      <c r="V138" s="185"/>
      <c r="W138" s="218"/>
      <c r="AC138" s="748" t="s">
        <v>762</v>
      </c>
      <c r="AJ138" s="121"/>
      <c r="AK138" s="61"/>
      <c r="AL138" s="444" t="e">
        <f>ReportData!$D$28</f>
        <v>#N/A</v>
      </c>
      <c r="AM138" s="444" t="e">
        <f>ReportData!$E$28</f>
        <v>#N/A</v>
      </c>
      <c r="AN138" s="444" t="e">
        <f>ReportData!$F$28</f>
        <v>#N/A</v>
      </c>
      <c r="AO138" s="444" t="e">
        <f>ReportData!$G$28</f>
        <v>#N/A</v>
      </c>
      <c r="AP138" s="444" t="e">
        <f>ReportData!$H$28</f>
        <v>#N/A</v>
      </c>
      <c r="AQ138" s="1738"/>
    </row>
    <row r="139" spans="1:76" s="56" customFormat="1" ht="10.5" customHeight="1">
      <c r="A139" s="81"/>
      <c r="B139" s="82"/>
      <c r="C139" s="82"/>
      <c r="D139" s="82"/>
      <c r="E139" s="82"/>
      <c r="F139" s="82"/>
      <c r="G139" s="82"/>
      <c r="H139" s="82"/>
      <c r="I139" s="82"/>
      <c r="J139" s="83"/>
      <c r="K139" s="82"/>
      <c r="L139" s="82"/>
      <c r="M139" s="82"/>
      <c r="N139" s="82"/>
      <c r="O139" s="82"/>
      <c r="P139" s="82"/>
      <c r="Q139" s="82"/>
      <c r="R139" s="82"/>
      <c r="S139" s="82"/>
      <c r="T139" s="82"/>
      <c r="U139" s="84"/>
      <c r="V139" s="102"/>
      <c r="W139" s="218"/>
      <c r="X139" s="26" t="s">
        <v>69</v>
      </c>
      <c r="Y139" s="26" t="s">
        <v>67</v>
      </c>
      <c r="Z139" s="26" t="s">
        <v>68</v>
      </c>
      <c r="AA139" s="693">
        <v>3</v>
      </c>
      <c r="AB139" s="165">
        <f>(AA139*Y140)+Z140</f>
        <v>7.4694053635908482</v>
      </c>
      <c r="AC139" s="156">
        <f>ROUND(ChartLabels!$X34,3)</f>
        <v>0.30299999999999999</v>
      </c>
      <c r="AI139" s="361" t="b">
        <f t="shared" ref="AI139:AI159" si="64">AI38</f>
        <v>1</v>
      </c>
      <c r="AJ139" s="121"/>
      <c r="AK139" s="61" t="str">
        <f t="shared" ref="AK139:AK159" si="65">IF(AI139=TRUE,B114,"")</f>
        <v>Bracknell Forest</v>
      </c>
      <c r="AL139" s="110">
        <f t="shared" ref="AL139:AP148" si="66">VLOOKUP($AK139,$B$114:$O$134,AL$34,FALSE)</f>
        <v>16.484724155615794</v>
      </c>
      <c r="AM139" s="110">
        <f t="shared" si="66"/>
        <v>8.6975429441182861</v>
      </c>
      <c r="AN139" s="110">
        <f t="shared" si="66"/>
        <v>14.01718003090968</v>
      </c>
      <c r="AO139" s="110">
        <f t="shared" si="66"/>
        <v>13.413342746205435</v>
      </c>
      <c r="AP139" s="110">
        <f t="shared" si="66"/>
        <v>7.6796872272838339</v>
      </c>
      <c r="AQ139" s="111">
        <f>VLOOKUP(AK139,IDACI!$B$9:$C$29,2,FALSE)</f>
        <v>8.9</v>
      </c>
    </row>
    <row r="140" spans="1:76" s="56" customFormat="1" ht="3.75" customHeight="1">
      <c r="A140" s="85"/>
      <c r="B140" s="5"/>
      <c r="C140" s="5"/>
      <c r="D140" s="5"/>
      <c r="E140" s="5"/>
      <c r="F140" s="5"/>
      <c r="G140" s="5"/>
      <c r="H140" s="5"/>
      <c r="I140" s="5"/>
      <c r="J140" s="1"/>
      <c r="K140" s="5"/>
      <c r="L140" s="5"/>
      <c r="M140" s="5"/>
      <c r="N140" s="5"/>
      <c r="O140" s="5"/>
      <c r="P140" s="5"/>
      <c r="Q140" s="5"/>
      <c r="R140" s="5"/>
      <c r="S140" s="5"/>
      <c r="T140" s="5"/>
      <c r="U140" s="86"/>
      <c r="V140" s="102"/>
      <c r="W140" s="218"/>
      <c r="X140" s="161" t="str">
        <f>"Y= "&amp;Y140&amp;"x + "&amp;Z140</f>
        <v>Y= 0.671779873628781x + 5.4540657427045</v>
      </c>
      <c r="Y140" s="433">
        <f>ChartLabels!$V34</f>
        <v>0.67177987362878133</v>
      </c>
      <c r="Z140" s="433">
        <f>ChartLabels!$W34</f>
        <v>5.4540657427045041</v>
      </c>
      <c r="AA140" s="164">
        <v>22</v>
      </c>
      <c r="AB140" s="165">
        <f>(AA140*Y140)+Z140</f>
        <v>20.233222962537695</v>
      </c>
      <c r="AC140" s="747" t="str">
        <f>AC138&amp;" = "&amp;AC139</f>
        <v>r² = 0.303</v>
      </c>
      <c r="AI140" s="361" t="b">
        <f t="shared" si="64"/>
        <v>1</v>
      </c>
      <c r="AJ140" s="121"/>
      <c r="AK140" s="61" t="str">
        <f t="shared" si="65"/>
        <v>Brighton &amp; Hove</v>
      </c>
      <c r="AL140" s="110">
        <f t="shared" si="66"/>
        <v>26.238585182430477</v>
      </c>
      <c r="AM140" s="110">
        <f t="shared" si="66"/>
        <v>18.764073054791094</v>
      </c>
      <c r="AN140" s="110">
        <f t="shared" si="66"/>
        <v>21.007957559681699</v>
      </c>
      <c r="AO140" s="110">
        <f t="shared" si="66"/>
        <v>10.606703436571914</v>
      </c>
      <c r="AP140" s="110">
        <f t="shared" si="66"/>
        <v>18.000257146530664</v>
      </c>
      <c r="AQ140" s="111">
        <f>VLOOKUP(AK140,IDACI!$B$9:$C$29,2,FALSE)</f>
        <v>15.299999999999999</v>
      </c>
    </row>
    <row r="141" spans="1:76" s="56" customFormat="1" ht="14.25" customHeight="1">
      <c r="A141" s="87"/>
      <c r="B141" s="5"/>
      <c r="C141" s="5"/>
      <c r="D141" s="5"/>
      <c r="E141" s="5"/>
      <c r="F141" s="5"/>
      <c r="G141" s="5"/>
      <c r="H141" s="5"/>
      <c r="I141" s="5"/>
      <c r="J141" s="1"/>
      <c r="K141" s="5"/>
      <c r="L141" s="5"/>
      <c r="M141" s="5"/>
      <c r="N141" s="5"/>
      <c r="O141" s="5"/>
      <c r="P141" s="5"/>
      <c r="Q141" s="5"/>
      <c r="R141" s="5"/>
      <c r="S141" s="5"/>
      <c r="T141" s="5"/>
      <c r="U141" s="86"/>
      <c r="V141" s="102"/>
      <c r="W141" s="218"/>
      <c r="X141" s="26" t="str">
        <f>"National Trend "&amp;ReportData!$B$8</f>
        <v>National Trend 2024</v>
      </c>
      <c r="Y141" s="26" t="s">
        <v>67</v>
      </c>
      <c r="Z141" s="26" t="s">
        <v>68</v>
      </c>
      <c r="AA141" s="693">
        <v>3</v>
      </c>
      <c r="AB141" s="165">
        <f>((AA141*Y142)+Z142)/$X$2</f>
        <v>4.7807061447195451</v>
      </c>
      <c r="AC141" s="747" t="str">
        <f>$AC$37&amp;" = "&amp;AC142</f>
        <v>r² = 0.294</v>
      </c>
      <c r="AI141" s="361" t="b">
        <f t="shared" si="64"/>
        <v>1</v>
      </c>
      <c r="AJ141" s="121"/>
      <c r="AK141" s="61" t="str">
        <f t="shared" si="65"/>
        <v>Buckinghamshire</v>
      </c>
      <c r="AL141" s="110">
        <f t="shared" si="66"/>
        <v>11.380662698445187</v>
      </c>
      <c r="AM141" s="110">
        <f t="shared" si="66"/>
        <v>12.245397771337606</v>
      </c>
      <c r="AN141" s="110">
        <f t="shared" si="66"/>
        <v>10.363533317140313</v>
      </c>
      <c r="AO141" s="110">
        <f t="shared" si="66"/>
        <v>6.671167057141723</v>
      </c>
      <c r="AP141" s="110">
        <f t="shared" si="66"/>
        <v>10.265170511534604</v>
      </c>
      <c r="AQ141" s="111">
        <f>VLOOKUP(AK141,IDACI!$B$9:$C$29,2,FALSE)</f>
        <v>8.5</v>
      </c>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row>
    <row r="142" spans="1:76" s="56" customFormat="1" ht="14.25" customHeight="1">
      <c r="A142" s="87"/>
      <c r="B142" s="5"/>
      <c r="C142" s="5"/>
      <c r="D142" s="5"/>
      <c r="E142" s="5"/>
      <c r="F142" s="5"/>
      <c r="G142" s="5"/>
      <c r="H142" s="5"/>
      <c r="I142" s="5"/>
      <c r="J142" s="1"/>
      <c r="K142" s="5"/>
      <c r="L142" s="5"/>
      <c r="M142" s="5"/>
      <c r="N142" s="5"/>
      <c r="O142" s="5"/>
      <c r="P142" s="5"/>
      <c r="Q142" s="5"/>
      <c r="R142" s="5"/>
      <c r="S142" s="5"/>
      <c r="T142" s="5"/>
      <c r="U142" s="86"/>
      <c r="V142" s="102"/>
      <c r="W142" s="218"/>
      <c r="X142" s="161" t="str">
        <f>"Y= "&amp;Y142&amp;"x + "&amp;Z142</f>
        <v>Y= 0.900220797192707x + 2.08004375314142</v>
      </c>
      <c r="Y142" s="694">
        <f>ReportData!$G$11</f>
        <v>0.90022079719270676</v>
      </c>
      <c r="Z142" s="694">
        <f>ReportData!$G$12</f>
        <v>2.0800437531414246</v>
      </c>
      <c r="AA142" s="164">
        <v>22</v>
      </c>
      <c r="AB142" s="165">
        <f>((AA142*Y142)+Z142)/$X$2</f>
        <v>21.884901291380974</v>
      </c>
      <c r="AC142" s="694">
        <f>ROUND(ReportData!$G$13,3)</f>
        <v>0.29399999999999998</v>
      </c>
      <c r="AI142" s="361" t="b">
        <f t="shared" si="64"/>
        <v>1</v>
      </c>
      <c r="AJ142" s="121"/>
      <c r="AK142" s="61" t="str">
        <f t="shared" si="65"/>
        <v>East Sussex</v>
      </c>
      <c r="AL142" s="110">
        <f t="shared" si="66"/>
        <v>10.396323393670874</v>
      </c>
      <c r="AM142" s="110">
        <f t="shared" si="66"/>
        <v>13.083509895624836</v>
      </c>
      <c r="AN142" s="110">
        <f t="shared" si="66"/>
        <v>10.396335782030031</v>
      </c>
      <c r="AO142" s="110">
        <f t="shared" si="66"/>
        <v>12.253829321663019</v>
      </c>
      <c r="AP142" s="110">
        <f t="shared" si="66"/>
        <v>11.77537980425844</v>
      </c>
      <c r="AQ142" s="111">
        <f>VLOOKUP(AK142,IDACI!$B$9:$C$29,2,FALSE)</f>
        <v>16.100000000000001</v>
      </c>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row>
    <row r="143" spans="1:76" ht="14.25" customHeight="1">
      <c r="A143" s="87"/>
      <c r="B143" s="5"/>
      <c r="C143" s="5"/>
      <c r="D143" s="5"/>
      <c r="E143" s="5"/>
      <c r="F143" s="5"/>
      <c r="G143" s="5"/>
      <c r="H143" s="5"/>
      <c r="I143" s="5"/>
      <c r="J143" s="1"/>
      <c r="K143" s="5"/>
      <c r="L143" s="5"/>
      <c r="M143" s="5"/>
      <c r="N143" s="5"/>
      <c r="O143" s="5"/>
      <c r="P143" s="5"/>
      <c r="Q143" s="5"/>
      <c r="R143" s="5"/>
      <c r="S143" s="5"/>
      <c r="T143" s="5"/>
      <c r="U143" s="86"/>
      <c r="V143" s="102"/>
      <c r="W143" s="218"/>
      <c r="X143" s="52"/>
      <c r="Y143" s="52"/>
      <c r="Z143" s="52"/>
      <c r="AA143" s="52"/>
      <c r="AB143" s="52"/>
      <c r="AI143" s="361" t="b">
        <f t="shared" si="64"/>
        <v>1</v>
      </c>
      <c r="AJ143" s="121"/>
      <c r="AK143" s="61" t="str">
        <f t="shared" si="65"/>
        <v>Hampshire</v>
      </c>
      <c r="AL143" s="110">
        <f t="shared" si="66"/>
        <v>11.741963198968998</v>
      </c>
      <c r="AM143" s="110">
        <f t="shared" si="66"/>
        <v>15.564842777197327</v>
      </c>
      <c r="AN143" s="110">
        <f t="shared" si="66"/>
        <v>13.953703604825417</v>
      </c>
      <c r="AO143" s="110">
        <f t="shared" si="66"/>
        <v>13.439769724890382</v>
      </c>
      <c r="AP143" s="110">
        <f t="shared" si="66"/>
        <v>12.954728475893702</v>
      </c>
      <c r="AQ143" s="111">
        <f>VLOOKUP(AK143,IDACI!$B$9:$C$29,2,FALSE)</f>
        <v>10.100000000000001</v>
      </c>
      <c r="AR143" s="56"/>
      <c r="AS143" s="56"/>
      <c r="AT143" s="56"/>
      <c r="AU143" s="56"/>
      <c r="AV143" s="56"/>
      <c r="AW143" s="56"/>
      <c r="AX143" s="56"/>
    </row>
    <row r="144" spans="1:76" ht="14.25" customHeight="1">
      <c r="A144" s="87"/>
      <c r="B144" s="5"/>
      <c r="C144" s="5"/>
      <c r="D144" s="5"/>
      <c r="E144" s="5"/>
      <c r="F144" s="5"/>
      <c r="G144" s="5"/>
      <c r="H144" s="5"/>
      <c r="I144" s="5"/>
      <c r="J144" s="1"/>
      <c r="K144" s="10"/>
      <c r="L144" s="10"/>
      <c r="M144" s="10"/>
      <c r="N144" s="10"/>
      <c r="O144" s="5"/>
      <c r="P144" s="5"/>
      <c r="Q144" s="5"/>
      <c r="R144" s="5"/>
      <c r="S144" s="5"/>
      <c r="T144" s="5"/>
      <c r="U144" s="86"/>
      <c r="V144" s="102"/>
      <c r="W144" s="218"/>
      <c r="AI144" s="361" t="b">
        <f t="shared" si="64"/>
        <v>1</v>
      </c>
      <c r="AJ144" s="121"/>
      <c r="AK144" s="61" t="str">
        <f t="shared" si="65"/>
        <v>Isle of Wight</v>
      </c>
      <c r="AL144" s="110">
        <f t="shared" si="66"/>
        <v>18.517756470927122</v>
      </c>
      <c r="AM144" s="110">
        <f t="shared" si="66"/>
        <v>23.438807969194709</v>
      </c>
      <c r="AN144" s="110">
        <f t="shared" si="66"/>
        <v>28.346589947537655</v>
      </c>
      <c r="AO144" s="110">
        <f t="shared" si="66"/>
        <v>29.744199881023199</v>
      </c>
      <c r="AP144" s="110">
        <f t="shared" si="66"/>
        <v>22.186193361208293</v>
      </c>
      <c r="AQ144" s="111">
        <f>VLOOKUP(AK144,IDACI!$B$9:$C$29,2,FALSE)</f>
        <v>18</v>
      </c>
      <c r="AR144" s="237"/>
      <c r="AS144" s="237"/>
      <c r="AT144" s="237"/>
      <c r="AU144" s="237"/>
      <c r="AV144" s="237"/>
    </row>
    <row r="145" spans="1:76" ht="14.25" customHeight="1">
      <c r="A145" s="87"/>
      <c r="B145" s="76"/>
      <c r="C145" s="76"/>
      <c r="D145" s="77"/>
      <c r="E145" s="77"/>
      <c r="F145" s="77"/>
      <c r="G145" s="77"/>
      <c r="H145" s="77"/>
      <c r="I145" s="77"/>
      <c r="J145" s="1"/>
      <c r="K145" s="5"/>
      <c r="L145" s="5"/>
      <c r="M145" s="5"/>
      <c r="N145" s="5"/>
      <c r="O145" s="5"/>
      <c r="P145" s="5"/>
      <c r="Q145" s="5"/>
      <c r="R145" s="5"/>
      <c r="S145" s="5"/>
      <c r="T145" s="5"/>
      <c r="U145" s="86"/>
      <c r="V145" s="102"/>
      <c r="W145" s="218"/>
      <c r="AC145" s="157"/>
      <c r="AI145" s="361" t="b">
        <f t="shared" si="64"/>
        <v>1</v>
      </c>
      <c r="AJ145" s="121"/>
      <c r="AK145" s="61" t="str">
        <f t="shared" si="65"/>
        <v>Kent</v>
      </c>
      <c r="AL145" s="110">
        <f t="shared" si="66"/>
        <v>13.679603291504545</v>
      </c>
      <c r="AM145" s="110">
        <f t="shared" si="66"/>
        <v>11.213310049517977</v>
      </c>
      <c r="AN145" s="110">
        <f t="shared" si="66"/>
        <v>12.228830882112286</v>
      </c>
      <c r="AO145" s="110">
        <f t="shared" si="66"/>
        <v>13.358299937583491</v>
      </c>
      <c r="AP145" s="110">
        <f t="shared" si="66"/>
        <v>9.1866380349781238</v>
      </c>
      <c r="AQ145" s="111">
        <f>VLOOKUP(AK145,IDACI!$B$9:$C$29,2,FALSE)</f>
        <v>15.8</v>
      </c>
      <c r="AR145" s="237"/>
      <c r="AS145" s="237"/>
      <c r="AT145" s="237"/>
      <c r="AU145" s="237"/>
      <c r="AV145" s="237"/>
    </row>
    <row r="146" spans="1:76" ht="14.25" customHeight="1">
      <c r="A146" s="87"/>
      <c r="B146" s="77"/>
      <c r="C146" s="77"/>
      <c r="D146" s="77"/>
      <c r="E146" s="77"/>
      <c r="F146" s="77"/>
      <c r="G146" s="77"/>
      <c r="H146" s="77"/>
      <c r="I146" s="77"/>
      <c r="J146" s="1"/>
      <c r="K146" s="5"/>
      <c r="L146" s="5"/>
      <c r="M146" s="5"/>
      <c r="N146" s="5"/>
      <c r="O146" s="5"/>
      <c r="P146" s="5"/>
      <c r="Q146" s="5"/>
      <c r="R146" s="5"/>
      <c r="S146" s="5"/>
      <c r="T146" s="5"/>
      <c r="U146" s="86"/>
      <c r="V146" s="102"/>
      <c r="W146" s="218"/>
      <c r="AC146" s="52"/>
      <c r="AI146" s="361" t="b">
        <f t="shared" si="64"/>
        <v>1</v>
      </c>
      <c r="AJ146" s="121"/>
      <c r="AK146" s="61" t="str">
        <f t="shared" si="65"/>
        <v>Medway</v>
      </c>
      <c r="AL146" s="110">
        <f t="shared" si="66"/>
        <v>24.343510491267747</v>
      </c>
      <c r="AM146" s="110">
        <f t="shared" si="66"/>
        <v>19.78177250961614</v>
      </c>
      <c r="AN146" s="110">
        <f t="shared" si="66"/>
        <v>22.094426250058763</v>
      </c>
      <c r="AO146" s="110">
        <f t="shared" si="66"/>
        <v>23.708721422523283</v>
      </c>
      <c r="AP146" s="110">
        <f t="shared" si="66"/>
        <v>16.794877562343483</v>
      </c>
      <c r="AQ146" s="111">
        <f>VLOOKUP(AK146,IDACI!$B$9:$C$29,2,FALSE)</f>
        <v>18.899999999999999</v>
      </c>
      <c r="AR146" s="237"/>
      <c r="AS146" s="237"/>
      <c r="AT146" s="237"/>
      <c r="AU146" s="237"/>
      <c r="AV146" s="237"/>
    </row>
    <row r="147" spans="1:76" ht="14.25" customHeight="1">
      <c r="A147" s="87"/>
      <c r="B147" s="77"/>
      <c r="C147" s="77"/>
      <c r="D147" s="77"/>
      <c r="E147" s="77"/>
      <c r="F147" s="77"/>
      <c r="G147" s="77"/>
      <c r="H147" s="77"/>
      <c r="I147" s="77"/>
      <c r="J147" s="1"/>
      <c r="K147" s="5"/>
      <c r="L147" s="5"/>
      <c r="M147" s="5"/>
      <c r="N147" s="5"/>
      <c r="O147" s="5"/>
      <c r="P147" s="5"/>
      <c r="Q147" s="5"/>
      <c r="R147" s="5"/>
      <c r="S147" s="5"/>
      <c r="T147" s="5"/>
      <c r="U147" s="86"/>
      <c r="V147" s="102"/>
      <c r="W147" s="218"/>
      <c r="AI147" s="361" t="b">
        <f t="shared" si="64"/>
        <v>1</v>
      </c>
      <c r="AJ147" s="121"/>
      <c r="AK147" s="61" t="str">
        <f t="shared" si="65"/>
        <v>Milton Keynes</v>
      </c>
      <c r="AL147" s="110">
        <f t="shared" si="66"/>
        <v>15.209235627272333</v>
      </c>
      <c r="AM147" s="110">
        <f t="shared" si="66"/>
        <v>18.901955125892794</v>
      </c>
      <c r="AN147" s="110">
        <f t="shared" si="66"/>
        <v>15.365836145616429</v>
      </c>
      <c r="AO147" s="110">
        <f t="shared" si="66"/>
        <v>17.194965539597749</v>
      </c>
      <c r="AP147" s="110">
        <f t="shared" si="66"/>
        <v>21.017349616055608</v>
      </c>
      <c r="AQ147" s="111">
        <f>VLOOKUP(AK147,IDACI!$B$9:$C$29,2,FALSE)</f>
        <v>15</v>
      </c>
      <c r="AR147" s="237"/>
      <c r="AS147" s="237"/>
      <c r="AT147" s="237"/>
      <c r="AU147" s="237"/>
      <c r="AV147" s="237"/>
    </row>
    <row r="148" spans="1:76" ht="14.25" customHeight="1">
      <c r="A148" s="87"/>
      <c r="B148" s="40"/>
      <c r="C148" s="40"/>
      <c r="D148" s="40"/>
      <c r="E148" s="40"/>
      <c r="F148" s="40"/>
      <c r="G148" s="40"/>
      <c r="H148" s="40"/>
      <c r="I148" s="40"/>
      <c r="J148" s="1"/>
      <c r="K148" s="5"/>
      <c r="L148" s="5"/>
      <c r="M148" s="5"/>
      <c r="N148" s="5"/>
      <c r="O148" s="5"/>
      <c r="P148" s="5"/>
      <c r="Q148" s="5"/>
      <c r="R148" s="5"/>
      <c r="S148" s="5"/>
      <c r="T148" s="5"/>
      <c r="U148" s="86"/>
      <c r="V148" s="102"/>
      <c r="W148" s="218"/>
      <c r="AI148" s="361" t="b">
        <f t="shared" si="64"/>
        <v>1</v>
      </c>
      <c r="AJ148" s="121"/>
      <c r="AK148" s="61" t="str">
        <f t="shared" si="65"/>
        <v>Oxfordshire</v>
      </c>
      <c r="AL148" s="110">
        <f t="shared" si="66"/>
        <v>17.309543097300402</v>
      </c>
      <c r="AM148" s="110">
        <f t="shared" si="66"/>
        <v>15.838147900756788</v>
      </c>
      <c r="AN148" s="110">
        <f t="shared" si="66"/>
        <v>15.921499490922013</v>
      </c>
      <c r="AO148" s="110">
        <f t="shared" si="66"/>
        <v>13.374526876111757</v>
      </c>
      <c r="AP148" s="110">
        <f t="shared" si="66"/>
        <v>7.6718796105045737</v>
      </c>
      <c r="AQ148" s="111">
        <f>VLOOKUP(AK148,IDACI!$B$9:$C$29,2,FALSE)</f>
        <v>10.100000000000001</v>
      </c>
      <c r="AR148" s="237"/>
      <c r="AS148" s="237"/>
      <c r="AT148" s="237"/>
      <c r="AU148" s="237"/>
      <c r="AV148" s="237"/>
    </row>
    <row r="149" spans="1:76" ht="14.25" customHeight="1">
      <c r="A149" s="87"/>
      <c r="B149" s="40"/>
      <c r="C149" s="40"/>
      <c r="D149" s="49"/>
      <c r="E149" s="50"/>
      <c r="F149" s="49"/>
      <c r="G149" s="50"/>
      <c r="H149" s="50"/>
      <c r="I149" s="50"/>
      <c r="J149" s="1"/>
      <c r="K149" s="5"/>
      <c r="L149" s="5"/>
      <c r="M149" s="5"/>
      <c r="N149" s="5"/>
      <c r="O149" s="5"/>
      <c r="P149" s="5"/>
      <c r="Q149" s="5"/>
      <c r="R149" s="5"/>
      <c r="S149" s="5"/>
      <c r="T149" s="5"/>
      <c r="U149" s="86"/>
      <c r="V149" s="102"/>
      <c r="W149" s="218"/>
      <c r="AI149" s="361" t="b">
        <f t="shared" si="64"/>
        <v>1</v>
      </c>
      <c r="AJ149" s="121"/>
      <c r="AK149" s="61" t="str">
        <f t="shared" si="65"/>
        <v>Portsmouth</v>
      </c>
      <c r="AL149" s="110">
        <f t="shared" ref="AL149:AP159" si="67">VLOOKUP($AK149,$B$114:$O$134,AL$34,FALSE)</f>
        <v>19.508481431256396</v>
      </c>
      <c r="AM149" s="110">
        <f t="shared" si="67"/>
        <v>16.959273856443328</v>
      </c>
      <c r="AN149" s="110">
        <f t="shared" si="67"/>
        <v>16.647767027770406</v>
      </c>
      <c r="AO149" s="110">
        <f t="shared" si="67"/>
        <v>24.599364715435506</v>
      </c>
      <c r="AP149" s="110">
        <f t="shared" si="67"/>
        <v>25.76405795731203</v>
      </c>
      <c r="AQ149" s="111">
        <f>VLOOKUP(AK149,IDACI!$B$9:$C$29,2,FALSE)</f>
        <v>20.200000000000003</v>
      </c>
      <c r="AR149" s="237"/>
      <c r="AS149" s="237"/>
      <c r="AT149" s="237"/>
      <c r="AU149" s="237"/>
      <c r="AV149" s="237"/>
    </row>
    <row r="150" spans="1:76" ht="14.25" customHeight="1">
      <c r="A150" s="87"/>
      <c r="B150" s="40"/>
      <c r="C150" s="40"/>
      <c r="D150" s="43"/>
      <c r="E150" s="43"/>
      <c r="F150" s="43"/>
      <c r="G150" s="43"/>
      <c r="H150" s="43"/>
      <c r="I150" s="43"/>
      <c r="J150" s="1"/>
      <c r="K150" s="5"/>
      <c r="L150" s="5"/>
      <c r="M150" s="5"/>
      <c r="N150" s="5"/>
      <c r="O150" s="5"/>
      <c r="P150" s="5"/>
      <c r="Q150" s="5"/>
      <c r="R150" s="5"/>
      <c r="S150" s="5"/>
      <c r="T150" s="5"/>
      <c r="U150" s="86"/>
      <c r="V150" s="102"/>
      <c r="W150" s="218"/>
      <c r="AI150" s="361" t="b">
        <f t="shared" si="64"/>
        <v>1</v>
      </c>
      <c r="AJ150" s="121"/>
      <c r="AK150" s="61" t="str">
        <f t="shared" si="65"/>
        <v>Reading</v>
      </c>
      <c r="AL150" s="110">
        <f t="shared" si="67"/>
        <v>20.523899540912772</v>
      </c>
      <c r="AM150" s="110">
        <f t="shared" si="67"/>
        <v>18.122312082442996</v>
      </c>
      <c r="AN150" s="110">
        <f t="shared" si="67"/>
        <v>9.9080750811911713</v>
      </c>
      <c r="AO150" s="110">
        <f t="shared" si="67"/>
        <v>15.566290928609769</v>
      </c>
      <c r="AP150" s="110">
        <f t="shared" si="67"/>
        <v>22.673943420601653</v>
      </c>
      <c r="AQ150" s="111">
        <f>VLOOKUP(AK150,IDACI!$B$9:$C$29,2,FALSE)</f>
        <v>16</v>
      </c>
      <c r="AR150" s="237"/>
      <c r="AS150" s="237"/>
      <c r="AT150" s="237"/>
      <c r="AU150" s="237"/>
      <c r="AV150" s="237"/>
    </row>
    <row r="151" spans="1:76" ht="14.25" customHeight="1">
      <c r="A151" s="87"/>
      <c r="B151" s="48"/>
      <c r="C151" s="48"/>
      <c r="D151" s="40"/>
      <c r="E151" s="40"/>
      <c r="F151" s="40"/>
      <c r="G151" s="40"/>
      <c r="H151" s="40"/>
      <c r="I151" s="40"/>
      <c r="J151" s="1"/>
      <c r="K151" s="5"/>
      <c r="L151" s="5"/>
      <c r="M151" s="5"/>
      <c r="N151" s="5"/>
      <c r="O151" s="5"/>
      <c r="P151" s="5"/>
      <c r="Q151" s="5"/>
      <c r="R151" s="5"/>
      <c r="S151" s="5"/>
      <c r="T151" s="5"/>
      <c r="U151" s="86"/>
      <c r="V151" s="102"/>
      <c r="W151" s="218"/>
      <c r="AI151" s="361" t="b">
        <f t="shared" si="64"/>
        <v>1</v>
      </c>
      <c r="AJ151" s="121"/>
      <c r="AK151" s="61" t="str">
        <f t="shared" si="65"/>
        <v>Slough</v>
      </c>
      <c r="AL151" s="110">
        <f t="shared" si="67"/>
        <v>18.62968329538398</v>
      </c>
      <c r="AM151" s="110">
        <f t="shared" si="67"/>
        <v>23.462414578587698</v>
      </c>
      <c r="AN151" s="110">
        <f t="shared" si="67"/>
        <v>14.17564076182637</v>
      </c>
      <c r="AO151" s="110">
        <f t="shared" si="67"/>
        <v>15.819209039548022</v>
      </c>
      <c r="AP151" s="110">
        <f t="shared" si="67"/>
        <v>8.2499052375749731</v>
      </c>
      <c r="AQ151" s="111">
        <f>VLOOKUP(AK151,IDACI!$B$9:$C$29,2,FALSE)</f>
        <v>14.7</v>
      </c>
      <c r="AR151" s="237"/>
      <c r="AS151" s="237"/>
      <c r="AT151" s="237"/>
      <c r="AU151" s="237"/>
      <c r="AV151" s="237"/>
    </row>
    <row r="152" spans="1:76" ht="14.25" customHeight="1">
      <c r="A152" s="87"/>
      <c r="B152" s="48"/>
      <c r="C152" s="48"/>
      <c r="D152" s="40"/>
      <c r="E152" s="40"/>
      <c r="F152" s="40"/>
      <c r="G152" s="40"/>
      <c r="H152" s="40"/>
      <c r="I152" s="40"/>
      <c r="J152" s="1"/>
      <c r="K152" s="5"/>
      <c r="L152" s="5"/>
      <c r="M152" s="5"/>
      <c r="N152" s="5"/>
      <c r="O152" s="5"/>
      <c r="P152" s="5"/>
      <c r="Q152" s="5"/>
      <c r="R152" s="5"/>
      <c r="S152" s="5"/>
      <c r="T152" s="5"/>
      <c r="U152" s="86"/>
      <c r="V152" s="102"/>
      <c r="W152" s="218"/>
      <c r="AI152" s="361" t="b">
        <f t="shared" si="64"/>
        <v>1</v>
      </c>
      <c r="AJ152" s="121"/>
      <c r="AK152" s="61" t="str">
        <f t="shared" si="65"/>
        <v>Southampton</v>
      </c>
      <c r="AL152" s="110">
        <f t="shared" si="67"/>
        <v>31.862547390497699</v>
      </c>
      <c r="AM152" s="110">
        <f t="shared" si="67"/>
        <v>30.76180710537427</v>
      </c>
      <c r="AN152" s="110">
        <f t="shared" si="67"/>
        <v>34.016360249453307</v>
      </c>
      <c r="AO152" s="110">
        <f t="shared" si="67"/>
        <v>23.460528162659664</v>
      </c>
      <c r="AP152" s="110">
        <f t="shared" si="67"/>
        <v>14.293371448990529</v>
      </c>
      <c r="AQ152" s="111">
        <f>VLOOKUP(AK152,IDACI!$B$9:$C$29,2,FALSE)</f>
        <v>20.5</v>
      </c>
      <c r="AR152" s="237"/>
      <c r="AS152" s="237"/>
      <c r="AT152" s="237"/>
      <c r="AU152" s="237"/>
      <c r="AV152" s="237"/>
    </row>
    <row r="153" spans="1:76" ht="14.25" customHeight="1">
      <c r="A153" s="87"/>
      <c r="B153" s="48"/>
      <c r="C153" s="48"/>
      <c r="D153" s="40"/>
      <c r="E153" s="40"/>
      <c r="F153" s="40"/>
      <c r="G153" s="40"/>
      <c r="H153" s="40"/>
      <c r="I153" s="40"/>
      <c r="J153" s="1"/>
      <c r="K153" s="5"/>
      <c r="L153" s="5"/>
      <c r="M153" s="5"/>
      <c r="N153" s="5"/>
      <c r="O153" s="5"/>
      <c r="P153" s="5"/>
      <c r="Q153" s="5"/>
      <c r="R153" s="5"/>
      <c r="S153" s="5"/>
      <c r="T153" s="5"/>
      <c r="U153" s="86"/>
      <c r="V153" s="102"/>
      <c r="W153" s="218"/>
      <c r="AI153" s="361" t="b">
        <f t="shared" si="64"/>
        <v>1</v>
      </c>
      <c r="AJ153" s="121"/>
      <c r="AK153" s="61" t="str">
        <f t="shared" si="65"/>
        <v>Surrey</v>
      </c>
      <c r="AL153" s="110">
        <f t="shared" si="67"/>
        <v>9.1844445736208797</v>
      </c>
      <c r="AM153" s="110">
        <f t="shared" si="67"/>
        <v>13.035792340214838</v>
      </c>
      <c r="AN153" s="110">
        <f t="shared" si="67"/>
        <v>10.289493155752867</v>
      </c>
      <c r="AO153" s="110">
        <f t="shared" si="67"/>
        <v>7.8547739570605692</v>
      </c>
      <c r="AP153" s="110">
        <f t="shared" si="67"/>
        <v>6.5870697702430068</v>
      </c>
      <c r="AQ153" s="111">
        <f>VLOOKUP(AK153,IDACI!$B$9:$C$29,2,FALSE)</f>
        <v>8.3000000000000007</v>
      </c>
      <c r="AR153" s="237"/>
      <c r="AS153" s="237"/>
      <c r="AT153" s="237"/>
      <c r="AU153" s="237"/>
      <c r="AV153" s="237"/>
    </row>
    <row r="154" spans="1:76" ht="14.25" customHeight="1">
      <c r="A154" s="87"/>
      <c r="B154" s="48"/>
      <c r="C154" s="48"/>
      <c r="D154" s="40"/>
      <c r="E154" s="40"/>
      <c r="F154" s="40"/>
      <c r="G154" s="40"/>
      <c r="H154" s="40"/>
      <c r="I154" s="40"/>
      <c r="J154" s="1"/>
      <c r="K154" s="5"/>
      <c r="L154" s="5"/>
      <c r="M154" s="5"/>
      <c r="N154" s="5"/>
      <c r="O154" s="5"/>
      <c r="P154" s="5"/>
      <c r="Q154" s="5"/>
      <c r="R154" s="5"/>
      <c r="S154" s="5"/>
      <c r="T154" s="5"/>
      <c r="U154" s="86"/>
      <c r="V154" s="102"/>
      <c r="W154" s="218"/>
      <c r="AI154" s="361" t="b">
        <f t="shared" si="64"/>
        <v>1</v>
      </c>
      <c r="AJ154" s="121"/>
      <c r="AK154" s="61" t="str">
        <f t="shared" si="65"/>
        <v>West Berkshire</v>
      </c>
      <c r="AL154" s="110">
        <f t="shared" si="67"/>
        <v>11.693904908587889</v>
      </c>
      <c r="AM154" s="110">
        <f t="shared" si="67"/>
        <v>7.7532736044107509</v>
      </c>
      <c r="AN154" s="110">
        <f t="shared" si="67"/>
        <v>11.27330539095245</v>
      </c>
      <c r="AO154" s="110">
        <f t="shared" si="67"/>
        <v>13.748854262144821</v>
      </c>
      <c r="AP154" s="110">
        <f t="shared" si="67"/>
        <v>18.117480537862704</v>
      </c>
      <c r="AQ154" s="111">
        <f>VLOOKUP(AK154,IDACI!$B$9:$C$29,2,FALSE)</f>
        <v>8.6999999999999993</v>
      </c>
      <c r="AR154" s="237"/>
      <c r="AS154" s="237"/>
      <c r="AT154" s="237"/>
      <c r="AU154" s="237"/>
      <c r="AV154" s="237"/>
    </row>
    <row r="155" spans="1:76" ht="14.25" customHeight="1">
      <c r="A155" s="87"/>
      <c r="B155" s="48"/>
      <c r="C155" s="48"/>
      <c r="D155" s="40"/>
      <c r="E155" s="40"/>
      <c r="F155" s="40"/>
      <c r="G155" s="40"/>
      <c r="H155" s="40"/>
      <c r="I155" s="40"/>
      <c r="J155" s="1"/>
      <c r="K155" s="5"/>
      <c r="L155" s="5"/>
      <c r="M155" s="5"/>
      <c r="N155" s="5"/>
      <c r="O155" s="5"/>
      <c r="P155" s="5"/>
      <c r="Q155" s="5"/>
      <c r="R155" s="5"/>
      <c r="S155" s="5"/>
      <c r="T155" s="5"/>
      <c r="U155" s="86"/>
      <c r="V155" s="102"/>
      <c r="W155" s="218"/>
      <c r="AI155" s="361" t="b">
        <f t="shared" si="64"/>
        <v>1</v>
      </c>
      <c r="AJ155" s="121"/>
      <c r="AK155" s="61" t="str">
        <f t="shared" si="65"/>
        <v>West Sussex</v>
      </c>
      <c r="AL155" s="110">
        <f t="shared" si="67"/>
        <v>19.360303311418548</v>
      </c>
      <c r="AM155" s="110">
        <f t="shared" si="67"/>
        <v>22.37265130296251</v>
      </c>
      <c r="AN155" s="110">
        <f t="shared" si="67"/>
        <v>12.011393664847798</v>
      </c>
      <c r="AO155" s="110">
        <f t="shared" si="67"/>
        <v>14.096498993509972</v>
      </c>
      <c r="AP155" s="110">
        <f t="shared" si="67"/>
        <v>11.843046120843763</v>
      </c>
      <c r="AQ155" s="111">
        <f>VLOOKUP(AK155,IDACI!$B$9:$C$29,2,FALSE)</f>
        <v>11</v>
      </c>
      <c r="AR155" s="237"/>
      <c r="AS155" s="237"/>
      <c r="AT155" s="237"/>
      <c r="AU155" s="237"/>
      <c r="AV155" s="237"/>
    </row>
    <row r="156" spans="1:76" ht="14.25" customHeight="1">
      <c r="A156" s="87"/>
      <c r="B156" s="48"/>
      <c r="C156" s="48"/>
      <c r="D156" s="40"/>
      <c r="E156" s="40"/>
      <c r="F156" s="40"/>
      <c r="G156" s="40"/>
      <c r="H156" s="40"/>
      <c r="I156" s="40"/>
      <c r="J156" s="1"/>
      <c r="K156" s="5"/>
      <c r="L156" s="5"/>
      <c r="M156" s="5"/>
      <c r="N156" s="5"/>
      <c r="O156" s="5"/>
      <c r="P156" s="5"/>
      <c r="Q156" s="5"/>
      <c r="R156" s="5"/>
      <c r="S156" s="5"/>
      <c r="T156" s="5"/>
      <c r="U156" s="86"/>
      <c r="V156" s="102"/>
      <c r="W156" s="218"/>
      <c r="AI156" s="361" t="b">
        <f t="shared" si="64"/>
        <v>1</v>
      </c>
      <c r="AJ156" s="121"/>
      <c r="AK156" s="61" t="str">
        <f t="shared" si="65"/>
        <v>Windsor &amp; Maidenhead</v>
      </c>
      <c r="AL156" s="110">
        <f t="shared" si="67"/>
        <v>11.670654140164556</v>
      </c>
      <c r="AM156" s="110">
        <f t="shared" si="67"/>
        <v>10.562450488513335</v>
      </c>
      <c r="AN156" s="110">
        <f t="shared" si="67"/>
        <v>15.054906128232377</v>
      </c>
      <c r="AO156" s="110">
        <f t="shared" si="67"/>
        <v>16.122885703397532</v>
      </c>
      <c r="AP156" s="110">
        <f t="shared" si="67"/>
        <v>14.585338817420729</v>
      </c>
      <c r="AQ156" s="111">
        <f>VLOOKUP(AK156,IDACI!$B$9:$C$29,2,FALSE)</f>
        <v>6.7</v>
      </c>
      <c r="AR156" s="237"/>
      <c r="AS156" s="237"/>
      <c r="AT156" s="237"/>
      <c r="AU156" s="237"/>
      <c r="AV156" s="237"/>
    </row>
    <row r="157" spans="1:76" ht="14.25" customHeight="1">
      <c r="A157" s="208"/>
      <c r="B157" s="48"/>
      <c r="C157" s="48"/>
      <c r="D157" s="40"/>
      <c r="E157" s="40"/>
      <c r="F157" s="40"/>
      <c r="G157" s="40"/>
      <c r="H157" s="40"/>
      <c r="I157" s="40"/>
      <c r="J157" s="1"/>
      <c r="K157" s="5"/>
      <c r="L157" s="5"/>
      <c r="M157" s="5"/>
      <c r="N157" s="5"/>
      <c r="O157" s="5"/>
      <c r="P157" s="5"/>
      <c r="Q157" s="5"/>
      <c r="R157" s="5"/>
      <c r="S157" s="5"/>
      <c r="T157" s="5"/>
      <c r="U157" s="86"/>
      <c r="V157" s="102"/>
      <c r="W157" s="218"/>
      <c r="AI157" s="361" t="b">
        <f t="shared" si="64"/>
        <v>1</v>
      </c>
      <c r="AJ157" s="121"/>
      <c r="AK157" s="61" t="str">
        <f t="shared" si="65"/>
        <v>Wokingham</v>
      </c>
      <c r="AL157" s="110">
        <f t="shared" si="67"/>
        <v>10.057326762546515</v>
      </c>
      <c r="AM157" s="110">
        <f t="shared" si="67"/>
        <v>11.858879335902756</v>
      </c>
      <c r="AN157" s="110">
        <f t="shared" si="67"/>
        <v>11.670597388703834</v>
      </c>
      <c r="AO157" s="110">
        <f t="shared" si="67"/>
        <v>13.170272812793979</v>
      </c>
      <c r="AP157" s="110">
        <f t="shared" si="67"/>
        <v>10.850995059334164</v>
      </c>
      <c r="AQ157" s="111">
        <f>VLOOKUP(AK157,IDACI!$B$9:$C$29,2,FALSE)</f>
        <v>5.6000000000000005</v>
      </c>
      <c r="AR157" s="237"/>
      <c r="AS157" s="237"/>
      <c r="AT157" s="237"/>
      <c r="AU157" s="237"/>
      <c r="AV157" s="237"/>
    </row>
    <row r="158" spans="1:76" ht="14.25" customHeight="1">
      <c r="A158" s="208"/>
      <c r="B158" s="48"/>
      <c r="C158" s="48"/>
      <c r="D158" s="40"/>
      <c r="E158" s="40"/>
      <c r="F158" s="40"/>
      <c r="G158" s="40"/>
      <c r="H158" s="40"/>
      <c r="I158" s="40"/>
      <c r="J158" s="1"/>
      <c r="K158" s="5"/>
      <c r="L158" s="5"/>
      <c r="M158" s="5"/>
      <c r="N158" s="5"/>
      <c r="O158" s="5"/>
      <c r="P158" s="5"/>
      <c r="Q158" s="5"/>
      <c r="R158" s="5"/>
      <c r="S158" s="5"/>
      <c r="T158" s="5"/>
      <c r="U158" s="86"/>
      <c r="V158" s="102"/>
      <c r="W158" s="218"/>
      <c r="AI158" s="361" t="b">
        <f t="shared" si="64"/>
        <v>1</v>
      </c>
      <c r="AJ158" s="121"/>
      <c r="AK158" s="61" t="str">
        <f t="shared" si="65"/>
        <v>South East</v>
      </c>
      <c r="AL158" s="110">
        <f t="shared" si="67"/>
        <v>14.773983471605991</v>
      </c>
      <c r="AM158" s="110">
        <f t="shared" si="67"/>
        <v>15.444927335812187</v>
      </c>
      <c r="AN158" s="110">
        <f t="shared" si="67"/>
        <v>13.808986535075755</v>
      </c>
      <c r="AO158" s="110">
        <f t="shared" si="67"/>
        <v>13.469277884890849</v>
      </c>
      <c r="AP158" s="110">
        <f t="shared" si="67"/>
        <v>11.739791911559898</v>
      </c>
      <c r="AQ158" s="111">
        <f>VLOOKUP(AK158,IDACI!$B$9:$C$29,2,FALSE)</f>
        <v>12.371268250968637</v>
      </c>
      <c r="AR158" s="237"/>
      <c r="AS158" s="237"/>
      <c r="AT158" s="237"/>
      <c r="AU158" s="237"/>
      <c r="AV158" s="237"/>
    </row>
    <row r="159" spans="1:76" ht="14.25" customHeight="1">
      <c r="A159" s="87"/>
      <c r="B159" s="48"/>
      <c r="C159" s="48"/>
      <c r="D159" s="40"/>
      <c r="E159" s="40"/>
      <c r="F159" s="40"/>
      <c r="G159" s="40"/>
      <c r="H159" s="40"/>
      <c r="I159" s="40"/>
      <c r="J159" s="1"/>
      <c r="K159" s="5"/>
      <c r="L159" s="5"/>
      <c r="M159" s="5"/>
      <c r="N159" s="5"/>
      <c r="O159" s="5"/>
      <c r="P159" s="5"/>
      <c r="Q159" s="5"/>
      <c r="R159" s="5"/>
      <c r="S159" s="5"/>
      <c r="T159" s="5"/>
      <c r="U159" s="86"/>
      <c r="V159" s="102"/>
      <c r="W159" s="218"/>
      <c r="AI159" s="361" t="b">
        <f t="shared" si="64"/>
        <v>1</v>
      </c>
      <c r="AJ159" s="121"/>
      <c r="AK159" s="61" t="str">
        <f t="shared" si="65"/>
        <v>England</v>
      </c>
      <c r="AL159" s="110">
        <f t="shared" si="67"/>
        <v>17.900016386084651</v>
      </c>
      <c r="AM159" s="110">
        <f t="shared" si="67"/>
        <v>17.591926021102847</v>
      </c>
      <c r="AN159" s="110">
        <f t="shared" si="67"/>
        <v>16.285130220682387</v>
      </c>
      <c r="AO159" s="110">
        <f t="shared" si="67"/>
        <v>16.362397145027561</v>
      </c>
      <c r="AP159" s="110">
        <f t="shared" si="67"/>
        <v>15.740942769709182</v>
      </c>
      <c r="AQ159" s="111">
        <f>VLOOKUP(AK159,IDACI!$B$9:$C$29,2,FALSE)</f>
        <v>17.084413405029373</v>
      </c>
      <c r="AR159" s="237"/>
      <c r="AS159" s="237"/>
      <c r="AT159" s="237"/>
      <c r="AU159" s="237"/>
      <c r="AV159" s="237"/>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row>
    <row r="160" spans="1:76" ht="14.25" customHeight="1">
      <c r="A160" s="87"/>
      <c r="B160" s="48"/>
      <c r="C160" s="48"/>
      <c r="D160" s="40"/>
      <c r="E160" s="40"/>
      <c r="F160" s="40"/>
      <c r="G160" s="40"/>
      <c r="H160" s="40"/>
      <c r="I160" s="40"/>
      <c r="J160" s="1"/>
      <c r="K160" s="5"/>
      <c r="L160" s="5"/>
      <c r="M160" s="5"/>
      <c r="N160" s="5"/>
      <c r="O160" s="5"/>
      <c r="P160" s="5"/>
      <c r="Q160" s="5"/>
      <c r="R160" s="5"/>
      <c r="S160" s="5"/>
      <c r="T160" s="5"/>
      <c r="U160" s="86"/>
      <c r="V160" s="102"/>
      <c r="W160" s="218"/>
      <c r="AI160" s="56"/>
      <c r="AJ160" s="122"/>
      <c r="AK160" s="52" t="str">
        <f>Z4</f>
        <v>Selected LA- (none)</v>
      </c>
      <c r="AL160" s="110" t="e">
        <f>VLOOKUP($Y$4,$B$114:$O$134,AL$34,FALSE)</f>
        <v>#N/A</v>
      </c>
      <c r="AM160" s="110" t="e">
        <f>VLOOKUP($Y$4,$B$114:$O$134,AM$34,FALSE)</f>
        <v>#N/A</v>
      </c>
      <c r="AN160" s="110" t="e">
        <f>VLOOKUP($Y$4,$B$114:$O$134,AN$34,FALSE)</f>
        <v>#N/A</v>
      </c>
      <c r="AO160" s="110" t="e">
        <f>VLOOKUP($Y$4,$B$114:$O$134,AO$34,FALSE)</f>
        <v>#N/A</v>
      </c>
      <c r="AP160" s="110" t="e">
        <f>VLOOKUP($Y$4,$B$114:$O$134,AP$34,FALSE)</f>
        <v>#N/A</v>
      </c>
      <c r="AQ160" s="111" t="e">
        <f>VLOOKUP(AK160,IDACI!$B$9:$C$29,2,FALSE)</f>
        <v>#N/A</v>
      </c>
      <c r="AR160" s="237"/>
      <c r="AS160" s="237"/>
      <c r="AT160" s="237"/>
      <c r="AU160" s="237"/>
      <c r="AV160" s="237"/>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row>
    <row r="161" spans="1:76" s="56" customFormat="1" ht="14.25" customHeight="1">
      <c r="A161" s="87"/>
      <c r="B161" s="48"/>
      <c r="C161" s="48"/>
      <c r="D161" s="40"/>
      <c r="E161" s="40"/>
      <c r="F161" s="40"/>
      <c r="G161" s="40"/>
      <c r="H161" s="40"/>
      <c r="I161" s="40"/>
      <c r="J161" s="1"/>
      <c r="K161" s="5"/>
      <c r="L161" s="5"/>
      <c r="M161" s="5"/>
      <c r="N161" s="5"/>
      <c r="O161" s="5"/>
      <c r="P161" s="5"/>
      <c r="Q161" s="5"/>
      <c r="R161" s="5"/>
      <c r="S161" s="5"/>
      <c r="T161" s="5"/>
      <c r="U161" s="86"/>
      <c r="V161" s="102"/>
      <c r="W161" s="218"/>
      <c r="AJ161" s="815"/>
      <c r="AR161" s="237"/>
      <c r="AS161" s="237"/>
      <c r="AT161" s="237"/>
      <c r="AU161" s="237"/>
      <c r="AV161" s="237"/>
    </row>
    <row r="162" spans="1:76" s="56" customFormat="1" ht="14.25" customHeight="1">
      <c r="A162" s="87"/>
      <c r="B162" s="48"/>
      <c r="C162" s="48"/>
      <c r="D162" s="40"/>
      <c r="E162" s="40"/>
      <c r="F162" s="40"/>
      <c r="G162" s="40"/>
      <c r="H162" s="40"/>
      <c r="I162" s="40"/>
      <c r="J162" s="1"/>
      <c r="K162" s="5"/>
      <c r="L162" s="5"/>
      <c r="M162" s="5"/>
      <c r="N162" s="5"/>
      <c r="O162" s="5"/>
      <c r="P162" s="5"/>
      <c r="Q162" s="5"/>
      <c r="R162" s="5"/>
      <c r="S162" s="5"/>
      <c r="T162" s="5"/>
      <c r="U162" s="86"/>
      <c r="V162" s="102"/>
      <c r="W162" s="218"/>
      <c r="AJ162" s="815"/>
      <c r="AR162" s="237"/>
      <c r="AS162" s="237"/>
      <c r="AT162" s="237"/>
      <c r="AU162" s="237"/>
      <c r="AV162" s="237"/>
    </row>
    <row r="163" spans="1:76" s="56" customFormat="1" ht="2.25" customHeight="1">
      <c r="A163" s="87"/>
      <c r="B163" s="48"/>
      <c r="C163" s="48"/>
      <c r="D163" s="40"/>
      <c r="E163" s="40"/>
      <c r="F163" s="40"/>
      <c r="G163" s="40"/>
      <c r="H163" s="40"/>
      <c r="I163" s="40"/>
      <c r="J163" s="1"/>
      <c r="K163" s="5"/>
      <c r="L163" s="5"/>
      <c r="M163" s="5"/>
      <c r="N163" s="5"/>
      <c r="O163" s="5"/>
      <c r="P163" s="5"/>
      <c r="Q163" s="5"/>
      <c r="R163" s="5"/>
      <c r="S163" s="5"/>
      <c r="T163" s="5"/>
      <c r="U163" s="86"/>
      <c r="V163" s="102"/>
      <c r="W163" s="114"/>
      <c r="AJ163" s="815"/>
      <c r="AR163" s="132"/>
      <c r="AS163" s="132"/>
      <c r="AT163" s="132"/>
      <c r="AU163" s="132"/>
      <c r="AV163" s="132"/>
    </row>
    <row r="164" spans="1:76" s="56" customFormat="1" ht="14.25" customHeight="1">
      <c r="A164" s="87"/>
      <c r="B164" s="48"/>
      <c r="C164" s="48"/>
      <c r="D164" s="40"/>
      <c r="E164" s="40"/>
      <c r="F164" s="40"/>
      <c r="G164" s="40"/>
      <c r="H164" s="40"/>
      <c r="I164" s="40"/>
      <c r="J164" s="1"/>
      <c r="K164" s="79"/>
      <c r="L164" s="1913" t="s">
        <v>69</v>
      </c>
      <c r="M164" s="1914"/>
      <c r="N164" s="1914"/>
      <c r="O164" s="1915"/>
      <c r="P164" s="1171"/>
      <c r="Q164" s="1768" t="s">
        <v>93</v>
      </c>
      <c r="R164" s="1769"/>
      <c r="S164" s="1769"/>
      <c r="T164" s="1912"/>
      <c r="U164" s="86"/>
      <c r="V164" s="102"/>
      <c r="W164" s="114"/>
      <c r="AJ164" s="122"/>
    </row>
    <row r="165" spans="1:76" s="56" customFormat="1" ht="14.25" customHeight="1">
      <c r="A165" s="87"/>
      <c r="B165" s="48"/>
      <c r="C165" s="48"/>
      <c r="D165" s="40"/>
      <c r="E165" s="40"/>
      <c r="F165" s="40"/>
      <c r="G165" s="40"/>
      <c r="H165" s="40"/>
      <c r="I165" s="40"/>
      <c r="J165" s="1"/>
      <c r="K165" s="80"/>
      <c r="L165" s="1768" t="str">
        <f>Z4</f>
        <v>Selected LA- (none)</v>
      </c>
      <c r="M165" s="1769"/>
      <c r="N165" s="1769"/>
      <c r="O165" s="1912"/>
      <c r="P165" s="1172"/>
      <c r="Q165" s="1768" t="s">
        <v>167</v>
      </c>
      <c r="R165" s="1769"/>
      <c r="S165" s="1769"/>
      <c r="T165" s="1912"/>
      <c r="U165" s="86"/>
      <c r="V165" s="102"/>
      <c r="W165" s="115"/>
      <c r="X165" s="61"/>
      <c r="Y165" s="61"/>
      <c r="Z165" s="61"/>
      <c r="AA165" s="61"/>
      <c r="AB165" s="61"/>
      <c r="AC165" s="61"/>
      <c r="AD165" s="141"/>
      <c r="AE165" s="141"/>
      <c r="AF165" s="141"/>
      <c r="AG165" s="141"/>
      <c r="AH165" s="141"/>
      <c r="AI165" s="61"/>
      <c r="AJ165" s="12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row>
    <row r="166" spans="1:76" s="56" customFormat="1" ht="46.5" customHeight="1">
      <c r="A166" s="87"/>
      <c r="B166" s="48"/>
      <c r="C166" s="48"/>
      <c r="D166" s="40"/>
      <c r="E166" s="40"/>
      <c r="F166" s="40"/>
      <c r="G166" s="40"/>
      <c r="H166" s="40"/>
      <c r="I166" s="40"/>
      <c r="J166" s="1"/>
      <c r="K166" s="5"/>
      <c r="L166" s="5"/>
      <c r="M166" s="5"/>
      <c r="N166" s="5"/>
      <c r="O166" s="5"/>
      <c r="P166" s="5"/>
      <c r="Q166" s="5"/>
      <c r="R166" s="5"/>
      <c r="S166" s="5"/>
      <c r="T166" s="5"/>
      <c r="U166" s="86"/>
      <c r="V166" s="102"/>
      <c r="W166" s="247"/>
      <c r="X166" s="61"/>
      <c r="Y166" s="61"/>
      <c r="Z166" s="61"/>
      <c r="AA166" s="61"/>
      <c r="AB166" s="61"/>
      <c r="AC166" s="61"/>
      <c r="AD166" s="141"/>
      <c r="AE166" s="141"/>
      <c r="AF166" s="141"/>
      <c r="AG166" s="141"/>
      <c r="AH166" s="141"/>
      <c r="AI166" s="61"/>
      <c r="AJ166" s="12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row>
    <row r="167" spans="1:76" s="61" customFormat="1" ht="46.5" customHeight="1">
      <c r="A167" s="88"/>
      <c r="B167" s="78"/>
      <c r="C167" s="78"/>
      <c r="D167" s="78"/>
      <c r="E167" s="78"/>
      <c r="F167" s="78"/>
      <c r="G167" s="78"/>
      <c r="H167" s="78"/>
      <c r="I167" s="78"/>
      <c r="J167" s="68"/>
      <c r="K167" s="59"/>
      <c r="L167" s="59"/>
      <c r="M167" s="59"/>
      <c r="N167" s="59"/>
      <c r="O167" s="59"/>
      <c r="P167" s="59"/>
      <c r="Q167" s="59"/>
      <c r="R167" s="59"/>
      <c r="S167" s="59"/>
      <c r="T167" s="59"/>
      <c r="U167" s="89"/>
      <c r="V167" s="103"/>
      <c r="W167" s="114"/>
      <c r="AD167" s="56"/>
      <c r="AE167" s="56"/>
      <c r="AF167" s="56"/>
      <c r="AG167" s="56"/>
      <c r="AH167" s="56"/>
      <c r="AI167" s="52"/>
      <c r="AJ167" s="119"/>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row>
    <row r="168" spans="1:76" s="61" customFormat="1" ht="46.5" customHeight="1">
      <c r="A168" s="88"/>
      <c r="B168" s="78"/>
      <c r="C168" s="78"/>
      <c r="D168" s="78"/>
      <c r="E168" s="78"/>
      <c r="F168" s="78"/>
      <c r="G168" s="78"/>
      <c r="H168" s="78"/>
      <c r="I168" s="78"/>
      <c r="J168" s="68"/>
      <c r="K168" s="59"/>
      <c r="L168" s="59"/>
      <c r="M168" s="59"/>
      <c r="N168" s="59"/>
      <c r="O168" s="59"/>
      <c r="P168" s="59"/>
      <c r="Q168" s="59"/>
      <c r="R168" s="59"/>
      <c r="S168" s="59"/>
      <c r="T168" s="59"/>
      <c r="U168" s="89"/>
      <c r="V168" s="121"/>
      <c r="W168" s="114"/>
      <c r="AD168" s="56"/>
      <c r="AE168" s="56"/>
      <c r="AF168" s="56"/>
      <c r="AG168" s="56"/>
      <c r="AH168" s="56"/>
      <c r="AI168" s="52"/>
      <c r="AJ168" s="119"/>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row>
    <row r="169" spans="1:76" ht="7.5" customHeight="1">
      <c r="A169" s="87"/>
      <c r="B169" s="12"/>
      <c r="C169" s="12"/>
      <c r="D169" s="11"/>
      <c r="E169" s="11"/>
      <c r="F169" s="11"/>
      <c r="G169" s="11"/>
      <c r="H169" s="11"/>
      <c r="I169" s="11"/>
      <c r="J169" s="1"/>
      <c r="K169" s="13"/>
      <c r="L169" s="13"/>
      <c r="M169" s="13"/>
      <c r="N169" s="13"/>
      <c r="O169" s="13"/>
      <c r="P169" s="13"/>
      <c r="Q169" s="13"/>
      <c r="R169" s="13"/>
      <c r="S169" s="13"/>
      <c r="T169" s="14"/>
      <c r="U169" s="86"/>
      <c r="V169" s="185"/>
      <c r="W169" s="114"/>
      <c r="X169" s="61"/>
      <c r="Y169" s="61"/>
      <c r="Z169" s="61"/>
      <c r="AA169" s="61"/>
      <c r="AB169" s="61"/>
      <c r="AC169" s="61"/>
      <c r="AJ169" s="119"/>
    </row>
    <row r="170" spans="1:76" ht="15" customHeight="1">
      <c r="A170" s="1565"/>
      <c r="B170" s="1751"/>
      <c r="C170" s="1751"/>
      <c r="D170" s="1751"/>
      <c r="E170" s="1751"/>
      <c r="F170" s="1751"/>
      <c r="G170" s="1751"/>
      <c r="H170" s="1751"/>
      <c r="I170" s="1751"/>
      <c r="J170" s="1751"/>
      <c r="K170" s="1751"/>
      <c r="L170" s="1751"/>
      <c r="M170" s="1751"/>
      <c r="N170" s="1751"/>
      <c r="O170" s="1751"/>
      <c r="P170" s="1751"/>
      <c r="Q170" s="1751"/>
      <c r="R170" s="1751"/>
      <c r="S170" s="1751"/>
      <c r="T170" s="1751"/>
      <c r="U170" s="1752"/>
      <c r="V170" s="185"/>
      <c r="W170" s="114"/>
      <c r="X170" s="52"/>
      <c r="Y170" s="52"/>
      <c r="Z170" s="52"/>
      <c r="AJ170" s="119"/>
    </row>
    <row r="171" spans="1:76" ht="11.25" customHeight="1">
      <c r="A171" s="1739"/>
      <c r="B171" s="1740"/>
      <c r="C171" s="1740"/>
      <c r="D171" s="1740"/>
      <c r="E171" s="1740"/>
      <c r="F171" s="1740"/>
      <c r="G171" s="1740"/>
      <c r="H171" s="1740"/>
      <c r="I171" s="1741"/>
      <c r="J171" s="1740"/>
      <c r="K171" s="1740"/>
      <c r="L171" s="1740"/>
      <c r="M171" s="1740"/>
      <c r="N171" s="1740"/>
      <c r="O171" s="1740"/>
      <c r="P171" s="1742"/>
      <c r="Q171" s="1740"/>
      <c r="R171" s="1740"/>
      <c r="S171" s="1741"/>
      <c r="T171" s="1740"/>
      <c r="U171" s="1743"/>
      <c r="V171" s="185"/>
      <c r="W171" s="114"/>
      <c r="X171" s="52"/>
      <c r="Y171" s="52"/>
      <c r="Z171" s="52"/>
      <c r="AA171" s="52"/>
      <c r="AB171" s="52"/>
      <c r="AC171" s="52"/>
      <c r="AD171" s="52"/>
      <c r="AE171" s="52"/>
      <c r="AF171" s="52"/>
      <c r="AG171" s="52"/>
      <c r="AH171" s="52"/>
      <c r="AJ171" s="119"/>
    </row>
    <row r="172" spans="1:76" ht="11.25" customHeight="1">
      <c r="A172" s="81"/>
      <c r="B172" s="82"/>
      <c r="C172" s="82"/>
      <c r="D172" s="82"/>
      <c r="E172" s="82"/>
      <c r="F172" s="82"/>
      <c r="G172" s="82"/>
      <c r="H172" s="82"/>
      <c r="I172" s="82"/>
      <c r="J172" s="83"/>
      <c r="K172" s="82"/>
      <c r="L172" s="82"/>
      <c r="M172" s="82"/>
      <c r="N172" s="82"/>
      <c r="O172" s="82"/>
      <c r="P172" s="82"/>
      <c r="Q172" s="82"/>
      <c r="R172" s="82"/>
      <c r="S172" s="82"/>
      <c r="T172" s="82"/>
      <c r="U172" s="84"/>
      <c r="V172" s="102"/>
      <c r="W172" s="114"/>
      <c r="X172" s="52"/>
      <c r="Y172" s="52"/>
      <c r="Z172" s="146"/>
      <c r="AA172" s="146"/>
      <c r="AB172" s="147"/>
      <c r="AC172" s="147"/>
      <c r="AJ172" s="119"/>
    </row>
    <row r="173" spans="1:76" ht="15" customHeight="1">
      <c r="A173" s="87"/>
      <c r="B173" s="41"/>
      <c r="C173" s="47"/>
      <c r="D173" s="47"/>
      <c r="E173" s="47"/>
      <c r="F173" s="47"/>
      <c r="G173" s="47"/>
      <c r="H173" s="47"/>
      <c r="I173" s="47"/>
      <c r="J173" s="50"/>
      <c r="K173" s="50"/>
      <c r="L173" s="50"/>
      <c r="M173" s="50"/>
      <c r="N173" s="224"/>
      <c r="O173" s="50"/>
      <c r="P173" s="50"/>
      <c r="Q173" s="50"/>
      <c r="R173" s="50"/>
      <c r="S173" s="50"/>
      <c r="T173" s="50"/>
      <c r="U173" s="86"/>
      <c r="V173" s="102"/>
      <c r="W173" s="115"/>
      <c r="X173" s="52"/>
      <c r="Y173" s="52"/>
      <c r="Z173" s="146"/>
      <c r="AA173" s="146"/>
      <c r="AB173" s="147"/>
      <c r="AC173" s="147"/>
      <c r="AD173" s="149"/>
      <c r="AE173" s="141"/>
      <c r="AF173" s="141"/>
      <c r="AG173" s="141"/>
      <c r="AH173" s="141"/>
      <c r="AI173" s="61"/>
      <c r="AJ173" s="12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row>
    <row r="174" spans="1:76" ht="13.5" customHeight="1">
      <c r="A174" s="87"/>
      <c r="B174" s="47"/>
      <c r="C174" s="47"/>
      <c r="D174" s="47"/>
      <c r="E174" s="47"/>
      <c r="F174" s="47"/>
      <c r="G174" s="47"/>
      <c r="H174" s="47"/>
      <c r="I174" s="47"/>
      <c r="J174" s="50"/>
      <c r="K174" s="50"/>
      <c r="L174" s="50"/>
      <c r="M174" s="50"/>
      <c r="N174" s="224"/>
      <c r="O174" s="50"/>
      <c r="P174" s="50"/>
      <c r="Q174" s="50"/>
      <c r="R174" s="5"/>
      <c r="S174" s="50"/>
      <c r="T174" s="50"/>
      <c r="U174" s="86"/>
      <c r="V174" s="102"/>
      <c r="W174" s="115"/>
      <c r="X174" s="453"/>
      <c r="Y174" s="242" t="s">
        <v>112</v>
      </c>
      <c r="Z174" s="242" t="s">
        <v>113</v>
      </c>
      <c r="AA174" s="146"/>
      <c r="AB174" s="147"/>
      <c r="AC174" s="147"/>
      <c r="AD174" s="149"/>
      <c r="AE174" s="141"/>
      <c r="AF174" s="141"/>
      <c r="AG174" s="141"/>
      <c r="AH174" s="141"/>
      <c r="AI174" s="61"/>
      <c r="AJ174" s="12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row>
    <row r="175" spans="1:76" s="61" customFormat="1" ht="12" customHeight="1">
      <c r="A175" s="88"/>
      <c r="B175" s="47"/>
      <c r="C175" s="47"/>
      <c r="D175" s="47"/>
      <c r="E175" s="47"/>
      <c r="F175" s="47"/>
      <c r="G175" s="47"/>
      <c r="H175" s="47"/>
      <c r="I175" s="68"/>
      <c r="J175" s="68"/>
      <c r="K175" s="43"/>
      <c r="L175" s="43"/>
      <c r="M175" s="43"/>
      <c r="N175" s="43"/>
      <c r="O175" s="43"/>
      <c r="P175" s="43"/>
      <c r="Q175" s="225"/>
      <c r="R175" s="225"/>
      <c r="S175" s="120"/>
      <c r="T175" s="226"/>
      <c r="U175" s="89"/>
      <c r="V175" s="103"/>
      <c r="W175" s="115"/>
      <c r="X175" s="351" t="str">
        <f t="shared" ref="X175:X189" si="68">B114</f>
        <v>Bracknell Forest</v>
      </c>
      <c r="Y175" s="244" t="e">
        <f t="shared" ref="Y175:Y195" si="69">IF(X175=$Y$4,I114,#N/A)</f>
        <v>#N/A</v>
      </c>
      <c r="Z175" s="244" t="e">
        <f t="shared" ref="Z175:Z195" si="70">IF(X175=$Y$4,T114,#N/A)</f>
        <v>#N/A</v>
      </c>
      <c r="AA175" s="146"/>
      <c r="AB175" s="147"/>
      <c r="AC175" s="147"/>
      <c r="AD175" s="149"/>
      <c r="AE175" s="141"/>
      <c r="AF175" s="141"/>
      <c r="AG175" s="141"/>
      <c r="AH175" s="141"/>
      <c r="AJ175" s="121"/>
    </row>
    <row r="176" spans="1:76" s="61" customFormat="1" ht="24" customHeight="1">
      <c r="A176" s="88"/>
      <c r="B176" s="47"/>
      <c r="C176" s="47"/>
      <c r="D176" s="47"/>
      <c r="E176" s="47"/>
      <c r="F176" s="47"/>
      <c r="G176" s="47"/>
      <c r="H176" s="47"/>
      <c r="I176" s="68"/>
      <c r="J176" s="68"/>
      <c r="K176" s="127"/>
      <c r="L176" s="127"/>
      <c r="M176" s="127"/>
      <c r="N176" s="127"/>
      <c r="O176" s="127"/>
      <c r="P176" s="127"/>
      <c r="Q176" s="127"/>
      <c r="R176" s="128"/>
      <c r="S176" s="120"/>
      <c r="T176" s="127"/>
      <c r="U176" s="89"/>
      <c r="V176" s="103"/>
      <c r="W176" s="115"/>
      <c r="X176" s="351" t="str">
        <f t="shared" si="68"/>
        <v>Brighton &amp; Hove</v>
      </c>
      <c r="Y176" s="244" t="e">
        <f t="shared" si="69"/>
        <v>#N/A</v>
      </c>
      <c r="Z176" s="244" t="e">
        <f t="shared" si="70"/>
        <v>#N/A</v>
      </c>
      <c r="AA176" s="146"/>
      <c r="AB176" s="147"/>
      <c r="AC176" s="147"/>
      <c r="AD176" s="149"/>
      <c r="AE176" s="141"/>
      <c r="AF176" s="141"/>
      <c r="AG176" s="141"/>
      <c r="AH176" s="141"/>
      <c r="AJ176" s="121"/>
    </row>
    <row r="177" spans="1:44" s="61" customFormat="1" ht="12.75" customHeight="1">
      <c r="A177" s="88"/>
      <c r="B177" s="47"/>
      <c r="C177" s="47"/>
      <c r="D177" s="47"/>
      <c r="E177" s="47"/>
      <c r="F177" s="47"/>
      <c r="G177" s="47"/>
      <c r="H177" s="47"/>
      <c r="I177" s="68"/>
      <c r="J177" s="68"/>
      <c r="K177" s="127"/>
      <c r="L177" s="127"/>
      <c r="M177" s="127"/>
      <c r="N177" s="127"/>
      <c r="O177" s="127"/>
      <c r="P177" s="127"/>
      <c r="Q177" s="127"/>
      <c r="R177" s="128"/>
      <c r="S177" s="120"/>
      <c r="T177" s="127"/>
      <c r="U177" s="89"/>
      <c r="V177" s="103"/>
      <c r="W177" s="115"/>
      <c r="X177" s="351" t="str">
        <f t="shared" si="68"/>
        <v>Buckinghamshire</v>
      </c>
      <c r="Y177" s="244" t="e">
        <f t="shared" si="69"/>
        <v>#N/A</v>
      </c>
      <c r="Z177" s="244" t="e">
        <f t="shared" si="70"/>
        <v>#N/A</v>
      </c>
      <c r="AA177" s="146"/>
      <c r="AB177" s="147"/>
      <c r="AC177" s="147"/>
      <c r="AD177" s="149"/>
      <c r="AE177" s="141"/>
      <c r="AF177" s="141"/>
      <c r="AG177" s="141"/>
      <c r="AH177" s="141"/>
      <c r="AJ177" s="121"/>
    </row>
    <row r="178" spans="1:44" s="61" customFormat="1" ht="12.75" customHeight="1">
      <c r="A178" s="88"/>
      <c r="B178" s="47"/>
      <c r="C178" s="47"/>
      <c r="D178" s="47"/>
      <c r="E178" s="47"/>
      <c r="F178" s="47"/>
      <c r="G178" s="47"/>
      <c r="H178" s="47"/>
      <c r="I178" s="68"/>
      <c r="J178" s="68"/>
      <c r="K178" s="127"/>
      <c r="L178" s="127"/>
      <c r="M178" s="127"/>
      <c r="N178" s="127"/>
      <c r="O178" s="127"/>
      <c r="P178" s="127"/>
      <c r="Q178" s="127"/>
      <c r="R178" s="128"/>
      <c r="S178" s="120"/>
      <c r="T178" s="127"/>
      <c r="U178" s="89"/>
      <c r="V178" s="103"/>
      <c r="W178" s="115"/>
      <c r="X178" s="351" t="str">
        <f t="shared" si="68"/>
        <v>East Sussex</v>
      </c>
      <c r="Y178" s="244" t="e">
        <f t="shared" si="69"/>
        <v>#N/A</v>
      </c>
      <c r="Z178" s="244" t="e">
        <f t="shared" si="70"/>
        <v>#N/A</v>
      </c>
      <c r="AA178" s="146"/>
      <c r="AB178" s="147"/>
      <c r="AC178" s="147"/>
      <c r="AD178" s="149"/>
      <c r="AE178" s="141"/>
      <c r="AF178" s="141"/>
      <c r="AG178" s="141"/>
      <c r="AH178" s="141"/>
      <c r="AJ178" s="121"/>
    </row>
    <row r="179" spans="1:44" s="61" customFormat="1" ht="12.75" customHeight="1">
      <c r="A179" s="88"/>
      <c r="B179" s="47"/>
      <c r="C179" s="47"/>
      <c r="D179" s="47"/>
      <c r="E179" s="47"/>
      <c r="F179" s="47"/>
      <c r="G179" s="47"/>
      <c r="H179" s="47"/>
      <c r="I179" s="68"/>
      <c r="J179" s="68"/>
      <c r="K179" s="127"/>
      <c r="L179" s="127"/>
      <c r="M179" s="127"/>
      <c r="N179" s="127"/>
      <c r="O179" s="127"/>
      <c r="P179" s="127"/>
      <c r="Q179" s="127"/>
      <c r="R179" s="128"/>
      <c r="S179" s="120"/>
      <c r="T179" s="127"/>
      <c r="U179" s="89"/>
      <c r="V179" s="103"/>
      <c r="W179" s="115"/>
      <c r="X179" s="351" t="str">
        <f t="shared" si="68"/>
        <v>Hampshire</v>
      </c>
      <c r="Y179" s="244" t="e">
        <f t="shared" si="69"/>
        <v>#N/A</v>
      </c>
      <c r="Z179" s="244" t="e">
        <f t="shared" si="70"/>
        <v>#N/A</v>
      </c>
      <c r="AA179" s="146"/>
      <c r="AB179" s="147"/>
      <c r="AC179" s="147"/>
      <c r="AD179" s="149"/>
      <c r="AE179" s="141"/>
      <c r="AF179" s="141"/>
      <c r="AG179" s="141"/>
      <c r="AH179" s="141"/>
      <c r="AJ179" s="121"/>
      <c r="AR179" s="61" t="s">
        <v>95</v>
      </c>
    </row>
    <row r="180" spans="1:44" s="61" customFormat="1" ht="12.75" customHeight="1">
      <c r="A180" s="88"/>
      <c r="B180" s="47"/>
      <c r="C180" s="47"/>
      <c r="D180" s="47"/>
      <c r="E180" s="47"/>
      <c r="F180" s="47"/>
      <c r="G180" s="47"/>
      <c r="H180" s="47"/>
      <c r="I180" s="68"/>
      <c r="J180" s="68"/>
      <c r="K180" s="127"/>
      <c r="L180" s="127"/>
      <c r="M180" s="127"/>
      <c r="N180" s="127"/>
      <c r="O180" s="127"/>
      <c r="P180" s="127"/>
      <c r="Q180" s="127"/>
      <c r="R180" s="128"/>
      <c r="S180" s="120"/>
      <c r="T180" s="127"/>
      <c r="U180" s="89"/>
      <c r="V180" s="103"/>
      <c r="W180" s="115"/>
      <c r="X180" s="351" t="str">
        <f t="shared" si="68"/>
        <v>Isle of Wight</v>
      </c>
      <c r="Y180" s="244" t="e">
        <f t="shared" si="69"/>
        <v>#N/A</v>
      </c>
      <c r="Z180" s="244" t="e">
        <f t="shared" si="70"/>
        <v>#N/A</v>
      </c>
      <c r="AA180" s="146"/>
      <c r="AB180" s="147"/>
      <c r="AC180" s="147"/>
      <c r="AD180" s="149"/>
      <c r="AE180" s="141"/>
      <c r="AF180" s="141"/>
      <c r="AG180" s="141"/>
      <c r="AH180" s="141"/>
      <c r="AJ180" s="121"/>
    </row>
    <row r="181" spans="1:44" s="61" customFormat="1" ht="12.75" customHeight="1">
      <c r="A181" s="88"/>
      <c r="B181" s="47"/>
      <c r="C181" s="47"/>
      <c r="D181" s="47"/>
      <c r="E181" s="47"/>
      <c r="F181" s="47"/>
      <c r="G181" s="47"/>
      <c r="H181" s="47"/>
      <c r="I181" s="68"/>
      <c r="J181" s="68"/>
      <c r="K181" s="127"/>
      <c r="L181" s="127"/>
      <c r="M181" s="127"/>
      <c r="N181" s="127"/>
      <c r="O181" s="127"/>
      <c r="P181" s="127"/>
      <c r="Q181" s="127"/>
      <c r="R181" s="128"/>
      <c r="S181" s="120"/>
      <c r="T181" s="127"/>
      <c r="U181" s="89"/>
      <c r="V181" s="103"/>
      <c r="W181" s="115"/>
      <c r="X181" s="351" t="str">
        <f t="shared" si="68"/>
        <v>Kent</v>
      </c>
      <c r="Y181" s="244" t="e">
        <f t="shared" si="69"/>
        <v>#N/A</v>
      </c>
      <c r="Z181" s="244" t="e">
        <f t="shared" si="70"/>
        <v>#N/A</v>
      </c>
      <c r="AA181" s="146"/>
      <c r="AB181" s="147"/>
      <c r="AC181" s="147"/>
      <c r="AD181" s="149"/>
      <c r="AE181" s="141"/>
      <c r="AF181" s="141"/>
      <c r="AG181" s="141"/>
      <c r="AH181" s="141"/>
      <c r="AJ181" s="121"/>
    </row>
    <row r="182" spans="1:44" s="61" customFormat="1" ht="12.75" customHeight="1">
      <c r="A182" s="88"/>
      <c r="B182" s="47"/>
      <c r="C182" s="47"/>
      <c r="D182" s="47"/>
      <c r="E182" s="47"/>
      <c r="F182" s="47"/>
      <c r="G182" s="47"/>
      <c r="H182" s="47"/>
      <c r="I182" s="68"/>
      <c r="J182" s="68"/>
      <c r="K182" s="127"/>
      <c r="L182" s="127"/>
      <c r="M182" s="127"/>
      <c r="N182" s="127"/>
      <c r="O182" s="127"/>
      <c r="P182" s="127"/>
      <c r="Q182" s="127"/>
      <c r="R182" s="128"/>
      <c r="S182" s="120"/>
      <c r="T182" s="127"/>
      <c r="U182" s="89"/>
      <c r="V182" s="103"/>
      <c r="W182" s="115"/>
      <c r="X182" s="351" t="str">
        <f t="shared" si="68"/>
        <v>Medway</v>
      </c>
      <c r="Y182" s="244" t="e">
        <f t="shared" si="69"/>
        <v>#N/A</v>
      </c>
      <c r="Z182" s="244" t="e">
        <f t="shared" si="70"/>
        <v>#N/A</v>
      </c>
      <c r="AA182" s="146"/>
      <c r="AB182" s="147"/>
      <c r="AC182" s="147"/>
      <c r="AD182" s="149"/>
      <c r="AE182" s="141"/>
      <c r="AF182" s="141"/>
      <c r="AG182" s="141"/>
      <c r="AH182" s="141"/>
      <c r="AJ182" s="121"/>
    </row>
    <row r="183" spans="1:44" s="61" customFormat="1" ht="12.75" customHeight="1">
      <c r="A183" s="88"/>
      <c r="B183" s="47"/>
      <c r="C183" s="47"/>
      <c r="D183" s="47"/>
      <c r="E183" s="47"/>
      <c r="F183" s="47"/>
      <c r="G183" s="47"/>
      <c r="H183" s="47"/>
      <c r="I183" s="68"/>
      <c r="J183" s="68"/>
      <c r="K183" s="127"/>
      <c r="L183" s="127"/>
      <c r="M183" s="127"/>
      <c r="N183" s="127"/>
      <c r="O183" s="127"/>
      <c r="P183" s="127"/>
      <c r="Q183" s="127"/>
      <c r="R183" s="128"/>
      <c r="S183" s="120"/>
      <c r="T183" s="127"/>
      <c r="U183" s="89"/>
      <c r="V183" s="103"/>
      <c r="W183" s="115"/>
      <c r="X183" s="351" t="str">
        <f t="shared" si="68"/>
        <v>Milton Keynes</v>
      </c>
      <c r="Y183" s="244" t="e">
        <f t="shared" si="69"/>
        <v>#N/A</v>
      </c>
      <c r="Z183" s="244" t="e">
        <f t="shared" si="70"/>
        <v>#N/A</v>
      </c>
      <c r="AA183" s="146"/>
      <c r="AB183" s="147"/>
      <c r="AC183" s="147"/>
      <c r="AD183" s="149"/>
      <c r="AE183" s="141"/>
      <c r="AF183" s="141"/>
      <c r="AG183" s="141"/>
      <c r="AH183" s="141"/>
      <c r="AJ183" s="121"/>
    </row>
    <row r="184" spans="1:44" s="61" customFormat="1" ht="12.75" customHeight="1">
      <c r="A184" s="88"/>
      <c r="B184" s="47"/>
      <c r="C184" s="47"/>
      <c r="D184" s="47"/>
      <c r="E184" s="47"/>
      <c r="F184" s="47"/>
      <c r="G184" s="47"/>
      <c r="H184" s="47"/>
      <c r="I184" s="68"/>
      <c r="J184" s="68"/>
      <c r="K184" s="127"/>
      <c r="L184" s="127"/>
      <c r="M184" s="127"/>
      <c r="N184" s="127"/>
      <c r="O184" s="127"/>
      <c r="P184" s="127"/>
      <c r="Q184" s="127"/>
      <c r="R184" s="128"/>
      <c r="S184" s="120"/>
      <c r="T184" s="127"/>
      <c r="U184" s="89"/>
      <c r="V184" s="103"/>
      <c r="W184" s="115"/>
      <c r="X184" s="351" t="str">
        <f t="shared" si="68"/>
        <v>Oxfordshire</v>
      </c>
      <c r="Y184" s="244" t="e">
        <f t="shared" si="69"/>
        <v>#N/A</v>
      </c>
      <c r="Z184" s="244" t="e">
        <f t="shared" si="70"/>
        <v>#N/A</v>
      </c>
      <c r="AA184" s="146"/>
      <c r="AB184" s="147"/>
      <c r="AC184" s="147"/>
      <c r="AD184" s="149"/>
      <c r="AE184" s="141"/>
      <c r="AF184" s="141"/>
      <c r="AG184" s="141"/>
      <c r="AH184" s="141"/>
      <c r="AJ184" s="121"/>
    </row>
    <row r="185" spans="1:44" s="61" customFormat="1" ht="12.75" customHeight="1">
      <c r="A185" s="88"/>
      <c r="B185" s="47"/>
      <c r="C185" s="47"/>
      <c r="D185" s="47"/>
      <c r="E185" s="47"/>
      <c r="F185" s="47"/>
      <c r="G185" s="47"/>
      <c r="H185" s="47"/>
      <c r="I185" s="68"/>
      <c r="J185" s="68"/>
      <c r="K185" s="127"/>
      <c r="L185" s="127"/>
      <c r="M185" s="127"/>
      <c r="N185" s="127"/>
      <c r="O185" s="127"/>
      <c r="P185" s="127"/>
      <c r="Q185" s="127"/>
      <c r="R185" s="128"/>
      <c r="S185" s="120"/>
      <c r="T185" s="127"/>
      <c r="U185" s="89"/>
      <c r="V185" s="103"/>
      <c r="W185" s="115"/>
      <c r="X185" s="351" t="str">
        <f t="shared" si="68"/>
        <v>Portsmouth</v>
      </c>
      <c r="Y185" s="244" t="e">
        <f t="shared" si="69"/>
        <v>#N/A</v>
      </c>
      <c r="Z185" s="244" t="e">
        <f t="shared" si="70"/>
        <v>#N/A</v>
      </c>
      <c r="AA185" s="146"/>
      <c r="AB185" s="147"/>
      <c r="AC185" s="147"/>
      <c r="AD185" s="149"/>
      <c r="AE185" s="141"/>
      <c r="AF185" s="141"/>
      <c r="AG185" s="141"/>
      <c r="AH185" s="141"/>
      <c r="AJ185" s="121"/>
    </row>
    <row r="186" spans="1:44" s="61" customFormat="1" ht="12.75" customHeight="1">
      <c r="A186" s="88"/>
      <c r="B186" s="47"/>
      <c r="C186" s="47"/>
      <c r="D186" s="47"/>
      <c r="E186" s="47"/>
      <c r="F186" s="47"/>
      <c r="G186" s="47"/>
      <c r="H186" s="47"/>
      <c r="I186" s="68"/>
      <c r="J186" s="68"/>
      <c r="K186" s="127"/>
      <c r="L186" s="127"/>
      <c r="M186" s="127"/>
      <c r="N186" s="127"/>
      <c r="O186" s="127"/>
      <c r="P186" s="127"/>
      <c r="Q186" s="127"/>
      <c r="R186" s="128"/>
      <c r="S186" s="120"/>
      <c r="T186" s="127"/>
      <c r="U186" s="89"/>
      <c r="V186" s="103"/>
      <c r="W186" s="115"/>
      <c r="X186" s="351" t="str">
        <f t="shared" si="68"/>
        <v>Reading</v>
      </c>
      <c r="Y186" s="244" t="e">
        <f t="shared" si="69"/>
        <v>#N/A</v>
      </c>
      <c r="Z186" s="244" t="e">
        <f t="shared" si="70"/>
        <v>#N/A</v>
      </c>
      <c r="AA186" s="146"/>
      <c r="AB186" s="147"/>
      <c r="AC186" s="147"/>
      <c r="AD186" s="149"/>
      <c r="AE186" s="141"/>
      <c r="AF186" s="141"/>
      <c r="AG186" s="141"/>
      <c r="AH186" s="141"/>
      <c r="AJ186" s="121"/>
    </row>
    <row r="187" spans="1:44" s="61" customFormat="1" ht="12.75" customHeight="1">
      <c r="A187" s="88"/>
      <c r="B187" s="47"/>
      <c r="C187" s="47"/>
      <c r="D187" s="47"/>
      <c r="E187" s="47"/>
      <c r="F187" s="47"/>
      <c r="G187" s="47"/>
      <c r="H187" s="47"/>
      <c r="I187" s="68"/>
      <c r="J187" s="68"/>
      <c r="K187" s="127"/>
      <c r="L187" s="127"/>
      <c r="M187" s="127"/>
      <c r="N187" s="127"/>
      <c r="O187" s="127"/>
      <c r="P187" s="127"/>
      <c r="Q187" s="127"/>
      <c r="R187" s="128"/>
      <c r="S187" s="120"/>
      <c r="T187" s="127"/>
      <c r="U187" s="89"/>
      <c r="V187" s="103"/>
      <c r="W187" s="115"/>
      <c r="X187" s="351" t="str">
        <f t="shared" si="68"/>
        <v>Slough</v>
      </c>
      <c r="Y187" s="244" t="e">
        <f t="shared" si="69"/>
        <v>#N/A</v>
      </c>
      <c r="Z187" s="244" t="e">
        <f t="shared" si="70"/>
        <v>#N/A</v>
      </c>
      <c r="AA187" s="146"/>
      <c r="AB187" s="147"/>
      <c r="AC187" s="147"/>
      <c r="AD187" s="149"/>
      <c r="AE187" s="141"/>
      <c r="AF187" s="141"/>
      <c r="AG187" s="141"/>
      <c r="AH187" s="141"/>
      <c r="AJ187" s="121"/>
    </row>
    <row r="188" spans="1:44" s="61" customFormat="1" ht="12.75" customHeight="1">
      <c r="A188" s="88"/>
      <c r="B188" s="47"/>
      <c r="C188" s="47"/>
      <c r="D188" s="47"/>
      <c r="E188" s="47"/>
      <c r="F188" s="47"/>
      <c r="G188" s="47"/>
      <c r="H188" s="47"/>
      <c r="I188" s="68"/>
      <c r="J188" s="68"/>
      <c r="K188" s="127"/>
      <c r="L188" s="127"/>
      <c r="M188" s="127"/>
      <c r="N188" s="127"/>
      <c r="O188" s="127"/>
      <c r="P188" s="127"/>
      <c r="Q188" s="127"/>
      <c r="R188" s="128"/>
      <c r="S188" s="120"/>
      <c r="T188" s="127"/>
      <c r="U188" s="89"/>
      <c r="V188" s="103"/>
      <c r="W188" s="115"/>
      <c r="X188" s="351" t="str">
        <f t="shared" si="68"/>
        <v>Southampton</v>
      </c>
      <c r="Y188" s="244" t="e">
        <f t="shared" si="69"/>
        <v>#N/A</v>
      </c>
      <c r="Z188" s="244" t="e">
        <f t="shared" si="70"/>
        <v>#N/A</v>
      </c>
      <c r="AA188" s="146"/>
      <c r="AB188" s="147"/>
      <c r="AC188" s="147"/>
      <c r="AD188" s="149"/>
      <c r="AE188" s="141"/>
      <c r="AF188" s="141"/>
      <c r="AG188" s="141"/>
      <c r="AH188" s="141"/>
      <c r="AJ188" s="121"/>
    </row>
    <row r="189" spans="1:44" s="61" customFormat="1" ht="12.75" customHeight="1">
      <c r="A189" s="88"/>
      <c r="B189" s="47"/>
      <c r="C189" s="47"/>
      <c r="D189" s="47"/>
      <c r="E189" s="47"/>
      <c r="F189" s="47"/>
      <c r="G189" s="47"/>
      <c r="H189" s="47"/>
      <c r="I189" s="68"/>
      <c r="J189" s="68"/>
      <c r="K189" s="127"/>
      <c r="L189" s="127"/>
      <c r="M189" s="127"/>
      <c r="N189" s="127"/>
      <c r="O189" s="127"/>
      <c r="P189" s="127"/>
      <c r="Q189" s="127"/>
      <c r="R189" s="128"/>
      <c r="S189" s="120"/>
      <c r="T189" s="127"/>
      <c r="U189" s="89"/>
      <c r="V189" s="103"/>
      <c r="W189" s="115"/>
      <c r="X189" s="351" t="str">
        <f t="shared" si="68"/>
        <v>Surrey</v>
      </c>
      <c r="Y189" s="244" t="e">
        <f t="shared" si="69"/>
        <v>#N/A</v>
      </c>
      <c r="Z189" s="244" t="e">
        <f t="shared" si="70"/>
        <v>#N/A</v>
      </c>
      <c r="AA189" s="146"/>
      <c r="AB189" s="147"/>
      <c r="AC189" s="147"/>
      <c r="AD189" s="149"/>
      <c r="AE189" s="141"/>
      <c r="AF189" s="141"/>
      <c r="AG189" s="141"/>
      <c r="AH189" s="141"/>
      <c r="AJ189" s="121"/>
    </row>
    <row r="190" spans="1:44" s="61" customFormat="1" ht="12.75" customHeight="1">
      <c r="A190" s="88"/>
      <c r="B190" s="47"/>
      <c r="C190" s="47"/>
      <c r="D190" s="47"/>
      <c r="E190" s="47"/>
      <c r="F190" s="47"/>
      <c r="G190" s="47"/>
      <c r="H190" s="47"/>
      <c r="I190" s="68"/>
      <c r="J190" s="68"/>
      <c r="K190" s="127"/>
      <c r="L190" s="127"/>
      <c r="M190" s="127"/>
      <c r="N190" s="127"/>
      <c r="O190" s="127"/>
      <c r="P190" s="127"/>
      <c r="Q190" s="127"/>
      <c r="R190" s="128"/>
      <c r="S190" s="120"/>
      <c r="T190" s="127"/>
      <c r="U190" s="89"/>
      <c r="V190" s="103"/>
      <c r="W190" s="115"/>
      <c r="X190" s="351" t="str">
        <f t="shared" ref="X190:X195" si="71">B129</f>
        <v>West Berkshire</v>
      </c>
      <c r="Y190" s="244" t="e">
        <f t="shared" si="69"/>
        <v>#N/A</v>
      </c>
      <c r="Z190" s="244" t="e">
        <f t="shared" si="70"/>
        <v>#N/A</v>
      </c>
      <c r="AA190" s="146"/>
      <c r="AB190" s="147"/>
      <c r="AC190" s="147"/>
      <c r="AD190" s="149"/>
      <c r="AE190" s="141"/>
      <c r="AF190" s="141"/>
      <c r="AG190" s="141"/>
      <c r="AH190" s="141"/>
      <c r="AJ190" s="121"/>
    </row>
    <row r="191" spans="1:44" s="61" customFormat="1" ht="12.75" customHeight="1">
      <c r="A191" s="88"/>
      <c r="B191" s="47"/>
      <c r="C191" s="47"/>
      <c r="D191" s="47"/>
      <c r="E191" s="47"/>
      <c r="F191" s="47"/>
      <c r="G191" s="47"/>
      <c r="H191" s="47"/>
      <c r="I191" s="68"/>
      <c r="J191" s="68"/>
      <c r="K191" s="127"/>
      <c r="L191" s="127"/>
      <c r="M191" s="127"/>
      <c r="N191" s="127"/>
      <c r="O191" s="127"/>
      <c r="P191" s="127"/>
      <c r="Q191" s="127"/>
      <c r="R191" s="128"/>
      <c r="S191" s="120"/>
      <c r="T191" s="127"/>
      <c r="U191" s="89"/>
      <c r="V191" s="103"/>
      <c r="W191" s="115"/>
      <c r="X191" s="351" t="str">
        <f t="shared" si="71"/>
        <v>West Sussex</v>
      </c>
      <c r="Y191" s="244" t="e">
        <f t="shared" si="69"/>
        <v>#N/A</v>
      </c>
      <c r="Z191" s="244" t="e">
        <f t="shared" si="70"/>
        <v>#N/A</v>
      </c>
      <c r="AA191" s="146"/>
      <c r="AB191" s="147"/>
      <c r="AC191" s="147"/>
      <c r="AD191" s="149"/>
      <c r="AE191" s="141"/>
      <c r="AF191" s="141"/>
      <c r="AG191" s="141"/>
      <c r="AH191" s="141"/>
      <c r="AJ191" s="121"/>
    </row>
    <row r="192" spans="1:44" s="61" customFormat="1" ht="12.75" customHeight="1">
      <c r="A192" s="217"/>
      <c r="B192" s="47"/>
      <c r="C192" s="47"/>
      <c r="D192" s="47"/>
      <c r="E192" s="47"/>
      <c r="F192" s="47"/>
      <c r="G192" s="47"/>
      <c r="H192" s="47"/>
      <c r="I192" s="68"/>
      <c r="J192" s="68"/>
      <c r="K192" s="127"/>
      <c r="L192" s="127"/>
      <c r="M192" s="127"/>
      <c r="N192" s="127"/>
      <c r="O192" s="127"/>
      <c r="P192" s="127"/>
      <c r="Q192" s="127"/>
      <c r="R192" s="128"/>
      <c r="S192" s="120"/>
      <c r="T192" s="127"/>
      <c r="U192" s="89"/>
      <c r="V192" s="103"/>
      <c r="W192" s="115"/>
      <c r="X192" s="351" t="str">
        <f t="shared" si="71"/>
        <v>Windsor &amp; Maidenhead</v>
      </c>
      <c r="Y192" s="244" t="e">
        <f t="shared" si="69"/>
        <v>#N/A</v>
      </c>
      <c r="Z192" s="244" t="e">
        <f t="shared" si="70"/>
        <v>#N/A</v>
      </c>
      <c r="AA192" s="146"/>
      <c r="AB192" s="147"/>
      <c r="AC192" s="147"/>
      <c r="AD192" s="149"/>
      <c r="AF192" s="141"/>
      <c r="AG192" s="141"/>
      <c r="AH192" s="141"/>
      <c r="AJ192" s="121"/>
    </row>
    <row r="193" spans="1:76" s="61" customFormat="1" ht="12.75" customHeight="1">
      <c r="A193" s="217"/>
      <c r="B193" s="47"/>
      <c r="C193" s="47"/>
      <c r="D193" s="47"/>
      <c r="E193" s="47"/>
      <c r="F193" s="47"/>
      <c r="G193" s="47"/>
      <c r="H193" s="47"/>
      <c r="I193" s="68"/>
      <c r="J193" s="68"/>
      <c r="K193" s="127"/>
      <c r="L193" s="127"/>
      <c r="M193" s="127"/>
      <c r="N193" s="127"/>
      <c r="O193" s="127"/>
      <c r="P193" s="127"/>
      <c r="Q193" s="127"/>
      <c r="R193" s="128"/>
      <c r="S193" s="120"/>
      <c r="T193" s="127"/>
      <c r="U193" s="89"/>
      <c r="V193" s="103"/>
      <c r="W193" s="115"/>
      <c r="X193" s="351" t="str">
        <f t="shared" si="71"/>
        <v>Wokingham</v>
      </c>
      <c r="Y193" s="244" t="e">
        <f t="shared" si="69"/>
        <v>#N/A</v>
      </c>
      <c r="Z193" s="244" t="e">
        <f t="shared" si="70"/>
        <v>#N/A</v>
      </c>
      <c r="AA193" s="146"/>
      <c r="AB193" s="147"/>
      <c r="AC193" s="147"/>
      <c r="AD193" s="149"/>
      <c r="AF193" s="141"/>
      <c r="AG193" s="141"/>
      <c r="AH193" s="141"/>
      <c r="AJ193" s="121"/>
    </row>
    <row r="194" spans="1:76" s="61" customFormat="1" ht="12.75" customHeight="1">
      <c r="A194" s="88"/>
      <c r="B194" s="47"/>
      <c r="C194" s="47"/>
      <c r="D194" s="47"/>
      <c r="E194" s="47"/>
      <c r="F194" s="47"/>
      <c r="G194" s="47"/>
      <c r="H194" s="47"/>
      <c r="I194" s="68"/>
      <c r="J194" s="68"/>
      <c r="K194" s="127"/>
      <c r="L194" s="127"/>
      <c r="M194" s="127"/>
      <c r="N194" s="127"/>
      <c r="O194" s="127"/>
      <c r="P194" s="127"/>
      <c r="Q194" s="127"/>
      <c r="R194" s="128"/>
      <c r="S194" s="120"/>
      <c r="T194" s="127"/>
      <c r="U194" s="89"/>
      <c r="V194" s="103"/>
      <c r="W194" s="115"/>
      <c r="X194" s="351" t="str">
        <f t="shared" si="71"/>
        <v>South East</v>
      </c>
      <c r="Y194" s="244" t="e">
        <f t="shared" si="69"/>
        <v>#N/A</v>
      </c>
      <c r="Z194" s="244" t="e">
        <f t="shared" si="70"/>
        <v>#N/A</v>
      </c>
      <c r="AA194" s="146"/>
      <c r="AB194" s="147"/>
      <c r="AC194" s="147"/>
      <c r="AD194" s="149"/>
      <c r="AH194" s="141"/>
      <c r="AJ194" s="121"/>
    </row>
    <row r="195" spans="1:76" s="61" customFormat="1" ht="12.75" customHeight="1">
      <c r="A195" s="88"/>
      <c r="B195" s="47"/>
      <c r="C195" s="47"/>
      <c r="D195" s="47"/>
      <c r="E195" s="47"/>
      <c r="F195" s="47"/>
      <c r="G195" s="47"/>
      <c r="H195" s="47"/>
      <c r="I195" s="68"/>
      <c r="J195" s="68"/>
      <c r="K195" s="127"/>
      <c r="L195" s="127"/>
      <c r="M195" s="127"/>
      <c r="N195" s="127"/>
      <c r="O195" s="127"/>
      <c r="P195" s="127"/>
      <c r="Q195" s="127"/>
      <c r="R195" s="128"/>
      <c r="S195" s="120"/>
      <c r="T195" s="127"/>
      <c r="U195" s="89"/>
      <c r="V195" s="103"/>
      <c r="W195" s="115"/>
      <c r="X195" s="351" t="str">
        <f t="shared" si="71"/>
        <v>England</v>
      </c>
      <c r="Y195" s="244" t="e">
        <f t="shared" si="69"/>
        <v>#N/A</v>
      </c>
      <c r="Z195" s="244" t="e">
        <f t="shared" si="70"/>
        <v>#N/A</v>
      </c>
      <c r="AA195" s="146"/>
      <c r="AB195" s="147"/>
      <c r="AC195" s="147"/>
      <c r="AD195" s="149"/>
      <c r="AH195" s="141"/>
      <c r="AJ195" s="121"/>
    </row>
    <row r="196" spans="1:76" s="61" customFormat="1" ht="12.75" customHeight="1">
      <c r="A196" s="88"/>
      <c r="B196" s="47"/>
      <c r="C196" s="47"/>
      <c r="D196" s="47"/>
      <c r="E196" s="47"/>
      <c r="F196" s="47"/>
      <c r="G196" s="47"/>
      <c r="H196" s="47"/>
      <c r="I196" s="68"/>
      <c r="J196" s="68"/>
      <c r="K196" s="127"/>
      <c r="L196" s="127"/>
      <c r="M196" s="127"/>
      <c r="N196" s="127"/>
      <c r="O196" s="127"/>
      <c r="P196" s="127"/>
      <c r="Q196" s="127"/>
      <c r="R196" s="128"/>
      <c r="S196" s="120"/>
      <c r="T196" s="127"/>
      <c r="U196" s="89"/>
      <c r="V196" s="103"/>
      <c r="W196" s="115"/>
      <c r="AA196" s="146"/>
      <c r="AB196" s="147"/>
      <c r="AC196" s="147"/>
      <c r="AD196" s="149"/>
      <c r="AH196" s="141"/>
      <c r="AJ196" s="121"/>
    </row>
    <row r="197" spans="1:76" s="61" customFormat="1" ht="12.75" customHeight="1">
      <c r="A197" s="88"/>
      <c r="B197" s="47"/>
      <c r="C197" s="47"/>
      <c r="D197" s="47"/>
      <c r="E197" s="47"/>
      <c r="F197" s="47"/>
      <c r="G197" s="47"/>
      <c r="H197" s="47"/>
      <c r="I197" s="68"/>
      <c r="J197" s="68"/>
      <c r="K197" s="127"/>
      <c r="L197" s="127"/>
      <c r="M197" s="127"/>
      <c r="N197" s="127"/>
      <c r="O197" s="127"/>
      <c r="P197" s="127"/>
      <c r="Q197" s="127"/>
      <c r="R197" s="128"/>
      <c r="S197" s="120"/>
      <c r="T197" s="127"/>
      <c r="U197" s="89"/>
      <c r="V197" s="103"/>
      <c r="W197" s="114"/>
      <c r="X197" s="56"/>
      <c r="Y197" s="56"/>
      <c r="Z197" s="56"/>
      <c r="AA197" s="56"/>
      <c r="AB197" s="147"/>
      <c r="AC197" s="147"/>
      <c r="AD197" s="149"/>
      <c r="AH197" s="141"/>
      <c r="AJ197" s="121"/>
    </row>
    <row r="198" spans="1:76" s="61" customFormat="1" ht="12.75" customHeight="1">
      <c r="A198" s="88"/>
      <c r="B198" s="47"/>
      <c r="C198" s="47"/>
      <c r="D198" s="47"/>
      <c r="E198" s="47"/>
      <c r="F198" s="47"/>
      <c r="G198" s="47"/>
      <c r="H198" s="47"/>
      <c r="I198" s="68"/>
      <c r="J198" s="68"/>
      <c r="K198" s="129"/>
      <c r="L198" s="129"/>
      <c r="M198" s="129"/>
      <c r="N198" s="129"/>
      <c r="O198" s="129"/>
      <c r="P198" s="129"/>
      <c r="Q198" s="129"/>
      <c r="R198" s="130"/>
      <c r="S198" s="120"/>
      <c r="T198" s="131"/>
      <c r="U198" s="89"/>
      <c r="V198" s="103"/>
      <c r="W198" s="114"/>
      <c r="X198" s="56"/>
      <c r="Y198" s="141"/>
      <c r="Z198" s="56"/>
      <c r="AA198" s="56"/>
      <c r="AB198" s="147"/>
      <c r="AC198" s="147"/>
      <c r="AD198" s="149"/>
      <c r="AH198" s="141"/>
      <c r="AJ198" s="121"/>
    </row>
    <row r="199" spans="1:76" s="61" customFormat="1" ht="12.75" customHeight="1">
      <c r="A199" s="88"/>
      <c r="B199" s="47"/>
      <c r="C199" s="47"/>
      <c r="D199" s="47"/>
      <c r="E199" s="47"/>
      <c r="F199" s="47"/>
      <c r="G199" s="47"/>
      <c r="H199" s="47"/>
      <c r="I199" s="68"/>
      <c r="J199" s="68"/>
      <c r="K199" s="129"/>
      <c r="L199" s="129"/>
      <c r="M199" s="129"/>
      <c r="N199" s="129"/>
      <c r="O199" s="129"/>
      <c r="P199" s="129"/>
      <c r="Q199" s="129"/>
      <c r="R199" s="130"/>
      <c r="S199" s="120"/>
      <c r="T199" s="131"/>
      <c r="U199" s="89"/>
      <c r="V199" s="103"/>
      <c r="W199" s="114"/>
      <c r="X199" s="56"/>
      <c r="Y199" s="141"/>
      <c r="Z199" s="56"/>
      <c r="AA199" s="56"/>
      <c r="AB199" s="56"/>
      <c r="AC199" s="147"/>
      <c r="AD199" s="149"/>
      <c r="AE199" s="52"/>
      <c r="AF199" s="52"/>
      <c r="AG199" s="52"/>
      <c r="AH199" s="56"/>
      <c r="AI199" s="52"/>
      <c r="AJ199" s="122"/>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row>
    <row r="200" spans="1:76" s="61" customFormat="1" ht="11.25" customHeight="1">
      <c r="A200" s="217"/>
      <c r="B200" s="47"/>
      <c r="C200" s="47"/>
      <c r="D200" s="47"/>
      <c r="E200" s="47"/>
      <c r="F200" s="47"/>
      <c r="G200" s="47"/>
      <c r="H200" s="47"/>
      <c r="I200" s="68"/>
      <c r="J200" s="68"/>
      <c r="K200" s="129"/>
      <c r="L200" s="129"/>
      <c r="M200" s="129"/>
      <c r="N200" s="129"/>
      <c r="O200" s="129"/>
      <c r="P200" s="129"/>
      <c r="Q200" s="129"/>
      <c r="R200" s="130"/>
      <c r="S200" s="120"/>
      <c r="T200" s="131"/>
      <c r="U200" s="89"/>
      <c r="V200" s="103"/>
      <c r="W200" s="114"/>
      <c r="X200" s="56"/>
      <c r="Y200" s="141"/>
      <c r="Z200" s="56"/>
      <c r="AA200" s="56"/>
      <c r="AB200" s="56"/>
      <c r="AC200" s="56"/>
      <c r="AD200" s="149"/>
      <c r="AE200" s="52"/>
      <c r="AF200" s="52"/>
      <c r="AG200" s="52"/>
      <c r="AH200" s="56"/>
      <c r="AI200" s="52"/>
      <c r="AJ200" s="122"/>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row>
    <row r="201" spans="1:76" s="56" customFormat="1" ht="35.450000000000003" customHeight="1">
      <c r="A201" s="166"/>
      <c r="B201" s="47"/>
      <c r="C201" s="47"/>
      <c r="D201" s="47"/>
      <c r="E201" s="47"/>
      <c r="F201" s="47"/>
      <c r="G201" s="47"/>
      <c r="H201" s="47"/>
      <c r="I201" s="171"/>
      <c r="J201" s="133"/>
      <c r="K201" s="133"/>
      <c r="L201" s="133"/>
      <c r="M201" s="133"/>
      <c r="N201" s="133"/>
      <c r="O201" s="133"/>
      <c r="P201" s="133"/>
      <c r="Q201" s="133"/>
      <c r="R201" s="101"/>
      <c r="S201" s="133"/>
      <c r="T201" s="133"/>
      <c r="U201" s="86"/>
      <c r="V201" s="102"/>
      <c r="W201" s="114"/>
      <c r="X201" s="52"/>
      <c r="Y201" s="52"/>
      <c r="AD201" s="149"/>
      <c r="AE201" s="52"/>
      <c r="AF201" s="52"/>
      <c r="AG201" s="52"/>
      <c r="AI201" s="52"/>
      <c r="AJ201" s="122"/>
    </row>
    <row r="202" spans="1:76" s="56" customFormat="1" ht="36.6" customHeight="1">
      <c r="A202" s="166"/>
      <c r="B202" s="47"/>
      <c r="C202" s="47"/>
      <c r="D202" s="47"/>
      <c r="E202" s="47"/>
      <c r="F202" s="47"/>
      <c r="G202" s="47"/>
      <c r="H202" s="47"/>
      <c r="I202" s="171"/>
      <c r="J202" s="133"/>
      <c r="K202" s="133"/>
      <c r="L202" s="133"/>
      <c r="M202" s="133"/>
      <c r="N202" s="133"/>
      <c r="O202" s="133"/>
      <c r="P202" s="133"/>
      <c r="Q202" s="133"/>
      <c r="R202" s="101"/>
      <c r="S202" s="133"/>
      <c r="T202" s="133"/>
      <c r="U202" s="86"/>
      <c r="V202" s="102"/>
      <c r="W202" s="114"/>
      <c r="X202" s="52"/>
      <c r="Y202" s="52"/>
      <c r="AI202" s="52"/>
      <c r="AJ202" s="119"/>
      <c r="AK202" s="52"/>
      <c r="AL202" s="52"/>
      <c r="AM202" s="52"/>
      <c r="AN202" s="52"/>
      <c r="AO202" s="52"/>
      <c r="AP202" s="52"/>
      <c r="AQ202" s="52"/>
    </row>
    <row r="203" spans="1:76" s="56" customFormat="1" ht="45" customHeight="1">
      <c r="A203" s="166"/>
      <c r="B203" s="171"/>
      <c r="C203" s="171"/>
      <c r="D203" s="171"/>
      <c r="E203" s="171"/>
      <c r="F203" s="171"/>
      <c r="G203" s="171"/>
      <c r="H203" s="171"/>
      <c r="I203" s="171"/>
      <c r="J203" s="133"/>
      <c r="K203" s="133"/>
      <c r="L203" s="133"/>
      <c r="M203" s="133"/>
      <c r="N203" s="133"/>
      <c r="O203" s="133"/>
      <c r="P203" s="133"/>
      <c r="Q203" s="133"/>
      <c r="R203" s="101"/>
      <c r="S203" s="133"/>
      <c r="T203" s="133"/>
      <c r="U203" s="86"/>
      <c r="V203" s="121"/>
      <c r="W203" s="114"/>
      <c r="AJ203" s="122"/>
      <c r="AS203" s="52"/>
    </row>
    <row r="204" spans="1:76" s="56" customFormat="1" ht="7.5" customHeight="1">
      <c r="A204" s="87"/>
      <c r="B204" s="12"/>
      <c r="C204" s="12"/>
      <c r="D204" s="11"/>
      <c r="E204" s="11"/>
      <c r="F204" s="11"/>
      <c r="G204" s="11"/>
      <c r="H204" s="11"/>
      <c r="I204" s="11"/>
      <c r="J204" s="1"/>
      <c r="K204" s="13"/>
      <c r="L204" s="13"/>
      <c r="M204" s="13"/>
      <c r="N204" s="13"/>
      <c r="O204" s="13"/>
      <c r="P204" s="13"/>
      <c r="Q204" s="13"/>
      <c r="R204" s="13"/>
      <c r="S204" s="13"/>
      <c r="T204" s="14"/>
      <c r="U204" s="86"/>
      <c r="V204" s="185"/>
      <c r="W204" s="114"/>
      <c r="AI204" s="52"/>
      <c r="AJ204" s="121"/>
      <c r="AK204" s="61"/>
      <c r="AS204" s="52"/>
    </row>
    <row r="205" spans="1:76" s="56" customFormat="1" ht="15" customHeight="1">
      <c r="A205" s="1565"/>
      <c r="B205" s="1751"/>
      <c r="C205" s="1751"/>
      <c r="D205" s="1751"/>
      <c r="E205" s="1751"/>
      <c r="F205" s="1751"/>
      <c r="G205" s="1751"/>
      <c r="H205" s="1751"/>
      <c r="I205" s="1751"/>
      <c r="J205" s="1751"/>
      <c r="K205" s="1751"/>
      <c r="L205" s="1751"/>
      <c r="M205" s="1751"/>
      <c r="N205" s="1751"/>
      <c r="O205" s="1751"/>
      <c r="P205" s="1751"/>
      <c r="Q205" s="1751"/>
      <c r="R205" s="1751"/>
      <c r="S205" s="1751"/>
      <c r="T205" s="1751"/>
      <c r="U205" s="1752"/>
      <c r="V205" s="185"/>
      <c r="W205" s="114"/>
      <c r="AE205" s="57"/>
      <c r="AH205" s="52"/>
      <c r="AI205" s="52"/>
      <c r="AJ205" s="119"/>
      <c r="AK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c r="BX205" s="52"/>
    </row>
    <row r="206" spans="1:76" s="56" customFormat="1" ht="11.25" customHeight="1">
      <c r="A206" s="1739"/>
      <c r="B206" s="1740"/>
      <c r="C206" s="1740"/>
      <c r="D206" s="1740"/>
      <c r="E206" s="1740"/>
      <c r="F206" s="1740"/>
      <c r="G206" s="1740"/>
      <c r="H206" s="1740"/>
      <c r="I206" s="1741"/>
      <c r="J206" s="1740"/>
      <c r="K206" s="1740"/>
      <c r="L206" s="1740"/>
      <c r="M206" s="1740"/>
      <c r="N206" s="1740"/>
      <c r="O206" s="1740"/>
      <c r="P206" s="1742"/>
      <c r="Q206" s="1740"/>
      <c r="R206" s="1740"/>
      <c r="S206" s="1741"/>
      <c r="T206" s="1740"/>
      <c r="U206" s="1743"/>
      <c r="V206" s="185"/>
      <c r="W206" s="114"/>
      <c r="AE206" s="57"/>
      <c r="AH206" s="52"/>
      <c r="AI206" s="52"/>
      <c r="AJ206" s="119"/>
      <c r="AK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row>
    <row r="207" spans="1:76" ht="11.25" customHeight="1">
      <c r="A207" s="106"/>
      <c r="B207" s="705"/>
      <c r="C207" s="5"/>
      <c r="D207" s="5"/>
      <c r="E207" s="9"/>
      <c r="F207" s="5"/>
      <c r="G207" s="40"/>
      <c r="H207" s="554"/>
      <c r="I207" s="40"/>
      <c r="J207" s="40"/>
      <c r="K207" s="40"/>
      <c r="L207" s="40"/>
      <c r="M207" s="40"/>
      <c r="N207" s="40"/>
      <c r="O207" s="40"/>
      <c r="P207" s="40"/>
      <c r="Q207" s="40"/>
      <c r="R207" s="40"/>
      <c r="S207" s="40"/>
      <c r="T207" s="40"/>
      <c r="U207" s="40"/>
      <c r="V207" s="119"/>
      <c r="W207" s="114"/>
      <c r="AE207" s="57"/>
      <c r="AH207" s="52"/>
      <c r="AJ207" s="119"/>
      <c r="AL207" s="56"/>
      <c r="AM207" s="56"/>
      <c r="AN207" s="56"/>
      <c r="AO207" s="56"/>
      <c r="AP207" s="56"/>
      <c r="AQ207" s="56"/>
    </row>
    <row r="208" spans="1:76" ht="11.25" customHeight="1">
      <c r="A208" s="106"/>
      <c r="B208" s="705"/>
      <c r="C208" s="5"/>
      <c r="D208" s="5"/>
      <c r="E208" s="9"/>
      <c r="F208" s="5"/>
      <c r="G208" s="40"/>
      <c r="H208" s="554"/>
      <c r="I208" s="40"/>
      <c r="J208" s="40"/>
      <c r="K208" s="40"/>
      <c r="L208" s="40"/>
      <c r="M208" s="40"/>
      <c r="N208" s="40"/>
      <c r="O208" s="40"/>
      <c r="P208" s="40"/>
      <c r="Q208" s="40"/>
      <c r="R208" s="40"/>
      <c r="S208" s="40"/>
      <c r="T208" s="40"/>
      <c r="U208" s="40"/>
      <c r="V208" s="119"/>
      <c r="W208" s="114"/>
      <c r="AE208" s="57"/>
      <c r="AH208" s="52"/>
      <c r="AJ208" s="119"/>
    </row>
    <row r="209" spans="1:36" ht="11.25" customHeight="1">
      <c r="A209" s="106"/>
      <c r="B209" s="1317"/>
      <c r="C209" s="5"/>
      <c r="D209" s="5"/>
      <c r="E209" s="9"/>
      <c r="F209" s="5"/>
      <c r="G209" s="40"/>
      <c r="H209" s="554"/>
      <c r="I209" s="40"/>
      <c r="J209" s="40"/>
      <c r="K209" s="40"/>
      <c r="L209" s="40"/>
      <c r="M209" s="40"/>
      <c r="N209" s="40"/>
      <c r="O209" s="40"/>
      <c r="P209" s="40"/>
      <c r="Q209" s="40"/>
      <c r="R209" s="40"/>
      <c r="S209" s="40"/>
      <c r="T209" s="40"/>
      <c r="U209" s="40"/>
      <c r="V209" s="119"/>
      <c r="W209" s="116"/>
      <c r="AE209" s="57"/>
      <c r="AH209" s="52"/>
      <c r="AJ209" s="119"/>
    </row>
    <row r="210" spans="1:36" ht="11.25" customHeight="1">
      <c r="A210" s="106"/>
      <c r="B210" s="1318"/>
      <c r="C210" s="5"/>
      <c r="D210" s="5"/>
      <c r="E210" s="9"/>
      <c r="F210" s="2"/>
      <c r="G210" s="554"/>
      <c r="H210" s="554"/>
      <c r="I210" s="40"/>
      <c r="J210" s="40"/>
      <c r="K210" s="40"/>
      <c r="L210" s="40"/>
      <c r="M210" s="40"/>
      <c r="N210" s="40"/>
      <c r="O210" s="40"/>
      <c r="P210" s="40"/>
      <c r="Q210" s="40"/>
      <c r="R210" s="40"/>
      <c r="S210" s="40"/>
      <c r="T210" s="40"/>
      <c r="U210" s="40"/>
      <c r="V210" s="119"/>
      <c r="W210" s="114"/>
      <c r="AE210" s="57"/>
      <c r="AH210" s="52"/>
      <c r="AJ210" s="119"/>
    </row>
    <row r="211" spans="1:36" ht="11.25" customHeight="1">
      <c r="A211" s="106"/>
      <c r="B211" s="420"/>
      <c r="C211" s="420"/>
      <c r="D211" s="420"/>
      <c r="E211" s="420"/>
      <c r="F211" s="420"/>
      <c r="G211" s="420"/>
      <c r="H211" s="554"/>
      <c r="I211" s="40"/>
      <c r="J211" s="40"/>
      <c r="K211" s="40"/>
      <c r="L211" s="40"/>
      <c r="M211" s="40"/>
      <c r="N211" s="40"/>
      <c r="O211" s="40"/>
      <c r="P211" s="40"/>
      <c r="Q211" s="40"/>
      <c r="R211" s="40"/>
      <c r="S211" s="40"/>
      <c r="T211" s="40"/>
      <c r="U211" s="40"/>
      <c r="V211" s="119"/>
      <c r="W211" s="114"/>
      <c r="AE211" s="57"/>
      <c r="AH211" s="52"/>
      <c r="AJ211" s="119"/>
    </row>
    <row r="212" spans="1:36" ht="11.25" customHeight="1">
      <c r="A212" s="106"/>
      <c r="B212" s="420"/>
      <c r="C212" s="420"/>
      <c r="D212" s="420"/>
      <c r="E212" s="420"/>
      <c r="F212" s="420"/>
      <c r="G212" s="420"/>
      <c r="H212" s="554"/>
      <c r="I212" s="40"/>
      <c r="J212" s="40"/>
      <c r="K212" s="40"/>
      <c r="L212" s="40"/>
      <c r="M212" s="40"/>
      <c r="N212" s="40"/>
      <c r="O212" s="40"/>
      <c r="P212" s="40"/>
      <c r="Q212" s="40"/>
      <c r="R212" s="40"/>
      <c r="S212" s="40"/>
      <c r="T212" s="40"/>
      <c r="U212" s="40"/>
      <c r="V212" s="119"/>
      <c r="W212" s="114"/>
      <c r="AE212" s="57"/>
      <c r="AH212" s="52"/>
      <c r="AJ212" s="119"/>
    </row>
    <row r="213" spans="1:36" ht="11.25" customHeight="1">
      <c r="A213" s="106"/>
      <c r="B213" s="420"/>
      <c r="C213" s="420"/>
      <c r="D213" s="420"/>
      <c r="E213" s="420"/>
      <c r="F213" s="420"/>
      <c r="G213" s="420"/>
      <c r="H213" s="554"/>
      <c r="I213" s="40"/>
      <c r="J213" s="40"/>
      <c r="K213" s="40"/>
      <c r="L213" s="40"/>
      <c r="M213" s="40"/>
      <c r="N213" s="40"/>
      <c r="O213" s="40"/>
      <c r="P213" s="40"/>
      <c r="Q213" s="40"/>
      <c r="R213" s="40"/>
      <c r="S213" s="40"/>
      <c r="T213" s="40"/>
      <c r="U213" s="40"/>
      <c r="V213" s="119"/>
      <c r="W213" s="114"/>
      <c r="Z213" s="52"/>
      <c r="AA213" s="52"/>
      <c r="AE213" s="57"/>
      <c r="AH213" s="52"/>
      <c r="AJ213" s="119"/>
    </row>
    <row r="214" spans="1:36" ht="11.25" customHeight="1">
      <c r="A214" s="106"/>
      <c r="B214" s="420"/>
      <c r="C214" s="420"/>
      <c r="D214" s="420"/>
      <c r="E214" s="420"/>
      <c r="F214" s="420"/>
      <c r="G214" s="420"/>
      <c r="H214" s="554"/>
      <c r="I214" s="40"/>
      <c r="J214" s="40"/>
      <c r="K214" s="40"/>
      <c r="L214" s="40"/>
      <c r="M214" s="40"/>
      <c r="N214" s="40"/>
      <c r="O214" s="40"/>
      <c r="P214" s="40"/>
      <c r="Q214" s="40"/>
      <c r="R214" s="40"/>
      <c r="S214" s="40"/>
      <c r="T214" s="40"/>
      <c r="U214" s="40"/>
      <c r="V214" s="119"/>
      <c r="W214" s="114"/>
      <c r="Z214" s="52"/>
      <c r="AA214" s="52"/>
      <c r="AE214" s="57"/>
      <c r="AH214" s="52"/>
      <c r="AJ214" s="119"/>
    </row>
    <row r="215" spans="1:36" ht="11.25" customHeight="1">
      <c r="A215" s="106"/>
      <c r="B215" s="420"/>
      <c r="C215" s="420"/>
      <c r="D215" s="420"/>
      <c r="E215" s="420"/>
      <c r="F215" s="420"/>
      <c r="G215" s="420"/>
      <c r="H215" s="554"/>
      <c r="I215" s="40"/>
      <c r="J215" s="40"/>
      <c r="K215" s="40"/>
      <c r="L215" s="40"/>
      <c r="M215" s="40"/>
      <c r="N215" s="40"/>
      <c r="O215" s="40"/>
      <c r="P215" s="40"/>
      <c r="Q215" s="40"/>
      <c r="R215" s="40"/>
      <c r="S215" s="40"/>
      <c r="T215" s="40"/>
      <c r="U215" s="40"/>
      <c r="V215" s="119"/>
      <c r="W215" s="114"/>
      <c r="Z215" s="52"/>
      <c r="AA215" s="52"/>
      <c r="AE215" s="57"/>
      <c r="AH215" s="52"/>
      <c r="AJ215" s="119"/>
    </row>
    <row r="216" spans="1:36" ht="11.25" customHeight="1">
      <c r="A216" s="106"/>
      <c r="B216" s="420"/>
      <c r="C216" s="420"/>
      <c r="D216" s="420"/>
      <c r="E216" s="420"/>
      <c r="F216" s="420"/>
      <c r="G216" s="420"/>
      <c r="H216" s="554"/>
      <c r="I216" s="40"/>
      <c r="J216" s="40"/>
      <c r="K216" s="40"/>
      <c r="L216" s="40"/>
      <c r="M216" s="40"/>
      <c r="N216" s="40"/>
      <c r="O216" s="40"/>
      <c r="P216" s="40"/>
      <c r="Q216" s="40"/>
      <c r="R216" s="40"/>
      <c r="S216" s="40"/>
      <c r="T216" s="40"/>
      <c r="U216" s="40"/>
      <c r="V216" s="119"/>
      <c r="W216" s="114"/>
      <c r="Z216" s="52"/>
      <c r="AA216" s="52"/>
      <c r="AE216" s="57"/>
      <c r="AH216" s="52"/>
      <c r="AJ216" s="119"/>
    </row>
    <row r="217" spans="1:36" ht="11.25" customHeight="1">
      <c r="A217" s="106"/>
      <c r="B217" s="420"/>
      <c r="C217" s="420"/>
      <c r="D217" s="420"/>
      <c r="E217" s="420"/>
      <c r="F217" s="420"/>
      <c r="G217" s="420"/>
      <c r="H217" s="554"/>
      <c r="I217" s="40"/>
      <c r="J217" s="40"/>
      <c r="K217" s="40"/>
      <c r="L217" s="40"/>
      <c r="M217" s="40"/>
      <c r="N217" s="40"/>
      <c r="O217" s="40"/>
      <c r="P217" s="40"/>
      <c r="Q217" s="40"/>
      <c r="R217" s="40"/>
      <c r="S217" s="40"/>
      <c r="T217" s="40"/>
      <c r="U217" s="40"/>
      <c r="V217" s="119"/>
      <c r="W217" s="114"/>
      <c r="Z217" s="52"/>
      <c r="AA217" s="52"/>
      <c r="AE217" s="57"/>
      <c r="AH217" s="52"/>
      <c r="AJ217" s="119"/>
    </row>
    <row r="218" spans="1:36" ht="11.25" customHeight="1">
      <c r="A218" s="106"/>
      <c r="B218" s="420"/>
      <c r="C218" s="420"/>
      <c r="D218" s="420"/>
      <c r="E218" s="420"/>
      <c r="F218" s="420"/>
      <c r="G218" s="420"/>
      <c r="H218" s="554"/>
      <c r="I218" s="40"/>
      <c r="J218" s="40"/>
      <c r="K218" s="40"/>
      <c r="L218" s="40"/>
      <c r="M218" s="40"/>
      <c r="N218" s="40"/>
      <c r="O218" s="40"/>
      <c r="P218" s="40"/>
      <c r="Q218" s="40"/>
      <c r="R218" s="40"/>
      <c r="S218" s="40"/>
      <c r="T218" s="40"/>
      <c r="U218" s="40"/>
      <c r="V218" s="119"/>
      <c r="W218" s="114"/>
      <c r="Z218" s="52"/>
      <c r="AA218" s="52"/>
      <c r="AE218" s="57"/>
      <c r="AH218" s="52"/>
      <c r="AJ218" s="119"/>
    </row>
    <row r="219" spans="1:36" ht="11.25" customHeight="1">
      <c r="A219" s="106"/>
      <c r="B219" s="420"/>
      <c r="C219" s="420"/>
      <c r="D219" s="420"/>
      <c r="E219" s="420"/>
      <c r="F219" s="420"/>
      <c r="G219" s="420"/>
      <c r="H219" s="554"/>
      <c r="I219" s="40"/>
      <c r="J219" s="40"/>
      <c r="K219" s="40"/>
      <c r="L219" s="40"/>
      <c r="M219" s="40"/>
      <c r="N219" s="40"/>
      <c r="O219" s="40"/>
      <c r="P219" s="40"/>
      <c r="Q219" s="40"/>
      <c r="R219" s="40"/>
      <c r="S219" s="40"/>
      <c r="T219" s="40"/>
      <c r="U219" s="40"/>
      <c r="V219" s="119"/>
      <c r="W219" s="114"/>
      <c r="AE219" s="57"/>
      <c r="AH219" s="52"/>
      <c r="AJ219" s="119"/>
    </row>
    <row r="220" spans="1:36" ht="11.25" customHeight="1">
      <c r="A220" s="106"/>
      <c r="B220" s="420"/>
      <c r="C220" s="420"/>
      <c r="D220" s="420"/>
      <c r="E220" s="420"/>
      <c r="F220" s="420"/>
      <c r="G220" s="420"/>
      <c r="H220" s="554"/>
      <c r="I220" s="40"/>
      <c r="J220" s="40"/>
      <c r="K220" s="40"/>
      <c r="L220" s="40"/>
      <c r="M220" s="40"/>
      <c r="N220" s="40"/>
      <c r="O220" s="40"/>
      <c r="P220" s="40"/>
      <c r="Q220" s="40"/>
      <c r="R220" s="40"/>
      <c r="S220" s="40"/>
      <c r="T220" s="40"/>
      <c r="U220" s="40"/>
      <c r="V220" s="119"/>
      <c r="W220" s="114"/>
      <c r="AE220" s="57"/>
      <c r="AH220" s="52"/>
      <c r="AJ220" s="119"/>
    </row>
    <row r="221" spans="1:36" ht="11.25" customHeight="1">
      <c r="A221" s="106"/>
      <c r="B221" s="420"/>
      <c r="C221" s="420"/>
      <c r="D221" s="420"/>
      <c r="E221" s="420"/>
      <c r="F221" s="420"/>
      <c r="G221" s="420"/>
      <c r="H221" s="554"/>
      <c r="I221" s="40"/>
      <c r="J221" s="40"/>
      <c r="K221" s="40"/>
      <c r="L221" s="40"/>
      <c r="M221" s="40"/>
      <c r="N221" s="40"/>
      <c r="O221" s="40"/>
      <c r="P221" s="40"/>
      <c r="Q221" s="40"/>
      <c r="R221" s="40"/>
      <c r="S221" s="40"/>
      <c r="T221" s="40"/>
      <c r="U221" s="40"/>
      <c r="V221" s="119"/>
      <c r="W221" s="114"/>
      <c r="AE221" s="57"/>
      <c r="AH221" s="52"/>
      <c r="AJ221" s="119"/>
    </row>
    <row r="222" spans="1:36" ht="11.25" customHeight="1">
      <c r="A222" s="106"/>
      <c r="B222" s="420"/>
      <c r="C222" s="420"/>
      <c r="D222" s="420"/>
      <c r="E222" s="420"/>
      <c r="F222" s="420"/>
      <c r="G222" s="420"/>
      <c r="H222" s="554"/>
      <c r="I222" s="40"/>
      <c r="J222" s="40"/>
      <c r="K222" s="40"/>
      <c r="L222" s="40"/>
      <c r="M222" s="40"/>
      <c r="N222" s="40"/>
      <c r="O222" s="40"/>
      <c r="P222" s="40"/>
      <c r="Q222" s="40"/>
      <c r="R222" s="40"/>
      <c r="S222" s="40"/>
      <c r="T222" s="40"/>
      <c r="U222" s="40"/>
      <c r="V222" s="119"/>
      <c r="W222" s="114"/>
      <c r="AE222" s="57"/>
      <c r="AH222" s="52"/>
      <c r="AJ222" s="119"/>
    </row>
    <row r="223" spans="1:36" ht="11.25" customHeight="1">
      <c r="A223" s="106"/>
      <c r="B223" s="420"/>
      <c r="C223" s="420"/>
      <c r="D223" s="420"/>
      <c r="E223" s="420"/>
      <c r="F223" s="420"/>
      <c r="G223" s="420"/>
      <c r="H223" s="554"/>
      <c r="I223" s="40"/>
      <c r="J223" s="40"/>
      <c r="K223" s="40"/>
      <c r="L223" s="40"/>
      <c r="M223" s="40"/>
      <c r="N223" s="40"/>
      <c r="O223" s="40"/>
      <c r="P223" s="40"/>
      <c r="Q223" s="40"/>
      <c r="R223" s="40"/>
      <c r="S223" s="40"/>
      <c r="T223" s="40"/>
      <c r="U223" s="40"/>
      <c r="V223" s="119"/>
      <c r="W223" s="114"/>
      <c r="AE223" s="57"/>
      <c r="AH223" s="52"/>
      <c r="AJ223" s="119"/>
    </row>
    <row r="224" spans="1:36" ht="11.25" customHeight="1">
      <c r="A224" s="106"/>
      <c r="B224" s="420"/>
      <c r="C224" s="420"/>
      <c r="D224" s="420"/>
      <c r="E224" s="420"/>
      <c r="F224" s="420"/>
      <c r="G224" s="420"/>
      <c r="H224" s="554"/>
      <c r="I224" s="40"/>
      <c r="J224" s="40"/>
      <c r="K224" s="40"/>
      <c r="L224" s="40"/>
      <c r="M224" s="40"/>
      <c r="N224" s="40"/>
      <c r="O224" s="40"/>
      <c r="P224" s="40"/>
      <c r="Q224" s="40"/>
      <c r="R224" s="40"/>
      <c r="S224" s="40"/>
      <c r="T224" s="40"/>
      <c r="U224" s="40"/>
      <c r="V224" s="119"/>
      <c r="W224" s="114"/>
      <c r="AE224" s="57"/>
      <c r="AH224" s="52"/>
      <c r="AJ224" s="119"/>
    </row>
    <row r="225" spans="1:36" ht="11.25" customHeight="1">
      <c r="A225" s="106"/>
      <c r="B225" s="420"/>
      <c r="C225" s="420"/>
      <c r="D225" s="420"/>
      <c r="E225" s="420"/>
      <c r="F225" s="420"/>
      <c r="G225" s="420"/>
      <c r="H225" s="554"/>
      <c r="I225" s="40"/>
      <c r="J225" s="40"/>
      <c r="K225" s="40"/>
      <c r="L225" s="40"/>
      <c r="M225" s="40"/>
      <c r="N225" s="40"/>
      <c r="O225" s="40"/>
      <c r="P225" s="40"/>
      <c r="Q225" s="40"/>
      <c r="R225" s="40"/>
      <c r="S225" s="40"/>
      <c r="T225" s="40"/>
      <c r="U225" s="40"/>
      <c r="V225" s="119"/>
      <c r="W225" s="114"/>
      <c r="AE225" s="57"/>
      <c r="AH225" s="52"/>
      <c r="AJ225" s="119"/>
    </row>
    <row r="226" spans="1:36" ht="11.25" customHeight="1">
      <c r="A226" s="106"/>
      <c r="B226" s="420"/>
      <c r="C226" s="420"/>
      <c r="D226" s="420"/>
      <c r="E226" s="420"/>
      <c r="F226" s="420"/>
      <c r="G226" s="420"/>
      <c r="H226" s="554"/>
      <c r="I226" s="40"/>
      <c r="J226" s="40"/>
      <c r="K226" s="40"/>
      <c r="L226" s="40"/>
      <c r="M226" s="40"/>
      <c r="N226" s="40"/>
      <c r="O226" s="40"/>
      <c r="P226" s="40"/>
      <c r="Q226" s="40"/>
      <c r="R226" s="40"/>
      <c r="S226" s="40"/>
      <c r="T226" s="40"/>
      <c r="U226" s="40"/>
      <c r="V226" s="119"/>
      <c r="W226" s="114"/>
      <c r="AE226" s="57"/>
      <c r="AH226" s="52"/>
      <c r="AJ226" s="119"/>
    </row>
    <row r="227" spans="1:36" ht="11.25" customHeight="1">
      <c r="A227" s="106"/>
      <c r="B227" s="420"/>
      <c r="C227" s="420"/>
      <c r="D227" s="420"/>
      <c r="E227" s="420"/>
      <c r="F227" s="420"/>
      <c r="G227" s="420"/>
      <c r="H227" s="554"/>
      <c r="I227" s="40"/>
      <c r="J227" s="40"/>
      <c r="K227" s="40"/>
      <c r="L227" s="40"/>
      <c r="M227" s="40"/>
      <c r="N227" s="40"/>
      <c r="O227" s="40"/>
      <c r="P227" s="40"/>
      <c r="Q227" s="40"/>
      <c r="R227" s="40"/>
      <c r="S227" s="40"/>
      <c r="T227" s="40"/>
      <c r="U227" s="40"/>
      <c r="V227" s="119"/>
      <c r="W227" s="114"/>
      <c r="AE227" s="57"/>
      <c r="AH227" s="52"/>
      <c r="AJ227" s="119"/>
    </row>
    <row r="228" spans="1:36" ht="11.25" customHeight="1">
      <c r="A228" s="106"/>
      <c r="B228" s="420"/>
      <c r="C228" s="420"/>
      <c r="D228" s="420"/>
      <c r="E228" s="420"/>
      <c r="F228" s="420"/>
      <c r="G228" s="420"/>
      <c r="H228" s="554"/>
      <c r="I228" s="40"/>
      <c r="J228" s="40"/>
      <c r="K228" s="40"/>
      <c r="L228" s="40"/>
      <c r="M228" s="40"/>
      <c r="N228" s="40"/>
      <c r="O228" s="40"/>
      <c r="P228" s="40"/>
      <c r="Q228" s="40"/>
      <c r="R228" s="40"/>
      <c r="S228" s="40"/>
      <c r="T228" s="40"/>
      <c r="U228" s="40"/>
      <c r="V228" s="119"/>
      <c r="W228" s="114"/>
      <c r="AE228" s="57"/>
      <c r="AH228" s="52"/>
      <c r="AJ228" s="119"/>
    </row>
    <row r="229" spans="1:36" ht="11.25" customHeight="1">
      <c r="A229" s="106"/>
      <c r="B229" s="420"/>
      <c r="C229" s="420"/>
      <c r="D229" s="420"/>
      <c r="E229" s="420"/>
      <c r="F229" s="420"/>
      <c r="G229" s="420"/>
      <c r="H229" s="554"/>
      <c r="I229" s="40"/>
      <c r="J229" s="40"/>
      <c r="K229" s="40"/>
      <c r="L229" s="40"/>
      <c r="M229" s="40"/>
      <c r="N229" s="40"/>
      <c r="O229" s="40"/>
      <c r="P229" s="40"/>
      <c r="Q229" s="40"/>
      <c r="R229" s="40"/>
      <c r="S229" s="40"/>
      <c r="T229" s="40"/>
      <c r="U229" s="40"/>
      <c r="V229" s="119"/>
      <c r="W229" s="114"/>
      <c r="AE229" s="57"/>
      <c r="AH229" s="52"/>
      <c r="AJ229" s="119"/>
    </row>
    <row r="230" spans="1:36" ht="11.25" customHeight="1">
      <c r="A230" s="106"/>
      <c r="B230" s="420"/>
      <c r="C230" s="420"/>
      <c r="D230" s="420"/>
      <c r="E230" s="420"/>
      <c r="F230" s="420"/>
      <c r="G230" s="420"/>
      <c r="H230" s="554"/>
      <c r="I230" s="40"/>
      <c r="J230" s="40"/>
      <c r="K230" s="40"/>
      <c r="L230" s="40"/>
      <c r="M230" s="40"/>
      <c r="N230" s="40"/>
      <c r="O230" s="40"/>
      <c r="P230" s="40"/>
      <c r="Q230" s="40"/>
      <c r="R230" s="40"/>
      <c r="S230" s="40"/>
      <c r="T230" s="40"/>
      <c r="U230" s="40"/>
      <c r="V230" s="119"/>
      <c r="W230" s="114"/>
      <c r="AE230" s="57"/>
      <c r="AH230" s="52"/>
      <c r="AJ230" s="119"/>
    </row>
    <row r="231" spans="1:36" ht="11.25" customHeight="1">
      <c r="A231" s="106"/>
      <c r="B231" s="420"/>
      <c r="C231" s="420"/>
      <c r="D231" s="420"/>
      <c r="E231" s="420"/>
      <c r="F231" s="420"/>
      <c r="G231" s="420"/>
      <c r="H231" s="554"/>
      <c r="I231" s="40"/>
      <c r="J231" s="40"/>
      <c r="K231" s="40"/>
      <c r="L231" s="40"/>
      <c r="M231" s="40"/>
      <c r="N231" s="40"/>
      <c r="O231" s="40"/>
      <c r="P231" s="40"/>
      <c r="Q231" s="40"/>
      <c r="R231" s="40"/>
      <c r="S231" s="40"/>
      <c r="T231" s="40"/>
      <c r="U231" s="40"/>
      <c r="V231" s="119"/>
      <c r="W231" s="114"/>
      <c r="AE231" s="57"/>
      <c r="AH231" s="52"/>
      <c r="AJ231" s="119"/>
    </row>
    <row r="232" spans="1:36" ht="11.25" customHeight="1">
      <c r="A232" s="106"/>
      <c r="B232" s="420"/>
      <c r="C232" s="420"/>
      <c r="D232" s="420"/>
      <c r="E232" s="420"/>
      <c r="F232" s="420"/>
      <c r="G232" s="420"/>
      <c r="H232" s="554"/>
      <c r="I232" s="40"/>
      <c r="J232" s="40"/>
      <c r="K232" s="40"/>
      <c r="L232" s="40"/>
      <c r="M232" s="40"/>
      <c r="N232" s="40"/>
      <c r="O232" s="40"/>
      <c r="P232" s="40"/>
      <c r="Q232" s="40"/>
      <c r="R232" s="40"/>
      <c r="S232" s="40"/>
      <c r="T232" s="40"/>
      <c r="U232" s="40"/>
      <c r="V232" s="119"/>
      <c r="W232" s="114"/>
      <c r="AE232" s="57"/>
      <c r="AH232" s="52"/>
      <c r="AJ232" s="119"/>
    </row>
    <row r="233" spans="1:36" ht="11.25" customHeight="1">
      <c r="A233" s="106"/>
      <c r="B233" s="420"/>
      <c r="C233" s="420"/>
      <c r="D233" s="420"/>
      <c r="E233" s="420"/>
      <c r="F233" s="420"/>
      <c r="G233" s="420"/>
      <c r="H233" s="554"/>
      <c r="I233" s="40"/>
      <c r="J233" s="40"/>
      <c r="K233" s="40"/>
      <c r="L233" s="40"/>
      <c r="M233" s="40"/>
      <c r="N233" s="40"/>
      <c r="O233" s="40"/>
      <c r="P233" s="40"/>
      <c r="Q233" s="40"/>
      <c r="R233" s="40"/>
      <c r="S233" s="40"/>
      <c r="T233" s="40"/>
      <c r="U233" s="40"/>
      <c r="V233" s="119"/>
      <c r="W233" s="114"/>
      <c r="AE233" s="57"/>
      <c r="AH233" s="52"/>
      <c r="AJ233" s="119"/>
    </row>
    <row r="234" spans="1:36" ht="11.25" customHeight="1">
      <c r="A234" s="106"/>
      <c r="B234" s="420"/>
      <c r="C234" s="420"/>
      <c r="D234" s="420"/>
      <c r="E234" s="420"/>
      <c r="F234" s="420"/>
      <c r="G234" s="420"/>
      <c r="H234" s="554"/>
      <c r="I234" s="40"/>
      <c r="J234" s="40"/>
      <c r="K234" s="40"/>
      <c r="L234" s="40"/>
      <c r="M234" s="40"/>
      <c r="N234" s="40"/>
      <c r="O234" s="40"/>
      <c r="P234" s="40"/>
      <c r="Q234" s="40"/>
      <c r="R234" s="40"/>
      <c r="S234" s="40"/>
      <c r="T234" s="40"/>
      <c r="U234" s="40"/>
      <c r="V234" s="119"/>
      <c r="W234" s="114"/>
      <c r="AE234" s="57"/>
      <c r="AH234" s="52"/>
      <c r="AJ234" s="119"/>
    </row>
    <row r="235" spans="1:36" ht="11.25" customHeight="1">
      <c r="A235" s="106"/>
      <c r="B235" s="420"/>
      <c r="C235" s="420"/>
      <c r="D235" s="420"/>
      <c r="E235" s="420"/>
      <c r="F235" s="420"/>
      <c r="G235" s="420"/>
      <c r="H235" s="554"/>
      <c r="I235" s="40"/>
      <c r="J235" s="40"/>
      <c r="K235" s="40"/>
      <c r="L235" s="40"/>
      <c r="M235" s="40"/>
      <c r="N235" s="40"/>
      <c r="O235" s="40"/>
      <c r="P235" s="40"/>
      <c r="Q235" s="40"/>
      <c r="R235" s="40"/>
      <c r="S235" s="40"/>
      <c r="T235" s="40"/>
      <c r="U235" s="40"/>
      <c r="V235" s="119"/>
      <c r="W235" s="114"/>
      <c r="AE235" s="57"/>
      <c r="AH235" s="52"/>
      <c r="AJ235" s="119"/>
    </row>
    <row r="236" spans="1:36" ht="11.25" customHeight="1">
      <c r="A236" s="106"/>
      <c r="B236" s="420"/>
      <c r="C236" s="420"/>
      <c r="D236" s="420"/>
      <c r="E236" s="420"/>
      <c r="F236" s="420"/>
      <c r="G236" s="420"/>
      <c r="H236" s="554"/>
      <c r="I236" s="40"/>
      <c r="J236" s="40"/>
      <c r="K236" s="40"/>
      <c r="L236" s="40"/>
      <c r="M236" s="40"/>
      <c r="N236" s="40"/>
      <c r="O236" s="40"/>
      <c r="P236" s="40"/>
      <c r="Q236" s="40"/>
      <c r="R236" s="40"/>
      <c r="S236" s="40"/>
      <c r="T236" s="40"/>
      <c r="U236" s="40"/>
      <c r="V236" s="119"/>
      <c r="W236" s="114"/>
      <c r="AE236" s="57"/>
      <c r="AH236" s="52"/>
      <c r="AJ236" s="119"/>
    </row>
    <row r="237" spans="1:36" ht="11.25" customHeight="1">
      <c r="A237" s="106"/>
      <c r="B237" s="420"/>
      <c r="C237" s="420"/>
      <c r="D237" s="420"/>
      <c r="E237" s="420"/>
      <c r="F237" s="420"/>
      <c r="G237" s="420"/>
      <c r="H237" s="554"/>
      <c r="I237" s="40"/>
      <c r="J237" s="40"/>
      <c r="K237" s="40"/>
      <c r="L237" s="40"/>
      <c r="M237" s="40"/>
      <c r="N237" s="40"/>
      <c r="O237" s="40"/>
      <c r="P237" s="40"/>
      <c r="Q237" s="40"/>
      <c r="R237" s="40"/>
      <c r="S237" s="40"/>
      <c r="T237" s="40"/>
      <c r="U237" s="40"/>
      <c r="V237" s="119"/>
      <c r="W237" s="114"/>
      <c r="AE237" s="57"/>
      <c r="AH237" s="52"/>
      <c r="AJ237" s="119"/>
    </row>
    <row r="238" spans="1:36" ht="11.25" customHeight="1">
      <c r="A238" s="106"/>
      <c r="B238" s="420"/>
      <c r="C238" s="420"/>
      <c r="D238" s="420"/>
      <c r="E238" s="420"/>
      <c r="F238" s="420"/>
      <c r="G238" s="420"/>
      <c r="H238" s="554"/>
      <c r="I238" s="40"/>
      <c r="J238" s="40"/>
      <c r="K238" s="40"/>
      <c r="L238" s="40"/>
      <c r="M238" s="40"/>
      <c r="N238" s="40"/>
      <c r="O238" s="40"/>
      <c r="P238" s="40"/>
      <c r="Q238" s="40"/>
      <c r="R238" s="40"/>
      <c r="S238" s="40"/>
      <c r="T238" s="40"/>
      <c r="U238" s="40"/>
      <c r="V238" s="119"/>
      <c r="W238" s="114"/>
      <c r="AE238" s="57"/>
      <c r="AH238" s="52"/>
      <c r="AJ238" s="119"/>
    </row>
    <row r="239" spans="1:36" ht="11.25" customHeight="1">
      <c r="A239" s="106"/>
      <c r="B239" s="420"/>
      <c r="C239" s="420"/>
      <c r="D239" s="420"/>
      <c r="E239" s="420"/>
      <c r="F239" s="420"/>
      <c r="G239" s="420"/>
      <c r="H239" s="554"/>
      <c r="I239" s="40"/>
      <c r="J239" s="40"/>
      <c r="K239" s="40"/>
      <c r="L239" s="40"/>
      <c r="M239" s="40"/>
      <c r="N239" s="40"/>
      <c r="O239" s="40"/>
      <c r="P239" s="40"/>
      <c r="Q239" s="40"/>
      <c r="R239" s="40"/>
      <c r="S239" s="40"/>
      <c r="T239" s="40"/>
      <c r="U239" s="40"/>
      <c r="V239" s="119"/>
      <c r="W239" s="114"/>
      <c r="AE239" s="57"/>
      <c r="AH239" s="52"/>
      <c r="AJ239" s="119"/>
    </row>
    <row r="240" spans="1:36" ht="11.25" customHeight="1">
      <c r="A240" s="106"/>
      <c r="B240" s="420"/>
      <c r="C240" s="420"/>
      <c r="D240" s="420"/>
      <c r="E240" s="420"/>
      <c r="F240" s="420"/>
      <c r="G240" s="420"/>
      <c r="H240" s="554"/>
      <c r="I240" s="40"/>
      <c r="J240" s="40"/>
      <c r="K240" s="40"/>
      <c r="L240" s="40"/>
      <c r="M240" s="40"/>
      <c r="N240" s="40"/>
      <c r="O240" s="40"/>
      <c r="P240" s="40"/>
      <c r="Q240" s="40"/>
      <c r="R240" s="40"/>
      <c r="S240" s="40"/>
      <c r="T240" s="40"/>
      <c r="U240" s="40"/>
      <c r="V240" s="119"/>
      <c r="W240" s="114"/>
      <c r="AE240" s="57"/>
      <c r="AH240" s="52"/>
      <c r="AJ240" s="119"/>
    </row>
    <row r="241" spans="1:76" ht="11.25" customHeight="1">
      <c r="A241" s="106"/>
      <c r="B241" s="420"/>
      <c r="C241" s="420"/>
      <c r="D241" s="420"/>
      <c r="E241" s="420"/>
      <c r="F241" s="420"/>
      <c r="G241" s="420"/>
      <c r="H241" s="554"/>
      <c r="I241" s="40"/>
      <c r="J241" s="40"/>
      <c r="K241" s="40"/>
      <c r="L241" s="40"/>
      <c r="M241" s="40"/>
      <c r="N241" s="40"/>
      <c r="O241" s="40"/>
      <c r="P241" s="40"/>
      <c r="Q241" s="40"/>
      <c r="R241" s="40"/>
      <c r="S241" s="40"/>
      <c r="T241" s="40"/>
      <c r="U241" s="40"/>
      <c r="V241" s="119"/>
      <c r="W241" s="114"/>
      <c r="AE241" s="57"/>
      <c r="AH241" s="52"/>
      <c r="AJ241" s="119"/>
    </row>
    <row r="242" spans="1:76" ht="11.25" customHeight="1">
      <c r="A242" s="106"/>
      <c r="B242" s="420"/>
      <c r="C242" s="420"/>
      <c r="D242" s="420"/>
      <c r="E242" s="420"/>
      <c r="F242" s="420"/>
      <c r="G242" s="420"/>
      <c r="H242" s="554"/>
      <c r="I242" s="40"/>
      <c r="J242" s="40"/>
      <c r="K242" s="40"/>
      <c r="L242" s="40"/>
      <c r="M242" s="40"/>
      <c r="N242" s="40"/>
      <c r="O242" s="40"/>
      <c r="P242" s="40"/>
      <c r="Q242" s="40"/>
      <c r="R242" s="40"/>
      <c r="S242" s="40"/>
      <c r="T242" s="40"/>
      <c r="U242" s="40"/>
      <c r="V242" s="119"/>
      <c r="W242" s="114"/>
      <c r="AE242" s="57"/>
      <c r="AH242" s="52"/>
      <c r="AJ242" s="119"/>
    </row>
    <row r="243" spans="1:76" s="55" customFormat="1" ht="11.25" customHeight="1">
      <c r="A243" s="106"/>
      <c r="B243" s="420"/>
      <c r="C243" s="420"/>
      <c r="D243" s="420"/>
      <c r="E243" s="420"/>
      <c r="F243" s="420"/>
      <c r="G243" s="420"/>
      <c r="H243" s="554"/>
      <c r="I243" s="40"/>
      <c r="J243" s="40"/>
      <c r="K243" s="40"/>
      <c r="L243" s="40"/>
      <c r="M243" s="40"/>
      <c r="N243" s="40"/>
      <c r="O243" s="40"/>
      <c r="P243" s="40"/>
      <c r="Q243" s="40"/>
      <c r="R243" s="40"/>
      <c r="S243" s="40"/>
      <c r="T243" s="40"/>
      <c r="U243" s="40"/>
      <c r="V243" s="119"/>
      <c r="W243" s="114"/>
      <c r="X243" s="56"/>
      <c r="Y243" s="56"/>
      <c r="Z243" s="56"/>
      <c r="AA243" s="56"/>
      <c r="AB243" s="56"/>
      <c r="AC243" s="56"/>
      <c r="AD243" s="56"/>
      <c r="AE243" s="57"/>
      <c r="AF243" s="56"/>
      <c r="AG243" s="56"/>
      <c r="AH243" s="52"/>
      <c r="AI243" s="52"/>
      <c r="AJ243" s="119"/>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row>
    <row r="244" spans="1:76" ht="11.25" customHeight="1">
      <c r="A244" s="711"/>
      <c r="B244" s="712"/>
      <c r="C244" s="713"/>
      <c r="D244" s="713"/>
      <c r="E244" s="713"/>
      <c r="F244" s="152"/>
      <c r="G244" s="152"/>
      <c r="H244" s="714"/>
      <c r="I244" s="152"/>
      <c r="J244" s="152"/>
      <c r="K244" s="152"/>
      <c r="L244" s="152"/>
      <c r="M244" s="152"/>
      <c r="N244" s="152"/>
      <c r="O244" s="152"/>
      <c r="P244" s="152"/>
      <c r="Q244" s="152"/>
      <c r="R244" s="152"/>
      <c r="S244" s="859"/>
      <c r="T244" s="151"/>
      <c r="U244" s="151"/>
      <c r="V244" s="865"/>
      <c r="W244" s="1232"/>
      <c r="AE244" s="57"/>
      <c r="AH244" s="52"/>
      <c r="AJ244" s="1333"/>
    </row>
    <row r="245" spans="1:76" ht="11.25" customHeight="1">
      <c r="J245" s="52"/>
      <c r="V245" s="52"/>
      <c r="AE245" s="57"/>
      <c r="AH245" s="52"/>
    </row>
    <row r="246" spans="1:76" ht="11.25" customHeight="1">
      <c r="J246" s="52"/>
      <c r="V246" s="52"/>
      <c r="AE246" s="57"/>
      <c r="AH246" s="52"/>
    </row>
    <row r="247" spans="1:76" ht="11.25" customHeight="1">
      <c r="J247" s="52"/>
      <c r="V247" s="52"/>
      <c r="AE247" s="57"/>
      <c r="AH247" s="52"/>
    </row>
    <row r="248" spans="1:76" ht="11.25" customHeight="1">
      <c r="J248" s="52"/>
      <c r="V248" s="52"/>
      <c r="AE248" s="57"/>
      <c r="AH248" s="52"/>
    </row>
    <row r="249" spans="1:76" ht="11.25" customHeight="1">
      <c r="J249" s="52"/>
      <c r="V249" s="52"/>
      <c r="AE249" s="57"/>
      <c r="AH249" s="52"/>
    </row>
    <row r="250" spans="1:76" ht="11.25" customHeight="1">
      <c r="J250" s="52"/>
      <c r="V250" s="52"/>
      <c r="AE250" s="57"/>
      <c r="AH250" s="52"/>
    </row>
    <row r="251" spans="1:76" ht="11.25" customHeight="1">
      <c r="J251" s="52"/>
      <c r="V251" s="52"/>
      <c r="AE251" s="57"/>
      <c r="AH251" s="52"/>
    </row>
    <row r="252" spans="1:76" ht="11.25" customHeight="1">
      <c r="J252" s="52"/>
      <c r="V252" s="52"/>
      <c r="AE252" s="57"/>
      <c r="AH252" s="52"/>
    </row>
    <row r="253" spans="1:76" ht="11.25" customHeight="1">
      <c r="J253" s="52"/>
      <c r="V253" s="52"/>
      <c r="AE253" s="57"/>
      <c r="AH253" s="52"/>
    </row>
    <row r="254" spans="1:76" ht="11.25" customHeight="1">
      <c r="J254" s="52"/>
      <c r="V254" s="52"/>
      <c r="AE254" s="57"/>
      <c r="AH254" s="52"/>
    </row>
    <row r="255" spans="1:76" ht="11.25" customHeight="1">
      <c r="J255" s="52"/>
      <c r="V255" s="52"/>
    </row>
    <row r="256" spans="1:76" ht="11.25" customHeight="1">
      <c r="J256" s="52"/>
      <c r="V256" s="52"/>
    </row>
    <row r="365" spans="37:37" ht="11.25" customHeight="1">
      <c r="AK365" s="52" t="b">
        <v>1</v>
      </c>
    </row>
  </sheetData>
  <mergeCells count="64">
    <mergeCell ref="B5:N6"/>
    <mergeCell ref="D7:H7"/>
    <mergeCell ref="I7:I10"/>
    <mergeCell ref="Q7:Q10"/>
    <mergeCell ref="B7:B10"/>
    <mergeCell ref="K7:P7"/>
    <mergeCell ref="O10:P10"/>
    <mergeCell ref="A103:U103"/>
    <mergeCell ref="B110:B113"/>
    <mergeCell ref="D110:H110"/>
    <mergeCell ref="O8:P9"/>
    <mergeCell ref="H8:H9"/>
    <mergeCell ref="K8:K9"/>
    <mergeCell ref="L8:L9"/>
    <mergeCell ref="M8:M9"/>
    <mergeCell ref="G111:G112"/>
    <mergeCell ref="H111:H112"/>
    <mergeCell ref="B108:T109"/>
    <mergeCell ref="I110:I113"/>
    <mergeCell ref="K110:P110"/>
    <mergeCell ref="D111:D112"/>
    <mergeCell ref="E111:E112"/>
    <mergeCell ref="F111:F112"/>
    <mergeCell ref="Y8:Y10"/>
    <mergeCell ref="Z8:Z10"/>
    <mergeCell ref="A67:U67"/>
    <mergeCell ref="A68:U68"/>
    <mergeCell ref="A102:U102"/>
    <mergeCell ref="A34:U34"/>
    <mergeCell ref="A35:U35"/>
    <mergeCell ref="D8:D9"/>
    <mergeCell ref="E8:E9"/>
    <mergeCell ref="F8:F9"/>
    <mergeCell ref="G8:G9"/>
    <mergeCell ref="S7:T9"/>
    <mergeCell ref="N8:N9"/>
    <mergeCell ref="L61:O61"/>
    <mergeCell ref="Q62:T62"/>
    <mergeCell ref="Q61:T61"/>
    <mergeCell ref="AQ35:AQ37"/>
    <mergeCell ref="AL35:AP35"/>
    <mergeCell ref="A206:U206"/>
    <mergeCell ref="A170:U170"/>
    <mergeCell ref="A171:U171"/>
    <mergeCell ref="A205:U205"/>
    <mergeCell ref="A137:U137"/>
    <mergeCell ref="A138:U138"/>
    <mergeCell ref="Y109:Y110"/>
    <mergeCell ref="Z109:Z110"/>
    <mergeCell ref="Q110:Q113"/>
    <mergeCell ref="AQ136:AQ138"/>
    <mergeCell ref="AL136:AP136"/>
    <mergeCell ref="O113:P113"/>
    <mergeCell ref="S110:T112"/>
    <mergeCell ref="L62:O62"/>
    <mergeCell ref="K111:K112"/>
    <mergeCell ref="L111:L112"/>
    <mergeCell ref="L165:O165"/>
    <mergeCell ref="Q165:T165"/>
    <mergeCell ref="Q164:T164"/>
    <mergeCell ref="L164:O164"/>
    <mergeCell ref="M111:M112"/>
    <mergeCell ref="N111:N112"/>
    <mergeCell ref="O111:P112"/>
  </mergeCells>
  <conditionalFormatting sqref="A11:A31 A114:A133">
    <cfRule type="cellIs" dxfId="356" priority="100" operator="equal">
      <formula>0</formula>
    </cfRule>
    <cfRule type="containsErrors" dxfId="355" priority="99">
      <formula>ISERROR(A11)</formula>
    </cfRule>
  </conditionalFormatting>
  <conditionalFormatting sqref="A35">
    <cfRule type="containsErrors" dxfId="354" priority="94">
      <formula>ISERROR(A35)</formula>
    </cfRule>
    <cfRule type="cellIs" dxfId="353" priority="93" operator="equal">
      <formula>0</formula>
    </cfRule>
  </conditionalFormatting>
  <conditionalFormatting sqref="A68">
    <cfRule type="containsErrors" dxfId="352" priority="92">
      <formula>ISERROR(A68)</formula>
    </cfRule>
    <cfRule type="cellIs" dxfId="351" priority="91" operator="equal">
      <formula>0</formula>
    </cfRule>
  </conditionalFormatting>
  <conditionalFormatting sqref="A103">
    <cfRule type="containsErrors" dxfId="350" priority="90">
      <formula>ISERROR(A103)</formula>
    </cfRule>
    <cfRule type="cellIs" dxfId="349" priority="89" operator="equal">
      <formula>0</formula>
    </cfRule>
  </conditionalFormatting>
  <conditionalFormatting sqref="A138">
    <cfRule type="cellIs" dxfId="348" priority="57" operator="equal">
      <formula>0</formula>
    </cfRule>
    <cfRule type="containsErrors" dxfId="347" priority="58">
      <formula>ISERROR(A138)</formula>
    </cfRule>
  </conditionalFormatting>
  <conditionalFormatting sqref="A171">
    <cfRule type="cellIs" dxfId="346" priority="55" operator="equal">
      <formula>0</formula>
    </cfRule>
    <cfRule type="containsErrors" dxfId="345" priority="56">
      <formula>ISERROR(A171)</formula>
    </cfRule>
  </conditionalFormatting>
  <conditionalFormatting sqref="A206">
    <cfRule type="cellIs" dxfId="344" priority="53" operator="equal">
      <formula>0</formula>
    </cfRule>
    <cfRule type="containsErrors" dxfId="343" priority="54">
      <formula>ISERROR(A206)</formula>
    </cfRule>
  </conditionalFormatting>
  <conditionalFormatting sqref="B11:B29 D11:H29 K11:O29 S11:T29 AF11:AG29 B48:C63 AF111:AG129 B114:B132 D114:H132 K114:O132 S114:T132">
    <cfRule type="containsErrors" dxfId="342" priority="106">
      <formula>ISERROR(B11)</formula>
    </cfRule>
  </conditionalFormatting>
  <conditionalFormatting sqref="B11:B29 D11:I29 K11:O29 Q11:Q29 S11:T29 P11:P31 B48:C63 B114:B132 D114:I132 K114:O132 Q114:Q132 S114:T132 P114:P134 B151:C166">
    <cfRule type="expression" dxfId="341" priority="4844">
      <formula>$B11=$Y$4</formula>
    </cfRule>
  </conditionalFormatting>
  <conditionalFormatting sqref="B30:B31 B133:B134">
    <cfRule type="expression" dxfId="340" priority="4842" stopIfTrue="1">
      <formula>$B30=$Y$4</formula>
    </cfRule>
  </conditionalFormatting>
  <conditionalFormatting sqref="B151:C166">
    <cfRule type="containsErrors" dxfId="339" priority="69">
      <formula>ISERROR(B151)</formula>
    </cfRule>
  </conditionalFormatting>
  <conditionalFormatting sqref="D8:H8">
    <cfRule type="containsErrors" dxfId="338" priority="10">
      <formula>ISERROR(D8)</formula>
    </cfRule>
  </conditionalFormatting>
  <conditionalFormatting sqref="D10:H10">
    <cfRule type="containsErrors" dxfId="337" priority="11">
      <formula>ISERROR(D10)</formula>
    </cfRule>
  </conditionalFormatting>
  <conditionalFormatting sqref="D111:H111">
    <cfRule type="containsErrors" dxfId="336" priority="2">
      <formula>ISERROR(D111)</formula>
    </cfRule>
  </conditionalFormatting>
  <conditionalFormatting sqref="D113:H113">
    <cfRule type="containsErrors" dxfId="335" priority="3">
      <formula>ISERROR(D113)</formula>
    </cfRule>
  </conditionalFormatting>
  <conditionalFormatting sqref="I11:I29 Q11:Q29 I114:I132 Q114:Q132">
    <cfRule type="containsErrors" dxfId="334" priority="88">
      <formula>ISERROR(I11)</formula>
    </cfRule>
  </conditionalFormatting>
  <conditionalFormatting sqref="K8:O8">
    <cfRule type="containsErrors" dxfId="333" priority="9">
      <formula>ISERROR(K8)</formula>
    </cfRule>
  </conditionalFormatting>
  <conditionalFormatting sqref="K10:O10">
    <cfRule type="containsErrors" dxfId="332" priority="12">
      <formula>ISERROR(K10)</formula>
    </cfRule>
  </conditionalFormatting>
  <conditionalFormatting sqref="K111:O111">
    <cfRule type="containsErrors" dxfId="331" priority="1">
      <formula>ISERROR(K111)</formula>
    </cfRule>
  </conditionalFormatting>
  <conditionalFormatting sqref="K113:O113">
    <cfRule type="containsErrors" dxfId="330" priority="4">
      <formula>ISERROR(K113)</formula>
    </cfRule>
  </conditionalFormatting>
  <conditionalFormatting sqref="P11:P31">
    <cfRule type="containsErrors" dxfId="329" priority="4739">
      <formula>ISERROR(P11)</formula>
    </cfRule>
    <cfRule type="dataBar" priority="4740">
      <dataBar showValue="0">
        <cfvo type="min"/>
        <cfvo type="max"/>
        <color theme="9"/>
      </dataBar>
      <extLst>
        <ext xmlns:x14="http://schemas.microsoft.com/office/spreadsheetml/2009/9/main" uri="{B025F937-C7B1-47D3-B67F-A62EFF666E3E}">
          <x14:id>{DA08B2EA-1865-4648-B79D-051F2211FEE2}</x14:id>
        </ext>
      </extLst>
    </cfRule>
  </conditionalFormatting>
  <conditionalFormatting sqref="P30:P31">
    <cfRule type="containsErrors" dxfId="328" priority="78">
      <formula>ISERROR(P30)</formula>
    </cfRule>
  </conditionalFormatting>
  <conditionalFormatting sqref="P114:P134">
    <cfRule type="containsErrors" dxfId="327" priority="4898">
      <formula>ISERROR(P114)</formula>
    </cfRule>
    <cfRule type="dataBar" priority="4899">
      <dataBar showValue="0">
        <cfvo type="min"/>
        <cfvo type="max"/>
        <color theme="9"/>
      </dataBar>
      <extLst>
        <ext xmlns:x14="http://schemas.microsoft.com/office/spreadsheetml/2009/9/main" uri="{B025F937-C7B1-47D3-B67F-A62EFF666E3E}">
          <x14:id>{7E9B0E3D-F7F9-4287-953E-555465CB18B1}</x14:id>
        </ext>
      </extLst>
    </cfRule>
  </conditionalFormatting>
  <conditionalFormatting sqref="P133:P134">
    <cfRule type="containsErrors" dxfId="326" priority="46">
      <formula>ISERROR(P133)</formula>
    </cfRule>
  </conditionalFormatting>
  <conditionalFormatting sqref="S30:T30">
    <cfRule type="containsErrors" dxfId="325" priority="28">
      <formula>ISERROR(S30)</formula>
    </cfRule>
  </conditionalFormatting>
  <conditionalFormatting sqref="S31:T31">
    <cfRule type="containsErrors" dxfId="324" priority="27">
      <formula>ISERROR(S31)</formula>
    </cfRule>
  </conditionalFormatting>
  <conditionalFormatting sqref="S133:T133">
    <cfRule type="containsErrors" dxfId="323" priority="20">
      <formula>ISERROR(S133)</formula>
    </cfRule>
  </conditionalFormatting>
  <conditionalFormatting sqref="S134:T134">
    <cfRule type="containsErrors" dxfId="322" priority="19">
      <formula>ISERROR(S134)</formula>
    </cfRule>
  </conditionalFormatting>
  <conditionalFormatting sqref="X2:AC3">
    <cfRule type="containsErrors" dxfId="321" priority="17">
      <formula>ISERROR(X2)</formula>
    </cfRule>
  </conditionalFormatting>
  <conditionalFormatting sqref="AA10:AE10">
    <cfRule type="cellIs" dxfId="320" priority="71" stopIfTrue="1" operator="equal">
      <formula>0</formula>
    </cfRule>
  </conditionalFormatting>
  <conditionalFormatting sqref="AA110:AE110">
    <cfRule type="cellIs" dxfId="319" priority="39" stopIfTrue="1" operator="equal">
      <formula>0</formula>
    </cfRule>
  </conditionalFormatting>
  <conditionalFormatting sqref="AF11:AG22 AG12:AG23 AG129">
    <cfRule type="expression" dxfId="318" priority="97">
      <formula>$B11=$W$4</formula>
    </cfRule>
  </conditionalFormatting>
  <conditionalFormatting sqref="AF111:AG122 AG112:AG123">
    <cfRule type="expression" dxfId="317" priority="4803">
      <formula>$B114=$W$4</formula>
    </cfRule>
  </conditionalFormatting>
  <conditionalFormatting sqref="AG24">
    <cfRule type="expression" dxfId="316" priority="4734">
      <formula>#REF!=$W$4</formula>
    </cfRule>
  </conditionalFormatting>
  <conditionalFormatting sqref="AG25:AG27">
    <cfRule type="expression" dxfId="315" priority="2107">
      <formula>$B24=$W$4</formula>
    </cfRule>
  </conditionalFormatting>
  <conditionalFormatting sqref="AG28 AG128">
    <cfRule type="expression" dxfId="314" priority="2108">
      <formula>#REF!=$W$4</formula>
    </cfRule>
  </conditionalFormatting>
  <conditionalFormatting sqref="AG29">
    <cfRule type="expression" dxfId="313" priority="4164">
      <formula>$B26=$W$4</formula>
    </cfRule>
  </conditionalFormatting>
  <conditionalFormatting sqref="AG124">
    <cfRule type="expression" dxfId="312" priority="4880">
      <formula>#REF!=$W$4</formula>
    </cfRule>
  </conditionalFormatting>
  <conditionalFormatting sqref="AG125:AG127">
    <cfRule type="expression" dxfId="311" priority="4900">
      <formula>$B127=$W$4</formula>
    </cfRule>
  </conditionalFormatting>
  <conditionalFormatting sqref="AL37:AP37">
    <cfRule type="cellIs" dxfId="310" priority="16" stopIfTrue="1" operator="equal">
      <formula>0</formula>
    </cfRule>
  </conditionalFormatting>
  <conditionalFormatting sqref="AL138:AP138">
    <cfRule type="cellIs" dxfId="309" priority="15" stopIfTrue="1" operator="equal">
      <formula>0</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2" manualBreakCount="2">
    <brk id="35" max="21" man="1"/>
    <brk id="68" max="21" man="1"/>
  </rowBreaks>
  <ignoredErrors>
    <ignoredError sqref="A11"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04449" r:id="rId4" name="Check Box 1">
              <controlPr defaultSize="0" autoFill="0" autoLine="0" autoPict="0" macro="[0]!CheckBox1_Click" altText="">
                <anchor>
                  <from>
                    <xdr:col>22</xdr:col>
                    <xdr:colOff>95250</xdr:colOff>
                    <xdr:row>36</xdr:row>
                    <xdr:rowOff>9525</xdr:rowOff>
                  </from>
                  <to>
                    <xdr:col>35</xdr:col>
                    <xdr:colOff>66675</xdr:colOff>
                    <xdr:row>37</xdr:row>
                    <xdr:rowOff>171450</xdr:rowOff>
                  </to>
                </anchor>
              </controlPr>
            </control>
          </mc:Choice>
        </mc:AlternateContent>
        <mc:AlternateContent xmlns:mc="http://schemas.openxmlformats.org/markup-compatibility/2006">
          <mc:Choice Requires="x14">
            <control shapeId="104450" r:id="rId5" name="Check Box 2">
              <controlPr defaultSize="0" autoFill="0" autoLine="0" autoPict="0" macro="[0]!CheckBox1_Click" altText="">
                <anchor>
                  <from>
                    <xdr:col>22</xdr:col>
                    <xdr:colOff>95250</xdr:colOff>
                    <xdr:row>37</xdr:row>
                    <xdr:rowOff>133350</xdr:rowOff>
                  </from>
                  <to>
                    <xdr:col>35</xdr:col>
                    <xdr:colOff>66675</xdr:colOff>
                    <xdr:row>38</xdr:row>
                    <xdr:rowOff>171450</xdr:rowOff>
                  </to>
                </anchor>
              </controlPr>
            </control>
          </mc:Choice>
        </mc:AlternateContent>
        <mc:AlternateContent xmlns:mc="http://schemas.openxmlformats.org/markup-compatibility/2006">
          <mc:Choice Requires="x14">
            <control shapeId="104451" r:id="rId6" name="Check Box 3">
              <controlPr defaultSize="0" autoFill="0" autoLine="0" autoPict="0" macro="[0]!CheckBox1_Click" altText="">
                <anchor>
                  <from>
                    <xdr:col>22</xdr:col>
                    <xdr:colOff>95250</xdr:colOff>
                    <xdr:row>38</xdr:row>
                    <xdr:rowOff>133350</xdr:rowOff>
                  </from>
                  <to>
                    <xdr:col>35</xdr:col>
                    <xdr:colOff>66675</xdr:colOff>
                    <xdr:row>39</xdr:row>
                    <xdr:rowOff>171450</xdr:rowOff>
                  </to>
                </anchor>
              </controlPr>
            </control>
          </mc:Choice>
        </mc:AlternateContent>
        <mc:AlternateContent xmlns:mc="http://schemas.openxmlformats.org/markup-compatibility/2006">
          <mc:Choice Requires="x14">
            <control shapeId="104452" r:id="rId7" name="Check Box 4">
              <controlPr defaultSize="0" autoFill="0" autoLine="0" autoPict="0" macro="[0]!CheckBox1_Click" altText="">
                <anchor>
                  <from>
                    <xdr:col>22</xdr:col>
                    <xdr:colOff>95250</xdr:colOff>
                    <xdr:row>39</xdr:row>
                    <xdr:rowOff>133350</xdr:rowOff>
                  </from>
                  <to>
                    <xdr:col>35</xdr:col>
                    <xdr:colOff>66675</xdr:colOff>
                    <xdr:row>40</xdr:row>
                    <xdr:rowOff>171450</xdr:rowOff>
                  </to>
                </anchor>
              </controlPr>
            </control>
          </mc:Choice>
        </mc:AlternateContent>
        <mc:AlternateContent xmlns:mc="http://schemas.openxmlformats.org/markup-compatibility/2006">
          <mc:Choice Requires="x14">
            <control shapeId="104453" r:id="rId8" name="Check Box 5">
              <controlPr defaultSize="0" autoFill="0" autoLine="0" autoPict="0" macro="[0]!CheckBox1_Click" altText="">
                <anchor>
                  <from>
                    <xdr:col>22</xdr:col>
                    <xdr:colOff>95250</xdr:colOff>
                    <xdr:row>40</xdr:row>
                    <xdr:rowOff>133350</xdr:rowOff>
                  </from>
                  <to>
                    <xdr:col>35</xdr:col>
                    <xdr:colOff>66675</xdr:colOff>
                    <xdr:row>41</xdr:row>
                    <xdr:rowOff>171450</xdr:rowOff>
                  </to>
                </anchor>
              </controlPr>
            </control>
          </mc:Choice>
        </mc:AlternateContent>
        <mc:AlternateContent xmlns:mc="http://schemas.openxmlformats.org/markup-compatibility/2006">
          <mc:Choice Requires="x14">
            <control shapeId="104454" r:id="rId9" name="Check Box 6">
              <controlPr defaultSize="0" autoFill="0" autoLine="0" autoPict="0" macro="[0]!CheckBox1_Click" altText="">
                <anchor>
                  <from>
                    <xdr:col>22</xdr:col>
                    <xdr:colOff>95250</xdr:colOff>
                    <xdr:row>41</xdr:row>
                    <xdr:rowOff>133350</xdr:rowOff>
                  </from>
                  <to>
                    <xdr:col>35</xdr:col>
                    <xdr:colOff>66675</xdr:colOff>
                    <xdr:row>42</xdr:row>
                    <xdr:rowOff>171450</xdr:rowOff>
                  </to>
                </anchor>
              </controlPr>
            </control>
          </mc:Choice>
        </mc:AlternateContent>
        <mc:AlternateContent xmlns:mc="http://schemas.openxmlformats.org/markup-compatibility/2006">
          <mc:Choice Requires="x14">
            <control shapeId="104455" r:id="rId10" name="Check Box 7">
              <controlPr defaultSize="0" autoFill="0" autoLine="0" autoPict="0" macro="[0]!CheckBox1_Click" altText="">
                <anchor>
                  <from>
                    <xdr:col>22</xdr:col>
                    <xdr:colOff>95250</xdr:colOff>
                    <xdr:row>42</xdr:row>
                    <xdr:rowOff>133350</xdr:rowOff>
                  </from>
                  <to>
                    <xdr:col>35</xdr:col>
                    <xdr:colOff>66675</xdr:colOff>
                    <xdr:row>43</xdr:row>
                    <xdr:rowOff>171450</xdr:rowOff>
                  </to>
                </anchor>
              </controlPr>
            </control>
          </mc:Choice>
        </mc:AlternateContent>
        <mc:AlternateContent xmlns:mc="http://schemas.openxmlformats.org/markup-compatibility/2006">
          <mc:Choice Requires="x14">
            <control shapeId="104456" r:id="rId11" name="Check Box 8">
              <controlPr defaultSize="0" autoFill="0" autoLine="0" autoPict="0" macro="[0]!CheckBox1_Click" altText="">
                <anchor>
                  <from>
                    <xdr:col>22</xdr:col>
                    <xdr:colOff>95250</xdr:colOff>
                    <xdr:row>43</xdr:row>
                    <xdr:rowOff>133350</xdr:rowOff>
                  </from>
                  <to>
                    <xdr:col>35</xdr:col>
                    <xdr:colOff>66675</xdr:colOff>
                    <xdr:row>44</xdr:row>
                    <xdr:rowOff>171450</xdr:rowOff>
                  </to>
                </anchor>
              </controlPr>
            </control>
          </mc:Choice>
        </mc:AlternateContent>
        <mc:AlternateContent xmlns:mc="http://schemas.openxmlformats.org/markup-compatibility/2006">
          <mc:Choice Requires="x14">
            <control shapeId="104457" r:id="rId12" name="Check Box 9">
              <controlPr defaultSize="0" autoFill="0" autoLine="0" autoPict="0" macro="[0]!CheckBox1_Click" altText="">
                <anchor>
                  <from>
                    <xdr:col>22</xdr:col>
                    <xdr:colOff>95250</xdr:colOff>
                    <xdr:row>44</xdr:row>
                    <xdr:rowOff>133350</xdr:rowOff>
                  </from>
                  <to>
                    <xdr:col>35</xdr:col>
                    <xdr:colOff>66675</xdr:colOff>
                    <xdr:row>45</xdr:row>
                    <xdr:rowOff>171450</xdr:rowOff>
                  </to>
                </anchor>
              </controlPr>
            </control>
          </mc:Choice>
        </mc:AlternateContent>
        <mc:AlternateContent xmlns:mc="http://schemas.openxmlformats.org/markup-compatibility/2006">
          <mc:Choice Requires="x14">
            <control shapeId="104458" r:id="rId13" name="Check Box 10">
              <controlPr defaultSize="0" autoFill="0" autoLine="0" autoPict="0" macro="[0]!CheckBox1_Click" altText="">
                <anchor>
                  <from>
                    <xdr:col>22</xdr:col>
                    <xdr:colOff>95250</xdr:colOff>
                    <xdr:row>45</xdr:row>
                    <xdr:rowOff>133350</xdr:rowOff>
                  </from>
                  <to>
                    <xdr:col>35</xdr:col>
                    <xdr:colOff>66675</xdr:colOff>
                    <xdr:row>46</xdr:row>
                    <xdr:rowOff>171450</xdr:rowOff>
                  </to>
                </anchor>
              </controlPr>
            </control>
          </mc:Choice>
        </mc:AlternateContent>
        <mc:AlternateContent xmlns:mc="http://schemas.openxmlformats.org/markup-compatibility/2006">
          <mc:Choice Requires="x14">
            <control shapeId="104459" r:id="rId14" name="Check Box 11">
              <controlPr defaultSize="0" autoFill="0" autoLine="0" autoPict="0" macro="[0]!CheckBox1_Click" altText="">
                <anchor>
                  <from>
                    <xdr:col>22</xdr:col>
                    <xdr:colOff>95250</xdr:colOff>
                    <xdr:row>46</xdr:row>
                    <xdr:rowOff>133350</xdr:rowOff>
                  </from>
                  <to>
                    <xdr:col>35</xdr:col>
                    <xdr:colOff>66675</xdr:colOff>
                    <xdr:row>47</xdr:row>
                    <xdr:rowOff>171450</xdr:rowOff>
                  </to>
                </anchor>
              </controlPr>
            </control>
          </mc:Choice>
        </mc:AlternateContent>
        <mc:AlternateContent xmlns:mc="http://schemas.openxmlformats.org/markup-compatibility/2006">
          <mc:Choice Requires="x14">
            <control shapeId="104460" r:id="rId15" name="Check Box 12">
              <controlPr defaultSize="0" autoFill="0" autoLine="0" autoPict="0" macro="[0]!CheckBox1_Click" altText="">
                <anchor>
                  <from>
                    <xdr:col>22</xdr:col>
                    <xdr:colOff>95250</xdr:colOff>
                    <xdr:row>47</xdr:row>
                    <xdr:rowOff>133350</xdr:rowOff>
                  </from>
                  <to>
                    <xdr:col>35</xdr:col>
                    <xdr:colOff>66675</xdr:colOff>
                    <xdr:row>48</xdr:row>
                    <xdr:rowOff>171450</xdr:rowOff>
                  </to>
                </anchor>
              </controlPr>
            </control>
          </mc:Choice>
        </mc:AlternateContent>
        <mc:AlternateContent xmlns:mc="http://schemas.openxmlformats.org/markup-compatibility/2006">
          <mc:Choice Requires="x14">
            <control shapeId="104461" r:id="rId16" name="Check Box 13">
              <controlPr defaultSize="0" autoFill="0" autoLine="0" autoPict="0" macro="[0]!CheckBox1_Click" altText="">
                <anchor>
                  <from>
                    <xdr:col>22</xdr:col>
                    <xdr:colOff>95250</xdr:colOff>
                    <xdr:row>48</xdr:row>
                    <xdr:rowOff>133350</xdr:rowOff>
                  </from>
                  <to>
                    <xdr:col>35</xdr:col>
                    <xdr:colOff>66675</xdr:colOff>
                    <xdr:row>49</xdr:row>
                    <xdr:rowOff>171450</xdr:rowOff>
                  </to>
                </anchor>
              </controlPr>
            </control>
          </mc:Choice>
        </mc:AlternateContent>
        <mc:AlternateContent xmlns:mc="http://schemas.openxmlformats.org/markup-compatibility/2006">
          <mc:Choice Requires="x14">
            <control shapeId="104463" r:id="rId17" name="Check Box 15">
              <controlPr defaultSize="0" autoFill="0" autoLine="0" autoPict="0" macro="[0]!CheckBox1_Click" altText="">
                <anchor>
                  <from>
                    <xdr:col>22</xdr:col>
                    <xdr:colOff>95250</xdr:colOff>
                    <xdr:row>49</xdr:row>
                    <xdr:rowOff>133350</xdr:rowOff>
                  </from>
                  <to>
                    <xdr:col>35</xdr:col>
                    <xdr:colOff>66675</xdr:colOff>
                    <xdr:row>50</xdr:row>
                    <xdr:rowOff>171450</xdr:rowOff>
                  </to>
                </anchor>
              </controlPr>
            </control>
          </mc:Choice>
        </mc:AlternateContent>
        <mc:AlternateContent xmlns:mc="http://schemas.openxmlformats.org/markup-compatibility/2006">
          <mc:Choice Requires="x14">
            <control shapeId="104464" r:id="rId18" name="Check Box 16">
              <controlPr defaultSize="0" autoFill="0" autoLine="0" autoPict="0" macro="[0]!CheckBox1_Click" altText="">
                <anchor>
                  <from>
                    <xdr:col>22</xdr:col>
                    <xdr:colOff>95250</xdr:colOff>
                    <xdr:row>50</xdr:row>
                    <xdr:rowOff>133350</xdr:rowOff>
                  </from>
                  <to>
                    <xdr:col>35</xdr:col>
                    <xdr:colOff>66675</xdr:colOff>
                    <xdr:row>51</xdr:row>
                    <xdr:rowOff>171450</xdr:rowOff>
                  </to>
                </anchor>
              </controlPr>
            </control>
          </mc:Choice>
        </mc:AlternateContent>
        <mc:AlternateContent xmlns:mc="http://schemas.openxmlformats.org/markup-compatibility/2006">
          <mc:Choice Requires="x14">
            <control shapeId="104465" r:id="rId19" name="Check Box 17">
              <controlPr defaultSize="0" autoFill="0" autoLine="0" autoPict="0" macro="[0]!CheckBox1_Click" altText="">
                <anchor>
                  <from>
                    <xdr:col>22</xdr:col>
                    <xdr:colOff>95250</xdr:colOff>
                    <xdr:row>51</xdr:row>
                    <xdr:rowOff>142875</xdr:rowOff>
                  </from>
                  <to>
                    <xdr:col>35</xdr:col>
                    <xdr:colOff>66675</xdr:colOff>
                    <xdr:row>53</xdr:row>
                    <xdr:rowOff>0</xdr:rowOff>
                  </to>
                </anchor>
              </controlPr>
            </control>
          </mc:Choice>
        </mc:AlternateContent>
        <mc:AlternateContent xmlns:mc="http://schemas.openxmlformats.org/markup-compatibility/2006">
          <mc:Choice Requires="x14">
            <control shapeId="104466" r:id="rId20" name="Check Box 18">
              <controlPr defaultSize="0" autoFill="0" autoLine="0" autoPict="0" macro="[0]!CheckBox1_Click" altText="">
                <anchor>
                  <from>
                    <xdr:col>22</xdr:col>
                    <xdr:colOff>95250</xdr:colOff>
                    <xdr:row>52</xdr:row>
                    <xdr:rowOff>142875</xdr:rowOff>
                  </from>
                  <to>
                    <xdr:col>35</xdr:col>
                    <xdr:colOff>66675</xdr:colOff>
                    <xdr:row>54</xdr:row>
                    <xdr:rowOff>0</xdr:rowOff>
                  </to>
                </anchor>
              </controlPr>
            </control>
          </mc:Choice>
        </mc:AlternateContent>
        <mc:AlternateContent xmlns:mc="http://schemas.openxmlformats.org/markup-compatibility/2006">
          <mc:Choice Requires="x14">
            <control shapeId="104467" r:id="rId21" name="Check Box 19">
              <controlPr defaultSize="0" autoFill="0" autoLine="0" autoPict="0" macro="[0]!CheckBox1_Click" altText="">
                <anchor>
                  <from>
                    <xdr:col>22</xdr:col>
                    <xdr:colOff>95250</xdr:colOff>
                    <xdr:row>53</xdr:row>
                    <xdr:rowOff>142875</xdr:rowOff>
                  </from>
                  <to>
                    <xdr:col>35</xdr:col>
                    <xdr:colOff>66675</xdr:colOff>
                    <xdr:row>55</xdr:row>
                    <xdr:rowOff>0</xdr:rowOff>
                  </to>
                </anchor>
              </controlPr>
            </control>
          </mc:Choice>
        </mc:AlternateContent>
        <mc:AlternateContent xmlns:mc="http://schemas.openxmlformats.org/markup-compatibility/2006">
          <mc:Choice Requires="x14">
            <control shapeId="104468" r:id="rId22" name="Check Box 20">
              <controlPr defaultSize="0" autoFill="0" autoLine="0" autoPict="0" macro="[0]!CheckBox1_Click" altText="">
                <anchor>
                  <from>
                    <xdr:col>22</xdr:col>
                    <xdr:colOff>95250</xdr:colOff>
                    <xdr:row>54</xdr:row>
                    <xdr:rowOff>142875</xdr:rowOff>
                  </from>
                  <to>
                    <xdr:col>35</xdr:col>
                    <xdr:colOff>66675</xdr:colOff>
                    <xdr:row>56</xdr:row>
                    <xdr:rowOff>0</xdr:rowOff>
                  </to>
                </anchor>
              </controlPr>
            </control>
          </mc:Choice>
        </mc:AlternateContent>
        <mc:AlternateContent xmlns:mc="http://schemas.openxmlformats.org/markup-compatibility/2006">
          <mc:Choice Requires="x14">
            <control shapeId="104469" r:id="rId23" name="Check Box 21">
              <controlPr defaultSize="0" autoFill="0" autoLine="0" autoPict="0" macro="[0]!CheckBox1_Click" altText="">
                <anchor>
                  <from>
                    <xdr:col>22</xdr:col>
                    <xdr:colOff>95250</xdr:colOff>
                    <xdr:row>55</xdr:row>
                    <xdr:rowOff>142875</xdr:rowOff>
                  </from>
                  <to>
                    <xdr:col>35</xdr:col>
                    <xdr:colOff>66675</xdr:colOff>
                    <xdr:row>57</xdr:row>
                    <xdr:rowOff>0</xdr:rowOff>
                  </to>
                </anchor>
              </controlPr>
            </control>
          </mc:Choice>
        </mc:AlternateContent>
        <mc:AlternateContent xmlns:mc="http://schemas.openxmlformats.org/markup-compatibility/2006">
          <mc:Choice Requires="x14">
            <control shapeId="104472" r:id="rId24" name="Check Box 24">
              <controlPr defaultSize="0" autoFill="0" autoLine="0" autoPict="0" macro="[0]!CheckBox1_Click" altText="">
                <anchor>
                  <from>
                    <xdr:col>22</xdr:col>
                    <xdr:colOff>95250</xdr:colOff>
                    <xdr:row>56</xdr:row>
                    <xdr:rowOff>152400</xdr:rowOff>
                  </from>
                  <to>
                    <xdr:col>35</xdr:col>
                    <xdr:colOff>66675</xdr:colOff>
                    <xdr:row>58</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DA08B2EA-1865-4648-B79D-051F2211FEE2}">
            <x14:dataBar minLength="0" maxLength="100" gradient="0" negativeBarColorSameAsPositive="1">
              <x14:cfvo type="autoMin"/>
              <x14:cfvo type="autoMax"/>
              <x14:axisColor rgb="FF000000"/>
            </x14:dataBar>
          </x14:cfRule>
          <xm:sqref>P11:P31</xm:sqref>
        </x14:conditionalFormatting>
        <x14:conditionalFormatting xmlns:xm="http://schemas.microsoft.com/office/excel/2006/main">
          <x14:cfRule type="dataBar" id="{7E9B0E3D-F7F9-4287-953E-555465CB18B1}">
            <x14:dataBar minLength="0" maxLength="100" gradient="0" negativeBarColorSameAsPositive="1">
              <x14:cfvo type="autoMin"/>
              <x14:cfvo type="autoMax"/>
              <x14:axisColor rgb="FF000000"/>
            </x14:dataBar>
          </x14:cfRule>
          <xm:sqref>P114:P134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rgb="FFFFC000"/>
  </sheetPr>
  <dimension ref="A1:BX495"/>
  <sheetViews>
    <sheetView showGridLines="0" showRowColHeaders="0" workbookViewId="0"/>
  </sheetViews>
  <sheetFormatPr defaultColWidth="9.140625" defaultRowHeight="11.25" customHeight="1"/>
  <cols>
    <col min="1" max="1" width="2" style="52" customWidth="1"/>
    <col min="2" max="2" width="19.42578125" style="52" customWidth="1"/>
    <col min="3" max="3" width="1.140625" style="52" customWidth="1"/>
    <col min="4" max="9" width="7.42578125" style="52" customWidth="1"/>
    <col min="10" max="10" width="1.140625" customWidth="1"/>
    <col min="11" max="14" width="7.42578125" style="52" customWidth="1"/>
    <col min="15" max="15" width="7.28515625" style="52" customWidth="1"/>
    <col min="16" max="16" width="6" style="52" customWidth="1"/>
    <col min="17" max="17" width="6.42578125" style="52" customWidth="1"/>
    <col min="18" max="18" width="1.140625" style="52" customWidth="1"/>
    <col min="19" max="19" width="8.7109375" style="52" customWidth="1"/>
    <col min="20" max="20" width="8.28515625" style="52" customWidth="1"/>
    <col min="21" max="21" width="2" style="52" customWidth="1"/>
    <col min="22" max="22" width="6.42578125" style="55" customWidth="1"/>
    <col min="23" max="23" width="4.85546875" style="55" customWidth="1"/>
    <col min="24" max="24" width="17.85546875" style="56" hidden="1" customWidth="1"/>
    <col min="25" max="25" width="19.42578125" style="56" hidden="1" customWidth="1"/>
    <col min="26" max="26" width="19.85546875" style="56" hidden="1" customWidth="1"/>
    <col min="27" max="28" width="16.5703125" style="56" hidden="1" customWidth="1"/>
    <col min="29" max="29" width="8.5703125" style="56" hidden="1" customWidth="1"/>
    <col min="30" max="34" width="12" style="56" hidden="1" customWidth="1"/>
    <col min="35" max="35" width="6.5703125" style="52" hidden="1" customWidth="1"/>
    <col min="36" max="36" width="31.5703125" style="52" customWidth="1"/>
    <col min="37" max="37" width="17" style="52" hidden="1" customWidth="1"/>
    <col min="38" max="42" width="13.5703125" style="52" hidden="1" customWidth="1"/>
    <col min="43" max="70" width="9.140625" style="52" hidden="1" customWidth="1"/>
    <col min="71" max="72" width="0" style="52" hidden="1" customWidth="1"/>
    <col min="73" max="16384" width="9.140625" style="52"/>
  </cols>
  <sheetData>
    <row r="1" spans="1:49" ht="18.75" customHeight="1" thickBot="1">
      <c r="A1" s="81"/>
      <c r="B1" s="82"/>
      <c r="C1" s="82"/>
      <c r="D1" s="82"/>
      <c r="E1" s="82"/>
      <c r="F1" s="82"/>
      <c r="G1" s="82"/>
      <c r="H1" s="82"/>
      <c r="I1" s="82"/>
      <c r="J1" s="83"/>
      <c r="K1" s="82"/>
      <c r="L1" s="82"/>
      <c r="M1" s="82"/>
      <c r="N1" s="82"/>
      <c r="O1" s="82"/>
      <c r="P1" s="82"/>
      <c r="Q1" s="82"/>
      <c r="R1" s="82"/>
      <c r="S1" s="82"/>
      <c r="T1" s="82"/>
      <c r="U1" s="84"/>
      <c r="V1" s="207"/>
      <c r="W1" s="117"/>
      <c r="X1" s="135"/>
      <c r="Y1" s="534" t="str">
        <f>IF(ReportData!$C$3="Annual"," at 31st March"," at last day in quarter")</f>
        <v xml:space="preserve"> at 31st March</v>
      </c>
      <c r="Z1" s="135"/>
      <c r="AA1" s="135"/>
      <c r="AB1" s="135"/>
      <c r="AC1" s="135"/>
      <c r="AD1" s="135"/>
      <c r="AE1" s="135"/>
      <c r="AF1" s="135"/>
      <c r="AG1" s="135"/>
      <c r="AH1" s="135"/>
      <c r="AI1" s="136"/>
      <c r="AJ1" s="260"/>
    </row>
    <row r="2" spans="1:49" ht="18.75" customHeight="1">
      <c r="A2" s="87"/>
      <c r="B2" s="888" t="s">
        <v>21</v>
      </c>
      <c r="C2" s="5"/>
      <c r="D2" s="5"/>
      <c r="E2" s="5"/>
      <c r="F2" s="5"/>
      <c r="G2" s="5"/>
      <c r="H2" s="5"/>
      <c r="I2" s="5"/>
      <c r="J2" s="1"/>
      <c r="K2" s="5"/>
      <c r="L2" s="5"/>
      <c r="M2" s="5"/>
      <c r="N2" s="5"/>
      <c r="O2" s="5"/>
      <c r="P2" s="5"/>
      <c r="Q2" s="5"/>
      <c r="R2" s="5"/>
      <c r="S2" s="5"/>
      <c r="T2" s="5"/>
      <c r="U2" s="86"/>
      <c r="V2" s="122"/>
      <c r="W2" s="114"/>
      <c r="X2" s="578">
        <v>1</v>
      </c>
      <c r="Y2" s="461" t="str">
        <f>IF(ReportData!$C$3="Annual","",ReportData!$D$28)</f>
        <v/>
      </c>
      <c r="Z2" s="462" t="str">
        <f>IF(ReportData!$C$3="Annual","",ReportData!$E$28)</f>
        <v/>
      </c>
      <c r="AA2" s="462" t="str">
        <f>IF(ReportData!$C$3="Annual","",ReportData!$F$28)</f>
        <v/>
      </c>
      <c r="AB2" s="462" t="str">
        <f>IF(ReportData!$C$3="Annual","",ReportData!$G$28)</f>
        <v/>
      </c>
      <c r="AC2" s="463" t="str">
        <f>IF(ReportData!$C$3="Annual","",ReportData!$H$28)</f>
        <v/>
      </c>
      <c r="AJ2" s="119"/>
    </row>
    <row r="3" spans="1:49" ht="18.75" customHeight="1" thickBot="1">
      <c r="A3" s="91"/>
      <c r="B3" s="92"/>
      <c r="C3" s="92"/>
      <c r="D3" s="92"/>
      <c r="E3" s="92"/>
      <c r="F3" s="92"/>
      <c r="G3" s="92"/>
      <c r="H3" s="92"/>
      <c r="I3" s="200"/>
      <c r="J3" s="93"/>
      <c r="K3" s="92"/>
      <c r="L3" s="92"/>
      <c r="M3" s="92"/>
      <c r="N3" s="92"/>
      <c r="O3" s="92"/>
      <c r="P3" s="329"/>
      <c r="Q3" s="92"/>
      <c r="R3" s="92"/>
      <c r="S3" s="200"/>
      <c r="T3" s="92"/>
      <c r="U3" s="94"/>
      <c r="V3" s="122"/>
      <c r="W3" s="114"/>
      <c r="X3" s="464"/>
      <c r="Y3" s="464" t="str">
        <f>ReportData!$D$27</f>
        <v>2019/20</v>
      </c>
      <c r="Z3" s="465" t="str">
        <f>ReportData!$E$27</f>
        <v>2020/21</v>
      </c>
      <c r="AA3" s="465" t="str">
        <f>ReportData!$F$27</f>
        <v>2021/22</v>
      </c>
      <c r="AB3" s="465" t="str">
        <f>ReportData!$G$27</f>
        <v>2022/23</v>
      </c>
      <c r="AC3" s="466" t="str">
        <f>ReportData!$H$27</f>
        <v>2023/24</v>
      </c>
      <c r="AJ3" s="119"/>
    </row>
    <row r="4" spans="1:49" ht="11.25" customHeight="1">
      <c r="A4" s="81"/>
      <c r="B4" s="82"/>
      <c r="C4" s="82"/>
      <c r="D4" s="82"/>
      <c r="E4" s="82"/>
      <c r="F4" s="82"/>
      <c r="G4" s="82"/>
      <c r="H4" s="82"/>
      <c r="I4" s="82"/>
      <c r="J4" s="83"/>
      <c r="K4" s="82"/>
      <c r="L4" s="82"/>
      <c r="M4" s="82"/>
      <c r="N4" s="82"/>
      <c r="O4" s="82"/>
      <c r="P4" s="82"/>
      <c r="Q4" s="82"/>
      <c r="R4" s="82"/>
      <c r="S4" s="82"/>
      <c r="T4" s="82"/>
      <c r="U4" s="84"/>
      <c r="V4" s="119"/>
      <c r="W4" s="114"/>
      <c r="X4" s="140"/>
      <c r="Y4" s="140" t="str">
        <f>Home!$D$5</f>
        <v>(none)</v>
      </c>
      <c r="Z4" s="25" t="str">
        <f>"Selected LA- "&amp;Y4</f>
        <v>Selected LA- (none)</v>
      </c>
      <c r="AJ4" s="119"/>
    </row>
    <row r="5" spans="1:49" ht="18.75" customHeight="1">
      <c r="A5" s="87"/>
      <c r="B5" s="1775" t="str">
        <f>"Number of Looked After Children"&amp;Y1&amp;" [RIIA216]"</f>
        <v>Number of Looked After Children at 31st March [RIIA216]</v>
      </c>
      <c r="C5" s="1776"/>
      <c r="D5" s="1776"/>
      <c r="E5" s="1776"/>
      <c r="F5" s="1776"/>
      <c r="G5" s="1776"/>
      <c r="H5" s="1776"/>
      <c r="I5" s="1776"/>
      <c r="J5" s="1776"/>
      <c r="K5" s="1776"/>
      <c r="L5" s="1776"/>
      <c r="M5" s="1776"/>
      <c r="N5" s="1776"/>
      <c r="O5" s="390"/>
      <c r="P5" s="390"/>
      <c r="Q5" s="390"/>
      <c r="R5" s="390"/>
      <c r="S5" s="390"/>
      <c r="T5" s="390"/>
      <c r="U5" s="86"/>
      <c r="V5" s="119"/>
      <c r="W5" s="114"/>
      <c r="X5" s="52"/>
      <c r="Y5" s="52"/>
      <c r="Z5" s="52"/>
      <c r="AA5" s="52"/>
      <c r="AB5" s="52"/>
      <c r="AC5" s="52"/>
      <c r="AD5" s="52"/>
      <c r="AE5" s="52"/>
      <c r="AF5" s="52"/>
      <c r="AG5" s="52"/>
      <c r="AH5" s="52"/>
      <c r="AJ5" s="119"/>
      <c r="AK5" s="52" t="str">
        <f>CONCATENATE($I$7,"in Number of "&amp;$B2)</f>
        <v>Average Annual Change in Number of Looked After Children</v>
      </c>
    </row>
    <row r="6" spans="1:49" ht="18.75" customHeight="1">
      <c r="A6" s="87"/>
      <c r="B6" s="1776"/>
      <c r="C6" s="1776"/>
      <c r="D6" s="1776"/>
      <c r="E6" s="1776"/>
      <c r="F6" s="1776"/>
      <c r="G6" s="1776"/>
      <c r="H6" s="1776"/>
      <c r="I6" s="1776"/>
      <c r="J6" s="1776"/>
      <c r="K6" s="1776"/>
      <c r="L6" s="1776"/>
      <c r="M6" s="1776"/>
      <c r="N6" s="1776"/>
      <c r="O6" s="390"/>
      <c r="P6" s="390"/>
      <c r="Q6" s="390"/>
      <c r="R6" s="390"/>
      <c r="S6" s="390"/>
      <c r="T6" s="390"/>
      <c r="U6" s="86"/>
      <c r="V6" s="119"/>
      <c r="W6" s="114"/>
      <c r="Y6" s="141"/>
      <c r="AJ6" s="119"/>
    </row>
    <row r="7" spans="1:49" s="61" customFormat="1" ht="13.5" customHeight="1">
      <c r="A7" s="88"/>
      <c r="B7" s="1749" t="s">
        <v>177</v>
      </c>
      <c r="C7" s="896"/>
      <c r="D7" s="1777" t="s">
        <v>84</v>
      </c>
      <c r="E7" s="1777"/>
      <c r="F7" s="1777"/>
      <c r="G7" s="1777"/>
      <c r="H7" s="1778"/>
      <c r="I7" s="1761" t="str">
        <f>"Average "&amp;ReportData!C3&amp;" Change "</f>
        <v xml:space="preserve">Average Annual Change </v>
      </c>
      <c r="J7" s="896"/>
      <c r="K7" s="1765" t="s">
        <v>85</v>
      </c>
      <c r="L7" s="1766"/>
      <c r="M7" s="1766"/>
      <c r="N7" s="1766"/>
      <c r="O7" s="1766"/>
      <c r="P7" s="1767"/>
      <c r="Q7" s="1761" t="str">
        <f>IF(ISNA(O8),"Rank "&amp;O10,"Rank "&amp;LEFT(O8,5)&amp;" "&amp;RIGHT(O8,2))</f>
        <v>Rank 2023/ 24</v>
      </c>
      <c r="R7" s="64"/>
      <c r="S7" s="1783" t="str">
        <f>"Distance from "&amp;ReportData!$B$8&amp;" Expected Rate based on IDACI"</f>
        <v>Distance from 2024 Expected Rate based on IDACI</v>
      </c>
      <c r="T7" s="1784"/>
      <c r="U7" s="89"/>
      <c r="V7" s="186"/>
      <c r="W7" s="115"/>
      <c r="AA7" s="153" t="s">
        <v>76</v>
      </c>
      <c r="AB7" s="141"/>
      <c r="AC7" s="141"/>
      <c r="AD7" s="149"/>
      <c r="AE7" s="149"/>
      <c r="AF7" s="154" t="s">
        <v>88</v>
      </c>
      <c r="AG7" s="141"/>
      <c r="AH7" s="141"/>
      <c r="AJ7" s="121"/>
      <c r="AK7" s="350"/>
      <c r="AL7" s="350"/>
      <c r="AM7" s="350"/>
      <c r="AN7" s="350"/>
      <c r="AO7" s="350"/>
      <c r="AP7" s="52"/>
      <c r="AQ7" s="52"/>
      <c r="AR7" s="52"/>
      <c r="AS7" s="52"/>
      <c r="AT7" s="52"/>
      <c r="AU7" s="52"/>
      <c r="AV7" s="52"/>
      <c r="AW7" s="52"/>
    </row>
    <row r="8" spans="1:49" s="61" customFormat="1" ht="13.5" customHeight="1">
      <c r="A8" s="217"/>
      <c r="B8" s="1749"/>
      <c r="C8" s="896"/>
      <c r="D8" s="1770" t="str">
        <f>ReportData!$D$27</f>
        <v>2019/20</v>
      </c>
      <c r="E8" s="1770" t="str">
        <f>ReportData!$E$27</f>
        <v>2020/21</v>
      </c>
      <c r="F8" s="1770" t="str">
        <f>ReportData!$F$27</f>
        <v>2021/22</v>
      </c>
      <c r="G8" s="1770" t="str">
        <f>ReportData!$G$27</f>
        <v>2022/23</v>
      </c>
      <c r="H8" s="1781" t="str">
        <f>ReportData!$H$27</f>
        <v>2023/24</v>
      </c>
      <c r="I8" s="1762"/>
      <c r="J8" s="896"/>
      <c r="K8" s="1770" t="str">
        <f>ReportData!$D$27</f>
        <v>2019/20</v>
      </c>
      <c r="L8" s="1770" t="str">
        <f>ReportData!$E$27</f>
        <v>2020/21</v>
      </c>
      <c r="M8" s="1770" t="str">
        <f>ReportData!$F$27</f>
        <v>2021/22</v>
      </c>
      <c r="N8" s="1770" t="str">
        <f>ReportData!$G$27</f>
        <v>2022/23</v>
      </c>
      <c r="O8" s="1789" t="str">
        <f>ReportData!$H$27</f>
        <v>2023/24</v>
      </c>
      <c r="P8" s="1790"/>
      <c r="Q8" s="1762"/>
      <c r="R8" s="64"/>
      <c r="S8" s="1785"/>
      <c r="T8" s="1786"/>
      <c r="U8" s="89"/>
      <c r="V8" s="103"/>
      <c r="W8" s="115"/>
      <c r="Y8" s="1772" t="s">
        <v>73</v>
      </c>
      <c r="Z8" s="1772" t="s">
        <v>74</v>
      </c>
      <c r="AA8" s="444" t="str">
        <f>ReportData!$D$27</f>
        <v>2019/20</v>
      </c>
      <c r="AB8" s="444" t="str">
        <f>ReportData!$E$27</f>
        <v>2020/21</v>
      </c>
      <c r="AC8" s="444" t="str">
        <f>ReportData!$F$27</f>
        <v>2021/22</v>
      </c>
      <c r="AD8" s="444" t="str">
        <f>ReportData!$G$27</f>
        <v>2022/23</v>
      </c>
      <c r="AE8" s="444" t="str">
        <f>ReportData!$H$27</f>
        <v>2023/24</v>
      </c>
      <c r="AF8" s="154"/>
      <c r="AG8" s="141"/>
      <c r="AH8" s="141"/>
      <c r="AJ8" s="121"/>
      <c r="AK8" s="109"/>
      <c r="AL8" s="109"/>
      <c r="AM8" s="109"/>
      <c r="AN8" s="109"/>
      <c r="AO8" s="109"/>
      <c r="AQ8" s="52"/>
      <c r="AR8" s="52"/>
      <c r="AS8" s="52"/>
      <c r="AT8" s="52"/>
      <c r="AU8" s="52"/>
      <c r="AV8" s="52"/>
      <c r="AW8" s="52"/>
    </row>
    <row r="9" spans="1:49" s="61" customFormat="1" ht="9" customHeight="1">
      <c r="A9" s="217"/>
      <c r="B9" s="1749"/>
      <c r="C9" s="896"/>
      <c r="D9" s="1771"/>
      <c r="E9" s="1771"/>
      <c r="F9" s="1771"/>
      <c r="G9" s="1771"/>
      <c r="H9" s="1782"/>
      <c r="I9" s="1762"/>
      <c r="J9" s="896"/>
      <c r="K9" s="1771"/>
      <c r="L9" s="1771"/>
      <c r="M9" s="1771"/>
      <c r="N9" s="1771"/>
      <c r="O9" s="1791"/>
      <c r="P9" s="1792"/>
      <c r="Q9" s="1762"/>
      <c r="R9" s="64"/>
      <c r="S9" s="1787"/>
      <c r="T9" s="1788"/>
      <c r="U9" s="89"/>
      <c r="V9" s="103"/>
      <c r="W9" s="918"/>
      <c r="Y9" s="1773"/>
      <c r="Z9" s="1773"/>
      <c r="AA9" s="444"/>
      <c r="AB9" s="444"/>
      <c r="AC9" s="444"/>
      <c r="AD9" s="444"/>
      <c r="AE9" s="444"/>
      <c r="AF9" s="154"/>
      <c r="AG9" s="141"/>
      <c r="AH9" s="141"/>
      <c r="AJ9" s="121"/>
      <c r="AK9" s="109"/>
      <c r="AL9" s="109"/>
      <c r="AM9" s="109"/>
      <c r="AN9" s="109"/>
      <c r="AO9" s="109"/>
      <c r="AQ9" s="52"/>
      <c r="AR9" s="52"/>
      <c r="AS9" s="52"/>
      <c r="AT9" s="52"/>
      <c r="AU9" s="52"/>
      <c r="AV9" s="52"/>
      <c r="AW9" s="52"/>
    </row>
    <row r="10" spans="1:49" s="61" customFormat="1" ht="13.5" customHeight="1">
      <c r="A10" s="88"/>
      <c r="B10" s="1764"/>
      <c r="C10" s="896"/>
      <c r="D10" s="897" t="e">
        <f>ReportData!$D$28</f>
        <v>#N/A</v>
      </c>
      <c r="E10" s="897" t="e">
        <f>ReportData!$E$28</f>
        <v>#N/A</v>
      </c>
      <c r="F10" s="897" t="e">
        <f>ReportData!$F$28</f>
        <v>#N/A</v>
      </c>
      <c r="G10" s="897" t="e">
        <f>ReportData!$G$28</f>
        <v>#N/A</v>
      </c>
      <c r="H10" s="920" t="e">
        <f>ReportData!$H$28</f>
        <v>#N/A</v>
      </c>
      <c r="I10" s="1763"/>
      <c r="J10" s="896"/>
      <c r="K10" s="897" t="e">
        <f>ReportData!$D$28</f>
        <v>#N/A</v>
      </c>
      <c r="L10" s="897" t="e">
        <f>ReportData!$E$28</f>
        <v>#N/A</v>
      </c>
      <c r="M10" s="897" t="e">
        <f>ReportData!$F$28</f>
        <v>#N/A</v>
      </c>
      <c r="N10" s="897" t="e">
        <f>ReportData!$G$28</f>
        <v>#N/A</v>
      </c>
      <c r="O10" s="1779" t="e">
        <f>ReportData!$H$28</f>
        <v>#N/A</v>
      </c>
      <c r="P10" s="1780"/>
      <c r="Q10" s="1763"/>
      <c r="R10" s="64"/>
      <c r="S10" s="898" t="s">
        <v>110</v>
      </c>
      <c r="T10" s="899" t="s">
        <v>111</v>
      </c>
      <c r="U10" s="89"/>
      <c r="V10" s="103"/>
      <c r="W10" s="115"/>
      <c r="Y10" s="1774"/>
      <c r="Z10" s="1774"/>
      <c r="AA10" s="444" t="e">
        <f>ReportData!$D$28</f>
        <v>#N/A</v>
      </c>
      <c r="AB10" s="444" t="e">
        <f>ReportData!$E$28</f>
        <v>#N/A</v>
      </c>
      <c r="AC10" s="444" t="e">
        <f>ReportData!$F$28</f>
        <v>#N/A</v>
      </c>
      <c r="AD10" s="444" t="e">
        <f>ReportData!$G$28</f>
        <v>#N/A</v>
      </c>
      <c r="AE10" s="444" t="e">
        <f>ReportData!$H$28</f>
        <v>#N/A</v>
      </c>
      <c r="AF10" s="141"/>
      <c r="AG10" s="141">
        <f>COLUMNS($B$4:O$4)</f>
        <v>14</v>
      </c>
      <c r="AH10" s="141"/>
      <c r="AJ10" s="121"/>
      <c r="AK10" s="479" t="s">
        <v>598</v>
      </c>
      <c r="AL10" s="479" t="s">
        <v>599</v>
      </c>
      <c r="AM10" s="479" t="s">
        <v>600</v>
      </c>
      <c r="AN10" s="479" t="s">
        <v>601</v>
      </c>
      <c r="AO10" s="479" t="s">
        <v>602</v>
      </c>
      <c r="AQ10" s="52"/>
      <c r="AR10" s="52"/>
      <c r="AS10" s="52"/>
      <c r="AT10" s="52"/>
      <c r="AU10" s="52"/>
      <c r="AV10" s="52"/>
      <c r="AW10" s="52"/>
    </row>
    <row r="11" spans="1:49" s="61" customFormat="1" ht="15.75" customHeight="1">
      <c r="A11" s="1103">
        <f>VLOOKUP(B11,ReportData!$AQ$4:$AR$25,2,FALSE)</f>
        <v>0</v>
      </c>
      <c r="B11" s="885" t="str">
        <f>ReportData!$K$4</f>
        <v>Bracknell Forest</v>
      </c>
      <c r="C11" s="896"/>
      <c r="D11" s="889">
        <f>IF(Year1_Bracknell_Forest Year1_LAC="","",Year1_Bracknell_Forest Year1_LAC)</f>
        <v>142</v>
      </c>
      <c r="E11" s="889">
        <f>IF(Year2_Bracknell_Forest Year2_LAC="","",Year2_Bracknell_Forest Year2_LAC)</f>
        <v>146</v>
      </c>
      <c r="F11" s="889">
        <f>IF(Year3_Bracknell_Forest Year3_LAC="","",Year3_Bracknell_Forest Year3_LAC)</f>
        <v>137</v>
      </c>
      <c r="G11" s="889">
        <f>IF(Year4_Bracknell_Forest Year4_LAC="","",Year4_Bracknell_Forest Year4_LAC)</f>
        <v>157</v>
      </c>
      <c r="H11" s="890">
        <f>IF(Year5_Bracknell_Forest Year5_LAC="","",Year5_Bracknell_Forest Year5_LAC)</f>
        <v>140</v>
      </c>
      <c r="I11" s="900">
        <f>AO11</f>
        <v>1.0575812877131573E-3</v>
      </c>
      <c r="J11" s="896"/>
      <c r="K11" s="901">
        <f>IF(ISNUMBER(D11),D11/Population!D11*10000,NA())</f>
        <v>52.018462891054291</v>
      </c>
      <c r="L11" s="901">
        <f>IF(ISNUMBER(E11),E11/Population!E11*10000,NA())</f>
        <v>52.910052910052904</v>
      </c>
      <c r="M11" s="901">
        <f>IF(ISNUMBER(F11),F11/Population!F11*10000,NA())</f>
        <v>49.239837544477595</v>
      </c>
      <c r="N11" s="901">
        <f>IF(ISNUMBER(G11),G11/Population!G11*10000,NA())</f>
        <v>55.418284504059301</v>
      </c>
      <c r="O11" s="902">
        <f>IF(ISNUMBER(H11),H11/Population!H11*10000,NA())</f>
        <v>48.870736900897121</v>
      </c>
      <c r="P11" s="903">
        <f>IF(ISNUMBER(O11),O11,"")</f>
        <v>48.870736900897121</v>
      </c>
      <c r="Q11" s="1190">
        <f>IF(ISNA(VLOOKUP(B11,$AF$11:$AH$29,3,FALSE)),"--",IF(ISNUMBER(H11),VLOOKUP(B11,$AF$11:$AH$29,3,FALSE),NA()))</f>
        <v>6</v>
      </c>
      <c r="R11" s="64"/>
      <c r="S11" s="905">
        <f>(AQ38*$Y$41)+$Z$41</f>
        <v>44.641324534612238</v>
      </c>
      <c r="T11" s="906">
        <f t="shared" ref="T11:T31" si="0">O11-S11</f>
        <v>4.2294123662848833</v>
      </c>
      <c r="U11" s="89"/>
      <c r="V11" s="103"/>
      <c r="W11" s="115"/>
      <c r="X11" s="51" t="str">
        <f t="shared" ref="X11:X31" si="1">B11</f>
        <v>Bracknell Forest</v>
      </c>
      <c r="Y11" s="27">
        <f>IF(ISNUMBER(H11),IDACI!D9,0)</f>
        <v>24849</v>
      </c>
      <c r="Z11" s="27">
        <f>IF(ISNUMBER(H11),IDACI!E9,0)</f>
        <v>2211.5610000000001</v>
      </c>
      <c r="AA11" s="155">
        <f>IF(ISNUMBER(D11),Population!D11,"")</f>
        <v>27298</v>
      </c>
      <c r="AB11" s="155">
        <f>IF(ISNUMBER(E11),Population!E11,"")</f>
        <v>27594</v>
      </c>
      <c r="AC11" s="155">
        <f>IF(ISNUMBER(F11),Population!F11,"")</f>
        <v>27823</v>
      </c>
      <c r="AD11" s="155">
        <f>IF(ISNUMBER(G11),Population!G11,"")</f>
        <v>28330</v>
      </c>
      <c r="AE11" s="155">
        <f>IF(ISNUMBER(H11),Population!H11,"")</f>
        <v>28647</v>
      </c>
      <c r="AF11" s="65" t="str">
        <f>B11</f>
        <v>Bracknell Forest</v>
      </c>
      <c r="AG11" s="70">
        <f t="shared" ref="AG11:AG29" si="2">IFERROR(VLOOKUP(AF11,$B$11:$O$29,AG$10,FALSE),"")</f>
        <v>48.870736900897121</v>
      </c>
      <c r="AH11" s="156">
        <f t="shared" ref="AH11:AH29" si="3">RANK(AG11,$AG$11:$AG$29,1)</f>
        <v>6</v>
      </c>
      <c r="AJ11" s="121"/>
      <c r="AK11" s="480">
        <f t="shared" ref="AK11:AK29" si="4">IF(ISERROR((E11-D11)/D11),"x",(E11-D11)/D11)</f>
        <v>2.8169014084507043E-2</v>
      </c>
      <c r="AL11" s="480">
        <f t="shared" ref="AL11:AL29" si="5">IF(ISERROR((F11-E11)/E11),"x",(F11-E11)/E11)</f>
        <v>-6.1643835616438353E-2</v>
      </c>
      <c r="AM11" s="480">
        <f t="shared" ref="AM11:AM29" si="6">IF(ISERROR((G11-F11)/F11),"x",(G11-F11)/F11)</f>
        <v>0.145985401459854</v>
      </c>
      <c r="AN11" s="480">
        <f t="shared" ref="AN11:AN29" si="7">IF(ISERROR((H11-G11)/G11),"x",(H11-G11)/G11)</f>
        <v>-0.10828025477707007</v>
      </c>
      <c r="AO11" s="480">
        <f>AVERAGE(AK11:AN11)</f>
        <v>1.0575812877131573E-3</v>
      </c>
      <c r="AQ11" s="52"/>
      <c r="AR11" s="52"/>
      <c r="AS11" s="52"/>
      <c r="AT11" s="52"/>
      <c r="AU11" s="52"/>
      <c r="AV11" s="52"/>
      <c r="AW11" s="52"/>
    </row>
    <row r="12" spans="1:49" s="61" customFormat="1" ht="15.75" customHeight="1">
      <c r="A12" s="1103">
        <f>VLOOKUP(B12,ReportData!$AQ$4:$AR$25,2,FALSE)</f>
        <v>0</v>
      </c>
      <c r="B12" s="885" t="str">
        <f>ReportData!$K$5</f>
        <v>Brighton &amp; Hove</v>
      </c>
      <c r="C12" s="896"/>
      <c r="D12" s="889">
        <f>IF(Year1_Brighton_and_Hove Year1_LAC="","",Year1_Brighton_and_Hove Year1_LAC)</f>
        <v>371</v>
      </c>
      <c r="E12" s="889">
        <f>IF(Year2_Brighton_and_Hove Year2_LAC="","",Year2_Brighton_and_Hove Year2_LAC)</f>
        <v>373</v>
      </c>
      <c r="F12" s="889">
        <f>IF(Year3_Brighton_and_Hove Year3_LAC="","",Year3_Brighton_and_Hove Year3_LAC)</f>
        <v>389</v>
      </c>
      <c r="G12" s="889">
        <f>IF(Year4_Brighton_and_Hove Year4_LAC="","",Year4_Brighton_and_Hove Year4_LAC)</f>
        <v>345</v>
      </c>
      <c r="H12" s="890">
        <f>IF(Year5_Brighton_and_Hove Year5_LAC="","",Year5_Brighton_and_Hove Year5_LAC)</f>
        <v>354</v>
      </c>
      <c r="I12" s="900">
        <f t="shared" ref="I12:I31" si="8">AO12</f>
        <v>-9.6843263463137659E-3</v>
      </c>
      <c r="J12" s="896"/>
      <c r="K12" s="901">
        <f>IF(ISNUMBER(D12),D12/Population!D12*10000,NA())</f>
        <v>76.649725217966193</v>
      </c>
      <c r="L12" s="901">
        <f>IF(ISNUMBER(E12),E12/Population!E12*10000,NA())</f>
        <v>77.766658327078645</v>
      </c>
      <c r="M12" s="901">
        <f>IF(ISNUMBER(F12),F12/Population!F12*10000,NA())</f>
        <v>82.546419098143232</v>
      </c>
      <c r="N12" s="901">
        <f>IF(ISNUMBER(G12),G12/Population!G12*10000,NA())</f>
        <v>73.1862537123462</v>
      </c>
      <c r="O12" s="902">
        <f>IF(ISNUMBER(H12),H12/Population!H12*10000,NA())</f>
        <v>75.858226546093519</v>
      </c>
      <c r="P12" s="903">
        <f t="shared" ref="P12:P25" si="9">IF(ISNUMBER(O12),O12,"")</f>
        <v>75.858226546093519</v>
      </c>
      <c r="Q12" s="1190">
        <f t="shared" ref="Q12:Q31" si="10">IF(ISNA(VLOOKUP(B12,$AF$11:$AH$29,3,FALSE)),"--",IF(ISNUMBER(H12),VLOOKUP(B12,$AF$11:$AH$29,3,FALSE),NA()))</f>
        <v>16</v>
      </c>
      <c r="R12" s="64"/>
      <c r="S12" s="905">
        <f t="shared" ref="S12:S31" si="11">(AQ39*$Y$41)+$Z$41</f>
        <v>67.152247938248394</v>
      </c>
      <c r="T12" s="906">
        <f t="shared" si="0"/>
        <v>8.7059786078451253</v>
      </c>
      <c r="U12" s="89"/>
      <c r="V12" s="103"/>
      <c r="W12" s="115"/>
      <c r="X12" s="51" t="str">
        <f t="shared" si="1"/>
        <v>Brighton &amp; Hove</v>
      </c>
      <c r="Y12" s="27">
        <f>IF(ISNUMBER(H12),IDACI!D10,0)</f>
        <v>45576</v>
      </c>
      <c r="Z12" s="27">
        <f>IF(ISNUMBER(H12),IDACI!E10,0)</f>
        <v>6973.1279999999997</v>
      </c>
      <c r="AA12" s="155">
        <f>IF(ISNUMBER(D12),Population!D12,"")</f>
        <v>48402</v>
      </c>
      <c r="AB12" s="155">
        <f>IF(ISNUMBER(E12),Population!E12,"")</f>
        <v>47964</v>
      </c>
      <c r="AC12" s="155">
        <f>IF(ISNUMBER(F12),Population!F12,"")</f>
        <v>47125</v>
      </c>
      <c r="AD12" s="155">
        <f>IF(ISNUMBER(G12),Population!G12,"")</f>
        <v>47140</v>
      </c>
      <c r="AE12" s="155">
        <f>IF(ISNUMBER(H12),Population!H12,"")</f>
        <v>46666</v>
      </c>
      <c r="AF12" s="65" t="s">
        <v>28</v>
      </c>
      <c r="AG12" s="70">
        <f t="shared" si="2"/>
        <v>75.858226546093519</v>
      </c>
      <c r="AH12" s="156">
        <f t="shared" si="3"/>
        <v>16</v>
      </c>
      <c r="AJ12" s="121"/>
      <c r="AK12" s="480">
        <f t="shared" si="4"/>
        <v>5.3908355795148251E-3</v>
      </c>
      <c r="AL12" s="480">
        <f t="shared" si="5"/>
        <v>4.2895442359249331E-2</v>
      </c>
      <c r="AM12" s="480">
        <f t="shared" si="6"/>
        <v>-0.11311053984575835</v>
      </c>
      <c r="AN12" s="480">
        <f t="shared" si="7"/>
        <v>2.6086956521739129E-2</v>
      </c>
      <c r="AO12" s="480">
        <f t="shared" ref="AO12:AO25" si="12">AVERAGE(AK12:AN12)</f>
        <v>-9.6843263463137659E-3</v>
      </c>
      <c r="AQ12" s="52"/>
      <c r="AR12" s="52"/>
      <c r="AS12" s="52"/>
      <c r="AT12" s="52"/>
      <c r="AU12" s="52"/>
      <c r="AV12" s="52"/>
      <c r="AW12" s="52"/>
    </row>
    <row r="13" spans="1:49" s="61" customFormat="1" ht="15.75" customHeight="1">
      <c r="A13" s="1103">
        <f>VLOOKUP(B13,ReportData!$AQ$4:$AR$25,2,FALSE)</f>
        <v>0</v>
      </c>
      <c r="B13" s="885" t="str">
        <f>ReportData!$K$6</f>
        <v>Buckinghamshire</v>
      </c>
      <c r="C13" s="896"/>
      <c r="D13" s="889">
        <f>IF(Year1_Buckinghamshire Year1_LAC="","",Year1_Buckinghamshire Year1_LAC)</f>
        <v>484</v>
      </c>
      <c r="E13" s="889">
        <f>IF(Year2_Buckinghamshire Year2_LAC="","",Year2_Buckinghamshire Year2_LAC)</f>
        <v>510</v>
      </c>
      <c r="F13" s="889">
        <f>IF(Year3_Buckinghamshire Year3_LAC="","",Year3_Buckinghamshire Year3_LAC)</f>
        <v>502</v>
      </c>
      <c r="G13" s="889">
        <f>IF(Year4_Buckinghamshire Year4_LAC="","",Year4_Buckinghamshire Year4_LAC)</f>
        <v>497</v>
      </c>
      <c r="H13" s="890">
        <f>IF(Year5_Buckinghamshire Year5_LAC="","",Year5_Buckinghamshire Year5_LAC)</f>
        <v>523</v>
      </c>
      <c r="I13" s="900">
        <f t="shared" si="8"/>
        <v>2.0096614422976972E-2</v>
      </c>
      <c r="J13" s="896"/>
      <c r="K13" s="901">
        <f>IF(ISNUMBER(D13),D13/Population!D13*10000,NA())</f>
        <v>39.627631266528567</v>
      </c>
      <c r="L13" s="901">
        <f>IF(ISNUMBER(E13),E13/Population!E13*10000,NA())</f>
        <v>41.634352422547856</v>
      </c>
      <c r="M13" s="901">
        <f>IF(ISNUMBER(F13),F13/Population!F13*10000,NA())</f>
        <v>40.64448222815966</v>
      </c>
      <c r="N13" s="901">
        <f>IF(ISNUMBER(G13),G13/Population!G13*10000,NA())</f>
        <v>39.471071754755194</v>
      </c>
      <c r="O13" s="902">
        <f>IF(ISNUMBER(H13),H13/Population!H13*10000,NA())</f>
        <v>40.98232196589769</v>
      </c>
      <c r="P13" s="903">
        <f t="shared" si="9"/>
        <v>40.98232196589769</v>
      </c>
      <c r="Q13" s="1190">
        <f t="shared" si="10"/>
        <v>4</v>
      </c>
      <c r="R13" s="64"/>
      <c r="S13" s="905">
        <f t="shared" si="11"/>
        <v>43.234391821884984</v>
      </c>
      <c r="T13" s="906">
        <f t="shared" si="0"/>
        <v>-2.252069855987294</v>
      </c>
      <c r="U13" s="89"/>
      <c r="V13" s="103"/>
      <c r="W13" s="115"/>
      <c r="X13" s="51" t="str">
        <f t="shared" si="1"/>
        <v>Buckinghamshire</v>
      </c>
      <c r="Y13" s="27">
        <f>IF(ISNUMBER(H13),IDACI!D11,0)</f>
        <v>107385</v>
      </c>
      <c r="Z13" s="27">
        <f>IF(ISNUMBER(H13),IDACI!E11,0)</f>
        <v>9127.7250000000004</v>
      </c>
      <c r="AA13" s="155">
        <f>IF(ISNUMBER(D13),Population!D13,"")</f>
        <v>122137</v>
      </c>
      <c r="AB13" s="155">
        <f>IF(ISNUMBER(E13),Population!E13,"")</f>
        <v>122495</v>
      </c>
      <c r="AC13" s="155">
        <f>IF(ISNUMBER(F13),Population!F13,"")</f>
        <v>123510</v>
      </c>
      <c r="AD13" s="155">
        <f>IF(ISNUMBER(G13),Population!G13,"")</f>
        <v>125915</v>
      </c>
      <c r="AE13" s="155">
        <f>IF(ISNUMBER(H13),Population!H13,"")</f>
        <v>127616</v>
      </c>
      <c r="AF13" s="65" t="s">
        <v>8</v>
      </c>
      <c r="AG13" s="70">
        <f t="shared" si="2"/>
        <v>40.98232196589769</v>
      </c>
      <c r="AH13" s="156">
        <f t="shared" si="3"/>
        <v>4</v>
      </c>
      <c r="AJ13" s="121"/>
      <c r="AK13" s="480">
        <f t="shared" si="4"/>
        <v>5.3719008264462811E-2</v>
      </c>
      <c r="AL13" s="480">
        <f t="shared" si="5"/>
        <v>-1.5686274509803921E-2</v>
      </c>
      <c r="AM13" s="480">
        <f t="shared" si="6"/>
        <v>-9.9601593625498006E-3</v>
      </c>
      <c r="AN13" s="480">
        <f t="shared" si="7"/>
        <v>5.2313883299798795E-2</v>
      </c>
      <c r="AO13" s="480">
        <f t="shared" si="12"/>
        <v>2.0096614422976972E-2</v>
      </c>
      <c r="AQ13" s="52"/>
      <c r="AR13" s="52"/>
      <c r="AS13" s="52"/>
      <c r="AT13" s="52"/>
      <c r="AU13" s="52"/>
      <c r="AV13" s="52"/>
      <c r="AW13" s="52"/>
    </row>
    <row r="14" spans="1:49" s="61" customFormat="1" ht="15.75" customHeight="1">
      <c r="A14" s="1103">
        <f>VLOOKUP(B14,ReportData!$AQ$4:$AR$25,2,FALSE)</f>
        <v>0</v>
      </c>
      <c r="B14" s="885" t="str">
        <f>ReportData!$K$7</f>
        <v>East Sussex</v>
      </c>
      <c r="C14" s="896"/>
      <c r="D14" s="889">
        <f>IF(Year1_East_Sussex Year1_LAC="","",Year1_East_Sussex Year1_LAC)</f>
        <v>580</v>
      </c>
      <c r="E14" s="889">
        <f>IF(Year2_East_Sussex Year2_LAC="","",Year2_East_Sussex Year2_LAC)</f>
        <v>611</v>
      </c>
      <c r="F14" s="889">
        <f>IF(Year3_East_Sussex Year3_LAC="","",Year3_East_Sussex Year3_LAC)</f>
        <v>628</v>
      </c>
      <c r="G14" s="889">
        <f>IF(Year4_East_Sussex Year4_LAC="","",Year4_East_Sussex Year4_LAC)</f>
        <v>661</v>
      </c>
      <c r="H14" s="890">
        <f>IF(Year5_East_Sussex Year5_LAC="","",Year5_East_Sussex Year5_LAC)</f>
        <v>657</v>
      </c>
      <c r="I14" s="900">
        <f t="shared" si="8"/>
        <v>3.1941962483891265E-2</v>
      </c>
      <c r="J14" s="896"/>
      <c r="K14" s="901">
        <f>IF(ISNUMBER(D14),D14/Population!D14*10000,NA())</f>
        <v>56.353902507748657</v>
      </c>
      <c r="L14" s="901">
        <f>IF(ISNUMBER(E14),E14/Population!E14*10000,NA())</f>
        <v>59.65689959870727</v>
      </c>
      <c r="M14" s="901">
        <f>IF(ISNUMBER(F14),F14/Population!F14*10000,NA())</f>
        <v>61.593385576555278</v>
      </c>
      <c r="N14" s="901">
        <f>IF(ISNUMBER(G14),G14/Population!G14*10000,NA())</f>
        <v>64.283977631898864</v>
      </c>
      <c r="O14" s="902">
        <f>IF(ISNUMBER(H14),H14/Population!H14*10000,NA())</f>
        <v>63.413315831129474</v>
      </c>
      <c r="P14" s="903">
        <f t="shared" si="9"/>
        <v>63.413315831129474</v>
      </c>
      <c r="Q14" s="1190">
        <f t="shared" si="10"/>
        <v>12</v>
      </c>
      <c r="R14" s="64"/>
      <c r="S14" s="905">
        <f t="shared" si="11"/>
        <v>69.966113363702931</v>
      </c>
      <c r="T14" s="906">
        <f t="shared" si="0"/>
        <v>-6.5527975325734573</v>
      </c>
      <c r="U14" s="89"/>
      <c r="V14" s="103"/>
      <c r="W14" s="115"/>
      <c r="X14" s="51" t="str">
        <f t="shared" si="1"/>
        <v>East Sussex</v>
      </c>
      <c r="Y14" s="27">
        <f>IF(ISNUMBER(H14),IDACI!D12,0)</f>
        <v>93130</v>
      </c>
      <c r="Z14" s="27">
        <f>IF(ISNUMBER(H14),IDACI!E12,0)</f>
        <v>14993.93</v>
      </c>
      <c r="AA14" s="155">
        <f>IF(ISNUMBER(D14),Population!D14,"")</f>
        <v>102921</v>
      </c>
      <c r="AB14" s="155">
        <f>IF(ISNUMBER(E14),Population!E14,"")</f>
        <v>102419</v>
      </c>
      <c r="AC14" s="155">
        <f>IF(ISNUMBER(F14),Population!F14,"")</f>
        <v>101959</v>
      </c>
      <c r="AD14" s="155">
        <f>IF(ISNUMBER(G14),Population!G14,"")</f>
        <v>102825</v>
      </c>
      <c r="AE14" s="155">
        <f>IF(ISNUMBER(H14),Population!H14,"")</f>
        <v>103606</v>
      </c>
      <c r="AF14" s="65" t="s">
        <v>4</v>
      </c>
      <c r="AG14" s="70">
        <f t="shared" si="2"/>
        <v>63.413315831129474</v>
      </c>
      <c r="AH14" s="156">
        <f t="shared" si="3"/>
        <v>12</v>
      </c>
      <c r="AJ14" s="121"/>
      <c r="AK14" s="480">
        <f t="shared" si="4"/>
        <v>5.3448275862068968E-2</v>
      </c>
      <c r="AL14" s="480">
        <f t="shared" si="5"/>
        <v>2.7823240589198037E-2</v>
      </c>
      <c r="AM14" s="480">
        <f t="shared" si="6"/>
        <v>5.2547770700636945E-2</v>
      </c>
      <c r="AN14" s="480">
        <f t="shared" si="7"/>
        <v>-6.0514372163388806E-3</v>
      </c>
      <c r="AO14" s="480">
        <f t="shared" si="12"/>
        <v>3.1941962483891265E-2</v>
      </c>
      <c r="AQ14" s="52"/>
      <c r="AR14" s="52"/>
      <c r="AS14" s="52"/>
      <c r="AT14" s="52"/>
      <c r="AU14" s="52"/>
      <c r="AV14" s="52"/>
      <c r="AW14" s="52"/>
    </row>
    <row r="15" spans="1:49" s="61" customFormat="1" ht="15.75" customHeight="1">
      <c r="A15" s="1103">
        <f>VLOOKUP(B15,ReportData!$AQ$4:$AR$25,2,FALSE)</f>
        <v>0</v>
      </c>
      <c r="B15" s="885" t="str">
        <f>ReportData!$K$8</f>
        <v>Hampshire</v>
      </c>
      <c r="C15" s="896"/>
      <c r="D15" s="889">
        <f>IF(Year1_Hampshire Year1_LAC="","",Year1_Hampshire Year1_LAC)</f>
        <v>1601</v>
      </c>
      <c r="E15" s="889">
        <f>IF(Year2_Hampshire Year2_LAC="","",Year2_Hampshire Year2_LAC)</f>
        <v>1661</v>
      </c>
      <c r="F15" s="891">
        <f>IF(Year3_Hampshire Year3_LAC="","",Year3_Hampshire Year3_LAC)</f>
        <v>1724</v>
      </c>
      <c r="G15" s="891">
        <f>IF(Year4_Hampshire Year4_LAC="","",Year4_Hampshire Year4_LAC)</f>
        <v>1853</v>
      </c>
      <c r="H15" s="890">
        <f>IF(Year5_Hampshire Year5_LAC="","",Year5_Hampshire Year5_LAC)</f>
        <v>1917</v>
      </c>
      <c r="I15" s="900">
        <f t="shared" si="8"/>
        <v>4.6192526938391633E-2</v>
      </c>
      <c r="J15" s="896"/>
      <c r="K15" s="901">
        <f>IF(ISNUMBER(D15),D15/Population!D15*10000,NA())</f>
        <v>57.313667931552949</v>
      </c>
      <c r="L15" s="901">
        <f>IF(ISNUMBER(E15),E15/Population!E15*10000,NA())</f>
        <v>59.432652535459219</v>
      </c>
      <c r="M15" s="901">
        <f>IF(ISNUMBER(F15),F15/Population!F15*10000,NA())</f>
        <v>61.367818915099541</v>
      </c>
      <c r="N15" s="901">
        <f>IF(ISNUMBER(G15),G15/Population!G15*10000,NA())</f>
        <v>65.364549344414385</v>
      </c>
      <c r="O15" s="902">
        <f>IF(ISNUMBER(H15),H15/Population!H15*10000,NA())</f>
        <v>67.119498616995202</v>
      </c>
      <c r="P15" s="903">
        <f t="shared" si="9"/>
        <v>67.119498616995202</v>
      </c>
      <c r="Q15" s="1190">
        <f t="shared" si="10"/>
        <v>13</v>
      </c>
      <c r="R15" s="64"/>
      <c r="S15" s="905">
        <f t="shared" si="11"/>
        <v>48.86212267279403</v>
      </c>
      <c r="T15" s="906">
        <f t="shared" si="0"/>
        <v>18.257375944201172</v>
      </c>
      <c r="U15" s="89"/>
      <c r="V15" s="103"/>
      <c r="W15" s="115"/>
      <c r="X15" s="51" t="str">
        <f t="shared" si="1"/>
        <v>Hampshire</v>
      </c>
      <c r="Y15" s="27">
        <f>IF(ISNUMBER(H15),IDACI!D13,0)</f>
        <v>249483</v>
      </c>
      <c r="Z15" s="27">
        <f>IF(ISNUMBER(H15),IDACI!E13,0)</f>
        <v>25197.783000000007</v>
      </c>
      <c r="AA15" s="155">
        <f>IF(ISNUMBER(D15),Population!D15,"")</f>
        <v>279340</v>
      </c>
      <c r="AB15" s="155">
        <f>IF(ISNUMBER(E15),Population!E15,"")</f>
        <v>279476</v>
      </c>
      <c r="AC15" s="155">
        <f>IF(ISNUMBER(F15),Population!F15,"")</f>
        <v>280929</v>
      </c>
      <c r="AD15" s="155">
        <f>IF(ISNUMBER(G15),Population!G15,"")</f>
        <v>283487</v>
      </c>
      <c r="AE15" s="155">
        <f>IF(ISNUMBER(H15),Population!H15,"")</f>
        <v>285610</v>
      </c>
      <c r="AF15" s="65" t="s">
        <v>6</v>
      </c>
      <c r="AG15" s="70">
        <f t="shared" si="2"/>
        <v>67.119498616995202</v>
      </c>
      <c r="AH15" s="156">
        <f t="shared" si="3"/>
        <v>13</v>
      </c>
      <c r="AJ15" s="121"/>
      <c r="AK15" s="480">
        <f t="shared" si="4"/>
        <v>3.7476577139287946E-2</v>
      </c>
      <c r="AL15" s="480">
        <f t="shared" si="5"/>
        <v>3.7928958458759786E-2</v>
      </c>
      <c r="AM15" s="480">
        <f t="shared" si="6"/>
        <v>7.4825986078886311E-2</v>
      </c>
      <c r="AN15" s="480">
        <f t="shared" si="7"/>
        <v>3.4538586076632488E-2</v>
      </c>
      <c r="AO15" s="480">
        <f t="shared" si="12"/>
        <v>4.6192526938391633E-2</v>
      </c>
      <c r="AQ15" s="52"/>
      <c r="AR15" s="52"/>
      <c r="AS15" s="52"/>
      <c r="AT15" s="52"/>
      <c r="AU15" s="52"/>
      <c r="AV15" s="52"/>
      <c r="AW15" s="52"/>
    </row>
    <row r="16" spans="1:49" s="61" customFormat="1" ht="15.75" customHeight="1">
      <c r="A16" s="1103">
        <f>VLOOKUP(B16,ReportData!$AQ$4:$AR$25,2,FALSE)</f>
        <v>0</v>
      </c>
      <c r="B16" s="885" t="str">
        <f>ReportData!$K$9</f>
        <v>Isle of Wight</v>
      </c>
      <c r="C16" s="896"/>
      <c r="D16" s="889">
        <f>IF(Year1_Isle_of_Wight Year1_LAC="","",Year1_Isle_of_Wight Year1_LAC)</f>
        <v>263</v>
      </c>
      <c r="E16" s="889">
        <f>IF(Year2_Isle_of_Wight Year2_LAC="","",Year2_Isle_of_Wight Year2_LAC)</f>
        <v>270</v>
      </c>
      <c r="F16" s="889">
        <f>IF(Year3_Isle_of_Wight Year3_LAC="","",Year3_Isle_of_Wight Year3_LAC)</f>
        <v>275</v>
      </c>
      <c r="G16" s="889">
        <f>IF(Year4_Isle_of_Wight Year4_LAC="","",Year4_Isle_of_Wight Year4_LAC)</f>
        <v>288</v>
      </c>
      <c r="H16" s="890">
        <f>IF(Year5_Isle_of_Wight Year5_LAC="","",Year5_Isle_of_Wight Year5_LAC)</f>
        <v>279</v>
      </c>
      <c r="I16" s="900">
        <f t="shared" si="8"/>
        <v>1.5289303843248711E-2</v>
      </c>
      <c r="J16" s="896"/>
      <c r="K16" s="901">
        <f>IF(ISNUMBER(D16),D16/Population!D16*10000,NA())</f>
        <v>108.22599893008518</v>
      </c>
      <c r="L16" s="901">
        <f>IF(ISNUMBER(E16),E16/Population!E16*10000,NA())</f>
        <v>113.00853842290307</v>
      </c>
      <c r="M16" s="901">
        <f>IF(ISNUMBER(F16),F16/Population!F16*10000,NA())</f>
        <v>116.34794381452024</v>
      </c>
      <c r="N16" s="901">
        <f>IF(ISNUMBER(G16),G16/Population!G16*10000,NA())</f>
        <v>122.3761366533526</v>
      </c>
      <c r="O16" s="902">
        <f>IF(ISNUMBER(H16),H16/Population!H16*10000,NA())</f>
        <v>119.03746053417527</v>
      </c>
      <c r="P16" s="903">
        <f t="shared" si="9"/>
        <v>119.03746053417527</v>
      </c>
      <c r="Q16" s="1190">
        <f t="shared" si="10"/>
        <v>19</v>
      </c>
      <c r="R16" s="64"/>
      <c r="S16" s="905">
        <f t="shared" si="11"/>
        <v>76.649043749157414</v>
      </c>
      <c r="T16" s="906">
        <f t="shared" si="0"/>
        <v>42.388416785017853</v>
      </c>
      <c r="U16" s="89"/>
      <c r="V16" s="103"/>
      <c r="W16" s="115"/>
      <c r="X16" s="51" t="str">
        <f t="shared" si="1"/>
        <v>Isle of Wight</v>
      </c>
      <c r="Y16" s="27">
        <f>IF(ISNUMBER(H16),IDACI!D14,0)</f>
        <v>22123</v>
      </c>
      <c r="Z16" s="27">
        <f>IF(ISNUMBER(H16),IDACI!E14,0)</f>
        <v>3982.14</v>
      </c>
      <c r="AA16" s="155">
        <f>IF(ISNUMBER(D16),Population!D16,"")</f>
        <v>24301</v>
      </c>
      <c r="AB16" s="155">
        <f>IF(ISNUMBER(E16),Population!E16,"")</f>
        <v>23892</v>
      </c>
      <c r="AC16" s="155">
        <f>IF(ISNUMBER(F16),Population!F16,"")</f>
        <v>23636</v>
      </c>
      <c r="AD16" s="155">
        <f>IF(ISNUMBER(G16),Population!G16,"")</f>
        <v>23534</v>
      </c>
      <c r="AE16" s="155">
        <f>IF(ISNUMBER(H16),Population!H16,"")</f>
        <v>23438</v>
      </c>
      <c r="AF16" s="65" t="s">
        <v>1</v>
      </c>
      <c r="AG16" s="70">
        <f t="shared" si="2"/>
        <v>119.03746053417527</v>
      </c>
      <c r="AH16" s="156">
        <f t="shared" si="3"/>
        <v>19</v>
      </c>
      <c r="AJ16" s="121"/>
      <c r="AK16" s="480">
        <f t="shared" si="4"/>
        <v>2.6615969581749048E-2</v>
      </c>
      <c r="AL16" s="480">
        <f t="shared" si="5"/>
        <v>1.8518518518518517E-2</v>
      </c>
      <c r="AM16" s="480">
        <f t="shared" si="6"/>
        <v>4.7272727272727272E-2</v>
      </c>
      <c r="AN16" s="480">
        <f t="shared" si="7"/>
        <v>-3.125E-2</v>
      </c>
      <c r="AO16" s="480">
        <f t="shared" si="12"/>
        <v>1.5289303843248711E-2</v>
      </c>
      <c r="AQ16" s="52"/>
      <c r="AR16" s="52"/>
      <c r="AS16" s="52"/>
      <c r="AT16" s="52"/>
      <c r="AU16" s="52"/>
      <c r="AV16" s="52"/>
      <c r="AW16" s="52"/>
    </row>
    <row r="17" spans="1:49" s="61" customFormat="1" ht="15.75" customHeight="1">
      <c r="A17" s="1103">
        <f>VLOOKUP(B17,ReportData!$AQ$4:$AR$25,2,FALSE)</f>
        <v>0</v>
      </c>
      <c r="B17" s="885" t="str">
        <f>ReportData!$K$10</f>
        <v>Kent</v>
      </c>
      <c r="C17" s="896"/>
      <c r="D17" s="889">
        <f>IF(Year1_Kent Year1_LAC="","",Year1_Kent Year1_LAC)</f>
        <v>1806</v>
      </c>
      <c r="E17" s="889">
        <f>IF(Year2_Kent Year2_LAC="","",Year2_Kent Year2_LAC)</f>
        <v>1662</v>
      </c>
      <c r="F17" s="889">
        <f>IF(Year3_Kent Year3_LAC="","",Year3_Kent Year3_LAC)</f>
        <v>1777</v>
      </c>
      <c r="G17" s="889">
        <f>IF(Year4_Kent Year4_LAC="","",Year4_Kent Year4_LAC)</f>
        <v>1942</v>
      </c>
      <c r="H17" s="890">
        <f>IF(Year5_Kent Year5_LAC="","",Year5_Kent Year5_LAC)</f>
        <v>1960</v>
      </c>
      <c r="I17" s="900">
        <f t="shared" si="8"/>
        <v>2.2895360376974698E-2</v>
      </c>
      <c r="J17" s="896"/>
      <c r="K17" s="901">
        <f>IF(ISNUMBER(D17),D17/Population!D17*10000,NA())</f>
        <v>54.178428825564055</v>
      </c>
      <c r="L17" s="901">
        <f>IF(ISNUMBER(E17),E17/Population!E17*10000,NA())</f>
        <v>49.697390139463671</v>
      </c>
      <c r="M17" s="901">
        <f>IF(ISNUMBER(F17),F17/Population!F17*10000,NA())</f>
        <v>52.872585103439249</v>
      </c>
      <c r="N17" s="901">
        <f>IF(ISNUMBER(G17),G17/Population!G17*10000,NA())</f>
        <v>56.641525062854015</v>
      </c>
      <c r="O17" s="902">
        <f>IF(ISNUMBER(H17),H17/Population!H17*10000,NA())</f>
        <v>56.268157964241013</v>
      </c>
      <c r="P17" s="903">
        <f t="shared" si="9"/>
        <v>56.268157964241013</v>
      </c>
      <c r="Q17" s="1190">
        <f t="shared" si="10"/>
        <v>10</v>
      </c>
      <c r="R17" s="64"/>
      <c r="S17" s="905">
        <f t="shared" si="11"/>
        <v>68.910913829157494</v>
      </c>
      <c r="T17" s="906">
        <f t="shared" si="0"/>
        <v>-12.642755864916481</v>
      </c>
      <c r="U17" s="89"/>
      <c r="V17" s="103"/>
      <c r="W17" s="115"/>
      <c r="X17" s="51" t="str">
        <f t="shared" si="1"/>
        <v>Kent</v>
      </c>
      <c r="Y17" s="27">
        <f>IF(ISNUMBER(H17),IDACI!D15,0)</f>
        <v>291866</v>
      </c>
      <c r="Z17" s="27">
        <f>IF(ISNUMBER(H17),IDACI!E15,0)</f>
        <v>46114.828000000001</v>
      </c>
      <c r="AA17" s="155">
        <f>IF(ISNUMBER(D17),Population!D17,"")</f>
        <v>333343</v>
      </c>
      <c r="AB17" s="155">
        <f>IF(ISNUMBER(E17),Population!E17,"")</f>
        <v>334424</v>
      </c>
      <c r="AC17" s="155">
        <f>IF(ISNUMBER(F17),Population!F17,"")</f>
        <v>336091</v>
      </c>
      <c r="AD17" s="155">
        <f>IF(ISNUMBER(G17),Population!G17,"")</f>
        <v>342858</v>
      </c>
      <c r="AE17" s="155">
        <f>IF(ISNUMBER(H17),Population!H17,"")</f>
        <v>348332</v>
      </c>
      <c r="AF17" s="65" t="s">
        <v>9</v>
      </c>
      <c r="AG17" s="70">
        <f t="shared" si="2"/>
        <v>56.268157964241013</v>
      </c>
      <c r="AH17" s="156">
        <f t="shared" si="3"/>
        <v>10</v>
      </c>
      <c r="AJ17" s="121"/>
      <c r="AK17" s="480">
        <f t="shared" si="4"/>
        <v>-7.9734219269102985E-2</v>
      </c>
      <c r="AL17" s="480">
        <f t="shared" si="5"/>
        <v>6.9193742478941028E-2</v>
      </c>
      <c r="AM17" s="480">
        <f t="shared" si="6"/>
        <v>9.2853123241418117E-2</v>
      </c>
      <c r="AN17" s="480">
        <f t="shared" si="7"/>
        <v>9.2687950566426366E-3</v>
      </c>
      <c r="AO17" s="480">
        <f t="shared" si="12"/>
        <v>2.2895360376974698E-2</v>
      </c>
      <c r="AQ17" s="52"/>
      <c r="AR17" s="52"/>
      <c r="AS17" s="52"/>
      <c r="AT17" s="52"/>
      <c r="AU17" s="52"/>
      <c r="AV17" s="52"/>
      <c r="AW17" s="52"/>
    </row>
    <row r="18" spans="1:49" s="61" customFormat="1" ht="15.75" customHeight="1">
      <c r="A18" s="1103">
        <f>VLOOKUP(B18,ReportData!$AQ$4:$AR$25,2,FALSE)</f>
        <v>0</v>
      </c>
      <c r="B18" s="885" t="str">
        <f>ReportData!$K$11</f>
        <v>Medway</v>
      </c>
      <c r="C18" s="896"/>
      <c r="D18" s="889">
        <f>IF(Year1_Medway Year1_LAC="","",Year1_Medway Year1_LAC)</f>
        <v>426</v>
      </c>
      <c r="E18" s="1173">
        <f>IF(Year2_Medway Year2_LAC="","",Year2_Medway Year2_LAC)</f>
        <v>440</v>
      </c>
      <c r="F18" s="1173">
        <f>IF(Year3_Medway Year3_LAC="","",Year3_Medway Year3_LAC)</f>
        <v>443</v>
      </c>
      <c r="G18" s="1173">
        <f>IF(Year4_Medway Year4_LAC="","",Year4_Medway Year4_LAC)</f>
        <v>465</v>
      </c>
      <c r="H18" s="1174">
        <f>IF(Year5_Medway Year5_LAC="","",Year5_Medway Year5_LAC)</f>
        <v>476</v>
      </c>
      <c r="I18" s="900">
        <f t="shared" si="8"/>
        <v>2.8249836277616847E-2</v>
      </c>
      <c r="J18" s="896"/>
      <c r="K18" s="901">
        <f>IF(ISNUMBER(D18),D18/Population!D18*10000,NA())</f>
        <v>66.90539012438748</v>
      </c>
      <c r="L18" s="901">
        <f>IF(ISNUMBER(E18),E18/Population!E18*10000,NA())</f>
        <v>69.079205589135725</v>
      </c>
      <c r="M18" s="901">
        <f>IF(ISNUMBER(F18),F18/Population!F18*10000,NA())</f>
        <v>69.417239920397392</v>
      </c>
      <c r="N18" s="901">
        <f>IF(ISNUMBER(G18),G18/Population!G18*10000,NA())</f>
        <v>71.588022477099528</v>
      </c>
      <c r="O18" s="902">
        <f>IF(ISNUMBER(H18),H18/Population!H18*10000,NA())</f>
        <v>71.378229639959812</v>
      </c>
      <c r="P18" s="903">
        <f t="shared" si="9"/>
        <v>71.378229639959812</v>
      </c>
      <c r="Q18" s="1190">
        <f t="shared" si="10"/>
        <v>15</v>
      </c>
      <c r="R18" s="64"/>
      <c r="S18" s="905">
        <f t="shared" si="11"/>
        <v>79.81464235279374</v>
      </c>
      <c r="T18" s="906">
        <f t="shared" si="0"/>
        <v>-8.4364127128339277</v>
      </c>
      <c r="U18" s="89"/>
      <c r="V18" s="103"/>
      <c r="W18" s="115"/>
      <c r="X18" s="51" t="str">
        <f t="shared" si="1"/>
        <v>Medway</v>
      </c>
      <c r="Y18" s="27">
        <f>IF(ISNUMBER(H18),IDACI!D16,0)</f>
        <v>55993</v>
      </c>
      <c r="Z18" s="27">
        <f>IF(ISNUMBER(H18),IDACI!E16,0)</f>
        <v>10582.676999999998</v>
      </c>
      <c r="AA18" s="155">
        <f>IF(ISNUMBER(D18),Population!D18,"")</f>
        <v>63672</v>
      </c>
      <c r="AB18" s="155">
        <f>IF(ISNUMBER(E18),Population!E18,"")</f>
        <v>63695</v>
      </c>
      <c r="AC18" s="155">
        <f>IF(ISNUMBER(F18),Population!F18,"")</f>
        <v>63817</v>
      </c>
      <c r="AD18" s="155">
        <f>IF(ISNUMBER(G18),Population!G18,"")</f>
        <v>64955</v>
      </c>
      <c r="AE18" s="155">
        <f>IF(ISNUMBER(H18),Population!H18,"")</f>
        <v>66687</v>
      </c>
      <c r="AF18" s="65" t="s">
        <v>2</v>
      </c>
      <c r="AG18" s="70">
        <f t="shared" si="2"/>
        <v>71.378229639959812</v>
      </c>
      <c r="AH18" s="156">
        <f t="shared" si="3"/>
        <v>15</v>
      </c>
      <c r="AJ18" s="121"/>
      <c r="AK18" s="480">
        <f t="shared" si="4"/>
        <v>3.2863849765258218E-2</v>
      </c>
      <c r="AL18" s="480">
        <f t="shared" si="5"/>
        <v>6.8181818181818179E-3</v>
      </c>
      <c r="AM18" s="480">
        <f t="shared" si="6"/>
        <v>4.9661399548532728E-2</v>
      </c>
      <c r="AN18" s="480">
        <f t="shared" si="7"/>
        <v>2.3655913978494623E-2</v>
      </c>
      <c r="AO18" s="480">
        <f t="shared" si="12"/>
        <v>2.8249836277616847E-2</v>
      </c>
      <c r="AQ18" s="52"/>
      <c r="AR18" s="52"/>
      <c r="AS18" s="52"/>
      <c r="AT18" s="52"/>
      <c r="AU18" s="52"/>
      <c r="AV18" s="52"/>
      <c r="AW18" s="52"/>
    </row>
    <row r="19" spans="1:49" s="61" customFormat="1" ht="15.75" customHeight="1">
      <c r="A19" s="1103">
        <f>VLOOKUP(B19,ReportData!$AQ$4:$AR$25,2,FALSE)</f>
        <v>0</v>
      </c>
      <c r="B19" s="885" t="str">
        <f>ReportData!$K$12</f>
        <v>Milton Keynes</v>
      </c>
      <c r="C19" s="896"/>
      <c r="D19" s="889">
        <f>IF(Year1_Milton_Keynes Year1_LAC="","",Year1_Milton_Keynes Year1_LAC)</f>
        <v>403</v>
      </c>
      <c r="E19" s="889">
        <f>IF(Year2_Milton_Keynes Year2_LAC="","",Year2_Milton_Keynes Year2_LAC)</f>
        <v>395</v>
      </c>
      <c r="F19" s="889">
        <f>IF(Year3_Milton_Keynes Year3_LAC="","",Year3_Milton_Keynes Year3_LAC)</f>
        <v>361</v>
      </c>
      <c r="G19" s="889">
        <f>IF(Year4_Milton_Keynes Year4_LAC="","",Year4_Milton_Keynes Year4_LAC)</f>
        <v>354</v>
      </c>
      <c r="H19" s="890">
        <f>IF(Year5_Milton_Keynes Year5_LAC="","",Year5_Milton_Keynes Year5_LAC)</f>
        <v>410</v>
      </c>
      <c r="I19" s="900">
        <f t="shared" si="8"/>
        <v>8.2186106714074794E-3</v>
      </c>
      <c r="J19" s="896"/>
      <c r="K19" s="901">
        <f>IF(ISNUMBER(D19),D19/Population!D19*10000,NA())</f>
        <v>58.374494836102379</v>
      </c>
      <c r="L19" s="901">
        <f>IF(ISNUMBER(E19),E19/Population!E19*10000,NA())</f>
        <v>56.994444845249262</v>
      </c>
      <c r="M19" s="901">
        <f>IF(ISNUMBER(F19),F19/Population!F19*10000,NA())</f>
        <v>51.841746248294683</v>
      </c>
      <c r="N19" s="901">
        <f>IF(ISNUMBER(G19),G19/Population!G19*10000,NA())</f>
        <v>49.893588532931176</v>
      </c>
      <c r="O19" s="902">
        <f>IF(ISNUMBER(H19),H19/Population!H19*10000,NA())</f>
        <v>56.321002239103265</v>
      </c>
      <c r="P19" s="903">
        <f t="shared" si="9"/>
        <v>56.321002239103265</v>
      </c>
      <c r="Q19" s="1190">
        <f t="shared" si="10"/>
        <v>11</v>
      </c>
      <c r="R19" s="64"/>
      <c r="S19" s="905">
        <f t="shared" si="11"/>
        <v>66.097048403702956</v>
      </c>
      <c r="T19" s="906">
        <f t="shared" si="0"/>
        <v>-9.7760461645996912</v>
      </c>
      <c r="U19" s="89"/>
      <c r="V19" s="103"/>
      <c r="W19" s="115"/>
      <c r="X19" s="51" t="str">
        <f t="shared" si="1"/>
        <v>Milton Keynes</v>
      </c>
      <c r="Y19" s="27">
        <f>IF(ISNUMBER(H19),IDACI!D17,0)</f>
        <v>59903</v>
      </c>
      <c r="Z19" s="27">
        <f>IF(ISNUMBER(H19),IDACI!E17,0)</f>
        <v>8985.4499999999989</v>
      </c>
      <c r="AA19" s="155">
        <f>IF(ISNUMBER(D19),Population!D19,"")</f>
        <v>69037</v>
      </c>
      <c r="AB19" s="155">
        <f>IF(ISNUMBER(E19),Population!E19,"")</f>
        <v>69305</v>
      </c>
      <c r="AC19" s="155">
        <f>IF(ISNUMBER(F19),Population!F19,"")</f>
        <v>69635</v>
      </c>
      <c r="AD19" s="155">
        <f>IF(ISNUMBER(G19),Population!G19,"")</f>
        <v>70951</v>
      </c>
      <c r="AE19" s="155">
        <f>IF(ISNUMBER(H19),Population!H19,"")</f>
        <v>72797</v>
      </c>
      <c r="AF19" s="65" t="s">
        <v>10</v>
      </c>
      <c r="AG19" s="70">
        <f t="shared" si="2"/>
        <v>56.321002239103265</v>
      </c>
      <c r="AH19" s="156">
        <f t="shared" si="3"/>
        <v>11</v>
      </c>
      <c r="AJ19" s="121"/>
      <c r="AK19" s="480">
        <f t="shared" si="4"/>
        <v>-1.9851116625310174E-2</v>
      </c>
      <c r="AL19" s="480">
        <f t="shared" si="5"/>
        <v>-8.6075949367088608E-2</v>
      </c>
      <c r="AM19" s="480">
        <f t="shared" si="6"/>
        <v>-1.9390581717451522E-2</v>
      </c>
      <c r="AN19" s="480">
        <f t="shared" si="7"/>
        <v>0.15819209039548024</v>
      </c>
      <c r="AO19" s="480">
        <f t="shared" si="12"/>
        <v>8.2186106714074794E-3</v>
      </c>
      <c r="AQ19" s="52"/>
      <c r="AR19" s="52"/>
      <c r="AS19" s="52"/>
      <c r="AT19" s="52"/>
      <c r="AU19" s="52"/>
      <c r="AV19" s="52"/>
      <c r="AW19" s="52"/>
    </row>
    <row r="20" spans="1:49" s="61" customFormat="1" ht="15.75" customHeight="1">
      <c r="A20" s="1103">
        <f>VLOOKUP(B20,ReportData!$AQ$4:$AR$25,2,FALSE)</f>
        <v>0</v>
      </c>
      <c r="B20" s="885" t="str">
        <f>ReportData!$K$13</f>
        <v>Oxfordshire</v>
      </c>
      <c r="C20" s="896"/>
      <c r="D20" s="889">
        <f>IF(Year1_Oxfordshire Year1_LAC="","",Year1_Oxfordshire Year1_LAC)</f>
        <v>767</v>
      </c>
      <c r="E20" s="889">
        <f>IF(Year2_Oxfordshire Year2_LAC="","",Year2_Oxfordshire Year2_LAC)</f>
        <v>784</v>
      </c>
      <c r="F20" s="889">
        <f>IF(Year3_Oxfordshire Year3_LAC="","",Year3_Oxfordshire Year3_LAC)</f>
        <v>854</v>
      </c>
      <c r="G20" s="889">
        <f>IF(Year4_Oxfordshire Year4_LAC="","",Year4_Oxfordshire Year4_LAC)</f>
        <v>881</v>
      </c>
      <c r="H20" s="890">
        <f>IF(Year5_Oxfordshire Year5_LAC="","",Year5_Oxfordshire Year5_LAC)</f>
        <v>770</v>
      </c>
      <c r="I20" s="900">
        <f t="shared" si="8"/>
        <v>4.2681815471264026E-3</v>
      </c>
      <c r="J20" s="896"/>
      <c r="K20" s="901">
        <f>IF(ISNUMBER(D20),D20/Population!D20*10000,NA())</f>
        <v>53.105678222517639</v>
      </c>
      <c r="L20" s="901">
        <f>IF(ISNUMBER(E20),E20/Population!E20*10000,NA())</f>
        <v>53.987425887797052</v>
      </c>
      <c r="M20" s="901">
        <f>IF(ISNUMBER(F20),F20/Population!F20*10000,NA())</f>
        <v>58.356053928100422</v>
      </c>
      <c r="N20" s="901">
        <f>IF(ISNUMBER(G20),G20/Population!G20*10000,NA())</f>
        <v>58.91479088927229</v>
      </c>
      <c r="O20" s="902">
        <f>IF(ISNUMBER(H20),H20/Population!H20*10000,NA())</f>
        <v>50.490147864004456</v>
      </c>
      <c r="P20" s="903">
        <f t="shared" si="9"/>
        <v>50.490147864004456</v>
      </c>
      <c r="Q20" s="1190">
        <f t="shared" si="10"/>
        <v>7</v>
      </c>
      <c r="R20" s="64"/>
      <c r="S20" s="905">
        <f t="shared" si="11"/>
        <v>48.86212267279403</v>
      </c>
      <c r="T20" s="906">
        <f t="shared" si="0"/>
        <v>1.6280251912104262</v>
      </c>
      <c r="U20" s="89"/>
      <c r="V20" s="103"/>
      <c r="W20" s="115"/>
      <c r="X20" s="51" t="str">
        <f t="shared" si="1"/>
        <v>Oxfordshire</v>
      </c>
      <c r="Y20" s="27">
        <f>IF(ISNUMBER(H20),IDACI!D18,0)</f>
        <v>126119</v>
      </c>
      <c r="Z20" s="27">
        <f>IF(ISNUMBER(H20),IDACI!E18,0)</f>
        <v>12738.019000000002</v>
      </c>
      <c r="AA20" s="155">
        <f>IF(ISNUMBER(D20),Population!D20,"")</f>
        <v>144429</v>
      </c>
      <c r="AB20" s="155">
        <f>IF(ISNUMBER(E20),Population!E20,"")</f>
        <v>145219</v>
      </c>
      <c r="AC20" s="155">
        <f>IF(ISNUMBER(F20),Population!F20,"")</f>
        <v>146343</v>
      </c>
      <c r="AD20" s="155">
        <f>IF(ISNUMBER(G20),Population!G20,"")</f>
        <v>149538</v>
      </c>
      <c r="AE20" s="155">
        <f>IF(ISNUMBER(H20),Population!H20,"")</f>
        <v>152505</v>
      </c>
      <c r="AF20" s="65" t="s">
        <v>11</v>
      </c>
      <c r="AG20" s="70">
        <f t="shared" si="2"/>
        <v>50.490147864004456</v>
      </c>
      <c r="AH20" s="156">
        <f t="shared" si="3"/>
        <v>7</v>
      </c>
      <c r="AJ20" s="121"/>
      <c r="AK20" s="480">
        <f t="shared" si="4"/>
        <v>2.2164276401564539E-2</v>
      </c>
      <c r="AL20" s="480">
        <f t="shared" si="5"/>
        <v>8.9285714285714288E-2</v>
      </c>
      <c r="AM20" s="480">
        <f t="shared" si="6"/>
        <v>3.161592505854801E-2</v>
      </c>
      <c r="AN20" s="480">
        <f t="shared" si="7"/>
        <v>-0.12599318955732122</v>
      </c>
      <c r="AO20" s="480">
        <f t="shared" si="12"/>
        <v>4.2681815471264026E-3</v>
      </c>
      <c r="AQ20" s="52"/>
      <c r="AR20" s="52"/>
      <c r="AS20" s="52"/>
      <c r="AT20" s="52"/>
      <c r="AU20" s="52"/>
      <c r="AV20" s="52"/>
      <c r="AW20" s="52"/>
    </row>
    <row r="21" spans="1:49" s="61" customFormat="1" ht="15.75" customHeight="1">
      <c r="A21" s="1103">
        <f>VLOOKUP(B21,ReportData!$AQ$4:$AR$25,2,FALSE)</f>
        <v>0</v>
      </c>
      <c r="B21" s="885" t="str">
        <f>ReportData!$K$14</f>
        <v>Portsmouth</v>
      </c>
      <c r="C21" s="896"/>
      <c r="D21" s="889">
        <f>IF(Year1_Portsmouth Year1_LAC="","",Year1_Portsmouth Year1_LAC)</f>
        <v>468</v>
      </c>
      <c r="E21" s="889">
        <f>IF(Year2_Portsmouth Year2_LAC="","",Year2_Portsmouth Year2_LAC)</f>
        <v>378</v>
      </c>
      <c r="F21" s="889">
        <f>IF(Year3_Portsmouth Year3_LAC="","",Year3_Portsmouth Year3_LAC)</f>
        <v>386</v>
      </c>
      <c r="G21" s="889">
        <f>IF(Year4_Portsmouth Year4_LAC="","",Year4_Portsmouth Year4_LAC)</f>
        <v>388</v>
      </c>
      <c r="H21" s="890">
        <f>IF(Year5_Portsmouth Year5_LAC="","",Year5_Portsmouth Year5_LAC)</f>
        <v>402</v>
      </c>
      <c r="I21" s="900">
        <f t="shared" si="8"/>
        <v>-3.2469962441651998E-2</v>
      </c>
      <c r="J21" s="896"/>
      <c r="K21" s="901">
        <f>IF(ISNUMBER(D21),D21/Population!D21*10000,NA())</f>
        <v>111.3410891442438</v>
      </c>
      <c r="L21" s="901">
        <f>IF(ISNUMBER(E21),E21/Population!E21*10000,NA())</f>
        <v>90.29021855965604</v>
      </c>
      <c r="M21" s="901">
        <f>IF(ISNUMBER(F21),F21/Population!F21*10000,NA())</f>
        <v>93.13098656115038</v>
      </c>
      <c r="N21" s="901">
        <f>IF(ISNUMBER(G21),G21/Population!G21*10000,NA())</f>
        <v>92.665568054261897</v>
      </c>
      <c r="O21" s="902">
        <f>IF(ISNUMBER(H21),H21/Population!H21*10000,NA())</f>
        <v>95.019736686600325</v>
      </c>
      <c r="P21" s="903">
        <f t="shared" si="9"/>
        <v>95.019736686600325</v>
      </c>
      <c r="Q21" s="1190">
        <f t="shared" si="10"/>
        <v>17</v>
      </c>
      <c r="R21" s="64"/>
      <c r="S21" s="905">
        <f t="shared" si="11"/>
        <v>84.387173669157363</v>
      </c>
      <c r="T21" s="906">
        <f t="shared" si="0"/>
        <v>10.632563017442962</v>
      </c>
      <c r="U21" s="89"/>
      <c r="V21" s="103"/>
      <c r="W21" s="115"/>
      <c r="X21" s="51" t="str">
        <f t="shared" si="1"/>
        <v>Portsmouth</v>
      </c>
      <c r="Y21" s="27">
        <f>IF(ISNUMBER(H21),IDACI!D19,0)</f>
        <v>39325</v>
      </c>
      <c r="Z21" s="27">
        <f>IF(ISNUMBER(H21),IDACI!E19,0)</f>
        <v>7943.6500000000015</v>
      </c>
      <c r="AA21" s="155">
        <f>IF(ISNUMBER(D21),Population!D21,"")</f>
        <v>42033</v>
      </c>
      <c r="AB21" s="155">
        <f>IF(ISNUMBER(E21),Population!E21,"")</f>
        <v>41865</v>
      </c>
      <c r="AC21" s="155">
        <f>IF(ISNUMBER(F21),Population!F21,"")</f>
        <v>41447</v>
      </c>
      <c r="AD21" s="155">
        <f>IF(ISNUMBER(G21),Population!G21,"")</f>
        <v>41871</v>
      </c>
      <c r="AE21" s="155">
        <f>IF(ISNUMBER(H21),Population!H21,"")</f>
        <v>42307</v>
      </c>
      <c r="AF21" s="65" t="s">
        <v>12</v>
      </c>
      <c r="AG21" s="70">
        <f t="shared" si="2"/>
        <v>95.019736686600325</v>
      </c>
      <c r="AH21" s="156">
        <f t="shared" si="3"/>
        <v>17</v>
      </c>
      <c r="AJ21" s="121"/>
      <c r="AK21" s="480">
        <f t="shared" si="4"/>
        <v>-0.19230769230769232</v>
      </c>
      <c r="AL21" s="480">
        <f t="shared" si="5"/>
        <v>2.1164021164021163E-2</v>
      </c>
      <c r="AM21" s="480">
        <f t="shared" si="6"/>
        <v>5.1813471502590676E-3</v>
      </c>
      <c r="AN21" s="480">
        <f t="shared" si="7"/>
        <v>3.608247422680412E-2</v>
      </c>
      <c r="AO21" s="480">
        <f t="shared" si="12"/>
        <v>-3.2469962441651998E-2</v>
      </c>
      <c r="AQ21" s="52"/>
      <c r="AR21" s="52"/>
      <c r="AS21" s="52"/>
      <c r="AT21" s="52"/>
      <c r="AU21" s="52"/>
      <c r="AV21" s="52"/>
      <c r="AW21" s="52"/>
    </row>
    <row r="22" spans="1:49" s="61" customFormat="1" ht="15.75" customHeight="1">
      <c r="A22" s="1103">
        <f>VLOOKUP(B22,ReportData!$AQ$4:$AR$25,2,FALSE)</f>
        <v>0</v>
      </c>
      <c r="B22" s="885" t="str">
        <f>ReportData!$K$15</f>
        <v>Reading</v>
      </c>
      <c r="C22" s="896"/>
      <c r="D22" s="889">
        <f>IF(Year1_Reading Year1_LAC="","",Year1_Reading Year1_LAC)</f>
        <v>277</v>
      </c>
      <c r="E22" s="889">
        <f>IF(Year2_Reading Year2_LAC="","",Year2_Reading Year2_LAC)</f>
        <v>270</v>
      </c>
      <c r="F22" s="889">
        <f>IF(Year3_Reading Year3_LAC="","",Year3_Reading Year3_LAC)</f>
        <v>234</v>
      </c>
      <c r="G22" s="889">
        <f>IF(Year4_Reading Year4_LAC="","",Year4_Reading Year4_LAC)</f>
        <v>252</v>
      </c>
      <c r="H22" s="890">
        <f>IF(Year5_Reading Year5_LAC="","",Year5_Reading Year5_LAC)</f>
        <v>266</v>
      </c>
      <c r="I22" s="900">
        <f t="shared" si="8"/>
        <v>-6.5313647443611331E-3</v>
      </c>
      <c r="J22" s="896"/>
      <c r="K22" s="901">
        <f>IF(ISNUMBER(D22),D22/Population!D22*10000,NA())</f>
        <v>74.804212800432083</v>
      </c>
      <c r="L22" s="901">
        <f>IF(ISNUMBER(E22),E22/Population!E22*10000,NA())</f>
        <v>73.030212869546403</v>
      </c>
      <c r="M22" s="901">
        <f>IF(ISNUMBER(F22),F22/Population!F22*10000,NA())</f>
        <v>64.402488027742606</v>
      </c>
      <c r="N22" s="901">
        <f>IF(ISNUMBER(G22),G22/Population!G22*10000,NA())</f>
        <v>67.632850241545896</v>
      </c>
      <c r="O22" s="902">
        <f>IF(ISNUMBER(H22),H22/Population!H22*10000,NA())</f>
        <v>70.131034300930679</v>
      </c>
      <c r="P22" s="903">
        <f t="shared" si="9"/>
        <v>70.131034300930679</v>
      </c>
      <c r="Q22" s="1190">
        <f t="shared" si="10"/>
        <v>14</v>
      </c>
      <c r="R22" s="64"/>
      <c r="S22" s="905">
        <f t="shared" si="11"/>
        <v>69.614380185521114</v>
      </c>
      <c r="T22" s="906">
        <f t="shared" si="0"/>
        <v>0.51665411540956541</v>
      </c>
      <c r="U22" s="89"/>
      <c r="V22" s="103"/>
      <c r="W22" s="115"/>
      <c r="X22" s="51" t="str">
        <f t="shared" si="1"/>
        <v>Reading</v>
      </c>
      <c r="Y22" s="27">
        <f>IF(ISNUMBER(H22),IDACI!D20,0)</f>
        <v>33203</v>
      </c>
      <c r="Z22" s="27">
        <f>IF(ISNUMBER(H22),IDACI!E20,0)</f>
        <v>5312.4800000000005</v>
      </c>
      <c r="AA22" s="155">
        <f>IF(ISNUMBER(D22),Population!D22,"")</f>
        <v>37030</v>
      </c>
      <c r="AB22" s="155">
        <f>IF(ISNUMBER(E22),Population!E22,"")</f>
        <v>36971</v>
      </c>
      <c r="AC22" s="155">
        <f>IF(ISNUMBER(F22),Population!F22,"")</f>
        <v>36334</v>
      </c>
      <c r="AD22" s="155">
        <f>IF(ISNUMBER(G22),Population!G22,"")</f>
        <v>37260</v>
      </c>
      <c r="AE22" s="155">
        <f>IF(ISNUMBER(H22),Population!H22,"")</f>
        <v>37929</v>
      </c>
      <c r="AF22" s="65" t="s">
        <v>3</v>
      </c>
      <c r="AG22" s="70">
        <f t="shared" si="2"/>
        <v>70.131034300930679</v>
      </c>
      <c r="AH22" s="156">
        <f t="shared" si="3"/>
        <v>14</v>
      </c>
      <c r="AJ22" s="121"/>
      <c r="AK22" s="480">
        <f t="shared" si="4"/>
        <v>-2.5270758122743681E-2</v>
      </c>
      <c r="AL22" s="480">
        <f t="shared" si="5"/>
        <v>-0.13333333333333333</v>
      </c>
      <c r="AM22" s="480">
        <f t="shared" si="6"/>
        <v>7.6923076923076927E-2</v>
      </c>
      <c r="AN22" s="480">
        <f t="shared" si="7"/>
        <v>5.5555555555555552E-2</v>
      </c>
      <c r="AO22" s="480">
        <f t="shared" si="12"/>
        <v>-6.5313647443611331E-3</v>
      </c>
      <c r="AQ22" s="52"/>
      <c r="AR22" s="52"/>
      <c r="AS22" s="52"/>
      <c r="AT22" s="52"/>
      <c r="AU22" s="52"/>
      <c r="AV22" s="52"/>
      <c r="AW22" s="52"/>
    </row>
    <row r="23" spans="1:49" s="61" customFormat="1" ht="15.75" customHeight="1">
      <c r="A23" s="1103">
        <f>VLOOKUP(B23,ReportData!$AQ$4:$AR$25,2,FALSE)</f>
        <v>0</v>
      </c>
      <c r="B23" s="885" t="str">
        <f>ReportData!$K$16</f>
        <v>Slough</v>
      </c>
      <c r="C23" s="896"/>
      <c r="D23" s="889">
        <f>IF(Year1_Slough Year1_LAC="","",Year1_Slough Year1_LAC)</f>
        <v>196</v>
      </c>
      <c r="E23" s="889">
        <f>IF(Year2_Slough Year2_LAC="","",Year2_Slough Year2_LAC)</f>
        <v>223</v>
      </c>
      <c r="F23" s="889">
        <f>IF(Year3_Slough Year3_LAC="","",Year3_Slough Year3_LAC)</f>
        <v>234</v>
      </c>
      <c r="G23" s="889">
        <f>IF(Year4_Slough Year4_LAC="","",Year4_Slough Year4_LAC)</f>
        <v>253</v>
      </c>
      <c r="H23" s="890">
        <f>IF(Year5_Slough Year5_LAC="","",Year5_Slough Year5_LAC)</f>
        <v>201</v>
      </c>
      <c r="I23" s="900">
        <f t="shared" si="8"/>
        <v>1.5686360164885636E-2</v>
      </c>
      <c r="J23" s="896"/>
      <c r="K23" s="901">
        <f>IF(ISNUMBER(D23),D23/Population!D23*10000,NA())</f>
        <v>45.079233653027906</v>
      </c>
      <c r="L23" s="901">
        <f>IF(ISNUMBER(E23),E23/Population!E23*10000,NA())</f>
        <v>50.797266514806381</v>
      </c>
      <c r="M23" s="901">
        <f>IF(ISNUMBER(F23),F23/Population!F23*10000,NA())</f>
        <v>53.501611907538241</v>
      </c>
      <c r="N23" s="901">
        <f>IF(ISNUMBER(G23),G23/Population!G23*10000,NA())</f>
        <v>57.175141242937855</v>
      </c>
      <c r="O23" s="902">
        <f>IF(ISNUMBER(H23),H23/Population!H23*10000,NA())</f>
        <v>44.817052777096478</v>
      </c>
      <c r="P23" s="903">
        <f t="shared" si="9"/>
        <v>44.817052777096478</v>
      </c>
      <c r="Q23" s="1190">
        <f t="shared" si="10"/>
        <v>5</v>
      </c>
      <c r="R23" s="64"/>
      <c r="S23" s="905">
        <f t="shared" si="11"/>
        <v>65.041848869157519</v>
      </c>
      <c r="T23" s="906">
        <f t="shared" si="0"/>
        <v>-20.224796092061041</v>
      </c>
      <c r="U23" s="89"/>
      <c r="V23" s="103"/>
      <c r="W23" s="115"/>
      <c r="X23" s="51" t="str">
        <f t="shared" si="1"/>
        <v>Slough</v>
      </c>
      <c r="Y23" s="27">
        <f>IF(ISNUMBER(H23),IDACI!D21,0)</f>
        <v>37031</v>
      </c>
      <c r="Z23" s="27">
        <f>IF(ISNUMBER(H23),IDACI!E21,0)</f>
        <v>5443.5569999999998</v>
      </c>
      <c r="AA23" s="155">
        <f>IF(ISNUMBER(D23),Population!D23,"")</f>
        <v>43479</v>
      </c>
      <c r="AB23" s="155">
        <f>IF(ISNUMBER(E23),Population!E23,"")</f>
        <v>43900</v>
      </c>
      <c r="AC23" s="155">
        <f>IF(ISNUMBER(F23),Population!F23,"")</f>
        <v>43737</v>
      </c>
      <c r="AD23" s="155">
        <f>IF(ISNUMBER(G23),Population!G23,"")</f>
        <v>44250</v>
      </c>
      <c r="AE23" s="155">
        <f>IF(ISNUMBER(H23),Population!H23,"")</f>
        <v>44849</v>
      </c>
      <c r="AF23" s="65" t="s">
        <v>13</v>
      </c>
      <c r="AG23" s="70">
        <f t="shared" si="2"/>
        <v>44.817052777096478</v>
      </c>
      <c r="AH23" s="156">
        <f t="shared" si="3"/>
        <v>5</v>
      </c>
      <c r="AJ23" s="121"/>
      <c r="AK23" s="480">
        <f t="shared" si="4"/>
        <v>0.13775510204081631</v>
      </c>
      <c r="AL23" s="480">
        <f t="shared" si="5"/>
        <v>4.9327354260089683E-2</v>
      </c>
      <c r="AM23" s="480">
        <f t="shared" si="6"/>
        <v>8.11965811965812E-2</v>
      </c>
      <c r="AN23" s="480">
        <f t="shared" si="7"/>
        <v>-0.20553359683794467</v>
      </c>
      <c r="AO23" s="480">
        <f t="shared" si="12"/>
        <v>1.5686360164885636E-2</v>
      </c>
      <c r="AQ23" s="52"/>
      <c r="AR23" s="52"/>
      <c r="AS23" s="52"/>
      <c r="AT23" s="52"/>
      <c r="AU23" s="52"/>
      <c r="AV23" s="52"/>
      <c r="AW23" s="52"/>
    </row>
    <row r="24" spans="1:49" s="61" customFormat="1" ht="15.75" customHeight="1">
      <c r="A24" s="1103">
        <f>VLOOKUP(B24,ReportData!$AQ$4:$AR$25,2,FALSE)</f>
        <v>0</v>
      </c>
      <c r="B24" s="885" t="str">
        <f>ReportData!$K$17</f>
        <v>Southampton</v>
      </c>
      <c r="C24" s="896"/>
      <c r="D24" s="889">
        <f>IF(Year1_Southampton Year1_LAC="","",Year1_Southampton Year1_LAC)</f>
        <v>486</v>
      </c>
      <c r="E24" s="889">
        <f>IF(Year2_Southampton Year2_LAC="","",Year2_Southampton Year2_LAC)</f>
        <v>497</v>
      </c>
      <c r="F24" s="889">
        <f>IF(Year3_Southampton Year3_LAC="","",Year3_Southampton Year3_LAC)</f>
        <v>561</v>
      </c>
      <c r="G24" s="889">
        <f>IF(Year4_Southampton Year4_LAC="","",Year4_Southampton Year4_LAC)</f>
        <v>538</v>
      </c>
      <c r="H24" s="890">
        <f>IF(Year5_Southampton Year5_LAC="","",Year5_Southampton Year5_LAC)</f>
        <v>488</v>
      </c>
      <c r="I24" s="900">
        <f t="shared" si="8"/>
        <v>4.3678400570182595E-3</v>
      </c>
      <c r="J24" s="896"/>
      <c r="K24" s="901">
        <f>IF(ISNUMBER(D24),D24/Population!D24*10000,NA())</f>
        <v>98.007582479632177</v>
      </c>
      <c r="L24" s="901">
        <f>IF(ISNUMBER(E24),E24/Population!E24*10000,NA())</f>
        <v>99.92560870177131</v>
      </c>
      <c r="M24" s="901">
        <f>IF(ISNUMBER(F24),F24/Population!F24*10000,NA())</f>
        <v>113.59034583299587</v>
      </c>
      <c r="N24" s="901">
        <f>IF(ISNUMBER(G24),G24/Population!G24*10000,NA())</f>
        <v>107.87832608128973</v>
      </c>
      <c r="O24" s="902">
        <f>IF(ISNUMBER(H24),H24/Population!H24*10000,NA())</f>
        <v>96.877295376491375</v>
      </c>
      <c r="P24" s="903">
        <f t="shared" si="9"/>
        <v>96.877295376491375</v>
      </c>
      <c r="Q24" s="1190">
        <f t="shared" si="10"/>
        <v>18</v>
      </c>
      <c r="R24" s="64"/>
      <c r="S24" s="905">
        <f t="shared" si="11"/>
        <v>85.4423732037028</v>
      </c>
      <c r="T24" s="906">
        <f t="shared" si="0"/>
        <v>11.434922172788575</v>
      </c>
      <c r="U24" s="89"/>
      <c r="V24" s="103"/>
      <c r="W24" s="115"/>
      <c r="X24" s="51" t="str">
        <f t="shared" si="1"/>
        <v>Southampton</v>
      </c>
      <c r="Y24" s="27">
        <f>IF(ISNUMBER(H24),IDACI!D22,0)</f>
        <v>44295</v>
      </c>
      <c r="Z24" s="27">
        <f>IF(ISNUMBER(H24),IDACI!E22,0)</f>
        <v>9080.4750000000004</v>
      </c>
      <c r="AA24" s="155">
        <f>IF(ISNUMBER(D24),Population!D24,"")</f>
        <v>49588</v>
      </c>
      <c r="AB24" s="155">
        <f>IF(ISNUMBER(E24),Population!E24,"")</f>
        <v>49737</v>
      </c>
      <c r="AC24" s="155">
        <f>IF(ISNUMBER(F24),Population!F24,"")</f>
        <v>49388</v>
      </c>
      <c r="AD24" s="155">
        <f>IF(ISNUMBER(G24),Population!G24,"")</f>
        <v>49871</v>
      </c>
      <c r="AF24" s="65" t="s">
        <v>14</v>
      </c>
      <c r="AG24" s="70">
        <f t="shared" si="2"/>
        <v>96.877295376491375</v>
      </c>
      <c r="AH24" s="156">
        <f t="shared" si="3"/>
        <v>18</v>
      </c>
      <c r="AJ24" s="121"/>
      <c r="AK24" s="480">
        <f t="shared" si="4"/>
        <v>2.2633744855967079E-2</v>
      </c>
      <c r="AL24" s="480">
        <f t="shared" si="5"/>
        <v>0.12877263581488935</v>
      </c>
      <c r="AM24" s="480">
        <f t="shared" si="6"/>
        <v>-4.0998217468805706E-2</v>
      </c>
      <c r="AN24" s="480">
        <f t="shared" si="7"/>
        <v>-9.2936802973977689E-2</v>
      </c>
      <c r="AO24" s="480">
        <f t="shared" si="12"/>
        <v>4.3678400570182595E-3</v>
      </c>
      <c r="AQ24" s="52"/>
      <c r="AR24" s="52"/>
      <c r="AS24" s="52"/>
      <c r="AT24" s="52"/>
      <c r="AU24" s="52"/>
      <c r="AV24" s="52"/>
      <c r="AW24" s="52"/>
    </row>
    <row r="25" spans="1:49" s="61" customFormat="1" ht="15.75" customHeight="1">
      <c r="A25" s="1103">
        <f>VLOOKUP(B25,ReportData!$AQ$4:$AR$25,2,FALSE)</f>
        <v>0</v>
      </c>
      <c r="B25" s="885" t="str">
        <f>ReportData!$K$18</f>
        <v>Surrey</v>
      </c>
      <c r="C25" s="896"/>
      <c r="D25" s="889">
        <f>IF(Year1_Surrey Year1_LAC="","",Year1_Surrey Year1_LAC)</f>
        <v>983</v>
      </c>
      <c r="E25" s="889">
        <f>IF(Year2_Surrey Year2_LAC="","",Year2_Surrey Year2_LAC)</f>
        <v>996</v>
      </c>
      <c r="F25" s="889">
        <f>IF(Year3_Surrey Year3_LAC="","",Year3_Surrey Year3_LAC)</f>
        <v>1048</v>
      </c>
      <c r="G25" s="889">
        <f>IF(Year4_Surrey Year4_LAC="","",Year4_Surrey Year4_LAC)</f>
        <v>1013</v>
      </c>
      <c r="H25" s="890">
        <f>IF(Year5_Surrey Year5_LAC="","",Year5_Surrey Year5_LAC)</f>
        <v>963</v>
      </c>
      <c r="I25" s="900">
        <f t="shared" si="8"/>
        <v>-4.3304077024233171E-3</v>
      </c>
      <c r="J25" s="896"/>
      <c r="K25" s="901">
        <f>IF(ISNUMBER(D25),D25/Population!D25*10000,NA())</f>
        <v>38.094130868646943</v>
      </c>
      <c r="L25" s="901">
        <f>IF(ISNUMBER(E25),E25/Population!E25*10000,NA())</f>
        <v>38.527148874937623</v>
      </c>
      <c r="M25" s="901">
        <f>IF(ISNUMBER(F25),F25/Population!F25*10000,NA())</f>
        <v>40.387224072018746</v>
      </c>
      <c r="N25" s="901">
        <f>IF(ISNUMBER(G25),G25/Population!G25*10000,NA())</f>
        <v>38.439062891315729</v>
      </c>
      <c r="O25" s="902">
        <f>IF(ISNUMBER(H25),H25/Population!H25*10000,NA())</f>
        <v>36.247703935680086</v>
      </c>
      <c r="P25" s="903">
        <f t="shared" si="9"/>
        <v>36.247703935680086</v>
      </c>
      <c r="Q25" s="1190">
        <f t="shared" si="10"/>
        <v>2</v>
      </c>
      <c r="R25" s="64"/>
      <c r="S25" s="905">
        <f t="shared" si="11"/>
        <v>42.530925465521349</v>
      </c>
      <c r="T25" s="906">
        <f t="shared" si="0"/>
        <v>-6.2832215298412635</v>
      </c>
      <c r="U25" s="89"/>
      <c r="V25" s="103"/>
      <c r="W25" s="115"/>
      <c r="X25" s="51" t="str">
        <f t="shared" si="1"/>
        <v>Surrey</v>
      </c>
      <c r="Y25" s="27">
        <f>IF(ISNUMBER(H25),IDACI!D23,0)</f>
        <v>228466</v>
      </c>
      <c r="Z25" s="27">
        <f>IF(ISNUMBER(H25),IDACI!E23,0)</f>
        <v>18962.678</v>
      </c>
      <c r="AA25" s="155">
        <f>IF(ISNUMBER(D25),Population!D25,"")</f>
        <v>258045</v>
      </c>
      <c r="AB25" s="155">
        <f>IF(ISNUMBER(E25),Population!E25,"")</f>
        <v>258519</v>
      </c>
      <c r="AC25" s="155">
        <f>IF(ISNUMBER(F25),Population!F25,"")</f>
        <v>259488</v>
      </c>
      <c r="AD25" s="155">
        <f>IF(ISNUMBER(G25),Population!G25,"")</f>
        <v>263534</v>
      </c>
      <c r="AE25" s="155">
        <f>IF(ISNUMBER(H24),Population!H24,"")</f>
        <v>50373</v>
      </c>
      <c r="AF25" s="65" t="s">
        <v>7</v>
      </c>
      <c r="AG25" s="70">
        <f t="shared" si="2"/>
        <v>36.247703935680086</v>
      </c>
      <c r="AH25" s="156">
        <f t="shared" si="3"/>
        <v>2</v>
      </c>
      <c r="AJ25" s="121"/>
      <c r="AK25" s="480">
        <f t="shared" si="4"/>
        <v>1.3224821973550356E-2</v>
      </c>
      <c r="AL25" s="480">
        <f t="shared" si="5"/>
        <v>5.2208835341365459E-2</v>
      </c>
      <c r="AM25" s="480">
        <f t="shared" si="6"/>
        <v>-3.3396946564885496E-2</v>
      </c>
      <c r="AN25" s="480">
        <f t="shared" si="7"/>
        <v>-4.9358341559723594E-2</v>
      </c>
      <c r="AO25" s="480">
        <f t="shared" si="12"/>
        <v>-4.3304077024233171E-3</v>
      </c>
      <c r="AQ25" s="52"/>
      <c r="AR25" s="52"/>
      <c r="AS25" s="52"/>
      <c r="AT25" s="52"/>
      <c r="AU25" s="52"/>
      <c r="AV25" s="52"/>
      <c r="AW25" s="52"/>
    </row>
    <row r="26" spans="1:49" s="61" customFormat="1" ht="15.75" customHeight="1">
      <c r="A26" s="1103">
        <f>VLOOKUP(B26,ReportData!$AQ$4:$AR$25,2,FALSE)</f>
        <v>0</v>
      </c>
      <c r="B26" s="885" t="str">
        <f>ReportData!$K$19</f>
        <v>West Berkshire</v>
      </c>
      <c r="C26" s="896"/>
      <c r="D26" s="889">
        <f>IF(Year1_West_Berkshire Year1_LAC="","",Year1_West_Berkshire Year1_LAC)</f>
        <v>156</v>
      </c>
      <c r="E26" s="889">
        <f>IF(Year2_West_Berkshire Year2_LAC="","",Year2_West_Berkshire Year2_LAC)</f>
        <v>146</v>
      </c>
      <c r="F26" s="889">
        <f>IF(Year3_West_Berkshire Year3_LAC="","",Year3_West_Berkshire Year3_LAC)</f>
        <v>166</v>
      </c>
      <c r="G26" s="889">
        <f>IF(Year4_West_Berkshire Year4_LAC="","",Year4_West_Berkshire Year4_LAC)</f>
        <v>197</v>
      </c>
      <c r="H26" s="890">
        <f>IF(Year5_West_Berkshire Year5_LAC="","",Year5_West_Berkshire Year5_LAC)</f>
        <v>187</v>
      </c>
      <c r="I26" s="900">
        <f>AO26</f>
        <v>5.2217325974827297E-2</v>
      </c>
      <c r="J26" s="896"/>
      <c r="K26" s="901">
        <f>IF(ISNUMBER(D26),D26/Population!D26*10000,NA())</f>
        <v>44.493882091212456</v>
      </c>
      <c r="L26" s="901">
        <f>IF(ISNUMBER(E26),E26/Population!E26*10000,NA())</f>
        <v>41.925109120147027</v>
      </c>
      <c r="M26" s="901">
        <f>IF(ISNUMBER(F26),F26/Population!F26*10000,NA())</f>
        <v>47.98381268969505</v>
      </c>
      <c r="N26" s="901">
        <f>IF(ISNUMBER(G26),G26/Population!G26*10000,NA())</f>
        <v>56.427589367552699</v>
      </c>
      <c r="O26" s="902">
        <f>IF(ISNUMBER(H26),H26/Population!H26*10000,NA())</f>
        <v>52.937013446567583</v>
      </c>
      <c r="P26" s="903">
        <f t="shared" ref="P26:P31" si="13">IF(ISNUMBER(O26),O26,"")</f>
        <v>52.937013446567583</v>
      </c>
      <c r="Q26" s="1190">
        <f t="shared" si="10"/>
        <v>9</v>
      </c>
      <c r="R26" s="64"/>
      <c r="S26" s="905">
        <f t="shared" si="11"/>
        <v>43.937858178248604</v>
      </c>
      <c r="T26" s="906">
        <f t="shared" si="0"/>
        <v>8.9991552683189795</v>
      </c>
      <c r="U26" s="89"/>
      <c r="V26" s="103"/>
      <c r="W26" s="115"/>
      <c r="X26" s="51" t="str">
        <f t="shared" si="1"/>
        <v>West Berkshire</v>
      </c>
      <c r="Y26" s="27">
        <f>IF(ISNUMBER(H26),IDACI!D24,0)</f>
        <v>31625</v>
      </c>
      <c r="Z26" s="27">
        <f>IF(ISNUMBER(H26),IDACI!E24,0)</f>
        <v>2751.375</v>
      </c>
      <c r="AA26" s="155">
        <f>IF(ISNUMBER(D26),Population!D26,"")</f>
        <v>35061</v>
      </c>
      <c r="AB26" s="155">
        <f>IF(ISNUMBER(E26),Population!E26,"")</f>
        <v>34824</v>
      </c>
      <c r="AC26" s="155">
        <f>IF(ISNUMBER(F26),Population!F26,"")</f>
        <v>34595</v>
      </c>
      <c r="AD26" s="155">
        <f>IF(ISNUMBER(G26),Population!G26,"")</f>
        <v>34912</v>
      </c>
      <c r="AE26" s="155">
        <f>IF(ISNUMBER(H25),Population!H25,"")</f>
        <v>265672</v>
      </c>
      <c r="AF26" s="65" t="s">
        <v>15</v>
      </c>
      <c r="AG26" s="70">
        <f t="shared" si="2"/>
        <v>52.937013446567583</v>
      </c>
      <c r="AH26" s="156">
        <f t="shared" si="3"/>
        <v>9</v>
      </c>
      <c r="AJ26" s="121"/>
      <c r="AK26" s="480">
        <f t="shared" si="4"/>
        <v>-6.4102564102564097E-2</v>
      </c>
      <c r="AL26" s="480">
        <f t="shared" si="5"/>
        <v>0.13698630136986301</v>
      </c>
      <c r="AM26" s="480">
        <f t="shared" si="6"/>
        <v>0.18674698795180722</v>
      </c>
      <c r="AN26" s="480">
        <f t="shared" si="7"/>
        <v>-5.0761421319796954E-2</v>
      </c>
      <c r="AO26" s="480">
        <f t="shared" ref="AO26:AO31" si="14">AVERAGE(AK26:AN26)</f>
        <v>5.2217325974827297E-2</v>
      </c>
      <c r="AQ26" s="52"/>
      <c r="AR26" s="52"/>
      <c r="AS26" s="52"/>
      <c r="AT26" s="52"/>
      <c r="AU26" s="52"/>
      <c r="AV26" s="52"/>
      <c r="AW26" s="52"/>
    </row>
    <row r="27" spans="1:49" s="61" customFormat="1" ht="15.75" customHeight="1">
      <c r="A27" s="1103">
        <f>VLOOKUP(B27,ReportData!$AQ$4:$AR$25,2,FALSE)</f>
        <v>0</v>
      </c>
      <c r="B27" s="885" t="str">
        <f>ReportData!$K$20</f>
        <v>West Sussex</v>
      </c>
      <c r="C27" s="896"/>
      <c r="D27" s="889">
        <f>IF(Year1_West_Sussex Year1_LAC="","",Year1_West_Sussex Year1_LAC)</f>
        <v>806</v>
      </c>
      <c r="E27" s="889">
        <f>IF(Year2_West_Sussex Year2_LAC="","",Year2_West_Sussex Year2_LAC)</f>
        <v>891</v>
      </c>
      <c r="F27" s="889">
        <f>IF(Year3_West_Sussex Year3_LAC="","",Year3_West_Sussex Year3_LAC)</f>
        <v>860</v>
      </c>
      <c r="G27" s="889">
        <f>IF(Year4_West_Sussex Year4_LAC="","",Year4_West_Sussex Year4_LAC)</f>
        <v>887</v>
      </c>
      <c r="H27" s="890">
        <f>IF(Year5_West_Sussex Year5_LAC="","",Year5_West_Sussex Year5_LAC)</f>
        <v>906</v>
      </c>
      <c r="I27" s="900">
        <f>AO27</f>
        <v>3.0870639096374362E-2</v>
      </c>
      <c r="J27" s="896"/>
      <c r="K27" s="901">
        <f>IF(ISNUMBER(D27),D27/Population!D27*10000,NA())</f>
        <v>46.441679967271874</v>
      </c>
      <c r="L27" s="901">
        <f>IF(ISNUMBER(E27),E27/Population!E27*10000,NA())</f>
        <v>51.244298999844716</v>
      </c>
      <c r="M27" s="901">
        <f>IF(ISNUMBER(F27),F27/Population!F27*10000,NA())</f>
        <v>49.189516913186225</v>
      </c>
      <c r="N27" s="901">
        <f>IF(ISNUMBER(G27),G27/Population!G27*10000,NA())</f>
        <v>50.01437842897338</v>
      </c>
      <c r="O27" s="902">
        <f>IF(ISNUMBER(H27),H27/Population!H27*10000,NA())</f>
        <v>50.612263139077584</v>
      </c>
      <c r="P27" s="903">
        <f t="shared" si="13"/>
        <v>50.612263139077584</v>
      </c>
      <c r="Q27" s="1190">
        <f t="shared" si="10"/>
        <v>8</v>
      </c>
      <c r="R27" s="64"/>
      <c r="S27" s="905">
        <f t="shared" si="11"/>
        <v>52.027721276430356</v>
      </c>
      <c r="T27" s="906">
        <f t="shared" si="0"/>
        <v>-1.4154581373527719</v>
      </c>
      <c r="U27" s="89"/>
      <c r="V27" s="103"/>
      <c r="W27" s="115"/>
      <c r="X27" s="51" t="str">
        <f t="shared" si="1"/>
        <v>West Sussex</v>
      </c>
      <c r="Y27" s="27">
        <f>IF(ISNUMBER(H27),IDACI!D25,0)</f>
        <v>151487</v>
      </c>
      <c r="Z27" s="27">
        <f>IF(ISNUMBER(H27),IDACI!E25,0)</f>
        <v>16663.57</v>
      </c>
      <c r="AA27" s="155">
        <f>IF(ISNUMBER(D27),Population!D27,"")</f>
        <v>173551</v>
      </c>
      <c r="AB27" s="155">
        <f>IF(ISNUMBER(E27),Population!E27,"")</f>
        <v>173873</v>
      </c>
      <c r="AC27" s="155">
        <f>IF(ISNUMBER(F27),Population!F27,"")</f>
        <v>174834</v>
      </c>
      <c r="AD27" s="155">
        <f>IF(ISNUMBER(G27),Population!G27,"")</f>
        <v>177349</v>
      </c>
      <c r="AE27" s="155">
        <f>IF(ISNUMBER(H26),Population!H26,"")</f>
        <v>35325</v>
      </c>
      <c r="AF27" s="65" t="s">
        <v>5</v>
      </c>
      <c r="AG27" s="70">
        <f t="shared" si="2"/>
        <v>50.612263139077584</v>
      </c>
      <c r="AH27" s="156">
        <f t="shared" si="3"/>
        <v>8</v>
      </c>
      <c r="AJ27" s="121"/>
      <c r="AK27" s="480">
        <f t="shared" si="4"/>
        <v>0.10545905707196029</v>
      </c>
      <c r="AL27" s="480">
        <f t="shared" si="5"/>
        <v>-3.479236812570146E-2</v>
      </c>
      <c r="AM27" s="480">
        <f t="shared" si="6"/>
        <v>3.1395348837209305E-2</v>
      </c>
      <c r="AN27" s="480">
        <f t="shared" si="7"/>
        <v>2.1420518602029311E-2</v>
      </c>
      <c r="AO27" s="480">
        <f t="shared" si="14"/>
        <v>3.0870639096374362E-2</v>
      </c>
      <c r="AQ27" s="52"/>
      <c r="AR27" s="52"/>
      <c r="AS27" s="52"/>
      <c r="AT27" s="52"/>
      <c r="AU27" s="52"/>
      <c r="AV27" s="52"/>
      <c r="AW27" s="52"/>
    </row>
    <row r="28" spans="1:49" s="61" customFormat="1" ht="15.75" customHeight="1">
      <c r="A28" s="1103">
        <f>VLOOKUP(B28,ReportData!$AQ$4:$AR$25,2,FALSE)</f>
        <v>0</v>
      </c>
      <c r="B28" s="885" t="str">
        <f>ReportData!$K$21</f>
        <v>Windsor &amp; Maidenhead</v>
      </c>
      <c r="C28" s="896"/>
      <c r="D28" s="889">
        <f>IF(Year1_Windsor_and_Maidenhead Year1_LAC="","",Year1_Windsor_and_Maidenhead Year1_LAC)</f>
        <v>116</v>
      </c>
      <c r="E28" s="889">
        <f>IF(Year2_Windsor_and_Maidenhead Year2_LAC="","",Year2_Windsor_and_Maidenhead Year2_LAC)</f>
        <v>130</v>
      </c>
      <c r="F28" s="889">
        <f>IF(Year3_Windsor_and_Maidenhead Year3_LAC="","",Year3_Windsor_and_Maidenhead Year3_LAC)</f>
        <v>128</v>
      </c>
      <c r="G28" s="889">
        <f>IF(Year4_Windsor_and_Maidenhead Year4_LAC="","",Year4_Windsor_and_Maidenhead Year4_LAC)</f>
        <v>151</v>
      </c>
      <c r="H28" s="890">
        <f>IF(Year5_Windsor_and_Maidenhead Year5_LAC="","",Year5_Windsor_and_Maidenhead Year5_LAC)</f>
        <v>140</v>
      </c>
      <c r="I28" s="900">
        <f>AO28</f>
        <v>5.3036214417148286E-2</v>
      </c>
      <c r="J28" s="896"/>
      <c r="K28" s="901">
        <f>IF(ISNUMBER(D28),D28/Population!D28*10000,NA())</f>
        <v>33.844897006477211</v>
      </c>
      <c r="L28" s="901">
        <f>IF(ISNUMBER(E28),E28/Population!E28*10000,NA())</f>
        <v>38.142182319631488</v>
      </c>
      <c r="M28" s="901">
        <f>IF(ISNUMBER(F28),F28/Population!F28*10000,NA())</f>
        <v>37.784862439485181</v>
      </c>
      <c r="N28" s="901">
        <f>IF(ISNUMBER(G28),G28/Population!G28*10000,NA())</f>
        <v>44.264649840236864</v>
      </c>
      <c r="O28" s="902">
        <f>IF(ISNUMBER(H28),H28/Population!H28*10000,NA())</f>
        <v>40.838948688778039</v>
      </c>
      <c r="P28" s="903">
        <f t="shared" si="13"/>
        <v>40.838948688778039</v>
      </c>
      <c r="Q28" s="1190">
        <f t="shared" si="10"/>
        <v>3</v>
      </c>
      <c r="R28" s="64"/>
      <c r="S28" s="905">
        <f t="shared" si="11"/>
        <v>36.90319461461231</v>
      </c>
      <c r="T28" s="906">
        <f t="shared" si="0"/>
        <v>3.9357540741657289</v>
      </c>
      <c r="U28" s="89"/>
      <c r="V28" s="103"/>
      <c r="W28" s="115"/>
      <c r="X28" s="51" t="str">
        <f t="shared" si="1"/>
        <v>Windsor &amp; Maidenhead</v>
      </c>
      <c r="Y28" s="27">
        <f>IF(ISNUMBER(H28),IDACI!D26,0)</f>
        <v>29792</v>
      </c>
      <c r="Z28" s="27">
        <f>IF(ISNUMBER(H28),IDACI!E26,0)</f>
        <v>1996.0640000000001</v>
      </c>
      <c r="AA28" s="155">
        <f>IF(ISNUMBER(D28),Population!D28,"")</f>
        <v>34274</v>
      </c>
      <c r="AB28" s="155">
        <f>IF(ISNUMBER(E28),Population!E28,"")</f>
        <v>34083</v>
      </c>
      <c r="AC28" s="155">
        <f>IF(ISNUMBER(F28),Population!F28,"")</f>
        <v>33876</v>
      </c>
      <c r="AD28" s="155">
        <f>IF(ISNUMBER(G28),Population!G28,"")</f>
        <v>34113</v>
      </c>
      <c r="AE28" s="155">
        <f>IF(ISNUMBER(H27),Population!H27,"")</f>
        <v>179008</v>
      </c>
      <c r="AF28" s="65" t="s">
        <v>27</v>
      </c>
      <c r="AG28" s="70">
        <f t="shared" si="2"/>
        <v>40.838948688778039</v>
      </c>
      <c r="AH28" s="156">
        <f t="shared" si="3"/>
        <v>3</v>
      </c>
      <c r="AJ28" s="121"/>
      <c r="AK28" s="480">
        <f t="shared" si="4"/>
        <v>0.1206896551724138</v>
      </c>
      <c r="AL28" s="480">
        <f t="shared" si="5"/>
        <v>-1.5384615384615385E-2</v>
      </c>
      <c r="AM28" s="480">
        <f t="shared" si="6"/>
        <v>0.1796875</v>
      </c>
      <c r="AN28" s="480">
        <f t="shared" si="7"/>
        <v>-7.2847682119205295E-2</v>
      </c>
      <c r="AO28" s="480">
        <f t="shared" si="14"/>
        <v>5.3036214417148286E-2</v>
      </c>
      <c r="AQ28" s="52"/>
      <c r="AR28" s="52"/>
      <c r="AS28" s="52"/>
      <c r="AT28" s="52"/>
      <c r="AU28" s="52"/>
      <c r="AV28" s="52"/>
      <c r="AW28" s="52"/>
    </row>
    <row r="29" spans="1:49" s="61" customFormat="1" ht="15.75" customHeight="1">
      <c r="A29" s="1103">
        <f>VLOOKUP(B29,ReportData!$AQ$4:$AR$25,2,FALSE)</f>
        <v>0</v>
      </c>
      <c r="B29" s="885" t="str">
        <f>ReportData!$K$22</f>
        <v>Wokingham</v>
      </c>
      <c r="C29" s="896"/>
      <c r="D29" s="889">
        <f>IF(Year1_Wokingham Year1_LAC="","",Year1_Wokingham Year1_LAC)</f>
        <v>98</v>
      </c>
      <c r="E29" s="889">
        <f>IF(Year2_Wokingham Year2_LAC="","",Year2_Wokingham Year2_LAC)</f>
        <v>101</v>
      </c>
      <c r="F29" s="889">
        <f>IF(Year3_Wokingham Year3_LAC="","",Year3_Wokingham Year3_LAC)</f>
        <v>136</v>
      </c>
      <c r="G29" s="889">
        <f>IF(Year4_Wokingham Year4_LAC="","",Year4_Wokingham Year4_LAC)</f>
        <v>137</v>
      </c>
      <c r="H29" s="890">
        <f>IF(Year5_Wokingham Year5_LAC="","",Year5_Wokingham Year5_LAC)</f>
        <v>137</v>
      </c>
      <c r="I29" s="900">
        <f>AO29</f>
        <v>9.6124959884944058E-2</v>
      </c>
      <c r="J29" s="896"/>
      <c r="K29" s="901">
        <f>IF(ISNUMBER(D29),D29/Population!D29*10000,NA())</f>
        <v>24.640450568238961</v>
      </c>
      <c r="L29" s="901">
        <f>IF(ISNUMBER(E29),E29/Population!E29*10000,NA())</f>
        <v>24.953058602628719</v>
      </c>
      <c r="M29" s="901">
        <f>IF(ISNUMBER(F29),F29/Population!F29*10000,NA())</f>
        <v>33.066692601327532</v>
      </c>
      <c r="N29" s="901">
        <f>IF(ISNUMBER(G29),G29/Population!G29*10000,NA())</f>
        <v>32.220131702728132</v>
      </c>
      <c r="O29" s="902">
        <f>IF(ISNUMBER(H29),H29/Population!H29*10000,NA())</f>
        <v>31.629496236782565</v>
      </c>
      <c r="P29" s="903">
        <f t="shared" si="13"/>
        <v>31.629496236782565</v>
      </c>
      <c r="Q29" s="1190">
        <f t="shared" si="10"/>
        <v>1</v>
      </c>
      <c r="R29" s="64"/>
      <c r="S29" s="905">
        <f t="shared" si="11"/>
        <v>33.034129654612343</v>
      </c>
      <c r="T29" s="906">
        <f t="shared" si="0"/>
        <v>-1.4046334178297784</v>
      </c>
      <c r="U29" s="89"/>
      <c r="V29" s="103"/>
      <c r="W29" s="115"/>
      <c r="X29" s="51" t="str">
        <f t="shared" si="1"/>
        <v>Wokingham</v>
      </c>
      <c r="Y29" s="27">
        <f>IF(ISNUMBER(H29),IDACI!D27,0)</f>
        <v>33327</v>
      </c>
      <c r="Z29" s="27">
        <f>IF(ISNUMBER(H29),IDACI!E27,0)</f>
        <v>1866.3120000000004</v>
      </c>
      <c r="AA29" s="155">
        <f>IF(ISNUMBER(D29),Population!D29,"")</f>
        <v>39772</v>
      </c>
      <c r="AB29" s="155">
        <f>IF(ISNUMBER(E29),Population!E29,"")</f>
        <v>40476</v>
      </c>
      <c r="AC29" s="155">
        <f>IF(ISNUMBER(F29),Population!F29,"")</f>
        <v>41129</v>
      </c>
      <c r="AD29" s="155">
        <f>IF(ISNUMBER(G29),Population!G29,"")</f>
        <v>42520</v>
      </c>
      <c r="AE29" s="155">
        <f>IF(ISNUMBER(H29),Population!H29,"")</f>
        <v>43314</v>
      </c>
      <c r="AF29" s="65" t="s">
        <v>16</v>
      </c>
      <c r="AG29" s="70">
        <f t="shared" si="2"/>
        <v>31.629496236782565</v>
      </c>
      <c r="AH29" s="156">
        <f t="shared" si="3"/>
        <v>1</v>
      </c>
      <c r="AJ29" s="121"/>
      <c r="AK29" s="480">
        <f t="shared" si="4"/>
        <v>3.0612244897959183E-2</v>
      </c>
      <c r="AL29" s="480">
        <f t="shared" si="5"/>
        <v>0.34653465346534651</v>
      </c>
      <c r="AM29" s="480">
        <f t="shared" si="6"/>
        <v>7.3529411764705881E-3</v>
      </c>
      <c r="AN29" s="480">
        <f t="shared" si="7"/>
        <v>0</v>
      </c>
      <c r="AO29" s="480">
        <f t="shared" si="14"/>
        <v>9.6124959884944058E-2</v>
      </c>
      <c r="AQ29" s="52"/>
      <c r="AR29" s="52"/>
      <c r="AS29" s="52"/>
      <c r="AT29" s="52"/>
      <c r="AU29" s="52"/>
      <c r="AV29" s="52"/>
      <c r="AW29" s="52"/>
    </row>
    <row r="30" spans="1:49" s="61" customFormat="1" ht="15.75" customHeight="1">
      <c r="A30" s="1103"/>
      <c r="B30" s="886" t="str">
        <f>ReportData!$K$23</f>
        <v>South East</v>
      </c>
      <c r="C30" s="896"/>
      <c r="D30" s="892">
        <f>IF(Year1_South_East Year1_LAC="","",Year1_South_East Year1_LAC)</f>
        <v>10429</v>
      </c>
      <c r="E30" s="892">
        <f>IF(Year2_South_East Year2_LAC="","",Year2_South_East Year2_LAC)</f>
        <v>10484</v>
      </c>
      <c r="F30" s="892">
        <f>IF(Year3_South_East Year3_LAC="","",Year3_South_East Year3_LAC)</f>
        <v>10843</v>
      </c>
      <c r="G30" s="892">
        <f>IF(Year4_South_East Year4_LAC="","",Year4_South_East Year4_LAC)</f>
        <v>11260</v>
      </c>
      <c r="H30" s="893">
        <f>IF(Year5_South_East Year5_LAC="","",Year5_South_East Year5_LAC)</f>
        <v>11180</v>
      </c>
      <c r="I30" s="907">
        <f>AO30</f>
        <v>1.4099464885754977E-2</v>
      </c>
      <c r="J30" s="896"/>
      <c r="K30" s="908">
        <f>IF(ISNUMBER(D30),D30/AA30*10000,NA())</f>
        <v>54.100376975203254</v>
      </c>
      <c r="L30" s="908">
        <f>IF(ISNUMBER(E30),E30/AB30*10000,NA())</f>
        <v>54.300676790293416</v>
      </c>
      <c r="M30" s="908">
        <f>IF(ISNUMBER(F30),F30/AC30*10000,NA())</f>
        <v>56.016027310073483</v>
      </c>
      <c r="N30" s="908">
        <f>IF(ISNUMBER(G30),G30/AD30*10000,NA())</f>
        <v>57.296588206978072</v>
      </c>
      <c r="O30" s="909">
        <f>IF(ISNUMBER(H30),H30/AE30*10000,NA())</f>
        <v>57.196033521582287</v>
      </c>
      <c r="P30" s="903">
        <f t="shared" si="13"/>
        <v>57.196033521582287</v>
      </c>
      <c r="Q30" s="1191" t="str">
        <f t="shared" si="10"/>
        <v>--</v>
      </c>
      <c r="R30" s="64"/>
      <c r="S30" s="911">
        <f t="shared" si="11"/>
        <v>56.850926676960533</v>
      </c>
      <c r="T30" s="912">
        <f t="shared" si="0"/>
        <v>0.34510684462175334</v>
      </c>
      <c r="U30" s="89"/>
      <c r="V30" s="103"/>
      <c r="W30" s="115"/>
      <c r="X30" s="51" t="str">
        <f t="shared" si="1"/>
        <v>South East</v>
      </c>
      <c r="Y30" s="27">
        <f>SUM(Y24:Y25,Y11:Y23,Y26:Y29)</f>
        <v>1704978</v>
      </c>
      <c r="Z30" s="27">
        <f>SUM(Z24:Z25,Z11:Z23,Z26:Z29)</f>
        <v>210927.40200000003</v>
      </c>
      <c r="AA30" s="155">
        <f>SUM(AA11:AA23,AA24:AA25,AA26:AA29)</f>
        <v>1927713</v>
      </c>
      <c r="AB30" s="155">
        <f>SUM(AB11:AB23,AB24:AB25,AB26:AB29)</f>
        <v>1930731</v>
      </c>
      <c r="AC30" s="155">
        <f>SUM(AC11:AC23,AC24:AC25,AC26:AC29)</f>
        <v>1935696</v>
      </c>
      <c r="AD30" s="155">
        <f>SUM(AD11:AD23,AD24:AD25,AD26:AD29)</f>
        <v>1965213</v>
      </c>
      <c r="AE30" s="155">
        <f>SUM(AE11:AE23,AE25:AE26,AE27:AE29)</f>
        <v>1954681</v>
      </c>
      <c r="AH30" s="141"/>
      <c r="AJ30" s="121"/>
      <c r="AK30" s="581">
        <f>IF(ISERROR((L30-K30)/K30),"x",(L30-K30)/K30)</f>
        <v>3.7023737409809295E-3</v>
      </c>
      <c r="AL30" s="581">
        <f>IF(ISERROR((M30-L30)/L30),"x",(M30-L30)/L30)</f>
        <v>3.1589855249956965E-2</v>
      </c>
      <c r="AM30" s="581">
        <f>IF(ISERROR((N30-M30)/M30),"x",(N30-M30)/M30)</f>
        <v>2.2860616120027905E-2</v>
      </c>
      <c r="AN30" s="581">
        <f>IF(ISERROR((O30-N30)/N30),"x",(O30-N30)/N30)</f>
        <v>-1.7549855679458914E-3</v>
      </c>
      <c r="AO30" s="480">
        <f t="shared" si="14"/>
        <v>1.4099464885754977E-2</v>
      </c>
      <c r="AQ30" s="52"/>
      <c r="AR30" s="52"/>
      <c r="AS30" s="52"/>
      <c r="AT30" s="52"/>
      <c r="AU30" s="52"/>
      <c r="AV30" s="52"/>
      <c r="AW30" s="52"/>
    </row>
    <row r="31" spans="1:49" s="61" customFormat="1" ht="15.75" customHeight="1">
      <c r="A31" s="1103"/>
      <c r="B31" s="887" t="str">
        <f>ReportData!$K$24</f>
        <v>England</v>
      </c>
      <c r="C31" s="896"/>
      <c r="D31" s="894">
        <f>IF(Year1_England Year1_LAC="","",Year1_England Year1_LAC)</f>
        <v>80000</v>
      </c>
      <c r="E31" s="894">
        <f>IF(Year2_England Year2_LAC="","",Year2_England Year2_LAC)</f>
        <v>80852</v>
      </c>
      <c r="F31" s="894">
        <f>IF(Year3_England Year3_LAC="","",Year3_England Year3_LAC)</f>
        <v>82170</v>
      </c>
      <c r="G31" s="894">
        <f>IF(Year4_England Year4_LAC="","",Year4_England Year4_LAC)</f>
        <v>83840</v>
      </c>
      <c r="H31" s="895">
        <f>IF(Year5_England Year5_LAC="","",Year5_England Year5_LAC)</f>
        <v>83630</v>
      </c>
      <c r="I31" s="913">
        <f t="shared" si="8"/>
        <v>1.1192584580240689E-2</v>
      </c>
      <c r="J31" s="896"/>
      <c r="K31" s="914">
        <f>IF(ISNUMBER(D31),D31/Population!D31*10000,NA())</f>
        <v>67.851282202642608</v>
      </c>
      <c r="L31" s="914">
        <f>IF(ISNUMBER(E31),E31/Population!E31*10000,NA())</f>
        <v>68.589593608439372</v>
      </c>
      <c r="M31" s="914">
        <f>IF(ISNUMBER(F31),F31/Population!F31*10000,NA())</f>
        <v>69.855353426261843</v>
      </c>
      <c r="N31" s="914">
        <f>IF(ISNUMBER(G31),G31/Population!G31*10000,NA())</f>
        <v>70.538018132410059</v>
      </c>
      <c r="O31" s="1193">
        <f>IF(ISNUMBER(H31),H31/Population!H31*10000,NA())</f>
        <v>69.69953109709212</v>
      </c>
      <c r="P31" s="903">
        <f t="shared" si="13"/>
        <v>69.69953109709212</v>
      </c>
      <c r="Q31" s="1192" t="str">
        <f t="shared" si="10"/>
        <v>--</v>
      </c>
      <c r="R31" s="64"/>
      <c r="S31" s="917">
        <f t="shared" si="11"/>
        <v>73.428621919660571</v>
      </c>
      <c r="T31" s="1087">
        <f t="shared" si="0"/>
        <v>-3.7290908225684518</v>
      </c>
      <c r="U31" s="89"/>
      <c r="V31" s="103"/>
      <c r="W31" s="115"/>
      <c r="X31" s="51" t="str">
        <f t="shared" si="1"/>
        <v>England</v>
      </c>
      <c r="Y31" s="27"/>
      <c r="Z31" s="27"/>
      <c r="AA31" s="155">
        <f>IF(ISNUMBER(D31),Population!D31,"")</f>
        <v>11790492</v>
      </c>
      <c r="AB31" s="155">
        <f>IF(ISNUMBER(E31),Population!E31,"")</f>
        <v>11787794</v>
      </c>
      <c r="AC31" s="155">
        <f>IF(ISNUMBER(F31),Population!F31,"")</f>
        <v>11762878</v>
      </c>
      <c r="AD31" s="155">
        <f>IF(ISNUMBER(G31),Population!G31,"")</f>
        <v>11885789</v>
      </c>
      <c r="AE31" s="155">
        <f>IF(ISNUMBER(H31),Population!H31,"")</f>
        <v>11998646</v>
      </c>
      <c r="AH31" s="141"/>
      <c r="AJ31" s="121"/>
      <c r="AK31" s="480">
        <f>IF(ISERROR((E31-D31)/D31),"x",(E31-D31)/D31)</f>
        <v>1.065E-2</v>
      </c>
      <c r="AL31" s="480">
        <f>IF(ISERROR((F31-E31)/E31),"x",(F31-E31)/E31)</f>
        <v>1.6301390194429329E-2</v>
      </c>
      <c r="AM31" s="480">
        <f>IF(ISERROR((G31-F31)/F31),"x",(G31-F31)/F31)</f>
        <v>2.0323719118899842E-2</v>
      </c>
      <c r="AN31" s="480">
        <f>IF(ISERROR((H31-G31)/G31),"x",(H31-G31)/G31)</f>
        <v>-2.504770992366412E-3</v>
      </c>
      <c r="AO31" s="480">
        <f t="shared" si="14"/>
        <v>1.1192584580240689E-2</v>
      </c>
      <c r="AQ31" s="52"/>
      <c r="AR31" s="52"/>
      <c r="AS31" s="52"/>
      <c r="AT31" s="52"/>
      <c r="AU31" s="52"/>
      <c r="AV31" s="52"/>
      <c r="AW31" s="52"/>
    </row>
    <row r="32" spans="1:49" s="56" customFormat="1" ht="12.75" customHeight="1">
      <c r="A32" s="87"/>
      <c r="B32" s="1077"/>
      <c r="C32" s="1184"/>
      <c r="D32" s="1184"/>
      <c r="E32" s="1184"/>
      <c r="F32" s="1184"/>
      <c r="G32" s="1184"/>
      <c r="H32" s="1184"/>
      <c r="I32" s="1184"/>
      <c r="J32" s="1184"/>
      <c r="K32" s="1184"/>
      <c r="L32" s="1184"/>
      <c r="M32" s="1184"/>
      <c r="N32" s="1184"/>
      <c r="O32" s="1184"/>
      <c r="P32" s="1184"/>
      <c r="Q32" s="1091" t="s">
        <v>100</v>
      </c>
      <c r="R32" s="1113"/>
      <c r="S32" s="1184"/>
      <c r="T32" s="1184"/>
      <c r="U32" s="86"/>
      <c r="V32" s="121"/>
      <c r="W32" s="114"/>
      <c r="X32" s="55"/>
      <c r="Y32" s="52"/>
      <c r="Z32" s="52"/>
      <c r="AA32" s="52"/>
      <c r="AB32" s="52"/>
      <c r="AC32" s="52"/>
      <c r="AD32" s="52"/>
      <c r="AE32" s="52"/>
      <c r="AF32" s="52"/>
      <c r="AG32" s="52"/>
      <c r="AI32" s="52"/>
      <c r="AJ32" s="122"/>
      <c r="AQ32" s="52"/>
      <c r="AR32" s="52"/>
      <c r="AS32" s="52"/>
      <c r="AT32" s="52"/>
      <c r="AU32" s="52"/>
      <c r="AV32" s="52"/>
      <c r="AW32" s="52"/>
    </row>
    <row r="33" spans="1:68"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Y33" s="141"/>
      <c r="AI33" s="52"/>
      <c r="AJ33" s="119"/>
      <c r="AK33" s="52"/>
      <c r="AL33" s="52"/>
      <c r="AM33" s="52"/>
      <c r="AN33" s="52"/>
      <c r="AO33" s="52"/>
      <c r="AP33" s="52"/>
      <c r="AQ33" s="52"/>
    </row>
    <row r="34" spans="1:68" s="56" customFormat="1" ht="15" customHeight="1">
      <c r="A34" s="1565"/>
      <c r="B34" s="1751"/>
      <c r="C34" s="1751"/>
      <c r="D34" s="1751"/>
      <c r="E34" s="1751"/>
      <c r="F34" s="1751"/>
      <c r="G34" s="1751"/>
      <c r="H34" s="1751"/>
      <c r="I34" s="1751"/>
      <c r="J34" s="1751"/>
      <c r="K34" s="1751"/>
      <c r="L34" s="1751"/>
      <c r="M34" s="1751"/>
      <c r="N34" s="1751"/>
      <c r="O34" s="1751"/>
      <c r="P34" s="1751"/>
      <c r="Q34" s="1751"/>
      <c r="R34" s="1751"/>
      <c r="S34" s="1751"/>
      <c r="T34" s="1751"/>
      <c r="U34" s="1752"/>
      <c r="V34" s="185"/>
      <c r="W34" s="114"/>
      <c r="Y34" s="141"/>
      <c r="AJ34" s="122"/>
      <c r="AL34" s="56">
        <f>COLUMNS($B$4:K$4)</f>
        <v>10</v>
      </c>
      <c r="AM34" s="56">
        <f>COLUMNS($B$4:L$4)</f>
        <v>11</v>
      </c>
      <c r="AN34" s="56">
        <f>COLUMNS($B$4:M$4)</f>
        <v>12</v>
      </c>
      <c r="AO34" s="56">
        <f>COLUMNS($B$4:N$4)</f>
        <v>13</v>
      </c>
      <c r="AP34" s="56">
        <f>COLUMNS($B$4:O$4)</f>
        <v>14</v>
      </c>
      <c r="AQ34" s="56">
        <f>COLUMNS($B$4:R$4)</f>
        <v>17</v>
      </c>
      <c r="AR34" s="56">
        <f>COLUMNS($B$4:D$4)</f>
        <v>3</v>
      </c>
      <c r="AS34" s="56">
        <f>COLUMNS($B$4:E$4)</f>
        <v>4</v>
      </c>
      <c r="AT34" s="56">
        <f>COLUMNS($B$4:F$4)</f>
        <v>5</v>
      </c>
      <c r="AU34" s="56">
        <f>COLUMNS($B$4:G$4)</f>
        <v>6</v>
      </c>
      <c r="AV34" s="56">
        <f>COLUMNS($B$4:H$4)</f>
        <v>7</v>
      </c>
      <c r="AW34" s="56">
        <f>COLUMNS($B$4:D$4)</f>
        <v>3</v>
      </c>
      <c r="AX34" s="56">
        <f>COLUMNS($B$4:E$4)</f>
        <v>4</v>
      </c>
      <c r="AY34" s="56">
        <f>COLUMNS($B$4:F$4)</f>
        <v>5</v>
      </c>
      <c r="AZ34" s="56">
        <f>COLUMNS($B$4:G$4)</f>
        <v>6</v>
      </c>
      <c r="BA34" s="56">
        <f>COLUMNS($B$4:H$4)</f>
        <v>7</v>
      </c>
      <c r="BB34" s="56">
        <f>COLUMNS($B$4:D$4)</f>
        <v>3</v>
      </c>
      <c r="BC34" s="56">
        <f>COLUMNS($B$4:E$4)</f>
        <v>4</v>
      </c>
      <c r="BD34" s="56">
        <f>COLUMNS($B$4:F$4)</f>
        <v>5</v>
      </c>
      <c r="BE34" s="56">
        <f>COLUMNS($B$4:G$4)</f>
        <v>6</v>
      </c>
      <c r="BF34" s="56">
        <f>COLUMNS($B$4:H$4)</f>
        <v>7</v>
      </c>
      <c r="BG34" s="56">
        <f>COLUMNS($B$4:D$4)</f>
        <v>3</v>
      </c>
      <c r="BH34" s="56">
        <f>COLUMNS($B$4:E$4)</f>
        <v>4</v>
      </c>
      <c r="BI34" s="56">
        <f>COLUMNS($B$4:F$4)</f>
        <v>5</v>
      </c>
      <c r="BJ34" s="56">
        <f>COLUMNS($B$4:G$4)</f>
        <v>6</v>
      </c>
      <c r="BK34" s="56">
        <f>COLUMNS($B$4:H$4)</f>
        <v>7</v>
      </c>
      <c r="BL34" s="56">
        <f>COLUMNS($B$4:D$4)</f>
        <v>3</v>
      </c>
      <c r="BM34" s="56">
        <f>COLUMNS($B$4:E$4)</f>
        <v>4</v>
      </c>
      <c r="BN34" s="56">
        <f>COLUMNS($B$4:F$4)</f>
        <v>5</v>
      </c>
      <c r="BO34" s="56">
        <f>COLUMNS($B$4:G$4)</f>
        <v>6</v>
      </c>
      <c r="BP34" s="56">
        <f>COLUMNS($B$4:H$4)</f>
        <v>7</v>
      </c>
    </row>
    <row r="35" spans="1:68" s="56" customFormat="1" ht="11.25" customHeight="1">
      <c r="A35" s="1739"/>
      <c r="B35" s="1740"/>
      <c r="C35" s="1740"/>
      <c r="D35" s="1740"/>
      <c r="E35" s="1740"/>
      <c r="F35" s="1740"/>
      <c r="G35" s="1740"/>
      <c r="H35" s="1740"/>
      <c r="I35" s="1741"/>
      <c r="J35" s="1740"/>
      <c r="K35" s="1740"/>
      <c r="L35" s="1740"/>
      <c r="M35" s="1740"/>
      <c r="N35" s="1740"/>
      <c r="O35" s="1740"/>
      <c r="P35" s="1742"/>
      <c r="Q35" s="1740"/>
      <c r="R35" s="1740"/>
      <c r="S35" s="1741"/>
      <c r="T35" s="1740"/>
      <c r="U35" s="1743"/>
      <c r="V35" s="185"/>
      <c r="W35" s="114"/>
      <c r="Y35" s="141"/>
      <c r="AI35" s="52"/>
      <c r="AJ35" s="121"/>
      <c r="AK35" s="61"/>
      <c r="AL35" s="109" t="s">
        <v>85</v>
      </c>
      <c r="AM35" s="173"/>
      <c r="AN35" s="173"/>
      <c r="AO35" s="173"/>
      <c r="AP35" s="173"/>
      <c r="AQ35" s="109" t="s">
        <v>862</v>
      </c>
      <c r="AR35" s="38" t="s">
        <v>157</v>
      </c>
      <c r="AS35" s="17"/>
      <c r="AT35" s="17"/>
      <c r="AU35" s="17"/>
      <c r="AV35" s="16"/>
      <c r="AW35" s="38" t="s">
        <v>158</v>
      </c>
      <c r="AX35" s="17"/>
      <c r="AY35" s="17"/>
      <c r="AZ35" s="17"/>
      <c r="BA35" s="16"/>
      <c r="BB35" s="38" t="s">
        <v>159</v>
      </c>
      <c r="BC35" s="17"/>
      <c r="BD35" s="17"/>
      <c r="BE35" s="17"/>
      <c r="BF35" s="16"/>
      <c r="BG35" s="38" t="s">
        <v>160</v>
      </c>
      <c r="BH35" s="17"/>
      <c r="BI35" s="17"/>
      <c r="BJ35" s="17"/>
      <c r="BK35" s="16"/>
      <c r="BL35" s="172" t="s">
        <v>163</v>
      </c>
    </row>
    <row r="36" spans="1:68" s="56" customFormat="1" ht="10.5" customHeight="1">
      <c r="A36" s="81"/>
      <c r="B36" s="82"/>
      <c r="C36" s="82"/>
      <c r="D36" s="82"/>
      <c r="E36" s="82"/>
      <c r="F36" s="82"/>
      <c r="G36" s="82"/>
      <c r="H36" s="82"/>
      <c r="I36" s="82"/>
      <c r="J36" s="83"/>
      <c r="K36" s="82"/>
      <c r="L36" s="82"/>
      <c r="M36" s="82"/>
      <c r="N36" s="82"/>
      <c r="O36" s="82"/>
      <c r="P36" s="82"/>
      <c r="Q36" s="82"/>
      <c r="R36" s="82"/>
      <c r="S36" s="82"/>
      <c r="T36" s="82"/>
      <c r="U36" s="84"/>
      <c r="V36" s="102"/>
      <c r="W36" s="1093" t="s">
        <v>94</v>
      </c>
      <c r="X36" s="147"/>
      <c r="Y36" s="147"/>
      <c r="Z36" s="147"/>
      <c r="AA36" s="147"/>
      <c r="AB36" s="147"/>
      <c r="AI36" s="52"/>
      <c r="AJ36" s="121"/>
      <c r="AK36" s="61"/>
      <c r="AL36" s="109"/>
      <c r="AM36" s="109"/>
      <c r="AN36" s="109"/>
      <c r="AO36" s="109"/>
      <c r="AP36" s="109"/>
      <c r="AQ36" s="173"/>
      <c r="AR36" s="109"/>
      <c r="AS36" s="109"/>
      <c r="AT36" s="109"/>
      <c r="AU36" s="109"/>
      <c r="AV36" s="109"/>
      <c r="AW36" s="109"/>
      <c r="AX36" s="109"/>
      <c r="AY36" s="109"/>
      <c r="AZ36" s="109"/>
      <c r="BA36" s="109"/>
      <c r="BB36" s="109"/>
      <c r="BC36" s="109"/>
      <c r="BD36" s="109"/>
      <c r="BE36" s="109"/>
      <c r="BF36" s="109"/>
      <c r="BG36" s="109"/>
      <c r="BH36" s="109"/>
      <c r="BI36" s="109"/>
      <c r="BJ36" s="109"/>
      <c r="BK36" s="109"/>
    </row>
    <row r="37" spans="1:68" s="56" customFormat="1" ht="3.75" customHeight="1">
      <c r="A37" s="85"/>
      <c r="B37" s="5"/>
      <c r="C37" s="5"/>
      <c r="D37" s="5"/>
      <c r="E37" s="5"/>
      <c r="F37" s="5"/>
      <c r="G37" s="5"/>
      <c r="H37" s="5"/>
      <c r="I37" s="5"/>
      <c r="J37" s="1"/>
      <c r="K37" s="5"/>
      <c r="L37" s="5"/>
      <c r="M37" s="5"/>
      <c r="N37" s="5"/>
      <c r="O37" s="5"/>
      <c r="P37" s="5"/>
      <c r="Q37" s="5"/>
      <c r="R37" s="5"/>
      <c r="S37" s="5"/>
      <c r="T37" s="5"/>
      <c r="U37" s="86"/>
      <c r="V37" s="102"/>
      <c r="W37" s="218"/>
      <c r="AC37" s="748" t="s">
        <v>762</v>
      </c>
      <c r="AJ37" s="121"/>
      <c r="AK37" s="61"/>
      <c r="AL37" s="109" t="e">
        <f>D10</f>
        <v>#N/A</v>
      </c>
      <c r="AM37" s="109" t="e">
        <f>E10</f>
        <v>#N/A</v>
      </c>
      <c r="AN37" s="109" t="e">
        <f>F10</f>
        <v>#N/A</v>
      </c>
      <c r="AO37" s="109" t="e">
        <f>G10</f>
        <v>#N/A</v>
      </c>
      <c r="AP37" s="109" t="e">
        <f>H10</f>
        <v>#N/A</v>
      </c>
      <c r="AQ37" s="173"/>
      <c r="AR37" s="109" t="e">
        <f>K10</f>
        <v>#N/A</v>
      </c>
      <c r="AS37" s="109" t="e">
        <f>L10</f>
        <v>#N/A</v>
      </c>
      <c r="AT37" s="109" t="e">
        <f>M10</f>
        <v>#N/A</v>
      </c>
      <c r="AU37" s="109" t="e">
        <f>N10</f>
        <v>#N/A</v>
      </c>
      <c r="AV37" s="109" t="e">
        <f>O10</f>
        <v>#N/A</v>
      </c>
      <c r="AW37" s="109" t="e">
        <f t="shared" ref="AW37:BP37" si="15">AR37</f>
        <v>#N/A</v>
      </c>
      <c r="AX37" s="109" t="e">
        <f t="shared" si="15"/>
        <v>#N/A</v>
      </c>
      <c r="AY37" s="109" t="e">
        <f t="shared" si="15"/>
        <v>#N/A</v>
      </c>
      <c r="AZ37" s="109" t="e">
        <f t="shared" si="15"/>
        <v>#N/A</v>
      </c>
      <c r="BA37" s="109" t="e">
        <f t="shared" si="15"/>
        <v>#N/A</v>
      </c>
      <c r="BB37" s="109" t="e">
        <f t="shared" si="15"/>
        <v>#N/A</v>
      </c>
      <c r="BC37" s="109" t="e">
        <f t="shared" si="15"/>
        <v>#N/A</v>
      </c>
      <c r="BD37" s="109" t="e">
        <f t="shared" si="15"/>
        <v>#N/A</v>
      </c>
      <c r="BE37" s="109" t="e">
        <f t="shared" si="15"/>
        <v>#N/A</v>
      </c>
      <c r="BF37" s="109" t="e">
        <f t="shared" si="15"/>
        <v>#N/A</v>
      </c>
      <c r="BG37" s="109" t="e">
        <f t="shared" si="15"/>
        <v>#N/A</v>
      </c>
      <c r="BH37" s="109" t="e">
        <f t="shared" si="15"/>
        <v>#N/A</v>
      </c>
      <c r="BI37" s="109" t="e">
        <f t="shared" si="15"/>
        <v>#N/A</v>
      </c>
      <c r="BJ37" s="109" t="e">
        <f t="shared" si="15"/>
        <v>#N/A</v>
      </c>
      <c r="BK37" s="109" t="e">
        <f t="shared" si="15"/>
        <v>#N/A</v>
      </c>
      <c r="BL37" s="109" t="e">
        <f t="shared" si="15"/>
        <v>#N/A</v>
      </c>
      <c r="BM37" s="109" t="e">
        <f t="shared" si="15"/>
        <v>#N/A</v>
      </c>
      <c r="BN37" s="109" t="e">
        <f t="shared" si="15"/>
        <v>#N/A</v>
      </c>
      <c r="BO37" s="109" t="e">
        <f t="shared" si="15"/>
        <v>#N/A</v>
      </c>
      <c r="BP37" s="109" t="e">
        <f t="shared" si="15"/>
        <v>#N/A</v>
      </c>
    </row>
    <row r="38" spans="1:68" s="56" customFormat="1" ht="14.25" customHeight="1">
      <c r="A38" s="87"/>
      <c r="B38" s="5"/>
      <c r="C38" s="5"/>
      <c r="D38" s="5"/>
      <c r="E38" s="5"/>
      <c r="F38" s="5"/>
      <c r="G38" s="5"/>
      <c r="H38" s="5"/>
      <c r="I38" s="5"/>
      <c r="J38" s="1"/>
      <c r="K38" s="5"/>
      <c r="L38" s="5"/>
      <c r="M38" s="5"/>
      <c r="N38" s="5"/>
      <c r="O38" s="5"/>
      <c r="P38" s="5"/>
      <c r="Q38" s="5"/>
      <c r="R38" s="5"/>
      <c r="S38" s="5"/>
      <c r="T38" s="5"/>
      <c r="U38" s="86"/>
      <c r="V38" s="102"/>
      <c r="W38" s="218"/>
      <c r="X38" s="26" t="s">
        <v>69</v>
      </c>
      <c r="Y38" s="26" t="s">
        <v>67</v>
      </c>
      <c r="Z38" s="26" t="s">
        <v>68</v>
      </c>
      <c r="AA38" s="693">
        <v>3</v>
      </c>
      <c r="AB38" s="165">
        <f>(AA38*Y39)+Z39</f>
        <v>22.359399450130674</v>
      </c>
      <c r="AC38" s="156">
        <f>ROUND(ChartLabels!$X35,3)</f>
        <v>0.65</v>
      </c>
      <c r="AI38" s="361" t="b">
        <v>1</v>
      </c>
      <c r="AJ38" s="921" t="s">
        <v>0</v>
      </c>
      <c r="AK38" s="61" t="str">
        <f t="shared" ref="AK38:AK58" si="16">IF(AI38=TRUE,B11,"")</f>
        <v>Bracknell Forest</v>
      </c>
      <c r="AL38" s="110">
        <f t="shared" ref="AL38:AP47" si="17">VLOOKUP($AK38,$B$11:$O$31,AL$34,FALSE)</f>
        <v>52.018462891054291</v>
      </c>
      <c r="AM38" s="110">
        <f t="shared" si="17"/>
        <v>52.910052910052904</v>
      </c>
      <c r="AN38" s="110">
        <f t="shared" si="17"/>
        <v>49.239837544477595</v>
      </c>
      <c r="AO38" s="110">
        <f t="shared" si="17"/>
        <v>55.418284504059301</v>
      </c>
      <c r="AP38" s="110">
        <f t="shared" si="17"/>
        <v>48.870736900897121</v>
      </c>
      <c r="AQ38" s="111">
        <f>VLOOKUP(AK38,IDACI!$B$8:$C$29,2,FALSE)</f>
        <v>8.9</v>
      </c>
      <c r="AR38" s="237">
        <f t="shared" ref="AR38:AV47" si="18">VLOOKUP($AK38,$B$109:$H$129,AR$34,FALSE)</f>
        <v>0.40594059405940597</v>
      </c>
      <c r="AS38" s="237">
        <f t="shared" si="18"/>
        <v>0.5145631067961165</v>
      </c>
      <c r="AT38" s="237">
        <f t="shared" si="18"/>
        <v>0.54639175257731953</v>
      </c>
      <c r="AU38" s="237">
        <f t="shared" si="18"/>
        <v>0.40816326530612246</v>
      </c>
      <c r="AV38" s="237">
        <f t="shared" si="18"/>
        <v>0.47368421052631576</v>
      </c>
      <c r="AW38" s="237">
        <f t="shared" ref="AW38:BA47" si="19">VLOOKUP($AK38,$B$142:$H$162,AW$34,FALSE)</f>
        <v>0.51219512195121952</v>
      </c>
      <c r="AX38" s="237">
        <f t="shared" si="19"/>
        <v>0.45283018867924529</v>
      </c>
      <c r="AY38" s="237">
        <f t="shared" si="19"/>
        <v>0.54716981132075471</v>
      </c>
      <c r="AZ38" s="237">
        <f t="shared" si="19"/>
        <v>0.625</v>
      </c>
      <c r="BA38" s="237">
        <f t="shared" si="19"/>
        <v>0.63888888888888884</v>
      </c>
      <c r="BB38" s="237">
        <f t="shared" ref="BB38:BF47" si="20">VLOOKUP($AK38,$B$175:$H$195,BB$34,FALSE)</f>
        <v>0.15492957746478872</v>
      </c>
      <c r="BC38" s="237">
        <f t="shared" si="20"/>
        <v>0.11643835616438356</v>
      </c>
      <c r="BD38" s="237">
        <f t="shared" si="20"/>
        <v>0.15328467153284672</v>
      </c>
      <c r="BE38" s="237">
        <f t="shared" si="20"/>
        <v>0.11464968152866242</v>
      </c>
      <c r="BF38" s="237">
        <f t="shared" si="20"/>
        <v>0.10714285714285714</v>
      </c>
      <c r="BG38" s="237">
        <f t="shared" ref="BG38:BK47" si="21">VLOOKUP($AK38,$B$243:$H$263,BG$34,FALSE)</f>
        <v>2.1126760563380281E-2</v>
      </c>
      <c r="BH38" s="237" t="e">
        <f t="shared" si="21"/>
        <v>#N/A</v>
      </c>
      <c r="BI38" s="237">
        <f t="shared" si="21"/>
        <v>8.0291970802919707E-2</v>
      </c>
      <c r="BJ38" s="237">
        <f t="shared" si="21"/>
        <v>0.20382165605095542</v>
      </c>
      <c r="BK38" s="237">
        <f t="shared" si="21"/>
        <v>0.15714285714285714</v>
      </c>
      <c r="BL38" s="237" t="e">
        <f t="shared" ref="BL38:BP47" si="22">VLOOKUP($AK38,$B$208:$H$230,BL$34,FALSE)</f>
        <v>#N/A</v>
      </c>
      <c r="BM38" s="237" t="e">
        <f t="shared" si="22"/>
        <v>#N/A</v>
      </c>
      <c r="BN38" s="237" t="e">
        <f t="shared" si="22"/>
        <v>#N/A</v>
      </c>
      <c r="BO38" s="237" t="e">
        <f t="shared" si="22"/>
        <v>#N/A</v>
      </c>
      <c r="BP38" s="237" t="e">
        <f t="shared" si="22"/>
        <v>#N/A</v>
      </c>
    </row>
    <row r="39" spans="1:68" s="56" customFormat="1" ht="14.25" customHeight="1">
      <c r="A39" s="87"/>
      <c r="B39" s="5"/>
      <c r="C39" s="5"/>
      <c r="D39" s="5"/>
      <c r="E39" s="5"/>
      <c r="F39" s="5"/>
      <c r="G39" s="5"/>
      <c r="H39" s="5"/>
      <c r="I39" s="5"/>
      <c r="J39" s="1"/>
      <c r="K39" s="5"/>
      <c r="L39" s="5"/>
      <c r="M39" s="5"/>
      <c r="N39" s="5"/>
      <c r="O39" s="5"/>
      <c r="P39" s="5"/>
      <c r="Q39" s="5"/>
      <c r="R39" s="5"/>
      <c r="S39" s="5"/>
      <c r="T39" s="5"/>
      <c r="U39" s="86"/>
      <c r="V39" s="102"/>
      <c r="W39" s="218"/>
      <c r="X39" s="161" t="str">
        <f>"Y= "&amp;Y39&amp;"x + "&amp;Z39</f>
        <v>Y= 3.88725733091964x + 10.6976274573718</v>
      </c>
      <c r="Y39" s="433">
        <f>ChartLabels!$V35</f>
        <v>3.8872573309196405</v>
      </c>
      <c r="Z39" s="433">
        <f>ChartLabels!$W35</f>
        <v>10.697627457371752</v>
      </c>
      <c r="AA39" s="164">
        <v>22</v>
      </c>
      <c r="AB39" s="165">
        <f>(AA39*Y39)+Z39</f>
        <v>96.217288737603837</v>
      </c>
      <c r="AC39" s="747" t="str">
        <f>AC37&amp;" = "&amp;AC38</f>
        <v>r² = 0.65</v>
      </c>
      <c r="AI39" s="361" t="b">
        <v>1</v>
      </c>
      <c r="AJ39" s="921" t="s">
        <v>28</v>
      </c>
      <c r="AK39" s="61" t="str">
        <f t="shared" si="16"/>
        <v>Brighton &amp; Hove</v>
      </c>
      <c r="AL39" s="110">
        <f t="shared" si="17"/>
        <v>76.649725217966193</v>
      </c>
      <c r="AM39" s="110">
        <f t="shared" si="17"/>
        <v>77.766658327078645</v>
      </c>
      <c r="AN39" s="110">
        <f t="shared" si="17"/>
        <v>82.546419098143232</v>
      </c>
      <c r="AO39" s="110">
        <f t="shared" si="17"/>
        <v>73.1862537123462</v>
      </c>
      <c r="AP39" s="110">
        <f t="shared" si="17"/>
        <v>75.858226546093519</v>
      </c>
      <c r="AQ39" s="111">
        <f>VLOOKUP(AK39,IDACI!$B$8:$C$29,2,FALSE)</f>
        <v>15.299999999999999</v>
      </c>
      <c r="AR39" s="237">
        <f t="shared" si="18"/>
        <v>0.44736842105263158</v>
      </c>
      <c r="AS39" s="237">
        <f t="shared" si="18"/>
        <v>0.43295019157088122</v>
      </c>
      <c r="AT39" s="237">
        <f t="shared" si="18"/>
        <v>0.43010752688172044</v>
      </c>
      <c r="AU39" s="237">
        <f t="shared" si="18"/>
        <v>0.5173913043478261</v>
      </c>
      <c r="AV39" s="237">
        <f t="shared" si="18"/>
        <v>0.49789029535864981</v>
      </c>
      <c r="AW39" s="237">
        <f t="shared" si="19"/>
        <v>0.6386554621848739</v>
      </c>
      <c r="AX39" s="237">
        <f t="shared" si="19"/>
        <v>0.63716814159292035</v>
      </c>
      <c r="AY39" s="237">
        <f t="shared" si="19"/>
        <v>0.66666666666666663</v>
      </c>
      <c r="AZ39" s="237">
        <f t="shared" si="19"/>
        <v>0.74789915966386555</v>
      </c>
      <c r="BA39" s="237">
        <f t="shared" si="19"/>
        <v>0.76271186440677963</v>
      </c>
      <c r="BB39" s="237">
        <f t="shared" si="20"/>
        <v>0.11051212938005391</v>
      </c>
      <c r="BC39" s="237">
        <f t="shared" si="20"/>
        <v>0.10187667560321716</v>
      </c>
      <c r="BD39" s="237">
        <f t="shared" si="20"/>
        <v>0.11311053984575835</v>
      </c>
      <c r="BE39" s="237">
        <f t="shared" si="20"/>
        <v>0.10144927536231885</v>
      </c>
      <c r="BF39" s="237">
        <f t="shared" si="20"/>
        <v>0.12429378531073447</v>
      </c>
      <c r="BG39" s="237">
        <f t="shared" si="21"/>
        <v>8.6253369272237201E-2</v>
      </c>
      <c r="BH39" s="237">
        <f t="shared" si="21"/>
        <v>9.9195710455764072E-2</v>
      </c>
      <c r="BI39" s="237">
        <f t="shared" si="21"/>
        <v>0.10796915167095116</v>
      </c>
      <c r="BJ39" s="237">
        <f t="shared" si="21"/>
        <v>0.15362318840579711</v>
      </c>
      <c r="BK39" s="237">
        <f t="shared" si="21"/>
        <v>0.1440677966101695</v>
      </c>
      <c r="BL39" s="237" t="e">
        <f t="shared" si="22"/>
        <v>#N/A</v>
      </c>
      <c r="BM39" s="237" t="e">
        <f t="shared" si="22"/>
        <v>#N/A</v>
      </c>
      <c r="BN39" s="237" t="e">
        <f t="shared" si="22"/>
        <v>#N/A</v>
      </c>
      <c r="BO39" s="237" t="e">
        <f t="shared" si="22"/>
        <v>#N/A</v>
      </c>
      <c r="BP39" s="237" t="e">
        <f t="shared" si="22"/>
        <v>#N/A</v>
      </c>
    </row>
    <row r="40" spans="1:68" ht="14.25" customHeight="1">
      <c r="A40" s="87"/>
      <c r="B40" s="5"/>
      <c r="C40" s="5"/>
      <c r="D40" s="5"/>
      <c r="E40" s="5"/>
      <c r="F40" s="5"/>
      <c r="G40" s="5"/>
      <c r="H40" s="5"/>
      <c r="I40" s="5"/>
      <c r="J40" s="1"/>
      <c r="K40" s="5"/>
      <c r="L40" s="5"/>
      <c r="M40" s="5"/>
      <c r="N40" s="5"/>
      <c r="O40" s="5"/>
      <c r="P40" s="5"/>
      <c r="Q40" s="5"/>
      <c r="R40" s="5"/>
      <c r="S40" s="5"/>
      <c r="T40" s="5"/>
      <c r="U40" s="86"/>
      <c r="V40" s="102"/>
      <c r="W40" s="218"/>
      <c r="X40" s="26" t="str">
        <f>"National Trend "&amp;ReportData!$B$8</f>
        <v>National Trend 2024</v>
      </c>
      <c r="Y40" s="158" t="s">
        <v>67</v>
      </c>
      <c r="Z40" s="26" t="s">
        <v>68</v>
      </c>
      <c r="AA40" s="159">
        <v>3</v>
      </c>
      <c r="AB40" s="160">
        <f>((AA40*Y41)+Z41)/$X$2</f>
        <v>23.88906702188515</v>
      </c>
      <c r="AC40" s="747" t="str">
        <f>$AC$37&amp;" = "&amp;AC41</f>
        <v>r² = 0.432</v>
      </c>
      <c r="AI40" s="361" t="b">
        <v>1</v>
      </c>
      <c r="AJ40" s="921" t="s">
        <v>8</v>
      </c>
      <c r="AK40" s="61" t="str">
        <f t="shared" si="16"/>
        <v>Buckinghamshire</v>
      </c>
      <c r="AL40" s="110">
        <f t="shared" si="17"/>
        <v>39.627631266528567</v>
      </c>
      <c r="AM40" s="110">
        <f t="shared" si="17"/>
        <v>41.634352422547856</v>
      </c>
      <c r="AN40" s="110">
        <f t="shared" si="17"/>
        <v>40.64448222815966</v>
      </c>
      <c r="AO40" s="110">
        <f t="shared" si="17"/>
        <v>39.471071754755194</v>
      </c>
      <c r="AP40" s="110">
        <f t="shared" si="17"/>
        <v>40.98232196589769</v>
      </c>
      <c r="AQ40" s="111">
        <f>VLOOKUP(AK40,IDACI!$B$8:$C$29,2,FALSE)</f>
        <v>8.5</v>
      </c>
      <c r="AR40" s="237">
        <f t="shared" si="18"/>
        <v>0.47457627118644069</v>
      </c>
      <c r="AS40" s="237">
        <f t="shared" si="18"/>
        <v>0.4228723404255319</v>
      </c>
      <c r="AT40" s="237">
        <f t="shared" si="18"/>
        <v>0.41160220994475138</v>
      </c>
      <c r="AU40" s="237">
        <f t="shared" si="18"/>
        <v>0.49068322981366458</v>
      </c>
      <c r="AV40" s="237">
        <f t="shared" si="18"/>
        <v>0.40793201133144474</v>
      </c>
      <c r="AW40" s="237" t="e">
        <f t="shared" si="19"/>
        <v>#N/A</v>
      </c>
      <c r="AX40" s="237">
        <f t="shared" si="19"/>
        <v>0.76100628930817615</v>
      </c>
      <c r="AY40" s="237">
        <f t="shared" si="19"/>
        <v>0.68456375838926176</v>
      </c>
      <c r="AZ40" s="237">
        <f t="shared" si="19"/>
        <v>0.61392405063291144</v>
      </c>
      <c r="BA40" s="237">
        <f t="shared" si="19"/>
        <v>0.66666666666666663</v>
      </c>
      <c r="BB40" s="237">
        <f t="shared" si="20"/>
        <v>0.10950413223140495</v>
      </c>
      <c r="BC40" s="237">
        <f t="shared" si="20"/>
        <v>9.0196078431372548E-2</v>
      </c>
      <c r="BD40" s="237">
        <f t="shared" si="20"/>
        <v>0.10557768924302789</v>
      </c>
      <c r="BE40" s="237">
        <f t="shared" si="20"/>
        <v>0.12072434607645875</v>
      </c>
      <c r="BF40" s="237">
        <f t="shared" si="20"/>
        <v>8.7954110898661564E-2</v>
      </c>
      <c r="BG40" s="237">
        <f t="shared" si="21"/>
        <v>5.1652892561983473E-2</v>
      </c>
      <c r="BH40" s="237">
        <f t="shared" si="21"/>
        <v>4.1176470588235294E-2</v>
      </c>
      <c r="BI40" s="237">
        <f t="shared" si="21"/>
        <v>5.3784860557768925E-2</v>
      </c>
      <c r="BJ40" s="237">
        <f t="shared" si="21"/>
        <v>0.14285714285714285</v>
      </c>
      <c r="BK40" s="237">
        <f t="shared" si="21"/>
        <v>0.124282982791587</v>
      </c>
      <c r="BL40" s="237" t="e">
        <f t="shared" si="22"/>
        <v>#N/A</v>
      </c>
      <c r="BM40" s="237" t="e">
        <f t="shared" si="22"/>
        <v>#N/A</v>
      </c>
      <c r="BN40" s="237" t="e">
        <f t="shared" si="22"/>
        <v>#N/A</v>
      </c>
      <c r="BO40" s="237" t="e">
        <f t="shared" si="22"/>
        <v>#N/A</v>
      </c>
      <c r="BP40" s="237" t="e">
        <f t="shared" si="22"/>
        <v>#N/A</v>
      </c>
    </row>
    <row r="41" spans="1:68" ht="14.25" customHeight="1">
      <c r="A41" s="87"/>
      <c r="B41" s="5"/>
      <c r="C41" s="5"/>
      <c r="D41" s="5"/>
      <c r="E41" s="5"/>
      <c r="F41" s="5"/>
      <c r="G41" s="5"/>
      <c r="H41" s="5"/>
      <c r="I41" s="5"/>
      <c r="J41" s="1"/>
      <c r="K41" s="10"/>
      <c r="L41" s="10"/>
      <c r="M41" s="10"/>
      <c r="N41" s="10"/>
      <c r="O41" s="5"/>
      <c r="P41" s="5"/>
      <c r="Q41" s="5"/>
      <c r="R41" s="5"/>
      <c r="S41" s="5"/>
      <c r="T41" s="5"/>
      <c r="U41" s="86"/>
      <c r="V41" s="102"/>
      <c r="W41" s="218"/>
      <c r="X41" s="161" t="str">
        <f>"Y= "&amp;Y41&amp;"x + "&amp;Z41</f>
        <v>Y= 3.51733178181815x + 13.3370716764307</v>
      </c>
      <c r="Y41" s="694">
        <f>ReportData!$H$11</f>
        <v>3.5173317818181511</v>
      </c>
      <c r="Z41" s="694">
        <f>ReportData!$H$12</f>
        <v>13.337071676430696</v>
      </c>
      <c r="AA41" s="164">
        <v>22</v>
      </c>
      <c r="AB41" s="165">
        <f>((AA41*Y41)+Z41)/$X$2</f>
        <v>90.718370876430015</v>
      </c>
      <c r="AC41" s="694">
        <f>ROUND(ReportData!$H$13,3)</f>
        <v>0.432</v>
      </c>
      <c r="AI41" s="361" t="b">
        <v>1</v>
      </c>
      <c r="AJ41" s="921" t="s">
        <v>4</v>
      </c>
      <c r="AK41" s="61" t="str">
        <f t="shared" si="16"/>
        <v>East Sussex</v>
      </c>
      <c r="AL41" s="110">
        <f t="shared" si="17"/>
        <v>56.353902507748657</v>
      </c>
      <c r="AM41" s="110">
        <f t="shared" si="17"/>
        <v>59.65689959870727</v>
      </c>
      <c r="AN41" s="110">
        <f t="shared" si="17"/>
        <v>61.593385576555278</v>
      </c>
      <c r="AO41" s="110">
        <f t="shared" si="17"/>
        <v>64.283977631898864</v>
      </c>
      <c r="AP41" s="110">
        <f t="shared" si="17"/>
        <v>63.413315831129474</v>
      </c>
      <c r="AQ41" s="111">
        <f>VLOOKUP(AK41,IDACI!$B$8:$C$29,2,FALSE)</f>
        <v>16.100000000000001</v>
      </c>
      <c r="AR41" s="237">
        <f t="shared" si="18"/>
        <v>0.51298701298701299</v>
      </c>
      <c r="AS41" s="237">
        <f t="shared" si="18"/>
        <v>0.55164835164835169</v>
      </c>
      <c r="AT41" s="237">
        <f t="shared" si="18"/>
        <v>0.50418410041841</v>
      </c>
      <c r="AU41" s="237">
        <f t="shared" si="18"/>
        <v>0.49690721649484537</v>
      </c>
      <c r="AV41" s="237">
        <f t="shared" si="18"/>
        <v>0.50627615062761511</v>
      </c>
      <c r="AW41" s="237">
        <f t="shared" si="19"/>
        <v>0.50210970464135019</v>
      </c>
      <c r="AX41" s="237">
        <f t="shared" si="19"/>
        <v>0.63745019920318724</v>
      </c>
      <c r="AY41" s="237">
        <f t="shared" si="19"/>
        <v>0.7385892116182573</v>
      </c>
      <c r="AZ41" s="237">
        <f t="shared" si="19"/>
        <v>0.7136929460580913</v>
      </c>
      <c r="BA41" s="237">
        <f t="shared" si="19"/>
        <v>0.66942148760330578</v>
      </c>
      <c r="BB41" s="237">
        <f t="shared" si="20"/>
        <v>0.14482758620689656</v>
      </c>
      <c r="BC41" s="237">
        <f t="shared" si="20"/>
        <v>0.132569558101473</v>
      </c>
      <c r="BD41" s="237">
        <f t="shared" si="20"/>
        <v>0.1035031847133758</v>
      </c>
      <c r="BE41" s="237">
        <f t="shared" si="20"/>
        <v>0.14977307110438728</v>
      </c>
      <c r="BF41" s="237">
        <f t="shared" si="20"/>
        <v>0.14307458143074581</v>
      </c>
      <c r="BG41" s="237">
        <f t="shared" si="21"/>
        <v>5.3448275862068968E-2</v>
      </c>
      <c r="BH41" s="237">
        <f t="shared" si="21"/>
        <v>9.1653027823240585E-2</v>
      </c>
      <c r="BI41" s="237">
        <f t="shared" si="21"/>
        <v>9.3949044585987268E-2</v>
      </c>
      <c r="BJ41" s="237">
        <f t="shared" si="21"/>
        <v>0.10892586989409984</v>
      </c>
      <c r="BK41" s="237">
        <f t="shared" si="21"/>
        <v>0.1111111111111111</v>
      </c>
      <c r="BL41" s="237" t="e">
        <f t="shared" si="22"/>
        <v>#N/A</v>
      </c>
      <c r="BM41" s="237" t="e">
        <f t="shared" si="22"/>
        <v>#N/A</v>
      </c>
      <c r="BN41" s="237" t="e">
        <f t="shared" si="22"/>
        <v>#N/A</v>
      </c>
      <c r="BO41" s="237" t="e">
        <f t="shared" si="22"/>
        <v>#N/A</v>
      </c>
      <c r="BP41" s="237" t="e">
        <f t="shared" si="22"/>
        <v>#N/A</v>
      </c>
    </row>
    <row r="42" spans="1:68" ht="14.25" customHeight="1">
      <c r="A42" s="87"/>
      <c r="B42" s="76"/>
      <c r="C42" s="76"/>
      <c r="D42" s="77"/>
      <c r="E42" s="77"/>
      <c r="F42" s="77"/>
      <c r="G42" s="77"/>
      <c r="H42" s="77"/>
      <c r="I42" s="77"/>
      <c r="J42" s="1"/>
      <c r="K42" s="5"/>
      <c r="L42" s="5"/>
      <c r="M42" s="5"/>
      <c r="N42" s="5"/>
      <c r="O42" s="5"/>
      <c r="P42" s="5"/>
      <c r="Q42" s="5"/>
      <c r="R42" s="5"/>
      <c r="S42" s="5"/>
      <c r="T42" s="5"/>
      <c r="U42" s="86"/>
      <c r="V42" s="102"/>
      <c r="W42" s="218"/>
      <c r="X42" s="52"/>
      <c r="Y42" s="52"/>
      <c r="Z42" s="52"/>
      <c r="AA42" s="52"/>
      <c r="AB42" s="52"/>
      <c r="AI42" s="361" t="b">
        <v>1</v>
      </c>
      <c r="AJ42" s="921" t="s">
        <v>6</v>
      </c>
      <c r="AK42" s="61" t="str">
        <f t="shared" si="16"/>
        <v>Hampshire</v>
      </c>
      <c r="AL42" s="110">
        <f t="shared" si="17"/>
        <v>57.313667931552949</v>
      </c>
      <c r="AM42" s="110">
        <f t="shared" si="17"/>
        <v>59.432652535459219</v>
      </c>
      <c r="AN42" s="110">
        <f t="shared" si="17"/>
        <v>61.367818915099541</v>
      </c>
      <c r="AO42" s="110">
        <f t="shared" si="17"/>
        <v>65.364549344414385</v>
      </c>
      <c r="AP42" s="110">
        <f t="shared" si="17"/>
        <v>67.119498616995202</v>
      </c>
      <c r="AQ42" s="111">
        <f>VLOOKUP(AK42,IDACI!$B$8:$C$29,2,FALSE)</f>
        <v>10.100000000000001</v>
      </c>
      <c r="AR42" s="237">
        <f t="shared" si="18"/>
        <v>0.47861178369652946</v>
      </c>
      <c r="AS42" s="237">
        <f t="shared" si="18"/>
        <v>0.48324240062353857</v>
      </c>
      <c r="AT42" s="237">
        <f t="shared" si="18"/>
        <v>0.48612153038259565</v>
      </c>
      <c r="AU42" s="237">
        <f t="shared" si="18"/>
        <v>0.47216035634743875</v>
      </c>
      <c r="AV42" s="237">
        <f t="shared" si="18"/>
        <v>0.50112866817155755</v>
      </c>
      <c r="AW42" s="237">
        <f t="shared" si="19"/>
        <v>0.63237774030354132</v>
      </c>
      <c r="AX42" s="237">
        <f t="shared" si="19"/>
        <v>0.7</v>
      </c>
      <c r="AY42" s="237">
        <f t="shared" si="19"/>
        <v>0.6728395061728395</v>
      </c>
      <c r="AZ42" s="237">
        <f t="shared" si="19"/>
        <v>0.64308176100628933</v>
      </c>
      <c r="BA42" s="237">
        <f t="shared" si="19"/>
        <v>0.56606606606606602</v>
      </c>
      <c r="BB42" s="237">
        <f t="shared" si="20"/>
        <v>0.17613991255465333</v>
      </c>
      <c r="BC42" s="237">
        <f t="shared" si="20"/>
        <v>0.13365442504515351</v>
      </c>
      <c r="BD42" s="237">
        <f t="shared" si="20"/>
        <v>0.15139211136890951</v>
      </c>
      <c r="BE42" s="237">
        <f t="shared" si="20"/>
        <v>0.16189962223421478</v>
      </c>
      <c r="BF42" s="237">
        <f t="shared" si="20"/>
        <v>0.1210224308815858</v>
      </c>
      <c r="BG42" s="237">
        <f t="shared" si="21"/>
        <v>5.3091817613991253E-2</v>
      </c>
      <c r="BH42" s="237">
        <f t="shared" si="21"/>
        <v>4.1541240216736906E-2</v>
      </c>
      <c r="BI42" s="237">
        <f t="shared" si="21"/>
        <v>6.1484918793503478E-2</v>
      </c>
      <c r="BJ42" s="237">
        <f t="shared" si="21"/>
        <v>0.12898003237992445</v>
      </c>
      <c r="BK42" s="237">
        <f t="shared" si="21"/>
        <v>0.15910276473656756</v>
      </c>
      <c r="BL42" s="237" t="e">
        <f t="shared" si="22"/>
        <v>#N/A</v>
      </c>
      <c r="BM42" s="237" t="e">
        <f t="shared" si="22"/>
        <v>#N/A</v>
      </c>
      <c r="BN42" s="237" t="e">
        <f t="shared" si="22"/>
        <v>#N/A</v>
      </c>
      <c r="BO42" s="237" t="e">
        <f t="shared" si="22"/>
        <v>#N/A</v>
      </c>
      <c r="BP42" s="237" t="e">
        <f t="shared" si="22"/>
        <v>#N/A</v>
      </c>
    </row>
    <row r="43" spans="1:68" ht="14.25" customHeight="1">
      <c r="A43" s="87"/>
      <c r="B43" s="77"/>
      <c r="C43" s="77"/>
      <c r="D43" s="77"/>
      <c r="E43" s="77"/>
      <c r="F43" s="77"/>
      <c r="G43" s="77"/>
      <c r="H43" s="77"/>
      <c r="I43" s="77"/>
      <c r="J43" s="1"/>
      <c r="K43" s="5"/>
      <c r="L43" s="5"/>
      <c r="M43" s="5"/>
      <c r="N43" s="5"/>
      <c r="O43" s="5"/>
      <c r="P43" s="5"/>
      <c r="Q43" s="5"/>
      <c r="R43" s="5"/>
      <c r="S43" s="5"/>
      <c r="T43" s="5"/>
      <c r="U43" s="86"/>
      <c r="V43" s="102"/>
      <c r="W43" s="218"/>
      <c r="AI43" s="361" t="b">
        <v>1</v>
      </c>
      <c r="AJ43" s="921" t="s">
        <v>1</v>
      </c>
      <c r="AK43" s="61" t="str">
        <f t="shared" si="16"/>
        <v>Isle of Wight</v>
      </c>
      <c r="AL43" s="110">
        <f t="shared" si="17"/>
        <v>108.22599893008518</v>
      </c>
      <c r="AM43" s="110">
        <f t="shared" si="17"/>
        <v>113.00853842290307</v>
      </c>
      <c r="AN43" s="110">
        <f t="shared" si="17"/>
        <v>116.34794381452024</v>
      </c>
      <c r="AO43" s="110">
        <f t="shared" si="17"/>
        <v>122.3761366533526</v>
      </c>
      <c r="AP43" s="110">
        <f t="shared" si="17"/>
        <v>119.03746053417527</v>
      </c>
      <c r="AQ43" s="111">
        <f>VLOOKUP(AK43,IDACI!$B$8:$C$29,2,FALSE)</f>
        <v>18</v>
      </c>
      <c r="AR43" s="237">
        <f t="shared" si="18"/>
        <v>0.47465437788018433</v>
      </c>
      <c r="AS43" s="237">
        <f t="shared" si="18"/>
        <v>0.55000000000000004</v>
      </c>
      <c r="AT43" s="237">
        <f t="shared" si="18"/>
        <v>0.55707762557077622</v>
      </c>
      <c r="AU43" s="237">
        <f t="shared" si="18"/>
        <v>0.50691244239631339</v>
      </c>
      <c r="AV43" s="237">
        <f t="shared" si="18"/>
        <v>0.52631578947368418</v>
      </c>
      <c r="AW43" s="237">
        <f t="shared" si="19"/>
        <v>0.69902912621359226</v>
      </c>
      <c r="AX43" s="237">
        <f t="shared" si="19"/>
        <v>0.69421487603305787</v>
      </c>
      <c r="AY43" s="237">
        <f t="shared" si="19"/>
        <v>0.63114754098360659</v>
      </c>
      <c r="AZ43" s="237">
        <f t="shared" si="19"/>
        <v>0.6454545454545455</v>
      </c>
      <c r="BA43" s="237">
        <f t="shared" si="19"/>
        <v>0.72727272727272729</v>
      </c>
      <c r="BB43" s="237">
        <f t="shared" si="20"/>
        <v>0.13688212927756654</v>
      </c>
      <c r="BC43" s="237">
        <f t="shared" si="20"/>
        <v>0.12592592592592591</v>
      </c>
      <c r="BD43" s="237">
        <f t="shared" si="20"/>
        <v>0.13818181818181818</v>
      </c>
      <c r="BE43" s="237">
        <f t="shared" si="20"/>
        <v>0.1076388888888889</v>
      </c>
      <c r="BF43" s="237">
        <f t="shared" si="20"/>
        <v>0.11827956989247312</v>
      </c>
      <c r="BG43" s="237">
        <f t="shared" si="21"/>
        <v>1.9011406844106463E-2</v>
      </c>
      <c r="BH43" s="237">
        <f t="shared" si="21"/>
        <v>2.5925925925925925E-2</v>
      </c>
      <c r="BI43" s="237">
        <f t="shared" si="21"/>
        <v>6.1818181818181821E-2</v>
      </c>
      <c r="BJ43" s="237">
        <f t="shared" si="21"/>
        <v>7.9861111111111105E-2</v>
      </c>
      <c r="BK43" s="237">
        <f t="shared" si="21"/>
        <v>7.5268817204301078E-2</v>
      </c>
      <c r="BL43" s="237" t="e">
        <f t="shared" si="22"/>
        <v>#N/A</v>
      </c>
      <c r="BM43" s="237" t="e">
        <f t="shared" si="22"/>
        <v>#N/A</v>
      </c>
      <c r="BN43" s="237" t="e">
        <f t="shared" si="22"/>
        <v>#N/A</v>
      </c>
      <c r="BO43" s="237" t="e">
        <f t="shared" si="22"/>
        <v>#N/A</v>
      </c>
      <c r="BP43" s="237" t="e">
        <f t="shared" si="22"/>
        <v>#N/A</v>
      </c>
    </row>
    <row r="44" spans="1:68" ht="14.25" customHeight="1">
      <c r="A44" s="87"/>
      <c r="B44" s="77"/>
      <c r="C44" s="77"/>
      <c r="D44" s="77"/>
      <c r="E44" s="77"/>
      <c r="F44" s="77"/>
      <c r="G44" s="77"/>
      <c r="H44" s="77"/>
      <c r="I44" s="77"/>
      <c r="J44" s="1"/>
      <c r="K44" s="5"/>
      <c r="L44" s="5"/>
      <c r="M44" s="5"/>
      <c r="N44" s="5"/>
      <c r="O44" s="5"/>
      <c r="P44" s="5"/>
      <c r="Q44" s="5"/>
      <c r="R44" s="5"/>
      <c r="S44" s="5"/>
      <c r="T44" s="5"/>
      <c r="U44" s="86"/>
      <c r="V44" s="102"/>
      <c r="W44" s="218"/>
      <c r="AC44" s="157"/>
      <c r="AI44" s="361" t="b">
        <v>1</v>
      </c>
      <c r="AJ44" s="921" t="s">
        <v>9</v>
      </c>
      <c r="AK44" s="61" t="str">
        <f t="shared" si="16"/>
        <v>Kent</v>
      </c>
      <c r="AL44" s="110">
        <f t="shared" si="17"/>
        <v>54.178428825564055</v>
      </c>
      <c r="AM44" s="110">
        <f t="shared" si="17"/>
        <v>49.697390139463671</v>
      </c>
      <c r="AN44" s="110">
        <f t="shared" si="17"/>
        <v>52.872585103439249</v>
      </c>
      <c r="AO44" s="110">
        <f t="shared" si="17"/>
        <v>56.641525062854015</v>
      </c>
      <c r="AP44" s="110">
        <f t="shared" si="17"/>
        <v>56.268157964241013</v>
      </c>
      <c r="AQ44" s="111">
        <f>VLOOKUP(AK44,IDACI!$B$8:$C$29,2,FALSE)</f>
        <v>15.8</v>
      </c>
      <c r="AR44" s="237">
        <f t="shared" si="18"/>
        <v>0.48395967002749773</v>
      </c>
      <c r="AS44" s="237">
        <f t="shared" si="18"/>
        <v>0.46421845574387949</v>
      </c>
      <c r="AT44" s="237">
        <f t="shared" si="18"/>
        <v>0.42358078602620086</v>
      </c>
      <c r="AU44" s="237">
        <f t="shared" si="18"/>
        <v>0.38879456706281834</v>
      </c>
      <c r="AV44" s="237">
        <f t="shared" si="18"/>
        <v>0.39506172839506171</v>
      </c>
      <c r="AW44" s="237">
        <f t="shared" si="19"/>
        <v>0.71969696969696972</v>
      </c>
      <c r="AX44" s="237">
        <f t="shared" si="19"/>
        <v>0.66937119675456391</v>
      </c>
      <c r="AY44" s="237">
        <f t="shared" si="19"/>
        <v>0.74020618556701034</v>
      </c>
      <c r="AZ44" s="237">
        <f t="shared" si="19"/>
        <v>0.72052401746724892</v>
      </c>
      <c r="BA44" s="237">
        <f t="shared" si="19"/>
        <v>0.6696428571428571</v>
      </c>
      <c r="BB44" s="237">
        <f t="shared" si="20"/>
        <v>0.1124031007751938</v>
      </c>
      <c r="BC44" s="237">
        <f t="shared" si="20"/>
        <v>0.1233453670276775</v>
      </c>
      <c r="BD44" s="237">
        <f t="shared" si="20"/>
        <v>0.1305571187394485</v>
      </c>
      <c r="BE44" s="237">
        <f t="shared" si="20"/>
        <v>0.12409886714727085</v>
      </c>
      <c r="BF44" s="237">
        <f t="shared" si="20"/>
        <v>0.11275510204081633</v>
      </c>
      <c r="BG44" s="237">
        <f t="shared" si="21"/>
        <v>0.23588039867109634</v>
      </c>
      <c r="BH44" s="237">
        <f t="shared" si="21"/>
        <v>0.17509025270758122</v>
      </c>
      <c r="BI44" s="237">
        <f t="shared" si="21"/>
        <v>0.20821609454136183</v>
      </c>
      <c r="BJ44" s="237">
        <f t="shared" si="21"/>
        <v>0.22914521112255407</v>
      </c>
      <c r="BK44" s="237">
        <f t="shared" si="21"/>
        <v>0.25408163265306122</v>
      </c>
      <c r="BL44" s="237" t="e">
        <f t="shared" si="22"/>
        <v>#N/A</v>
      </c>
      <c r="BM44" s="237" t="e">
        <f t="shared" si="22"/>
        <v>#N/A</v>
      </c>
      <c r="BN44" s="237" t="e">
        <f t="shared" si="22"/>
        <v>#N/A</v>
      </c>
      <c r="BO44" s="237" t="e">
        <f t="shared" si="22"/>
        <v>#N/A</v>
      </c>
      <c r="BP44" s="237" t="e">
        <f t="shared" si="22"/>
        <v>#N/A</v>
      </c>
    </row>
    <row r="45" spans="1:68" ht="14.25" customHeight="1">
      <c r="A45" s="87"/>
      <c r="B45" s="40"/>
      <c r="C45" s="40"/>
      <c r="D45" s="40"/>
      <c r="E45" s="40"/>
      <c r="F45" s="40"/>
      <c r="G45" s="40"/>
      <c r="H45" s="40"/>
      <c r="I45" s="40"/>
      <c r="J45" s="1"/>
      <c r="K45" s="5"/>
      <c r="L45" s="5"/>
      <c r="M45" s="5"/>
      <c r="N45" s="5"/>
      <c r="O45" s="5"/>
      <c r="P45" s="5"/>
      <c r="Q45" s="5"/>
      <c r="R45" s="5"/>
      <c r="S45" s="5"/>
      <c r="T45" s="5"/>
      <c r="U45" s="86"/>
      <c r="V45" s="102"/>
      <c r="W45" s="218"/>
      <c r="AC45" s="52"/>
      <c r="AI45" s="361" t="b">
        <v>1</v>
      </c>
      <c r="AJ45" s="921" t="s">
        <v>2</v>
      </c>
      <c r="AK45" s="61" t="str">
        <f t="shared" si="16"/>
        <v>Medway</v>
      </c>
      <c r="AL45" s="110">
        <f t="shared" si="17"/>
        <v>66.90539012438748</v>
      </c>
      <c r="AM45" s="110">
        <f t="shared" si="17"/>
        <v>69.079205589135725</v>
      </c>
      <c r="AN45" s="110">
        <f t="shared" si="17"/>
        <v>69.417239920397392</v>
      </c>
      <c r="AO45" s="110">
        <f t="shared" si="17"/>
        <v>71.588022477099528</v>
      </c>
      <c r="AP45" s="110">
        <f t="shared" si="17"/>
        <v>71.378229639959812</v>
      </c>
      <c r="AQ45" s="111">
        <f>VLOOKUP(AK45,IDACI!$B$8:$C$29,2,FALSE)</f>
        <v>18.899999999999999</v>
      </c>
      <c r="AR45" s="237">
        <f t="shared" si="18"/>
        <v>0.48529411764705882</v>
      </c>
      <c r="AS45" s="237">
        <f t="shared" si="18"/>
        <v>0.44797687861271679</v>
      </c>
      <c r="AT45" s="237">
        <f t="shared" si="18"/>
        <v>0.45348837209302323</v>
      </c>
      <c r="AU45" s="237">
        <f t="shared" si="18"/>
        <v>0.47169811320754718</v>
      </c>
      <c r="AV45" s="237">
        <f t="shared" si="18"/>
        <v>0.47814207650273222</v>
      </c>
      <c r="AW45" s="237">
        <f t="shared" si="19"/>
        <v>0.69090909090909092</v>
      </c>
      <c r="AX45" s="237">
        <f t="shared" si="19"/>
        <v>0.67096774193548392</v>
      </c>
      <c r="AY45" s="237">
        <f t="shared" si="19"/>
        <v>0.70512820512820518</v>
      </c>
      <c r="AZ45" s="237">
        <f t="shared" si="19"/>
        <v>0.70857142857142852</v>
      </c>
      <c r="BA45" s="237">
        <f t="shared" si="19"/>
        <v>0.62285714285714289</v>
      </c>
      <c r="BB45" s="237">
        <f t="shared" si="20"/>
        <v>0.10093896713615023</v>
      </c>
      <c r="BC45" s="237">
        <f t="shared" si="20"/>
        <v>0.11363636363636363</v>
      </c>
      <c r="BD45" s="237">
        <f t="shared" si="20"/>
        <v>0.11286681715575621</v>
      </c>
      <c r="BE45" s="237">
        <f t="shared" si="20"/>
        <v>0.11827956989247312</v>
      </c>
      <c r="BF45" s="237">
        <f t="shared" si="20"/>
        <v>0.13655462184873948</v>
      </c>
      <c r="BG45" s="237">
        <f t="shared" si="21"/>
        <v>1.8779342723004695E-2</v>
      </c>
      <c r="BH45" s="237" t="e">
        <f t="shared" si="21"/>
        <v>#N/A</v>
      </c>
      <c r="BI45" s="237" t="e">
        <f t="shared" si="21"/>
        <v>#N/A</v>
      </c>
      <c r="BJ45" s="237" t="e">
        <f t="shared" si="21"/>
        <v>#N/A</v>
      </c>
      <c r="BK45" s="237">
        <f t="shared" si="21"/>
        <v>4.6218487394957986E-2</v>
      </c>
      <c r="BL45" s="237" t="e">
        <f t="shared" si="22"/>
        <v>#N/A</v>
      </c>
      <c r="BM45" s="237" t="e">
        <f t="shared" si="22"/>
        <v>#N/A</v>
      </c>
      <c r="BN45" s="237" t="e">
        <f t="shared" si="22"/>
        <v>#N/A</v>
      </c>
      <c r="BO45" s="237" t="e">
        <f t="shared" si="22"/>
        <v>#N/A</v>
      </c>
      <c r="BP45" s="237" t="e">
        <f t="shared" si="22"/>
        <v>#N/A</v>
      </c>
    </row>
    <row r="46" spans="1:68" ht="14.25" customHeight="1">
      <c r="A46" s="87"/>
      <c r="B46" s="40"/>
      <c r="C46" s="40"/>
      <c r="D46" s="49"/>
      <c r="E46" s="50"/>
      <c r="F46" s="49"/>
      <c r="G46" s="50"/>
      <c r="H46" s="50"/>
      <c r="I46" s="50"/>
      <c r="J46" s="1"/>
      <c r="K46" s="5"/>
      <c r="L46" s="5"/>
      <c r="M46" s="5"/>
      <c r="N46" s="5"/>
      <c r="O46" s="5"/>
      <c r="P46" s="5"/>
      <c r="Q46" s="5"/>
      <c r="R46" s="5"/>
      <c r="S46" s="5"/>
      <c r="T46" s="5"/>
      <c r="U46" s="86"/>
      <c r="V46" s="102"/>
      <c r="W46" s="218"/>
      <c r="AI46" s="361" t="b">
        <v>1</v>
      </c>
      <c r="AJ46" s="921" t="s">
        <v>10</v>
      </c>
      <c r="AK46" s="61" t="str">
        <f t="shared" si="16"/>
        <v>Milton Keynes</v>
      </c>
      <c r="AL46" s="110">
        <f t="shared" si="17"/>
        <v>58.374494836102379</v>
      </c>
      <c r="AM46" s="110">
        <f t="shared" si="17"/>
        <v>56.994444845249262</v>
      </c>
      <c r="AN46" s="110">
        <f t="shared" si="17"/>
        <v>51.841746248294683</v>
      </c>
      <c r="AO46" s="110">
        <f t="shared" si="17"/>
        <v>49.893588532931176</v>
      </c>
      <c r="AP46" s="110">
        <f t="shared" si="17"/>
        <v>56.321002239103265</v>
      </c>
      <c r="AQ46" s="111">
        <f>VLOOKUP(AK46,IDACI!$B$8:$C$29,2,FALSE)</f>
        <v>15</v>
      </c>
      <c r="AR46" s="237">
        <f t="shared" si="18"/>
        <v>0.45751633986928103</v>
      </c>
      <c r="AS46" s="237">
        <f t="shared" si="18"/>
        <v>0.47194719471947194</v>
      </c>
      <c r="AT46" s="237">
        <f t="shared" si="18"/>
        <v>0.42911877394636017</v>
      </c>
      <c r="AU46" s="237">
        <f t="shared" si="18"/>
        <v>0.40392156862745099</v>
      </c>
      <c r="AV46" s="237">
        <f t="shared" si="18"/>
        <v>0.34527687296416937</v>
      </c>
      <c r="AW46" s="237" t="e">
        <f t="shared" si="19"/>
        <v>#N/A</v>
      </c>
      <c r="AX46" s="237">
        <f t="shared" si="19"/>
        <v>0.66433566433566438</v>
      </c>
      <c r="AY46" s="237">
        <f t="shared" si="19"/>
        <v>0.6785714285714286</v>
      </c>
      <c r="AZ46" s="237">
        <f t="shared" si="19"/>
        <v>0.6310679611650486</v>
      </c>
      <c r="BA46" s="237">
        <f t="shared" si="19"/>
        <v>0.6132075471698113</v>
      </c>
      <c r="BB46" s="237">
        <f t="shared" si="20"/>
        <v>0.14888337468982629</v>
      </c>
      <c r="BC46" s="237">
        <f t="shared" si="20"/>
        <v>0.12151898734177215</v>
      </c>
      <c r="BD46" s="237">
        <f t="shared" si="20"/>
        <v>0.15512465373961218</v>
      </c>
      <c r="BE46" s="237">
        <f t="shared" si="20"/>
        <v>0.15254237288135594</v>
      </c>
      <c r="BF46" s="237">
        <f t="shared" si="20"/>
        <v>0.16341463414634147</v>
      </c>
      <c r="BG46" s="237">
        <f t="shared" si="21"/>
        <v>7.9404466501240695E-2</v>
      </c>
      <c r="BH46" s="237">
        <f t="shared" si="21"/>
        <v>5.8227848101265821E-2</v>
      </c>
      <c r="BI46" s="237">
        <f t="shared" si="21"/>
        <v>7.7562326869806089E-2</v>
      </c>
      <c r="BJ46" s="237">
        <f t="shared" si="21"/>
        <v>8.7570621468926552E-2</v>
      </c>
      <c r="BK46" s="237">
        <f t="shared" si="21"/>
        <v>0.11219512195121951</v>
      </c>
      <c r="BL46" s="237" t="e">
        <f t="shared" si="22"/>
        <v>#N/A</v>
      </c>
      <c r="BM46" s="237" t="e">
        <f t="shared" si="22"/>
        <v>#N/A</v>
      </c>
      <c r="BN46" s="237" t="e">
        <f t="shared" si="22"/>
        <v>#N/A</v>
      </c>
      <c r="BO46" s="237" t="e">
        <f t="shared" si="22"/>
        <v>#N/A</v>
      </c>
      <c r="BP46" s="237" t="e">
        <f t="shared" si="22"/>
        <v>#N/A</v>
      </c>
    </row>
    <row r="47" spans="1:68" ht="14.25" customHeight="1">
      <c r="A47" s="87"/>
      <c r="B47" s="40"/>
      <c r="C47" s="40"/>
      <c r="D47" s="43"/>
      <c r="E47" s="43"/>
      <c r="F47" s="43"/>
      <c r="G47" s="43"/>
      <c r="H47" s="43"/>
      <c r="I47" s="43"/>
      <c r="J47" s="1"/>
      <c r="K47" s="5"/>
      <c r="L47" s="5"/>
      <c r="M47" s="5"/>
      <c r="N47" s="5"/>
      <c r="O47" s="5"/>
      <c r="P47" s="5"/>
      <c r="Q47" s="5"/>
      <c r="R47" s="5"/>
      <c r="S47" s="5"/>
      <c r="T47" s="5"/>
      <c r="U47" s="86"/>
      <c r="V47" s="102"/>
      <c r="W47" s="218"/>
      <c r="AI47" s="361" t="b">
        <v>1</v>
      </c>
      <c r="AJ47" s="921" t="s">
        <v>11</v>
      </c>
      <c r="AK47" s="61" t="str">
        <f t="shared" si="16"/>
        <v>Oxfordshire</v>
      </c>
      <c r="AL47" s="110">
        <f t="shared" si="17"/>
        <v>53.105678222517639</v>
      </c>
      <c r="AM47" s="110">
        <f t="shared" si="17"/>
        <v>53.987425887797052</v>
      </c>
      <c r="AN47" s="110">
        <f t="shared" si="17"/>
        <v>58.356053928100422</v>
      </c>
      <c r="AO47" s="110">
        <f t="shared" si="17"/>
        <v>58.91479088927229</v>
      </c>
      <c r="AP47" s="110">
        <f t="shared" si="17"/>
        <v>50.490147864004456</v>
      </c>
      <c r="AQ47" s="111">
        <f>VLOOKUP(AK47,IDACI!$B$8:$C$29,2,FALSE)</f>
        <v>10.100000000000001</v>
      </c>
      <c r="AR47" s="237">
        <f t="shared" si="18"/>
        <v>0.40357142857142858</v>
      </c>
      <c r="AS47" s="237">
        <f t="shared" si="18"/>
        <v>0.42499999999999999</v>
      </c>
      <c r="AT47" s="237">
        <f t="shared" si="18"/>
        <v>0.44513137557959814</v>
      </c>
      <c r="AU47" s="237">
        <f t="shared" si="18"/>
        <v>0.4777777777777778</v>
      </c>
      <c r="AV47" s="237">
        <f t="shared" si="18"/>
        <v>0.54761904761904767</v>
      </c>
      <c r="AW47" s="237">
        <f t="shared" si="19"/>
        <v>0.65929203539823011</v>
      </c>
      <c r="AX47" s="237">
        <f t="shared" si="19"/>
        <v>0.67843137254901964</v>
      </c>
      <c r="AY47" s="237">
        <f t="shared" si="19"/>
        <v>0.75</v>
      </c>
      <c r="AZ47" s="237">
        <f t="shared" si="19"/>
        <v>0.68770764119601324</v>
      </c>
      <c r="BA47" s="237">
        <f t="shared" si="19"/>
        <v>0.6811594202898551</v>
      </c>
      <c r="BB47" s="237">
        <f t="shared" si="20"/>
        <v>0.11734028683181226</v>
      </c>
      <c r="BC47" s="237">
        <f t="shared" si="20"/>
        <v>9.0561224489795922E-2</v>
      </c>
      <c r="BD47" s="237">
        <f t="shared" si="20"/>
        <v>0.11007025761124122</v>
      </c>
      <c r="BE47" s="237">
        <f t="shared" si="20"/>
        <v>0.12939841089670828</v>
      </c>
      <c r="BF47" s="237">
        <f t="shared" si="20"/>
        <v>0.13116883116883116</v>
      </c>
      <c r="BG47" s="237">
        <f t="shared" si="21"/>
        <v>6.6492829204693613E-2</v>
      </c>
      <c r="BH47" s="237">
        <f t="shared" si="21"/>
        <v>5.2295918367346941E-2</v>
      </c>
      <c r="BI47" s="237">
        <f t="shared" si="21"/>
        <v>6.7915690866510545E-2</v>
      </c>
      <c r="BJ47" s="237">
        <f t="shared" si="21"/>
        <v>0.11804767309875142</v>
      </c>
      <c r="BK47" s="237">
        <f t="shared" si="21"/>
        <v>0.12337662337662338</v>
      </c>
      <c r="BL47" s="237" t="e">
        <f t="shared" si="22"/>
        <v>#N/A</v>
      </c>
      <c r="BM47" s="237" t="e">
        <f t="shared" si="22"/>
        <v>#N/A</v>
      </c>
      <c r="BN47" s="237" t="e">
        <f t="shared" si="22"/>
        <v>#N/A</v>
      </c>
      <c r="BO47" s="237" t="e">
        <f t="shared" si="22"/>
        <v>#N/A</v>
      </c>
      <c r="BP47" s="237" t="e">
        <f t="shared" si="22"/>
        <v>#N/A</v>
      </c>
    </row>
    <row r="48" spans="1:68" ht="14.25" customHeight="1">
      <c r="A48" s="87"/>
      <c r="B48" s="48"/>
      <c r="C48" s="48"/>
      <c r="D48" s="40"/>
      <c r="E48" s="40"/>
      <c r="F48" s="40"/>
      <c r="G48" s="40"/>
      <c r="H48" s="40"/>
      <c r="I48" s="40"/>
      <c r="J48" s="1"/>
      <c r="K48" s="5"/>
      <c r="L48" s="5"/>
      <c r="M48" s="5"/>
      <c r="N48" s="5"/>
      <c r="O48" s="5"/>
      <c r="P48" s="5"/>
      <c r="Q48" s="5"/>
      <c r="R48" s="5"/>
      <c r="S48" s="5"/>
      <c r="T48" s="5"/>
      <c r="U48" s="86"/>
      <c r="V48" s="102"/>
      <c r="W48" s="218"/>
      <c r="AI48" s="361" t="b">
        <v>1</v>
      </c>
      <c r="AJ48" s="921" t="s">
        <v>12</v>
      </c>
      <c r="AK48" s="61" t="str">
        <f t="shared" si="16"/>
        <v>Portsmouth</v>
      </c>
      <c r="AL48" s="110">
        <f t="shared" ref="AL48:AP58" si="23">VLOOKUP($AK48,$B$11:$O$31,AL$34,FALSE)</f>
        <v>111.3410891442438</v>
      </c>
      <c r="AM48" s="110">
        <f t="shared" si="23"/>
        <v>90.29021855965604</v>
      </c>
      <c r="AN48" s="110">
        <f t="shared" si="23"/>
        <v>93.13098656115038</v>
      </c>
      <c r="AO48" s="110">
        <f t="shared" si="23"/>
        <v>92.665568054261897</v>
      </c>
      <c r="AP48" s="110">
        <f t="shared" si="23"/>
        <v>95.019736686600325</v>
      </c>
      <c r="AQ48" s="111">
        <f>VLOOKUP(AK48,IDACI!$B$8:$C$29,2,FALSE)</f>
        <v>20.200000000000003</v>
      </c>
      <c r="AR48" s="237">
        <f t="shared" ref="AR48:AV58" si="24">VLOOKUP($AK48,$B$109:$H$129,AR$34,FALSE)</f>
        <v>0.42857142857142855</v>
      </c>
      <c r="AS48" s="237">
        <f t="shared" si="24"/>
        <v>0.57664233576642332</v>
      </c>
      <c r="AT48" s="237">
        <f t="shared" si="24"/>
        <v>0.6</v>
      </c>
      <c r="AU48" s="237">
        <f t="shared" si="24"/>
        <v>0.51056338028169013</v>
      </c>
      <c r="AV48" s="237">
        <f t="shared" si="24"/>
        <v>0.45608108108108109</v>
      </c>
      <c r="AW48" s="237" t="e">
        <f t="shared" ref="AW48:BA58" si="25">VLOOKUP($AK48,$B$142:$H$162,AW$34,FALSE)</f>
        <v>#N/A</v>
      </c>
      <c r="AX48" s="237">
        <f t="shared" si="25"/>
        <v>0.62658227848101267</v>
      </c>
      <c r="AY48" s="237">
        <f t="shared" si="25"/>
        <v>0.72727272727272729</v>
      </c>
      <c r="AZ48" s="237">
        <f t="shared" si="25"/>
        <v>0.73103448275862071</v>
      </c>
      <c r="BA48" s="237">
        <f t="shared" si="25"/>
        <v>0.75555555555555554</v>
      </c>
      <c r="BB48" s="237">
        <f t="shared" ref="BB48:BF58" si="26">VLOOKUP($AK48,$B$175:$H$195,BB$34,FALSE)</f>
        <v>0.14957264957264957</v>
      </c>
      <c r="BC48" s="237">
        <f t="shared" si="26"/>
        <v>6.3492063492063489E-2</v>
      </c>
      <c r="BD48" s="237">
        <f t="shared" si="26"/>
        <v>8.549222797927461E-2</v>
      </c>
      <c r="BE48" s="237">
        <f t="shared" si="26"/>
        <v>7.7319587628865982E-2</v>
      </c>
      <c r="BF48" s="237">
        <f t="shared" si="26"/>
        <v>9.2039800995024873E-2</v>
      </c>
      <c r="BG48" s="237">
        <f t="shared" ref="BG48:BK58" si="27">VLOOKUP($AK48,$B$243:$H$263,BG$34,FALSE)</f>
        <v>0.21153846153846154</v>
      </c>
      <c r="BH48" s="237">
        <f t="shared" si="27"/>
        <v>9.2592592592592587E-2</v>
      </c>
      <c r="BI48" s="237">
        <f t="shared" si="27"/>
        <v>0.10362694300518134</v>
      </c>
      <c r="BJ48" s="237">
        <f t="shared" si="27"/>
        <v>0.10051546391752578</v>
      </c>
      <c r="BK48" s="237">
        <f t="shared" si="27"/>
        <v>9.7014925373134331E-2</v>
      </c>
      <c r="BL48" s="237" t="e">
        <f t="shared" ref="BL48:BP58" si="28">VLOOKUP($AK48,$B$208:$H$230,BL$34,FALSE)</f>
        <v>#N/A</v>
      </c>
      <c r="BM48" s="237" t="e">
        <f t="shared" si="28"/>
        <v>#N/A</v>
      </c>
      <c r="BN48" s="237" t="e">
        <f t="shared" si="28"/>
        <v>#N/A</v>
      </c>
      <c r="BO48" s="237" t="e">
        <f t="shared" si="28"/>
        <v>#N/A</v>
      </c>
      <c r="BP48" s="237" t="e">
        <f t="shared" si="28"/>
        <v>#N/A</v>
      </c>
    </row>
    <row r="49" spans="1:76" ht="14.25" customHeight="1">
      <c r="A49" s="87"/>
      <c r="B49" s="48"/>
      <c r="C49" s="48"/>
      <c r="D49" s="40"/>
      <c r="E49" s="40"/>
      <c r="F49" s="40"/>
      <c r="G49" s="40"/>
      <c r="H49" s="40"/>
      <c r="I49" s="40"/>
      <c r="J49" s="1"/>
      <c r="K49" s="5"/>
      <c r="L49" s="5"/>
      <c r="M49" s="5"/>
      <c r="N49" s="5"/>
      <c r="O49" s="5"/>
      <c r="P49" s="5"/>
      <c r="Q49" s="5"/>
      <c r="R49" s="5"/>
      <c r="S49" s="5"/>
      <c r="T49" s="5"/>
      <c r="U49" s="86"/>
      <c r="V49" s="102"/>
      <c r="W49" s="218"/>
      <c r="AI49" s="361" t="b">
        <v>1</v>
      </c>
      <c r="AJ49" s="921" t="s">
        <v>3</v>
      </c>
      <c r="AK49" s="61" t="str">
        <f t="shared" si="16"/>
        <v>Reading</v>
      </c>
      <c r="AL49" s="110">
        <f t="shared" si="23"/>
        <v>74.804212800432083</v>
      </c>
      <c r="AM49" s="110">
        <f t="shared" si="23"/>
        <v>73.030212869546403</v>
      </c>
      <c r="AN49" s="110">
        <f t="shared" si="23"/>
        <v>64.402488027742606</v>
      </c>
      <c r="AO49" s="110">
        <f t="shared" si="23"/>
        <v>67.632850241545896</v>
      </c>
      <c r="AP49" s="110">
        <f t="shared" si="23"/>
        <v>70.131034300930679</v>
      </c>
      <c r="AQ49" s="111">
        <f>VLOOKUP(AK49,IDACI!$B$8:$C$29,2,FALSE)</f>
        <v>16</v>
      </c>
      <c r="AR49" s="237">
        <f t="shared" si="24"/>
        <v>0.46728971962616822</v>
      </c>
      <c r="AS49" s="237">
        <f t="shared" si="24"/>
        <v>0.5</v>
      </c>
      <c r="AT49" s="237">
        <f t="shared" si="24"/>
        <v>0.6073619631901841</v>
      </c>
      <c r="AU49" s="237">
        <f t="shared" si="24"/>
        <v>0.56666666666666665</v>
      </c>
      <c r="AV49" s="237">
        <f t="shared" si="24"/>
        <v>0.50515463917525771</v>
      </c>
      <c r="AW49" s="237">
        <f t="shared" si="25"/>
        <v>0.76</v>
      </c>
      <c r="AX49" s="237">
        <f t="shared" si="25"/>
        <v>0.75510204081632648</v>
      </c>
      <c r="AY49" s="237">
        <f t="shared" si="25"/>
        <v>0.74747474747474751</v>
      </c>
      <c r="AZ49" s="237">
        <f t="shared" si="25"/>
        <v>0.69607843137254899</v>
      </c>
      <c r="BA49" s="237">
        <f t="shared" si="25"/>
        <v>0.7142857142857143</v>
      </c>
      <c r="BB49" s="237">
        <f t="shared" si="26"/>
        <v>0.14801444043321299</v>
      </c>
      <c r="BC49" s="237">
        <f t="shared" si="26"/>
        <v>7.7777777777777779E-2</v>
      </c>
      <c r="BD49" s="237">
        <f t="shared" si="26"/>
        <v>5.5555555555555552E-2</v>
      </c>
      <c r="BE49" s="237">
        <f t="shared" si="26"/>
        <v>7.9365079365079361E-2</v>
      </c>
      <c r="BF49" s="237">
        <f t="shared" si="26"/>
        <v>0.12030075187969924</v>
      </c>
      <c r="BG49" s="237">
        <f t="shared" si="27"/>
        <v>3.6101083032490974E-2</v>
      </c>
      <c r="BH49" s="237">
        <f t="shared" si="27"/>
        <v>7.0370370370370375E-2</v>
      </c>
      <c r="BI49" s="237">
        <f t="shared" si="27"/>
        <v>9.8290598290598288E-2</v>
      </c>
      <c r="BJ49" s="237">
        <f t="shared" si="27"/>
        <v>0.13492063492063491</v>
      </c>
      <c r="BK49" s="237">
        <f t="shared" si="27"/>
        <v>0.10902255639097744</v>
      </c>
      <c r="BL49" s="237" t="e">
        <f t="shared" si="28"/>
        <v>#N/A</v>
      </c>
      <c r="BM49" s="237" t="e">
        <f t="shared" si="28"/>
        <v>#N/A</v>
      </c>
      <c r="BN49" s="237" t="e">
        <f t="shared" si="28"/>
        <v>#N/A</v>
      </c>
      <c r="BO49" s="237" t="e">
        <f t="shared" si="28"/>
        <v>#N/A</v>
      </c>
      <c r="BP49" s="237" t="e">
        <f t="shared" si="28"/>
        <v>#N/A</v>
      </c>
    </row>
    <row r="50" spans="1:76" ht="14.25" customHeight="1">
      <c r="A50" s="87"/>
      <c r="B50" s="48"/>
      <c r="C50" s="48"/>
      <c r="D50" s="40"/>
      <c r="E50" s="40"/>
      <c r="F50" s="40"/>
      <c r="G50" s="40"/>
      <c r="H50" s="40"/>
      <c r="I50" s="40"/>
      <c r="J50" s="1"/>
      <c r="K50" s="5"/>
      <c r="L50" s="5"/>
      <c r="M50" s="5"/>
      <c r="N50" s="5"/>
      <c r="O50" s="5"/>
      <c r="P50" s="5"/>
      <c r="Q50" s="5"/>
      <c r="R50" s="5"/>
      <c r="S50" s="5"/>
      <c r="T50" s="5"/>
      <c r="U50" s="86"/>
      <c r="V50" s="102"/>
      <c r="W50" s="218"/>
      <c r="AI50" s="361" t="b">
        <v>1</v>
      </c>
      <c r="AJ50" s="921" t="s">
        <v>13</v>
      </c>
      <c r="AK50" s="61" t="str">
        <f t="shared" si="16"/>
        <v>Slough</v>
      </c>
      <c r="AL50" s="110">
        <f t="shared" si="23"/>
        <v>45.079233653027906</v>
      </c>
      <c r="AM50" s="110">
        <f t="shared" si="23"/>
        <v>50.797266514806381</v>
      </c>
      <c r="AN50" s="110">
        <f t="shared" si="23"/>
        <v>53.501611907538241</v>
      </c>
      <c r="AO50" s="110">
        <f t="shared" si="23"/>
        <v>57.175141242937855</v>
      </c>
      <c r="AP50" s="110">
        <f t="shared" si="23"/>
        <v>44.817052777096478</v>
      </c>
      <c r="AQ50" s="111">
        <f>VLOOKUP(AK50,IDACI!$B$8:$C$29,2,FALSE)</f>
        <v>14.7</v>
      </c>
      <c r="AR50" s="237">
        <f t="shared" si="24"/>
        <v>0.37086092715231789</v>
      </c>
      <c r="AS50" s="237">
        <f t="shared" si="24"/>
        <v>0.33540372670807456</v>
      </c>
      <c r="AT50" s="237">
        <f t="shared" si="24"/>
        <v>0.38271604938271603</v>
      </c>
      <c r="AU50" s="237">
        <f t="shared" si="24"/>
        <v>0.31645569620253167</v>
      </c>
      <c r="AV50" s="237">
        <f t="shared" si="24"/>
        <v>0.43307086614173229</v>
      </c>
      <c r="AW50" s="237">
        <f t="shared" si="25"/>
        <v>0.75</v>
      </c>
      <c r="AX50" s="237">
        <f t="shared" si="25"/>
        <v>0.85185185185185186</v>
      </c>
      <c r="AY50" s="237">
        <f t="shared" si="25"/>
        <v>0.69354838709677424</v>
      </c>
      <c r="AZ50" s="237">
        <f t="shared" si="25"/>
        <v>0.57999999999999996</v>
      </c>
      <c r="BA50" s="237">
        <f t="shared" si="25"/>
        <v>0.67272727272727273</v>
      </c>
      <c r="BB50" s="237">
        <f t="shared" si="26"/>
        <v>0.1683673469387755</v>
      </c>
      <c r="BC50" s="237">
        <f t="shared" si="26"/>
        <v>0.1031390134529148</v>
      </c>
      <c r="BD50" s="237">
        <f t="shared" si="26"/>
        <v>6.4102564102564097E-2</v>
      </c>
      <c r="BE50" s="237">
        <f t="shared" si="26"/>
        <v>0.11067193675889328</v>
      </c>
      <c r="BF50" s="237">
        <f t="shared" si="26"/>
        <v>0.13930348258706468</v>
      </c>
      <c r="BG50" s="237">
        <f t="shared" si="27"/>
        <v>1.5306122448979591E-2</v>
      </c>
      <c r="BH50" s="237">
        <f t="shared" si="27"/>
        <v>4.4843049327354258E-2</v>
      </c>
      <c r="BI50" s="237">
        <f t="shared" si="27"/>
        <v>0.11965811965811966</v>
      </c>
      <c r="BJ50" s="237">
        <f t="shared" si="27"/>
        <v>0.15810276679841898</v>
      </c>
      <c r="BK50" s="237">
        <f t="shared" si="27"/>
        <v>0.12935323383084577</v>
      </c>
      <c r="BL50" s="237" t="e">
        <f t="shared" si="28"/>
        <v>#N/A</v>
      </c>
      <c r="BM50" s="237" t="e">
        <f t="shared" si="28"/>
        <v>#N/A</v>
      </c>
      <c r="BN50" s="237" t="e">
        <f t="shared" si="28"/>
        <v>#N/A</v>
      </c>
      <c r="BO50" s="237" t="e">
        <f t="shared" si="28"/>
        <v>#N/A</v>
      </c>
      <c r="BP50" s="237" t="e">
        <f t="shared" si="28"/>
        <v>#N/A</v>
      </c>
    </row>
    <row r="51" spans="1:76" ht="14.25" customHeight="1">
      <c r="A51" s="87"/>
      <c r="B51" s="48"/>
      <c r="C51" s="48"/>
      <c r="D51" s="40"/>
      <c r="E51" s="40"/>
      <c r="F51" s="40"/>
      <c r="G51" s="40"/>
      <c r="H51" s="40"/>
      <c r="I51" s="40"/>
      <c r="J51" s="1"/>
      <c r="K51" s="5"/>
      <c r="L51" s="5"/>
      <c r="M51" s="5"/>
      <c r="N51" s="5"/>
      <c r="O51" s="5"/>
      <c r="P51" s="5"/>
      <c r="Q51" s="5"/>
      <c r="R51" s="5"/>
      <c r="S51" s="5"/>
      <c r="T51" s="5"/>
      <c r="U51" s="86"/>
      <c r="V51" s="102"/>
      <c r="W51" s="218"/>
      <c r="AI51" s="361" t="b">
        <v>1</v>
      </c>
      <c r="AJ51" s="921" t="s">
        <v>14</v>
      </c>
      <c r="AK51" s="61" t="str">
        <f t="shared" si="16"/>
        <v>Southampton</v>
      </c>
      <c r="AL51" s="110">
        <f t="shared" si="23"/>
        <v>98.007582479632177</v>
      </c>
      <c r="AM51" s="110">
        <f t="shared" si="23"/>
        <v>99.92560870177131</v>
      </c>
      <c r="AN51" s="110">
        <f t="shared" si="23"/>
        <v>113.59034583299587</v>
      </c>
      <c r="AO51" s="110">
        <f t="shared" si="23"/>
        <v>107.87832608128973</v>
      </c>
      <c r="AP51" s="110">
        <f t="shared" si="23"/>
        <v>96.877295376491375</v>
      </c>
      <c r="AQ51" s="111">
        <f>VLOOKUP(AK51,IDACI!$B$8:$C$29,2,FALSE)</f>
        <v>20.5</v>
      </c>
      <c r="AR51" s="237">
        <f t="shared" si="24"/>
        <v>0.53634085213032578</v>
      </c>
      <c r="AS51" s="237">
        <f t="shared" si="24"/>
        <v>0.5</v>
      </c>
      <c r="AT51" s="237">
        <f t="shared" si="24"/>
        <v>0.44444444444444442</v>
      </c>
      <c r="AU51" s="237">
        <f t="shared" si="24"/>
        <v>0.44768856447688565</v>
      </c>
      <c r="AV51" s="237">
        <f t="shared" si="24"/>
        <v>0.54415954415954415</v>
      </c>
      <c r="AW51" s="237" t="e">
        <f t="shared" si="25"/>
        <v>#N/A</v>
      </c>
      <c r="AX51" s="237">
        <f t="shared" si="25"/>
        <v>0.72820512820512817</v>
      </c>
      <c r="AY51" s="237">
        <f t="shared" si="25"/>
        <v>0.58499999999999996</v>
      </c>
      <c r="AZ51" s="237">
        <f t="shared" si="25"/>
        <v>0.67391304347826086</v>
      </c>
      <c r="BA51" s="237">
        <f t="shared" si="25"/>
        <v>0.60732984293193715</v>
      </c>
      <c r="BB51" s="237">
        <f t="shared" si="26"/>
        <v>0.16049382716049382</v>
      </c>
      <c r="BC51" s="237">
        <f t="shared" si="26"/>
        <v>0.13883299798792756</v>
      </c>
      <c r="BD51" s="237">
        <f t="shared" si="26"/>
        <v>0.15151515151515152</v>
      </c>
      <c r="BE51" s="237">
        <f t="shared" si="26"/>
        <v>0.13382899628252787</v>
      </c>
      <c r="BF51" s="237">
        <f t="shared" si="26"/>
        <v>0.18442622950819673</v>
      </c>
      <c r="BG51" s="237">
        <f t="shared" si="27"/>
        <v>3.0864197530864196E-2</v>
      </c>
      <c r="BH51" s="237">
        <f t="shared" si="27"/>
        <v>4.0241448692152917E-2</v>
      </c>
      <c r="BI51" s="237">
        <f t="shared" si="27"/>
        <v>4.4563279857397504E-2</v>
      </c>
      <c r="BJ51" s="237">
        <f t="shared" si="27"/>
        <v>7.434944237918216E-2</v>
      </c>
      <c r="BK51" s="237">
        <f t="shared" si="27"/>
        <v>7.9918032786885251E-2</v>
      </c>
      <c r="BL51" s="237" t="e">
        <f t="shared" si="28"/>
        <v>#N/A</v>
      </c>
      <c r="BM51" s="237" t="e">
        <f t="shared" si="28"/>
        <v>#N/A</v>
      </c>
      <c r="BN51" s="237" t="e">
        <f t="shared" si="28"/>
        <v>#N/A</v>
      </c>
      <c r="BO51" s="237" t="e">
        <f t="shared" si="28"/>
        <v>#N/A</v>
      </c>
      <c r="BP51" s="237" t="e">
        <f t="shared" si="28"/>
        <v>#N/A</v>
      </c>
    </row>
    <row r="52" spans="1:76" ht="14.25" customHeight="1">
      <c r="A52" s="87"/>
      <c r="B52" s="48"/>
      <c r="C52" s="48"/>
      <c r="D52" s="40"/>
      <c r="E52" s="40"/>
      <c r="F52" s="40"/>
      <c r="G52" s="40"/>
      <c r="H52" s="40"/>
      <c r="I52" s="40"/>
      <c r="J52" s="1"/>
      <c r="K52" s="5"/>
      <c r="L52" s="5"/>
      <c r="M52" s="5"/>
      <c r="N52" s="5"/>
      <c r="O52" s="5"/>
      <c r="P52" s="5"/>
      <c r="Q52" s="5"/>
      <c r="R52" s="5"/>
      <c r="S52" s="5"/>
      <c r="T52" s="5"/>
      <c r="U52" s="86"/>
      <c r="V52" s="102"/>
      <c r="W52" s="218"/>
      <c r="AI52" s="361" t="b">
        <v>1</v>
      </c>
      <c r="AJ52" s="921" t="s">
        <v>7</v>
      </c>
      <c r="AK52" s="61" t="str">
        <f t="shared" si="16"/>
        <v>Surrey</v>
      </c>
      <c r="AL52" s="110">
        <f t="shared" si="23"/>
        <v>38.094130868646943</v>
      </c>
      <c r="AM52" s="110">
        <f t="shared" si="23"/>
        <v>38.527148874937623</v>
      </c>
      <c r="AN52" s="110">
        <f t="shared" si="23"/>
        <v>40.387224072018746</v>
      </c>
      <c r="AO52" s="110">
        <f t="shared" si="23"/>
        <v>38.439062891315729</v>
      </c>
      <c r="AP52" s="110">
        <f t="shared" si="23"/>
        <v>36.247703935680086</v>
      </c>
      <c r="AQ52" s="111">
        <f>VLOOKUP(AK52,IDACI!$B$8:$C$29,2,FALSE)</f>
        <v>8.3000000000000007</v>
      </c>
      <c r="AR52" s="237">
        <f t="shared" si="24"/>
        <v>0.41788856304985339</v>
      </c>
      <c r="AS52" s="237">
        <f t="shared" si="24"/>
        <v>0.45454545454545453</v>
      </c>
      <c r="AT52" s="237">
        <f t="shared" si="24"/>
        <v>0.46250000000000002</v>
      </c>
      <c r="AU52" s="237">
        <f t="shared" si="24"/>
        <v>0.48226950354609927</v>
      </c>
      <c r="AV52" s="237">
        <f t="shared" si="24"/>
        <v>0.51060606060606062</v>
      </c>
      <c r="AW52" s="237">
        <f t="shared" si="25"/>
        <v>0.66315789473684206</v>
      </c>
      <c r="AX52" s="237">
        <f t="shared" si="25"/>
        <v>0.70769230769230773</v>
      </c>
      <c r="AY52" s="237">
        <f t="shared" si="25"/>
        <v>0.75375375375375375</v>
      </c>
      <c r="AZ52" s="237">
        <f t="shared" si="25"/>
        <v>0.70588235294117652</v>
      </c>
      <c r="BA52" s="237">
        <f t="shared" si="25"/>
        <v>0.71216617210682498</v>
      </c>
      <c r="BB52" s="237">
        <f t="shared" si="26"/>
        <v>9.1556459816887079E-2</v>
      </c>
      <c r="BC52" s="237">
        <f t="shared" si="26"/>
        <v>8.5341365461847396E-2</v>
      </c>
      <c r="BD52" s="237">
        <f t="shared" si="26"/>
        <v>9.0648854961832059E-2</v>
      </c>
      <c r="BE52" s="237">
        <f t="shared" si="26"/>
        <v>8.6870681145113524E-2</v>
      </c>
      <c r="BF52" s="237">
        <f t="shared" si="26"/>
        <v>0.11734164070612668</v>
      </c>
      <c r="BG52" s="237">
        <f t="shared" si="27"/>
        <v>0.10986775178026449</v>
      </c>
      <c r="BH52" s="237">
        <f t="shared" si="27"/>
        <v>7.8313253012048195E-2</v>
      </c>
      <c r="BI52" s="237">
        <f t="shared" si="27"/>
        <v>0.11354961832061068</v>
      </c>
      <c r="BJ52" s="237">
        <f t="shared" si="27"/>
        <v>0.14116485686080948</v>
      </c>
      <c r="BK52" s="237">
        <f t="shared" si="27"/>
        <v>0.1059190031152648</v>
      </c>
      <c r="BL52" s="237" t="e">
        <f t="shared" si="28"/>
        <v>#N/A</v>
      </c>
      <c r="BM52" s="237" t="e">
        <f t="shared" si="28"/>
        <v>#N/A</v>
      </c>
      <c r="BN52" s="237" t="e">
        <f t="shared" si="28"/>
        <v>#N/A</v>
      </c>
      <c r="BO52" s="237" t="e">
        <f t="shared" si="28"/>
        <v>#N/A</v>
      </c>
      <c r="BP52" s="237" t="e">
        <f t="shared" si="28"/>
        <v>#N/A</v>
      </c>
    </row>
    <row r="53" spans="1:76" ht="14.25" customHeight="1">
      <c r="A53" s="87"/>
      <c r="B53" s="48"/>
      <c r="C53" s="48"/>
      <c r="D53" s="40"/>
      <c r="E53" s="40"/>
      <c r="F53" s="40"/>
      <c r="G53" s="40"/>
      <c r="H53" s="40"/>
      <c r="I53" s="40"/>
      <c r="J53" s="1"/>
      <c r="K53" s="5"/>
      <c r="L53" s="5"/>
      <c r="M53" s="5"/>
      <c r="N53" s="5"/>
      <c r="O53" s="5"/>
      <c r="P53" s="5"/>
      <c r="Q53" s="5"/>
      <c r="R53" s="5"/>
      <c r="S53" s="5"/>
      <c r="T53" s="5"/>
      <c r="U53" s="86"/>
      <c r="V53" s="102"/>
      <c r="W53" s="218"/>
      <c r="AI53" s="361" t="b">
        <v>1</v>
      </c>
      <c r="AJ53" s="921" t="s">
        <v>15</v>
      </c>
      <c r="AK53" s="61" t="str">
        <f t="shared" si="16"/>
        <v>West Berkshire</v>
      </c>
      <c r="AL53" s="110">
        <f t="shared" si="23"/>
        <v>44.493882091212456</v>
      </c>
      <c r="AM53" s="110">
        <f t="shared" si="23"/>
        <v>41.925109120147027</v>
      </c>
      <c r="AN53" s="110">
        <f t="shared" si="23"/>
        <v>47.98381268969505</v>
      </c>
      <c r="AO53" s="110">
        <f t="shared" si="23"/>
        <v>56.427589367552699</v>
      </c>
      <c r="AP53" s="110">
        <f t="shared" si="23"/>
        <v>52.937013446567583</v>
      </c>
      <c r="AQ53" s="111">
        <f>VLOOKUP(AK53,IDACI!$B$8:$C$29,2,FALSE)</f>
        <v>8.6999999999999993</v>
      </c>
      <c r="AR53" s="237">
        <f t="shared" si="24"/>
        <v>0.44117647058823528</v>
      </c>
      <c r="AS53" s="237">
        <f t="shared" si="24"/>
        <v>0.45454545454545453</v>
      </c>
      <c r="AT53" s="237">
        <f t="shared" si="24"/>
        <v>0.43965517241379309</v>
      </c>
      <c r="AU53" s="237">
        <f t="shared" si="24"/>
        <v>0.39130434782608697</v>
      </c>
      <c r="AV53" s="237">
        <f t="shared" si="24"/>
        <v>0.38461538461538464</v>
      </c>
      <c r="AW53" s="237">
        <f t="shared" si="25"/>
        <v>0.82222222222222219</v>
      </c>
      <c r="AX53" s="237">
        <f t="shared" si="25"/>
        <v>0.6</v>
      </c>
      <c r="AY53" s="237">
        <f t="shared" si="25"/>
        <v>0.58823529411764708</v>
      </c>
      <c r="AZ53" s="237">
        <f t="shared" si="25"/>
        <v>0.72222222222222221</v>
      </c>
      <c r="BA53" s="237">
        <f t="shared" si="25"/>
        <v>0.64</v>
      </c>
      <c r="BB53" s="237">
        <f t="shared" si="26"/>
        <v>0.14102564102564102</v>
      </c>
      <c r="BC53" s="237">
        <f t="shared" si="26"/>
        <v>0.11643835616438356</v>
      </c>
      <c r="BD53" s="237">
        <f t="shared" si="26"/>
        <v>0.10240963855421686</v>
      </c>
      <c r="BE53" s="237">
        <f t="shared" si="26"/>
        <v>0.1116751269035533</v>
      </c>
      <c r="BF53" s="237">
        <f t="shared" si="26"/>
        <v>0.15508021390374332</v>
      </c>
      <c r="BG53" s="237">
        <f t="shared" si="27"/>
        <v>9.6153846153846159E-2</v>
      </c>
      <c r="BH53" s="237">
        <f t="shared" si="27"/>
        <v>7.5342465753424653E-2</v>
      </c>
      <c r="BI53" s="237">
        <f t="shared" si="27"/>
        <v>0.15662650602409639</v>
      </c>
      <c r="BJ53" s="237">
        <f t="shared" si="27"/>
        <v>0.13197969543147209</v>
      </c>
      <c r="BK53" s="237">
        <f t="shared" si="27"/>
        <v>0.13368983957219252</v>
      </c>
      <c r="BL53" s="237" t="e">
        <f t="shared" si="28"/>
        <v>#N/A</v>
      </c>
      <c r="BM53" s="237" t="e">
        <f t="shared" si="28"/>
        <v>#N/A</v>
      </c>
      <c r="BN53" s="237" t="e">
        <f t="shared" si="28"/>
        <v>#N/A</v>
      </c>
      <c r="BO53" s="237" t="e">
        <f t="shared" si="28"/>
        <v>#N/A</v>
      </c>
      <c r="BP53" s="237" t="e">
        <f t="shared" si="28"/>
        <v>#N/A</v>
      </c>
    </row>
    <row r="54" spans="1:76" ht="14.25" customHeight="1">
      <c r="A54" s="208"/>
      <c r="B54" s="48"/>
      <c r="C54" s="48"/>
      <c r="D54" s="40"/>
      <c r="E54" s="40"/>
      <c r="F54" s="40"/>
      <c r="G54" s="40"/>
      <c r="H54" s="40"/>
      <c r="I54" s="40"/>
      <c r="J54" s="1"/>
      <c r="K54" s="5"/>
      <c r="L54" s="5"/>
      <c r="M54" s="5"/>
      <c r="N54" s="5"/>
      <c r="O54" s="5"/>
      <c r="P54" s="5"/>
      <c r="Q54" s="5"/>
      <c r="R54" s="5"/>
      <c r="S54" s="5"/>
      <c r="T54" s="5"/>
      <c r="U54" s="86"/>
      <c r="V54" s="102"/>
      <c r="W54" s="218"/>
      <c r="AI54" s="361" t="b">
        <v>1</v>
      </c>
      <c r="AJ54" s="921" t="s">
        <v>5</v>
      </c>
      <c r="AK54" s="61" t="str">
        <f t="shared" si="16"/>
        <v>West Sussex</v>
      </c>
      <c r="AL54" s="110">
        <f t="shared" si="23"/>
        <v>46.441679967271874</v>
      </c>
      <c r="AM54" s="110">
        <f t="shared" si="23"/>
        <v>51.244298999844716</v>
      </c>
      <c r="AN54" s="110">
        <f t="shared" si="23"/>
        <v>49.189516913186225</v>
      </c>
      <c r="AO54" s="110">
        <f t="shared" si="23"/>
        <v>50.01437842897338</v>
      </c>
      <c r="AP54" s="110">
        <f t="shared" si="23"/>
        <v>50.612263139077584</v>
      </c>
      <c r="AQ54" s="111">
        <f>VLOOKUP(AK54,IDACI!$B$8:$C$29,2,FALSE)</f>
        <v>11</v>
      </c>
      <c r="AR54" s="237">
        <f t="shared" si="24"/>
        <v>0.31881533101045295</v>
      </c>
      <c r="AS54" s="237">
        <f t="shared" si="24"/>
        <v>0.30331753554502372</v>
      </c>
      <c r="AT54" s="237">
        <f t="shared" si="24"/>
        <v>0.39597315436241609</v>
      </c>
      <c r="AU54" s="237">
        <f t="shared" si="24"/>
        <v>0.43035993740219092</v>
      </c>
      <c r="AV54" s="237">
        <f t="shared" si="24"/>
        <v>0.43217665615141954</v>
      </c>
      <c r="AW54" s="237">
        <f t="shared" si="25"/>
        <v>0.62841530054644812</v>
      </c>
      <c r="AX54" s="237">
        <f t="shared" si="25"/>
        <v>0.546875</v>
      </c>
      <c r="AY54" s="237">
        <f t="shared" si="25"/>
        <v>0.68644067796610164</v>
      </c>
      <c r="AZ54" s="237">
        <f t="shared" si="25"/>
        <v>0.70181818181818179</v>
      </c>
      <c r="BA54" s="237">
        <f t="shared" si="25"/>
        <v>0.68978102189781021</v>
      </c>
      <c r="BB54" s="237">
        <f t="shared" si="26"/>
        <v>0.11662531017369727</v>
      </c>
      <c r="BC54" s="237">
        <f t="shared" si="26"/>
        <v>0.14141414141414141</v>
      </c>
      <c r="BD54" s="237">
        <f t="shared" si="26"/>
        <v>0.11046511627906977</v>
      </c>
      <c r="BE54" s="237">
        <f t="shared" si="26"/>
        <v>0.12401352874859076</v>
      </c>
      <c r="BF54" s="237">
        <f t="shared" si="26"/>
        <v>0.10927152317880795</v>
      </c>
      <c r="BG54" s="237">
        <f t="shared" si="27"/>
        <v>9.6774193548387094E-2</v>
      </c>
      <c r="BH54" s="237">
        <f t="shared" si="27"/>
        <v>8.9786756453423114E-2</v>
      </c>
      <c r="BI54" s="237">
        <f t="shared" si="27"/>
        <v>0.12441860465116279</v>
      </c>
      <c r="BJ54" s="237">
        <f t="shared" si="27"/>
        <v>9.92108229988726E-2</v>
      </c>
      <c r="BK54" s="237">
        <f t="shared" si="27"/>
        <v>9.3818984547461362E-2</v>
      </c>
      <c r="BL54" s="237" t="e">
        <f t="shared" si="28"/>
        <v>#N/A</v>
      </c>
      <c r="BM54" s="237" t="e">
        <f t="shared" si="28"/>
        <v>#N/A</v>
      </c>
      <c r="BN54" s="237" t="e">
        <f t="shared" si="28"/>
        <v>#N/A</v>
      </c>
      <c r="BO54" s="237" t="e">
        <f t="shared" si="28"/>
        <v>#N/A</v>
      </c>
      <c r="BP54" s="237" t="e">
        <f t="shared" si="28"/>
        <v>#N/A</v>
      </c>
    </row>
    <row r="55" spans="1:76" ht="14.25" customHeight="1">
      <c r="A55" s="208"/>
      <c r="B55" s="48"/>
      <c r="C55" s="48"/>
      <c r="D55" s="40"/>
      <c r="E55" s="40"/>
      <c r="F55" s="40"/>
      <c r="G55" s="40"/>
      <c r="H55" s="40"/>
      <c r="I55" s="40"/>
      <c r="J55" s="1"/>
      <c r="K55" s="5"/>
      <c r="L55" s="5"/>
      <c r="M55" s="5"/>
      <c r="N55" s="5"/>
      <c r="O55" s="5"/>
      <c r="P55" s="5"/>
      <c r="Q55" s="5"/>
      <c r="R55" s="5"/>
      <c r="S55" s="5"/>
      <c r="T55" s="5"/>
      <c r="U55" s="86"/>
      <c r="V55" s="102"/>
      <c r="W55" s="218"/>
      <c r="AI55" s="361" t="b">
        <v>1</v>
      </c>
      <c r="AJ55" s="921" t="s">
        <v>27</v>
      </c>
      <c r="AK55" s="61" t="str">
        <f t="shared" si="16"/>
        <v>Windsor &amp; Maidenhead</v>
      </c>
      <c r="AL55" s="110">
        <f t="shared" si="23"/>
        <v>33.844897006477211</v>
      </c>
      <c r="AM55" s="110">
        <f t="shared" si="23"/>
        <v>38.142182319631488</v>
      </c>
      <c r="AN55" s="110">
        <f t="shared" si="23"/>
        <v>37.784862439485181</v>
      </c>
      <c r="AO55" s="110">
        <f t="shared" si="23"/>
        <v>44.264649840236864</v>
      </c>
      <c r="AP55" s="110">
        <f t="shared" si="23"/>
        <v>40.838948688778039</v>
      </c>
      <c r="AQ55" s="111">
        <f>VLOOKUP(AK55,IDACI!$B$8:$C$29,2,FALSE)</f>
        <v>6.7</v>
      </c>
      <c r="AR55" s="237">
        <f t="shared" si="24"/>
        <v>0.46875</v>
      </c>
      <c r="AS55" s="237">
        <f t="shared" si="24"/>
        <v>0.30612244897959184</v>
      </c>
      <c r="AT55" s="237">
        <f t="shared" si="24"/>
        <v>0.32941176470588235</v>
      </c>
      <c r="AU55" s="237">
        <f t="shared" si="24"/>
        <v>0.37634408602150538</v>
      </c>
      <c r="AV55" s="237">
        <f t="shared" si="24"/>
        <v>0.37254901960784315</v>
      </c>
      <c r="AW55" s="237">
        <f t="shared" si="25"/>
        <v>0.56666666666666665</v>
      </c>
      <c r="AX55" s="237">
        <f t="shared" si="25"/>
        <v>0.66666666666666663</v>
      </c>
      <c r="AY55" s="237">
        <f t="shared" si="25"/>
        <v>0.7142857142857143</v>
      </c>
      <c r="AZ55" s="237">
        <f t="shared" si="25"/>
        <v>0.65714285714285714</v>
      </c>
      <c r="BA55" s="237">
        <f t="shared" si="25"/>
        <v>0.60526315789473684</v>
      </c>
      <c r="BB55" s="237">
        <f t="shared" si="26"/>
        <v>0.15517241379310345</v>
      </c>
      <c r="BC55" s="237">
        <f t="shared" si="26"/>
        <v>5.3846153846153849E-2</v>
      </c>
      <c r="BD55" s="237">
        <f t="shared" si="26"/>
        <v>0.1328125</v>
      </c>
      <c r="BE55" s="237">
        <f t="shared" si="26"/>
        <v>0.10596026490066225</v>
      </c>
      <c r="BF55" s="237">
        <f t="shared" si="26"/>
        <v>0.15714285714285714</v>
      </c>
      <c r="BG55" s="237">
        <f t="shared" si="27"/>
        <v>2.5862068965517241E-2</v>
      </c>
      <c r="BH55" s="237">
        <f t="shared" si="27"/>
        <v>4.6153846153846156E-2</v>
      </c>
      <c r="BI55" s="237">
        <f t="shared" si="27"/>
        <v>7.03125E-2</v>
      </c>
      <c r="BJ55" s="237">
        <f t="shared" si="27"/>
        <v>0.20529801324503311</v>
      </c>
      <c r="BK55" s="237">
        <f t="shared" si="27"/>
        <v>0.15714285714285714</v>
      </c>
      <c r="BL55" s="237" t="e">
        <f t="shared" si="28"/>
        <v>#N/A</v>
      </c>
      <c r="BM55" s="237" t="e">
        <f t="shared" si="28"/>
        <v>#N/A</v>
      </c>
      <c r="BN55" s="237" t="e">
        <f t="shared" si="28"/>
        <v>#N/A</v>
      </c>
      <c r="BO55" s="237" t="e">
        <f t="shared" si="28"/>
        <v>#N/A</v>
      </c>
      <c r="BP55" s="237" t="e">
        <f t="shared" si="28"/>
        <v>#N/A</v>
      </c>
    </row>
    <row r="56" spans="1:76" ht="14.25" customHeight="1">
      <c r="A56" s="87"/>
      <c r="B56" s="48"/>
      <c r="C56" s="48"/>
      <c r="D56" s="40"/>
      <c r="E56" s="40"/>
      <c r="F56" s="40"/>
      <c r="G56" s="40"/>
      <c r="H56" s="40"/>
      <c r="I56" s="40"/>
      <c r="J56" s="1"/>
      <c r="K56" s="5"/>
      <c r="L56" s="5"/>
      <c r="M56" s="5"/>
      <c r="N56" s="5"/>
      <c r="O56" s="5"/>
      <c r="P56" s="5"/>
      <c r="Q56" s="5"/>
      <c r="R56" s="5"/>
      <c r="S56" s="5"/>
      <c r="T56" s="5"/>
      <c r="U56" s="86"/>
      <c r="V56" s="102"/>
      <c r="W56" s="218"/>
      <c r="AI56" s="361" t="b">
        <v>1</v>
      </c>
      <c r="AJ56" s="921" t="s">
        <v>16</v>
      </c>
      <c r="AK56" s="61" t="str">
        <f t="shared" si="16"/>
        <v>Wokingham</v>
      </c>
      <c r="AL56" s="110">
        <f t="shared" si="23"/>
        <v>24.640450568238961</v>
      </c>
      <c r="AM56" s="110">
        <f t="shared" si="23"/>
        <v>24.953058602628719</v>
      </c>
      <c r="AN56" s="110">
        <f t="shared" si="23"/>
        <v>33.066692601327532</v>
      </c>
      <c r="AO56" s="110">
        <f t="shared" si="23"/>
        <v>32.220131702728132</v>
      </c>
      <c r="AP56" s="110">
        <f t="shared" si="23"/>
        <v>31.629496236782565</v>
      </c>
      <c r="AQ56" s="111">
        <f>VLOOKUP(AK56,IDACI!$B$8:$C$29,2,FALSE)</f>
        <v>5.6000000000000005</v>
      </c>
      <c r="AR56" s="237">
        <f t="shared" si="24"/>
        <v>0.24489795918367346</v>
      </c>
      <c r="AS56" s="237">
        <f t="shared" si="24"/>
        <v>0.23943661971830985</v>
      </c>
      <c r="AT56" s="237">
        <f t="shared" si="24"/>
        <v>0.28260869565217389</v>
      </c>
      <c r="AU56" s="237">
        <f t="shared" si="24"/>
        <v>0.32222222222222224</v>
      </c>
      <c r="AV56" s="237">
        <f t="shared" si="24"/>
        <v>0.35365853658536583</v>
      </c>
      <c r="AW56" s="237">
        <f t="shared" si="25"/>
        <v>0.58333333333333337</v>
      </c>
      <c r="AX56" s="237">
        <f t="shared" si="25"/>
        <v>0.52941176470588236</v>
      </c>
      <c r="AY56" s="237">
        <f t="shared" si="25"/>
        <v>0.53846153846153844</v>
      </c>
      <c r="AZ56" s="237">
        <f t="shared" si="25"/>
        <v>0.58620689655172409</v>
      </c>
      <c r="BA56" s="237">
        <f t="shared" si="25"/>
        <v>0.58620689655172409</v>
      </c>
      <c r="BB56" s="237">
        <f t="shared" si="26"/>
        <v>0.19387755102040816</v>
      </c>
      <c r="BC56" s="237">
        <f t="shared" si="26"/>
        <v>8.9108910891089105E-2</v>
      </c>
      <c r="BD56" s="237">
        <f t="shared" si="26"/>
        <v>0.11029411764705882</v>
      </c>
      <c r="BE56" s="237">
        <f t="shared" si="26"/>
        <v>8.0291970802919707E-2</v>
      </c>
      <c r="BF56" s="237">
        <f t="shared" si="26"/>
        <v>0</v>
      </c>
      <c r="BG56" s="237">
        <f t="shared" si="27"/>
        <v>7.1428571428571425E-2</v>
      </c>
      <c r="BH56" s="237">
        <f t="shared" si="27"/>
        <v>5.9405940594059403E-2</v>
      </c>
      <c r="BI56" s="237">
        <f t="shared" si="27"/>
        <v>0.19117647058823528</v>
      </c>
      <c r="BJ56" s="237">
        <f t="shared" si="27"/>
        <v>0.29197080291970801</v>
      </c>
      <c r="BK56" s="237">
        <f t="shared" si="27"/>
        <v>0.26277372262773724</v>
      </c>
      <c r="BL56" s="237" t="e">
        <f t="shared" si="28"/>
        <v>#N/A</v>
      </c>
      <c r="BM56" s="237" t="e">
        <f t="shared" si="28"/>
        <v>#N/A</v>
      </c>
      <c r="BN56" s="237" t="e">
        <f t="shared" si="28"/>
        <v>#N/A</v>
      </c>
      <c r="BO56" s="237" t="e">
        <f t="shared" si="28"/>
        <v>#N/A</v>
      </c>
      <c r="BP56" s="237" t="e">
        <f t="shared" si="28"/>
        <v>#N/A</v>
      </c>
      <c r="BQ56" s="56"/>
      <c r="BR56" s="56"/>
      <c r="BS56" s="56"/>
      <c r="BT56" s="56"/>
      <c r="BU56" s="56"/>
      <c r="BV56" s="56"/>
      <c r="BW56" s="56"/>
      <c r="BX56" s="56"/>
    </row>
    <row r="57" spans="1:76" ht="14.25" customHeight="1">
      <c r="A57" s="87"/>
      <c r="B57" s="48"/>
      <c r="C57" s="48"/>
      <c r="D57" s="40"/>
      <c r="E57" s="40"/>
      <c r="F57" s="40"/>
      <c r="G57" s="40"/>
      <c r="H57" s="40"/>
      <c r="I57" s="40"/>
      <c r="J57" s="1"/>
      <c r="K57" s="5"/>
      <c r="L57" s="5"/>
      <c r="M57" s="5"/>
      <c r="N57" s="5"/>
      <c r="O57" s="5"/>
      <c r="P57" s="5"/>
      <c r="Q57" s="5"/>
      <c r="R57" s="5"/>
      <c r="S57" s="5"/>
      <c r="T57" s="5"/>
      <c r="U57" s="86"/>
      <c r="V57" s="102"/>
      <c r="W57" s="218"/>
      <c r="AI57" s="361" t="b">
        <v>1</v>
      </c>
      <c r="AJ57" s="921" t="s">
        <v>71</v>
      </c>
      <c r="AK57" s="61" t="str">
        <f t="shared" si="16"/>
        <v>South East</v>
      </c>
      <c r="AL57" s="110">
        <f t="shared" si="23"/>
        <v>54.100376975203254</v>
      </c>
      <c r="AM57" s="110">
        <f t="shared" si="23"/>
        <v>54.300676790293416</v>
      </c>
      <c r="AN57" s="110">
        <f t="shared" si="23"/>
        <v>56.016027310073483</v>
      </c>
      <c r="AO57" s="110">
        <f t="shared" si="23"/>
        <v>57.296588206978072</v>
      </c>
      <c r="AP57" s="110">
        <f t="shared" si="23"/>
        <v>57.196033521582287</v>
      </c>
      <c r="AQ57" s="111">
        <f>Z30/Y30*100</f>
        <v>12.371268250968637</v>
      </c>
      <c r="AR57" s="237">
        <f t="shared" si="24"/>
        <v>0.45153095333600751</v>
      </c>
      <c r="AS57" s="237">
        <f t="shared" si="24"/>
        <v>0.45474758043421398</v>
      </c>
      <c r="AT57" s="237">
        <f t="shared" si="24"/>
        <v>0.45679959100204498</v>
      </c>
      <c r="AU57" s="237">
        <f t="shared" si="24"/>
        <v>0.454661558109834</v>
      </c>
      <c r="AV57" s="237">
        <f t="shared" si="24"/>
        <v>0.46631439894319682</v>
      </c>
      <c r="AW57" s="237">
        <f t="shared" si="25"/>
        <v>0.52976014213799227</v>
      </c>
      <c r="AX57" s="237">
        <f t="shared" si="25"/>
        <v>0.67558239861949954</v>
      </c>
      <c r="AY57" s="237">
        <f t="shared" si="25"/>
        <v>0.69781757134862898</v>
      </c>
      <c r="AZ57" s="237">
        <f t="shared" si="25"/>
        <v>0.68258426966292129</v>
      </c>
      <c r="BA57" s="237">
        <f t="shared" si="25"/>
        <v>0.65722379603399439</v>
      </c>
      <c r="BB57" s="237">
        <f t="shared" si="26"/>
        <v>0.13222744270783393</v>
      </c>
      <c r="BC57" s="237">
        <f t="shared" si="26"/>
        <v>0.11379244563143838</v>
      </c>
      <c r="BD57" s="237">
        <f t="shared" si="26"/>
        <v>0.11980079313843033</v>
      </c>
      <c r="BE57" s="237">
        <f t="shared" si="26"/>
        <v>0.12434496846966871</v>
      </c>
      <c r="BF57" s="237">
        <f t="shared" si="26"/>
        <v>0.12258410880458125</v>
      </c>
      <c r="BG57" s="237">
        <f t="shared" si="27"/>
        <v>9.9721929235784837E-2</v>
      </c>
      <c r="BH57" s="237">
        <f t="shared" si="27"/>
        <v>8.1834714083653268E-2</v>
      </c>
      <c r="BI57" s="237">
        <f t="shared" si="27"/>
        <v>0.10778846153846154</v>
      </c>
      <c r="BJ57" s="237">
        <f t="shared" si="27"/>
        <v>0.1435982953492681</v>
      </c>
      <c r="BK57" s="237">
        <f t="shared" si="27"/>
        <v>0.14316392269148176</v>
      </c>
      <c r="BL57" s="237" t="e">
        <f t="shared" si="28"/>
        <v>#N/A</v>
      </c>
      <c r="BM57" s="237" t="e">
        <f t="shared" si="28"/>
        <v>#N/A</v>
      </c>
      <c r="BN57" s="237" t="e">
        <f t="shared" si="28"/>
        <v>#N/A</v>
      </c>
      <c r="BO57" s="237" t="e">
        <f t="shared" si="28"/>
        <v>#N/A</v>
      </c>
      <c r="BP57" s="237" t="e">
        <f t="shared" si="28"/>
        <v>#N/A</v>
      </c>
      <c r="BQ57" s="56"/>
      <c r="BR57" s="56"/>
      <c r="BS57" s="56"/>
      <c r="BT57" s="56"/>
      <c r="BU57" s="56"/>
      <c r="BV57" s="56"/>
      <c r="BW57" s="56"/>
      <c r="BX57" s="56"/>
    </row>
    <row r="58" spans="1:76"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218"/>
      <c r="AI58" s="361" t="b">
        <v>1</v>
      </c>
      <c r="AJ58" s="921" t="s">
        <v>109</v>
      </c>
      <c r="AK58" s="61" t="str">
        <f t="shared" si="16"/>
        <v>England</v>
      </c>
      <c r="AL58" s="110">
        <f t="shared" si="23"/>
        <v>67.851282202642608</v>
      </c>
      <c r="AM58" s="110">
        <f t="shared" si="23"/>
        <v>68.589593608439372</v>
      </c>
      <c r="AN58" s="110">
        <f t="shared" si="23"/>
        <v>69.855353426261843</v>
      </c>
      <c r="AO58" s="110">
        <f t="shared" si="23"/>
        <v>70.538018132410059</v>
      </c>
      <c r="AP58" s="110">
        <f t="shared" si="23"/>
        <v>69.69953109709212</v>
      </c>
      <c r="AQ58" s="111">
        <f>VLOOKUP(AK58,IDACI!$B$8:$C$29,2,FALSE)</f>
        <v>17.084413405029373</v>
      </c>
      <c r="AR58" s="237">
        <f t="shared" si="24"/>
        <v>0.44504504504504505</v>
      </c>
      <c r="AS58" s="237">
        <f t="shared" si="24"/>
        <v>0.46453935207705027</v>
      </c>
      <c r="AT58" s="237">
        <f t="shared" si="24"/>
        <v>0.47730576643514777</v>
      </c>
      <c r="AU58" s="237">
        <f t="shared" si="24"/>
        <v>0.4797603626943005</v>
      </c>
      <c r="AV58" s="237">
        <f t="shared" si="24"/>
        <v>0.47533191280118015</v>
      </c>
      <c r="AW58" s="237">
        <f t="shared" si="25"/>
        <v>0.67832167832167833</v>
      </c>
      <c r="AX58" s="237">
        <f t="shared" si="25"/>
        <v>0.70261780104712046</v>
      </c>
      <c r="AY58" s="237">
        <f t="shared" si="25"/>
        <v>0.70998307952622675</v>
      </c>
      <c r="AZ58" s="237">
        <f t="shared" si="25"/>
        <v>0.68680391495106308</v>
      </c>
      <c r="BA58" s="237">
        <f t="shared" si="25"/>
        <v>0.68103448275862066</v>
      </c>
      <c r="BB58" s="237">
        <f t="shared" si="26"/>
        <v>0.108625</v>
      </c>
      <c r="BC58" s="237">
        <f t="shared" si="26"/>
        <v>8.9422648790382434E-2</v>
      </c>
      <c r="BD58" s="237">
        <f t="shared" si="26"/>
        <v>9.772423025435073E-2</v>
      </c>
      <c r="BE58" s="237">
        <f t="shared" si="26"/>
        <v>0.10293416030534351</v>
      </c>
      <c r="BF58" s="237">
        <f t="shared" si="26"/>
        <v>0.10391008011479134</v>
      </c>
      <c r="BG58" s="237">
        <f t="shared" si="27"/>
        <v>6.25E-2</v>
      </c>
      <c r="BH58" s="237">
        <f t="shared" si="27"/>
        <v>5.0338890812843221E-2</v>
      </c>
      <c r="BI58" s="237">
        <f t="shared" si="27"/>
        <v>6.7786296701959348E-2</v>
      </c>
      <c r="BJ58" s="237">
        <f t="shared" si="27"/>
        <v>8.6951335877862593E-2</v>
      </c>
      <c r="BK58" s="237">
        <f t="shared" si="27"/>
        <v>8.8245844792538566E-2</v>
      </c>
      <c r="BL58" s="237" t="e">
        <f t="shared" si="28"/>
        <v>#N/A</v>
      </c>
      <c r="BM58" s="237" t="e">
        <f t="shared" si="28"/>
        <v>#N/A</v>
      </c>
      <c r="BN58" s="237" t="e">
        <f t="shared" si="28"/>
        <v>#N/A</v>
      </c>
      <c r="BO58" s="237" t="e">
        <f t="shared" si="28"/>
        <v>#N/A</v>
      </c>
      <c r="BP58" s="237" t="e">
        <f t="shared" si="28"/>
        <v>#N/A</v>
      </c>
    </row>
    <row r="59" spans="1:76" s="56" customFormat="1" ht="14.25" customHeight="1">
      <c r="A59" s="87"/>
      <c r="B59" s="48"/>
      <c r="C59" s="48"/>
      <c r="D59" s="40"/>
      <c r="E59" s="40"/>
      <c r="F59" s="40"/>
      <c r="G59" s="40"/>
      <c r="H59" s="40"/>
      <c r="I59" s="40"/>
      <c r="J59" s="1"/>
      <c r="K59" s="5"/>
      <c r="L59" s="5"/>
      <c r="M59" s="5"/>
      <c r="N59" s="5"/>
      <c r="O59" s="5"/>
      <c r="P59" s="5"/>
      <c r="Q59" s="5"/>
      <c r="R59" s="5"/>
      <c r="S59" s="5"/>
      <c r="T59" s="5"/>
      <c r="U59" s="86"/>
      <c r="V59" s="102"/>
      <c r="W59" s="218"/>
      <c r="AJ59" s="122"/>
      <c r="AK59" s="52" t="str">
        <f>Z4</f>
        <v>Selected LA- (none)</v>
      </c>
      <c r="AL59" s="112" t="e">
        <f>VLOOKUP($Y4,$B$11:$O$30,AL$34,FALSE)</f>
        <v>#N/A</v>
      </c>
      <c r="AM59" s="112" t="e">
        <f>VLOOKUP($Y4,$B$11:$O$30,AM$34,FALSE)</f>
        <v>#N/A</v>
      </c>
      <c r="AN59" s="112" t="e">
        <f>VLOOKUP($Y4,$B$11:$O$30,AN$34,FALSE)</f>
        <v>#N/A</v>
      </c>
      <c r="AO59" s="112" t="e">
        <f>VLOOKUP($Y4,$B$11:$O$30,AO$34,FALSE)</f>
        <v>#N/A</v>
      </c>
      <c r="AP59" s="112" t="e">
        <f>VLOOKUP($Y4,$B$11:$O$30,AP$34,FALSE)</f>
        <v>#N/A</v>
      </c>
      <c r="AQ59" s="111" t="e">
        <f>VLOOKUP(Y4,IDACI!$B$8:$C$29,2,FALSE)</f>
        <v>#N/A</v>
      </c>
      <c r="AR59" s="132" t="e">
        <f>VLOOKUP($Y$4,$B$109:$H$129,AR$34,FALSE)</f>
        <v>#N/A</v>
      </c>
      <c r="AS59" s="132" t="e">
        <f>VLOOKUP($Y$4,$B$109:$H$129,AS$34,FALSE)</f>
        <v>#N/A</v>
      </c>
      <c r="AT59" s="132" t="e">
        <f>VLOOKUP($Y$4,$B$109:$H$129,AT$34,FALSE)</f>
        <v>#N/A</v>
      </c>
      <c r="AU59" s="132" t="e">
        <f>VLOOKUP($Y$4,$B$109:$H$129,AU$34,FALSE)</f>
        <v>#N/A</v>
      </c>
      <c r="AV59" s="132" t="e">
        <f>VLOOKUP($Y$4,$B$109:$H$129,AV$34,FALSE)</f>
        <v>#N/A</v>
      </c>
      <c r="AW59" s="132" t="e">
        <f>VLOOKUP($Y$4,$B$142:$H$162,AW$34,FALSE)</f>
        <v>#N/A</v>
      </c>
      <c r="AX59" s="132" t="e">
        <f>VLOOKUP($Y$4,$B$142:$H$162,AX$34,FALSE)</f>
        <v>#N/A</v>
      </c>
      <c r="AY59" s="132" t="e">
        <f>VLOOKUP($Y$4,$B$142:$H$162,AY$34,FALSE)</f>
        <v>#N/A</v>
      </c>
      <c r="AZ59" s="132" t="e">
        <f>VLOOKUP($Y$4,$B$142:$H$162,AZ$34,FALSE)</f>
        <v>#N/A</v>
      </c>
      <c r="BA59" s="132" t="e">
        <f>VLOOKUP($Y$4,$B$142:$H$162,BA$34,FALSE)</f>
        <v>#N/A</v>
      </c>
      <c r="BB59" s="132" t="e">
        <f>VLOOKUP($Y$4,$B$175:$H$195,BB$34,FALSE)</f>
        <v>#N/A</v>
      </c>
      <c r="BC59" s="132" t="e">
        <f>VLOOKUP($Y$4,$B$175:$H$195,BC$34,FALSE)</f>
        <v>#N/A</v>
      </c>
      <c r="BD59" s="132" t="e">
        <f>VLOOKUP($Y$4,$B$175:$H$195,BD$34,FALSE)</f>
        <v>#N/A</v>
      </c>
      <c r="BE59" s="132" t="e">
        <f>VLOOKUP($Y$4,$B$175:$H$195,BE$34,FALSE)</f>
        <v>#N/A</v>
      </c>
      <c r="BF59" s="132" t="e">
        <f>VLOOKUP($Y$4,$B$175:$H$195,BF$34,FALSE)</f>
        <v>#N/A</v>
      </c>
      <c r="BG59" s="237" t="e">
        <f>VLOOKUP($Y4,$B$243:$H$263,BG$34,FALSE)</f>
        <v>#N/A</v>
      </c>
      <c r="BH59" s="237" t="e">
        <f>VLOOKUP($Y4,$B$243:$H$263,BH$34,FALSE)</f>
        <v>#N/A</v>
      </c>
      <c r="BI59" s="237" t="e">
        <f>VLOOKUP($Y4,$B$243:$H$263,BI$34,FALSE)</f>
        <v>#N/A</v>
      </c>
      <c r="BJ59" s="237" t="e">
        <f>VLOOKUP($Y4,$B$243:$H$263,BJ$34,FALSE)</f>
        <v>#N/A</v>
      </c>
      <c r="BK59" s="237" t="e">
        <f>VLOOKUP($Y4,$B$243:$H$263,BK$34,FALSE)</f>
        <v>#N/A</v>
      </c>
      <c r="BL59" s="237" t="e">
        <f>VLOOKUP($Y4,$B$208:$H$230,BL$34,FALSE)</f>
        <v>#N/A</v>
      </c>
      <c r="BM59" s="237" t="e">
        <f>VLOOKUP($Y4,$B$208:$H$230,BM$34,FALSE)</f>
        <v>#N/A</v>
      </c>
      <c r="BN59" s="237" t="e">
        <f>VLOOKUP($Y4,$B$208:$H$230,BN$34,FALSE)</f>
        <v>#N/A</v>
      </c>
      <c r="BO59" s="237" t="e">
        <f>VLOOKUP($Y4,$B$208:$H$230,BO$34,FALSE)</f>
        <v>#N/A</v>
      </c>
      <c r="BP59" s="237" t="e">
        <f>VLOOKUP($Y4,$B$208:$H$230,BP$34,FALSE)</f>
        <v>#N/A</v>
      </c>
    </row>
    <row r="60" spans="1:76" s="56" customFormat="1" ht="2.25" customHeight="1">
      <c r="A60" s="87"/>
      <c r="B60" s="48"/>
      <c r="C60" s="48"/>
      <c r="D60" s="40"/>
      <c r="E60" s="40"/>
      <c r="F60" s="40"/>
      <c r="G60" s="40"/>
      <c r="H60" s="40"/>
      <c r="I60" s="40"/>
      <c r="J60" s="1"/>
      <c r="K60" s="5"/>
      <c r="L60" s="5"/>
      <c r="M60" s="5"/>
      <c r="N60" s="5"/>
      <c r="O60" s="5"/>
      <c r="P60" s="5"/>
      <c r="Q60" s="5"/>
      <c r="R60" s="5"/>
      <c r="S60" s="5"/>
      <c r="T60" s="5"/>
      <c r="U60" s="86"/>
      <c r="V60" s="102"/>
      <c r="W60" s="114"/>
      <c r="AJ60" s="815"/>
    </row>
    <row r="61" spans="1:76" s="56" customFormat="1" ht="14.25" customHeight="1">
      <c r="A61" s="87"/>
      <c r="B61" s="48"/>
      <c r="C61" s="48"/>
      <c r="D61" s="40"/>
      <c r="E61" s="40"/>
      <c r="F61" s="40"/>
      <c r="G61" s="40"/>
      <c r="H61" s="40"/>
      <c r="I61" s="40"/>
      <c r="J61" s="1"/>
      <c r="K61" s="79"/>
      <c r="L61" s="1882" t="s">
        <v>69</v>
      </c>
      <c r="M61" s="1882"/>
      <c r="N61" s="1882"/>
      <c r="O61" s="1882"/>
      <c r="P61" s="1171"/>
      <c r="Q61" s="1753" t="s">
        <v>93</v>
      </c>
      <c r="R61" s="1753"/>
      <c r="S61" s="1753"/>
      <c r="T61" s="1753"/>
      <c r="U61" s="86"/>
      <c r="V61" s="102"/>
      <c r="W61" s="114"/>
      <c r="AJ61" s="122"/>
    </row>
    <row r="62" spans="1:76" s="56" customFormat="1" ht="14.25" customHeight="1">
      <c r="A62" s="87"/>
      <c r="B62" s="48"/>
      <c r="C62" s="48"/>
      <c r="D62" s="40"/>
      <c r="E62" s="40"/>
      <c r="F62" s="40"/>
      <c r="G62" s="40"/>
      <c r="H62" s="40"/>
      <c r="I62" s="40"/>
      <c r="J62" s="1"/>
      <c r="K62" s="80"/>
      <c r="L62" s="1753" t="str">
        <f>Z4</f>
        <v>Selected LA- (none)</v>
      </c>
      <c r="M62" s="1753"/>
      <c r="N62" s="1753"/>
      <c r="O62" s="1753"/>
      <c r="P62" s="1172"/>
      <c r="Q62" s="1753" t="s">
        <v>167</v>
      </c>
      <c r="R62" s="1753"/>
      <c r="S62" s="1753"/>
      <c r="T62" s="1753"/>
      <c r="U62" s="86"/>
      <c r="V62" s="102"/>
      <c r="W62" s="115"/>
      <c r="X62" s="61"/>
      <c r="Y62" s="61"/>
      <c r="Z62" s="61"/>
      <c r="AA62" s="61"/>
      <c r="AB62" s="61"/>
      <c r="AC62" s="141"/>
      <c r="AD62" s="141"/>
      <c r="AE62" s="141"/>
      <c r="AF62" s="141"/>
      <c r="AG62" s="141"/>
      <c r="AH62" s="141"/>
      <c r="AI62" s="61"/>
      <c r="AJ62" s="12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row>
    <row r="63" spans="1:76" s="56" customFormat="1" ht="46.5" customHeight="1">
      <c r="A63" s="87"/>
      <c r="B63" s="48"/>
      <c r="C63" s="48"/>
      <c r="D63" s="40"/>
      <c r="E63" s="40"/>
      <c r="F63" s="40"/>
      <c r="G63" s="40"/>
      <c r="H63" s="40"/>
      <c r="I63" s="40"/>
      <c r="J63" s="1"/>
      <c r="K63" s="5"/>
      <c r="L63" s="5"/>
      <c r="M63" s="5"/>
      <c r="N63" s="5"/>
      <c r="O63" s="5"/>
      <c r="P63" s="5"/>
      <c r="Q63" s="5"/>
      <c r="R63" s="5"/>
      <c r="S63" s="5"/>
      <c r="T63" s="5"/>
      <c r="U63" s="86"/>
      <c r="V63" s="102"/>
      <c r="W63" s="115"/>
      <c r="X63" s="61"/>
      <c r="Y63" s="61"/>
      <c r="Z63" s="61"/>
      <c r="AA63" s="61"/>
      <c r="AB63" s="61"/>
      <c r="AC63" s="141"/>
      <c r="AD63" s="141"/>
      <c r="AE63" s="141"/>
      <c r="AF63" s="141"/>
      <c r="AG63" s="141"/>
      <c r="AH63" s="141"/>
      <c r="AI63" s="61"/>
      <c r="AJ63" s="12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row>
    <row r="64" spans="1:76" s="61" customFormat="1" ht="46.5" customHeight="1">
      <c r="A64" s="88"/>
      <c r="B64" s="78"/>
      <c r="C64" s="78"/>
      <c r="D64" s="78"/>
      <c r="E64" s="78"/>
      <c r="F64" s="78"/>
      <c r="G64" s="78"/>
      <c r="H64" s="78"/>
      <c r="I64" s="78"/>
      <c r="J64" s="68"/>
      <c r="K64" s="59"/>
      <c r="L64" s="59"/>
      <c r="M64" s="59"/>
      <c r="N64" s="59"/>
      <c r="O64" s="59"/>
      <c r="P64" s="59"/>
      <c r="Q64" s="59"/>
      <c r="R64" s="59"/>
      <c r="S64" s="59"/>
      <c r="T64" s="59"/>
      <c r="U64" s="89"/>
      <c r="V64" s="103"/>
      <c r="W64" s="114"/>
      <c r="AC64" s="56"/>
      <c r="AD64" s="56"/>
      <c r="AE64" s="56"/>
      <c r="AF64" s="56"/>
      <c r="AG64" s="56"/>
      <c r="AH64" s="56"/>
      <c r="AI64" s="52"/>
      <c r="AJ64" s="119"/>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row>
    <row r="65" spans="1:76" s="61" customFormat="1" ht="46.5" customHeight="1">
      <c r="A65" s="88"/>
      <c r="B65" s="78"/>
      <c r="C65" s="78"/>
      <c r="D65" s="78"/>
      <c r="E65" s="78"/>
      <c r="F65" s="78"/>
      <c r="G65" s="78"/>
      <c r="H65" s="78"/>
      <c r="I65" s="78"/>
      <c r="J65" s="68"/>
      <c r="K65" s="59"/>
      <c r="L65" s="59"/>
      <c r="M65" s="59"/>
      <c r="N65" s="59"/>
      <c r="O65" s="59"/>
      <c r="P65" s="59"/>
      <c r="Q65" s="59"/>
      <c r="R65" s="59"/>
      <c r="S65" s="59"/>
      <c r="T65" s="59"/>
      <c r="U65" s="89"/>
      <c r="V65" s="121"/>
      <c r="W65" s="114"/>
      <c r="AC65" s="56"/>
      <c r="AD65" s="56"/>
      <c r="AE65" s="56"/>
      <c r="AF65" s="56"/>
      <c r="AG65" s="56"/>
      <c r="AH65" s="56"/>
      <c r="AI65" s="52"/>
      <c r="AJ65" s="119"/>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row>
    <row r="66" spans="1:76" ht="7.5" customHeight="1">
      <c r="A66" s="87"/>
      <c r="B66" s="12"/>
      <c r="C66" s="12"/>
      <c r="D66" s="11"/>
      <c r="E66" s="11"/>
      <c r="F66" s="11"/>
      <c r="G66" s="11"/>
      <c r="H66" s="11"/>
      <c r="I66" s="11"/>
      <c r="J66" s="1"/>
      <c r="K66" s="13"/>
      <c r="L66" s="13"/>
      <c r="M66" s="13"/>
      <c r="N66" s="13"/>
      <c r="O66" s="13"/>
      <c r="P66" s="13"/>
      <c r="Q66" s="13"/>
      <c r="R66" s="13"/>
      <c r="S66" s="13"/>
      <c r="T66" s="14"/>
      <c r="U66" s="86"/>
      <c r="V66" s="185"/>
      <c r="W66" s="114"/>
      <c r="X66" s="61"/>
      <c r="Y66" s="61"/>
      <c r="Z66" s="61"/>
      <c r="AA66" s="61"/>
      <c r="AB66" s="61"/>
      <c r="AJ66" s="119"/>
    </row>
    <row r="67" spans="1:76" ht="15" customHeight="1">
      <c r="A67" s="1565"/>
      <c r="B67" s="1751"/>
      <c r="C67" s="1751"/>
      <c r="D67" s="1751"/>
      <c r="E67" s="1751"/>
      <c r="F67" s="1751"/>
      <c r="G67" s="1751"/>
      <c r="H67" s="1751"/>
      <c r="I67" s="1751"/>
      <c r="J67" s="1751"/>
      <c r="K67" s="1751"/>
      <c r="L67" s="1751"/>
      <c r="M67" s="1751"/>
      <c r="N67" s="1751"/>
      <c r="O67" s="1751"/>
      <c r="P67" s="1751"/>
      <c r="Q67" s="1751"/>
      <c r="R67" s="1751"/>
      <c r="S67" s="1751"/>
      <c r="T67" s="1751"/>
      <c r="U67" s="1752"/>
      <c r="V67" s="185"/>
      <c r="W67" s="114"/>
      <c r="X67" s="52"/>
      <c r="Y67" s="52"/>
      <c r="Z67" s="52"/>
      <c r="AJ67" s="119"/>
    </row>
    <row r="68" spans="1:76" ht="11.1" customHeight="1">
      <c r="A68" s="1739"/>
      <c r="B68" s="1740"/>
      <c r="C68" s="1740"/>
      <c r="D68" s="1740"/>
      <c r="E68" s="1740"/>
      <c r="F68" s="1740"/>
      <c r="G68" s="1740"/>
      <c r="H68" s="1740"/>
      <c r="I68" s="1741"/>
      <c r="J68" s="1740"/>
      <c r="K68" s="1740"/>
      <c r="L68" s="1740"/>
      <c r="M68" s="1740"/>
      <c r="N68" s="1740"/>
      <c r="O68" s="1740"/>
      <c r="P68" s="1742"/>
      <c r="Q68" s="1740"/>
      <c r="R68" s="1740"/>
      <c r="S68" s="1741"/>
      <c r="T68" s="1740"/>
      <c r="U68" s="1743"/>
      <c r="V68" s="185"/>
      <c r="W68" s="114"/>
      <c r="X68" s="52"/>
      <c r="Y68" s="52"/>
      <c r="Z68" s="52"/>
      <c r="AA68" s="52"/>
      <c r="AB68" s="52"/>
      <c r="AC68" s="52"/>
      <c r="AD68" s="52"/>
      <c r="AE68" s="52"/>
      <c r="AF68" s="52"/>
      <c r="AG68" s="52"/>
      <c r="AH68" s="52"/>
      <c r="AJ68" s="119"/>
    </row>
    <row r="69" spans="1:76" ht="11.25" customHeight="1">
      <c r="A69" s="81"/>
      <c r="B69" s="82"/>
      <c r="C69" s="82"/>
      <c r="D69" s="82"/>
      <c r="E69" s="82"/>
      <c r="F69" s="82"/>
      <c r="G69" s="82"/>
      <c r="H69" s="82"/>
      <c r="I69" s="82"/>
      <c r="J69" s="83"/>
      <c r="K69" s="82"/>
      <c r="L69" s="82"/>
      <c r="M69" s="82"/>
      <c r="N69" s="82"/>
      <c r="O69" s="82"/>
      <c r="P69" s="82"/>
      <c r="Q69" s="82"/>
      <c r="R69" s="82"/>
      <c r="S69" s="82"/>
      <c r="T69" s="82"/>
      <c r="U69" s="84"/>
      <c r="V69" s="102"/>
      <c r="W69" s="114"/>
      <c r="X69" s="52"/>
      <c r="Y69" s="52"/>
      <c r="Z69" s="146"/>
      <c r="AA69" s="146"/>
      <c r="AB69" s="147"/>
      <c r="AC69" s="147"/>
      <c r="AJ69" s="119"/>
    </row>
    <row r="70" spans="1:76" ht="15" customHeight="1">
      <c r="A70" s="87"/>
      <c r="B70" s="41"/>
      <c r="C70" s="47"/>
      <c r="D70" s="47"/>
      <c r="E70" s="47"/>
      <c r="F70" s="47"/>
      <c r="G70" s="47"/>
      <c r="H70" s="47"/>
      <c r="I70" s="47"/>
      <c r="J70" s="50"/>
      <c r="K70" s="50"/>
      <c r="L70" s="50"/>
      <c r="M70" s="50"/>
      <c r="N70" s="224"/>
      <c r="O70" s="50"/>
      <c r="P70" s="50"/>
      <c r="Q70" s="50"/>
      <c r="R70" s="50"/>
      <c r="S70" s="50"/>
      <c r="T70" s="50"/>
      <c r="U70" s="86"/>
      <c r="V70" s="102"/>
      <c r="W70" s="115"/>
      <c r="X70" s="52"/>
      <c r="Y70" s="52"/>
      <c r="Z70" s="146"/>
      <c r="AA70" s="146"/>
      <c r="AB70" s="147"/>
      <c r="AC70" s="147"/>
      <c r="AD70" s="149"/>
      <c r="AE70" s="141"/>
      <c r="AF70" s="141"/>
      <c r="AG70" s="141"/>
      <c r="AH70" s="141"/>
      <c r="AI70" s="61"/>
      <c r="AJ70" s="12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row>
    <row r="71" spans="1:76" ht="13.5" customHeight="1">
      <c r="A71" s="87"/>
      <c r="B71" s="47"/>
      <c r="C71" s="47"/>
      <c r="D71" s="47"/>
      <c r="E71" s="47"/>
      <c r="F71" s="47"/>
      <c r="G71" s="47"/>
      <c r="H71" s="47"/>
      <c r="I71" s="47"/>
      <c r="J71" s="50"/>
      <c r="K71" s="50"/>
      <c r="L71" s="50"/>
      <c r="M71" s="50"/>
      <c r="N71" s="224"/>
      <c r="O71" s="50"/>
      <c r="P71" s="50"/>
      <c r="Q71" s="50"/>
      <c r="R71" s="5"/>
      <c r="S71" s="50"/>
      <c r="T71" s="50"/>
      <c r="U71" s="86"/>
      <c r="V71" s="102"/>
      <c r="W71" s="115"/>
      <c r="X71" s="61"/>
      <c r="Y71" s="241" t="s">
        <v>112</v>
      </c>
      <c r="Z71" s="242" t="s">
        <v>113</v>
      </c>
      <c r="AA71" s="146"/>
      <c r="AB71" s="147"/>
      <c r="AC71" s="147"/>
      <c r="AD71" s="149"/>
      <c r="AE71" s="141"/>
      <c r="AF71" s="141"/>
      <c r="AG71" s="141"/>
      <c r="AH71" s="141"/>
      <c r="AI71" s="61"/>
      <c r="AJ71" s="12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row>
    <row r="72" spans="1:76" s="61" customFormat="1" ht="12" customHeight="1">
      <c r="A72" s="88"/>
      <c r="B72" s="47"/>
      <c r="C72" s="47"/>
      <c r="D72" s="47"/>
      <c r="E72" s="47"/>
      <c r="F72" s="47"/>
      <c r="G72" s="47"/>
      <c r="H72" s="47"/>
      <c r="I72" s="68"/>
      <c r="J72" s="68"/>
      <c r="K72" s="43"/>
      <c r="L72" s="43"/>
      <c r="M72" s="43"/>
      <c r="N72" s="43"/>
      <c r="O72" s="43"/>
      <c r="P72" s="43"/>
      <c r="Q72" s="225"/>
      <c r="R72" s="225"/>
      <c r="S72" s="120"/>
      <c r="T72" s="226"/>
      <c r="U72" s="89"/>
      <c r="V72" s="103"/>
      <c r="W72" s="115"/>
      <c r="X72" s="243" t="str">
        <f t="shared" ref="X72:X84" si="29">B11</f>
        <v>Bracknell Forest</v>
      </c>
      <c r="Y72" s="244" t="e">
        <f t="shared" ref="Y72:Y92" si="30">IF(X72=$Y$4,I11,#N/A)</f>
        <v>#N/A</v>
      </c>
      <c r="Z72" s="244" t="e">
        <f t="shared" ref="Z72:Z84" si="31">IF(X72=$Y$4,T11,#N/A)</f>
        <v>#N/A</v>
      </c>
      <c r="AA72" s="146"/>
      <c r="AB72" s="147"/>
      <c r="AC72" s="147"/>
      <c r="AD72" s="149"/>
      <c r="AE72" s="141"/>
      <c r="AF72" s="141"/>
      <c r="AG72" s="141"/>
      <c r="AH72" s="141"/>
      <c r="AJ72" s="121"/>
    </row>
    <row r="73" spans="1:76" s="61" customFormat="1" ht="24" customHeight="1">
      <c r="A73" s="88"/>
      <c r="B73" s="47"/>
      <c r="C73" s="47"/>
      <c r="D73" s="47"/>
      <c r="E73" s="47"/>
      <c r="F73" s="47"/>
      <c r="G73" s="47"/>
      <c r="H73" s="47"/>
      <c r="I73" s="68"/>
      <c r="J73" s="68"/>
      <c r="K73" s="127"/>
      <c r="L73" s="127"/>
      <c r="M73" s="127"/>
      <c r="N73" s="127"/>
      <c r="O73" s="127"/>
      <c r="P73" s="127"/>
      <c r="Q73" s="127"/>
      <c r="R73" s="128"/>
      <c r="S73" s="120"/>
      <c r="T73" s="127"/>
      <c r="U73" s="89"/>
      <c r="V73" s="103"/>
      <c r="W73" s="115"/>
      <c r="X73" s="243" t="str">
        <f t="shared" si="29"/>
        <v>Brighton &amp; Hove</v>
      </c>
      <c r="Y73" s="244" t="e">
        <f t="shared" si="30"/>
        <v>#N/A</v>
      </c>
      <c r="Z73" s="244" t="e">
        <f t="shared" si="31"/>
        <v>#N/A</v>
      </c>
      <c r="AA73" s="146"/>
      <c r="AB73" s="147"/>
      <c r="AC73" s="147"/>
      <c r="AD73" s="149"/>
      <c r="AE73" s="141"/>
      <c r="AF73" s="141"/>
      <c r="AG73" s="141"/>
      <c r="AH73" s="141"/>
      <c r="AJ73" s="121"/>
    </row>
    <row r="74" spans="1:76" s="61" customFormat="1" ht="12.75" customHeight="1">
      <c r="A74" s="88"/>
      <c r="B74" s="47"/>
      <c r="C74" s="47"/>
      <c r="D74" s="47"/>
      <c r="E74" s="47"/>
      <c r="F74" s="47"/>
      <c r="G74" s="47"/>
      <c r="H74" s="47"/>
      <c r="I74" s="68"/>
      <c r="J74" s="68"/>
      <c r="K74" s="127"/>
      <c r="L74" s="127"/>
      <c r="M74" s="127"/>
      <c r="N74" s="127"/>
      <c r="O74" s="127"/>
      <c r="P74" s="127"/>
      <c r="Q74" s="127"/>
      <c r="R74" s="128"/>
      <c r="S74" s="120"/>
      <c r="T74" s="127"/>
      <c r="U74" s="89"/>
      <c r="V74" s="103"/>
      <c r="W74" s="115"/>
      <c r="X74" s="243" t="str">
        <f t="shared" si="29"/>
        <v>Buckinghamshire</v>
      </c>
      <c r="Y74" s="244" t="e">
        <f t="shared" si="30"/>
        <v>#N/A</v>
      </c>
      <c r="Z74" s="244" t="e">
        <f t="shared" si="31"/>
        <v>#N/A</v>
      </c>
      <c r="AA74" s="146"/>
      <c r="AB74" s="147"/>
      <c r="AC74" s="147"/>
      <c r="AD74" s="149"/>
      <c r="AE74" s="141"/>
      <c r="AF74" s="141"/>
      <c r="AG74" s="141"/>
      <c r="AH74" s="141"/>
      <c r="AJ74" s="121"/>
    </row>
    <row r="75" spans="1:76" s="61" customFormat="1" ht="12.75" customHeight="1">
      <c r="A75" s="88"/>
      <c r="B75" s="47"/>
      <c r="C75" s="47"/>
      <c r="D75" s="47"/>
      <c r="E75" s="47"/>
      <c r="F75" s="47"/>
      <c r="G75" s="47"/>
      <c r="H75" s="47"/>
      <c r="I75" s="68"/>
      <c r="J75" s="68"/>
      <c r="K75" s="127"/>
      <c r="L75" s="127"/>
      <c r="M75" s="127"/>
      <c r="N75" s="127"/>
      <c r="O75" s="127"/>
      <c r="P75" s="127"/>
      <c r="Q75" s="127"/>
      <c r="R75" s="128"/>
      <c r="S75" s="120"/>
      <c r="T75" s="127"/>
      <c r="U75" s="89"/>
      <c r="V75" s="103"/>
      <c r="W75" s="115"/>
      <c r="X75" s="243" t="str">
        <f t="shared" si="29"/>
        <v>East Sussex</v>
      </c>
      <c r="Y75" s="244" t="e">
        <f t="shared" si="30"/>
        <v>#N/A</v>
      </c>
      <c r="Z75" s="244" t="e">
        <f t="shared" si="31"/>
        <v>#N/A</v>
      </c>
      <c r="AA75" s="146"/>
      <c r="AB75" s="147"/>
      <c r="AC75" s="147"/>
      <c r="AD75" s="149"/>
      <c r="AE75" s="141"/>
      <c r="AF75" s="141"/>
      <c r="AG75" s="141"/>
      <c r="AH75" s="141"/>
      <c r="AJ75" s="121"/>
    </row>
    <row r="76" spans="1:76" s="61" customFormat="1" ht="12.75" customHeight="1">
      <c r="A76" s="88"/>
      <c r="B76" s="47"/>
      <c r="C76" s="47"/>
      <c r="D76" s="47"/>
      <c r="E76" s="47"/>
      <c r="F76" s="47"/>
      <c r="G76" s="47"/>
      <c r="H76" s="47"/>
      <c r="I76" s="68"/>
      <c r="J76" s="68"/>
      <c r="K76" s="127"/>
      <c r="L76" s="127"/>
      <c r="M76" s="127"/>
      <c r="N76" s="127"/>
      <c r="O76" s="127"/>
      <c r="P76" s="127"/>
      <c r="Q76" s="127"/>
      <c r="R76" s="128"/>
      <c r="S76" s="120"/>
      <c r="T76" s="127"/>
      <c r="U76" s="89"/>
      <c r="V76" s="103"/>
      <c r="W76" s="115"/>
      <c r="X76" s="243" t="str">
        <f t="shared" si="29"/>
        <v>Hampshire</v>
      </c>
      <c r="Y76" s="244" t="e">
        <f t="shared" si="30"/>
        <v>#N/A</v>
      </c>
      <c r="Z76" s="244" t="e">
        <f t="shared" si="31"/>
        <v>#N/A</v>
      </c>
      <c r="AA76" s="146"/>
      <c r="AB76" s="147"/>
      <c r="AC76" s="147"/>
      <c r="AD76" s="149"/>
      <c r="AE76" s="141"/>
      <c r="AF76" s="141"/>
      <c r="AG76" s="141"/>
      <c r="AH76" s="141"/>
      <c r="AJ76" s="121"/>
      <c r="AR76" s="61" t="s">
        <v>95</v>
      </c>
    </row>
    <row r="77" spans="1:76" s="61" customFormat="1" ht="12.75" customHeight="1">
      <c r="A77" s="88"/>
      <c r="B77" s="47"/>
      <c r="C77" s="47"/>
      <c r="D77" s="47"/>
      <c r="E77" s="47"/>
      <c r="F77" s="47"/>
      <c r="G77" s="47"/>
      <c r="H77" s="47"/>
      <c r="I77" s="68"/>
      <c r="J77" s="68"/>
      <c r="K77" s="127"/>
      <c r="L77" s="127"/>
      <c r="M77" s="127"/>
      <c r="N77" s="127"/>
      <c r="O77" s="127"/>
      <c r="P77" s="127"/>
      <c r="Q77" s="127"/>
      <c r="R77" s="128"/>
      <c r="S77" s="120"/>
      <c r="T77" s="127"/>
      <c r="U77" s="89"/>
      <c r="V77" s="103"/>
      <c r="W77" s="115"/>
      <c r="X77" s="243" t="str">
        <f t="shared" si="29"/>
        <v>Isle of Wight</v>
      </c>
      <c r="Y77" s="244" t="e">
        <f t="shared" si="30"/>
        <v>#N/A</v>
      </c>
      <c r="Z77" s="244" t="e">
        <f t="shared" si="31"/>
        <v>#N/A</v>
      </c>
      <c r="AA77" s="146"/>
      <c r="AB77" s="147"/>
      <c r="AC77" s="147"/>
      <c r="AD77" s="149"/>
      <c r="AE77" s="141"/>
      <c r="AF77" s="141"/>
      <c r="AG77" s="141"/>
      <c r="AH77" s="141"/>
      <c r="AJ77" s="121"/>
    </row>
    <row r="78" spans="1:76" s="61" customFormat="1" ht="12.75" customHeight="1">
      <c r="A78" s="88"/>
      <c r="B78" s="47"/>
      <c r="C78" s="47"/>
      <c r="D78" s="47"/>
      <c r="E78" s="47"/>
      <c r="F78" s="47"/>
      <c r="G78" s="47"/>
      <c r="H78" s="47"/>
      <c r="I78" s="68"/>
      <c r="J78" s="68"/>
      <c r="K78" s="127"/>
      <c r="L78" s="127"/>
      <c r="M78" s="127"/>
      <c r="N78" s="127"/>
      <c r="O78" s="127"/>
      <c r="P78" s="127"/>
      <c r="Q78" s="127"/>
      <c r="R78" s="128"/>
      <c r="S78" s="120"/>
      <c r="T78" s="127"/>
      <c r="U78" s="89"/>
      <c r="V78" s="103"/>
      <c r="W78" s="115"/>
      <c r="X78" s="243" t="str">
        <f t="shared" si="29"/>
        <v>Kent</v>
      </c>
      <c r="Y78" s="244" t="e">
        <f t="shared" si="30"/>
        <v>#N/A</v>
      </c>
      <c r="Z78" s="244" t="e">
        <f t="shared" si="31"/>
        <v>#N/A</v>
      </c>
      <c r="AA78" s="146"/>
      <c r="AB78" s="147"/>
      <c r="AC78" s="147"/>
      <c r="AD78" s="149"/>
      <c r="AE78" s="141"/>
      <c r="AF78" s="141"/>
      <c r="AG78" s="141"/>
      <c r="AH78" s="141"/>
      <c r="AJ78" s="121"/>
    </row>
    <row r="79" spans="1:76" s="61" customFormat="1" ht="12.75" customHeight="1">
      <c r="A79" s="88"/>
      <c r="B79" s="47"/>
      <c r="C79" s="47"/>
      <c r="D79" s="47"/>
      <c r="E79" s="47"/>
      <c r="F79" s="47"/>
      <c r="G79" s="47"/>
      <c r="H79" s="47"/>
      <c r="I79" s="68"/>
      <c r="J79" s="68"/>
      <c r="K79" s="127"/>
      <c r="L79" s="127"/>
      <c r="M79" s="127"/>
      <c r="N79" s="127"/>
      <c r="O79" s="127"/>
      <c r="P79" s="127"/>
      <c r="Q79" s="127"/>
      <c r="R79" s="128"/>
      <c r="S79" s="120"/>
      <c r="T79" s="127"/>
      <c r="U79" s="89"/>
      <c r="V79" s="103"/>
      <c r="W79" s="115"/>
      <c r="X79" s="243" t="str">
        <f t="shared" si="29"/>
        <v>Medway</v>
      </c>
      <c r="Y79" s="244" t="e">
        <f t="shared" si="30"/>
        <v>#N/A</v>
      </c>
      <c r="Z79" s="244" t="e">
        <f t="shared" si="31"/>
        <v>#N/A</v>
      </c>
      <c r="AA79" s="146"/>
      <c r="AB79" s="147"/>
      <c r="AC79" s="147"/>
      <c r="AD79" s="149"/>
      <c r="AE79" s="141"/>
      <c r="AF79" s="141"/>
      <c r="AG79" s="141"/>
      <c r="AH79" s="141"/>
      <c r="AJ79" s="121"/>
    </row>
    <row r="80" spans="1:76" s="61" customFormat="1" ht="12.75" customHeight="1">
      <c r="A80" s="88"/>
      <c r="B80" s="47"/>
      <c r="C80" s="47"/>
      <c r="D80" s="47"/>
      <c r="E80" s="47"/>
      <c r="F80" s="47"/>
      <c r="G80" s="47"/>
      <c r="H80" s="47"/>
      <c r="I80" s="68"/>
      <c r="J80" s="68"/>
      <c r="K80" s="127"/>
      <c r="L80" s="127"/>
      <c r="M80" s="127"/>
      <c r="N80" s="127"/>
      <c r="O80" s="127"/>
      <c r="P80" s="127"/>
      <c r="Q80" s="127"/>
      <c r="R80" s="128"/>
      <c r="S80" s="120"/>
      <c r="T80" s="127"/>
      <c r="U80" s="89"/>
      <c r="V80" s="103"/>
      <c r="W80" s="115"/>
      <c r="X80" s="243" t="str">
        <f t="shared" si="29"/>
        <v>Milton Keynes</v>
      </c>
      <c r="Y80" s="244" t="e">
        <f t="shared" si="30"/>
        <v>#N/A</v>
      </c>
      <c r="Z80" s="244" t="e">
        <f t="shared" si="31"/>
        <v>#N/A</v>
      </c>
      <c r="AA80" s="146"/>
      <c r="AB80" s="147"/>
      <c r="AC80" s="147"/>
      <c r="AD80" s="149"/>
      <c r="AE80" s="141"/>
      <c r="AF80" s="141"/>
      <c r="AG80" s="141"/>
      <c r="AH80" s="141"/>
      <c r="AJ80" s="121"/>
    </row>
    <row r="81" spans="1:76" s="61" customFormat="1" ht="12.75" customHeight="1">
      <c r="A81" s="88"/>
      <c r="B81" s="47"/>
      <c r="C81" s="47"/>
      <c r="D81" s="47"/>
      <c r="E81" s="47"/>
      <c r="F81" s="47"/>
      <c r="G81" s="47"/>
      <c r="H81" s="47"/>
      <c r="I81" s="68"/>
      <c r="J81" s="68"/>
      <c r="K81" s="127"/>
      <c r="L81" s="127"/>
      <c r="M81" s="127"/>
      <c r="N81" s="127"/>
      <c r="O81" s="127"/>
      <c r="P81" s="127"/>
      <c r="Q81" s="127"/>
      <c r="R81" s="128"/>
      <c r="S81" s="120"/>
      <c r="T81" s="127"/>
      <c r="U81" s="89"/>
      <c r="V81" s="103"/>
      <c r="W81" s="115"/>
      <c r="X81" s="243" t="str">
        <f t="shared" si="29"/>
        <v>Oxfordshire</v>
      </c>
      <c r="Y81" s="244" t="e">
        <f t="shared" si="30"/>
        <v>#N/A</v>
      </c>
      <c r="Z81" s="244" t="e">
        <f t="shared" si="31"/>
        <v>#N/A</v>
      </c>
      <c r="AA81" s="146"/>
      <c r="AB81" s="147"/>
      <c r="AC81" s="147"/>
      <c r="AD81" s="149"/>
      <c r="AE81" s="141"/>
      <c r="AF81" s="141"/>
      <c r="AG81" s="141"/>
      <c r="AH81" s="141"/>
      <c r="AJ81" s="121"/>
    </row>
    <row r="82" spans="1:76" s="61" customFormat="1" ht="12.75" customHeight="1">
      <c r="A82" s="88"/>
      <c r="B82" s="47"/>
      <c r="C82" s="47"/>
      <c r="D82" s="47"/>
      <c r="E82" s="47"/>
      <c r="F82" s="47"/>
      <c r="G82" s="47"/>
      <c r="H82" s="47"/>
      <c r="I82" s="68"/>
      <c r="J82" s="68"/>
      <c r="K82" s="127"/>
      <c r="L82" s="127"/>
      <c r="M82" s="127"/>
      <c r="N82" s="127"/>
      <c r="O82" s="127"/>
      <c r="P82" s="127"/>
      <c r="Q82" s="127"/>
      <c r="R82" s="128"/>
      <c r="S82" s="120"/>
      <c r="T82" s="127"/>
      <c r="U82" s="89"/>
      <c r="V82" s="103"/>
      <c r="W82" s="115"/>
      <c r="X82" s="243" t="str">
        <f t="shared" si="29"/>
        <v>Portsmouth</v>
      </c>
      <c r="Y82" s="244" t="e">
        <f t="shared" si="30"/>
        <v>#N/A</v>
      </c>
      <c r="Z82" s="244" t="e">
        <f t="shared" si="31"/>
        <v>#N/A</v>
      </c>
      <c r="AA82" s="146"/>
      <c r="AB82" s="147"/>
      <c r="AC82" s="147"/>
      <c r="AD82" s="149"/>
      <c r="AE82" s="141"/>
      <c r="AF82" s="141"/>
      <c r="AG82" s="141"/>
      <c r="AH82" s="141"/>
      <c r="AJ82" s="121"/>
    </row>
    <row r="83" spans="1:76" s="61" customFormat="1" ht="12.75" customHeight="1">
      <c r="A83" s="88"/>
      <c r="B83" s="47"/>
      <c r="C83" s="47"/>
      <c r="D83" s="47"/>
      <c r="E83" s="47"/>
      <c r="F83" s="47"/>
      <c r="G83" s="47"/>
      <c r="H83" s="47"/>
      <c r="I83" s="68"/>
      <c r="J83" s="68"/>
      <c r="K83" s="127"/>
      <c r="L83" s="127"/>
      <c r="M83" s="127"/>
      <c r="N83" s="127"/>
      <c r="O83" s="127"/>
      <c r="P83" s="127"/>
      <c r="Q83" s="127"/>
      <c r="R83" s="128"/>
      <c r="S83" s="120"/>
      <c r="T83" s="127"/>
      <c r="U83" s="89"/>
      <c r="V83" s="103"/>
      <c r="W83" s="115"/>
      <c r="X83" s="243" t="str">
        <f t="shared" si="29"/>
        <v>Reading</v>
      </c>
      <c r="Y83" s="244" t="e">
        <f t="shared" si="30"/>
        <v>#N/A</v>
      </c>
      <c r="Z83" s="244" t="e">
        <f t="shared" si="31"/>
        <v>#N/A</v>
      </c>
      <c r="AA83" s="146"/>
      <c r="AB83" s="147"/>
      <c r="AC83" s="147"/>
      <c r="AD83" s="149"/>
      <c r="AE83" s="141"/>
      <c r="AF83" s="141"/>
      <c r="AG83" s="141"/>
      <c r="AH83" s="141"/>
      <c r="AJ83" s="121"/>
    </row>
    <row r="84" spans="1:76" s="61" customFormat="1" ht="12.75" customHeight="1">
      <c r="A84" s="88"/>
      <c r="B84" s="47"/>
      <c r="C84" s="47"/>
      <c r="D84" s="47"/>
      <c r="E84" s="47"/>
      <c r="F84" s="47"/>
      <c r="G84" s="47"/>
      <c r="H84" s="47"/>
      <c r="I84" s="68"/>
      <c r="J84" s="68"/>
      <c r="K84" s="127"/>
      <c r="L84" s="127"/>
      <c r="M84" s="127"/>
      <c r="N84" s="127"/>
      <c r="O84" s="127"/>
      <c r="P84" s="127"/>
      <c r="Q84" s="127"/>
      <c r="R84" s="128"/>
      <c r="S84" s="120"/>
      <c r="T84" s="127"/>
      <c r="U84" s="89"/>
      <c r="V84" s="103"/>
      <c r="W84" s="115"/>
      <c r="X84" s="243" t="str">
        <f t="shared" si="29"/>
        <v>Slough</v>
      </c>
      <c r="Y84" s="244" t="e">
        <f t="shared" si="30"/>
        <v>#N/A</v>
      </c>
      <c r="Z84" s="244" t="e">
        <f t="shared" si="31"/>
        <v>#N/A</v>
      </c>
      <c r="AA84" s="146"/>
      <c r="AB84" s="147"/>
      <c r="AC84" s="147"/>
      <c r="AD84" s="149"/>
      <c r="AE84" s="141"/>
      <c r="AF84" s="141"/>
      <c r="AG84" s="141"/>
      <c r="AH84" s="141"/>
      <c r="AJ84" s="121"/>
    </row>
    <row r="85" spans="1:76" s="61" customFormat="1" ht="12.75" customHeight="1">
      <c r="A85" s="88"/>
      <c r="B85" s="47"/>
      <c r="C85" s="47"/>
      <c r="D85" s="47"/>
      <c r="E85" s="47"/>
      <c r="F85" s="47"/>
      <c r="G85" s="47"/>
      <c r="H85" s="47"/>
      <c r="I85" s="68"/>
      <c r="J85" s="68"/>
      <c r="K85" s="127"/>
      <c r="L85" s="127"/>
      <c r="M85" s="127"/>
      <c r="N85" s="127"/>
      <c r="O85" s="127"/>
      <c r="P85" s="127"/>
      <c r="Q85" s="127"/>
      <c r="R85" s="128"/>
      <c r="S85" s="120"/>
      <c r="T85" s="127"/>
      <c r="U85" s="89"/>
      <c r="V85" s="103"/>
      <c r="W85" s="115"/>
      <c r="X85" s="243" t="str">
        <f t="shared" ref="X85:X92" si="32">B24</f>
        <v>Southampton</v>
      </c>
      <c r="Y85" s="244" t="e">
        <f t="shared" si="30"/>
        <v>#N/A</v>
      </c>
      <c r="Z85" s="244" t="e">
        <f t="shared" ref="Z85:Z92" si="33">IF(X85=$Y$4,T24,#N/A)</f>
        <v>#N/A</v>
      </c>
      <c r="AA85" s="146"/>
      <c r="AB85" s="147"/>
      <c r="AC85" s="147"/>
      <c r="AD85" s="149"/>
      <c r="AE85" s="141"/>
      <c r="AF85" s="141"/>
      <c r="AG85" s="141"/>
      <c r="AH85" s="141"/>
      <c r="AJ85" s="121"/>
    </row>
    <row r="86" spans="1:76" s="61" customFormat="1" ht="12.75" customHeight="1">
      <c r="A86" s="88"/>
      <c r="B86" s="47"/>
      <c r="C86" s="47"/>
      <c r="D86" s="47"/>
      <c r="E86" s="47"/>
      <c r="F86" s="47"/>
      <c r="G86" s="47"/>
      <c r="H86" s="47"/>
      <c r="I86" s="68"/>
      <c r="J86" s="68"/>
      <c r="K86" s="127"/>
      <c r="L86" s="127"/>
      <c r="M86" s="127"/>
      <c r="N86" s="127"/>
      <c r="O86" s="127"/>
      <c r="P86" s="127"/>
      <c r="Q86" s="127"/>
      <c r="R86" s="128"/>
      <c r="S86" s="120"/>
      <c r="T86" s="127"/>
      <c r="U86" s="89"/>
      <c r="V86" s="103"/>
      <c r="W86" s="115"/>
      <c r="X86" s="243" t="str">
        <f t="shared" si="32"/>
        <v>Surrey</v>
      </c>
      <c r="Y86" s="244" t="e">
        <f t="shared" si="30"/>
        <v>#N/A</v>
      </c>
      <c r="Z86" s="244" t="e">
        <f t="shared" si="33"/>
        <v>#N/A</v>
      </c>
      <c r="AA86" s="146"/>
      <c r="AB86" s="147"/>
      <c r="AC86" s="147"/>
      <c r="AD86" s="149"/>
      <c r="AE86" s="141"/>
      <c r="AF86" s="141"/>
      <c r="AG86" s="141"/>
      <c r="AH86" s="141"/>
      <c r="AJ86" s="121"/>
    </row>
    <row r="87" spans="1:76" s="61" customFormat="1" ht="12.75" customHeight="1">
      <c r="A87" s="88"/>
      <c r="B87" s="47"/>
      <c r="C87" s="47"/>
      <c r="D87" s="47"/>
      <c r="E87" s="47"/>
      <c r="F87" s="47"/>
      <c r="G87" s="47"/>
      <c r="H87" s="47"/>
      <c r="I87" s="68"/>
      <c r="J87" s="68"/>
      <c r="K87" s="127"/>
      <c r="L87" s="127"/>
      <c r="M87" s="127"/>
      <c r="N87" s="127"/>
      <c r="O87" s="127"/>
      <c r="P87" s="127"/>
      <c r="Q87" s="127"/>
      <c r="R87" s="128"/>
      <c r="S87" s="120"/>
      <c r="T87" s="127"/>
      <c r="U87" s="89"/>
      <c r="V87" s="103"/>
      <c r="W87" s="115"/>
      <c r="X87" s="243" t="str">
        <f t="shared" si="32"/>
        <v>West Berkshire</v>
      </c>
      <c r="Y87" s="244" t="e">
        <f t="shared" si="30"/>
        <v>#N/A</v>
      </c>
      <c r="Z87" s="244" t="e">
        <f t="shared" si="33"/>
        <v>#N/A</v>
      </c>
      <c r="AA87" s="146"/>
      <c r="AB87" s="147"/>
      <c r="AC87" s="147"/>
      <c r="AD87" s="149"/>
      <c r="AE87" s="141"/>
      <c r="AF87" s="141"/>
      <c r="AG87" s="141"/>
      <c r="AH87" s="141"/>
      <c r="AJ87" s="121"/>
    </row>
    <row r="88" spans="1:76" s="61" customFormat="1" ht="12.75" customHeight="1">
      <c r="A88" s="88"/>
      <c r="B88" s="47"/>
      <c r="C88" s="47"/>
      <c r="D88" s="47"/>
      <c r="E88" s="47"/>
      <c r="F88" s="47"/>
      <c r="G88" s="47"/>
      <c r="H88" s="47"/>
      <c r="I88" s="68"/>
      <c r="J88" s="68"/>
      <c r="K88" s="127"/>
      <c r="L88" s="127"/>
      <c r="M88" s="127"/>
      <c r="N88" s="127"/>
      <c r="O88" s="127"/>
      <c r="P88" s="127"/>
      <c r="Q88" s="127"/>
      <c r="R88" s="128"/>
      <c r="S88" s="120"/>
      <c r="T88" s="127"/>
      <c r="U88" s="89"/>
      <c r="V88" s="103"/>
      <c r="W88" s="115"/>
      <c r="X88" s="243" t="str">
        <f t="shared" si="32"/>
        <v>West Sussex</v>
      </c>
      <c r="Y88" s="244" t="e">
        <f t="shared" si="30"/>
        <v>#N/A</v>
      </c>
      <c r="Z88" s="244" t="e">
        <f t="shared" si="33"/>
        <v>#N/A</v>
      </c>
      <c r="AA88" s="146"/>
      <c r="AB88" s="147"/>
      <c r="AC88" s="147"/>
      <c r="AD88" s="149"/>
      <c r="AE88" s="141"/>
      <c r="AF88" s="141"/>
      <c r="AG88" s="141"/>
      <c r="AH88" s="141"/>
      <c r="AJ88" s="121"/>
    </row>
    <row r="89" spans="1:76" s="61" customFormat="1" ht="12.75" customHeight="1">
      <c r="A89" s="217"/>
      <c r="B89" s="47"/>
      <c r="C89" s="47"/>
      <c r="D89" s="47"/>
      <c r="E89" s="47"/>
      <c r="F89" s="47"/>
      <c r="G89" s="47"/>
      <c r="H89" s="47"/>
      <c r="I89" s="68"/>
      <c r="J89" s="68"/>
      <c r="K89" s="127"/>
      <c r="L89" s="127"/>
      <c r="M89" s="127"/>
      <c r="N89" s="127"/>
      <c r="O89" s="127"/>
      <c r="P89" s="127"/>
      <c r="Q89" s="127"/>
      <c r="R89" s="128"/>
      <c r="S89" s="120"/>
      <c r="T89" s="127"/>
      <c r="U89" s="89"/>
      <c r="V89" s="103"/>
      <c r="W89" s="115"/>
      <c r="X89" s="243" t="str">
        <f t="shared" si="32"/>
        <v>Windsor &amp; Maidenhead</v>
      </c>
      <c r="Y89" s="244" t="e">
        <f t="shared" si="30"/>
        <v>#N/A</v>
      </c>
      <c r="Z89" s="244" t="e">
        <f t="shared" si="33"/>
        <v>#N/A</v>
      </c>
      <c r="AA89" s="146"/>
      <c r="AB89" s="147"/>
      <c r="AC89" s="147"/>
      <c r="AD89" s="149"/>
      <c r="AF89" s="141"/>
      <c r="AG89" s="141"/>
      <c r="AH89" s="141"/>
      <c r="AJ89" s="121"/>
    </row>
    <row r="90" spans="1:76" s="61" customFormat="1" ht="12.75" customHeight="1">
      <c r="A90" s="217"/>
      <c r="B90" s="47"/>
      <c r="C90" s="47"/>
      <c r="D90" s="47"/>
      <c r="E90" s="47"/>
      <c r="F90" s="47"/>
      <c r="G90" s="47"/>
      <c r="H90" s="47"/>
      <c r="I90" s="68"/>
      <c r="J90" s="68"/>
      <c r="K90" s="127"/>
      <c r="L90" s="127"/>
      <c r="M90" s="127"/>
      <c r="N90" s="127"/>
      <c r="O90" s="127"/>
      <c r="P90" s="127"/>
      <c r="Q90" s="127"/>
      <c r="R90" s="128"/>
      <c r="S90" s="120"/>
      <c r="T90" s="127"/>
      <c r="U90" s="89"/>
      <c r="V90" s="103"/>
      <c r="W90" s="115"/>
      <c r="X90" s="243" t="str">
        <f t="shared" si="32"/>
        <v>Wokingham</v>
      </c>
      <c r="Y90" s="244" t="e">
        <f t="shared" si="30"/>
        <v>#N/A</v>
      </c>
      <c r="Z90" s="244" t="e">
        <f t="shared" si="33"/>
        <v>#N/A</v>
      </c>
      <c r="AA90" s="146"/>
      <c r="AB90" s="147"/>
      <c r="AC90" s="147"/>
      <c r="AD90" s="149"/>
      <c r="AF90" s="141"/>
      <c r="AG90" s="141"/>
      <c r="AH90" s="141"/>
      <c r="AJ90" s="121"/>
    </row>
    <row r="91" spans="1:76" s="61" customFormat="1" ht="12.75" customHeight="1">
      <c r="A91" s="88"/>
      <c r="B91" s="47"/>
      <c r="C91" s="47"/>
      <c r="D91" s="47"/>
      <c r="E91" s="47"/>
      <c r="F91" s="47"/>
      <c r="G91" s="47"/>
      <c r="H91" s="47"/>
      <c r="I91" s="68"/>
      <c r="J91" s="68"/>
      <c r="K91" s="127"/>
      <c r="L91" s="127"/>
      <c r="M91" s="127"/>
      <c r="N91" s="127"/>
      <c r="O91" s="127"/>
      <c r="P91" s="127"/>
      <c r="Q91" s="127"/>
      <c r="R91" s="128"/>
      <c r="S91" s="120"/>
      <c r="T91" s="127"/>
      <c r="U91" s="89"/>
      <c r="V91" s="103"/>
      <c r="W91" s="115"/>
      <c r="X91" s="243" t="str">
        <f t="shared" si="32"/>
        <v>South East</v>
      </c>
      <c r="Y91" s="244" t="e">
        <f t="shared" si="30"/>
        <v>#N/A</v>
      </c>
      <c r="Z91" s="244" t="e">
        <f t="shared" si="33"/>
        <v>#N/A</v>
      </c>
      <c r="AA91" s="146"/>
      <c r="AB91" s="147"/>
      <c r="AC91" s="147"/>
      <c r="AD91" s="149"/>
      <c r="AH91" s="141"/>
      <c r="AJ91" s="121"/>
    </row>
    <row r="92" spans="1:76" s="61" customFormat="1" ht="12.75" customHeight="1">
      <c r="A92" s="88"/>
      <c r="B92" s="47"/>
      <c r="C92" s="47"/>
      <c r="D92" s="47"/>
      <c r="E92" s="47"/>
      <c r="F92" s="47"/>
      <c r="G92" s="47"/>
      <c r="H92" s="47"/>
      <c r="I92" s="68"/>
      <c r="J92" s="68"/>
      <c r="K92" s="127"/>
      <c r="L92" s="127"/>
      <c r="M92" s="127"/>
      <c r="N92" s="127"/>
      <c r="O92" s="127"/>
      <c r="P92" s="127"/>
      <c r="Q92" s="127"/>
      <c r="R92" s="128"/>
      <c r="S92" s="120"/>
      <c r="T92" s="127"/>
      <c r="U92" s="89"/>
      <c r="V92" s="103"/>
      <c r="W92" s="115"/>
      <c r="X92" s="243" t="str">
        <f t="shared" si="32"/>
        <v>England</v>
      </c>
      <c r="Y92" s="244" t="e">
        <f t="shared" si="30"/>
        <v>#N/A</v>
      </c>
      <c r="Z92" s="244" t="e">
        <f t="shared" si="33"/>
        <v>#N/A</v>
      </c>
      <c r="AA92" s="146"/>
      <c r="AB92" s="147"/>
      <c r="AC92" s="147"/>
      <c r="AD92" s="149"/>
      <c r="AH92" s="141"/>
      <c r="AJ92" s="121"/>
    </row>
    <row r="93" spans="1:76" s="61" customFormat="1" ht="12.75" customHeight="1">
      <c r="A93" s="88"/>
      <c r="B93" s="47"/>
      <c r="C93" s="47"/>
      <c r="D93" s="47"/>
      <c r="E93" s="47"/>
      <c r="F93" s="47"/>
      <c r="G93" s="47"/>
      <c r="H93" s="47"/>
      <c r="I93" s="68"/>
      <c r="J93" s="68"/>
      <c r="K93" s="127"/>
      <c r="L93" s="127"/>
      <c r="M93" s="127"/>
      <c r="N93" s="127"/>
      <c r="O93" s="127"/>
      <c r="P93" s="127"/>
      <c r="Q93" s="127"/>
      <c r="R93" s="128"/>
      <c r="S93" s="120"/>
      <c r="T93" s="127"/>
      <c r="U93" s="89"/>
      <c r="V93" s="103"/>
      <c r="W93" s="115"/>
      <c r="AA93" s="146"/>
      <c r="AB93" s="147"/>
      <c r="AC93" s="147"/>
      <c r="AD93" s="149"/>
      <c r="AH93" s="141"/>
      <c r="AJ93" s="121"/>
    </row>
    <row r="94" spans="1:76" s="61" customFormat="1" ht="12.6" customHeight="1">
      <c r="A94" s="88"/>
      <c r="B94" s="47"/>
      <c r="C94" s="47"/>
      <c r="D94" s="47"/>
      <c r="E94" s="47"/>
      <c r="F94" s="47"/>
      <c r="G94" s="47"/>
      <c r="H94" s="47"/>
      <c r="I94" s="68"/>
      <c r="J94" s="68"/>
      <c r="K94" s="127"/>
      <c r="L94" s="127"/>
      <c r="M94" s="127"/>
      <c r="N94" s="127"/>
      <c r="O94" s="127"/>
      <c r="P94" s="127"/>
      <c r="Q94" s="127"/>
      <c r="R94" s="128"/>
      <c r="S94" s="120"/>
      <c r="T94" s="127"/>
      <c r="U94" s="89"/>
      <c r="V94" s="103"/>
      <c r="W94" s="115"/>
      <c r="AA94" s="146"/>
      <c r="AB94" s="147"/>
      <c r="AC94" s="147"/>
      <c r="AD94" s="149"/>
      <c r="AH94" s="141"/>
      <c r="AJ94" s="121"/>
    </row>
    <row r="95" spans="1:76" s="61" customFormat="1" ht="12.75" customHeight="1">
      <c r="A95" s="88"/>
      <c r="B95" s="47"/>
      <c r="C95" s="47"/>
      <c r="D95" s="47"/>
      <c r="E95" s="47"/>
      <c r="F95" s="47"/>
      <c r="G95" s="47"/>
      <c r="H95" s="47"/>
      <c r="I95" s="68"/>
      <c r="J95" s="68"/>
      <c r="K95" s="129"/>
      <c r="L95" s="129"/>
      <c r="M95" s="129"/>
      <c r="N95" s="129"/>
      <c r="O95" s="129"/>
      <c r="P95" s="129"/>
      <c r="Q95" s="129"/>
      <c r="R95" s="130"/>
      <c r="S95" s="120"/>
      <c r="T95" s="131"/>
      <c r="U95" s="89"/>
      <c r="V95" s="103"/>
      <c r="W95" s="115"/>
      <c r="AA95" s="146"/>
      <c r="AB95" s="147"/>
      <c r="AC95" s="147"/>
      <c r="AD95" s="149"/>
      <c r="AH95" s="141"/>
      <c r="AJ95" s="121"/>
    </row>
    <row r="96" spans="1:76" s="61" customFormat="1" ht="12.6" customHeight="1">
      <c r="A96" s="88"/>
      <c r="B96" s="47"/>
      <c r="C96" s="47"/>
      <c r="D96" s="47"/>
      <c r="E96" s="47"/>
      <c r="F96" s="47"/>
      <c r="G96" s="47"/>
      <c r="H96" s="47"/>
      <c r="I96" s="68"/>
      <c r="J96" s="68"/>
      <c r="K96" s="129"/>
      <c r="L96" s="129"/>
      <c r="M96" s="129"/>
      <c r="N96" s="129"/>
      <c r="O96" s="129"/>
      <c r="P96" s="129"/>
      <c r="Q96" s="129"/>
      <c r="R96" s="130"/>
      <c r="S96" s="120"/>
      <c r="T96" s="131"/>
      <c r="U96" s="89"/>
      <c r="V96" s="103"/>
      <c r="W96" s="114"/>
      <c r="X96" s="56"/>
      <c r="Y96" s="56"/>
      <c r="Z96" s="56"/>
      <c r="AA96" s="56"/>
      <c r="AB96" s="56"/>
      <c r="AC96" s="147"/>
      <c r="AD96" s="149"/>
      <c r="AE96" s="52"/>
      <c r="AF96" s="52"/>
      <c r="AG96" s="52"/>
      <c r="AH96" s="56"/>
      <c r="AI96" s="52"/>
      <c r="AJ96" s="122"/>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s="61" customFormat="1" ht="12" customHeight="1">
      <c r="A97" s="217"/>
      <c r="B97" s="47"/>
      <c r="C97" s="47"/>
      <c r="D97" s="47"/>
      <c r="E97" s="47"/>
      <c r="F97" s="47"/>
      <c r="G97" s="47"/>
      <c r="H97" s="47"/>
      <c r="I97" s="68"/>
      <c r="J97" s="68"/>
      <c r="K97" s="129"/>
      <c r="L97" s="129"/>
      <c r="M97" s="129"/>
      <c r="N97" s="129"/>
      <c r="O97" s="129"/>
      <c r="P97" s="129"/>
      <c r="Q97" s="129"/>
      <c r="R97" s="130"/>
      <c r="S97" s="120"/>
      <c r="T97" s="131"/>
      <c r="U97" s="89"/>
      <c r="V97" s="103"/>
      <c r="W97" s="114"/>
      <c r="X97" s="56"/>
      <c r="Y97" s="141"/>
      <c r="Z97" s="56"/>
      <c r="AA97" s="56"/>
      <c r="AB97" s="56"/>
      <c r="AC97" s="56"/>
      <c r="AD97" s="149"/>
      <c r="AE97" s="52"/>
      <c r="AF97" s="52"/>
      <c r="AG97" s="52"/>
      <c r="AH97" s="56"/>
      <c r="AI97" s="52"/>
      <c r="AJ97" s="122"/>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s="56" customFormat="1" ht="36" customHeight="1">
      <c r="A98" s="166"/>
      <c r="B98" s="47"/>
      <c r="C98" s="47"/>
      <c r="D98" s="47"/>
      <c r="E98" s="47"/>
      <c r="F98" s="47"/>
      <c r="G98" s="47"/>
      <c r="H98" s="47"/>
      <c r="I98" s="171"/>
      <c r="J98" s="133"/>
      <c r="K98" s="133"/>
      <c r="L98" s="133"/>
      <c r="M98" s="133"/>
      <c r="N98" s="133"/>
      <c r="O98" s="133"/>
      <c r="P98" s="133"/>
      <c r="Q98" s="133"/>
      <c r="R98" s="101"/>
      <c r="S98" s="133"/>
      <c r="T98" s="133"/>
      <c r="U98" s="86"/>
      <c r="V98" s="102"/>
      <c r="W98" s="114"/>
      <c r="Y98" s="141"/>
      <c r="AD98" s="149"/>
      <c r="AE98" s="52"/>
      <c r="AF98" s="52"/>
      <c r="AG98" s="52"/>
      <c r="AI98" s="52"/>
      <c r="AJ98" s="122"/>
    </row>
    <row r="99" spans="1:76" s="56" customFormat="1" ht="35.450000000000003" customHeight="1">
      <c r="A99" s="166"/>
      <c r="B99" s="47"/>
      <c r="C99" s="47"/>
      <c r="D99" s="47"/>
      <c r="E99" s="47"/>
      <c r="F99" s="47"/>
      <c r="G99" s="47"/>
      <c r="H99" s="47"/>
      <c r="I99" s="171"/>
      <c r="J99" s="133"/>
      <c r="K99" s="133"/>
      <c r="L99" s="133"/>
      <c r="M99" s="133"/>
      <c r="N99" s="133"/>
      <c r="O99" s="133"/>
      <c r="P99" s="133"/>
      <c r="Q99" s="133"/>
      <c r="R99" s="101"/>
      <c r="S99" s="133"/>
      <c r="T99" s="133"/>
      <c r="U99" s="86"/>
      <c r="V99" s="102"/>
      <c r="W99" s="114"/>
      <c r="Y99" s="141"/>
      <c r="AI99" s="52"/>
      <c r="AJ99" s="119"/>
      <c r="AK99" s="52"/>
      <c r="AL99" s="52"/>
      <c r="AM99" s="52"/>
      <c r="AN99" s="52"/>
      <c r="AO99" s="52"/>
      <c r="AP99" s="52"/>
      <c r="AQ99" s="52"/>
    </row>
    <row r="100" spans="1:76" s="56" customFormat="1" ht="45.75" customHeight="1">
      <c r="A100" s="166"/>
      <c r="B100" s="171"/>
      <c r="C100" s="171"/>
      <c r="D100" s="171"/>
      <c r="E100" s="171"/>
      <c r="F100" s="171"/>
      <c r="G100" s="171"/>
      <c r="H100" s="171"/>
      <c r="I100" s="171"/>
      <c r="J100" s="133"/>
      <c r="K100" s="133"/>
      <c r="L100" s="133"/>
      <c r="M100" s="133"/>
      <c r="N100" s="133"/>
      <c r="O100" s="133"/>
      <c r="P100" s="133"/>
      <c r="Q100" s="133"/>
      <c r="R100" s="101"/>
      <c r="S100" s="133"/>
      <c r="T100" s="133"/>
      <c r="U100" s="86"/>
      <c r="V100" s="121"/>
      <c r="W100" s="114"/>
      <c r="X100" s="52"/>
      <c r="Y100" s="52"/>
      <c r="AJ100" s="122"/>
      <c r="AS100" s="52"/>
    </row>
    <row r="101" spans="1:76" s="56" customFormat="1" ht="7.5" customHeight="1">
      <c r="A101" s="87"/>
      <c r="B101" s="12"/>
      <c r="C101" s="12"/>
      <c r="D101" s="11"/>
      <c r="E101" s="11"/>
      <c r="F101" s="11"/>
      <c r="G101" s="11"/>
      <c r="H101" s="11"/>
      <c r="I101" s="11"/>
      <c r="J101" s="1"/>
      <c r="K101" s="13"/>
      <c r="L101" s="13"/>
      <c r="M101" s="13"/>
      <c r="N101" s="13"/>
      <c r="O101" s="13"/>
      <c r="P101" s="13"/>
      <c r="Q101" s="13"/>
      <c r="R101" s="13"/>
      <c r="S101" s="13"/>
      <c r="T101" s="14"/>
      <c r="U101" s="86"/>
      <c r="V101" s="185"/>
      <c r="W101" s="114"/>
      <c r="X101" s="52"/>
      <c r="Y101" s="52"/>
      <c r="AI101" s="52"/>
      <c r="AJ101" s="121"/>
      <c r="AK101" s="61"/>
      <c r="AS101" s="52"/>
    </row>
    <row r="102" spans="1:76" s="56" customFormat="1" ht="15" customHeight="1">
      <c r="A102" s="1565"/>
      <c r="B102" s="1751"/>
      <c r="C102" s="1751"/>
      <c r="D102" s="1751"/>
      <c r="E102" s="1751"/>
      <c r="F102" s="1751"/>
      <c r="G102" s="1751"/>
      <c r="H102" s="1751"/>
      <c r="I102" s="1751"/>
      <c r="J102" s="1751"/>
      <c r="K102" s="1751"/>
      <c r="L102" s="1751"/>
      <c r="M102" s="1751"/>
      <c r="N102" s="1751"/>
      <c r="O102" s="1751"/>
      <c r="P102" s="1751"/>
      <c r="Q102" s="1751"/>
      <c r="R102" s="1751"/>
      <c r="S102" s="1751"/>
      <c r="T102" s="1751"/>
      <c r="U102" s="1752"/>
      <c r="V102" s="185"/>
      <c r="W102" s="114"/>
      <c r="X102" s="52"/>
      <c r="Y102" s="52"/>
      <c r="AI102" s="52"/>
      <c r="AJ102" s="119"/>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row>
    <row r="103" spans="1:76" s="56" customFormat="1" ht="11.25" customHeight="1">
      <c r="A103" s="1739"/>
      <c r="B103" s="1740"/>
      <c r="C103" s="1740"/>
      <c r="D103" s="1740"/>
      <c r="E103" s="1740"/>
      <c r="F103" s="1740"/>
      <c r="G103" s="1740"/>
      <c r="H103" s="1740"/>
      <c r="I103" s="1741"/>
      <c r="J103" s="1740"/>
      <c r="K103" s="1740"/>
      <c r="L103" s="1740"/>
      <c r="M103" s="1740"/>
      <c r="N103" s="1740"/>
      <c r="O103" s="1740"/>
      <c r="P103" s="1742"/>
      <c r="Q103" s="1740"/>
      <c r="R103" s="1740"/>
      <c r="S103" s="1741"/>
      <c r="T103" s="1740"/>
      <c r="U103" s="1743"/>
      <c r="V103" s="185"/>
      <c r="W103" s="114"/>
      <c r="AH103" s="251"/>
      <c r="AJ103" s="119"/>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row>
    <row r="104" spans="1:76" ht="10.5" customHeight="1" thickBot="1">
      <c r="A104" s="81"/>
      <c r="B104" s="82"/>
      <c r="C104" s="82"/>
      <c r="D104" s="82"/>
      <c r="E104" s="82"/>
      <c r="F104" s="82"/>
      <c r="G104" s="82"/>
      <c r="H104" s="82"/>
      <c r="I104" s="82"/>
      <c r="J104" s="83"/>
      <c r="K104" s="82"/>
      <c r="L104" s="82"/>
      <c r="M104" s="82"/>
      <c r="N104" s="82"/>
      <c r="O104" s="82"/>
      <c r="P104" s="82"/>
      <c r="Q104" s="82"/>
      <c r="R104" s="82"/>
      <c r="S104" s="82"/>
      <c r="T104" s="82"/>
      <c r="U104" s="84"/>
      <c r="V104" s="102"/>
      <c r="W104" s="114"/>
      <c r="X104" s="52" t="s">
        <v>133</v>
      </c>
      <c r="Y104" s="52"/>
      <c r="Z104" s="52"/>
      <c r="AA104" s="52"/>
      <c r="AB104" s="52"/>
      <c r="AC104" s="52"/>
      <c r="AE104" s="375" t="s">
        <v>134</v>
      </c>
      <c r="AF104" s="141"/>
      <c r="AH104" s="251"/>
      <c r="AI104" s="56"/>
      <c r="AJ104" s="119"/>
    </row>
    <row r="105" spans="1:76" ht="18.75" customHeight="1">
      <c r="A105" s="87"/>
      <c r="B105" s="1919" t="str">
        <f>"Children Looked After"&amp; Y1 &amp;" (age &lt;16) who had been looked after for 2.5+ yrs (%) [SCB37]"</f>
        <v>Children Looked After at 31st March (age &lt;16) who had been looked after for 2.5+ yrs (%) [SCB37]</v>
      </c>
      <c r="C105" s="1919"/>
      <c r="D105" s="1919"/>
      <c r="E105" s="1919"/>
      <c r="F105" s="1919"/>
      <c r="G105" s="1919"/>
      <c r="H105" s="1919"/>
      <c r="I105" s="1189"/>
      <c r="J105" s="50"/>
      <c r="K105" s="50"/>
      <c r="L105" s="50"/>
      <c r="M105" s="50"/>
      <c r="N105" s="224"/>
      <c r="O105" s="50"/>
      <c r="P105" s="50"/>
      <c r="Q105" s="50"/>
      <c r="R105" s="50"/>
      <c r="S105" s="50"/>
      <c r="T105" s="50"/>
      <c r="U105" s="86"/>
      <c r="V105" s="102"/>
      <c r="W105" s="114"/>
      <c r="X105" s="251"/>
      <c r="Y105" s="461" t="str">
        <f>IF(ReportData!$C$3="Annual","",ReportData!$D$28)</f>
        <v/>
      </c>
      <c r="Z105" s="462" t="str">
        <f>IF(ReportData!$C$3="Annual","",ReportData!$E$28)</f>
        <v/>
      </c>
      <c r="AA105" s="462" t="str">
        <f>IF(ReportData!$C$3="Annual","",ReportData!$F$28)</f>
        <v/>
      </c>
      <c r="AB105" s="462" t="str">
        <f>IF(ReportData!$C$3="Annual","",ReportData!$G$28)</f>
        <v/>
      </c>
      <c r="AC105" s="463" t="str">
        <f>IF(ReportData!$C$3="Annual","",ReportData!$H$28)</f>
        <v/>
      </c>
      <c r="AD105" s="251"/>
      <c r="AE105" s="461" t="str">
        <f>IF(ReportData!$C$3="Annual","",ReportData!$D$28)</f>
        <v/>
      </c>
      <c r="AF105" s="462" t="str">
        <f>IF(ReportData!$C$3="Annual","",ReportData!$E$28)</f>
        <v/>
      </c>
      <c r="AG105" s="462" t="str">
        <f>IF(ReportData!$C$3="Annual","",ReportData!$F$28)</f>
        <v/>
      </c>
      <c r="AH105" s="462" t="str">
        <f>IF(ReportData!$C$3="Annual","",ReportData!$G$28)</f>
        <v/>
      </c>
      <c r="AI105" s="463" t="str">
        <f>IF(ReportData!$C$3="Annual","",ReportData!$H$28)</f>
        <v/>
      </c>
      <c r="AJ105" s="119"/>
    </row>
    <row r="106" spans="1:76" ht="18.75" customHeight="1" thickBot="1">
      <c r="A106" s="87"/>
      <c r="B106" s="1919"/>
      <c r="C106" s="1919"/>
      <c r="D106" s="1919"/>
      <c r="E106" s="1919"/>
      <c r="F106" s="1919"/>
      <c r="G106" s="1919"/>
      <c r="H106" s="1919"/>
      <c r="I106" s="1189"/>
      <c r="J106" s="50"/>
      <c r="K106" s="50"/>
      <c r="L106" s="50"/>
      <c r="M106" s="50"/>
      <c r="N106" s="224"/>
      <c r="O106" s="50"/>
      <c r="P106" s="50"/>
      <c r="Q106" s="50"/>
      <c r="R106" s="5"/>
      <c r="S106" s="50"/>
      <c r="T106" s="50"/>
      <c r="U106" s="86"/>
      <c r="V106" s="102"/>
      <c r="W106" s="115"/>
      <c r="X106" s="352"/>
      <c r="Y106" s="464" t="str">
        <f>ReportData!$D$27</f>
        <v>2019/20</v>
      </c>
      <c r="Z106" s="465" t="str">
        <f>ReportData!$E$27</f>
        <v>2020/21</v>
      </c>
      <c r="AA106" s="465" t="str">
        <f>ReportData!$F$27</f>
        <v>2021/22</v>
      </c>
      <c r="AB106" s="465" t="str">
        <f>ReportData!$G$27</f>
        <v>2022/23</v>
      </c>
      <c r="AC106" s="466" t="str">
        <f>ReportData!$H$27</f>
        <v>2023/24</v>
      </c>
      <c r="AD106" s="252"/>
      <c r="AE106" s="464" t="str">
        <f>ReportData!$D$27</f>
        <v>2019/20</v>
      </c>
      <c r="AF106" s="465" t="str">
        <f>ReportData!$E$27</f>
        <v>2020/21</v>
      </c>
      <c r="AG106" s="465" t="str">
        <f>ReportData!$F$27</f>
        <v>2021/22</v>
      </c>
      <c r="AH106" s="465" t="str">
        <f>ReportData!$G$27</f>
        <v>2022/23</v>
      </c>
      <c r="AI106" s="466" t="str">
        <f>ReportData!$H$27</f>
        <v>2023/24</v>
      </c>
      <c r="AJ106" s="12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row>
    <row r="107" spans="1:76" ht="18.75" customHeight="1">
      <c r="A107" s="427"/>
      <c r="B107" s="1749" t="s">
        <v>177</v>
      </c>
      <c r="C107" s="1175"/>
      <c r="D107" s="1088" t="str">
        <f>ReportData!$D$27</f>
        <v>2019/20</v>
      </c>
      <c r="E107" s="1088" t="str">
        <f>ReportData!$E$27</f>
        <v>2020/21</v>
      </c>
      <c r="F107" s="1088" t="str">
        <f>ReportData!$F$27</f>
        <v>2021/22</v>
      </c>
      <c r="G107" s="1088" t="str">
        <f>ReportData!$G$27</f>
        <v>2022/23</v>
      </c>
      <c r="H107" s="1089" t="str">
        <f>ReportData!$H$27</f>
        <v>2023/24</v>
      </c>
      <c r="I107" s="230"/>
      <c r="J107" s="50"/>
      <c r="K107" s="50"/>
      <c r="L107" s="50"/>
      <c r="M107" s="50"/>
      <c r="N107" s="224"/>
      <c r="O107" s="50"/>
      <c r="P107" s="50"/>
      <c r="Q107" s="50"/>
      <c r="R107" s="5"/>
      <c r="S107" s="50"/>
      <c r="T107" s="50"/>
      <c r="U107" s="86"/>
      <c r="V107" s="102"/>
      <c r="W107" s="115"/>
      <c r="X107" s="352" t="str">
        <f t="shared" ref="X107:X127" si="34">B109</f>
        <v>Bracknell Forest</v>
      </c>
      <c r="Y107" s="355">
        <f>IF(Year1_Bracknell_Forest Year1_LAC_under16="","",Year1_Bracknell_Forest Year1_LAC_under16)</f>
        <v>101</v>
      </c>
      <c r="Z107" s="248">
        <f>IF(Year2_Bracknell_Forest Year2_LAC_under16="","",Year2_Bracknell_Forest Year2_LAC_under16)</f>
        <v>103</v>
      </c>
      <c r="AA107" s="248">
        <f>IF(Year3_Bracknell_Forest Year3_LAC_under16="","",Year3_Bracknell_Forest Year3_LAC_under16)</f>
        <v>97</v>
      </c>
      <c r="AB107" s="248">
        <f>IF(Year4_Bracknell_Forest Year4_LAC_under16="","",Year4_Bracknell_Forest Year4_LAC_under16)</f>
        <v>98</v>
      </c>
      <c r="AC107" s="352">
        <f>IF(Year5_Bracknell_Forest Year5_LAC_under16="","",Year5_Bracknell_Forest Year5_LAC_under16)</f>
        <v>76</v>
      </c>
      <c r="AD107" s="252" t="str">
        <f>X107</f>
        <v>Bracknell Forest</v>
      </c>
      <c r="AE107" s="307">
        <f>IF(Year1_Bracknell_Forest Year1_LAC_under16_2.5years="","",Year1_Bracknell_Forest Year1_LAC_under16_2.5years)</f>
        <v>41</v>
      </c>
      <c r="AF107" s="248">
        <f>IF(Year2_Bracknell_Forest Year2_LAC_under16_2.5years="","",Year2_Bracknell_Forest Year2_LAC_under16_2.5years)</f>
        <v>53</v>
      </c>
      <c r="AG107" s="248">
        <f>IF(Year3_Bracknell_Forest Year3_LAC_under16_2.5years="","",Year3_Bracknell_Forest Year3_LAC_under16_2.5years)</f>
        <v>53</v>
      </c>
      <c r="AH107" s="248">
        <f>IF(Year4_Bracknell_Forest Year4_LAC_under16_2.5years="","",Year4_Bracknell_Forest Year4_LAC_under16_2.5years)</f>
        <v>40</v>
      </c>
      <c r="AI107" s="248">
        <f>IF(Year5_Bracknell_Forest Year5_LAC_under16_2.5years="","",Year5_Bracknell_Forest Year5_LAC_under16_2.5years)</f>
        <v>36</v>
      </c>
      <c r="AJ107" s="12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row>
    <row r="108" spans="1:76" s="61" customFormat="1" ht="16.5" customHeight="1">
      <c r="A108" s="1148"/>
      <c r="B108" s="1750"/>
      <c r="C108" s="896"/>
      <c r="D108" s="897" t="e">
        <f>ReportData!$D$28</f>
        <v>#N/A</v>
      </c>
      <c r="E108" s="897" t="e">
        <f>ReportData!$E$28</f>
        <v>#N/A</v>
      </c>
      <c r="F108" s="897" t="e">
        <f>ReportData!$F$28</f>
        <v>#N/A</v>
      </c>
      <c r="G108" s="897" t="e">
        <f>ReportData!$G$28</f>
        <v>#N/A</v>
      </c>
      <c r="H108" s="920" t="e">
        <f>ReportData!$H$28</f>
        <v>#N/A</v>
      </c>
      <c r="I108" s="68"/>
      <c r="J108" s="68"/>
      <c r="K108" s="43"/>
      <c r="L108" s="43"/>
      <c r="M108" s="43"/>
      <c r="N108" s="43"/>
      <c r="O108" s="43"/>
      <c r="P108" s="43"/>
      <c r="Q108" s="225"/>
      <c r="R108" s="225"/>
      <c r="S108" s="120"/>
      <c r="T108" s="226"/>
      <c r="U108" s="89"/>
      <c r="V108" s="103"/>
      <c r="W108" s="115"/>
      <c r="X108" s="352" t="str">
        <f t="shared" si="34"/>
        <v>Brighton &amp; Hove</v>
      </c>
      <c r="Y108" s="355">
        <f>IF(Year1_Brighton_and_Hove Year1_LAC_under16="","",Year1_Brighton_and_Hove Year1_LAC_under16)</f>
        <v>266</v>
      </c>
      <c r="Z108" s="248">
        <f>IF(Year2_Brighton_and_Hove Year2_LAC_under16="","",Year2_Brighton_and_Hove Year2_LAC_under16)</f>
        <v>261</v>
      </c>
      <c r="AA108" s="248">
        <f>IF(Year3_Brighton_and_Hove Year3_LAC_under16="","",Year3_Brighton_and_Hove Year3_LAC_under16)</f>
        <v>279</v>
      </c>
      <c r="AB108" s="248">
        <f>IF(Year4_Brighton_and_Hove Year4_LAC_under16="","",Year4_Brighton_and_Hove Year4_LAC_under16)</f>
        <v>230</v>
      </c>
      <c r="AC108" s="352">
        <f>IF(Year5_Brighton_and_Hove Year5_LAC_under16="","",Year5_Brighton_and_Hove Year5_LAC_under16)</f>
        <v>237</v>
      </c>
      <c r="AD108" s="252" t="str">
        <f t="shared" ref="AD108:AD119" si="35">X108</f>
        <v>Brighton &amp; Hove</v>
      </c>
      <c r="AE108" s="307">
        <f>IF(Year1_Brighton_and_Hove Year1_LAC_under16_2.5years="","",Year1_Brighton_and_Hove Year1_LAC_under16_2.5years)</f>
        <v>119</v>
      </c>
      <c r="AF108" s="248">
        <f>IF(Year2_Brighton_and_Hove Year2_LAC_under16_2.5years="","",Year2_Brighton_and_Hove Year2_LAC_under16_2.5years)</f>
        <v>113</v>
      </c>
      <c r="AG108" s="248">
        <f>IF(Year3_Brighton_and_Hove Year3_LAC_under16_2.5years="","",Year3_Brighton_and_Hove Year3_LAC_under16_2.5years)</f>
        <v>120</v>
      </c>
      <c r="AH108" s="248">
        <f>IF(Year4_Brighton_and_Hove Year4_LAC_under16_2.5years="","",Year4_Brighton_and_Hove Year4_LAC_under16_2.5years)</f>
        <v>119</v>
      </c>
      <c r="AI108" s="248">
        <f>IF(Year5_Brighton_and_Hove Year5_LAC_under16_2.5years="","",Year5_Brighton_and_Hove Year5_LAC_under16_2.5years)</f>
        <v>118</v>
      </c>
      <c r="AJ108" s="121"/>
    </row>
    <row r="109" spans="1:76" s="61" customFormat="1" ht="13.5" customHeight="1">
      <c r="A109" s="1103">
        <f>VLOOKUP(B109,ReportData!$AQ$4:$AR$25,2,FALSE)</f>
        <v>0</v>
      </c>
      <c r="B109" s="885" t="str">
        <f t="shared" ref="B109:B121" si="36">B11</f>
        <v>Bracknell Forest</v>
      </c>
      <c r="C109" s="896"/>
      <c r="D109" s="922">
        <f>IF(AND(ISNUMBER(AE107),ISNUMBER(Y107)),AE107/Y107,NA())</f>
        <v>0.40594059405940597</v>
      </c>
      <c r="E109" s="922">
        <f>IF(AND(ISNUMBER(AF107),ISNUMBER(Z107)),AF107/Z107,NA())</f>
        <v>0.5145631067961165</v>
      </c>
      <c r="F109" s="922">
        <f>IF(AND(ISNUMBER(AG107),ISNUMBER(AA107)),AG107/AA107,NA())</f>
        <v>0.54639175257731953</v>
      </c>
      <c r="G109" s="922">
        <f>IF(AND(ISNUMBER(AH107),ISNUMBER(AB107)),AH107/AB107,NA())</f>
        <v>0.40816326530612246</v>
      </c>
      <c r="H109" s="923">
        <f>IF(AND(ISNUMBER(AI107),ISNUMBER(AC107)),AI107/AC107,NA())</f>
        <v>0.47368421052631576</v>
      </c>
      <c r="I109" s="68"/>
      <c r="J109" s="68"/>
      <c r="K109" s="127"/>
      <c r="L109" s="127"/>
      <c r="M109" s="127"/>
      <c r="N109" s="127"/>
      <c r="O109" s="127"/>
      <c r="P109" s="127"/>
      <c r="Q109" s="127"/>
      <c r="R109" s="128"/>
      <c r="S109" s="120"/>
      <c r="T109" s="127"/>
      <c r="U109" s="89"/>
      <c r="V109" s="103"/>
      <c r="W109" s="115"/>
      <c r="X109" s="352" t="str">
        <f t="shared" si="34"/>
        <v>Buckinghamshire</v>
      </c>
      <c r="Y109" s="355">
        <f>IF(Year1_Buckinghamshire Year1_LAC_under16="","",Year1_Buckinghamshire Year1_LAC_under16)</f>
        <v>354</v>
      </c>
      <c r="Z109" s="248">
        <f>IF(Year2_Buckinghamshire Year2_LAC_under16="","",Year2_Buckinghamshire Year2_LAC_under16)</f>
        <v>376</v>
      </c>
      <c r="AA109" s="248">
        <f>IF(Year3_Buckinghamshire Year3_LAC_under16="","",Year3_Buckinghamshire Year3_LAC_under16)</f>
        <v>362</v>
      </c>
      <c r="AB109" s="248">
        <f>IF(Year4_Buckinghamshire Year4_LAC_under16="","",Year4_Buckinghamshire Year4_LAC_under16)</f>
        <v>322</v>
      </c>
      <c r="AC109" s="352">
        <f>IF(Year5_Buckinghamshire Year5_LAC_under16="","",Year5_Buckinghamshire Year5_LAC_under16)</f>
        <v>353</v>
      </c>
      <c r="AD109" s="252" t="str">
        <f t="shared" si="35"/>
        <v>Buckinghamshire</v>
      </c>
      <c r="AE109" s="307">
        <f>IF(Year1_Buckinghamshire Year1_LAC_under16_2.5years="","",Year1_Buckinghamshire Year1_LAC_under16_2.5years)</f>
        <v>168</v>
      </c>
      <c r="AF109" s="248">
        <f>IF(Year2_Buckinghamshire Year2_LAC_under16_2.5years="","",Year2_Buckinghamshire Year2_LAC_under16_2.5years)</f>
        <v>159</v>
      </c>
      <c r="AG109" s="248">
        <f>IF(Year3_Buckinghamshire Year3_LAC_under16_2.5years="","",Year3_Buckinghamshire Year3_LAC_under16_2.5years)</f>
        <v>149</v>
      </c>
      <c r="AH109" s="248">
        <f>IF(Year4_Buckinghamshire Year4_LAC_under16_2.5years="","",Year4_Buckinghamshire Year4_LAC_under16_2.5years)</f>
        <v>158</v>
      </c>
      <c r="AI109" s="248">
        <f>IF(Year5_Buckinghamshire Year5_LAC_under16_2.5years="","",Year5_Buckinghamshire Year5_LAC_under16_2.5years)</f>
        <v>144</v>
      </c>
      <c r="AJ109" s="121"/>
    </row>
    <row r="110" spans="1:76" s="61" customFormat="1" ht="13.5" customHeight="1">
      <c r="A110" s="1103">
        <f>VLOOKUP(B110,ReportData!$AQ$4:$AR$25,2,FALSE)</f>
        <v>0</v>
      </c>
      <c r="B110" s="885" t="str">
        <f t="shared" si="36"/>
        <v>Brighton &amp; Hove</v>
      </c>
      <c r="C110" s="896"/>
      <c r="D110" s="922">
        <f t="shared" ref="D110:D121" si="37">IF(AND(ISNUMBER(AE108),ISNUMBER(Y108)),AE108/Y108,NA())</f>
        <v>0.44736842105263158</v>
      </c>
      <c r="E110" s="922">
        <f t="shared" ref="E110:E121" si="38">IF(AND(ISNUMBER(AF108),ISNUMBER(Z108)),AF108/Z108,NA())</f>
        <v>0.43295019157088122</v>
      </c>
      <c r="F110" s="922">
        <f t="shared" ref="F110:F121" si="39">IF(AND(ISNUMBER(AG108),ISNUMBER(AA108)),AG108/AA108,NA())</f>
        <v>0.43010752688172044</v>
      </c>
      <c r="G110" s="922">
        <f t="shared" ref="G110:G121" si="40">IF(AND(ISNUMBER(AH108),ISNUMBER(AB108)),AH108/AB108,NA())</f>
        <v>0.5173913043478261</v>
      </c>
      <c r="H110" s="923">
        <f t="shared" ref="H110:H121" si="41">IF(AND(ISNUMBER(AI108),ISNUMBER(AC108)),AI108/AC108,NA())</f>
        <v>0.49789029535864981</v>
      </c>
      <c r="I110" s="68"/>
      <c r="J110" s="68"/>
      <c r="K110" s="127"/>
      <c r="L110" s="127"/>
      <c r="M110" s="127"/>
      <c r="N110" s="127"/>
      <c r="O110" s="127"/>
      <c r="P110" s="127"/>
      <c r="Q110" s="127"/>
      <c r="R110" s="128"/>
      <c r="S110" s="120"/>
      <c r="T110" s="127"/>
      <c r="U110" s="89"/>
      <c r="V110" s="103"/>
      <c r="W110" s="115"/>
      <c r="X110" s="352" t="str">
        <f t="shared" si="34"/>
        <v>East Sussex</v>
      </c>
      <c r="Y110" s="355">
        <f>IF(Year1_East_Sussex Year1_LAC_under16="","",Year1_East_Sussex Year1_LAC_under16)</f>
        <v>462</v>
      </c>
      <c r="Z110" s="248">
        <f>IF(Year2_East_Sussex Year2_LAC_under16="","",Year2_East_Sussex Year2_LAC_under16)</f>
        <v>455</v>
      </c>
      <c r="AA110" s="248">
        <f>IF(Year3_East_Sussex Year3_LAC_under16="","",Year3_East_Sussex Year3_LAC_under16)</f>
        <v>478</v>
      </c>
      <c r="AB110" s="248">
        <f>IF(Year4_East_Sussex Year4_LAC_under16="","",Year4_East_Sussex Year4_LAC_under16)</f>
        <v>485</v>
      </c>
      <c r="AC110" s="352">
        <f>IF(Year5_East_Sussex Year5_LAC_under16="","",Year5_East_Sussex Year5_LAC_under16)</f>
        <v>478</v>
      </c>
      <c r="AD110" s="252" t="str">
        <f t="shared" si="35"/>
        <v>East Sussex</v>
      </c>
      <c r="AE110" s="307">
        <f>IF(Year1_East_Sussex Year1_LAC_under16_2.5years="","",Year1_East_Sussex Year1_LAC_under16_2.5years)</f>
        <v>237</v>
      </c>
      <c r="AF110" s="248">
        <f>IF(Year2_East_Sussex Year2_LAC_under16_2.5years="","",Year2_East_Sussex Year2_LAC_under16_2.5years)</f>
        <v>251</v>
      </c>
      <c r="AG110" s="248">
        <f>IF(Year3_East_Sussex Year3_LAC_under16_2.5years="","",Year3_East_Sussex Year3_LAC_under16_2.5years)</f>
        <v>241</v>
      </c>
      <c r="AH110" s="248">
        <f>IF(Year4_East_Sussex Year4_LAC_under16_2.5years="","",Year4_East_Sussex Year4_LAC_under16_2.5years)</f>
        <v>241</v>
      </c>
      <c r="AI110" s="248">
        <f>IF(Year5_East_Sussex Year5_LAC_under16_2.5years="","",Year5_East_Sussex Year5_LAC_under16_2.5years)</f>
        <v>242</v>
      </c>
      <c r="AJ110" s="121"/>
    </row>
    <row r="111" spans="1:76" s="61" customFormat="1" ht="13.5" customHeight="1">
      <c r="A111" s="1103">
        <f>VLOOKUP(B111,ReportData!$AQ$4:$AR$25,2,FALSE)</f>
        <v>0</v>
      </c>
      <c r="B111" s="885" t="str">
        <f t="shared" si="36"/>
        <v>Buckinghamshire</v>
      </c>
      <c r="C111" s="896"/>
      <c r="D111" s="922">
        <f t="shared" si="37"/>
        <v>0.47457627118644069</v>
      </c>
      <c r="E111" s="922">
        <f t="shared" si="38"/>
        <v>0.4228723404255319</v>
      </c>
      <c r="F111" s="922">
        <f t="shared" si="39"/>
        <v>0.41160220994475138</v>
      </c>
      <c r="G111" s="922">
        <f t="shared" si="40"/>
        <v>0.49068322981366458</v>
      </c>
      <c r="H111" s="923">
        <f t="shared" si="41"/>
        <v>0.40793201133144474</v>
      </c>
      <c r="I111" s="68"/>
      <c r="J111" s="68"/>
      <c r="K111" s="127"/>
      <c r="L111" s="127"/>
      <c r="M111" s="127"/>
      <c r="N111" s="127"/>
      <c r="O111" s="127"/>
      <c r="P111" s="127"/>
      <c r="Q111" s="127"/>
      <c r="R111" s="128"/>
      <c r="S111" s="120"/>
      <c r="T111" s="127"/>
      <c r="U111" s="89"/>
      <c r="V111" s="103"/>
      <c r="W111" s="115"/>
      <c r="X111" s="352" t="str">
        <f t="shared" si="34"/>
        <v>Hampshire</v>
      </c>
      <c r="Y111" s="355">
        <f>IF(Year1_Hampshire Year1_LAC_under16="","",Year1_Hampshire Year1_LAC_under16)</f>
        <v>1239</v>
      </c>
      <c r="Z111" s="248">
        <f>IF(Year2_Hampshire Year2_LAC_under16="","",Year2_Hampshire Year2_LAC_under16)</f>
        <v>1283</v>
      </c>
      <c r="AA111" s="248">
        <f>IF(Year3_Hampshire Year3_LAC_under16="","",Year3_Hampshire Year3_LAC_under16)</f>
        <v>1333</v>
      </c>
      <c r="AB111" s="248">
        <f>IF(Year4_Hampshire Year4_LAC_under16="","",Year4_Hampshire Year4_LAC_under16)</f>
        <v>1347</v>
      </c>
      <c r="AC111" s="352">
        <f>IF(Year5_Hampshire Year5_LAC_under16="","",Year5_Hampshire Year5_LAC_under16)</f>
        <v>1329</v>
      </c>
      <c r="AD111" s="252" t="str">
        <f t="shared" si="35"/>
        <v>Hampshire</v>
      </c>
      <c r="AE111" s="307">
        <f>IF(Year1_Hampshire Year1_LAC_under16_2.5years="","",Year1_Hampshire Year1_LAC_under16_2.5years)</f>
        <v>593</v>
      </c>
      <c r="AF111" s="248">
        <f>IF(Year2_Hampshire Year2_LAC_under16_2.5years="","",Year2_Hampshire Year2_LAC_under16_2.5years)</f>
        <v>620</v>
      </c>
      <c r="AG111" s="248">
        <f>IF(Year3_Hampshire Year3_LAC_under16_2.5years="","",Year3_Hampshire Year3_LAC_under16_2.5years)</f>
        <v>648</v>
      </c>
      <c r="AH111" s="248">
        <f>IF(Year4_Hampshire Year4_LAC_under16_2.5years="","",Year4_Hampshire Year4_LAC_under16_2.5years)</f>
        <v>636</v>
      </c>
      <c r="AI111" s="248">
        <f>IF(Year5_Hampshire Year5_LAC_under16_2.5years="","",Year5_Hampshire Year5_LAC_under16_2.5years)</f>
        <v>666</v>
      </c>
      <c r="AJ111" s="121"/>
    </row>
    <row r="112" spans="1:76" s="61" customFormat="1" ht="13.5" customHeight="1">
      <c r="A112" s="1103">
        <f>VLOOKUP(B112,ReportData!$AQ$4:$AR$25,2,FALSE)</f>
        <v>0</v>
      </c>
      <c r="B112" s="885" t="str">
        <f t="shared" si="36"/>
        <v>East Sussex</v>
      </c>
      <c r="C112" s="896"/>
      <c r="D112" s="922">
        <f t="shared" si="37"/>
        <v>0.51298701298701299</v>
      </c>
      <c r="E112" s="922">
        <f t="shared" si="38"/>
        <v>0.55164835164835169</v>
      </c>
      <c r="F112" s="922">
        <f t="shared" si="39"/>
        <v>0.50418410041841</v>
      </c>
      <c r="G112" s="922">
        <f t="shared" si="40"/>
        <v>0.49690721649484537</v>
      </c>
      <c r="H112" s="923">
        <f t="shared" si="41"/>
        <v>0.50627615062761511</v>
      </c>
      <c r="I112" s="68"/>
      <c r="J112" s="68"/>
      <c r="K112" s="127"/>
      <c r="L112" s="127"/>
      <c r="M112" s="127"/>
      <c r="N112" s="127"/>
      <c r="O112" s="127"/>
      <c r="P112" s="127"/>
      <c r="Q112" s="127"/>
      <c r="R112" s="128"/>
      <c r="S112" s="120"/>
      <c r="T112" s="127"/>
      <c r="U112" s="89"/>
      <c r="V112" s="103"/>
      <c r="W112" s="115"/>
      <c r="X112" s="352" t="str">
        <f t="shared" si="34"/>
        <v>Isle of Wight</v>
      </c>
      <c r="Y112" s="355">
        <f>IF(Year1_Isle_of_Wight Year1_LAC_under16="","",Year1_Isle_of_Wight Year1_LAC_under16)</f>
        <v>217</v>
      </c>
      <c r="Z112" s="248">
        <f>IF(Year2_Isle_of_Wight Year2_LAC_under16="","",Year2_Isle_of_Wight Year2_LAC_under16)</f>
        <v>220</v>
      </c>
      <c r="AA112" s="248">
        <f>IF(Year3_Isle_of_Wight Year3_LAC_under16="","",Year3_Isle_of_Wight Year3_LAC_under16)</f>
        <v>219</v>
      </c>
      <c r="AB112" s="248">
        <f>IF(Year4_Isle_of_Wight Year4_LAC_under16="","",Year4_Isle_of_Wight Year4_LAC_under16)</f>
        <v>217</v>
      </c>
      <c r="AC112" s="352">
        <f>IF(Year5_Isle_of_Wight Year5_LAC_under16="","",Year5_Isle_of_Wight Year5_LAC_under16)</f>
        <v>209</v>
      </c>
      <c r="AD112" s="252" t="str">
        <f t="shared" si="35"/>
        <v>Isle of Wight</v>
      </c>
      <c r="AE112" s="307">
        <f>IF(Year1_Isle_of_Wight Year1_LAC_under16_2.5years="","",Year1_Isle_of_Wight Year1_LAC_under16_2.5years)</f>
        <v>103</v>
      </c>
      <c r="AF112" s="248">
        <f>IF(Year2_Isle_of_Wight Year2_LAC_under16_2.5years="","",Year2_Isle_of_Wight Year2_LAC_under16_2.5years)</f>
        <v>121</v>
      </c>
      <c r="AG112" s="248">
        <f>IF(Year3_Isle_of_Wight Year3_LAC_under16_2.5years="","",Year3_Isle_of_Wight Year3_LAC_under16_2.5years)</f>
        <v>122</v>
      </c>
      <c r="AH112" s="248">
        <f>IF(Year4_Isle_of_Wight Year4_LAC_under16_2.5years="","",Year4_Isle_of_Wight Year4_LAC_under16_2.5years)</f>
        <v>110</v>
      </c>
      <c r="AI112" s="248">
        <f>IF(Year5_Isle_of_Wight Year5_LAC_under16_2.5years="","",Year5_Isle_of_Wight Year5_LAC_under16_2.5years)</f>
        <v>110</v>
      </c>
      <c r="AJ112" s="121"/>
      <c r="AR112" s="61" t="s">
        <v>95</v>
      </c>
    </row>
    <row r="113" spans="1:36" s="61" customFormat="1" ht="13.5" customHeight="1">
      <c r="A113" s="1103">
        <f>VLOOKUP(B113,ReportData!$AQ$4:$AR$25,2,FALSE)</f>
        <v>0</v>
      </c>
      <c r="B113" s="885" t="str">
        <f t="shared" si="36"/>
        <v>Hampshire</v>
      </c>
      <c r="C113" s="896"/>
      <c r="D113" s="922">
        <f t="shared" si="37"/>
        <v>0.47861178369652946</v>
      </c>
      <c r="E113" s="922">
        <f t="shared" si="38"/>
        <v>0.48324240062353857</v>
      </c>
      <c r="F113" s="922">
        <f t="shared" si="39"/>
        <v>0.48612153038259565</v>
      </c>
      <c r="G113" s="922">
        <f t="shared" si="40"/>
        <v>0.47216035634743875</v>
      </c>
      <c r="H113" s="923">
        <f t="shared" si="41"/>
        <v>0.50112866817155755</v>
      </c>
      <c r="I113" s="68"/>
      <c r="J113" s="68"/>
      <c r="K113" s="127"/>
      <c r="L113" s="127"/>
      <c r="M113" s="127"/>
      <c r="N113" s="127"/>
      <c r="O113" s="127"/>
      <c r="P113" s="127"/>
      <c r="Q113" s="127"/>
      <c r="R113" s="128"/>
      <c r="S113" s="120"/>
      <c r="T113" s="127"/>
      <c r="U113" s="89"/>
      <c r="V113" s="103"/>
      <c r="W113" s="115"/>
      <c r="X113" s="352" t="str">
        <f t="shared" si="34"/>
        <v>Kent</v>
      </c>
      <c r="Y113" s="355">
        <f>IF(Year1_Kent Year1_LAC_under16="","",Year1_Kent Year1_LAC_under16)</f>
        <v>1091</v>
      </c>
      <c r="Z113" s="248">
        <f>IF(Year2_Kent Year2_LAC_under16="","",Year2_Kent Year2_LAC_under16)</f>
        <v>1062</v>
      </c>
      <c r="AA113" s="248">
        <f>IF(Year3_Kent Year3_LAC_under16="","",Year3_Kent Year3_LAC_under16)</f>
        <v>1145</v>
      </c>
      <c r="AB113" s="248">
        <f>IF(Year4_Kent Year4_LAC_under16="","",Year4_Kent Year4_LAC_under16)</f>
        <v>1178</v>
      </c>
      <c r="AC113" s="352">
        <f>IF(Year5_Kent Year5_LAC_under16="","",Year5_Kent Year5_LAC_under16)</f>
        <v>1134</v>
      </c>
      <c r="AD113" s="252" t="str">
        <f t="shared" si="35"/>
        <v>Kent</v>
      </c>
      <c r="AE113" s="307">
        <f>IF(Year1_Kent Year1_LAC_under16_2.5years="","",Year1_Kent Year1_LAC_under16_2.5years)</f>
        <v>528</v>
      </c>
      <c r="AF113" s="248">
        <f>IF(Year2_Kent Year2_LAC_under16_2.5years="","",Year2_Kent Year2_LAC_under16_2.5years)</f>
        <v>493</v>
      </c>
      <c r="AG113" s="248">
        <f>IF(Year3_Kent Year3_LAC_under16_2.5years="","",Year3_Kent Year3_LAC_under16_2.5years)</f>
        <v>485</v>
      </c>
      <c r="AH113" s="248">
        <f>IF(Year4_Kent Year4_LAC_under16_2.5years="","",Year4_Kent Year4_LAC_under16_2.5years)</f>
        <v>458</v>
      </c>
      <c r="AI113" s="248">
        <f>IF(Year5_Kent Year5_LAC_under16_2.5years="","",Year5_Kent Year5_LAC_under16_2.5years)</f>
        <v>448</v>
      </c>
      <c r="AJ113" s="121"/>
    </row>
    <row r="114" spans="1:36" s="61" customFormat="1" ht="13.5" customHeight="1">
      <c r="A114" s="1103">
        <f>VLOOKUP(B114,ReportData!$AQ$4:$AR$25,2,FALSE)</f>
        <v>0</v>
      </c>
      <c r="B114" s="885" t="str">
        <f t="shared" si="36"/>
        <v>Isle of Wight</v>
      </c>
      <c r="C114" s="896"/>
      <c r="D114" s="922">
        <f t="shared" si="37"/>
        <v>0.47465437788018433</v>
      </c>
      <c r="E114" s="922">
        <f t="shared" si="38"/>
        <v>0.55000000000000004</v>
      </c>
      <c r="F114" s="922">
        <f t="shared" si="39"/>
        <v>0.55707762557077622</v>
      </c>
      <c r="G114" s="922">
        <f t="shared" si="40"/>
        <v>0.50691244239631339</v>
      </c>
      <c r="H114" s="923">
        <f t="shared" si="41"/>
        <v>0.52631578947368418</v>
      </c>
      <c r="I114" s="68"/>
      <c r="J114" s="68"/>
      <c r="K114" s="127"/>
      <c r="L114" s="127"/>
      <c r="M114" s="127"/>
      <c r="N114" s="127"/>
      <c r="O114" s="127"/>
      <c r="P114" s="127"/>
      <c r="Q114" s="127"/>
      <c r="R114" s="128"/>
      <c r="S114" s="120"/>
      <c r="T114" s="127"/>
      <c r="U114" s="89"/>
      <c r="V114" s="103"/>
      <c r="W114" s="115"/>
      <c r="X114" s="352" t="str">
        <f t="shared" si="34"/>
        <v>Medway</v>
      </c>
      <c r="Y114" s="355">
        <f>IF(Year1_Medway Year1_LAC_under16="","",Year1_Medway Year1_LAC_under16)</f>
        <v>340</v>
      </c>
      <c r="Z114" s="248">
        <f>IF(Year2_Medway Year2_LAC_under16="","",Year2_Medway Year2_LAC_under16)</f>
        <v>346</v>
      </c>
      <c r="AA114" s="248">
        <f>IF(Year3_Medway Year3_LAC_under16="","",Year3_Medway Year3_LAC_under16)</f>
        <v>344</v>
      </c>
      <c r="AB114" s="248">
        <f>IF(Year4_Medway Year4_LAC_under16="","",Year4_Medway Year4_LAC_under16)</f>
        <v>371</v>
      </c>
      <c r="AC114" s="352">
        <f>IF(Year5_Medway Year5_LAC_under16="","",Year5_Medway Year5_LAC_under16)</f>
        <v>366</v>
      </c>
      <c r="AD114" s="252" t="str">
        <f t="shared" si="35"/>
        <v>Medway</v>
      </c>
      <c r="AE114" s="307">
        <f>IF(Year1_Medway Year1_LAC_under16_2.5years="","",Year1_Medway Year1_LAC_under16_2.5years)</f>
        <v>165</v>
      </c>
      <c r="AF114" s="248">
        <f>IF(Year2_Medway Year2_LAC_under16_2.5years="","",Year2_Medway Year2_LAC_under16_2.5years)</f>
        <v>155</v>
      </c>
      <c r="AG114" s="248">
        <f>IF(Year3_Medway Year3_LAC_under16_2.5years="","",Year3_Medway Year3_LAC_under16_2.5years)</f>
        <v>156</v>
      </c>
      <c r="AH114" s="248">
        <f>IF(Year4_Medway Year4_LAC_under16_2.5years="","",Year4_Medway Year4_LAC_under16_2.5years)</f>
        <v>175</v>
      </c>
      <c r="AI114" s="248">
        <f>IF(Year5_Medway Year5_LAC_under16_2.5years="","",Year5_Medway Year5_LAC_under16_2.5years)</f>
        <v>175</v>
      </c>
      <c r="AJ114" s="121"/>
    </row>
    <row r="115" spans="1:36" s="61" customFormat="1" ht="13.5" customHeight="1">
      <c r="A115" s="1103">
        <f>VLOOKUP(B115,ReportData!$AQ$4:$AR$25,2,FALSE)</f>
        <v>0</v>
      </c>
      <c r="B115" s="885" t="str">
        <f t="shared" si="36"/>
        <v>Kent</v>
      </c>
      <c r="C115" s="896"/>
      <c r="D115" s="922">
        <f t="shared" si="37"/>
        <v>0.48395967002749773</v>
      </c>
      <c r="E115" s="922">
        <f t="shared" si="38"/>
        <v>0.46421845574387949</v>
      </c>
      <c r="F115" s="922">
        <f t="shared" si="39"/>
        <v>0.42358078602620086</v>
      </c>
      <c r="G115" s="922">
        <f t="shared" si="40"/>
        <v>0.38879456706281834</v>
      </c>
      <c r="H115" s="923">
        <f t="shared" si="41"/>
        <v>0.39506172839506171</v>
      </c>
      <c r="I115" s="68"/>
      <c r="J115" s="68"/>
      <c r="K115" s="127"/>
      <c r="L115" s="127"/>
      <c r="M115" s="127"/>
      <c r="N115" s="127"/>
      <c r="O115" s="127"/>
      <c r="P115" s="127"/>
      <c r="Q115" s="127"/>
      <c r="R115" s="128"/>
      <c r="S115" s="120"/>
      <c r="T115" s="127"/>
      <c r="U115" s="89"/>
      <c r="V115" s="103"/>
      <c r="W115" s="115"/>
      <c r="X115" s="352" t="str">
        <f t="shared" si="34"/>
        <v>Milton Keynes</v>
      </c>
      <c r="Y115" s="355">
        <f>IF(Year1_Milton_Keynes Year1_LAC_under16="","",Year1_Milton_Keynes Year1_LAC_under16)</f>
        <v>306</v>
      </c>
      <c r="Z115" s="248">
        <f>IF(Year2_Milton_Keynes Year2_LAC_under16="","",Year2_Milton_Keynes Year2_LAC_under16)</f>
        <v>303</v>
      </c>
      <c r="AA115" s="248">
        <f>IF(Year3_Milton_Keynes Year3_LAC_under16="","",Year3_Milton_Keynes Year3_LAC_under16)</f>
        <v>261</v>
      </c>
      <c r="AB115" s="248">
        <f>IF(Year4_Milton_Keynes Year4_LAC_under16="","",Year4_Milton_Keynes Year4_LAC_under16)</f>
        <v>255</v>
      </c>
      <c r="AC115" s="352">
        <f>IF(Year5_Milton_Keynes Year5_LAC_under16="","",Year5_Milton_Keynes Year5_LAC_under16)</f>
        <v>307</v>
      </c>
      <c r="AD115" s="252" t="str">
        <f t="shared" si="35"/>
        <v>Milton Keynes</v>
      </c>
      <c r="AE115" s="307">
        <f>IF(Year1_Milton_Keynes Year1_LAC_under16_2.5years="","",Year1_Milton_Keynes Year1_LAC_under16_2.5years)</f>
        <v>140</v>
      </c>
      <c r="AF115" s="248">
        <f>IF(Year2_Milton_Keynes Year2_LAC_under16_2.5years="","",Year2_Milton_Keynes Year2_LAC_under16_2.5years)</f>
        <v>143</v>
      </c>
      <c r="AG115" s="248">
        <f>IF(Year3_Milton_Keynes Year3_LAC_under16_2.5years="","",Year3_Milton_Keynes Year3_LAC_under16_2.5years)</f>
        <v>112</v>
      </c>
      <c r="AH115" s="248">
        <f>IF(Year4_Milton_Keynes Year4_LAC_under16_2.5years="","",Year4_Milton_Keynes Year4_LAC_under16_2.5years)</f>
        <v>103</v>
      </c>
      <c r="AI115" s="248">
        <f>IF(Year5_Milton_Keynes Year5_LAC_under16_2.5years="","",Year5_Milton_Keynes Year5_LAC_under16_2.5years)</f>
        <v>106</v>
      </c>
      <c r="AJ115" s="121"/>
    </row>
    <row r="116" spans="1:36" s="61" customFormat="1" ht="13.5" customHeight="1">
      <c r="A116" s="1103">
        <f>VLOOKUP(B116,ReportData!$AQ$4:$AR$25,2,FALSE)</f>
        <v>0</v>
      </c>
      <c r="B116" s="885" t="str">
        <f t="shared" si="36"/>
        <v>Medway</v>
      </c>
      <c r="C116" s="896"/>
      <c r="D116" s="922">
        <f t="shared" si="37"/>
        <v>0.48529411764705882</v>
      </c>
      <c r="E116" s="922">
        <f t="shared" si="38"/>
        <v>0.44797687861271679</v>
      </c>
      <c r="F116" s="922">
        <f t="shared" si="39"/>
        <v>0.45348837209302323</v>
      </c>
      <c r="G116" s="922">
        <f t="shared" si="40"/>
        <v>0.47169811320754718</v>
      </c>
      <c r="H116" s="923">
        <f t="shared" si="41"/>
        <v>0.47814207650273222</v>
      </c>
      <c r="I116" s="68"/>
      <c r="J116" s="68"/>
      <c r="K116" s="127"/>
      <c r="L116" s="127"/>
      <c r="M116" s="127"/>
      <c r="N116" s="127"/>
      <c r="O116" s="127"/>
      <c r="P116" s="127"/>
      <c r="Q116" s="127"/>
      <c r="R116" s="128"/>
      <c r="S116" s="120"/>
      <c r="T116" s="127"/>
      <c r="U116" s="89"/>
      <c r="V116" s="103"/>
      <c r="W116" s="115"/>
      <c r="X116" s="352" t="str">
        <f t="shared" si="34"/>
        <v>Oxfordshire</v>
      </c>
      <c r="Y116" s="355">
        <f>IF(Year1_Oxfordshire Year1_LAC_under16="","",Year1_Oxfordshire Year1_LAC_under16)</f>
        <v>560</v>
      </c>
      <c r="Z116" s="248">
        <f>IF(Year2_Oxfordshire Year2_LAC_under16="","",Year2_Oxfordshire Year2_LAC_under16)</f>
        <v>600</v>
      </c>
      <c r="AA116" s="248">
        <f>IF(Year3_Oxfordshire Year3_LAC_under16="","",Year3_Oxfordshire Year3_LAC_under16)</f>
        <v>647</v>
      </c>
      <c r="AB116" s="248">
        <f>IF(Year4_Oxfordshire Year4_LAC_under16="","",Year4_Oxfordshire Year4_LAC_under16)</f>
        <v>630</v>
      </c>
      <c r="AC116" s="352">
        <f>IF(Year5_Oxfordshire Year5_LAC_under16="","",Year5_Oxfordshire Year5_LAC_under16)</f>
        <v>504</v>
      </c>
      <c r="AD116" s="252" t="str">
        <f t="shared" si="35"/>
        <v>Oxfordshire</v>
      </c>
      <c r="AE116" s="307">
        <f>IF(Year1_Oxfordshire Year1_LAC_under16_2.5years="","",Year1_Oxfordshire Year1_LAC_under16_2.5years)</f>
        <v>226</v>
      </c>
      <c r="AF116" s="248">
        <f>IF(Year2_Oxfordshire Year2_LAC_under16_2.5years="","",Year2_Oxfordshire Year2_LAC_under16_2.5years)</f>
        <v>255</v>
      </c>
      <c r="AG116" s="248">
        <f>IF(Year3_Oxfordshire Year3_LAC_under16_2.5years="","",Year3_Oxfordshire Year3_LAC_under16_2.5years)</f>
        <v>288</v>
      </c>
      <c r="AH116" s="248">
        <f>IF(Year4_Oxfordshire Year4_LAC_under16_2.5years="","",Year4_Oxfordshire Year4_LAC_under16_2.5years)</f>
        <v>301</v>
      </c>
      <c r="AI116" s="248">
        <f>IF(Year5_Oxfordshire Year5_LAC_under16_2.5years="","",Year5_Oxfordshire Year5_LAC_under16_2.5years)</f>
        <v>276</v>
      </c>
      <c r="AJ116" s="121"/>
    </row>
    <row r="117" spans="1:36" s="61" customFormat="1" ht="13.5" customHeight="1">
      <c r="A117" s="1103">
        <f>VLOOKUP(B117,ReportData!$AQ$4:$AR$25,2,FALSE)</f>
        <v>0</v>
      </c>
      <c r="B117" s="885" t="str">
        <f t="shared" si="36"/>
        <v>Milton Keynes</v>
      </c>
      <c r="C117" s="896"/>
      <c r="D117" s="922">
        <f t="shared" si="37"/>
        <v>0.45751633986928103</v>
      </c>
      <c r="E117" s="922">
        <f t="shared" si="38"/>
        <v>0.47194719471947194</v>
      </c>
      <c r="F117" s="922">
        <f t="shared" si="39"/>
        <v>0.42911877394636017</v>
      </c>
      <c r="G117" s="922">
        <f t="shared" si="40"/>
        <v>0.40392156862745099</v>
      </c>
      <c r="H117" s="923">
        <f t="shared" si="41"/>
        <v>0.34527687296416937</v>
      </c>
      <c r="I117" s="68"/>
      <c r="J117" s="68"/>
      <c r="K117" s="127"/>
      <c r="L117" s="127"/>
      <c r="M117" s="127"/>
      <c r="N117" s="127"/>
      <c r="O117" s="127"/>
      <c r="P117" s="127"/>
      <c r="Q117" s="127"/>
      <c r="R117" s="128"/>
      <c r="S117" s="120"/>
      <c r="T117" s="127"/>
      <c r="U117" s="89"/>
      <c r="V117" s="103"/>
      <c r="W117" s="115"/>
      <c r="X117" s="352" t="str">
        <f t="shared" si="34"/>
        <v>Portsmouth</v>
      </c>
      <c r="Y117" s="355">
        <f>IF(Year1_Portsmouth Year1_LAC_under16="","",Year1_Portsmouth Year1_LAC_under16)</f>
        <v>308</v>
      </c>
      <c r="Z117" s="248">
        <f>IF(Year2_Portsmouth Year2_LAC_under16="","",Year2_Portsmouth Year2_LAC_under16)</f>
        <v>274</v>
      </c>
      <c r="AA117" s="248">
        <f>IF(Year3_Portsmouth Year3_LAC_under16="","",Year3_Portsmouth Year3_LAC_under16)</f>
        <v>275</v>
      </c>
      <c r="AB117" s="248">
        <f>IF(Year4_Portsmouth Year4_LAC_under16="","",Year4_Portsmouth Year4_LAC_under16)</f>
        <v>284</v>
      </c>
      <c r="AC117" s="352">
        <f>IF(Year5_Portsmouth Year5_LAC_under16="","",Year5_Portsmouth Year5_LAC_under16)</f>
        <v>296</v>
      </c>
      <c r="AD117" s="252" t="str">
        <f t="shared" si="35"/>
        <v>Portsmouth</v>
      </c>
      <c r="AE117" s="307">
        <f>IF(Year1_Portsmouth Year1_LAC_under16_2.5years="","",Year1_Portsmouth Year1_LAC_under16_2.5years)</f>
        <v>132</v>
      </c>
      <c r="AF117" s="248">
        <f>IF(Year2_Portsmouth Year2_LAC_under16_2.5years="","",Year2_Portsmouth Year2_LAC_under16_2.5years)</f>
        <v>158</v>
      </c>
      <c r="AG117" s="248">
        <f>IF(Year3_Portsmouth Year3_LAC_under16_2.5years="","",Year3_Portsmouth Year3_LAC_under16_2.5years)</f>
        <v>165</v>
      </c>
      <c r="AH117" s="248">
        <f>IF(Year4_Portsmouth Year4_LAC_under16_2.5years="","",Year4_Portsmouth Year4_LAC_under16_2.5years)</f>
        <v>145</v>
      </c>
      <c r="AI117" s="248">
        <f>IF(Year5_Portsmouth Year5_LAC_under16_2.5years="","",Year5_Portsmouth Year5_LAC_under16_2.5years)</f>
        <v>135</v>
      </c>
      <c r="AJ117" s="121"/>
    </row>
    <row r="118" spans="1:36" s="61" customFormat="1" ht="13.5" customHeight="1">
      <c r="A118" s="1103">
        <f>VLOOKUP(B118,ReportData!$AQ$4:$AR$25,2,FALSE)</f>
        <v>0</v>
      </c>
      <c r="B118" s="885" t="str">
        <f t="shared" si="36"/>
        <v>Oxfordshire</v>
      </c>
      <c r="C118" s="896"/>
      <c r="D118" s="922">
        <f t="shared" si="37"/>
        <v>0.40357142857142858</v>
      </c>
      <c r="E118" s="922">
        <f t="shared" si="38"/>
        <v>0.42499999999999999</v>
      </c>
      <c r="F118" s="922">
        <f t="shared" si="39"/>
        <v>0.44513137557959814</v>
      </c>
      <c r="G118" s="922">
        <f t="shared" si="40"/>
        <v>0.4777777777777778</v>
      </c>
      <c r="H118" s="923">
        <f t="shared" si="41"/>
        <v>0.54761904761904767</v>
      </c>
      <c r="I118" s="68"/>
      <c r="J118" s="68"/>
      <c r="K118" s="127"/>
      <c r="L118" s="127"/>
      <c r="M118" s="127"/>
      <c r="N118" s="127"/>
      <c r="O118" s="127"/>
      <c r="P118" s="127"/>
      <c r="Q118" s="127"/>
      <c r="R118" s="128"/>
      <c r="S118" s="120"/>
      <c r="T118" s="127"/>
      <c r="U118" s="89"/>
      <c r="V118" s="103"/>
      <c r="W118" s="115"/>
      <c r="X118" s="352" t="str">
        <f t="shared" si="34"/>
        <v>Reading</v>
      </c>
      <c r="Y118" s="355">
        <f>IF(Year1_Reading Year1_LAC_under16="","",Year1_Reading Year1_LAC_under16)</f>
        <v>214</v>
      </c>
      <c r="Z118" s="248">
        <f>IF(Year2_Reading Year2_LAC_under16="","",Year2_Reading Year2_LAC_under16)</f>
        <v>196</v>
      </c>
      <c r="AA118" s="248">
        <f>IF(Year3_Reading Year3_LAC_under16="","",Year3_Reading Year3_LAC_under16)</f>
        <v>163</v>
      </c>
      <c r="AB118" s="248">
        <f>IF(Year4_Reading Year4_LAC_under16="","",Year4_Reading Year4_LAC_under16)</f>
        <v>180</v>
      </c>
      <c r="AC118" s="352">
        <f>IF(Year5_Reading Year5_LAC_under16="","",Year5_Reading Year5_LAC_under16)</f>
        <v>194</v>
      </c>
      <c r="AD118" s="252" t="str">
        <f t="shared" si="35"/>
        <v>Reading</v>
      </c>
      <c r="AE118" s="307">
        <f>IF(Year1_Reading Year1_LAC_under16_2.5years="","",Year1_Reading Year1_LAC_under16_2.5years)</f>
        <v>100</v>
      </c>
      <c r="AF118" s="248">
        <f>IF(Year2_Reading Year2_LAC_under16_2.5years="","",Year2_Reading Year2_LAC_under16_2.5years)</f>
        <v>98</v>
      </c>
      <c r="AG118" s="248">
        <f>IF(Year3_Reading Year3_LAC_under16_2.5years="","",Year3_Reading Year3_LAC_under16_2.5years)</f>
        <v>99</v>
      </c>
      <c r="AH118" s="248">
        <f>IF(Year4_Reading Year4_LAC_under16_2.5years="","",Year4_Reading Year4_LAC_under16_2.5years)</f>
        <v>102</v>
      </c>
      <c r="AI118" s="248">
        <f>IF(Year5_Reading Year5_LAC_under16_2.5years="","",Year5_Reading Year5_LAC_under16_2.5years)</f>
        <v>98</v>
      </c>
      <c r="AJ118" s="121"/>
    </row>
    <row r="119" spans="1:36" s="61" customFormat="1" ht="13.5" customHeight="1">
      <c r="A119" s="1103">
        <f>VLOOKUP(B119,ReportData!$AQ$4:$AR$25,2,FALSE)</f>
        <v>0</v>
      </c>
      <c r="B119" s="885" t="str">
        <f t="shared" si="36"/>
        <v>Portsmouth</v>
      </c>
      <c r="C119" s="896"/>
      <c r="D119" s="922">
        <f t="shared" si="37"/>
        <v>0.42857142857142855</v>
      </c>
      <c r="E119" s="922">
        <f t="shared" si="38"/>
        <v>0.57664233576642332</v>
      </c>
      <c r="F119" s="922">
        <f t="shared" si="39"/>
        <v>0.6</v>
      </c>
      <c r="G119" s="922">
        <f t="shared" si="40"/>
        <v>0.51056338028169013</v>
      </c>
      <c r="H119" s="923">
        <f t="shared" si="41"/>
        <v>0.45608108108108109</v>
      </c>
      <c r="I119" s="68"/>
      <c r="J119" s="68"/>
      <c r="K119" s="127"/>
      <c r="L119" s="127"/>
      <c r="M119" s="127"/>
      <c r="N119" s="127"/>
      <c r="O119" s="127"/>
      <c r="P119" s="127"/>
      <c r="Q119" s="127"/>
      <c r="R119" s="128"/>
      <c r="S119" s="120"/>
      <c r="T119" s="127"/>
      <c r="U119" s="89"/>
      <c r="V119" s="103"/>
      <c r="W119" s="115"/>
      <c r="X119" s="352" t="str">
        <f t="shared" si="34"/>
        <v>Slough</v>
      </c>
      <c r="Y119" s="355">
        <f>IF(Year1_Slough Year1_LAC_under16="","",Year1_Slough Year1_LAC_under16)</f>
        <v>151</v>
      </c>
      <c r="Z119" s="248">
        <f>IF(Year2_Slough Year2_LAC_under16="","",Year2_Slough Year2_LAC_under16)</f>
        <v>161</v>
      </c>
      <c r="AA119" s="248">
        <f>IF(Year3_Slough Year3_LAC_under16="","",Year3_Slough Year3_LAC_under16)</f>
        <v>162</v>
      </c>
      <c r="AB119" s="248">
        <f>IF(Year4_Slough Year4_LAC_under16="","",Year4_Slough Year4_LAC_under16)</f>
        <v>158</v>
      </c>
      <c r="AC119" s="352">
        <f>IF(Year5_Slough Year5_LAC_under16="","",Year5_Slough Year5_LAC_under16)</f>
        <v>127</v>
      </c>
      <c r="AD119" s="252" t="str">
        <f t="shared" si="35"/>
        <v>Slough</v>
      </c>
      <c r="AE119" s="307">
        <f>IF(Year1_Slough Year1_LAC_under16_2.5years="","",Year1_Slough Year1_LAC_under16_2.5years)</f>
        <v>56</v>
      </c>
      <c r="AF119" s="248">
        <f>IF(Year2_Slough Year2_LAC_under16_2.5years="","",Year2_Slough Year2_LAC_under16_2.5years)</f>
        <v>54</v>
      </c>
      <c r="AG119" s="248">
        <f>IF(Year3_Slough Year3_LAC_under16_2.5years="","",Year3_Slough Year3_LAC_under16_2.5years)</f>
        <v>62</v>
      </c>
      <c r="AH119" s="248">
        <f>IF(Year4_Slough Year4_LAC_under16_2.5years="","",Year4_Slough Year4_LAC_under16_2.5years)</f>
        <v>50</v>
      </c>
      <c r="AI119" s="248">
        <f>IF(Year5_Slough Year5_LAC_under16_2.5years="","",Year5_Slough Year5_LAC_under16_2.5years)</f>
        <v>55</v>
      </c>
      <c r="AJ119" s="121"/>
    </row>
    <row r="120" spans="1:36" s="61" customFormat="1" ht="13.5" customHeight="1">
      <c r="A120" s="1103">
        <f>VLOOKUP(B120,ReportData!$AQ$4:$AR$25,2,FALSE)</f>
        <v>0</v>
      </c>
      <c r="B120" s="885" t="str">
        <f t="shared" si="36"/>
        <v>Reading</v>
      </c>
      <c r="C120" s="896"/>
      <c r="D120" s="922">
        <f t="shared" si="37"/>
        <v>0.46728971962616822</v>
      </c>
      <c r="E120" s="922">
        <f t="shared" si="38"/>
        <v>0.5</v>
      </c>
      <c r="F120" s="922">
        <f t="shared" si="39"/>
        <v>0.6073619631901841</v>
      </c>
      <c r="G120" s="922">
        <f t="shared" si="40"/>
        <v>0.56666666666666665</v>
      </c>
      <c r="H120" s="923">
        <f t="shared" si="41"/>
        <v>0.50515463917525771</v>
      </c>
      <c r="I120" s="68"/>
      <c r="J120" s="68"/>
      <c r="K120" s="127"/>
      <c r="L120" s="127"/>
      <c r="M120" s="127"/>
      <c r="N120" s="127"/>
      <c r="O120" s="127"/>
      <c r="P120" s="127"/>
      <c r="Q120" s="127"/>
      <c r="R120" s="128"/>
      <c r="S120" s="120"/>
      <c r="T120" s="127"/>
      <c r="U120" s="89"/>
      <c r="V120" s="103"/>
      <c r="W120" s="115"/>
      <c r="X120" s="352" t="str">
        <f t="shared" si="34"/>
        <v>Southampton</v>
      </c>
      <c r="Y120" s="355">
        <f>IF(Year1_Southampton Year1_LAC_under16="","",Year1_Southampton Year1_LAC_under16)</f>
        <v>399</v>
      </c>
      <c r="Z120" s="248">
        <f>IF(Year2_Southampton Year2_LAC_under16="","",Year2_Southampton Year2_LAC_under16)</f>
        <v>390</v>
      </c>
      <c r="AA120" s="248">
        <f>IF(Year3_Southampton Year3_LAC_under16="","",Year3_Southampton Year3_LAC_under16)</f>
        <v>450</v>
      </c>
      <c r="AB120" s="248">
        <f>IF(Year4_Southampton Year4_LAC_under16="","",Year4_Southampton Year4_LAC_under16)</f>
        <v>411</v>
      </c>
      <c r="AC120" s="352">
        <f>IF(Year5_Southampton Year5_LAC_under16="","",Year5_Southampton Year5_LAC_under16)</f>
        <v>351</v>
      </c>
      <c r="AD120" s="252" t="str">
        <f t="shared" ref="AD120:AD127" si="42">X120</f>
        <v>Southampton</v>
      </c>
      <c r="AE120" s="307">
        <f>IF(Year1_Southampton Year1_LAC_under16_2.5years="","",Year1_Southampton Year1_LAC_under16_2.5years)</f>
        <v>214</v>
      </c>
      <c r="AF120" s="248">
        <f>IF(Year2_Southampton Year2_LAC_under16_2.5years="","",Year2_Southampton Year2_LAC_under16_2.5years)</f>
        <v>195</v>
      </c>
      <c r="AG120" s="248">
        <f>IF(Year3_Southampton Year3_LAC_under16_2.5years="","",Year3_Southampton Year3_LAC_under16_2.5years)</f>
        <v>200</v>
      </c>
      <c r="AH120" s="248">
        <f>IF(Year4_Southampton Year4_LAC_under16_2.5years="","",Year4_Southampton Year4_LAC_under16_2.5years)</f>
        <v>184</v>
      </c>
      <c r="AI120" s="248">
        <f>IF(Year5_Southampton Year5_LAC_under16_2.5years="","",Year5_Southampton Year5_LAC_under16_2.5years)</f>
        <v>191</v>
      </c>
      <c r="AJ120" s="121"/>
    </row>
    <row r="121" spans="1:36" s="61" customFormat="1" ht="13.5" customHeight="1">
      <c r="A121" s="1103">
        <f>VLOOKUP(B121,ReportData!$AQ$4:$AR$25,2,FALSE)</f>
        <v>0</v>
      </c>
      <c r="B121" s="885" t="str">
        <f t="shared" si="36"/>
        <v>Slough</v>
      </c>
      <c r="C121" s="896"/>
      <c r="D121" s="922">
        <f t="shared" si="37"/>
        <v>0.37086092715231789</v>
      </c>
      <c r="E121" s="922">
        <f t="shared" si="38"/>
        <v>0.33540372670807456</v>
      </c>
      <c r="F121" s="922">
        <f t="shared" si="39"/>
        <v>0.38271604938271603</v>
      </c>
      <c r="G121" s="922">
        <f t="shared" si="40"/>
        <v>0.31645569620253167</v>
      </c>
      <c r="H121" s="923">
        <f t="shared" si="41"/>
        <v>0.43307086614173229</v>
      </c>
      <c r="I121" s="68"/>
      <c r="J121" s="68"/>
      <c r="K121" s="127"/>
      <c r="L121" s="127"/>
      <c r="M121" s="127"/>
      <c r="N121" s="127"/>
      <c r="O121" s="127"/>
      <c r="P121" s="127"/>
      <c r="Q121" s="127"/>
      <c r="R121" s="128"/>
      <c r="S121" s="120"/>
      <c r="T121" s="127"/>
      <c r="U121" s="89"/>
      <c r="V121" s="103"/>
      <c r="W121" s="115"/>
      <c r="X121" s="352" t="str">
        <f t="shared" si="34"/>
        <v>Surrey</v>
      </c>
      <c r="Y121" s="355">
        <f>IF(Year1_Surrey Year1_LAC_under16="","",Year1_Surrey Year1_LAC_under16)</f>
        <v>682</v>
      </c>
      <c r="Z121" s="248">
        <f>IF(Year2_Surrey Year2_LAC_under16="","",Year2_Surrey Year2_LAC_under16)</f>
        <v>715</v>
      </c>
      <c r="AA121" s="248">
        <f>IF(Year3_Surrey Year3_LAC_under16="","",Year3_Surrey Year3_LAC_under16)</f>
        <v>720</v>
      </c>
      <c r="AB121" s="248">
        <f>IF(Year4_Surrey Year4_LAC_under16="","",Year4_Surrey Year4_LAC_under16)</f>
        <v>705</v>
      </c>
      <c r="AC121" s="352">
        <f>IF(Year5_Surrey Year5_LAC_under16="","",Year5_Surrey Year5_LAC_under16)</f>
        <v>660</v>
      </c>
      <c r="AD121" s="252" t="str">
        <f t="shared" si="42"/>
        <v>Surrey</v>
      </c>
      <c r="AE121" s="307">
        <f>IF(Year1_Surrey Year1_LAC_under16_2.5years="","",Year1_Surrey Year1_LAC_under16_2.5years)</f>
        <v>285</v>
      </c>
      <c r="AF121" s="248">
        <f>IF(Year2_Surrey Year2_LAC_under16_2.5years="","",Year2_Surrey Year2_LAC_under16_2.5years)</f>
        <v>325</v>
      </c>
      <c r="AG121" s="248">
        <f>IF(Year3_Surrey Year3_LAC_under16_2.5years="","",Year3_Surrey Year3_LAC_under16_2.5years)</f>
        <v>333</v>
      </c>
      <c r="AH121" s="248">
        <f>IF(Year4_Surrey Year4_LAC_under16_2.5years="","",Year4_Surrey Year4_LAC_under16_2.5years)</f>
        <v>340</v>
      </c>
      <c r="AI121" s="248">
        <f>IF(Year5_Surrey Year5_LAC_under16_2.5years="","",Year5_Surrey Year5_LAC_under16_2.5years)</f>
        <v>337</v>
      </c>
      <c r="AJ121" s="121"/>
    </row>
    <row r="122" spans="1:36" s="61" customFormat="1" ht="13.5" customHeight="1">
      <c r="A122" s="1103">
        <f>VLOOKUP(B122,ReportData!$AQ$4:$AR$25,2,FALSE)</f>
        <v>0</v>
      </c>
      <c r="B122" s="885" t="str">
        <f t="shared" ref="B122:B129" si="43">B24</f>
        <v>Southampton</v>
      </c>
      <c r="C122" s="896"/>
      <c r="D122" s="922">
        <f t="shared" ref="D122:H129" si="44">IF(AND(ISNUMBER(AE120),ISNUMBER(Y120)),AE120/Y120,NA())</f>
        <v>0.53634085213032578</v>
      </c>
      <c r="E122" s="922">
        <f t="shared" si="44"/>
        <v>0.5</v>
      </c>
      <c r="F122" s="922">
        <f t="shared" si="44"/>
        <v>0.44444444444444442</v>
      </c>
      <c r="G122" s="922">
        <f t="shared" si="44"/>
        <v>0.44768856447688565</v>
      </c>
      <c r="H122" s="923">
        <f t="shared" si="44"/>
        <v>0.54415954415954415</v>
      </c>
      <c r="I122" s="68"/>
      <c r="J122" s="68"/>
      <c r="K122" s="127"/>
      <c r="L122" s="127"/>
      <c r="M122" s="127"/>
      <c r="N122" s="127"/>
      <c r="O122" s="127"/>
      <c r="P122" s="127"/>
      <c r="Q122" s="127"/>
      <c r="R122" s="128"/>
      <c r="S122" s="120"/>
      <c r="T122" s="127"/>
      <c r="U122" s="89"/>
      <c r="V122" s="103"/>
      <c r="W122" s="115"/>
      <c r="X122" s="352" t="str">
        <f t="shared" si="34"/>
        <v>West Berkshire</v>
      </c>
      <c r="Y122" s="355">
        <f>IF(Year1_West_Berkshire Year1_LAC_under16="","",Year1_West_Berkshire Year1_LAC_under16)</f>
        <v>102</v>
      </c>
      <c r="Z122" s="248">
        <f>IF(Year2_West_Berkshire Year2_LAC_under16="","",Year2_West_Berkshire Year2_LAC_under16)</f>
        <v>99</v>
      </c>
      <c r="AA122" s="248">
        <f>IF(Year3_West_Berkshire Year3_LAC_under16="","",Year3_West_Berkshire Year3_LAC_under16)</f>
        <v>116</v>
      </c>
      <c r="AB122" s="248">
        <f>IF(Year4_West_Berkshire Year4_LAC_under16="","",Year4_West_Berkshire Year4_LAC_under16)</f>
        <v>138</v>
      </c>
      <c r="AC122" s="352">
        <f>IF(Year5_West_Berkshire Year5_LAC_under16="","",Year5_West_Berkshire Year5_LAC_under16)</f>
        <v>130</v>
      </c>
      <c r="AD122" s="252" t="str">
        <f t="shared" si="42"/>
        <v>West Berkshire</v>
      </c>
      <c r="AE122" s="307">
        <f>IF(Year1_West_Berkshire Year1_LAC_under16_2.5years="","",Year1_West_Berkshire Year1_LAC_under16_2.5years)</f>
        <v>45</v>
      </c>
      <c r="AF122" s="248">
        <f>IF(Year2_West_Berkshire Year2_LAC_under16_2.5years="","",Year2_West_Berkshire Year2_LAC_under16_2.5years)</f>
        <v>45</v>
      </c>
      <c r="AG122" s="248">
        <f>IF(Year3_West_Berkshire Year3_LAC_under16_2.5years="","",Year3_West_Berkshire Year3_LAC_under16_2.5years)</f>
        <v>51</v>
      </c>
      <c r="AH122" s="248">
        <f>IF(Year4_West_Berkshire Year4_LAC_under16_2.5years="","",Year4_West_Berkshire Year4_LAC_under16_2.5years)</f>
        <v>54</v>
      </c>
      <c r="AI122" s="248">
        <f>IF(Year5_West_Berkshire Year5_LAC_under16_2.5years="","",Year5_West_Berkshire Year5_LAC_under16_2.5years)</f>
        <v>50</v>
      </c>
      <c r="AJ122" s="121"/>
    </row>
    <row r="123" spans="1:36" s="61" customFormat="1" ht="13.5" customHeight="1">
      <c r="A123" s="1103">
        <f>VLOOKUP(B123,ReportData!$AQ$4:$AR$25,2,FALSE)</f>
        <v>0</v>
      </c>
      <c r="B123" s="885" t="str">
        <f t="shared" si="43"/>
        <v>Surrey</v>
      </c>
      <c r="C123" s="896"/>
      <c r="D123" s="922">
        <f t="shared" si="44"/>
        <v>0.41788856304985339</v>
      </c>
      <c r="E123" s="922">
        <f t="shared" si="44"/>
        <v>0.45454545454545453</v>
      </c>
      <c r="F123" s="922">
        <f t="shared" si="44"/>
        <v>0.46250000000000002</v>
      </c>
      <c r="G123" s="922">
        <f t="shared" si="44"/>
        <v>0.48226950354609927</v>
      </c>
      <c r="H123" s="923">
        <f t="shared" si="44"/>
        <v>0.51060606060606062</v>
      </c>
      <c r="I123" s="68"/>
      <c r="J123" s="68"/>
      <c r="K123" s="127"/>
      <c r="L123" s="127"/>
      <c r="M123" s="127"/>
      <c r="N123" s="127"/>
      <c r="O123" s="127"/>
      <c r="P123" s="127"/>
      <c r="Q123" s="127"/>
      <c r="R123" s="128"/>
      <c r="S123" s="120"/>
      <c r="T123" s="127"/>
      <c r="U123" s="89"/>
      <c r="V123" s="103"/>
      <c r="W123" s="115"/>
      <c r="X123" s="352" t="str">
        <f t="shared" si="34"/>
        <v>West Sussex</v>
      </c>
      <c r="Y123" s="355">
        <f>IF(Year1_West_Sussex Year1_LAC_under16="","",Year1_West_Sussex Year1_LAC_under16)</f>
        <v>574</v>
      </c>
      <c r="Z123" s="248">
        <f>IF(Year2_West_Sussex Year2_LAC_under16="","",Year2_West_Sussex Year2_LAC_under16)</f>
        <v>633</v>
      </c>
      <c r="AA123" s="248">
        <f>IF(Year3_West_Sussex Year3_LAC_under16="","",Year3_West_Sussex Year3_LAC_under16)</f>
        <v>596</v>
      </c>
      <c r="AB123" s="248">
        <f>IF(Year4_West_Sussex Year4_LAC_under16="","",Year4_West_Sussex Year4_LAC_under16)</f>
        <v>639</v>
      </c>
      <c r="AC123" s="352">
        <f>IF(Year5_West_Sussex Year5_LAC_under16="","",Year5_West_Sussex Year5_LAC_under16)</f>
        <v>634</v>
      </c>
      <c r="AD123" s="252" t="str">
        <f t="shared" si="42"/>
        <v>West Sussex</v>
      </c>
      <c r="AE123" s="307">
        <f>IF(Year1_West_Sussex Year1_LAC_under16_2.5years="","",Year1_West_Sussex Year1_LAC_under16_2.5years)</f>
        <v>183</v>
      </c>
      <c r="AF123" s="248">
        <f>IF(Year2_West_Sussex Year2_LAC_under16_2.5years="","",Year2_West_Sussex Year2_LAC_under16_2.5years)</f>
        <v>192</v>
      </c>
      <c r="AG123" s="248">
        <f>IF(Year3_West_Sussex Year3_LAC_under16_2.5years="","",Year3_West_Sussex Year3_LAC_under16_2.5years)</f>
        <v>236</v>
      </c>
      <c r="AH123" s="248">
        <f>IF(Year4_West_Sussex Year4_LAC_under16_2.5years="","",Year4_West_Sussex Year4_LAC_under16_2.5years)</f>
        <v>275</v>
      </c>
      <c r="AI123" s="248">
        <f>IF(Year5_West_Sussex Year5_LAC_under16_2.5years="","",Year5_West_Sussex Year5_LAC_under16_2.5years)</f>
        <v>274</v>
      </c>
      <c r="AJ123" s="121"/>
    </row>
    <row r="124" spans="1:36" s="61" customFormat="1" ht="13.5" customHeight="1">
      <c r="A124" s="1103">
        <f>VLOOKUP(B124,ReportData!$AQ$4:$AR$25,2,FALSE)</f>
        <v>0</v>
      </c>
      <c r="B124" s="885" t="str">
        <f t="shared" si="43"/>
        <v>West Berkshire</v>
      </c>
      <c r="C124" s="896"/>
      <c r="D124" s="922">
        <f t="shared" si="44"/>
        <v>0.44117647058823528</v>
      </c>
      <c r="E124" s="922">
        <f t="shared" si="44"/>
        <v>0.45454545454545453</v>
      </c>
      <c r="F124" s="922">
        <f t="shared" si="44"/>
        <v>0.43965517241379309</v>
      </c>
      <c r="G124" s="922">
        <f t="shared" si="44"/>
        <v>0.39130434782608697</v>
      </c>
      <c r="H124" s="923">
        <f t="shared" si="44"/>
        <v>0.38461538461538464</v>
      </c>
      <c r="I124" s="68"/>
      <c r="J124" s="68"/>
      <c r="K124" s="127"/>
      <c r="L124" s="127"/>
      <c r="M124" s="127"/>
      <c r="N124" s="127"/>
      <c r="O124" s="127"/>
      <c r="P124" s="127"/>
      <c r="Q124" s="127"/>
      <c r="R124" s="128"/>
      <c r="S124" s="120"/>
      <c r="T124" s="127"/>
      <c r="U124" s="89"/>
      <c r="V124" s="103"/>
      <c r="W124" s="115"/>
      <c r="X124" s="352" t="str">
        <f t="shared" si="34"/>
        <v>Windsor &amp; Maidenhead</v>
      </c>
      <c r="Y124" s="355">
        <f>IF(Year1_Windsor_and_Maidenhead Year1_LAC_under16="","",Year1_Windsor_and_Maidenhead Year1_LAC_under16)</f>
        <v>64</v>
      </c>
      <c r="Z124" s="248">
        <f>IF(Year2_Windsor_and_Maidenhead Year2_LAC_under16="","",Year2_Windsor_and_Maidenhead Year2_LAC_under16)</f>
        <v>98</v>
      </c>
      <c r="AA124" s="248">
        <f>IF(Year3_Windsor_and_Maidenhead Year3_LAC_under16="","",Year3_Windsor_and_Maidenhead Year3_LAC_under16)</f>
        <v>85</v>
      </c>
      <c r="AB124" s="248">
        <f>IF(Year4_Windsor_and_Maidenhead Year4_LAC_under16="","",Year4_Windsor_and_Maidenhead Year4_LAC_under16)</f>
        <v>93</v>
      </c>
      <c r="AC124" s="352">
        <f>IF(Year5_Windsor_and_Maidenhead Year5_LAC_under16="","",Year5_Windsor_and_Maidenhead Year5_LAC_under16)</f>
        <v>102</v>
      </c>
      <c r="AD124" s="252" t="str">
        <f t="shared" si="42"/>
        <v>Windsor &amp; Maidenhead</v>
      </c>
      <c r="AE124" s="307">
        <f>IF(Year1_Windsor_and_Maidenhead Year1_LAC_under16_2.5years="","",Year1_Windsor_and_Maidenhead Year1_LAC_under16_2.5years)</f>
        <v>30</v>
      </c>
      <c r="AF124" s="248">
        <f>IF(Year2_Windsor_and_Maidenhead Year2_LAC_under16_2.5years="","",Year2_Windsor_and_Maidenhead Year2_LAC_under16_2.5years)</f>
        <v>30</v>
      </c>
      <c r="AG124" s="248">
        <f>IF(Year3_Windsor_and_Maidenhead Year3_LAC_under16_2.5years="","",Year3_Windsor_and_Maidenhead Year3_LAC_under16_2.5years)</f>
        <v>28</v>
      </c>
      <c r="AH124" s="248">
        <f>IF(Year4_Windsor_and_Maidenhead Year4_LAC_under16_2.5years="","",Year4_Windsor_and_Maidenhead Year4_LAC_under16_2.5years)</f>
        <v>35</v>
      </c>
      <c r="AI124" s="248">
        <f>IF(Year5_Windsor_and_Maidenhead Year5_LAC_under16_2.5years="","",Year5_Windsor_and_Maidenhead Year5_LAC_under16_2.5years)</f>
        <v>38</v>
      </c>
      <c r="AJ124" s="121"/>
    </row>
    <row r="125" spans="1:36" s="61" customFormat="1" ht="13.5" customHeight="1">
      <c r="A125" s="1103">
        <f>VLOOKUP(B125,ReportData!$AQ$4:$AR$25,2,FALSE)</f>
        <v>0</v>
      </c>
      <c r="B125" s="885" t="str">
        <f t="shared" si="43"/>
        <v>West Sussex</v>
      </c>
      <c r="C125" s="896"/>
      <c r="D125" s="922">
        <f t="shared" si="44"/>
        <v>0.31881533101045295</v>
      </c>
      <c r="E125" s="922">
        <f t="shared" si="44"/>
        <v>0.30331753554502372</v>
      </c>
      <c r="F125" s="922">
        <f t="shared" si="44"/>
        <v>0.39597315436241609</v>
      </c>
      <c r="G125" s="922">
        <f t="shared" si="44"/>
        <v>0.43035993740219092</v>
      </c>
      <c r="H125" s="923">
        <f t="shared" si="44"/>
        <v>0.43217665615141954</v>
      </c>
      <c r="I125" s="68"/>
      <c r="J125" s="68"/>
      <c r="K125" s="127"/>
      <c r="L125" s="127"/>
      <c r="M125" s="127"/>
      <c r="N125" s="127"/>
      <c r="O125" s="127"/>
      <c r="P125" s="127"/>
      <c r="Q125" s="127"/>
      <c r="R125" s="128"/>
      <c r="S125" s="120"/>
      <c r="T125" s="127"/>
      <c r="U125" s="89"/>
      <c r="V125" s="103"/>
      <c r="W125" s="115"/>
      <c r="X125" s="352" t="str">
        <f t="shared" si="34"/>
        <v>Wokingham</v>
      </c>
      <c r="Y125" s="355">
        <f>IF(Year1_Wokingham Year1_LAC_under16="","",Year1_Wokingham Year1_LAC_under16)</f>
        <v>49</v>
      </c>
      <c r="Z125" s="248">
        <f>IF(Year2_Wokingham Year2_LAC_under16="","",Year2_Wokingham Year2_LAC_under16)</f>
        <v>71</v>
      </c>
      <c r="AA125" s="248">
        <f>IF(Year3_Wokingham Year3_LAC_under16="","",Year3_Wokingham Year3_LAC_under16)</f>
        <v>92</v>
      </c>
      <c r="AB125" s="248">
        <f>IF(Year4_Wokingham Year4_LAC_under16="","",Year4_Wokingham Year4_LAC_under16)</f>
        <v>90</v>
      </c>
      <c r="AC125" s="352">
        <f>IF(Year5_Wokingham Year5_LAC_under16="","",Year5_Wokingham Year5_LAC_under16)</f>
        <v>82</v>
      </c>
      <c r="AD125" s="252" t="str">
        <f t="shared" si="42"/>
        <v>Wokingham</v>
      </c>
      <c r="AE125" s="307">
        <f>IF(Year1_Wokingham Year1_LAC_under16_2.5years="","",Year1_Wokingham Year1_LAC_under16_2.5years)</f>
        <v>12</v>
      </c>
      <c r="AF125" s="248">
        <f>IF(Year2_Wokingham Year2_LAC_under16_2.5years="","",Year2_Wokingham Year2_LAC_under16_2.5years)</f>
        <v>17</v>
      </c>
      <c r="AG125" s="248">
        <f>IF(Year3_Wokingham Year3_LAC_under16_2.5years="","",Year3_Wokingham Year3_LAC_under16_2.5years)</f>
        <v>26</v>
      </c>
      <c r="AH125" s="248">
        <f>IF(Year4_Wokingham Year4_LAC_under16_2.5years="","",Year4_Wokingham Year4_LAC_under16_2.5years)</f>
        <v>29</v>
      </c>
      <c r="AI125" s="248">
        <f>IF(Year5_Wokingham Year5_LAC_under16_2.5years="","",Year5_Wokingham Year5_LAC_under16_2.5years)</f>
        <v>29</v>
      </c>
      <c r="AJ125" s="121"/>
    </row>
    <row r="126" spans="1:36" s="61" customFormat="1" ht="13.5" customHeight="1">
      <c r="A126" s="1103">
        <f>VLOOKUP(B126,ReportData!$AQ$4:$AR$25,2,FALSE)</f>
        <v>0</v>
      </c>
      <c r="B126" s="885" t="str">
        <f t="shared" si="43"/>
        <v>Windsor &amp; Maidenhead</v>
      </c>
      <c r="C126" s="896"/>
      <c r="D126" s="922">
        <f t="shared" si="44"/>
        <v>0.46875</v>
      </c>
      <c r="E126" s="922">
        <f t="shared" si="44"/>
        <v>0.30612244897959184</v>
      </c>
      <c r="F126" s="922">
        <f t="shared" si="44"/>
        <v>0.32941176470588235</v>
      </c>
      <c r="G126" s="922">
        <f t="shared" si="44"/>
        <v>0.37634408602150538</v>
      </c>
      <c r="H126" s="923">
        <f t="shared" si="44"/>
        <v>0.37254901960784315</v>
      </c>
      <c r="I126" s="68"/>
      <c r="J126" s="68"/>
      <c r="K126" s="127"/>
      <c r="L126" s="127"/>
      <c r="M126" s="127"/>
      <c r="N126" s="127"/>
      <c r="O126" s="127"/>
      <c r="P126" s="127"/>
      <c r="Q126" s="127"/>
      <c r="R126" s="128"/>
      <c r="S126" s="120"/>
      <c r="T126" s="127"/>
      <c r="U126" s="89"/>
      <c r="V126" s="103"/>
      <c r="W126" s="115"/>
      <c r="X126" s="352" t="str">
        <f t="shared" si="34"/>
        <v>South East</v>
      </c>
      <c r="Y126" s="252">
        <f>IF(Year1_South_East Year1_LAC_under16="","",Year1_South_East Year1_LAC_under16)</f>
        <v>7479</v>
      </c>
      <c r="Z126" s="248">
        <f>IF(Year2_South_East Year2_LAC_under16="","",Year2_South_East Year2_LAC_under16)</f>
        <v>7646</v>
      </c>
      <c r="AA126" s="248">
        <f>IF(Year3_South_East Year3_LAC_under16="","",Year3_South_East Year3_LAC_under16)</f>
        <v>7824</v>
      </c>
      <c r="AB126" s="248">
        <f>IF(Year4_South_East Year4_LAC_under16="","",Year4_South_East Year4_LAC_under16)</f>
        <v>7830</v>
      </c>
      <c r="AC126" s="352">
        <f>IF(Year5_South_East Year5_LAC_under16="","",Year5_South_East Year5_LAC_under16)</f>
        <v>7570</v>
      </c>
      <c r="AD126" s="252" t="str">
        <f t="shared" si="42"/>
        <v>South East</v>
      </c>
      <c r="AE126" s="307">
        <f>IF(Year1_South_East Year1_LAC_under16_2.5years="","",Year1_South_East Year1_LAC_under16_2.5years)</f>
        <v>3377</v>
      </c>
      <c r="AF126" s="307">
        <f>IF(Year2_South_East Year2_LAC_under16_2.5years="","",Year2_South_East Year2_LAC_under16_2.5years)</f>
        <v>3477</v>
      </c>
      <c r="AG126" s="307">
        <f>IF(Year3_South_East Year3_LAC_under16_2.5years="","",Year3_South_East Year3_LAC_under16_2.5years)</f>
        <v>3574</v>
      </c>
      <c r="AH126" s="307">
        <f>IF(Year4_South_East Year4_LAC_under16_2.5years="","",Year4_South_East Year4_LAC_under16_2.5years)</f>
        <v>3560</v>
      </c>
      <c r="AI126" s="307">
        <f>IF(Year5_South_East Year5_LAC_under16_2.5years="","",Year5_South_East Year5_LAC_under16_2.5years)</f>
        <v>3530</v>
      </c>
      <c r="AJ126" s="121"/>
    </row>
    <row r="127" spans="1:36" s="61" customFormat="1" ht="13.5" customHeight="1">
      <c r="A127" s="1103">
        <f>VLOOKUP(B127,ReportData!$AQ$4:$AR$25,2,FALSE)</f>
        <v>0</v>
      </c>
      <c r="B127" s="885" t="str">
        <f t="shared" si="43"/>
        <v>Wokingham</v>
      </c>
      <c r="C127" s="896"/>
      <c r="D127" s="922">
        <f t="shared" si="44"/>
        <v>0.24489795918367346</v>
      </c>
      <c r="E127" s="922">
        <f t="shared" si="44"/>
        <v>0.23943661971830985</v>
      </c>
      <c r="F127" s="922">
        <f t="shared" si="44"/>
        <v>0.28260869565217389</v>
      </c>
      <c r="G127" s="922">
        <f t="shared" si="44"/>
        <v>0.32222222222222224</v>
      </c>
      <c r="H127" s="923">
        <f t="shared" si="44"/>
        <v>0.35365853658536583</v>
      </c>
      <c r="I127" s="68"/>
      <c r="J127" s="68"/>
      <c r="K127" s="127"/>
      <c r="L127" s="127"/>
      <c r="M127" s="127"/>
      <c r="N127" s="127"/>
      <c r="O127" s="127"/>
      <c r="P127" s="127"/>
      <c r="Q127" s="127"/>
      <c r="R127" s="128"/>
      <c r="S127" s="120"/>
      <c r="T127" s="127"/>
      <c r="U127" s="89"/>
      <c r="V127" s="103"/>
      <c r="W127" s="115"/>
      <c r="X127" s="352" t="str">
        <f t="shared" si="34"/>
        <v>England</v>
      </c>
      <c r="Y127" s="252">
        <f>IF(Year1_England Year1_LAC_under16="","",Year1_England Year1_LAC_under16)</f>
        <v>61050</v>
      </c>
      <c r="Z127" s="248">
        <f>IF(Year2_England Year2_LAC_under16="","",Year2_England Year2_LAC_under16)</f>
        <v>61674</v>
      </c>
      <c r="AA127" s="248">
        <f>IF(Year3_England Year3_LAC_under16="","",Year3_England Year3_LAC_under16)</f>
        <v>61910</v>
      </c>
      <c r="AB127" s="248">
        <f>IF(Year4_England Year4_LAC_under16="","",Year4_England Year4_LAC_under16)</f>
        <v>61760</v>
      </c>
      <c r="AC127" s="352">
        <f>IF(Year5_England Year5_LAC_under16="","",Year5_England Year5_LAC_under16)</f>
        <v>61010</v>
      </c>
      <c r="AD127" s="252" t="str">
        <f t="shared" si="42"/>
        <v>England</v>
      </c>
      <c r="AE127" s="307">
        <f>IF(Year1_England Year1_LAC_under16_2.5years="","",Year1_England Year1_LAC_under16_2.5years)</f>
        <v>27170</v>
      </c>
      <c r="AF127" s="307">
        <f>IF(Year2_England Year2_LAC_under16_2.5years="","",Year2_England Year2_LAC_under16_2.5years)</f>
        <v>28650</v>
      </c>
      <c r="AG127" s="307">
        <f>IF(Year3_England Year3_LAC_under16_2.5years="","",Year3_England Year3_LAC_under16_2.5years)</f>
        <v>29550</v>
      </c>
      <c r="AH127" s="248">
        <f>IF(Year4_England Year4_LAC_under16_2.5years="","",Year4_England Year4_LAC_under16_2.5years)</f>
        <v>29630</v>
      </c>
      <c r="AI127" s="248">
        <f>IF(Year5_England Year5_LAC_under16_2.5years="","",Year5_England Year5_LAC_under16_2.5years)</f>
        <v>29000</v>
      </c>
      <c r="AJ127" s="121"/>
    </row>
    <row r="128" spans="1:36" s="61" customFormat="1" ht="13.5" customHeight="1">
      <c r="A128" s="1148"/>
      <c r="B128" s="886" t="str">
        <f t="shared" si="43"/>
        <v>South East</v>
      </c>
      <c r="C128" s="896"/>
      <c r="D128" s="924">
        <f t="shared" si="44"/>
        <v>0.45153095333600751</v>
      </c>
      <c r="E128" s="924">
        <f t="shared" si="44"/>
        <v>0.45474758043421398</v>
      </c>
      <c r="F128" s="924">
        <f t="shared" si="44"/>
        <v>0.45679959100204498</v>
      </c>
      <c r="G128" s="924">
        <f t="shared" si="44"/>
        <v>0.454661558109834</v>
      </c>
      <c r="H128" s="925">
        <f t="shared" si="44"/>
        <v>0.46631439894319682</v>
      </c>
      <c r="I128" s="68"/>
      <c r="J128" s="68"/>
      <c r="K128" s="129"/>
      <c r="L128" s="129"/>
      <c r="M128" s="129"/>
      <c r="N128" s="129"/>
      <c r="O128" s="129"/>
      <c r="P128" s="129"/>
      <c r="Q128" s="129"/>
      <c r="R128" s="130"/>
      <c r="S128" s="120"/>
      <c r="T128" s="131"/>
      <c r="U128" s="89"/>
      <c r="V128" s="103"/>
      <c r="W128" s="115"/>
      <c r="AJ128" s="121"/>
    </row>
    <row r="129" spans="1:76" s="61" customFormat="1" ht="13.5" customHeight="1">
      <c r="A129" s="1148"/>
      <c r="B129" s="887" t="str">
        <f t="shared" si="43"/>
        <v>England</v>
      </c>
      <c r="C129" s="896"/>
      <c r="D129" s="926">
        <f t="shared" si="44"/>
        <v>0.44504504504504505</v>
      </c>
      <c r="E129" s="926">
        <f t="shared" si="44"/>
        <v>0.46453935207705027</v>
      </c>
      <c r="F129" s="926">
        <f t="shared" si="44"/>
        <v>0.47730576643514777</v>
      </c>
      <c r="G129" s="926">
        <f t="shared" si="44"/>
        <v>0.4797603626943005</v>
      </c>
      <c r="H129" s="927">
        <f t="shared" si="44"/>
        <v>0.47533191280118015</v>
      </c>
      <c r="I129" s="68"/>
      <c r="J129" s="68"/>
      <c r="K129" s="129"/>
      <c r="L129" s="129"/>
      <c r="M129" s="129"/>
      <c r="N129" s="129"/>
      <c r="O129" s="129"/>
      <c r="P129" s="129"/>
      <c r="Q129" s="129"/>
      <c r="R129" s="130"/>
      <c r="S129" s="120"/>
      <c r="T129" s="131"/>
      <c r="U129" s="89"/>
      <c r="V129" s="103"/>
      <c r="W129" s="114"/>
      <c r="AJ129" s="122"/>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row>
    <row r="130" spans="1:76" s="61" customFormat="1" ht="4.5" customHeight="1">
      <c r="A130" s="217"/>
      <c r="B130" s="68"/>
      <c r="C130" s="68"/>
      <c r="D130" s="68"/>
      <c r="E130" s="68"/>
      <c r="F130" s="68"/>
      <c r="G130" s="68"/>
      <c r="H130" s="68"/>
      <c r="I130" s="68"/>
      <c r="J130" s="68"/>
      <c r="K130" s="129"/>
      <c r="L130" s="129"/>
      <c r="M130" s="129"/>
      <c r="N130" s="129"/>
      <c r="O130" s="129"/>
      <c r="P130" s="129"/>
      <c r="Q130" s="129"/>
      <c r="R130" s="130"/>
      <c r="S130" s="120"/>
      <c r="T130" s="131"/>
      <c r="U130" s="89"/>
      <c r="V130" s="103"/>
      <c r="W130" s="114"/>
      <c r="X130" s="56"/>
      <c r="Y130" s="141"/>
      <c r="Z130" s="56"/>
      <c r="AA130" s="56"/>
      <c r="AB130" s="56"/>
      <c r="AC130" s="56"/>
      <c r="AD130" s="149"/>
      <c r="AE130" s="52"/>
      <c r="AF130" s="52"/>
      <c r="AG130" s="52"/>
      <c r="AH130" s="56"/>
      <c r="AI130" s="52"/>
      <c r="AJ130" s="122"/>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row>
    <row r="131" spans="1:76" s="56" customFormat="1" ht="42" customHeight="1">
      <c r="A131" s="166"/>
      <c r="B131" s="171"/>
      <c r="C131" s="171"/>
      <c r="D131" s="171"/>
      <c r="E131" s="171"/>
      <c r="F131" s="171"/>
      <c r="G131" s="171"/>
      <c r="H131" s="171"/>
      <c r="I131" s="171"/>
      <c r="J131" s="133"/>
      <c r="K131" s="133"/>
      <c r="L131" s="133"/>
      <c r="M131" s="133"/>
      <c r="N131" s="133"/>
      <c r="O131" s="133"/>
      <c r="P131" s="133"/>
      <c r="Q131" s="133"/>
      <c r="R131" s="101"/>
      <c r="S131" s="133"/>
      <c r="T131" s="133"/>
      <c r="U131" s="86"/>
      <c r="V131" s="102"/>
      <c r="W131" s="114"/>
      <c r="Y131" s="141"/>
      <c r="AD131" s="149"/>
      <c r="AE131" s="52"/>
      <c r="AF131" s="52"/>
      <c r="AG131" s="52"/>
      <c r="AI131" s="52"/>
      <c r="AJ131" s="122"/>
    </row>
    <row r="132" spans="1:76" s="56" customFormat="1" ht="42.75" customHeight="1">
      <c r="A132" s="166"/>
      <c r="B132" s="171"/>
      <c r="C132" s="171"/>
      <c r="D132" s="171"/>
      <c r="E132" s="171"/>
      <c r="F132" s="171"/>
      <c r="G132" s="171"/>
      <c r="H132" s="171"/>
      <c r="I132" s="171"/>
      <c r="J132" s="133"/>
      <c r="K132" s="133"/>
      <c r="L132" s="133"/>
      <c r="M132" s="133"/>
      <c r="N132" s="133"/>
      <c r="O132" s="133"/>
      <c r="P132" s="133"/>
      <c r="Q132" s="133"/>
      <c r="R132" s="101"/>
      <c r="S132" s="133"/>
      <c r="T132" s="133"/>
      <c r="U132" s="86"/>
      <c r="V132" s="102"/>
      <c r="W132" s="114"/>
      <c r="Y132" s="141"/>
      <c r="AI132" s="52"/>
      <c r="AJ132" s="119"/>
      <c r="AK132" s="52"/>
      <c r="AL132" s="52"/>
      <c r="AM132" s="52"/>
      <c r="AN132" s="52"/>
      <c r="AO132" s="52"/>
      <c r="AP132" s="52"/>
      <c r="AQ132" s="52"/>
    </row>
    <row r="133" spans="1:76" s="56" customFormat="1" ht="42" customHeight="1">
      <c r="A133" s="166"/>
      <c r="B133" s="171"/>
      <c r="C133" s="171"/>
      <c r="D133" s="171"/>
      <c r="E133" s="171"/>
      <c r="F133" s="171"/>
      <c r="G133" s="171"/>
      <c r="H133" s="171"/>
      <c r="I133" s="171"/>
      <c r="J133" s="133"/>
      <c r="K133" s="133"/>
      <c r="L133" s="133"/>
      <c r="M133" s="133"/>
      <c r="N133" s="133"/>
      <c r="O133" s="133"/>
      <c r="P133" s="133"/>
      <c r="Q133" s="133"/>
      <c r="R133" s="101"/>
      <c r="S133" s="133"/>
      <c r="T133" s="133"/>
      <c r="U133" s="86"/>
      <c r="V133" s="121"/>
      <c r="W133" s="114"/>
      <c r="AJ133" s="122"/>
      <c r="AS133" s="52"/>
    </row>
    <row r="134" spans="1:76" s="56" customFormat="1" ht="7.5" customHeight="1">
      <c r="A134" s="87"/>
      <c r="B134" s="12"/>
      <c r="C134" s="12"/>
      <c r="D134" s="11"/>
      <c r="E134" s="11"/>
      <c r="F134" s="11"/>
      <c r="G134" s="11"/>
      <c r="H134" s="11"/>
      <c r="I134" s="11"/>
      <c r="J134" s="1"/>
      <c r="K134" s="13"/>
      <c r="L134" s="13"/>
      <c r="M134" s="13"/>
      <c r="N134" s="13"/>
      <c r="O134" s="13"/>
      <c r="P134" s="13"/>
      <c r="Q134" s="13"/>
      <c r="R134" s="13"/>
      <c r="S134" s="13"/>
      <c r="T134" s="14"/>
      <c r="U134" s="86"/>
      <c r="V134" s="185"/>
      <c r="W134" s="114"/>
      <c r="AI134" s="52"/>
      <c r="AJ134" s="121"/>
      <c r="AK134" s="61"/>
      <c r="AS134" s="52"/>
    </row>
    <row r="135" spans="1:76" s="56" customFormat="1" ht="15" customHeight="1">
      <c r="A135" s="208"/>
      <c r="B135" s="12"/>
      <c r="C135" s="12"/>
      <c r="D135" s="11"/>
      <c r="E135" s="11"/>
      <c r="F135" s="11"/>
      <c r="G135" s="11"/>
      <c r="H135" s="11"/>
      <c r="I135" s="11"/>
      <c r="J135" s="1"/>
      <c r="K135" s="13"/>
      <c r="L135" s="13"/>
      <c r="M135" s="13"/>
      <c r="N135" s="13"/>
      <c r="O135" s="13"/>
      <c r="P135" s="13"/>
      <c r="Q135" s="13"/>
      <c r="R135" s="13"/>
      <c r="S135" s="13"/>
      <c r="T135" s="14"/>
      <c r="U135" s="86"/>
      <c r="V135" s="185"/>
      <c r="W135" s="114"/>
      <c r="AI135" s="52"/>
      <c r="AJ135" s="121"/>
      <c r="AK135" s="61"/>
      <c r="AS135" s="52"/>
    </row>
    <row r="136" spans="1:76" s="56" customFormat="1" ht="11.25" customHeight="1">
      <c r="A136" s="1739"/>
      <c r="B136" s="1740"/>
      <c r="C136" s="1740"/>
      <c r="D136" s="1740"/>
      <c r="E136" s="1740"/>
      <c r="F136" s="1740"/>
      <c r="G136" s="1740"/>
      <c r="H136" s="1740"/>
      <c r="I136" s="1741"/>
      <c r="J136" s="1740"/>
      <c r="K136" s="1740"/>
      <c r="L136" s="1740"/>
      <c r="M136" s="1740"/>
      <c r="N136" s="1740"/>
      <c r="O136" s="1740"/>
      <c r="P136" s="1742"/>
      <c r="Q136" s="1740"/>
      <c r="R136" s="1740"/>
      <c r="S136" s="1741"/>
      <c r="T136" s="1740"/>
      <c r="U136" s="1743"/>
      <c r="V136" s="185"/>
      <c r="W136" s="114"/>
      <c r="X136" s="148"/>
      <c r="Y136" s="146"/>
      <c r="Z136" s="52"/>
      <c r="AI136" s="52"/>
      <c r="AJ136" s="12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row>
    <row r="137" spans="1:76" ht="10.5" customHeight="1" thickBot="1">
      <c r="A137" s="81"/>
      <c r="B137" s="82"/>
      <c r="C137" s="82"/>
      <c r="D137" s="82"/>
      <c r="E137" s="82"/>
      <c r="F137" s="82"/>
      <c r="G137" s="82"/>
      <c r="H137" s="82"/>
      <c r="I137" s="82"/>
      <c r="J137" s="83"/>
      <c r="K137" s="82"/>
      <c r="L137" s="82"/>
      <c r="M137" s="82"/>
      <c r="N137" s="82"/>
      <c r="O137" s="82"/>
      <c r="P137" s="82"/>
      <c r="Q137" s="82"/>
      <c r="R137" s="82"/>
      <c r="S137" s="82"/>
      <c r="T137" s="82"/>
      <c r="U137" s="84"/>
      <c r="V137" s="102"/>
      <c r="W137" s="114"/>
      <c r="X137" s="249" t="s">
        <v>135</v>
      </c>
      <c r="Y137" s="250"/>
      <c r="Z137" s="251"/>
      <c r="AA137" s="251"/>
      <c r="AB137" s="251"/>
      <c r="AD137" s="249"/>
      <c r="AE137" s="250"/>
      <c r="AF137" s="251"/>
      <c r="AG137" s="251"/>
      <c r="AH137" s="251"/>
      <c r="AI137" s="56"/>
      <c r="AJ137" s="122"/>
    </row>
    <row r="138" spans="1:76" ht="18.75" customHeight="1">
      <c r="A138" s="87"/>
      <c r="B138" s="1919" t="str">
        <f>"% Children Looked After 2.5+ yrs"&amp;Y1 &amp;" who had been in the same placement for 2+yrs [SCB38]"</f>
        <v>% Children Looked After 2.5+ yrs at 31st March who had been in the same placement for 2+yrs [SCB38]</v>
      </c>
      <c r="C138" s="1919"/>
      <c r="D138" s="1919"/>
      <c r="E138" s="1919"/>
      <c r="F138" s="1919"/>
      <c r="G138" s="1919"/>
      <c r="H138" s="1919"/>
      <c r="I138" s="76"/>
      <c r="J138" s="50"/>
      <c r="K138" s="50"/>
      <c r="L138" s="50"/>
      <c r="M138" s="50"/>
      <c r="N138" s="224"/>
      <c r="O138" s="50"/>
      <c r="P138" s="50"/>
      <c r="Q138" s="50"/>
      <c r="R138" s="50"/>
      <c r="S138" s="50"/>
      <c r="T138" s="50"/>
      <c r="U138" s="86"/>
      <c r="V138" s="102"/>
      <c r="W138" s="114"/>
      <c r="X138" s="251"/>
      <c r="Y138" s="461" t="str">
        <f>IF(ReportData!$C$3="Annual","",ReportData!$D$28)</f>
        <v/>
      </c>
      <c r="Z138" s="462" t="str">
        <f>IF(ReportData!$C$3="Annual","",ReportData!$E$28)</f>
        <v/>
      </c>
      <c r="AA138" s="462" t="str">
        <f>IF(ReportData!$C$3="Annual","",ReportData!$F$28)</f>
        <v/>
      </c>
      <c r="AB138" s="462" t="str">
        <f>IF(ReportData!$C$3="Annual","",ReportData!$G$28)</f>
        <v/>
      </c>
      <c r="AC138" s="463" t="str">
        <f>IF(ReportData!$C$3="Annual","",ReportData!$H$28)</f>
        <v/>
      </c>
      <c r="AD138" s="249"/>
      <c r="AE138" s="250"/>
      <c r="AF138" s="251"/>
      <c r="AG138" s="251"/>
      <c r="AH138" s="251"/>
      <c r="AI138" s="56"/>
      <c r="AJ138" s="122"/>
    </row>
    <row r="139" spans="1:76" ht="18.75" customHeight="1" thickBot="1">
      <c r="A139" s="87"/>
      <c r="B139" s="1919"/>
      <c r="C139" s="1919"/>
      <c r="D139" s="1919"/>
      <c r="E139" s="1919"/>
      <c r="F139" s="1919"/>
      <c r="G139" s="1919"/>
      <c r="H139" s="1919"/>
      <c r="I139" s="76"/>
      <c r="J139" s="50"/>
      <c r="K139" s="50"/>
      <c r="L139" s="50"/>
      <c r="M139" s="50"/>
      <c r="N139" s="224"/>
      <c r="O139" s="50"/>
      <c r="P139" s="50"/>
      <c r="Q139" s="50"/>
      <c r="R139" s="5"/>
      <c r="S139" s="50"/>
      <c r="T139" s="50"/>
      <c r="U139" s="86"/>
      <c r="V139" s="102"/>
      <c r="W139" s="115"/>
      <c r="X139" s="248"/>
      <c r="Y139" s="464" t="str">
        <f>ReportData!$D$27</f>
        <v>2019/20</v>
      </c>
      <c r="Z139" s="465" t="str">
        <f>ReportData!$E$27</f>
        <v>2020/21</v>
      </c>
      <c r="AA139" s="465" t="str">
        <f>ReportData!$F$27</f>
        <v>2021/22</v>
      </c>
      <c r="AB139" s="465" t="str">
        <f>ReportData!$G$27</f>
        <v>2022/23</v>
      </c>
      <c r="AC139" s="466" t="str">
        <f>ReportData!$H$27</f>
        <v>2023/24</v>
      </c>
      <c r="AD139" s="249"/>
      <c r="AE139" s="250"/>
      <c r="AF139" s="251"/>
      <c r="AG139" s="251"/>
      <c r="AH139" s="251"/>
      <c r="AI139" s="56"/>
      <c r="AJ139" s="12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row>
    <row r="140" spans="1:76" ht="18.75" customHeight="1">
      <c r="A140" s="208"/>
      <c r="B140" s="1749" t="s">
        <v>177</v>
      </c>
      <c r="C140" s="230"/>
      <c r="D140" s="1088" t="str">
        <f>ReportData!$D$27</f>
        <v>2019/20</v>
      </c>
      <c r="E140" s="1088" t="str">
        <f>ReportData!$E$27</f>
        <v>2020/21</v>
      </c>
      <c r="F140" s="1088" t="str">
        <f>ReportData!$F$27</f>
        <v>2021/22</v>
      </c>
      <c r="G140" s="1088" t="str">
        <f>ReportData!$G$27</f>
        <v>2022/23</v>
      </c>
      <c r="H140" s="1089" t="str">
        <f>ReportData!$H$27</f>
        <v>2023/24</v>
      </c>
      <c r="I140" s="230"/>
      <c r="J140" s="50"/>
      <c r="K140" s="50"/>
      <c r="L140" s="50"/>
      <c r="M140" s="50"/>
      <c r="N140" s="224"/>
      <c r="O140" s="50"/>
      <c r="P140" s="50"/>
      <c r="Q140" s="50"/>
      <c r="R140" s="5"/>
      <c r="S140" s="50"/>
      <c r="T140" s="50"/>
      <c r="U140" s="86"/>
      <c r="V140" s="102"/>
      <c r="W140" s="115"/>
      <c r="X140" s="248" t="str">
        <f t="shared" ref="X140:X152" si="45">B142</f>
        <v>Bracknell Forest</v>
      </c>
      <c r="Y140" s="307">
        <f>IF(Year1_Bracknell_Forest Year1_LAC_under16_2.5years_sameplacement2years="","",Year1_Bracknell_Forest Year1_LAC_under16_2.5years_sameplacement2years)</f>
        <v>21</v>
      </c>
      <c r="Z140" s="248">
        <f>IF(Year2_Bracknell_Forest Year2_LAC_under16_2.5years_sameplacement2years="","",Year2_Bracknell_Forest Year2_LAC_under16_2.5years_sameplacement2years)</f>
        <v>24</v>
      </c>
      <c r="AA140" s="248">
        <f>IF(Year3_Bracknell_Forest Year3_LAC_under16_2.5years_sameplacement2years="","",Year3_Bracknell_Forest Year3_LAC_under16_2.5years_sameplacement2years)</f>
        <v>29</v>
      </c>
      <c r="AB140" s="248">
        <f>IF(Year4_Bracknell_Forest Year4_LAC_under16_2.5years_sameplacement2years="","",Year4_Bracknell_Forest Year4_LAC_under16_2.5years_sameplacement2years)</f>
        <v>25</v>
      </c>
      <c r="AC140" s="248">
        <f>IF(Year5_Bracknell_Forest Year5_LAC_under16_2.5years_sameplacement2years="","",Year5_Bracknell_Forest Year5_LAC_under16_2.5years_sameplacement2years)</f>
        <v>23</v>
      </c>
      <c r="AD140" s="249"/>
      <c r="AE140" s="250"/>
      <c r="AF140" s="251"/>
      <c r="AG140" s="251"/>
      <c r="AH140" s="251"/>
      <c r="AI140" s="56"/>
      <c r="AJ140" s="122"/>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row>
    <row r="141" spans="1:76" s="61" customFormat="1" ht="16.5" customHeight="1">
      <c r="A141" s="88"/>
      <c r="B141" s="1750"/>
      <c r="C141" s="59"/>
      <c r="D141" s="897" t="e">
        <f>ReportData!$D$28</f>
        <v>#N/A</v>
      </c>
      <c r="E141" s="897" t="e">
        <f>ReportData!$E$28</f>
        <v>#N/A</v>
      </c>
      <c r="F141" s="897" t="e">
        <f>ReportData!$F$28</f>
        <v>#N/A</v>
      </c>
      <c r="G141" s="897" t="e">
        <f>ReportData!$G$28</f>
        <v>#N/A</v>
      </c>
      <c r="H141" s="920" t="e">
        <f>ReportData!$H$28</f>
        <v>#N/A</v>
      </c>
      <c r="I141" s="68"/>
      <c r="J141" s="68"/>
      <c r="K141" s="43"/>
      <c r="L141" s="43"/>
      <c r="M141" s="43"/>
      <c r="N141" s="43"/>
      <c r="O141" s="43"/>
      <c r="P141" s="43"/>
      <c r="Q141" s="225"/>
      <c r="R141" s="225"/>
      <c r="S141" s="120"/>
      <c r="T141" s="226"/>
      <c r="U141" s="89"/>
      <c r="V141" s="103"/>
      <c r="W141" s="115"/>
      <c r="X141" s="248" t="str">
        <f t="shared" si="45"/>
        <v>Brighton &amp; Hove</v>
      </c>
      <c r="Y141" s="307">
        <f>IF(Year1_Brighton_and_Hove Year1_LAC_under16_2.5years_sameplacement2years="","",Year1_Brighton_and_Hove Year1_LAC_under16_2.5years_sameplacement2years)</f>
        <v>76</v>
      </c>
      <c r="Z141" s="248">
        <f>IF(Year2_Brighton_and_Hove Year2_LAC_under16_2.5years_sameplacement2years="","",Year2_Brighton_and_Hove Year2_LAC_under16_2.5years_sameplacement2years)</f>
        <v>72</v>
      </c>
      <c r="AA141" s="248">
        <f>IF(Year3_Brighton_and_Hove Year3_LAC_under16_2.5years_sameplacement2years="","",Year3_Brighton_and_Hove Year3_LAC_under16_2.5years_sameplacement2years)</f>
        <v>80</v>
      </c>
      <c r="AB141" s="248">
        <f>IF(Year4_Brighton_and_Hove Year4_LAC_under16_2.5years_sameplacement2years="","",Year4_Brighton_and_Hove Year4_LAC_under16_2.5years_sameplacement2years)</f>
        <v>89</v>
      </c>
      <c r="AC141" s="248">
        <f>IF(Year5_Brighton_and_Hove Year5_LAC_under16_2.5years_sameplacement2years="","",Year5_Brighton_and_Hove Year5_LAC_under16_2.5years_sameplacement2years)</f>
        <v>90</v>
      </c>
      <c r="AD141" s="249"/>
      <c r="AE141" s="376"/>
      <c r="AF141" s="251"/>
      <c r="AG141" s="251"/>
      <c r="AH141" s="251"/>
      <c r="AI141" s="56"/>
      <c r="AJ141" s="121"/>
    </row>
    <row r="142" spans="1:76" s="61" customFormat="1" ht="13.5" customHeight="1">
      <c r="A142" s="1103">
        <f>VLOOKUP(B142,ReportData!$AQ$4:$AR$25,2,FALSE)</f>
        <v>0</v>
      </c>
      <c r="B142" s="885" t="str">
        <f t="shared" ref="B142:B162" si="46">B11</f>
        <v>Bracknell Forest</v>
      </c>
      <c r="C142" s="59"/>
      <c r="D142" s="922">
        <f t="shared" ref="D142:D154" si="47">IF(AND(ISNUMBER(Y140),ISNUMBER(AE107)),Y140/AE107,NA())</f>
        <v>0.51219512195121952</v>
      </c>
      <c r="E142" s="922">
        <f t="shared" ref="E142:E154" si="48">IF(AND(ISNUMBER(Z140),ISNUMBER(AF107)),Z140/AF107,NA())</f>
        <v>0.45283018867924529</v>
      </c>
      <c r="F142" s="922">
        <f t="shared" ref="F142:F154" si="49">IF(AND(ISNUMBER(AA140),ISNUMBER(AG107)),AA140/AG107,NA())</f>
        <v>0.54716981132075471</v>
      </c>
      <c r="G142" s="922">
        <f t="shared" ref="G142:G154" si="50">IF(AND(ISNUMBER(AB140),ISNUMBER(AH107)),AB140/AH107,NA())</f>
        <v>0.625</v>
      </c>
      <c r="H142" s="923">
        <f t="shared" ref="H142:H154" si="51">IF(AND(ISNUMBER(AC140),ISNUMBER(AI107)),AC140/AI107,NA())</f>
        <v>0.63888888888888884</v>
      </c>
      <c r="I142" s="68"/>
      <c r="J142" s="68"/>
      <c r="K142" s="127"/>
      <c r="L142" s="127"/>
      <c r="M142" s="127"/>
      <c r="N142" s="127"/>
      <c r="O142" s="127"/>
      <c r="P142" s="127"/>
      <c r="Q142" s="127"/>
      <c r="R142" s="128"/>
      <c r="S142" s="120"/>
      <c r="T142" s="127"/>
      <c r="U142" s="89"/>
      <c r="V142" s="103"/>
      <c r="W142" s="115"/>
      <c r="X142" s="248" t="str">
        <f t="shared" si="45"/>
        <v>Buckinghamshire</v>
      </c>
      <c r="Y142" s="307" t="str">
        <f>IF(Year1_Buckinghamshire Year1_LAC_under16_2.5years_sameplacement2years="","",Year1_Buckinghamshire Year1_LAC_under16_2.5years_sameplacement2years)</f>
        <v/>
      </c>
      <c r="Z142" s="248">
        <f>IF(Year2_Buckinghamshire Year2_LAC_under16_2.5years_sameplacement2years="","",Year2_Buckinghamshire Year2_LAC_under16_2.5years_sameplacement2years)</f>
        <v>121</v>
      </c>
      <c r="AA142" s="248">
        <f>IF(Year3_Buckinghamshire Year3_LAC_under16_2.5years_sameplacement2years="","",Year3_Buckinghamshire Year3_LAC_under16_2.5years_sameplacement2years)</f>
        <v>102</v>
      </c>
      <c r="AB142" s="248">
        <f>IF(Year4_Buckinghamshire Year4_LAC_under16_2.5years_sameplacement2years="","",Year4_Buckinghamshire Year4_LAC_under16_2.5years_sameplacement2years)</f>
        <v>97</v>
      </c>
      <c r="AC142" s="248">
        <f>IF(Year5_Buckinghamshire Year5_LAC_under16_2.5years_sameplacement2years="","",Year5_Buckinghamshire Year5_LAC_under16_2.5years_sameplacement2years)</f>
        <v>96</v>
      </c>
      <c r="AD142" s="249"/>
      <c r="AE142" s="376"/>
      <c r="AF142" s="251"/>
      <c r="AG142" s="251"/>
      <c r="AH142" s="251"/>
      <c r="AI142" s="56"/>
      <c r="AJ142" s="122"/>
    </row>
    <row r="143" spans="1:76" s="61" customFormat="1" ht="13.5" customHeight="1">
      <c r="A143" s="1103">
        <f>VLOOKUP(B143,ReportData!$AQ$4:$AR$25,2,FALSE)</f>
        <v>0</v>
      </c>
      <c r="B143" s="885" t="str">
        <f t="shared" si="46"/>
        <v>Brighton &amp; Hove</v>
      </c>
      <c r="C143" s="59"/>
      <c r="D143" s="922">
        <f t="shared" si="47"/>
        <v>0.6386554621848739</v>
      </c>
      <c r="E143" s="922">
        <f t="shared" si="48"/>
        <v>0.63716814159292035</v>
      </c>
      <c r="F143" s="922">
        <f t="shared" si="49"/>
        <v>0.66666666666666663</v>
      </c>
      <c r="G143" s="922">
        <f t="shared" si="50"/>
        <v>0.74789915966386555</v>
      </c>
      <c r="H143" s="923">
        <f t="shared" si="51"/>
        <v>0.76271186440677963</v>
      </c>
      <c r="I143" s="68"/>
      <c r="J143" s="68"/>
      <c r="K143" s="127"/>
      <c r="L143" s="127"/>
      <c r="M143" s="127"/>
      <c r="N143" s="127"/>
      <c r="O143" s="127"/>
      <c r="P143" s="127"/>
      <c r="Q143" s="127"/>
      <c r="R143" s="128"/>
      <c r="S143" s="120"/>
      <c r="T143" s="127"/>
      <c r="U143" s="89"/>
      <c r="V143" s="103"/>
      <c r="W143" s="115"/>
      <c r="X143" s="248" t="str">
        <f t="shared" si="45"/>
        <v>East Sussex</v>
      </c>
      <c r="Y143" s="307">
        <f>IF(Year1_East_Sussex Year1_LAC_under16_2.5years_sameplacement2years="","",Year1_East_Sussex Year1_LAC_under16_2.5years_sameplacement2years)</f>
        <v>119</v>
      </c>
      <c r="Z143" s="248">
        <f>IF(Year2_East_Sussex Year2_LAC_under16_2.5years_sameplacement2years="","",Year2_East_Sussex Year2_LAC_under16_2.5years_sameplacement2years)</f>
        <v>160</v>
      </c>
      <c r="AA143" s="248">
        <f>IF(Year3_East_Sussex Year3_LAC_under16_2.5years_sameplacement2years="","",Year3_East_Sussex Year3_LAC_under16_2.5years_sameplacement2years)</f>
        <v>178</v>
      </c>
      <c r="AB143" s="248">
        <f>IF(Year4_East_Sussex Year4_LAC_under16_2.5years_sameplacement2years="","",Year4_East_Sussex Year4_LAC_under16_2.5years_sameplacement2years)</f>
        <v>172</v>
      </c>
      <c r="AC143" s="248">
        <f>IF(Year5_East_Sussex Year5_LAC_under16_2.5years_sameplacement2years="","",Year5_East_Sussex Year5_LAC_under16_2.5years_sameplacement2years)</f>
        <v>162</v>
      </c>
      <c r="AD143" s="249"/>
      <c r="AE143" s="376"/>
      <c r="AF143" s="251"/>
      <c r="AG143" s="251"/>
      <c r="AH143" s="251"/>
      <c r="AI143" s="56"/>
      <c r="AJ143" s="121"/>
    </row>
    <row r="144" spans="1:76" s="61" customFormat="1" ht="13.5" customHeight="1">
      <c r="A144" s="1103">
        <f>VLOOKUP(B144,ReportData!$AQ$4:$AR$25,2,FALSE)</f>
        <v>0</v>
      </c>
      <c r="B144" s="885" t="str">
        <f t="shared" si="46"/>
        <v>Buckinghamshire</v>
      </c>
      <c r="C144" s="59"/>
      <c r="D144" s="922" t="e">
        <f t="shared" si="47"/>
        <v>#N/A</v>
      </c>
      <c r="E144" s="922">
        <f t="shared" si="48"/>
        <v>0.76100628930817615</v>
      </c>
      <c r="F144" s="922">
        <f t="shared" si="49"/>
        <v>0.68456375838926176</v>
      </c>
      <c r="G144" s="922">
        <f t="shared" si="50"/>
        <v>0.61392405063291144</v>
      </c>
      <c r="H144" s="923">
        <f t="shared" si="51"/>
        <v>0.66666666666666663</v>
      </c>
      <c r="I144" s="68"/>
      <c r="J144" s="68"/>
      <c r="K144" s="127"/>
      <c r="L144" s="127"/>
      <c r="M144" s="127"/>
      <c r="N144" s="127"/>
      <c r="O144" s="127"/>
      <c r="P144" s="127"/>
      <c r="Q144" s="127"/>
      <c r="R144" s="128"/>
      <c r="S144" s="120"/>
      <c r="T144" s="127"/>
      <c r="U144" s="89"/>
      <c r="V144" s="103"/>
      <c r="W144" s="115"/>
      <c r="X144" s="248" t="str">
        <f t="shared" si="45"/>
        <v>Hampshire</v>
      </c>
      <c r="Y144" s="307">
        <f>IF(Year1_Hampshire Year1_LAC_under16_2.5years_sameplacement2years="","",Year1_Hampshire Year1_LAC_under16_2.5years_sameplacement2years)</f>
        <v>375</v>
      </c>
      <c r="Z144" s="248">
        <f>IF(Year2_Hampshire Year2_LAC_under16_2.5years_sameplacement2years="","",Year2_Hampshire Year2_LAC_under16_2.5years_sameplacement2years)</f>
        <v>434</v>
      </c>
      <c r="AA144" s="248">
        <f>IF(Year3_Hampshire Year3_LAC_under16_2.5years_sameplacement2years="","",Year3_Hampshire Year3_LAC_under16_2.5years_sameplacement2years)</f>
        <v>436</v>
      </c>
      <c r="AB144" s="248">
        <f>IF(Year4_Hampshire Year4_LAC_under16_2.5years_sameplacement2years="","",Year4_Hampshire Year4_LAC_under16_2.5years_sameplacement2years)</f>
        <v>409</v>
      </c>
      <c r="AC144" s="248">
        <f>IF(Year5_Hampshire Year5_LAC_under16_2.5years_sameplacement2years="","",Year5_Hampshire Year5_LAC_under16_2.5years_sameplacement2years)</f>
        <v>377</v>
      </c>
      <c r="AD144" s="249"/>
      <c r="AE144" s="376"/>
      <c r="AF144" s="251"/>
      <c r="AG144" s="251"/>
      <c r="AH144" s="251"/>
      <c r="AI144" s="56"/>
      <c r="AJ144" s="122"/>
    </row>
    <row r="145" spans="1:44" s="61" customFormat="1" ht="13.5" customHeight="1">
      <c r="A145" s="1103">
        <f>VLOOKUP(B145,ReportData!$AQ$4:$AR$25,2,FALSE)</f>
        <v>0</v>
      </c>
      <c r="B145" s="885" t="str">
        <f t="shared" si="46"/>
        <v>East Sussex</v>
      </c>
      <c r="C145" s="59"/>
      <c r="D145" s="922">
        <f t="shared" si="47"/>
        <v>0.50210970464135019</v>
      </c>
      <c r="E145" s="922">
        <f t="shared" si="48"/>
        <v>0.63745019920318724</v>
      </c>
      <c r="F145" s="922">
        <f t="shared" si="49"/>
        <v>0.7385892116182573</v>
      </c>
      <c r="G145" s="922">
        <f t="shared" si="50"/>
        <v>0.7136929460580913</v>
      </c>
      <c r="H145" s="923">
        <f t="shared" si="51"/>
        <v>0.66942148760330578</v>
      </c>
      <c r="I145" s="68"/>
      <c r="J145" s="68"/>
      <c r="K145" s="127"/>
      <c r="L145" s="127"/>
      <c r="M145" s="127"/>
      <c r="N145" s="127"/>
      <c r="O145" s="127"/>
      <c r="P145" s="127"/>
      <c r="Q145" s="127"/>
      <c r="R145" s="128"/>
      <c r="S145" s="120"/>
      <c r="T145" s="127"/>
      <c r="U145" s="89"/>
      <c r="V145" s="103"/>
      <c r="W145" s="115"/>
      <c r="X145" s="248" t="str">
        <f t="shared" si="45"/>
        <v>Isle of Wight</v>
      </c>
      <c r="Y145" s="307">
        <f>IF(Year1_Isle_of_Wight Year1_LAC_under16_2.5years_sameplacement2years="","",Year1_Isle_of_Wight Year1_LAC_under16_2.5years_sameplacement2years)</f>
        <v>72</v>
      </c>
      <c r="Z145" s="248">
        <f>IF(Year2_Isle_of_Wight Year2_LAC_under16_2.5years_sameplacement2years="","",Year2_Isle_of_Wight Year2_LAC_under16_2.5years_sameplacement2years)</f>
        <v>84</v>
      </c>
      <c r="AA145" s="248">
        <f>IF(Year3_Isle_of_Wight Year3_LAC_under16_2.5years_sameplacement2years="","",Year3_Isle_of_Wight Year3_LAC_under16_2.5years_sameplacement2years)</f>
        <v>77</v>
      </c>
      <c r="AB145" s="248">
        <f>IF(Year4_Isle_of_Wight Year4_LAC_under16_2.5years_sameplacement2years="","",Year4_Isle_of_Wight Year4_LAC_under16_2.5years_sameplacement2years)</f>
        <v>71</v>
      </c>
      <c r="AC145" s="248">
        <f>IF(Year5_Isle_of_Wight Year5_LAC_under16_2.5years_sameplacement2years="","",Year5_Isle_of_Wight Year5_LAC_under16_2.5years_sameplacement2years)</f>
        <v>80</v>
      </c>
      <c r="AD145" s="249"/>
      <c r="AE145" s="376"/>
      <c r="AF145" s="251"/>
      <c r="AG145" s="251"/>
      <c r="AH145" s="251"/>
      <c r="AI145" s="56"/>
      <c r="AJ145" s="121"/>
      <c r="AR145" s="61" t="s">
        <v>95</v>
      </c>
    </row>
    <row r="146" spans="1:44" s="61" customFormat="1" ht="13.5" customHeight="1">
      <c r="A146" s="1103">
        <f>VLOOKUP(B146,ReportData!$AQ$4:$AR$25,2,FALSE)</f>
        <v>0</v>
      </c>
      <c r="B146" s="885" t="str">
        <f t="shared" si="46"/>
        <v>Hampshire</v>
      </c>
      <c r="C146" s="59"/>
      <c r="D146" s="922">
        <f t="shared" si="47"/>
        <v>0.63237774030354132</v>
      </c>
      <c r="E146" s="922">
        <f t="shared" si="48"/>
        <v>0.7</v>
      </c>
      <c r="F146" s="922">
        <f t="shared" si="49"/>
        <v>0.6728395061728395</v>
      </c>
      <c r="G146" s="922">
        <f t="shared" si="50"/>
        <v>0.64308176100628933</v>
      </c>
      <c r="H146" s="923">
        <f t="shared" si="51"/>
        <v>0.56606606606606602</v>
      </c>
      <c r="I146" s="68"/>
      <c r="J146" s="68"/>
      <c r="K146" s="127"/>
      <c r="L146" s="127"/>
      <c r="M146" s="127"/>
      <c r="N146" s="127"/>
      <c r="O146" s="127"/>
      <c r="P146" s="127"/>
      <c r="Q146" s="127"/>
      <c r="R146" s="128"/>
      <c r="S146" s="120"/>
      <c r="T146" s="127"/>
      <c r="U146" s="89"/>
      <c r="V146" s="103"/>
      <c r="W146" s="115"/>
      <c r="X146" s="248" t="str">
        <f t="shared" si="45"/>
        <v>Kent</v>
      </c>
      <c r="Y146" s="307">
        <f>IF(Year1_Kent Year1_LAC_under16_2.5years_sameplacement2years="","",Year1_Kent Year1_LAC_under16_2.5years_sameplacement2years)</f>
        <v>380</v>
      </c>
      <c r="Z146" s="248">
        <f>IF(Year2_Kent Year2_LAC_under16_2.5years_sameplacement2years="","",Year2_Kent Year2_LAC_under16_2.5years_sameplacement2years)</f>
        <v>330</v>
      </c>
      <c r="AA146" s="248">
        <f>IF(Year3_Kent Year3_LAC_under16_2.5years_sameplacement2years="","",Year3_Kent Year3_LAC_under16_2.5years_sameplacement2years)</f>
        <v>359</v>
      </c>
      <c r="AB146" s="248">
        <f>IF(Year4_Kent Year4_LAC_under16_2.5years_sameplacement2years="","",Year4_Kent Year4_LAC_under16_2.5years_sameplacement2years)</f>
        <v>330</v>
      </c>
      <c r="AC146" s="248">
        <f>IF(Year5_Kent Year5_LAC_under16_2.5years_sameplacement2years="","",Year5_Kent Year5_LAC_under16_2.5years_sameplacement2years)</f>
        <v>300</v>
      </c>
      <c r="AD146" s="249"/>
      <c r="AE146" s="250"/>
      <c r="AF146" s="251"/>
      <c r="AG146" s="251"/>
      <c r="AH146" s="251"/>
      <c r="AI146" s="56"/>
      <c r="AJ146" s="122"/>
    </row>
    <row r="147" spans="1:44" s="61" customFormat="1" ht="13.5" customHeight="1">
      <c r="A147" s="1103">
        <f>VLOOKUP(B147,ReportData!$AQ$4:$AR$25,2,FALSE)</f>
        <v>0</v>
      </c>
      <c r="B147" s="885" t="str">
        <f t="shared" si="46"/>
        <v>Isle of Wight</v>
      </c>
      <c r="C147" s="59"/>
      <c r="D147" s="922">
        <f t="shared" si="47"/>
        <v>0.69902912621359226</v>
      </c>
      <c r="E147" s="922">
        <f t="shared" si="48"/>
        <v>0.69421487603305787</v>
      </c>
      <c r="F147" s="922">
        <f t="shared" si="49"/>
        <v>0.63114754098360659</v>
      </c>
      <c r="G147" s="922">
        <f t="shared" si="50"/>
        <v>0.6454545454545455</v>
      </c>
      <c r="H147" s="923">
        <f t="shared" si="51"/>
        <v>0.72727272727272729</v>
      </c>
      <c r="I147" s="68"/>
      <c r="J147" s="68"/>
      <c r="K147" s="127"/>
      <c r="L147" s="127"/>
      <c r="M147" s="127"/>
      <c r="N147" s="127"/>
      <c r="O147" s="127"/>
      <c r="P147" s="127"/>
      <c r="Q147" s="127"/>
      <c r="R147" s="128"/>
      <c r="S147" s="120"/>
      <c r="T147" s="127"/>
      <c r="U147" s="89"/>
      <c r="V147" s="103"/>
      <c r="W147" s="115"/>
      <c r="X147" s="248" t="str">
        <f t="shared" si="45"/>
        <v>Medway</v>
      </c>
      <c r="Y147" s="307">
        <f>IF(Year1_Medway Year1_LAC_under16_2.5years_sameplacement2years="","",Year1_Medway Year1_LAC_under16_2.5years_sameplacement2years)</f>
        <v>114</v>
      </c>
      <c r="Z147" s="248">
        <f>IF(Year2_Medway Year2_LAC_under16_2.5years_sameplacement2years="","",Year2_Medway Year2_LAC_under16_2.5years_sameplacement2years)</f>
        <v>104</v>
      </c>
      <c r="AA147" s="248">
        <f>IF(Year3_Medway Year3_LAC_under16_2.5years_sameplacement2years="","",Year3_Medway Year3_LAC_under16_2.5years_sameplacement2years)</f>
        <v>110</v>
      </c>
      <c r="AB147" s="248">
        <f>IF(Year4_Medway Year4_LAC_under16_2.5years_sameplacement2years="","",Year4_Medway Year4_LAC_under16_2.5years_sameplacement2years)</f>
        <v>124</v>
      </c>
      <c r="AC147" s="248">
        <f>IF(Year5_Medway Year5_LAC_under16_2.5years_sameplacement2years="","",Year5_Medway Year5_LAC_under16_2.5years_sameplacement2years)</f>
        <v>109</v>
      </c>
      <c r="AD147" s="249"/>
      <c r="AE147" s="250"/>
      <c r="AF147" s="251"/>
      <c r="AG147" s="251"/>
      <c r="AH147" s="251"/>
      <c r="AI147" s="56"/>
      <c r="AJ147" s="121"/>
    </row>
    <row r="148" spans="1:44" s="61" customFormat="1" ht="13.5" customHeight="1">
      <c r="A148" s="1103">
        <f>VLOOKUP(B148,ReportData!$AQ$4:$AR$25,2,FALSE)</f>
        <v>0</v>
      </c>
      <c r="B148" s="885" t="str">
        <f t="shared" si="46"/>
        <v>Kent</v>
      </c>
      <c r="C148" s="59"/>
      <c r="D148" s="922">
        <f t="shared" si="47"/>
        <v>0.71969696969696972</v>
      </c>
      <c r="E148" s="922">
        <f t="shared" si="48"/>
        <v>0.66937119675456391</v>
      </c>
      <c r="F148" s="922">
        <f t="shared" si="49"/>
        <v>0.74020618556701034</v>
      </c>
      <c r="G148" s="922">
        <f t="shared" si="50"/>
        <v>0.72052401746724892</v>
      </c>
      <c r="H148" s="923">
        <f t="shared" si="51"/>
        <v>0.6696428571428571</v>
      </c>
      <c r="I148" s="68"/>
      <c r="J148" s="68"/>
      <c r="K148" s="127"/>
      <c r="L148" s="127"/>
      <c r="M148" s="127"/>
      <c r="N148" s="127"/>
      <c r="O148" s="127"/>
      <c r="P148" s="127"/>
      <c r="Q148" s="127"/>
      <c r="R148" s="128"/>
      <c r="S148" s="120"/>
      <c r="T148" s="127"/>
      <c r="U148" s="89"/>
      <c r="V148" s="103"/>
      <c r="W148" s="115"/>
      <c r="X148" s="248" t="str">
        <f t="shared" si="45"/>
        <v>Milton Keynes</v>
      </c>
      <c r="Y148" s="307" t="str">
        <f>IF(Year1_Milton_Keynes Year1_LAC_under16_2.5years_sameplacement2years="","",Year1_Milton_Keynes Year1_LAC_under16_2.5years_sameplacement2years)</f>
        <v/>
      </c>
      <c r="Z148" s="248">
        <f>IF(Year2_Milton_Keynes Year2_LAC_under16_2.5years_sameplacement2years="","",Year2_Milton_Keynes Year2_LAC_under16_2.5years_sameplacement2years)</f>
        <v>95</v>
      </c>
      <c r="AA148" s="248">
        <f>IF(Year3_Milton_Keynes Year3_LAC_under16_2.5years_sameplacement2years="","",Year3_Milton_Keynes Year3_LAC_under16_2.5years_sameplacement2years)</f>
        <v>76</v>
      </c>
      <c r="AB148" s="248">
        <f>IF(Year4_Milton_Keynes Year4_LAC_under16_2.5years_sameplacement2years="","",Year4_Milton_Keynes Year4_LAC_under16_2.5years_sameplacement2years)</f>
        <v>65</v>
      </c>
      <c r="AC148" s="248">
        <f>IF(Year5_Milton_Keynes Year5_LAC_under16_2.5years_sameplacement2years="","",Year5_Milton_Keynes Year5_LAC_under16_2.5years_sameplacement2years)</f>
        <v>65</v>
      </c>
      <c r="AD148" s="249"/>
      <c r="AE148" s="250"/>
      <c r="AF148" s="251"/>
      <c r="AG148" s="251"/>
      <c r="AH148" s="251"/>
      <c r="AI148" s="56"/>
      <c r="AJ148" s="122"/>
    </row>
    <row r="149" spans="1:44" s="61" customFormat="1" ht="13.5" customHeight="1">
      <c r="A149" s="1103">
        <f>VLOOKUP(B149,ReportData!$AQ$4:$AR$25,2,FALSE)</f>
        <v>0</v>
      </c>
      <c r="B149" s="885" t="str">
        <f t="shared" si="46"/>
        <v>Medway</v>
      </c>
      <c r="C149" s="59"/>
      <c r="D149" s="922">
        <f t="shared" si="47"/>
        <v>0.69090909090909092</v>
      </c>
      <c r="E149" s="922">
        <f t="shared" si="48"/>
        <v>0.67096774193548392</v>
      </c>
      <c r="F149" s="922">
        <f t="shared" si="49"/>
        <v>0.70512820512820518</v>
      </c>
      <c r="G149" s="922">
        <f t="shared" si="50"/>
        <v>0.70857142857142852</v>
      </c>
      <c r="H149" s="923">
        <f t="shared" si="51"/>
        <v>0.62285714285714289</v>
      </c>
      <c r="I149" s="68"/>
      <c r="J149" s="68"/>
      <c r="K149" s="127"/>
      <c r="L149" s="127"/>
      <c r="M149" s="127"/>
      <c r="N149" s="127"/>
      <c r="O149" s="127"/>
      <c r="P149" s="127"/>
      <c r="Q149" s="127"/>
      <c r="R149" s="128"/>
      <c r="S149" s="120"/>
      <c r="T149" s="127"/>
      <c r="U149" s="89"/>
      <c r="V149" s="103"/>
      <c r="W149" s="115"/>
      <c r="X149" s="248" t="str">
        <f t="shared" si="45"/>
        <v>Oxfordshire</v>
      </c>
      <c r="Y149" s="307">
        <f>IF(Year1_Oxfordshire Year1_LAC_under16_2.5years_sameplacement2years="","",Year1_Oxfordshire Year1_LAC_under16_2.5years_sameplacement2years)</f>
        <v>149</v>
      </c>
      <c r="Z149" s="248">
        <f>IF(Year2_Oxfordshire Year2_LAC_under16_2.5years_sameplacement2years="","",Year2_Oxfordshire Year2_LAC_under16_2.5years_sameplacement2years)</f>
        <v>173</v>
      </c>
      <c r="AA149" s="248">
        <f>IF(Year3_Oxfordshire Year3_LAC_under16_2.5years_sameplacement2years="","",Year3_Oxfordshire Year3_LAC_under16_2.5years_sameplacement2years)</f>
        <v>216</v>
      </c>
      <c r="AB149" s="248">
        <f>IF(Year4_Oxfordshire Year4_LAC_under16_2.5years_sameplacement2years="","",Year4_Oxfordshire Year4_LAC_under16_2.5years_sameplacement2years)</f>
        <v>207</v>
      </c>
      <c r="AC149" s="248">
        <f>IF(Year5_Oxfordshire Year5_LAC_under16_2.5years_sameplacement2years="","",Year5_Oxfordshire Year5_LAC_under16_2.5years_sameplacement2years)</f>
        <v>188</v>
      </c>
      <c r="AD149" s="249"/>
      <c r="AE149" s="250"/>
      <c r="AF149" s="251"/>
      <c r="AG149" s="251"/>
      <c r="AH149" s="251"/>
      <c r="AI149" s="56"/>
      <c r="AJ149" s="121"/>
    </row>
    <row r="150" spans="1:44" s="61" customFormat="1" ht="13.5" customHeight="1">
      <c r="A150" s="1103">
        <f>VLOOKUP(B150,ReportData!$AQ$4:$AR$25,2,FALSE)</f>
        <v>0</v>
      </c>
      <c r="B150" s="885" t="str">
        <f t="shared" si="46"/>
        <v>Milton Keynes</v>
      </c>
      <c r="C150" s="59"/>
      <c r="D150" s="922" t="e">
        <f t="shared" si="47"/>
        <v>#N/A</v>
      </c>
      <c r="E150" s="922">
        <f t="shared" si="48"/>
        <v>0.66433566433566438</v>
      </c>
      <c r="F150" s="922">
        <f t="shared" si="49"/>
        <v>0.6785714285714286</v>
      </c>
      <c r="G150" s="922">
        <f t="shared" si="50"/>
        <v>0.6310679611650486</v>
      </c>
      <c r="H150" s="923">
        <f t="shared" si="51"/>
        <v>0.6132075471698113</v>
      </c>
      <c r="I150" s="68"/>
      <c r="J150" s="68"/>
      <c r="K150" s="127"/>
      <c r="L150" s="127"/>
      <c r="M150" s="127"/>
      <c r="N150" s="127"/>
      <c r="O150" s="127"/>
      <c r="P150" s="127"/>
      <c r="Q150" s="127"/>
      <c r="R150" s="128"/>
      <c r="S150" s="120"/>
      <c r="T150" s="127"/>
      <c r="U150" s="89"/>
      <c r="V150" s="103"/>
      <c r="W150" s="115"/>
      <c r="X150" s="248" t="str">
        <f t="shared" si="45"/>
        <v>Portsmouth</v>
      </c>
      <c r="Y150" s="307" t="str">
        <f>IF(Year1_Portsmouth Year1_LAC_under16_2.5years_sameplacement2years="","",Year1_Portsmouth Year1_LAC_under16_2.5years_sameplacement2years)</f>
        <v/>
      </c>
      <c r="Z150" s="248">
        <f>IF(Year2_Portsmouth Year2_LAC_under16_2.5years_sameplacement2years="","",Year2_Portsmouth Year2_LAC_under16_2.5years_sameplacement2years)</f>
        <v>99</v>
      </c>
      <c r="AA150" s="248">
        <f>IF(Year3_Portsmouth Year3_LAC_under16_2.5years_sameplacement2years="","",Year3_Portsmouth Year3_LAC_under16_2.5years_sameplacement2years)</f>
        <v>120</v>
      </c>
      <c r="AB150" s="248">
        <f>IF(Year4_Portsmouth Year4_LAC_under16_2.5years_sameplacement2years="","",Year4_Portsmouth Year4_LAC_under16_2.5years_sameplacement2years)</f>
        <v>106</v>
      </c>
      <c r="AC150" s="248">
        <f>IF(Year5_Portsmouth Year5_LAC_under16_2.5years_sameplacement2years="","",Year5_Portsmouth Year5_LAC_under16_2.5years_sameplacement2years)</f>
        <v>102</v>
      </c>
      <c r="AD150" s="249"/>
      <c r="AE150" s="250"/>
      <c r="AF150" s="251"/>
      <c r="AG150" s="251"/>
      <c r="AH150" s="251"/>
      <c r="AI150" s="56"/>
      <c r="AJ150" s="122"/>
    </row>
    <row r="151" spans="1:44" s="61" customFormat="1" ht="13.5" customHeight="1">
      <c r="A151" s="1103">
        <f>VLOOKUP(B151,ReportData!$AQ$4:$AR$25,2,FALSE)</f>
        <v>0</v>
      </c>
      <c r="B151" s="885" t="str">
        <f t="shared" si="46"/>
        <v>Oxfordshire</v>
      </c>
      <c r="C151" s="59"/>
      <c r="D151" s="922">
        <f t="shared" si="47"/>
        <v>0.65929203539823011</v>
      </c>
      <c r="E151" s="922">
        <f t="shared" si="48"/>
        <v>0.67843137254901964</v>
      </c>
      <c r="F151" s="922">
        <f t="shared" si="49"/>
        <v>0.75</v>
      </c>
      <c r="G151" s="922">
        <f t="shared" si="50"/>
        <v>0.68770764119601324</v>
      </c>
      <c r="H151" s="923">
        <f t="shared" si="51"/>
        <v>0.6811594202898551</v>
      </c>
      <c r="I151" s="68"/>
      <c r="J151" s="68"/>
      <c r="K151" s="127"/>
      <c r="L151" s="127"/>
      <c r="M151" s="127"/>
      <c r="N151" s="127"/>
      <c r="O151" s="127"/>
      <c r="P151" s="127"/>
      <c r="Q151" s="127"/>
      <c r="R151" s="128"/>
      <c r="S151" s="120"/>
      <c r="T151" s="127"/>
      <c r="U151" s="89"/>
      <c r="V151" s="103"/>
      <c r="W151" s="115"/>
      <c r="X151" s="248" t="str">
        <f t="shared" si="45"/>
        <v>Reading</v>
      </c>
      <c r="Y151" s="307">
        <f>IF(Year1_Reading Year1_LAC_under16_2.5years_sameplacement2years="","",Year1_Reading Year1_LAC_under16_2.5years_sameplacement2years)</f>
        <v>76</v>
      </c>
      <c r="Z151" s="248">
        <f>IF(Year2_Reading Year2_LAC_under16_2.5years_sameplacement2years="","",Year2_Reading Year2_LAC_under16_2.5years_sameplacement2years)</f>
        <v>74</v>
      </c>
      <c r="AA151" s="248">
        <f>IF(Year3_Reading Year3_LAC_under16_2.5years_sameplacement2years="","",Year3_Reading Year3_LAC_under16_2.5years_sameplacement2years)</f>
        <v>74</v>
      </c>
      <c r="AB151" s="248">
        <f>IF(Year4_Reading Year4_LAC_under16_2.5years_sameplacement2years="","",Year4_Reading Year4_LAC_under16_2.5years_sameplacement2years)</f>
        <v>71</v>
      </c>
      <c r="AC151" s="248">
        <f>IF(Year5_Reading Year5_LAC_under16_2.5years_sameplacement2years="","",Year5_Reading Year5_LAC_under16_2.5years_sameplacement2years)</f>
        <v>70</v>
      </c>
      <c r="AD151" s="249"/>
      <c r="AE151" s="250"/>
      <c r="AF151" s="251"/>
      <c r="AG151" s="251"/>
      <c r="AH151" s="251"/>
      <c r="AI151" s="56"/>
      <c r="AJ151" s="121"/>
    </row>
    <row r="152" spans="1:44" s="61" customFormat="1" ht="13.5" customHeight="1">
      <c r="A152" s="1103">
        <f>VLOOKUP(B152,ReportData!$AQ$4:$AR$25,2,FALSE)</f>
        <v>0</v>
      </c>
      <c r="B152" s="885" t="str">
        <f t="shared" si="46"/>
        <v>Portsmouth</v>
      </c>
      <c r="C152" s="59"/>
      <c r="D152" s="922" t="e">
        <f t="shared" si="47"/>
        <v>#N/A</v>
      </c>
      <c r="E152" s="922">
        <f t="shared" si="48"/>
        <v>0.62658227848101267</v>
      </c>
      <c r="F152" s="922">
        <f t="shared" si="49"/>
        <v>0.72727272727272729</v>
      </c>
      <c r="G152" s="922">
        <f t="shared" si="50"/>
        <v>0.73103448275862071</v>
      </c>
      <c r="H152" s="923">
        <f t="shared" si="51"/>
        <v>0.75555555555555554</v>
      </c>
      <c r="I152" s="68"/>
      <c r="J152" s="68"/>
      <c r="K152" s="127"/>
      <c r="L152" s="127"/>
      <c r="M152" s="127"/>
      <c r="N152" s="127"/>
      <c r="O152" s="127"/>
      <c r="P152" s="127"/>
      <c r="Q152" s="127"/>
      <c r="R152" s="128"/>
      <c r="S152" s="120"/>
      <c r="T152" s="127"/>
      <c r="U152" s="89"/>
      <c r="V152" s="103"/>
      <c r="W152" s="115"/>
      <c r="X152" s="248" t="str">
        <f t="shared" si="45"/>
        <v>Slough</v>
      </c>
      <c r="Y152" s="307">
        <f>IF(Year1_Slough Year1_LAC_under16_2.5years_sameplacement2years="","",Year1_Slough Year1_LAC_under16_2.5years_sameplacement2years)</f>
        <v>42</v>
      </c>
      <c r="Z152" s="248">
        <f>IF(Year2_Slough Year2_LAC_under16_2.5years_sameplacement2years="","",Year2_Slough Year2_LAC_under16_2.5years_sameplacement2years)</f>
        <v>46</v>
      </c>
      <c r="AA152" s="248">
        <f>IF(Year3_Slough Year3_LAC_under16_2.5years_sameplacement2years="","",Year3_Slough Year3_LAC_under16_2.5years_sameplacement2years)</f>
        <v>43</v>
      </c>
      <c r="AB152" s="248">
        <f>IF(Year4_Slough Year4_LAC_under16_2.5years_sameplacement2years="","",Year4_Slough Year4_LAC_under16_2.5years_sameplacement2years)</f>
        <v>29</v>
      </c>
      <c r="AC152" s="248">
        <f>IF(Year5_Slough Year5_LAC_under16_2.5years_sameplacement2years="","",Year5_Slough Year5_LAC_under16_2.5years_sameplacement2years)</f>
        <v>37</v>
      </c>
      <c r="AD152" s="249"/>
      <c r="AE152" s="250"/>
      <c r="AF152" s="251"/>
      <c r="AG152" s="251"/>
      <c r="AH152" s="251"/>
      <c r="AI152" s="56"/>
      <c r="AJ152" s="122"/>
    </row>
    <row r="153" spans="1:44" s="61" customFormat="1" ht="13.5" customHeight="1">
      <c r="A153" s="1103">
        <f>VLOOKUP(B153,ReportData!$AQ$4:$AR$25,2,FALSE)</f>
        <v>0</v>
      </c>
      <c r="B153" s="885" t="str">
        <f t="shared" si="46"/>
        <v>Reading</v>
      </c>
      <c r="C153" s="59"/>
      <c r="D153" s="922">
        <f t="shared" si="47"/>
        <v>0.76</v>
      </c>
      <c r="E153" s="922">
        <f t="shared" si="48"/>
        <v>0.75510204081632648</v>
      </c>
      <c r="F153" s="922">
        <f t="shared" si="49"/>
        <v>0.74747474747474751</v>
      </c>
      <c r="G153" s="922">
        <f t="shared" si="50"/>
        <v>0.69607843137254899</v>
      </c>
      <c r="H153" s="923">
        <f t="shared" si="51"/>
        <v>0.7142857142857143</v>
      </c>
      <c r="I153" s="68"/>
      <c r="J153" s="68"/>
      <c r="K153" s="127"/>
      <c r="L153" s="127"/>
      <c r="M153" s="127"/>
      <c r="N153" s="127"/>
      <c r="O153" s="127"/>
      <c r="P153" s="127"/>
      <c r="Q153" s="127"/>
      <c r="R153" s="128"/>
      <c r="S153" s="120"/>
      <c r="T153" s="127"/>
      <c r="U153" s="89"/>
      <c r="V153" s="103"/>
      <c r="W153" s="115"/>
      <c r="AD153" s="249"/>
      <c r="AE153" s="250"/>
      <c r="AF153" s="251"/>
      <c r="AG153" s="251"/>
      <c r="AH153" s="251"/>
      <c r="AI153" s="56"/>
      <c r="AJ153" s="121"/>
    </row>
    <row r="154" spans="1:44" s="61" customFormat="1" ht="13.5" customHeight="1">
      <c r="A154" s="1103">
        <f>VLOOKUP(B154,ReportData!$AQ$4:$AR$25,2,FALSE)</f>
        <v>0</v>
      </c>
      <c r="B154" s="885" t="str">
        <f t="shared" si="46"/>
        <v>Slough</v>
      </c>
      <c r="C154" s="59"/>
      <c r="D154" s="922">
        <f t="shared" si="47"/>
        <v>0.75</v>
      </c>
      <c r="E154" s="922">
        <f t="shared" si="48"/>
        <v>0.85185185185185186</v>
      </c>
      <c r="F154" s="922">
        <f t="shared" si="49"/>
        <v>0.69354838709677424</v>
      </c>
      <c r="G154" s="922">
        <f t="shared" si="50"/>
        <v>0.57999999999999996</v>
      </c>
      <c r="H154" s="923">
        <f t="shared" si="51"/>
        <v>0.67272727272727273</v>
      </c>
      <c r="I154" s="68"/>
      <c r="J154" s="68"/>
      <c r="K154" s="127"/>
      <c r="L154" s="127"/>
      <c r="M154" s="127"/>
      <c r="N154" s="127"/>
      <c r="O154" s="127"/>
      <c r="P154" s="127"/>
      <c r="Q154" s="127"/>
      <c r="R154" s="128"/>
      <c r="S154" s="120"/>
      <c r="T154" s="127"/>
      <c r="U154" s="89"/>
      <c r="V154" s="103"/>
      <c r="W154" s="115"/>
      <c r="AD154" s="249"/>
      <c r="AE154" s="250"/>
      <c r="AF154" s="251"/>
      <c r="AG154" s="251"/>
      <c r="AH154" s="251"/>
      <c r="AI154" s="56"/>
      <c r="AJ154" s="122"/>
    </row>
    <row r="155" spans="1:44" s="61" customFormat="1" ht="13.5" customHeight="1">
      <c r="A155" s="1103">
        <f>VLOOKUP(B155,ReportData!$AQ$4:$AR$25,2,FALSE)</f>
        <v>0</v>
      </c>
      <c r="B155" s="885" t="str">
        <f t="shared" si="46"/>
        <v>Southampton</v>
      </c>
      <c r="C155" s="59"/>
      <c r="D155" s="922" t="e">
        <f t="shared" ref="D155:H162" si="52">IF(AND(ISNUMBER(Y155),ISNUMBER(AE120)),Y155/AE120,NA())</f>
        <v>#N/A</v>
      </c>
      <c r="E155" s="922">
        <f t="shared" si="52"/>
        <v>0.72820512820512817</v>
      </c>
      <c r="F155" s="922">
        <f t="shared" si="52"/>
        <v>0.58499999999999996</v>
      </c>
      <c r="G155" s="922">
        <f t="shared" si="52"/>
        <v>0.67391304347826086</v>
      </c>
      <c r="H155" s="923">
        <f t="shared" si="52"/>
        <v>0.60732984293193715</v>
      </c>
      <c r="I155" s="68"/>
      <c r="J155" s="68"/>
      <c r="K155" s="127"/>
      <c r="L155" s="127"/>
      <c r="M155" s="127"/>
      <c r="N155" s="127"/>
      <c r="O155" s="127"/>
      <c r="P155" s="127"/>
      <c r="Q155" s="127"/>
      <c r="R155" s="128"/>
      <c r="S155" s="120"/>
      <c r="T155" s="127"/>
      <c r="U155" s="89"/>
      <c r="V155" s="103"/>
      <c r="W155" s="115"/>
      <c r="X155" s="248" t="str">
        <f t="shared" ref="X155:X162" si="53">B155</f>
        <v>Southampton</v>
      </c>
      <c r="Y155" s="307" t="str">
        <f>IF(Year1_Southampton Year1_LAC_under16_2.5years_sameplacement2years="","",Year1_Southampton Year1_LAC_under16_2.5years_sameplacement2years)</f>
        <v/>
      </c>
      <c r="Z155" s="248">
        <f>IF(Year2_Southampton Year2_LAC_under16_2.5years_sameplacement2years="","",Year2_Southampton Year2_LAC_under16_2.5years_sameplacement2years)</f>
        <v>142</v>
      </c>
      <c r="AA155" s="248">
        <f>IF(Year3_Southampton Year3_LAC_under16_2.5years_sameplacement2years="","",Year3_Southampton Year3_LAC_under16_2.5years_sameplacement2years)</f>
        <v>117</v>
      </c>
      <c r="AB155" s="248">
        <f>IF(Year4_Southampton Year4_LAC_under16_2.5years_sameplacement2years="","",Year4_Southampton Year4_LAC_under16_2.5years_sameplacement2years)</f>
        <v>124</v>
      </c>
      <c r="AC155" s="248">
        <f>IF(Year5_Southampton Year5_LAC_under16_2.5years_sameplacement2years="","",Year5_Southampton Year5_LAC_under16_2.5years_sameplacement2years)</f>
        <v>116</v>
      </c>
      <c r="AD155" s="249"/>
      <c r="AE155" s="250"/>
      <c r="AF155" s="251"/>
      <c r="AG155" s="251"/>
      <c r="AH155" s="251"/>
      <c r="AI155" s="56"/>
      <c r="AJ155" s="122"/>
    </row>
    <row r="156" spans="1:44" s="61" customFormat="1" ht="13.5" customHeight="1">
      <c r="A156" s="1103">
        <f>VLOOKUP(B156,ReportData!$AQ$4:$AR$25,2,FALSE)</f>
        <v>0</v>
      </c>
      <c r="B156" s="885" t="str">
        <f t="shared" si="46"/>
        <v>Surrey</v>
      </c>
      <c r="C156" s="59"/>
      <c r="D156" s="922">
        <f t="shared" si="52"/>
        <v>0.66315789473684206</v>
      </c>
      <c r="E156" s="922">
        <f t="shared" si="52"/>
        <v>0.70769230769230773</v>
      </c>
      <c r="F156" s="922">
        <f t="shared" si="52"/>
        <v>0.75375375375375375</v>
      </c>
      <c r="G156" s="922">
        <f t="shared" si="52"/>
        <v>0.70588235294117652</v>
      </c>
      <c r="H156" s="923">
        <f t="shared" si="52"/>
        <v>0.71216617210682498</v>
      </c>
      <c r="I156" s="68"/>
      <c r="J156" s="68"/>
      <c r="K156" s="127"/>
      <c r="L156" s="127"/>
      <c r="M156" s="127"/>
      <c r="N156" s="127"/>
      <c r="O156" s="127"/>
      <c r="P156" s="127"/>
      <c r="Q156" s="127"/>
      <c r="R156" s="128"/>
      <c r="S156" s="120"/>
      <c r="T156" s="127"/>
      <c r="U156" s="89"/>
      <c r="V156" s="103"/>
      <c r="W156" s="115"/>
      <c r="X156" s="248" t="str">
        <f t="shared" si="53"/>
        <v>Surrey</v>
      </c>
      <c r="Y156" s="307">
        <f>IF(Year1_Surrey Year1_LAC_under16_2.5years_sameplacement2years="","",Year1_Surrey Year1_LAC_under16_2.5years_sameplacement2years)</f>
        <v>189</v>
      </c>
      <c r="Z156" s="248">
        <f>IF(Year2_Surrey Year2_LAC_under16_2.5years_sameplacement2years="","",Year2_Surrey Year2_LAC_under16_2.5years_sameplacement2years)</f>
        <v>230</v>
      </c>
      <c r="AA156" s="248">
        <f>IF(Year3_Surrey Year3_LAC_under16_2.5years_sameplacement2years="","",Year3_Surrey Year3_LAC_under16_2.5years_sameplacement2years)</f>
        <v>251</v>
      </c>
      <c r="AB156" s="248">
        <f>IF(Year4_Surrey Year4_LAC_under16_2.5years_sameplacement2years="","",Year4_Surrey Year4_LAC_under16_2.5years_sameplacement2years)</f>
        <v>240</v>
      </c>
      <c r="AC156" s="248">
        <f>IF(Year5_Surrey Year5_LAC_under16_2.5years_sameplacement2years="","",Year5_Surrey Year5_LAC_under16_2.5years_sameplacement2years)</f>
        <v>240</v>
      </c>
      <c r="AD156" s="249"/>
      <c r="AE156" s="250"/>
      <c r="AF156" s="251"/>
      <c r="AG156" s="251"/>
      <c r="AH156" s="251"/>
      <c r="AI156" s="56"/>
      <c r="AJ156" s="122"/>
    </row>
    <row r="157" spans="1:44" s="61" customFormat="1" ht="13.5" customHeight="1">
      <c r="A157" s="1103">
        <f>VLOOKUP(B157,ReportData!$AQ$4:$AR$25,2,FALSE)</f>
        <v>0</v>
      </c>
      <c r="B157" s="885" t="str">
        <f t="shared" si="46"/>
        <v>West Berkshire</v>
      </c>
      <c r="C157" s="59"/>
      <c r="D157" s="922">
        <f t="shared" si="52"/>
        <v>0.82222222222222219</v>
      </c>
      <c r="E157" s="922">
        <f t="shared" si="52"/>
        <v>0.6</v>
      </c>
      <c r="F157" s="922">
        <f t="shared" si="52"/>
        <v>0.58823529411764708</v>
      </c>
      <c r="G157" s="922">
        <f t="shared" si="52"/>
        <v>0.72222222222222221</v>
      </c>
      <c r="H157" s="923">
        <f t="shared" si="52"/>
        <v>0.64</v>
      </c>
      <c r="I157" s="68"/>
      <c r="J157" s="68"/>
      <c r="K157" s="127"/>
      <c r="L157" s="127"/>
      <c r="M157" s="127"/>
      <c r="N157" s="127"/>
      <c r="O157" s="127"/>
      <c r="P157" s="127"/>
      <c r="Q157" s="127"/>
      <c r="R157" s="128"/>
      <c r="S157" s="120"/>
      <c r="T157" s="127"/>
      <c r="U157" s="89"/>
      <c r="V157" s="103"/>
      <c r="W157" s="115"/>
      <c r="X157" s="248" t="str">
        <f t="shared" si="53"/>
        <v>West Berkshire</v>
      </c>
      <c r="Y157" s="307">
        <f>IF(Year1_West_Berkshire Year1_LAC_under16_2.5years_sameplacement2years="","",Year1_West_Berkshire Year1_LAC_under16_2.5years_sameplacement2years)</f>
        <v>37</v>
      </c>
      <c r="Z157" s="248">
        <f>IF(Year2_West_Berkshire Year2_LAC_under16_2.5years_sameplacement2years="","",Year2_West_Berkshire Year2_LAC_under16_2.5years_sameplacement2years)</f>
        <v>27</v>
      </c>
      <c r="AA157" s="248">
        <f>IF(Year3_West_Berkshire Year3_LAC_under16_2.5years_sameplacement2years="","",Year3_West_Berkshire Year3_LAC_under16_2.5years_sameplacement2years)</f>
        <v>30</v>
      </c>
      <c r="AB157" s="248">
        <f>IF(Year4_West_Berkshire Year4_LAC_under16_2.5years_sameplacement2years="","",Year4_West_Berkshire Year4_LAC_under16_2.5years_sameplacement2years)</f>
        <v>39</v>
      </c>
      <c r="AC157" s="307">
        <f>IF(Year5_West_Berkshire Year5_LAC_under16_2.5years_sameplacement2years="","",Year5_West_Berkshire Year5_LAC_under16_2.5years_sameplacement2years)</f>
        <v>32</v>
      </c>
      <c r="AD157" s="249"/>
      <c r="AE157" s="250"/>
      <c r="AF157" s="251"/>
      <c r="AG157" s="251"/>
      <c r="AH157" s="251"/>
      <c r="AI157" s="56"/>
      <c r="AJ157" s="122"/>
    </row>
    <row r="158" spans="1:44" s="61" customFormat="1" ht="13.5" customHeight="1">
      <c r="A158" s="1103">
        <f>VLOOKUP(B158,ReportData!$AQ$4:$AR$25,2,FALSE)</f>
        <v>0</v>
      </c>
      <c r="B158" s="885" t="str">
        <f t="shared" si="46"/>
        <v>West Sussex</v>
      </c>
      <c r="C158" s="59"/>
      <c r="D158" s="922">
        <f t="shared" si="52"/>
        <v>0.62841530054644812</v>
      </c>
      <c r="E158" s="922">
        <f t="shared" si="52"/>
        <v>0.546875</v>
      </c>
      <c r="F158" s="922">
        <f t="shared" si="52"/>
        <v>0.68644067796610164</v>
      </c>
      <c r="G158" s="922">
        <f t="shared" si="52"/>
        <v>0.70181818181818179</v>
      </c>
      <c r="H158" s="923">
        <f t="shared" si="52"/>
        <v>0.68978102189781021</v>
      </c>
      <c r="I158" s="68"/>
      <c r="J158" s="68"/>
      <c r="K158" s="127"/>
      <c r="L158" s="127"/>
      <c r="M158" s="127"/>
      <c r="N158" s="127"/>
      <c r="O158" s="127"/>
      <c r="P158" s="127"/>
      <c r="Q158" s="127"/>
      <c r="R158" s="128"/>
      <c r="S158" s="120"/>
      <c r="T158" s="127"/>
      <c r="U158" s="89"/>
      <c r="V158" s="103"/>
      <c r="W158" s="115"/>
      <c r="X158" s="248" t="str">
        <f t="shared" si="53"/>
        <v>West Sussex</v>
      </c>
      <c r="Y158" s="307">
        <f>IF(Year1_West_Sussex Year1_LAC_under16_2.5years_sameplacement2years="","",Year1_West_Sussex Year1_LAC_under16_2.5years_sameplacement2years)</f>
        <v>115</v>
      </c>
      <c r="Z158" s="248">
        <f>IF(Year2_West_Sussex Year2_LAC_under16_2.5years_sameplacement2years="","",Year2_West_Sussex Year2_LAC_under16_2.5years_sameplacement2years)</f>
        <v>105</v>
      </c>
      <c r="AA158" s="248">
        <f>IF(Year3_West_Sussex Year3_LAC_under16_2.5years_sameplacement2years="","",Year3_West_Sussex Year3_LAC_under16_2.5years_sameplacement2years)</f>
        <v>162</v>
      </c>
      <c r="AB158" s="248">
        <f>IF(Year4_West_Sussex Year4_LAC_under16_2.5years_sameplacement2years="","",Year4_West_Sussex Year4_LAC_under16_2.5years_sameplacement2years)</f>
        <v>193</v>
      </c>
      <c r="AC158" s="307">
        <f>IF(Year5_West_Sussex Year5_LAC_under16_2.5years_sameplacement2years="","",Year5_West_Sussex Year5_LAC_under16_2.5years_sameplacement2years)</f>
        <v>189</v>
      </c>
      <c r="AD158" s="249"/>
      <c r="AE158" s="250"/>
      <c r="AF158" s="251"/>
      <c r="AG158" s="251"/>
      <c r="AH158" s="251"/>
      <c r="AI158" s="56"/>
      <c r="AJ158" s="121"/>
    </row>
    <row r="159" spans="1:44" s="61" customFormat="1" ht="13.5" customHeight="1">
      <c r="A159" s="1103">
        <f>VLOOKUP(B159,ReportData!$AQ$4:$AR$25,2,FALSE)</f>
        <v>0</v>
      </c>
      <c r="B159" s="885" t="str">
        <f t="shared" si="46"/>
        <v>Windsor &amp; Maidenhead</v>
      </c>
      <c r="C159" s="59"/>
      <c r="D159" s="922">
        <f t="shared" si="52"/>
        <v>0.56666666666666665</v>
      </c>
      <c r="E159" s="922">
        <f t="shared" si="52"/>
        <v>0.66666666666666663</v>
      </c>
      <c r="F159" s="922">
        <f t="shared" si="52"/>
        <v>0.7142857142857143</v>
      </c>
      <c r="G159" s="922">
        <f t="shared" si="52"/>
        <v>0.65714285714285714</v>
      </c>
      <c r="H159" s="923">
        <f t="shared" si="52"/>
        <v>0.60526315789473684</v>
      </c>
      <c r="I159" s="68"/>
      <c r="J159" s="68"/>
      <c r="K159" s="127"/>
      <c r="L159" s="127"/>
      <c r="M159" s="127"/>
      <c r="N159" s="127"/>
      <c r="O159" s="127"/>
      <c r="P159" s="127"/>
      <c r="Q159" s="127"/>
      <c r="R159" s="128"/>
      <c r="S159" s="120"/>
      <c r="T159" s="127"/>
      <c r="U159" s="89"/>
      <c r="V159" s="103"/>
      <c r="W159" s="115"/>
      <c r="X159" s="248" t="str">
        <f t="shared" si="53"/>
        <v>Windsor &amp; Maidenhead</v>
      </c>
      <c r="Y159" s="307">
        <f>IF(Year1_Windsor_and_Maidenhead Year1_LAC_under16_2.5years_sameplacement2years="","",Year1_Windsor_and_Maidenhead Year1_LAC_under16_2.5years_sameplacement2years)</f>
        <v>17</v>
      </c>
      <c r="Z159" s="248">
        <f>IF(Year2_Windsor_and_Maidenhead Year2_LAC_under16_2.5years_sameplacement2years="","",Year2_Windsor_and_Maidenhead Year2_LAC_under16_2.5years_sameplacement2years)</f>
        <v>20</v>
      </c>
      <c r="AA159" s="248">
        <f>IF(Year3_Windsor_and_Maidenhead Year3_LAC_under16_2.5years_sameplacement2years="","",Year3_Windsor_and_Maidenhead Year3_LAC_under16_2.5years_sameplacement2years)</f>
        <v>20</v>
      </c>
      <c r="AB159" s="248">
        <f>IF(Year4_Windsor_and_Maidenhead Year4_LAC_under16_2.5years_sameplacement2years="","",Year4_Windsor_and_Maidenhead Year4_LAC_under16_2.5years_sameplacement2years)</f>
        <v>23</v>
      </c>
      <c r="AC159" s="307">
        <f>IF(Year5_Windsor_and_Maidenhead Year5_LAC_under16_2.5years_sameplacement2years="","",Year5_Windsor_and_Maidenhead Year5_LAC_under16_2.5years_sameplacement2years)</f>
        <v>23</v>
      </c>
      <c r="AD159" s="249"/>
      <c r="AE159" s="250"/>
      <c r="AF159" s="251"/>
      <c r="AG159" s="251"/>
      <c r="AH159" s="251"/>
      <c r="AI159" s="56"/>
      <c r="AJ159" s="122"/>
    </row>
    <row r="160" spans="1:44" s="61" customFormat="1" ht="13.5" customHeight="1">
      <c r="A160" s="1103">
        <f>VLOOKUP(B160,ReportData!$AQ$4:$AR$25,2,FALSE)</f>
        <v>0</v>
      </c>
      <c r="B160" s="885" t="str">
        <f t="shared" si="46"/>
        <v>Wokingham</v>
      </c>
      <c r="C160" s="59"/>
      <c r="D160" s="922">
        <f t="shared" si="52"/>
        <v>0.58333333333333337</v>
      </c>
      <c r="E160" s="922">
        <f t="shared" si="52"/>
        <v>0.52941176470588236</v>
      </c>
      <c r="F160" s="922">
        <f t="shared" si="52"/>
        <v>0.53846153846153844</v>
      </c>
      <c r="G160" s="922">
        <f t="shared" si="52"/>
        <v>0.58620689655172409</v>
      </c>
      <c r="H160" s="923">
        <f t="shared" si="52"/>
        <v>0.58620689655172409</v>
      </c>
      <c r="I160" s="68"/>
      <c r="J160" s="68"/>
      <c r="K160" s="127"/>
      <c r="L160" s="127"/>
      <c r="M160" s="127"/>
      <c r="N160" s="127"/>
      <c r="O160" s="127"/>
      <c r="P160" s="127"/>
      <c r="Q160" s="127"/>
      <c r="R160" s="128"/>
      <c r="S160" s="120"/>
      <c r="T160" s="127"/>
      <c r="U160" s="89"/>
      <c r="V160" s="103"/>
      <c r="W160" s="115"/>
      <c r="X160" s="248" t="str">
        <f t="shared" si="53"/>
        <v>Wokingham</v>
      </c>
      <c r="Y160" s="307">
        <f>IF(Year1_Wokingham Year1_LAC_under16_2.5years_sameplacement2years="","",Year1_Wokingham Year1_LAC_under16_2.5years_sameplacement2years)</f>
        <v>7</v>
      </c>
      <c r="Z160" s="248">
        <f>IF(Year2_Wokingham Year2_LAC_under16_2.5years_sameplacement2years="","",Year2_Wokingham Year2_LAC_under16_2.5years_sameplacement2years)</f>
        <v>9</v>
      </c>
      <c r="AA160" s="248">
        <f>IF(Year3_Wokingham Year3_LAC_under16_2.5years_sameplacement2years="","",Year3_Wokingham Year3_LAC_under16_2.5years_sameplacement2years)</f>
        <v>14</v>
      </c>
      <c r="AB160" s="248">
        <f>IF(Year4_Wokingham Year4_LAC_under16_2.5years_sameplacement2years="","",Year4_Wokingham Year4_LAC_under16_2.5years_sameplacement2years)</f>
        <v>17</v>
      </c>
      <c r="AC160" s="307">
        <f>IF(Year5_Wokingham Year5_LAC_under16_2.5years_sameplacement2years="","",Year5_Wokingham Year5_LAC_under16_2.5years_sameplacement2years)</f>
        <v>17</v>
      </c>
      <c r="AD160" s="249"/>
      <c r="AE160" s="250"/>
      <c r="AF160" s="251"/>
      <c r="AG160" s="251"/>
      <c r="AH160" s="251"/>
      <c r="AI160" s="56"/>
      <c r="AJ160" s="121"/>
    </row>
    <row r="161" spans="1:76" s="61" customFormat="1" ht="13.5" customHeight="1">
      <c r="A161" s="1148"/>
      <c r="B161" s="886" t="str">
        <f t="shared" si="46"/>
        <v>South East</v>
      </c>
      <c r="C161" s="59"/>
      <c r="D161" s="924">
        <f t="shared" si="52"/>
        <v>0.52976014213799227</v>
      </c>
      <c r="E161" s="924">
        <f t="shared" si="52"/>
        <v>0.67558239861949954</v>
      </c>
      <c r="F161" s="924">
        <f t="shared" si="52"/>
        <v>0.69781757134862898</v>
      </c>
      <c r="G161" s="924">
        <f t="shared" si="52"/>
        <v>0.68258426966292129</v>
      </c>
      <c r="H161" s="925">
        <f t="shared" si="52"/>
        <v>0.65722379603399439</v>
      </c>
      <c r="I161" s="68"/>
      <c r="J161" s="68"/>
      <c r="K161" s="129"/>
      <c r="L161" s="129"/>
      <c r="M161" s="129"/>
      <c r="N161" s="129"/>
      <c r="O161" s="129"/>
      <c r="P161" s="129"/>
      <c r="Q161" s="129"/>
      <c r="R161" s="130"/>
      <c r="S161" s="120"/>
      <c r="T161" s="131"/>
      <c r="U161" s="89"/>
      <c r="V161" s="103"/>
      <c r="W161" s="115"/>
      <c r="X161" s="248" t="str">
        <f t="shared" si="53"/>
        <v>South East</v>
      </c>
      <c r="Y161" s="248">
        <f>IF(Year1_South_East Year1_LAC_under16_2.5years_sameplacement2years="","",Year1_South_East Year1_LAC_under16_2.5years_sameplacement2years)</f>
        <v>1789</v>
      </c>
      <c r="Z161" s="248">
        <f>IF(Year2_South_East Year2_LAC_under16_2.5years_sameplacement2years="","",Year2_South_East Year2_LAC_under16_2.5years_sameplacement2years)</f>
        <v>2349</v>
      </c>
      <c r="AA161" s="248">
        <f>IF(Year3_South_East Year3_LAC_under16_2.5years_sameplacement2years="","",Year3_South_East Year3_LAC_under16_2.5years_sameplacement2years)</f>
        <v>2494</v>
      </c>
      <c r="AB161" s="248">
        <f>IF(Year4_South_East Year4_LAC_under16_2.5years_sameplacement2years="","",Year4_South_East Year4_LAC_under16_2.5years_sameplacement2years)</f>
        <v>2430</v>
      </c>
      <c r="AC161" s="248">
        <f>IF(Year5_South_East Year5_LAC_under16_2.5years_sameplacement2years="","",Year5_South_East Year5_LAC_under16_2.5years_sameplacement2years)</f>
        <v>2320</v>
      </c>
      <c r="AD161" s="149"/>
      <c r="AH161" s="141"/>
      <c r="AJ161" s="121"/>
    </row>
    <row r="162" spans="1:76" s="61" customFormat="1" ht="13.5" customHeight="1">
      <c r="A162" s="1148"/>
      <c r="B162" s="887" t="str">
        <f t="shared" si="46"/>
        <v>England</v>
      </c>
      <c r="C162" s="59"/>
      <c r="D162" s="926">
        <f t="shared" si="52"/>
        <v>0.67832167832167833</v>
      </c>
      <c r="E162" s="926">
        <f t="shared" si="52"/>
        <v>0.70261780104712046</v>
      </c>
      <c r="F162" s="926">
        <f t="shared" si="52"/>
        <v>0.70998307952622675</v>
      </c>
      <c r="G162" s="926">
        <f t="shared" si="52"/>
        <v>0.68680391495106308</v>
      </c>
      <c r="H162" s="927">
        <f t="shared" si="52"/>
        <v>0.68103448275862066</v>
      </c>
      <c r="I162" s="68"/>
      <c r="J162" s="68"/>
      <c r="K162" s="129"/>
      <c r="L162" s="129"/>
      <c r="M162" s="129"/>
      <c r="N162" s="129"/>
      <c r="O162" s="129"/>
      <c r="P162" s="129"/>
      <c r="Q162" s="129"/>
      <c r="R162" s="130"/>
      <c r="S162" s="120"/>
      <c r="T162" s="131"/>
      <c r="U162" s="89"/>
      <c r="V162" s="103"/>
      <c r="W162" s="114"/>
      <c r="X162" s="248" t="str">
        <f t="shared" si="53"/>
        <v>England</v>
      </c>
      <c r="Y162" s="248">
        <f>IF(Year1_England Year1_LAC_under16_2.5years_sameplacement2years="","",Year1_England Year1_LAC_under16_2.5years_sameplacement2years)</f>
        <v>18430</v>
      </c>
      <c r="Z162" s="248">
        <f>IF(Year2_England Year2_LAC_under16_2.5years_sameplacement2years="","",Year2_England Year2_LAC_under16_2.5years_sameplacement2years)</f>
        <v>20130</v>
      </c>
      <c r="AA162" s="248">
        <f>IF(Year3_England Year3_LAC_under16_2.5years_sameplacement2years="","",Year3_England Year3_LAC_under16_2.5years_sameplacement2years)</f>
        <v>20980</v>
      </c>
      <c r="AB162" s="248">
        <f>IF(Year4_England Year4_LAC_under16_2.5years_sameplacement2years="","",Year4_England Year4_LAC_under16_2.5years_sameplacement2years)</f>
        <v>20350</v>
      </c>
      <c r="AC162" s="307">
        <f>IF(Year5_England Year5_LAC_under16_2.5years_sameplacement2years="","",Year5_England Year5_LAC_under16_2.5years_sameplacement2years)</f>
        <v>19750</v>
      </c>
      <c r="AD162" s="149"/>
      <c r="AE162" s="52"/>
      <c r="AF162" s="52"/>
      <c r="AG162" s="52"/>
      <c r="AH162" s="56"/>
      <c r="AI162" s="52"/>
      <c r="AJ162" s="122"/>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row>
    <row r="163" spans="1:76" s="61" customFormat="1" ht="4.5" customHeight="1">
      <c r="A163" s="217"/>
      <c r="B163" s="68"/>
      <c r="C163" s="68"/>
      <c r="D163" s="68"/>
      <c r="E163" s="68"/>
      <c r="F163" s="68"/>
      <c r="G163" s="68"/>
      <c r="H163" s="68"/>
      <c r="I163" s="68"/>
      <c r="J163" s="68"/>
      <c r="K163" s="129"/>
      <c r="L163" s="129"/>
      <c r="M163" s="129"/>
      <c r="N163" s="129"/>
      <c r="O163" s="129"/>
      <c r="P163" s="129"/>
      <c r="Q163" s="129"/>
      <c r="R163" s="130"/>
      <c r="S163" s="120"/>
      <c r="T163" s="131"/>
      <c r="U163" s="89"/>
      <c r="V163" s="103"/>
      <c r="W163" s="114"/>
      <c r="X163" s="56"/>
      <c r="Y163" s="141"/>
      <c r="Z163" s="56"/>
      <c r="AA163" s="56"/>
      <c r="AB163" s="56"/>
      <c r="AC163" s="56"/>
      <c r="AD163" s="149"/>
      <c r="AE163" s="52"/>
      <c r="AF163" s="52"/>
      <c r="AG163" s="52"/>
      <c r="AH163" s="56"/>
      <c r="AI163" s="52"/>
      <c r="AJ163" s="122"/>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row>
    <row r="164" spans="1:76" s="56" customFormat="1" ht="42" customHeight="1">
      <c r="A164" s="166"/>
      <c r="B164" s="171"/>
      <c r="C164" s="171"/>
      <c r="D164" s="171"/>
      <c r="E164" s="171"/>
      <c r="F164" s="171"/>
      <c r="G164" s="171"/>
      <c r="H164" s="171"/>
      <c r="I164" s="171"/>
      <c r="J164" s="133"/>
      <c r="K164" s="133"/>
      <c r="L164" s="133"/>
      <c r="M164" s="133"/>
      <c r="N164" s="133"/>
      <c r="O164" s="133"/>
      <c r="P164" s="133"/>
      <c r="Q164" s="133"/>
      <c r="R164" s="101"/>
      <c r="S164" s="133"/>
      <c r="T164" s="133"/>
      <c r="U164" s="86"/>
      <c r="V164" s="102"/>
      <c r="W164" s="114"/>
      <c r="Y164" s="141"/>
      <c r="AD164" s="149"/>
      <c r="AE164" s="52"/>
      <c r="AF164" s="52"/>
      <c r="AG164" s="52"/>
      <c r="AI164" s="52"/>
      <c r="AJ164" s="122"/>
    </row>
    <row r="165" spans="1:76" s="56" customFormat="1" ht="42.75" customHeight="1">
      <c r="A165" s="166"/>
      <c r="B165" s="171"/>
      <c r="C165" s="171"/>
      <c r="D165" s="171"/>
      <c r="E165" s="171"/>
      <c r="F165" s="171"/>
      <c r="G165" s="171"/>
      <c r="H165" s="171"/>
      <c r="I165" s="171"/>
      <c r="J165" s="133"/>
      <c r="K165" s="133"/>
      <c r="L165" s="133"/>
      <c r="M165" s="133"/>
      <c r="N165" s="133"/>
      <c r="O165" s="133"/>
      <c r="P165" s="133"/>
      <c r="Q165" s="133"/>
      <c r="R165" s="101"/>
      <c r="S165" s="133"/>
      <c r="T165" s="133"/>
      <c r="U165" s="86"/>
      <c r="V165" s="102"/>
      <c r="W165" s="114"/>
      <c r="Y165" s="141"/>
      <c r="AI165" s="52"/>
      <c r="AJ165" s="119"/>
      <c r="AK165" s="52"/>
      <c r="AL165" s="52"/>
      <c r="AM165" s="52"/>
      <c r="AN165" s="52"/>
      <c r="AO165" s="52"/>
      <c r="AP165" s="52"/>
      <c r="AQ165" s="52"/>
    </row>
    <row r="166" spans="1:76" s="56" customFormat="1" ht="42" customHeight="1">
      <c r="A166" s="166"/>
      <c r="B166" s="171"/>
      <c r="C166" s="171"/>
      <c r="D166" s="171"/>
      <c r="E166" s="171"/>
      <c r="F166" s="171"/>
      <c r="G166" s="171"/>
      <c r="H166" s="171"/>
      <c r="I166" s="171"/>
      <c r="J166" s="133"/>
      <c r="K166" s="133"/>
      <c r="L166" s="133"/>
      <c r="M166" s="133"/>
      <c r="N166" s="133"/>
      <c r="O166" s="133"/>
      <c r="P166" s="133"/>
      <c r="Q166" s="133"/>
      <c r="R166" s="101"/>
      <c r="S166" s="133"/>
      <c r="T166" s="133"/>
      <c r="U166" s="86"/>
      <c r="V166" s="121"/>
      <c r="W166" s="114"/>
      <c r="AJ166" s="122"/>
      <c r="AS166" s="52"/>
    </row>
    <row r="167" spans="1:76" s="56" customFormat="1" ht="7.5" customHeight="1">
      <c r="A167" s="87"/>
      <c r="B167" s="12"/>
      <c r="C167" s="12"/>
      <c r="D167" s="11"/>
      <c r="E167" s="11"/>
      <c r="F167" s="11"/>
      <c r="G167" s="11"/>
      <c r="H167" s="11"/>
      <c r="I167" s="11"/>
      <c r="J167" s="1"/>
      <c r="K167" s="13"/>
      <c r="L167" s="13"/>
      <c r="M167" s="13"/>
      <c r="N167" s="13"/>
      <c r="O167" s="13"/>
      <c r="P167" s="13"/>
      <c r="Q167" s="13"/>
      <c r="R167" s="13"/>
      <c r="S167" s="13"/>
      <c r="T167" s="14"/>
      <c r="U167" s="86"/>
      <c r="V167" s="185"/>
      <c r="W167" s="114"/>
      <c r="AI167" s="52"/>
      <c r="AJ167" s="121"/>
      <c r="AK167" s="61"/>
      <c r="AS167" s="52"/>
    </row>
    <row r="168" spans="1:76" s="56" customFormat="1" ht="15" customHeight="1">
      <c r="A168" s="1565"/>
      <c r="B168" s="1751"/>
      <c r="C168" s="1751"/>
      <c r="D168" s="1751"/>
      <c r="E168" s="1751"/>
      <c r="F168" s="1751"/>
      <c r="G168" s="1751"/>
      <c r="H168" s="1751"/>
      <c r="I168" s="1751"/>
      <c r="J168" s="1751"/>
      <c r="K168" s="1751"/>
      <c r="L168" s="1751"/>
      <c r="M168" s="1751"/>
      <c r="N168" s="1751"/>
      <c r="O168" s="1751"/>
      <c r="P168" s="1751"/>
      <c r="Q168" s="1751"/>
      <c r="R168" s="1751"/>
      <c r="S168" s="1751"/>
      <c r="T168" s="1751"/>
      <c r="U168" s="1752"/>
      <c r="V168" s="185"/>
      <c r="W168" s="114"/>
      <c r="X168" s="148"/>
      <c r="Y168" s="146"/>
      <c r="Z168" s="52"/>
      <c r="AI168" s="52"/>
      <c r="AJ168" s="121"/>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row>
    <row r="169" spans="1:76" s="56" customFormat="1" ht="11.25" customHeight="1">
      <c r="A169" s="1739"/>
      <c r="B169" s="1740"/>
      <c r="C169" s="1740"/>
      <c r="D169" s="1740"/>
      <c r="E169" s="1740"/>
      <c r="F169" s="1740"/>
      <c r="G169" s="1740"/>
      <c r="H169" s="1740"/>
      <c r="I169" s="1741"/>
      <c r="J169" s="1740"/>
      <c r="K169" s="1740"/>
      <c r="L169" s="1740"/>
      <c r="M169" s="1740"/>
      <c r="N169" s="1740"/>
      <c r="O169" s="1740"/>
      <c r="P169" s="1742"/>
      <c r="Q169" s="1740"/>
      <c r="R169" s="1740"/>
      <c r="S169" s="1741"/>
      <c r="T169" s="1740"/>
      <c r="U169" s="1743"/>
      <c r="V169" s="185"/>
      <c r="W169" s="114"/>
      <c r="X169" s="249" t="s">
        <v>136</v>
      </c>
      <c r="Y169" s="250"/>
      <c r="Z169" s="251"/>
      <c r="AA169" s="251"/>
      <c r="AB169" s="251"/>
      <c r="AD169" s="442" t="s">
        <v>679</v>
      </c>
      <c r="AI169" s="52"/>
      <c r="AJ169" s="121"/>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row>
    <row r="170" spans="1:76" ht="10.5" customHeight="1" thickBot="1">
      <c r="A170" s="81"/>
      <c r="B170" s="82"/>
      <c r="C170" s="82"/>
      <c r="D170" s="82"/>
      <c r="E170" s="82"/>
      <c r="F170" s="82"/>
      <c r="G170" s="82"/>
      <c r="H170" s="82"/>
      <c r="I170" s="82"/>
      <c r="J170" s="83"/>
      <c r="K170" s="82"/>
      <c r="L170" s="82"/>
      <c r="M170" s="82"/>
      <c r="N170" s="82"/>
      <c r="O170" s="82"/>
      <c r="P170" s="82"/>
      <c r="Q170" s="82"/>
      <c r="R170" s="82"/>
      <c r="S170" s="82"/>
      <c r="T170" s="82"/>
      <c r="U170" s="84"/>
      <c r="V170" s="102"/>
      <c r="W170" s="114"/>
      <c r="X170" s="251"/>
      <c r="Y170" s="250"/>
      <c r="Z170" s="251"/>
      <c r="AA170" s="251"/>
      <c r="AB170" s="251"/>
      <c r="AJ170" s="121"/>
    </row>
    <row r="171" spans="1:76" ht="18.75" customHeight="1">
      <c r="A171" s="87"/>
      <c r="B171" s="1903" t="str">
        <f>"Children Looked After"&amp;Y1&amp;" who had 3+ placements during the last year [SCB39]"</f>
        <v>Children Looked After at 31st March who had 3+ placements during the last year [SCB39]</v>
      </c>
      <c r="C171" s="1903"/>
      <c r="D171" s="1903"/>
      <c r="E171" s="1903"/>
      <c r="F171" s="1903"/>
      <c r="G171" s="1903"/>
      <c r="H171" s="1903"/>
      <c r="I171" s="1177"/>
      <c r="J171" s="50"/>
      <c r="K171" s="50"/>
      <c r="L171" s="50"/>
      <c r="M171" s="50"/>
      <c r="N171" s="224"/>
      <c r="O171" s="50"/>
      <c r="P171" s="50"/>
      <c r="Q171" s="50"/>
      <c r="R171" s="50"/>
      <c r="S171" s="50"/>
      <c r="T171" s="50"/>
      <c r="U171" s="86"/>
      <c r="V171" s="102"/>
      <c r="W171" s="114"/>
      <c r="X171" s="251"/>
      <c r="Y171" s="461" t="str">
        <f>IF(ReportData!$C$3="Annual","",ReportData!$D$28)</f>
        <v/>
      </c>
      <c r="Z171" s="462" t="str">
        <f>IF(ReportData!$C$3="Annual","",ReportData!$E$28)</f>
        <v/>
      </c>
      <c r="AA171" s="462" t="str">
        <f>IF(ReportData!$C$3="Annual","",ReportData!$F$28)</f>
        <v/>
      </c>
      <c r="AB171" s="462" t="str">
        <f>IF(ReportData!$C$3="Annual","",ReportData!$G$28)</f>
        <v/>
      </c>
      <c r="AC171" s="463" t="str">
        <f>IF(ReportData!$C$3="Annual","",ReportData!$H$28)</f>
        <v/>
      </c>
      <c r="AD171" s="461" t="str">
        <f>IF(ReportData!$C$3="Annual","",ReportData!$D$28)</f>
        <v/>
      </c>
      <c r="AE171" s="462" t="str">
        <f>IF(ReportData!$C$3="Annual","",ReportData!$E$28)</f>
        <v/>
      </c>
      <c r="AF171" s="462" t="str">
        <f>IF(ReportData!$C$3="Annual","",ReportData!$F$28)</f>
        <v/>
      </c>
      <c r="AG171" s="462" t="str">
        <f>IF(ReportData!$C$3="Annual","",ReportData!$G$28)</f>
        <v/>
      </c>
      <c r="AH171" s="463" t="str">
        <f>IF(ReportData!$C$3="Annual","",ReportData!$H$28)</f>
        <v/>
      </c>
      <c r="AJ171" s="121"/>
    </row>
    <row r="172" spans="1:76" ht="18.75" customHeight="1" thickBot="1">
      <c r="A172" s="87"/>
      <c r="B172" s="1903"/>
      <c r="C172" s="1903"/>
      <c r="D172" s="1903"/>
      <c r="E172" s="1903"/>
      <c r="F172" s="1903"/>
      <c r="G172" s="1903"/>
      <c r="H172" s="1903"/>
      <c r="I172" s="1177"/>
      <c r="J172" s="50"/>
      <c r="K172" s="50"/>
      <c r="L172" s="50"/>
      <c r="M172" s="50"/>
      <c r="N172" s="224"/>
      <c r="O172" s="50"/>
      <c r="P172" s="50"/>
      <c r="Q172" s="50"/>
      <c r="R172" s="5"/>
      <c r="S172" s="50"/>
      <c r="T172" s="50"/>
      <c r="U172" s="86"/>
      <c r="V172" s="102"/>
      <c r="W172" s="115"/>
      <c r="X172" s="248"/>
      <c r="Y172" s="464" t="str">
        <f>ReportData!$D$27</f>
        <v>2019/20</v>
      </c>
      <c r="Z172" s="465" t="str">
        <f>ReportData!$E$27</f>
        <v>2020/21</v>
      </c>
      <c r="AA172" s="465" t="str">
        <f>ReportData!$F$27</f>
        <v>2021/22</v>
      </c>
      <c r="AB172" s="465" t="str">
        <f>ReportData!$G$27</f>
        <v>2022/23</v>
      </c>
      <c r="AC172" s="466" t="str">
        <f>ReportData!$H$27</f>
        <v>2023/24</v>
      </c>
      <c r="AD172" s="464" t="str">
        <f>ReportData!$D$27</f>
        <v>2019/20</v>
      </c>
      <c r="AE172" s="465" t="str">
        <f>ReportData!$E$27</f>
        <v>2020/21</v>
      </c>
      <c r="AF172" s="465" t="str">
        <f>ReportData!$F$27</f>
        <v>2021/22</v>
      </c>
      <c r="AG172" s="465" t="str">
        <f>ReportData!$G$27</f>
        <v>2022/23</v>
      </c>
      <c r="AH172" s="466" t="str">
        <f>ReportData!$H$27</f>
        <v>2023/24</v>
      </c>
      <c r="AJ172" s="12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row>
    <row r="173" spans="1:76" ht="18.75" customHeight="1">
      <c r="A173" s="427"/>
      <c r="B173" s="1749" t="s">
        <v>177</v>
      </c>
      <c r="C173" s="1175"/>
      <c r="D173" s="1088" t="str">
        <f>ReportData!$D$27</f>
        <v>2019/20</v>
      </c>
      <c r="E173" s="1088" t="str">
        <f>ReportData!$E$27</f>
        <v>2020/21</v>
      </c>
      <c r="F173" s="1088" t="str">
        <f>ReportData!$F$27</f>
        <v>2021/22</v>
      </c>
      <c r="G173" s="1088" t="str">
        <f>ReportData!$G$27</f>
        <v>2022/23</v>
      </c>
      <c r="H173" s="1089" t="str">
        <f>ReportData!$H$27</f>
        <v>2023/24</v>
      </c>
      <c r="I173" s="230"/>
      <c r="J173" s="50"/>
      <c r="K173" s="50"/>
      <c r="L173" s="50"/>
      <c r="M173" s="50"/>
      <c r="N173" s="224"/>
      <c r="O173" s="50"/>
      <c r="P173" s="50"/>
      <c r="Q173" s="50"/>
      <c r="R173" s="5"/>
      <c r="S173" s="50"/>
      <c r="T173" s="50"/>
      <c r="U173" s="86"/>
      <c r="V173" s="102"/>
      <c r="W173" s="115"/>
      <c r="X173" s="248" t="str">
        <f t="shared" ref="X173:X185" si="54">B175</f>
        <v>Bracknell Forest</v>
      </c>
      <c r="Y173" s="307">
        <f>IF(Year1_Bracknell_Forest Year1_LAC_3_or_more_Placements="","",Year1_Bracknell_Forest Year1_LAC_3_or_more_Placements)</f>
        <v>22</v>
      </c>
      <c r="Z173" s="248">
        <f>IF(Year2_Bracknell_Forest Year2_LAC_3_or_more_Placements="","",Year2_Bracknell_Forest Year2_LAC_3_or_more_Placements)</f>
        <v>17</v>
      </c>
      <c r="AA173" s="248">
        <f>IF(Year3_Bracknell_Forest Year3_LAC_3_or_more_Placements="","",Year3_Bracknell_Forest Year3_LAC_3_or_more_Placements)</f>
        <v>21</v>
      </c>
      <c r="AB173" s="248">
        <f>IF(Year4_Bracknell_Forest Year4_LAC_3_or_more_Placements="","",Year4_Bracknell_Forest Year4_LAC_3_or_more_Placements)</f>
        <v>18</v>
      </c>
      <c r="AC173" s="352">
        <f>IF(Year5_Bracknell_Forest Year5_LAC_3_or_more_Placements="","",Year5_Bracknell_Forest Year5_LAC_3_or_more_Placements)</f>
        <v>15</v>
      </c>
      <c r="AD173" s="307">
        <f t="shared" ref="AD173:AD185" si="55">IF(ISNUMBER(Y173),D11,0)</f>
        <v>142</v>
      </c>
      <c r="AE173" s="307">
        <f t="shared" ref="AE173:AE185" si="56">IF(ISNUMBER(Z173),E11,0)</f>
        <v>146</v>
      </c>
      <c r="AF173" s="307">
        <f t="shared" ref="AF173:AF185" si="57">IF(ISNUMBER(AA173),F11,0)</f>
        <v>137</v>
      </c>
      <c r="AG173" s="307">
        <f t="shared" ref="AG173:AG185" si="58">IF(ISNUMBER(AB173),G11,0)</f>
        <v>157</v>
      </c>
      <c r="AH173" s="307">
        <f t="shared" ref="AH173:AH185" si="59">IF(ISNUMBER(AC173),H11,0)</f>
        <v>140</v>
      </c>
      <c r="AJ173" s="12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row>
    <row r="174" spans="1:76" s="61" customFormat="1" ht="16.5" customHeight="1">
      <c r="A174" s="1148"/>
      <c r="B174" s="1750"/>
      <c r="C174" s="896"/>
      <c r="D174" s="897" t="e">
        <f>ReportData!$D$28</f>
        <v>#N/A</v>
      </c>
      <c r="E174" s="897" t="e">
        <f>ReportData!$E$28</f>
        <v>#N/A</v>
      </c>
      <c r="F174" s="897" t="e">
        <f>ReportData!$F$28</f>
        <v>#N/A</v>
      </c>
      <c r="G174" s="897" t="e">
        <f>ReportData!$G$28</f>
        <v>#N/A</v>
      </c>
      <c r="H174" s="920" t="e">
        <f>ReportData!$H$28</f>
        <v>#N/A</v>
      </c>
      <c r="I174" s="68"/>
      <c r="J174" s="68"/>
      <c r="K174" s="43"/>
      <c r="L174" s="43"/>
      <c r="M174" s="43"/>
      <c r="N174" s="43"/>
      <c r="O174" s="43"/>
      <c r="P174" s="43"/>
      <c r="Q174" s="225"/>
      <c r="R174" s="225"/>
      <c r="S174" s="120"/>
      <c r="T174" s="226"/>
      <c r="U174" s="89"/>
      <c r="V174" s="103"/>
      <c r="W174" s="115"/>
      <c r="X174" s="248" t="str">
        <f t="shared" si="54"/>
        <v>Brighton &amp; Hove</v>
      </c>
      <c r="Y174" s="307">
        <f>IF(Year1_Brighton_and_Hove Year1_LAC_3_or_more_Placements="","",Year1_Brighton_and_Hove Year1_LAC_3_or_more_Placements)</f>
        <v>41</v>
      </c>
      <c r="Z174" s="248">
        <f>IF(Year2_Brighton_and_Hove Year2_LAC_3_or_more_Placements="","",Year2_Brighton_and_Hove Year2_LAC_3_or_more_Placements)</f>
        <v>38</v>
      </c>
      <c r="AA174" s="248">
        <f>IF(Year3_Brighton_and_Hove Year3_LAC_3_or_more_Placements="","",Year3_Brighton_and_Hove Year3_LAC_3_or_more_Placements)</f>
        <v>44</v>
      </c>
      <c r="AB174" s="248">
        <f>IF(Year4_Brighton_and_Hove Year4_LAC_3_or_more_Placements="","",Year4_Brighton_and_Hove Year4_LAC_3_or_more_Placements)</f>
        <v>35</v>
      </c>
      <c r="AC174" s="352">
        <f>IF(Year5_Brighton_and_Hove Year5_LAC_3_or_more_Placements="","",Year5_Brighton_and_Hove Year5_LAC_3_or_more_Placements)</f>
        <v>44</v>
      </c>
      <c r="AD174" s="307">
        <f t="shared" si="55"/>
        <v>371</v>
      </c>
      <c r="AE174" s="307">
        <f t="shared" si="56"/>
        <v>373</v>
      </c>
      <c r="AF174" s="307">
        <f t="shared" si="57"/>
        <v>389</v>
      </c>
      <c r="AG174" s="307">
        <f t="shared" si="58"/>
        <v>345</v>
      </c>
      <c r="AH174" s="307">
        <f t="shared" si="59"/>
        <v>354</v>
      </c>
      <c r="AI174" s="52"/>
      <c r="AJ174" s="121"/>
    </row>
    <row r="175" spans="1:76" s="61" customFormat="1" ht="13.5" customHeight="1">
      <c r="A175" s="1103">
        <f>VLOOKUP(B175,ReportData!$AQ$4:$AR$25,2,FALSE)</f>
        <v>0</v>
      </c>
      <c r="B175" s="885" t="str">
        <f t="shared" ref="B175:B195" si="60">B142</f>
        <v>Bracknell Forest</v>
      </c>
      <c r="C175" s="896"/>
      <c r="D175" s="922">
        <f t="shared" ref="D175:D187" si="61">IF(AND(ISNUMBER(D11),ISNUMBER(Y173)),Y173/D11,NA())</f>
        <v>0.15492957746478872</v>
      </c>
      <c r="E175" s="922">
        <f t="shared" ref="E175:E187" si="62">IF(AND(ISNUMBER(E11),ISNUMBER(Z173)),Z173/E11,NA())</f>
        <v>0.11643835616438356</v>
      </c>
      <c r="F175" s="922">
        <f t="shared" ref="F175:F187" si="63">IF(AND(ISNUMBER(F11),ISNUMBER(AA173)),AA173/F11,NA())</f>
        <v>0.15328467153284672</v>
      </c>
      <c r="G175" s="922">
        <f t="shared" ref="G175:G187" si="64">IF(AND(ISNUMBER(G11),ISNUMBER(AB173)),AB173/G11,NA())</f>
        <v>0.11464968152866242</v>
      </c>
      <c r="H175" s="923">
        <f t="shared" ref="H175:H187" si="65">IF(AND(ISNUMBER(H11),ISNUMBER(AC173)),AC173/H11,NA())</f>
        <v>0.10714285714285714</v>
      </c>
      <c r="I175" s="68"/>
      <c r="J175" s="68"/>
      <c r="K175" s="127"/>
      <c r="L175" s="127"/>
      <c r="M175" s="127"/>
      <c r="N175" s="127"/>
      <c r="O175" s="127"/>
      <c r="P175" s="127"/>
      <c r="Q175" s="127"/>
      <c r="R175" s="128"/>
      <c r="S175" s="120"/>
      <c r="T175" s="127"/>
      <c r="U175" s="89"/>
      <c r="V175" s="103"/>
      <c r="W175" s="115"/>
      <c r="X175" s="248" t="str">
        <f t="shared" si="54"/>
        <v>Buckinghamshire</v>
      </c>
      <c r="Y175" s="307">
        <f>IF(Year1_Buckinghamshire Year1_LAC_3_or_more_Placements="","",Year1_Buckinghamshire Year1_LAC_3_or_more_Placements)</f>
        <v>53</v>
      </c>
      <c r="Z175" s="248">
        <f>IF(Year2_Buckinghamshire Year2_LAC_3_or_more_Placements="","",Year2_Buckinghamshire Year2_LAC_3_or_more_Placements)</f>
        <v>46</v>
      </c>
      <c r="AA175" s="248">
        <f>IF(Year3_Buckinghamshire Year3_LAC_3_or_more_Placements="","",Year3_Buckinghamshire Year3_LAC_3_or_more_Placements)</f>
        <v>53</v>
      </c>
      <c r="AB175" s="248">
        <f>IF(Year4_Buckinghamshire Year4_LAC_3_or_more_Placements="","",Year4_Buckinghamshire Year4_LAC_3_or_more_Placements)</f>
        <v>60</v>
      </c>
      <c r="AC175" s="352">
        <f>IF(Year5_Buckinghamshire Year5_LAC_3_or_more_Placements="","",Year5_Buckinghamshire Year5_LAC_3_or_more_Placements)</f>
        <v>46</v>
      </c>
      <c r="AD175" s="307">
        <f t="shared" si="55"/>
        <v>484</v>
      </c>
      <c r="AE175" s="307">
        <f t="shared" si="56"/>
        <v>510</v>
      </c>
      <c r="AF175" s="307">
        <f t="shared" si="57"/>
        <v>502</v>
      </c>
      <c r="AG175" s="307">
        <f t="shared" si="58"/>
        <v>497</v>
      </c>
      <c r="AH175" s="307">
        <f t="shared" si="59"/>
        <v>523</v>
      </c>
      <c r="AI175" s="52"/>
      <c r="AJ175" s="121"/>
    </row>
    <row r="176" spans="1:76" s="61" customFormat="1" ht="13.5" customHeight="1">
      <c r="A176" s="1103">
        <f>VLOOKUP(B176,ReportData!$AQ$4:$AR$25,2,FALSE)</f>
        <v>0</v>
      </c>
      <c r="B176" s="885" t="str">
        <f t="shared" si="60"/>
        <v>Brighton &amp; Hove</v>
      </c>
      <c r="C176" s="896"/>
      <c r="D176" s="922">
        <f t="shared" si="61"/>
        <v>0.11051212938005391</v>
      </c>
      <c r="E176" s="922">
        <f t="shared" si="62"/>
        <v>0.10187667560321716</v>
      </c>
      <c r="F176" s="922">
        <f t="shared" si="63"/>
        <v>0.11311053984575835</v>
      </c>
      <c r="G176" s="922">
        <f t="shared" si="64"/>
        <v>0.10144927536231885</v>
      </c>
      <c r="H176" s="923">
        <f t="shared" si="65"/>
        <v>0.12429378531073447</v>
      </c>
      <c r="I176" s="68"/>
      <c r="J176" s="68"/>
      <c r="K176" s="127"/>
      <c r="L176" s="127"/>
      <c r="M176" s="127"/>
      <c r="N176" s="127"/>
      <c r="O176" s="127"/>
      <c r="P176" s="127"/>
      <c r="Q176" s="127"/>
      <c r="R176" s="128"/>
      <c r="S176" s="120"/>
      <c r="T176" s="127"/>
      <c r="U176" s="89"/>
      <c r="V176" s="103"/>
      <c r="W176" s="115"/>
      <c r="X176" s="248" t="str">
        <f t="shared" si="54"/>
        <v>East Sussex</v>
      </c>
      <c r="Y176" s="307">
        <f>IF(Year1_East_Sussex Year1_LAC_3_or_more_Placements="","",Year1_East_Sussex Year1_LAC_3_or_more_Placements)</f>
        <v>84</v>
      </c>
      <c r="Z176" s="248">
        <f>IF(Year2_East_Sussex Year2_LAC_3_or_more_Placements="","",Year2_East_Sussex Year2_LAC_3_or_more_Placements)</f>
        <v>81</v>
      </c>
      <c r="AA176" s="248">
        <f>IF(Year3_East_Sussex Year3_LAC_3_or_more_Placements="","",Year3_East_Sussex Year3_LAC_3_or_more_Placements)</f>
        <v>65</v>
      </c>
      <c r="AB176" s="248">
        <f>IF(Year4_East_Sussex Year4_LAC_3_or_more_Placements="","",Year4_East_Sussex Year4_LAC_3_or_more_Placements)</f>
        <v>99</v>
      </c>
      <c r="AC176" s="352">
        <f>IF(Year5_East_Sussex Year5_LAC_3_or_more_Placements="","",Year5_East_Sussex Year5_LAC_3_or_more_Placements)</f>
        <v>94</v>
      </c>
      <c r="AD176" s="307">
        <f t="shared" si="55"/>
        <v>580</v>
      </c>
      <c r="AE176" s="307">
        <f t="shared" si="56"/>
        <v>611</v>
      </c>
      <c r="AF176" s="307">
        <f t="shared" si="57"/>
        <v>628</v>
      </c>
      <c r="AG176" s="307">
        <f t="shared" si="58"/>
        <v>661</v>
      </c>
      <c r="AH176" s="307">
        <f t="shared" si="59"/>
        <v>657</v>
      </c>
      <c r="AI176" s="52"/>
      <c r="AJ176" s="121"/>
    </row>
    <row r="177" spans="1:44" s="61" customFormat="1" ht="13.5" customHeight="1">
      <c r="A177" s="1103">
        <f>VLOOKUP(B177,ReportData!$AQ$4:$AR$25,2,FALSE)</f>
        <v>0</v>
      </c>
      <c r="B177" s="885" t="str">
        <f t="shared" si="60"/>
        <v>Buckinghamshire</v>
      </c>
      <c r="C177" s="896"/>
      <c r="D177" s="922">
        <f t="shared" si="61"/>
        <v>0.10950413223140495</v>
      </c>
      <c r="E177" s="922">
        <f t="shared" si="62"/>
        <v>9.0196078431372548E-2</v>
      </c>
      <c r="F177" s="922">
        <f t="shared" si="63"/>
        <v>0.10557768924302789</v>
      </c>
      <c r="G177" s="922">
        <f t="shared" si="64"/>
        <v>0.12072434607645875</v>
      </c>
      <c r="H177" s="923">
        <f t="shared" si="65"/>
        <v>8.7954110898661564E-2</v>
      </c>
      <c r="I177" s="68"/>
      <c r="J177" s="68"/>
      <c r="K177" s="127"/>
      <c r="L177" s="127"/>
      <c r="M177" s="127"/>
      <c r="N177" s="127"/>
      <c r="O177" s="127"/>
      <c r="P177" s="127"/>
      <c r="Q177" s="127"/>
      <c r="R177" s="128"/>
      <c r="S177" s="120"/>
      <c r="T177" s="127"/>
      <c r="U177" s="89"/>
      <c r="V177" s="103"/>
      <c r="W177" s="115"/>
      <c r="X177" s="248" t="str">
        <f t="shared" si="54"/>
        <v>Hampshire</v>
      </c>
      <c r="Y177" s="307">
        <f>IF(Year1_Hampshire Year1_LAC_3_or_more_Placements="","",Year1_Hampshire Year1_LAC_3_or_more_Placements)</f>
        <v>282</v>
      </c>
      <c r="Z177" s="248">
        <f>IF(Year2_Hampshire Year2_LAC_3_or_more_Placements="","",Year2_Hampshire Year2_LAC_3_or_more_Placements)</f>
        <v>222</v>
      </c>
      <c r="AA177" s="248">
        <f>IF(Year3_Hampshire Year3_LAC_3_or_more_Placements="","",Year3_Hampshire Year3_LAC_3_or_more_Placements)</f>
        <v>261</v>
      </c>
      <c r="AB177" s="248">
        <f>IF(Year4_Hampshire Year4_LAC_3_or_more_Placements="","",Year4_Hampshire Year4_LAC_3_or_more_Placements)</f>
        <v>300</v>
      </c>
      <c r="AC177" s="352">
        <f>IF(Year5_Hampshire Year5_LAC_3_or_more_Placements="","",Year5_Hampshire Year5_LAC_3_or_more_Placements)</f>
        <v>232</v>
      </c>
      <c r="AD177" s="307">
        <f t="shared" si="55"/>
        <v>1601</v>
      </c>
      <c r="AE177" s="307">
        <f t="shared" si="56"/>
        <v>1661</v>
      </c>
      <c r="AF177" s="307">
        <f t="shared" si="57"/>
        <v>1724</v>
      </c>
      <c r="AG177" s="307">
        <f t="shared" si="58"/>
        <v>1853</v>
      </c>
      <c r="AH177" s="307">
        <f t="shared" si="59"/>
        <v>1917</v>
      </c>
      <c r="AI177" s="52"/>
      <c r="AJ177" s="121"/>
    </row>
    <row r="178" spans="1:44" s="61" customFormat="1" ht="13.5" customHeight="1">
      <c r="A178" s="1103">
        <f>VLOOKUP(B178,ReportData!$AQ$4:$AR$25,2,FALSE)</f>
        <v>0</v>
      </c>
      <c r="B178" s="885" t="str">
        <f t="shared" si="60"/>
        <v>East Sussex</v>
      </c>
      <c r="C178" s="896"/>
      <c r="D178" s="922">
        <f t="shared" si="61"/>
        <v>0.14482758620689656</v>
      </c>
      <c r="E178" s="922">
        <f t="shared" si="62"/>
        <v>0.132569558101473</v>
      </c>
      <c r="F178" s="922">
        <f t="shared" si="63"/>
        <v>0.1035031847133758</v>
      </c>
      <c r="G178" s="922">
        <f t="shared" si="64"/>
        <v>0.14977307110438728</v>
      </c>
      <c r="H178" s="923">
        <f t="shared" si="65"/>
        <v>0.14307458143074581</v>
      </c>
      <c r="I178" s="68"/>
      <c r="J178" s="68"/>
      <c r="K178" s="127"/>
      <c r="L178" s="127"/>
      <c r="M178" s="127"/>
      <c r="N178" s="127"/>
      <c r="O178" s="127"/>
      <c r="P178" s="127"/>
      <c r="Q178" s="127"/>
      <c r="R178" s="128"/>
      <c r="S178" s="120"/>
      <c r="T178" s="127"/>
      <c r="U178" s="89"/>
      <c r="V178" s="103"/>
      <c r="W178" s="115"/>
      <c r="X178" s="248" t="str">
        <f t="shared" si="54"/>
        <v>Isle of Wight</v>
      </c>
      <c r="Y178" s="307">
        <f>IF(Year1_Isle_of_Wight Year1_LAC_3_or_more_Placements="","",Year1_Isle_of_Wight Year1_LAC_3_or_more_Placements)</f>
        <v>36</v>
      </c>
      <c r="Z178" s="248">
        <f>IF(Year2_Isle_of_Wight Year2_LAC_3_or_more_Placements="","",Year2_Isle_of_Wight Year2_LAC_3_or_more_Placements)</f>
        <v>34</v>
      </c>
      <c r="AA178" s="248">
        <f>IF(Year3_Isle_of_Wight Year3_LAC_3_or_more_Placements="","",Year3_Isle_of_Wight Year3_LAC_3_or_more_Placements)</f>
        <v>38</v>
      </c>
      <c r="AB178" s="248">
        <f>IF(Year4_Isle_of_Wight Year4_LAC_3_or_more_Placements="","",Year4_Isle_of_Wight Year4_LAC_3_or_more_Placements)</f>
        <v>31</v>
      </c>
      <c r="AC178" s="352">
        <f>IF(Year5_Isle_of_Wight Year5_LAC_3_or_more_Placements="","",Year5_Isle_of_Wight Year5_LAC_3_or_more_Placements)</f>
        <v>33</v>
      </c>
      <c r="AD178" s="307">
        <f t="shared" si="55"/>
        <v>263</v>
      </c>
      <c r="AE178" s="307">
        <f t="shared" si="56"/>
        <v>270</v>
      </c>
      <c r="AF178" s="307">
        <f t="shared" si="57"/>
        <v>275</v>
      </c>
      <c r="AG178" s="307">
        <f t="shared" si="58"/>
        <v>288</v>
      </c>
      <c r="AH178" s="307">
        <f t="shared" si="59"/>
        <v>279</v>
      </c>
      <c r="AI178" s="52"/>
      <c r="AJ178" s="121"/>
      <c r="AR178" s="61" t="s">
        <v>95</v>
      </c>
    </row>
    <row r="179" spans="1:44" s="61" customFormat="1" ht="13.5" customHeight="1">
      <c r="A179" s="1103">
        <f>VLOOKUP(B179,ReportData!$AQ$4:$AR$25,2,FALSE)</f>
        <v>0</v>
      </c>
      <c r="B179" s="885" t="str">
        <f t="shared" si="60"/>
        <v>Hampshire</v>
      </c>
      <c r="C179" s="896"/>
      <c r="D179" s="922">
        <f t="shared" si="61"/>
        <v>0.17613991255465333</v>
      </c>
      <c r="E179" s="922">
        <f t="shared" si="62"/>
        <v>0.13365442504515351</v>
      </c>
      <c r="F179" s="922">
        <f t="shared" si="63"/>
        <v>0.15139211136890951</v>
      </c>
      <c r="G179" s="922">
        <f t="shared" si="64"/>
        <v>0.16189962223421478</v>
      </c>
      <c r="H179" s="923">
        <f t="shared" si="65"/>
        <v>0.1210224308815858</v>
      </c>
      <c r="I179" s="68"/>
      <c r="J179" s="68"/>
      <c r="K179" s="127"/>
      <c r="L179" s="127"/>
      <c r="M179" s="127"/>
      <c r="N179" s="127"/>
      <c r="O179" s="127"/>
      <c r="P179" s="127"/>
      <c r="Q179" s="127"/>
      <c r="R179" s="128"/>
      <c r="S179" s="120"/>
      <c r="T179" s="127"/>
      <c r="U179" s="89"/>
      <c r="V179" s="103"/>
      <c r="W179" s="115"/>
      <c r="X179" s="248" t="str">
        <f t="shared" si="54"/>
        <v>Kent</v>
      </c>
      <c r="Y179" s="307">
        <f>IF(Year1_Kent Year1_LAC_3_or_more_Placements="","",Year1_Kent Year1_LAC_3_or_more_Placements)</f>
        <v>203</v>
      </c>
      <c r="Z179" s="248">
        <f>IF(Year2_Kent Year2_LAC_3_or_more_Placements="","",Year2_Kent Year2_LAC_3_or_more_Placements)</f>
        <v>205</v>
      </c>
      <c r="AA179" s="248">
        <f>IF(Year3_Kent Year3_LAC_3_or_more_Placements="","",Year3_Kent Year3_LAC_3_or_more_Placements)</f>
        <v>232</v>
      </c>
      <c r="AB179" s="248">
        <f>IF(Year4_Kent Year4_LAC_3_or_more_Placements="","",Year4_Kent Year4_LAC_3_or_more_Placements)</f>
        <v>241</v>
      </c>
      <c r="AC179" s="352">
        <f>IF(Year5_Kent Year5_LAC_3_or_more_Placements="","",Year5_Kent Year5_LAC_3_or_more_Placements)</f>
        <v>221</v>
      </c>
      <c r="AD179" s="307">
        <f t="shared" si="55"/>
        <v>1806</v>
      </c>
      <c r="AE179" s="307">
        <f t="shared" si="56"/>
        <v>1662</v>
      </c>
      <c r="AF179" s="307">
        <f t="shared" si="57"/>
        <v>1777</v>
      </c>
      <c r="AG179" s="307">
        <f t="shared" si="58"/>
        <v>1942</v>
      </c>
      <c r="AH179" s="307">
        <f t="shared" si="59"/>
        <v>1960</v>
      </c>
      <c r="AI179" s="52"/>
      <c r="AJ179" s="121"/>
    </row>
    <row r="180" spans="1:44" s="61" customFormat="1" ht="13.5" customHeight="1">
      <c r="A180" s="1103">
        <f>VLOOKUP(B180,ReportData!$AQ$4:$AR$25,2,FALSE)</f>
        <v>0</v>
      </c>
      <c r="B180" s="885" t="str">
        <f t="shared" si="60"/>
        <v>Isle of Wight</v>
      </c>
      <c r="C180" s="896"/>
      <c r="D180" s="922">
        <f t="shared" si="61"/>
        <v>0.13688212927756654</v>
      </c>
      <c r="E180" s="922">
        <f t="shared" si="62"/>
        <v>0.12592592592592591</v>
      </c>
      <c r="F180" s="922">
        <f t="shared" si="63"/>
        <v>0.13818181818181818</v>
      </c>
      <c r="G180" s="922">
        <f t="shared" si="64"/>
        <v>0.1076388888888889</v>
      </c>
      <c r="H180" s="923">
        <f t="shared" si="65"/>
        <v>0.11827956989247312</v>
      </c>
      <c r="I180" s="68"/>
      <c r="J180" s="68"/>
      <c r="K180" s="127"/>
      <c r="L180" s="127"/>
      <c r="M180" s="127"/>
      <c r="N180" s="127"/>
      <c r="O180" s="127"/>
      <c r="P180" s="127"/>
      <c r="Q180" s="127"/>
      <c r="R180" s="128"/>
      <c r="S180" s="120"/>
      <c r="T180" s="127"/>
      <c r="U180" s="89"/>
      <c r="V180" s="103"/>
      <c r="W180" s="115"/>
      <c r="X180" s="248" t="str">
        <f t="shared" si="54"/>
        <v>Medway</v>
      </c>
      <c r="Y180" s="307">
        <f>IF(Year1_Medway Year1_LAC_3_or_more_Placements="","",Year1_Medway Year1_LAC_3_or_more_Placements)</f>
        <v>43</v>
      </c>
      <c r="Z180" s="248">
        <f>IF(Year2_Medway Year2_LAC_3_or_more_Placements="","",Year2_Medway Year2_LAC_3_or_more_Placements)</f>
        <v>50</v>
      </c>
      <c r="AA180" s="248">
        <f>IF(Year3_Medway Year3_LAC_3_or_more_Placements="","",Year3_Medway Year3_LAC_3_or_more_Placements)</f>
        <v>50</v>
      </c>
      <c r="AB180" s="248">
        <f>IF(Year4_Medway Year4_LAC_3_or_more_Placements="","",Year4_Medway Year4_LAC_3_or_more_Placements)</f>
        <v>55</v>
      </c>
      <c r="AC180" s="352">
        <f>IF(Year5_Medway Year5_LAC_3_or_more_Placements="","",Year5_Medway Year5_LAC_3_or_more_Placements)</f>
        <v>65</v>
      </c>
      <c r="AD180" s="307">
        <f t="shared" si="55"/>
        <v>426</v>
      </c>
      <c r="AE180" s="307">
        <f t="shared" si="56"/>
        <v>440</v>
      </c>
      <c r="AF180" s="307">
        <f t="shared" si="57"/>
        <v>443</v>
      </c>
      <c r="AG180" s="307">
        <f t="shared" si="58"/>
        <v>465</v>
      </c>
      <c r="AH180" s="307">
        <f t="shared" si="59"/>
        <v>476</v>
      </c>
      <c r="AI180" s="52"/>
      <c r="AJ180" s="121"/>
    </row>
    <row r="181" spans="1:44" s="61" customFormat="1" ht="13.5" customHeight="1">
      <c r="A181" s="1103">
        <f>VLOOKUP(B181,ReportData!$AQ$4:$AR$25,2,FALSE)</f>
        <v>0</v>
      </c>
      <c r="B181" s="885" t="str">
        <f t="shared" si="60"/>
        <v>Kent</v>
      </c>
      <c r="C181" s="896"/>
      <c r="D181" s="922">
        <f t="shared" si="61"/>
        <v>0.1124031007751938</v>
      </c>
      <c r="E181" s="922">
        <f t="shared" si="62"/>
        <v>0.1233453670276775</v>
      </c>
      <c r="F181" s="922">
        <f t="shared" si="63"/>
        <v>0.1305571187394485</v>
      </c>
      <c r="G181" s="922">
        <f t="shared" si="64"/>
        <v>0.12409886714727085</v>
      </c>
      <c r="H181" s="923">
        <f t="shared" si="65"/>
        <v>0.11275510204081633</v>
      </c>
      <c r="I181" s="68"/>
      <c r="J181" s="68"/>
      <c r="K181" s="127"/>
      <c r="L181" s="127"/>
      <c r="M181" s="127"/>
      <c r="N181" s="127"/>
      <c r="O181" s="127"/>
      <c r="P181" s="127"/>
      <c r="Q181" s="127"/>
      <c r="R181" s="128"/>
      <c r="S181" s="120"/>
      <c r="T181" s="127"/>
      <c r="U181" s="89"/>
      <c r="V181" s="103"/>
      <c r="W181" s="115"/>
      <c r="X181" s="248" t="str">
        <f t="shared" si="54"/>
        <v>Milton Keynes</v>
      </c>
      <c r="Y181" s="307">
        <f>IF(Year1_Milton_Keynes Year1_LAC_3_or_more_Placements="","",Year1_Milton_Keynes Year1_LAC_3_or_more_Placements)</f>
        <v>60</v>
      </c>
      <c r="Z181" s="248">
        <f>IF(Year2_Milton_Keynes Year2_LAC_3_or_more_Placements="","",Year2_Milton_Keynes Year2_LAC_3_or_more_Placements)</f>
        <v>48</v>
      </c>
      <c r="AA181" s="248">
        <f>IF(Year3_Milton_Keynes Year3_LAC_3_or_more_Placements="","",Year3_Milton_Keynes Year3_LAC_3_or_more_Placements)</f>
        <v>56</v>
      </c>
      <c r="AB181" s="248">
        <f>IF(Year4_Milton_Keynes Year4_LAC_3_or_more_Placements="","",Year4_Milton_Keynes Year4_LAC_3_or_more_Placements)</f>
        <v>54</v>
      </c>
      <c r="AC181" s="352">
        <f>IF(Year5_Milton_Keynes Year5_LAC_3_or_more_Placements="","",Year5_Milton_Keynes Year5_LAC_3_or_more_Placements)</f>
        <v>67</v>
      </c>
      <c r="AD181" s="307">
        <f t="shared" si="55"/>
        <v>403</v>
      </c>
      <c r="AE181" s="307">
        <f t="shared" si="56"/>
        <v>395</v>
      </c>
      <c r="AF181" s="307">
        <f t="shared" si="57"/>
        <v>361</v>
      </c>
      <c r="AG181" s="307">
        <f t="shared" si="58"/>
        <v>354</v>
      </c>
      <c r="AH181" s="307">
        <f t="shared" si="59"/>
        <v>410</v>
      </c>
      <c r="AI181" s="52"/>
      <c r="AJ181" s="121"/>
    </row>
    <row r="182" spans="1:44" s="61" customFormat="1" ht="13.5" customHeight="1">
      <c r="A182" s="1103">
        <f>VLOOKUP(B182,ReportData!$AQ$4:$AR$25,2,FALSE)</f>
        <v>0</v>
      </c>
      <c r="B182" s="885" t="str">
        <f t="shared" si="60"/>
        <v>Medway</v>
      </c>
      <c r="C182" s="896"/>
      <c r="D182" s="922">
        <f t="shared" si="61"/>
        <v>0.10093896713615023</v>
      </c>
      <c r="E182" s="922">
        <f t="shared" si="62"/>
        <v>0.11363636363636363</v>
      </c>
      <c r="F182" s="922">
        <f t="shared" si="63"/>
        <v>0.11286681715575621</v>
      </c>
      <c r="G182" s="922">
        <f t="shared" si="64"/>
        <v>0.11827956989247312</v>
      </c>
      <c r="H182" s="923">
        <f t="shared" si="65"/>
        <v>0.13655462184873948</v>
      </c>
      <c r="I182" s="68"/>
      <c r="J182" s="68"/>
      <c r="K182" s="127"/>
      <c r="L182" s="127"/>
      <c r="M182" s="127"/>
      <c r="N182" s="127"/>
      <c r="O182" s="127"/>
      <c r="P182" s="127"/>
      <c r="Q182" s="127"/>
      <c r="R182" s="128"/>
      <c r="S182" s="120"/>
      <c r="T182" s="127"/>
      <c r="U182" s="89"/>
      <c r="V182" s="103"/>
      <c r="W182" s="115"/>
      <c r="X182" s="248" t="str">
        <f t="shared" si="54"/>
        <v>Oxfordshire</v>
      </c>
      <c r="Y182" s="307">
        <f>IF(Year1_Oxfordshire Year1_LAC_3_or_more_Placements="","",Year1_Oxfordshire Year1_LAC_3_or_more_Placements)</f>
        <v>90</v>
      </c>
      <c r="Z182" s="248">
        <f>IF(Year2_Oxfordshire Year2_LAC_3_or_more_Placements="","",Year2_Oxfordshire Year2_LAC_3_or_more_Placements)</f>
        <v>71</v>
      </c>
      <c r="AA182" s="248">
        <f>IF(Year3_Oxfordshire Year3_LAC_3_or_more_Placements="","",Year3_Oxfordshire Year3_LAC_3_or_more_Placements)</f>
        <v>94</v>
      </c>
      <c r="AB182" s="248">
        <f>IF(Year4_Oxfordshire Year4_LAC_3_or_more_Placements="","",Year4_Oxfordshire Year4_LAC_3_or_more_Placements)</f>
        <v>114</v>
      </c>
      <c r="AC182" s="352">
        <f>IF(Year5_Oxfordshire Year5_LAC_3_or_more_Placements="","",Year5_Oxfordshire Year5_LAC_3_or_more_Placements)</f>
        <v>101</v>
      </c>
      <c r="AD182" s="307">
        <f t="shared" si="55"/>
        <v>767</v>
      </c>
      <c r="AE182" s="307">
        <f t="shared" si="56"/>
        <v>784</v>
      </c>
      <c r="AF182" s="307">
        <f t="shared" si="57"/>
        <v>854</v>
      </c>
      <c r="AG182" s="307">
        <f t="shared" si="58"/>
        <v>881</v>
      </c>
      <c r="AH182" s="307">
        <f t="shared" si="59"/>
        <v>770</v>
      </c>
      <c r="AI182" s="52"/>
      <c r="AJ182" s="121"/>
    </row>
    <row r="183" spans="1:44" s="61" customFormat="1" ht="13.5" customHeight="1">
      <c r="A183" s="1103">
        <f>VLOOKUP(B183,ReportData!$AQ$4:$AR$25,2,FALSE)</f>
        <v>0</v>
      </c>
      <c r="B183" s="885" t="str">
        <f t="shared" si="60"/>
        <v>Milton Keynes</v>
      </c>
      <c r="C183" s="896"/>
      <c r="D183" s="922">
        <f t="shared" si="61"/>
        <v>0.14888337468982629</v>
      </c>
      <c r="E183" s="922">
        <f t="shared" si="62"/>
        <v>0.12151898734177215</v>
      </c>
      <c r="F183" s="922">
        <f t="shared" si="63"/>
        <v>0.15512465373961218</v>
      </c>
      <c r="G183" s="922">
        <f t="shared" si="64"/>
        <v>0.15254237288135594</v>
      </c>
      <c r="H183" s="923">
        <f t="shared" si="65"/>
        <v>0.16341463414634147</v>
      </c>
      <c r="I183" s="68"/>
      <c r="J183" s="68"/>
      <c r="K183" s="127"/>
      <c r="L183" s="127"/>
      <c r="M183" s="127"/>
      <c r="N183" s="127"/>
      <c r="O183" s="127"/>
      <c r="P183" s="127"/>
      <c r="Q183" s="127"/>
      <c r="R183" s="128"/>
      <c r="S183" s="120"/>
      <c r="T183" s="127"/>
      <c r="U183" s="89"/>
      <c r="V183" s="103"/>
      <c r="W183" s="115"/>
      <c r="X183" s="248" t="str">
        <f t="shared" si="54"/>
        <v>Portsmouth</v>
      </c>
      <c r="Y183" s="307">
        <f>IF(Year1_Portsmouth Year1_LAC_3_or_more_Placements="","",Year1_Portsmouth Year1_LAC_3_or_more_Placements)</f>
        <v>70</v>
      </c>
      <c r="Z183" s="248">
        <f>IF(Year2_Portsmouth Year2_LAC_3_or_more_Placements="","",Year2_Portsmouth Year2_LAC_3_or_more_Placements)</f>
        <v>24</v>
      </c>
      <c r="AA183" s="248">
        <f>IF(Year3_Portsmouth Year3_LAC_3_or_more_Placements="","",Year3_Portsmouth Year3_LAC_3_or_more_Placements)</f>
        <v>33</v>
      </c>
      <c r="AB183" s="248">
        <f>IF(Year4_Portsmouth Year4_LAC_3_or_more_Placements="","",Year4_Portsmouth Year4_LAC_3_or_more_Placements)</f>
        <v>30</v>
      </c>
      <c r="AC183" s="352">
        <f>IF(Year5_Portsmouth Year5_LAC_3_or_more_Placements="","",Year5_Portsmouth Year5_LAC_3_or_more_Placements)</f>
        <v>37</v>
      </c>
      <c r="AD183" s="307">
        <f t="shared" si="55"/>
        <v>468</v>
      </c>
      <c r="AE183" s="307">
        <f t="shared" si="56"/>
        <v>378</v>
      </c>
      <c r="AF183" s="307">
        <f t="shared" si="57"/>
        <v>386</v>
      </c>
      <c r="AG183" s="307">
        <f t="shared" si="58"/>
        <v>388</v>
      </c>
      <c r="AH183" s="307">
        <f t="shared" si="59"/>
        <v>402</v>
      </c>
      <c r="AI183" s="52"/>
      <c r="AJ183" s="121"/>
    </row>
    <row r="184" spans="1:44" s="61" customFormat="1" ht="13.5" customHeight="1">
      <c r="A184" s="1103">
        <f>VLOOKUP(B184,ReportData!$AQ$4:$AR$25,2,FALSE)</f>
        <v>0</v>
      </c>
      <c r="B184" s="885" t="str">
        <f t="shared" si="60"/>
        <v>Oxfordshire</v>
      </c>
      <c r="C184" s="896"/>
      <c r="D184" s="922">
        <f t="shared" si="61"/>
        <v>0.11734028683181226</v>
      </c>
      <c r="E184" s="922">
        <f t="shared" si="62"/>
        <v>9.0561224489795922E-2</v>
      </c>
      <c r="F184" s="922">
        <f t="shared" si="63"/>
        <v>0.11007025761124122</v>
      </c>
      <c r="G184" s="922">
        <f t="shared" si="64"/>
        <v>0.12939841089670828</v>
      </c>
      <c r="H184" s="923">
        <f t="shared" si="65"/>
        <v>0.13116883116883116</v>
      </c>
      <c r="I184" s="68"/>
      <c r="J184" s="68"/>
      <c r="K184" s="127"/>
      <c r="L184" s="127"/>
      <c r="M184" s="127"/>
      <c r="N184" s="127"/>
      <c r="O184" s="127"/>
      <c r="P184" s="127"/>
      <c r="Q184" s="127"/>
      <c r="R184" s="128"/>
      <c r="S184" s="120"/>
      <c r="T184" s="127"/>
      <c r="U184" s="89"/>
      <c r="V184" s="103"/>
      <c r="W184" s="115"/>
      <c r="X184" s="248" t="str">
        <f t="shared" si="54"/>
        <v>Reading</v>
      </c>
      <c r="Y184" s="307">
        <f>IF(Year1_Reading Year1_LAC_3_or_more_Placements="","",Year1_Reading Year1_LAC_3_or_more_Placements)</f>
        <v>41</v>
      </c>
      <c r="Z184" s="248">
        <f>IF(Year2_Reading Year2_LAC_3_or_more_Placements="","",Year2_Reading Year2_LAC_3_or_more_Placements)</f>
        <v>21</v>
      </c>
      <c r="AA184" s="248">
        <f>IF(Year3_Reading Year3_LAC_3_or_more_Placements="","",Year3_Reading Year3_LAC_3_or_more_Placements)</f>
        <v>13</v>
      </c>
      <c r="AB184" s="248">
        <f>IF(Year4_Reading Year4_LAC_3_or_more_Placements="","",Year4_Reading Year4_LAC_3_or_more_Placements)</f>
        <v>20</v>
      </c>
      <c r="AC184" s="352">
        <f>IF(Year5_Reading Year5_LAC_3_or_more_Placements="","",Year5_Reading Year5_LAC_3_or_more_Placements)</f>
        <v>32</v>
      </c>
      <c r="AD184" s="307">
        <f t="shared" si="55"/>
        <v>277</v>
      </c>
      <c r="AE184" s="307">
        <f t="shared" si="56"/>
        <v>270</v>
      </c>
      <c r="AF184" s="307">
        <f t="shared" si="57"/>
        <v>234</v>
      </c>
      <c r="AG184" s="307">
        <f t="shared" si="58"/>
        <v>252</v>
      </c>
      <c r="AH184" s="307">
        <f t="shared" si="59"/>
        <v>266</v>
      </c>
      <c r="AI184" s="52"/>
      <c r="AJ184" s="121"/>
    </row>
    <row r="185" spans="1:44" s="61" customFormat="1" ht="13.5" customHeight="1">
      <c r="A185" s="1103">
        <f>VLOOKUP(B185,ReportData!$AQ$4:$AR$25,2,FALSE)</f>
        <v>0</v>
      </c>
      <c r="B185" s="885" t="str">
        <f t="shared" si="60"/>
        <v>Portsmouth</v>
      </c>
      <c r="C185" s="896"/>
      <c r="D185" s="922">
        <f t="shared" si="61"/>
        <v>0.14957264957264957</v>
      </c>
      <c r="E185" s="922">
        <f t="shared" si="62"/>
        <v>6.3492063492063489E-2</v>
      </c>
      <c r="F185" s="922">
        <f t="shared" si="63"/>
        <v>8.549222797927461E-2</v>
      </c>
      <c r="G185" s="922">
        <f t="shared" si="64"/>
        <v>7.7319587628865982E-2</v>
      </c>
      <c r="H185" s="923">
        <f t="shared" si="65"/>
        <v>9.2039800995024873E-2</v>
      </c>
      <c r="I185" s="68"/>
      <c r="J185" s="68"/>
      <c r="K185" s="127"/>
      <c r="L185" s="127"/>
      <c r="M185" s="127"/>
      <c r="N185" s="127"/>
      <c r="O185" s="127"/>
      <c r="P185" s="127"/>
      <c r="Q185" s="127"/>
      <c r="R185" s="128"/>
      <c r="S185" s="120"/>
      <c r="T185" s="127"/>
      <c r="U185" s="89"/>
      <c r="V185" s="103"/>
      <c r="W185" s="115"/>
      <c r="X185" s="248" t="str">
        <f t="shared" si="54"/>
        <v>Slough</v>
      </c>
      <c r="Y185" s="307">
        <f>IF(Year1_Slough Year1_LAC_3_or_more_Placements="","",Year1_Slough Year1_LAC_3_or_more_Placements)</f>
        <v>33</v>
      </c>
      <c r="Z185" s="248">
        <f>IF(Year2_Slough Year2_LAC_3_or_more_Placements="","",Year2_Slough Year2_LAC_3_or_more_Placements)</f>
        <v>23</v>
      </c>
      <c r="AA185" s="248">
        <f>IF(Year3_Slough Year3_LAC_3_or_more_Placements="","",Year3_Slough Year3_LAC_3_or_more_Placements)</f>
        <v>15</v>
      </c>
      <c r="AB185" s="248">
        <f>IF(Year4_Slough Year4_LAC_3_or_more_Placements="","",Year4_Slough Year4_LAC_3_or_more_Placements)</f>
        <v>28</v>
      </c>
      <c r="AC185" s="352">
        <f>IF(Year5_Slough Year5_LAC_3_or_more_Placements="","",Year5_Slough Year5_LAC_3_or_more_Placements)</f>
        <v>28</v>
      </c>
      <c r="AD185" s="307">
        <f t="shared" si="55"/>
        <v>196</v>
      </c>
      <c r="AE185" s="307">
        <f t="shared" si="56"/>
        <v>223</v>
      </c>
      <c r="AF185" s="307">
        <f t="shared" si="57"/>
        <v>234</v>
      </c>
      <c r="AG185" s="307">
        <f t="shared" si="58"/>
        <v>253</v>
      </c>
      <c r="AH185" s="307">
        <f t="shared" si="59"/>
        <v>201</v>
      </c>
      <c r="AI185" s="52"/>
      <c r="AJ185" s="121"/>
    </row>
    <row r="186" spans="1:44" s="61" customFormat="1" ht="13.5" customHeight="1">
      <c r="A186" s="1103">
        <f>VLOOKUP(B186,ReportData!$AQ$4:$AR$25,2,FALSE)</f>
        <v>0</v>
      </c>
      <c r="B186" s="885" t="str">
        <f t="shared" si="60"/>
        <v>Reading</v>
      </c>
      <c r="C186" s="896"/>
      <c r="D186" s="922">
        <f t="shared" si="61"/>
        <v>0.14801444043321299</v>
      </c>
      <c r="E186" s="922">
        <f t="shared" si="62"/>
        <v>7.7777777777777779E-2</v>
      </c>
      <c r="F186" s="922">
        <f t="shared" si="63"/>
        <v>5.5555555555555552E-2</v>
      </c>
      <c r="G186" s="922">
        <f t="shared" si="64"/>
        <v>7.9365079365079361E-2</v>
      </c>
      <c r="H186" s="923">
        <f t="shared" si="65"/>
        <v>0.12030075187969924</v>
      </c>
      <c r="I186" s="68"/>
      <c r="J186" s="68"/>
      <c r="K186" s="127"/>
      <c r="L186" s="127"/>
      <c r="M186" s="127"/>
      <c r="N186" s="127"/>
      <c r="O186" s="127"/>
      <c r="P186" s="127"/>
      <c r="Q186" s="127"/>
      <c r="R186" s="128"/>
      <c r="S186" s="120"/>
      <c r="T186" s="127"/>
      <c r="U186" s="89"/>
      <c r="V186" s="103"/>
      <c r="W186" s="115"/>
      <c r="AI186" s="52"/>
      <c r="AJ186" s="121"/>
    </row>
    <row r="187" spans="1:44" s="61" customFormat="1" ht="13.5" customHeight="1">
      <c r="A187" s="1103">
        <f>VLOOKUP(B187,ReportData!$AQ$4:$AR$25,2,FALSE)</f>
        <v>0</v>
      </c>
      <c r="B187" s="885" t="str">
        <f t="shared" si="60"/>
        <v>Slough</v>
      </c>
      <c r="C187" s="896"/>
      <c r="D187" s="922">
        <f t="shared" si="61"/>
        <v>0.1683673469387755</v>
      </c>
      <c r="E187" s="922">
        <f t="shared" si="62"/>
        <v>0.1031390134529148</v>
      </c>
      <c r="F187" s="922">
        <f t="shared" si="63"/>
        <v>6.4102564102564097E-2</v>
      </c>
      <c r="G187" s="922">
        <f t="shared" si="64"/>
        <v>0.11067193675889328</v>
      </c>
      <c r="H187" s="923">
        <f t="shared" si="65"/>
        <v>0.13930348258706468</v>
      </c>
      <c r="I187" s="68"/>
      <c r="J187" s="68"/>
      <c r="K187" s="127"/>
      <c r="L187" s="127"/>
      <c r="M187" s="127"/>
      <c r="N187" s="127"/>
      <c r="O187" s="127"/>
      <c r="P187" s="127"/>
      <c r="Q187" s="127"/>
      <c r="R187" s="128"/>
      <c r="S187" s="120"/>
      <c r="T187" s="127"/>
      <c r="U187" s="89"/>
      <c r="V187" s="103"/>
      <c r="W187" s="115"/>
      <c r="AI187" s="52"/>
      <c r="AJ187" s="121"/>
    </row>
    <row r="188" spans="1:44" s="61" customFormat="1" ht="13.5" customHeight="1">
      <c r="A188" s="1103">
        <f>VLOOKUP(B188,ReportData!$AQ$4:$AR$25,2,FALSE)</f>
        <v>0</v>
      </c>
      <c r="B188" s="885" t="str">
        <f t="shared" si="60"/>
        <v>Southampton</v>
      </c>
      <c r="C188" s="896"/>
      <c r="D188" s="922">
        <f t="shared" ref="D188:H193" si="66">IF(AND(ISNUMBER(D24),ISNUMBER(Y188)),Y188/D24,NA())</f>
        <v>0.16049382716049382</v>
      </c>
      <c r="E188" s="922">
        <f t="shared" si="66"/>
        <v>0.13883299798792756</v>
      </c>
      <c r="F188" s="922">
        <f t="shared" si="66"/>
        <v>0.15151515151515152</v>
      </c>
      <c r="G188" s="922">
        <f t="shared" si="66"/>
        <v>0.13382899628252787</v>
      </c>
      <c r="H188" s="923">
        <f t="shared" si="66"/>
        <v>0.18442622950819673</v>
      </c>
      <c r="I188" s="68"/>
      <c r="J188" s="68"/>
      <c r="K188" s="127"/>
      <c r="L188" s="127"/>
      <c r="M188" s="127"/>
      <c r="N188" s="127"/>
      <c r="O188" s="127"/>
      <c r="P188" s="127"/>
      <c r="Q188" s="127"/>
      <c r="R188" s="128"/>
      <c r="S188" s="120"/>
      <c r="T188" s="127"/>
      <c r="U188" s="89"/>
      <c r="V188" s="103"/>
      <c r="W188" s="115"/>
      <c r="X188" s="248" t="str">
        <f t="shared" ref="X188:X195" si="67">B188</f>
        <v>Southampton</v>
      </c>
      <c r="Y188" s="307">
        <f>IF(Year1_Southampton Year1_LAC_3_or_more_Placements="","",Year1_Southampton Year1_LAC_3_or_more_Placements)</f>
        <v>78</v>
      </c>
      <c r="Z188" s="248">
        <f>IF(Year2_Southampton Year2_LAC_3_or_more_Placements="","",Year2_Southampton Year2_LAC_3_or_more_Placements)</f>
        <v>69</v>
      </c>
      <c r="AA188" s="248">
        <f>IF(Year3_Southampton Year3_LAC_3_or_more_Placements="","",Year3_Southampton Year3_LAC_3_or_more_Placements)</f>
        <v>85</v>
      </c>
      <c r="AB188" s="248">
        <f>IF(Year4_Southampton Year4_LAC_3_or_more_Placements="","",Year4_Southampton Year4_LAC_3_or_more_Placements)</f>
        <v>72</v>
      </c>
      <c r="AC188" s="352">
        <f>IF(Year5_Southampton Year5_LAC_3_or_more_Placements="","",Year5_Southampton Year5_LAC_3_or_more_Placements)</f>
        <v>90</v>
      </c>
      <c r="AD188" s="307">
        <f t="shared" ref="AD188:AH193" si="68">IF(ISNUMBER(Y188),D24,0)</f>
        <v>486</v>
      </c>
      <c r="AE188" s="307">
        <f t="shared" si="68"/>
        <v>497</v>
      </c>
      <c r="AF188" s="307">
        <f t="shared" si="68"/>
        <v>561</v>
      </c>
      <c r="AG188" s="307">
        <f t="shared" si="68"/>
        <v>538</v>
      </c>
      <c r="AH188" s="307">
        <f t="shared" si="68"/>
        <v>488</v>
      </c>
      <c r="AI188" s="52"/>
      <c r="AJ188" s="121"/>
    </row>
    <row r="189" spans="1:44" s="61" customFormat="1" ht="13.5" customHeight="1">
      <c r="A189" s="1103">
        <f>VLOOKUP(B189,ReportData!$AQ$4:$AR$25,2,FALSE)</f>
        <v>0</v>
      </c>
      <c r="B189" s="885" t="str">
        <f t="shared" si="60"/>
        <v>Surrey</v>
      </c>
      <c r="C189" s="896"/>
      <c r="D189" s="922">
        <f t="shared" si="66"/>
        <v>9.1556459816887079E-2</v>
      </c>
      <c r="E189" s="922">
        <f t="shared" si="66"/>
        <v>8.5341365461847396E-2</v>
      </c>
      <c r="F189" s="922">
        <f t="shared" si="66"/>
        <v>9.0648854961832059E-2</v>
      </c>
      <c r="G189" s="922">
        <f t="shared" si="66"/>
        <v>8.6870681145113524E-2</v>
      </c>
      <c r="H189" s="923">
        <f t="shared" si="66"/>
        <v>0.11734164070612668</v>
      </c>
      <c r="I189" s="68"/>
      <c r="J189" s="68"/>
      <c r="K189" s="127"/>
      <c r="L189" s="127"/>
      <c r="M189" s="127"/>
      <c r="N189" s="127"/>
      <c r="O189" s="127"/>
      <c r="P189" s="127"/>
      <c r="Q189" s="127"/>
      <c r="R189" s="128"/>
      <c r="S189" s="120"/>
      <c r="T189" s="127"/>
      <c r="U189" s="89"/>
      <c r="V189" s="103"/>
      <c r="W189" s="115"/>
      <c r="X189" s="248" t="str">
        <f t="shared" si="67"/>
        <v>Surrey</v>
      </c>
      <c r="Y189" s="307">
        <f>IF(Year1_Surrey Year1_LAC_3_or_more_Placements="","",Year1_Surrey Year1_LAC_3_or_more_Placements)</f>
        <v>90</v>
      </c>
      <c r="Z189" s="248">
        <f>IF(Year2_Surrey Year2_LAC_3_or_more_Placements="","",Year2_Surrey Year2_LAC_3_or_more_Placements)</f>
        <v>85</v>
      </c>
      <c r="AA189" s="248">
        <f>IF(Year3_Surrey Year3_LAC_3_or_more_Placements="","",Year3_Surrey Year3_LAC_3_or_more_Placements)</f>
        <v>95</v>
      </c>
      <c r="AB189" s="248">
        <f>IF(Year4_Surrey Year4_LAC_3_or_more_Placements="","",Year4_Surrey Year4_LAC_3_or_more_Placements)</f>
        <v>88</v>
      </c>
      <c r="AC189" s="352">
        <f>IF(Year5_Surrey Year5_LAC_3_or_more_Placements="","",Year5_Surrey Year5_LAC_3_or_more_Placements)</f>
        <v>113</v>
      </c>
      <c r="AD189" s="307">
        <f t="shared" si="68"/>
        <v>983</v>
      </c>
      <c r="AE189" s="307">
        <f t="shared" si="68"/>
        <v>996</v>
      </c>
      <c r="AF189" s="307">
        <f t="shared" si="68"/>
        <v>1048</v>
      </c>
      <c r="AG189" s="307">
        <f t="shared" si="68"/>
        <v>1013</v>
      </c>
      <c r="AH189" s="307">
        <f t="shared" si="68"/>
        <v>963</v>
      </c>
      <c r="AI189" s="52"/>
      <c r="AJ189" s="121"/>
    </row>
    <row r="190" spans="1:44" s="61" customFormat="1" ht="13.5" customHeight="1">
      <c r="A190" s="1103">
        <f>VLOOKUP(B190,ReportData!$AQ$4:$AR$25,2,FALSE)</f>
        <v>0</v>
      </c>
      <c r="B190" s="885" t="str">
        <f t="shared" si="60"/>
        <v>West Berkshire</v>
      </c>
      <c r="C190" s="896"/>
      <c r="D190" s="922">
        <f t="shared" si="66"/>
        <v>0.14102564102564102</v>
      </c>
      <c r="E190" s="922">
        <f t="shared" si="66"/>
        <v>0.11643835616438356</v>
      </c>
      <c r="F190" s="922">
        <f t="shared" si="66"/>
        <v>0.10240963855421686</v>
      </c>
      <c r="G190" s="922">
        <f t="shared" si="66"/>
        <v>0.1116751269035533</v>
      </c>
      <c r="H190" s="923">
        <f t="shared" si="66"/>
        <v>0.15508021390374332</v>
      </c>
      <c r="I190" s="68"/>
      <c r="J190" s="68"/>
      <c r="K190" s="127"/>
      <c r="L190" s="127"/>
      <c r="M190" s="127"/>
      <c r="N190" s="127"/>
      <c r="O190" s="127"/>
      <c r="P190" s="127"/>
      <c r="Q190" s="127"/>
      <c r="R190" s="128"/>
      <c r="S190" s="120"/>
      <c r="T190" s="127"/>
      <c r="U190" s="89"/>
      <c r="V190" s="103"/>
      <c r="W190" s="115"/>
      <c r="X190" s="248" t="str">
        <f t="shared" si="67"/>
        <v>West Berkshire</v>
      </c>
      <c r="Y190" s="307">
        <f>IF(Year1_West_Berkshire Year1_LAC_3_or_more_Placements="","",Year1_West_Berkshire Year1_LAC_3_or_more_Placements)</f>
        <v>22</v>
      </c>
      <c r="Z190" s="248">
        <f>IF(Year2_West_Berkshire Year2_LAC_3_or_more_Placements="","",Year2_West_Berkshire Year2_LAC_3_or_more_Placements)</f>
        <v>17</v>
      </c>
      <c r="AA190" s="248">
        <f>IF(Year3_West_Berkshire Year3_LAC_3_or_more_Placements="","",Year3_West_Berkshire Year3_LAC_3_or_more_Placements)</f>
        <v>17</v>
      </c>
      <c r="AB190" s="248">
        <f>IF(Year4_West_Berkshire Year4_LAC_3_or_more_Placements="","",Year4_West_Berkshire Year4_LAC_3_or_more_Placements)</f>
        <v>22</v>
      </c>
      <c r="AC190" s="352">
        <f>IF(Year5_West_Berkshire Year5_LAC_3_or_more_Placements="","",Year5_West_Berkshire Year5_LAC_3_or_more_Placements)</f>
        <v>29</v>
      </c>
      <c r="AD190" s="307">
        <f t="shared" si="68"/>
        <v>156</v>
      </c>
      <c r="AE190" s="307">
        <f t="shared" si="68"/>
        <v>146</v>
      </c>
      <c r="AF190" s="307">
        <f t="shared" si="68"/>
        <v>166</v>
      </c>
      <c r="AG190" s="307">
        <f t="shared" si="68"/>
        <v>197</v>
      </c>
      <c r="AH190" s="307">
        <f t="shared" si="68"/>
        <v>187</v>
      </c>
      <c r="AI190" s="52"/>
      <c r="AJ190" s="121"/>
    </row>
    <row r="191" spans="1:44" s="61" customFormat="1" ht="13.5" customHeight="1">
      <c r="A191" s="1103">
        <f>VLOOKUP(B191,ReportData!$AQ$4:$AR$25,2,FALSE)</f>
        <v>0</v>
      </c>
      <c r="B191" s="885" t="str">
        <f t="shared" si="60"/>
        <v>West Sussex</v>
      </c>
      <c r="C191" s="896"/>
      <c r="D191" s="922">
        <f t="shared" si="66"/>
        <v>0.11662531017369727</v>
      </c>
      <c r="E191" s="922">
        <f t="shared" si="66"/>
        <v>0.14141414141414141</v>
      </c>
      <c r="F191" s="922">
        <f t="shared" si="66"/>
        <v>0.11046511627906977</v>
      </c>
      <c r="G191" s="922">
        <f t="shared" si="66"/>
        <v>0.12401352874859076</v>
      </c>
      <c r="H191" s="923">
        <f t="shared" si="66"/>
        <v>0.10927152317880795</v>
      </c>
      <c r="I191" s="68"/>
      <c r="J191" s="68"/>
      <c r="K191" s="127"/>
      <c r="L191" s="127"/>
      <c r="M191" s="127"/>
      <c r="N191" s="127"/>
      <c r="O191" s="127"/>
      <c r="P191" s="127"/>
      <c r="Q191" s="127"/>
      <c r="R191" s="128"/>
      <c r="S191" s="120"/>
      <c r="T191" s="127"/>
      <c r="U191" s="89"/>
      <c r="V191" s="103"/>
      <c r="W191" s="115"/>
      <c r="X191" s="248" t="str">
        <f t="shared" si="67"/>
        <v>West Sussex</v>
      </c>
      <c r="Y191" s="307">
        <f>IF(Year1_West_Sussex Year1_LAC_3_or_more_Placements="","",Year1_West_Sussex Year1_LAC_3_or_more_Placements)</f>
        <v>94</v>
      </c>
      <c r="Z191" s="248">
        <f>IF(Year2_West_Sussex Year2_LAC_3_or_more_Placements="","",Year2_West_Sussex Year2_LAC_3_or_more_Placements)</f>
        <v>126</v>
      </c>
      <c r="AA191" s="248">
        <f>IF(Year3_West_Sussex Year3_LAC_3_or_more_Placements="","",Year3_West_Sussex Year3_LAC_3_or_more_Placements)</f>
        <v>95</v>
      </c>
      <c r="AB191" s="248">
        <f>IF(Year4_West_Sussex Year4_LAC_3_or_more_Placements="","",Year4_West_Sussex Year4_LAC_3_or_more_Placements)</f>
        <v>110</v>
      </c>
      <c r="AC191" s="352">
        <f>IF(Year5_West_Sussex Year5_LAC_3_or_more_Placements="","",Year5_West_Sussex Year5_LAC_3_or_more_Placements)</f>
        <v>99</v>
      </c>
      <c r="AD191" s="307">
        <f t="shared" si="68"/>
        <v>806</v>
      </c>
      <c r="AE191" s="307">
        <f t="shared" si="68"/>
        <v>891</v>
      </c>
      <c r="AF191" s="307">
        <f t="shared" si="68"/>
        <v>860</v>
      </c>
      <c r="AG191" s="307">
        <f t="shared" si="68"/>
        <v>887</v>
      </c>
      <c r="AH191" s="307">
        <f t="shared" si="68"/>
        <v>906</v>
      </c>
      <c r="AI191" s="52"/>
      <c r="AJ191" s="121"/>
    </row>
    <row r="192" spans="1:44" s="61" customFormat="1" ht="13.5" customHeight="1">
      <c r="A192" s="1103">
        <f>VLOOKUP(B192,ReportData!$AQ$4:$AR$25,2,FALSE)</f>
        <v>0</v>
      </c>
      <c r="B192" s="885" t="str">
        <f t="shared" si="60"/>
        <v>Windsor &amp; Maidenhead</v>
      </c>
      <c r="C192" s="896"/>
      <c r="D192" s="922">
        <f t="shared" si="66"/>
        <v>0.15517241379310345</v>
      </c>
      <c r="E192" s="922">
        <f t="shared" si="66"/>
        <v>5.3846153846153849E-2</v>
      </c>
      <c r="F192" s="922">
        <f t="shared" si="66"/>
        <v>0.1328125</v>
      </c>
      <c r="G192" s="922">
        <f t="shared" si="66"/>
        <v>0.10596026490066225</v>
      </c>
      <c r="H192" s="923">
        <f t="shared" si="66"/>
        <v>0.15714285714285714</v>
      </c>
      <c r="I192" s="68"/>
      <c r="J192" s="68"/>
      <c r="K192" s="127"/>
      <c r="L192" s="127"/>
      <c r="M192" s="127"/>
      <c r="N192" s="127"/>
      <c r="O192" s="127"/>
      <c r="P192" s="127"/>
      <c r="Q192" s="127"/>
      <c r="R192" s="128"/>
      <c r="S192" s="120"/>
      <c r="T192" s="127"/>
      <c r="U192" s="89"/>
      <c r="V192" s="103"/>
      <c r="W192" s="115"/>
      <c r="X192" s="248" t="str">
        <f t="shared" si="67"/>
        <v>Windsor &amp; Maidenhead</v>
      </c>
      <c r="Y192" s="307">
        <f>IF(Year1_Windsor_and_Maidenhead Year1_LAC_3_or_more_Placements="","",Year1_Windsor_and_Maidenhead Year1_LAC_3_or_more_Placements)</f>
        <v>18</v>
      </c>
      <c r="Z192" s="248">
        <f>IF(Year2_Windsor_and_Maidenhead Year2_LAC_3_or_more_Placements="","",Year2_Windsor_and_Maidenhead Year2_LAC_3_or_more_Placements)</f>
        <v>7</v>
      </c>
      <c r="AA192" s="248">
        <f>IF(Year3_Windsor_and_Maidenhead Year3_LAC_3_or_more_Placements="","",Year3_Windsor_and_Maidenhead Year3_LAC_3_or_more_Placements)</f>
        <v>17</v>
      </c>
      <c r="AB192" s="248">
        <f>IF(Year4_Windsor_and_Maidenhead Year4_LAC_3_or_more_Placements="","",Year4_Windsor_and_Maidenhead Year4_LAC_3_or_more_Placements)</f>
        <v>16</v>
      </c>
      <c r="AC192" s="352">
        <f>IF(Year5_Windsor_and_Maidenhead Year5_LAC_3_or_more_Placements="","",Year5_Windsor_and_Maidenhead Year5_LAC_3_or_more_Placements)</f>
        <v>22</v>
      </c>
      <c r="AD192" s="307">
        <f t="shared" si="68"/>
        <v>116</v>
      </c>
      <c r="AE192" s="307">
        <f t="shared" si="68"/>
        <v>130</v>
      </c>
      <c r="AF192" s="307">
        <f t="shared" si="68"/>
        <v>128</v>
      </c>
      <c r="AG192" s="307">
        <f t="shared" si="68"/>
        <v>151</v>
      </c>
      <c r="AH192" s="307">
        <f t="shared" si="68"/>
        <v>140</v>
      </c>
      <c r="AI192" s="52"/>
      <c r="AJ192" s="121"/>
    </row>
    <row r="193" spans="1:76" s="61" customFormat="1" ht="13.5" customHeight="1">
      <c r="A193" s="1103">
        <f>VLOOKUP(B193,ReportData!$AQ$4:$AR$25,2,FALSE)</f>
        <v>0</v>
      </c>
      <c r="B193" s="885" t="str">
        <f t="shared" si="60"/>
        <v>Wokingham</v>
      </c>
      <c r="C193" s="896"/>
      <c r="D193" s="922">
        <f t="shared" si="66"/>
        <v>0.19387755102040816</v>
      </c>
      <c r="E193" s="922">
        <f t="shared" si="66"/>
        <v>8.9108910891089105E-2</v>
      </c>
      <c r="F193" s="922">
        <f t="shared" si="66"/>
        <v>0.11029411764705882</v>
      </c>
      <c r="G193" s="922">
        <f t="shared" si="66"/>
        <v>8.0291970802919707E-2</v>
      </c>
      <c r="H193" s="923">
        <f t="shared" si="66"/>
        <v>0</v>
      </c>
      <c r="I193" s="68"/>
      <c r="J193" s="68"/>
      <c r="K193" s="127"/>
      <c r="L193" s="127"/>
      <c r="M193" s="127"/>
      <c r="N193" s="127"/>
      <c r="O193" s="127"/>
      <c r="P193" s="127"/>
      <c r="Q193" s="127"/>
      <c r="R193" s="128"/>
      <c r="S193" s="120"/>
      <c r="T193" s="127"/>
      <c r="U193" s="89"/>
      <c r="V193" s="103"/>
      <c r="W193" s="115"/>
      <c r="X193" s="248" t="str">
        <f t="shared" si="67"/>
        <v>Wokingham</v>
      </c>
      <c r="Y193" s="307">
        <f>IF(Year1_Wokingham Year1_LAC_3_or_more_Placements="","",Year1_Wokingham Year1_LAC_3_or_more_Placements)</f>
        <v>19</v>
      </c>
      <c r="Z193" s="248">
        <f>IF(Year2_Wokingham Year2_LAC_3_or_more_Placements="","",Year2_Wokingham Year2_LAC_3_or_more_Placements)</f>
        <v>9</v>
      </c>
      <c r="AA193" s="248">
        <f>IF(Year3_Wokingham Year3_LAC_3_or_more_Placements="","",Year3_Wokingham Year3_LAC_3_or_more_Placements)</f>
        <v>15</v>
      </c>
      <c r="AB193" s="248">
        <f>IF(Year4_Wokingham Year4_LAC_3_or_more_Placements="","",Year4_Wokingham Year4_LAC_3_or_more_Placements)</f>
        <v>11</v>
      </c>
      <c r="AC193" s="352">
        <f>IF(Year5_Wokingham Year5_LAC_3_or_more_Placements="","",Year5_Wokingham Year5_LAC_3_or_more_Placements)</f>
        <v>0</v>
      </c>
      <c r="AD193" s="307">
        <f t="shared" si="68"/>
        <v>98</v>
      </c>
      <c r="AE193" s="307">
        <f t="shared" si="68"/>
        <v>101</v>
      </c>
      <c r="AF193" s="307">
        <f t="shared" si="68"/>
        <v>136</v>
      </c>
      <c r="AG193" s="307">
        <f t="shared" si="68"/>
        <v>137</v>
      </c>
      <c r="AH193" s="307">
        <f t="shared" si="68"/>
        <v>137</v>
      </c>
      <c r="AI193" s="52"/>
      <c r="AJ193" s="121"/>
    </row>
    <row r="194" spans="1:76" s="61" customFormat="1" ht="13.5" customHeight="1">
      <c r="A194" s="1148"/>
      <c r="B194" s="886" t="str">
        <f t="shared" si="60"/>
        <v>South East</v>
      </c>
      <c r="C194" s="896"/>
      <c r="D194" s="924">
        <f>IF(AND(ISNUMBER(AD194),ISNUMBER(Y194)),Y194/AD194,NA())</f>
        <v>0.13222744270783393</v>
      </c>
      <c r="E194" s="924">
        <f>IF(AND(ISNUMBER(AE194),ISNUMBER(Z194)),Z194/AE194,NA())</f>
        <v>0.11379244563143838</v>
      </c>
      <c r="F194" s="924">
        <f>IF(AND(ISNUMBER(AF194),ISNUMBER(AA194)),AA194/AF194,NA())</f>
        <v>0.11980079313843033</v>
      </c>
      <c r="G194" s="924">
        <f>IF(AND(ISNUMBER(AG194),ISNUMBER(AB194)),AB194/AG194,NA())</f>
        <v>0.12434496846966871</v>
      </c>
      <c r="H194" s="925">
        <f>IF(AND(ISNUMBER(AH194),ISNUMBER(AC194)),AC194/AH194,NA())</f>
        <v>0.12258410880458125</v>
      </c>
      <c r="I194" s="68"/>
      <c r="J194" s="68"/>
      <c r="K194" s="129"/>
      <c r="L194" s="129"/>
      <c r="M194" s="129"/>
      <c r="N194" s="129"/>
      <c r="O194" s="129"/>
      <c r="P194" s="129"/>
      <c r="Q194" s="129"/>
      <c r="R194" s="130"/>
      <c r="S194" s="120"/>
      <c r="T194" s="131"/>
      <c r="U194" s="89"/>
      <c r="V194" s="103"/>
      <c r="W194" s="115"/>
      <c r="X194" s="248" t="str">
        <f t="shared" si="67"/>
        <v>South East</v>
      </c>
      <c r="Y194" s="248">
        <f>IF(Year1_South_East Year1_LAC_3_or_more_Placements="","",Year1_South_East Year1_LAC_3_or_more_Placements)</f>
        <v>1379</v>
      </c>
      <c r="Z194" s="248">
        <f>IF(Year2_South_East Year2_LAC_3_or_more_Placements="","",Year2_South_East Year2_LAC_3_or_more_Placements)</f>
        <v>1193</v>
      </c>
      <c r="AA194" s="248">
        <f>IF(Year3_South_East Year3_LAC_3_or_more_Placements="","",Year3_South_East Year3_LAC_3_or_more_Placements)</f>
        <v>1299</v>
      </c>
      <c r="AB194" s="248">
        <f>IF(Year4_South_East Year4_LAC_3_or_more_Placements="","",Year4_South_East Year4_LAC_3_or_more_Placements)</f>
        <v>1400</v>
      </c>
      <c r="AC194" s="352">
        <f>IF(Year5_South_East Year5_LAC_3_or_more_Placements="","",Year5_South_East Year5_LAC_3_or_more_Placements)</f>
        <v>1370</v>
      </c>
      <c r="AD194" s="248">
        <f>SUM(AD173:AD185,AD188:AD189,AD190:AD193)</f>
        <v>10429</v>
      </c>
      <c r="AE194" s="248">
        <f>SUM(AE173:AE185,AE188:AE189,AE190:AE193)</f>
        <v>10484</v>
      </c>
      <c r="AF194" s="248">
        <f>SUM(AF173:AF185,AF188:AF189,AF190:AF193)</f>
        <v>10843</v>
      </c>
      <c r="AG194" s="248">
        <f>SUM(AG173:AG185,AG188:AG189,AG190:AG193)</f>
        <v>11259</v>
      </c>
      <c r="AH194" s="248">
        <f>SUM(AH173:AH185,AH188:AH189,AH190:AH193)</f>
        <v>11176</v>
      </c>
      <c r="AI194" s="52"/>
      <c r="AJ194" s="121"/>
    </row>
    <row r="195" spans="1:76" s="61" customFormat="1" ht="13.5" customHeight="1">
      <c r="A195" s="1148"/>
      <c r="B195" s="887" t="str">
        <f t="shared" si="60"/>
        <v>England</v>
      </c>
      <c r="C195" s="896"/>
      <c r="D195" s="926">
        <f>IF(AND(ISNUMBER(D31),ISNUMBER(Y195)),Y195/D31,NA())</f>
        <v>0.108625</v>
      </c>
      <c r="E195" s="926">
        <f>IF(AND(ISNUMBER(E31),ISNUMBER(Z195)),Z195/E31,NA())</f>
        <v>8.9422648790382434E-2</v>
      </c>
      <c r="F195" s="926">
        <f>IF(AND(ISNUMBER(F31),ISNUMBER(AA195)),AA195/F31,NA())</f>
        <v>9.772423025435073E-2</v>
      </c>
      <c r="G195" s="926">
        <f>IF(AND(ISNUMBER(G31),ISNUMBER(AB195)),AB195/G31,NA())</f>
        <v>0.10293416030534351</v>
      </c>
      <c r="H195" s="927">
        <f>IF(AND(ISNUMBER(H31),ISNUMBER(AC195)),AC195/H31,NA())</f>
        <v>0.10391008011479134</v>
      </c>
      <c r="I195" s="68"/>
      <c r="J195" s="68"/>
      <c r="K195" s="129"/>
      <c r="L195" s="129"/>
      <c r="M195" s="129"/>
      <c r="N195" s="129"/>
      <c r="O195" s="129"/>
      <c r="P195" s="129"/>
      <c r="Q195" s="129"/>
      <c r="R195" s="130"/>
      <c r="S195" s="120"/>
      <c r="T195" s="131"/>
      <c r="U195" s="89"/>
      <c r="V195" s="103"/>
      <c r="W195" s="114"/>
      <c r="X195" s="248" t="str">
        <f t="shared" si="67"/>
        <v>England</v>
      </c>
      <c r="Y195" s="248">
        <f>IF(Year1_England Year1_LAC_3_or_more_Placements="","",Year1_England Year1_LAC_3_or_more_Placements)</f>
        <v>8690</v>
      </c>
      <c r="Z195" s="248">
        <f>IF(Year2_England Year2_LAC_3_or_more_Placements="","",Year2_England Year2_LAC_3_or_more_Placements)</f>
        <v>7230</v>
      </c>
      <c r="AA195" s="248">
        <f>IF(Year3_England Year3_LAC_3_or_more_Placements="","",Year3_England Year3_LAC_3_or_more_Placements)</f>
        <v>8030</v>
      </c>
      <c r="AB195" s="248">
        <f>IF(Year4_England Year4_LAC_3_or_more_Placements="","",Year4_England Year4_LAC_3_or_more_Placements)</f>
        <v>8630</v>
      </c>
      <c r="AC195" s="352">
        <f>IF(Year5_England Year5_LAC_3_or_more_Placements="","",Year5_England Year5_LAC_3_or_more_Placements)</f>
        <v>8690</v>
      </c>
      <c r="AD195" s="248">
        <f>IF(Year1_England Year1_LAC_3_or_more_Placements="","",Year1_England Year1_LAC_3_or_more_Placements)</f>
        <v>8690</v>
      </c>
      <c r="AE195" s="248">
        <f>IF(Year2_England Year2_LAC_3_or_more_Placements="","",Year2_England Year2_LAC_3_or_more_Placements)</f>
        <v>7230</v>
      </c>
      <c r="AF195" s="248">
        <f>IF(Year3_England Year3_LAC_3_or_more_Placements="","",Year3_England Year3_LAC_3_or_more_Placements)</f>
        <v>8030</v>
      </c>
      <c r="AG195" s="248">
        <f>IF(Year4_England Year4_LAC_3_or_more_Placements="","",Year4_England Year4_LAC_3_or_more_Placements)</f>
        <v>8630</v>
      </c>
      <c r="AH195" s="352">
        <f>IF(Year5_England Year5_LAC_3_or_more_Placements="","",Year5_England Year5_LAC_3_or_more_Placements)</f>
        <v>8690</v>
      </c>
      <c r="AI195" s="52"/>
      <c r="AJ195" s="122"/>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row>
    <row r="196" spans="1:76" s="61" customFormat="1" ht="4.5" customHeight="1">
      <c r="A196" s="217"/>
      <c r="B196" s="68"/>
      <c r="C196" s="68"/>
      <c r="D196" s="68"/>
      <c r="E196" s="68"/>
      <c r="F196" s="68"/>
      <c r="G196" s="68"/>
      <c r="H196" s="68"/>
      <c r="I196" s="68"/>
      <c r="J196" s="68"/>
      <c r="K196" s="129"/>
      <c r="L196" s="129"/>
      <c r="M196" s="129"/>
      <c r="N196" s="129"/>
      <c r="O196" s="129"/>
      <c r="P196" s="129"/>
      <c r="Q196" s="129"/>
      <c r="R196" s="130"/>
      <c r="S196" s="120"/>
      <c r="T196" s="131"/>
      <c r="U196" s="89"/>
      <c r="V196" s="103"/>
      <c r="W196" s="114"/>
      <c r="X196" s="56"/>
      <c r="Y196" s="141"/>
      <c r="Z196" s="56"/>
      <c r="AA196" s="56"/>
      <c r="AB196" s="56"/>
      <c r="AC196" s="56"/>
      <c r="AD196" s="149"/>
      <c r="AE196" s="52"/>
      <c r="AF196" s="52"/>
      <c r="AG196" s="52"/>
      <c r="AH196" s="56"/>
      <c r="AI196" s="52"/>
      <c r="AJ196" s="122"/>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row>
    <row r="197" spans="1:76" s="56" customFormat="1" ht="42" customHeight="1">
      <c r="A197" s="166"/>
      <c r="B197" s="171"/>
      <c r="C197" s="171"/>
      <c r="D197" s="171"/>
      <c r="E197" s="171"/>
      <c r="F197" s="171"/>
      <c r="G197" s="171"/>
      <c r="H197" s="171"/>
      <c r="I197" s="171"/>
      <c r="J197" s="133"/>
      <c r="K197" s="133"/>
      <c r="L197" s="133"/>
      <c r="M197" s="133"/>
      <c r="N197" s="133"/>
      <c r="O197" s="133"/>
      <c r="P197" s="133"/>
      <c r="Q197" s="133"/>
      <c r="R197" s="101"/>
      <c r="S197" s="133"/>
      <c r="T197" s="133"/>
      <c r="U197" s="86"/>
      <c r="V197" s="102"/>
      <c r="W197" s="114"/>
      <c r="Y197" s="141"/>
      <c r="AD197" s="149"/>
      <c r="AE197" s="52"/>
      <c r="AF197" s="52"/>
      <c r="AG197" s="52"/>
      <c r="AI197" s="52"/>
      <c r="AJ197" s="122"/>
    </row>
    <row r="198" spans="1:76" s="56" customFormat="1" ht="42.75" customHeight="1">
      <c r="A198" s="166"/>
      <c r="B198" s="171"/>
      <c r="C198" s="171"/>
      <c r="D198" s="171"/>
      <c r="E198" s="171"/>
      <c r="F198" s="171"/>
      <c r="G198" s="171"/>
      <c r="H198" s="171"/>
      <c r="I198" s="171"/>
      <c r="J198" s="133"/>
      <c r="K198" s="133"/>
      <c r="L198" s="133"/>
      <c r="M198" s="133"/>
      <c r="N198" s="133"/>
      <c r="O198" s="133"/>
      <c r="P198" s="133"/>
      <c r="Q198" s="133"/>
      <c r="R198" s="101"/>
      <c r="S198" s="133"/>
      <c r="T198" s="133"/>
      <c r="U198" s="86"/>
      <c r="V198" s="102"/>
      <c r="W198" s="114"/>
      <c r="Y198" s="141"/>
      <c r="AI198" s="52"/>
      <c r="AJ198" s="119"/>
      <c r="AK198" s="52"/>
      <c r="AL198" s="52"/>
      <c r="AM198" s="52"/>
      <c r="AN198" s="52"/>
      <c r="AO198" s="52"/>
      <c r="AP198" s="52"/>
      <c r="AQ198" s="52"/>
    </row>
    <row r="199" spans="1:76" s="56" customFormat="1" ht="42" customHeight="1">
      <c r="A199" s="166"/>
      <c r="B199" s="171"/>
      <c r="C199" s="171"/>
      <c r="D199" s="171"/>
      <c r="E199" s="171"/>
      <c r="F199" s="171"/>
      <c r="G199" s="171"/>
      <c r="H199" s="171"/>
      <c r="I199" s="171"/>
      <c r="J199" s="133"/>
      <c r="K199" s="133"/>
      <c r="L199" s="133"/>
      <c r="M199" s="133"/>
      <c r="N199" s="133"/>
      <c r="O199" s="133"/>
      <c r="P199" s="133"/>
      <c r="Q199" s="133"/>
      <c r="R199" s="101"/>
      <c r="S199" s="133"/>
      <c r="T199" s="133"/>
      <c r="U199" s="86"/>
      <c r="V199" s="121"/>
      <c r="W199" s="114"/>
      <c r="AJ199" s="122"/>
      <c r="AS199" s="52"/>
    </row>
    <row r="200" spans="1:76" s="56" customFormat="1" ht="7.5" customHeight="1">
      <c r="A200" s="87"/>
      <c r="B200" s="12"/>
      <c r="C200" s="12"/>
      <c r="D200" s="11"/>
      <c r="E200" s="11"/>
      <c r="F200" s="11"/>
      <c r="G200" s="11"/>
      <c r="H200" s="11"/>
      <c r="I200" s="11"/>
      <c r="J200" s="1"/>
      <c r="K200" s="13"/>
      <c r="L200" s="13"/>
      <c r="M200" s="13"/>
      <c r="N200" s="13"/>
      <c r="O200" s="13"/>
      <c r="P200" s="13"/>
      <c r="Q200" s="13"/>
      <c r="R200" s="13"/>
      <c r="S200" s="13"/>
      <c r="T200" s="14"/>
      <c r="U200" s="86"/>
      <c r="V200" s="185"/>
      <c r="W200" s="114"/>
      <c r="AI200" s="52"/>
      <c r="AJ200" s="121"/>
      <c r="AK200" s="61"/>
      <c r="AS200" s="52"/>
    </row>
    <row r="201" spans="1:76" s="56" customFormat="1" ht="15" customHeight="1">
      <c r="A201" s="1565"/>
      <c r="B201" s="1751"/>
      <c r="C201" s="1751"/>
      <c r="D201" s="1751"/>
      <c r="E201" s="1751"/>
      <c r="F201" s="1751"/>
      <c r="G201" s="1751"/>
      <c r="H201" s="1751"/>
      <c r="I201" s="1751"/>
      <c r="J201" s="1751"/>
      <c r="K201" s="1751"/>
      <c r="L201" s="1751"/>
      <c r="M201" s="1751"/>
      <c r="N201" s="1751"/>
      <c r="O201" s="1751"/>
      <c r="P201" s="1751"/>
      <c r="Q201" s="1751"/>
      <c r="R201" s="1751"/>
      <c r="S201" s="1751"/>
      <c r="T201" s="1751"/>
      <c r="U201" s="1752"/>
      <c r="V201" s="185"/>
      <c r="W201" s="114"/>
      <c r="X201" s="148"/>
      <c r="Y201" s="146"/>
      <c r="Z201" s="52"/>
      <c r="AI201" s="52"/>
      <c r="AJ201" s="121"/>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c r="BX201" s="52"/>
    </row>
    <row r="202" spans="1:76" s="56" customFormat="1" ht="11.25" customHeight="1">
      <c r="A202" s="1739"/>
      <c r="B202" s="1740"/>
      <c r="C202" s="1740"/>
      <c r="D202" s="1740"/>
      <c r="E202" s="1740"/>
      <c r="F202" s="1740"/>
      <c r="G202" s="1740"/>
      <c r="H202" s="1740"/>
      <c r="I202" s="1741"/>
      <c r="J202" s="1740"/>
      <c r="K202" s="1740"/>
      <c r="L202" s="1740"/>
      <c r="M202" s="1740"/>
      <c r="N202" s="1740"/>
      <c r="O202" s="1740"/>
      <c r="P202" s="1742"/>
      <c r="Q202" s="1740"/>
      <c r="R202" s="1740"/>
      <c r="S202" s="1741"/>
      <c r="T202" s="1740"/>
      <c r="U202" s="1743"/>
      <c r="V202" s="185"/>
      <c r="W202" s="114"/>
      <c r="X202" s="249" t="s">
        <v>164</v>
      </c>
      <c r="Y202" s="250"/>
      <c r="Z202" s="251"/>
      <c r="AA202" s="251"/>
      <c r="AB202" s="251"/>
      <c r="AD202" s="249" t="s">
        <v>165</v>
      </c>
      <c r="AE202" s="250"/>
      <c r="AF202" s="251"/>
      <c r="AG202" s="251"/>
      <c r="AH202" s="251"/>
      <c r="AJ202" s="121"/>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c r="BX202" s="52"/>
    </row>
    <row r="203" spans="1:76" ht="11.25" hidden="1" customHeight="1">
      <c r="A203" s="81"/>
      <c r="B203" s="82"/>
      <c r="C203" s="82"/>
      <c r="D203" s="82"/>
      <c r="E203" s="82"/>
      <c r="F203" s="82"/>
      <c r="G203" s="82"/>
      <c r="H203" s="82"/>
      <c r="I203" s="82"/>
      <c r="J203" s="83"/>
      <c r="K203" s="82"/>
      <c r="L203" s="82"/>
      <c r="M203" s="82"/>
      <c r="N203" s="82"/>
      <c r="O203" s="82"/>
      <c r="P203" s="82"/>
      <c r="Q203" s="82"/>
      <c r="R203" s="82"/>
      <c r="S203" s="82"/>
      <c r="T203" s="82"/>
      <c r="U203" s="84"/>
      <c r="V203" s="102"/>
      <c r="W203" s="114"/>
      <c r="X203" s="251"/>
      <c r="Y203" s="250"/>
      <c r="Z203" s="251"/>
      <c r="AA203" s="251"/>
      <c r="AB203" s="251"/>
      <c r="AD203" s="251"/>
      <c r="AE203" s="250"/>
      <c r="AF203" s="251"/>
      <c r="AG203" s="251"/>
      <c r="AH203" s="251"/>
      <c r="AI203" s="56"/>
      <c r="AJ203" s="121"/>
    </row>
    <row r="204" spans="1:76" ht="15" hidden="1" customHeight="1" thickBot="1">
      <c r="A204" s="87"/>
      <c r="B204" s="1757" t="str">
        <f>"Children Looked After for 4+ weeks"&amp; Y1&amp;" who had been Reviewed within the required Timescales"</f>
        <v>Children Looked After for 4+ weeks at 31st March who had been Reviewed within the required Timescales</v>
      </c>
      <c r="C204" s="1757"/>
      <c r="D204" s="1757"/>
      <c r="E204" s="1757"/>
      <c r="F204" s="1757"/>
      <c r="G204" s="1757"/>
      <c r="H204" s="1757"/>
      <c r="I204" s="1757"/>
      <c r="J204" s="50"/>
      <c r="K204" s="50"/>
      <c r="L204" s="50"/>
      <c r="M204" s="50"/>
      <c r="N204" s="224"/>
      <c r="O204" s="50"/>
      <c r="P204" s="50"/>
      <c r="Q204" s="50"/>
      <c r="R204" s="50"/>
      <c r="S204" s="50"/>
      <c r="T204" s="50"/>
      <c r="U204" s="86"/>
      <c r="V204" s="102"/>
      <c r="W204" s="114"/>
      <c r="X204" s="251"/>
      <c r="Y204" s="250"/>
      <c r="Z204" s="251"/>
      <c r="AA204" s="251"/>
      <c r="AB204" s="251"/>
      <c r="AD204" s="251"/>
      <c r="AE204" s="250"/>
      <c r="AF204" s="251"/>
      <c r="AG204" s="251"/>
      <c r="AH204" s="251"/>
      <c r="AI204" s="56"/>
      <c r="AJ204" s="121"/>
    </row>
    <row r="205" spans="1:76" ht="15" hidden="1" customHeight="1" thickBot="1">
      <c r="A205" s="87"/>
      <c r="B205" s="1757"/>
      <c r="C205" s="1757"/>
      <c r="D205" s="1757"/>
      <c r="E205" s="1757"/>
      <c r="F205" s="1757"/>
      <c r="G205" s="1757"/>
      <c r="H205" s="1757"/>
      <c r="I205" s="1757"/>
      <c r="J205" s="50"/>
      <c r="K205" s="50"/>
      <c r="L205" s="50"/>
      <c r="M205" s="50"/>
      <c r="N205" s="224"/>
      <c r="O205" s="50"/>
      <c r="P205" s="50"/>
      <c r="Q205" s="50"/>
      <c r="R205" s="5"/>
      <c r="S205" s="50"/>
      <c r="T205" s="50"/>
      <c r="U205" s="86"/>
      <c r="V205" s="102"/>
      <c r="W205" s="115"/>
      <c r="X205" s="252"/>
      <c r="Y205" s="264" t="e">
        <f>D207</f>
        <v>#N/A</v>
      </c>
      <c r="Z205" s="264" t="e">
        <f>E207</f>
        <v>#N/A</v>
      </c>
      <c r="AA205" s="264" t="e">
        <f>F207</f>
        <v>#N/A</v>
      </c>
      <c r="AB205" s="264" t="e">
        <f>G207</f>
        <v>#N/A</v>
      </c>
      <c r="AC205" s="264" t="e">
        <f>H207</f>
        <v>#N/A</v>
      </c>
      <c r="AD205" s="252"/>
      <c r="AE205" s="264" t="e">
        <f>Y205</f>
        <v>#N/A</v>
      </c>
      <c r="AF205" s="264" t="e">
        <f>Z205</f>
        <v>#N/A</v>
      </c>
      <c r="AG205" s="264" t="e">
        <f>AA205</f>
        <v>#N/A</v>
      </c>
      <c r="AH205" s="264" t="e">
        <f>AB205</f>
        <v>#N/A</v>
      </c>
      <c r="AI205" s="266" t="e">
        <f>AC205</f>
        <v>#N/A</v>
      </c>
      <c r="AJ205" s="12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row>
    <row r="206" spans="1:76" ht="13.5" hidden="1" customHeight="1" thickBot="1">
      <c r="A206" s="208"/>
      <c r="B206" s="1910" t="s">
        <v>177</v>
      </c>
      <c r="C206" s="230"/>
      <c r="D206" s="457" t="str">
        <f>ReportData!$D$27</f>
        <v>2019/20</v>
      </c>
      <c r="E206" s="457" t="str">
        <f>ReportData!$E$27</f>
        <v>2020/21</v>
      </c>
      <c r="F206" s="457" t="str">
        <f>ReportData!$F$27</f>
        <v>2021/22</v>
      </c>
      <c r="G206" s="457" t="str">
        <f>ReportData!$G$27</f>
        <v>2022/23</v>
      </c>
      <c r="H206" s="458" t="str">
        <f>ReportData!$H$27</f>
        <v>2023/24</v>
      </c>
      <c r="I206" s="230"/>
      <c r="J206" s="50"/>
      <c r="K206" s="50"/>
      <c r="L206" s="50"/>
      <c r="M206" s="50"/>
      <c r="N206" s="224"/>
      <c r="O206" s="50"/>
      <c r="P206" s="50"/>
      <c r="Q206" s="50"/>
      <c r="R206" s="5"/>
      <c r="S206" s="50"/>
      <c r="T206" s="50"/>
      <c r="U206" s="86"/>
      <c r="V206" s="102"/>
      <c r="W206" s="115"/>
      <c r="X206" s="263" t="str">
        <f t="shared" ref="X206:X228" si="69">B208</f>
        <v>Bracknell Forest</v>
      </c>
      <c r="Y206" s="307" t="str">
        <f>IF(Year1_Bracknell_Forest Year1_LAC_4weeks="","",Year1_Bracknell_Forest Year1_LAC_4weeks)</f>
        <v/>
      </c>
      <c r="Z206" s="248" t="str">
        <f>IF(Year2_Bracknell_Forest Year2_LAC_4weeks="","",Year2_Bracknell_Forest Year2_LAC_4weeks)</f>
        <v/>
      </c>
      <c r="AA206" s="248" t="str">
        <f>IF(Year3_Bracknell_Forest Year3_LAC_4weeks="","",Year3_Bracknell_Forest Year3_LAC_4weeks)</f>
        <v/>
      </c>
      <c r="AB206" s="248" t="str">
        <f>IF(Year4_Bracknell_Forest Year4_LAC_4weeks="","",Year4_Bracknell_Forest Year4_LAC_4weeks)</f>
        <v/>
      </c>
      <c r="AC206" s="352" t="str">
        <f>IF(Year5_Bracknell_Forest Year5_LAC_4weeks="","",Year5_Bracknell_Forest Year5_LAC_4weeks)</f>
        <v/>
      </c>
      <c r="AD206" s="263" t="str">
        <f>X206</f>
        <v>Bracknell Forest</v>
      </c>
      <c r="AE206" s="307" t="str">
        <f>IF(Year1_Bracknell_Forest Year1_LAC_4weeks_reviews_in_timescales="","",Year1_Bracknell_Forest Year1_LAC_4weeks_reviews_in_timescales)</f>
        <v/>
      </c>
      <c r="AF206" s="248" t="str">
        <f>IF(Year2_Bracknell_Forest Year2_LAC_4weeks_reviews_in_timescales="","",Year2_Bracknell_Forest Year2_LAC_4weeks_reviews_in_timescales)</f>
        <v/>
      </c>
      <c r="AG206" s="248" t="str">
        <f>IF(Year3_Bracknell_Forest Year3_LAC_4weeks_reviews_in_timescales="","",Year3_Bracknell_Forest Year3_LAC_4weeks_reviews_in_timescales)</f>
        <v/>
      </c>
      <c r="AH206" s="248" t="str">
        <f>IF(Year4_Bracknell_Forest Year4_LAC_4weeks_reviews_in_timescales="","",Year4_Bracknell_Forest Year4_LAC_4weeks_reviews_in_timescales)</f>
        <v/>
      </c>
      <c r="AI206" s="352" t="str">
        <f>IF(Year5_Bracknell_Forest Year5_LAC_4weeks_reviews_in_timescales="","",Year5_Bracknell_Forest Year5_LAC_4weeks_reviews_in_timescales)</f>
        <v/>
      </c>
      <c r="AJ206" s="12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row>
    <row r="207" spans="1:76" s="61" customFormat="1" ht="13.5" hidden="1" customHeight="1" thickBot="1">
      <c r="A207" s="88"/>
      <c r="B207" s="1911"/>
      <c r="C207" s="59"/>
      <c r="D207" s="459" t="e">
        <f>ReportData!$D$28</f>
        <v>#N/A</v>
      </c>
      <c r="E207" s="459" t="e">
        <f>ReportData!$E$28</f>
        <v>#N/A</v>
      </c>
      <c r="F207" s="459" t="e">
        <f>ReportData!$F$28</f>
        <v>#N/A</v>
      </c>
      <c r="G207" s="459" t="e">
        <f>ReportData!$G$28</f>
        <v>#N/A</v>
      </c>
      <c r="H207" s="460" t="e">
        <f>ReportData!$H$28</f>
        <v>#N/A</v>
      </c>
      <c r="I207" s="68"/>
      <c r="J207" s="68"/>
      <c r="K207" s="43"/>
      <c r="L207" s="43"/>
      <c r="M207" s="43"/>
      <c r="N207" s="43"/>
      <c r="O207" s="43"/>
      <c r="P207" s="43"/>
      <c r="Q207" s="225"/>
      <c r="R207" s="225"/>
      <c r="S207" s="120"/>
      <c r="T207" s="226"/>
      <c r="U207" s="89"/>
      <c r="V207" s="103"/>
      <c r="W207" s="115"/>
      <c r="X207" s="263" t="str">
        <f t="shared" si="69"/>
        <v>Brighton &amp; Hove</v>
      </c>
      <c r="Y207" s="307" t="str">
        <f>IF(Year1_Brighton_and_Hove Year1_LAC_4weeks="","",Year1_Brighton_and_Hove Year1_LAC_4weeks)</f>
        <v/>
      </c>
      <c r="Z207" s="248" t="str">
        <f>IF(Year2_Brighton_and_Hove Year2_LAC_4weeks="","",Year2_Brighton_and_Hove Year2_LAC_4weeks)</f>
        <v/>
      </c>
      <c r="AA207" s="248" t="str">
        <f>IF(Year3_Brighton_and_Hove Year3_LAC_4weeks="","",Year3_Brighton_and_Hove Year3_LAC_4weeks)</f>
        <v/>
      </c>
      <c r="AB207" s="248" t="str">
        <f>IF(Year4_Brighton_and_Hove Year4_LAC_4weeks="","",Year4_Brighton_and_Hove Year4_LAC_4weeks)</f>
        <v/>
      </c>
      <c r="AC207" s="352" t="str">
        <f>IF(Year5_Brighton_and_Hove Year5_LAC_4weeks="","",Year5_Brighton_and_Hove Year5_LAC_4weeks)</f>
        <v/>
      </c>
      <c r="AD207" s="263" t="str">
        <f t="shared" ref="AD207:AD228" si="70">X207</f>
        <v>Brighton &amp; Hove</v>
      </c>
      <c r="AE207" s="307" t="str">
        <f>IF(Year1_Brighton_and_Hove Year1_LAC_4weeks_reviews_in_timescales="","",Year1_Brighton_and_Hove Year1_LAC_4weeks_reviews_in_timescales)</f>
        <v/>
      </c>
      <c r="AF207" s="248" t="str">
        <f>IF(Year2_Brighton_and_Hove Year2_LAC_4weeks_reviews_in_timescales="","",Year2_Brighton_and_Hove Year2_LAC_4weeks_reviews_in_timescales)</f>
        <v/>
      </c>
      <c r="AG207" s="248" t="str">
        <f>IF(Year3_Brighton_and_Hove Year3_LAC_4weeks_reviews_in_timescales="","",Year3_Brighton_and_Hove Year3_LAC_4weeks_reviews_in_timescales)</f>
        <v/>
      </c>
      <c r="AH207" s="248" t="str">
        <f>IF(Year4_Brighton_and_Hove Year4_LAC_4weeks_reviews_in_timescales="","",Year4_Brighton_and_Hove Year4_LAC_4weeks_reviews_in_timescales)</f>
        <v/>
      </c>
      <c r="AI207" s="352" t="str">
        <f>IF(Year5_Brighton_and_Hove Year5_LAC_4weeks_reviews_in_timescales="","",Year5_Brighton_and_Hove Year5_LAC_4weeks_reviews_in_timescales)</f>
        <v/>
      </c>
      <c r="AJ207" s="121"/>
    </row>
    <row r="208" spans="1:76" s="61" customFormat="1" ht="12.75" hidden="1" customHeight="1" thickBot="1">
      <c r="A208" s="306">
        <f>VLOOKUP(B208,ReportData!$AQ$4:$AR$25,2,FALSE)</f>
        <v>0</v>
      </c>
      <c r="B208" s="65" t="str">
        <f t="shared" ref="B208:B220" si="71">B175</f>
        <v>Bracknell Forest</v>
      </c>
      <c r="C208" s="59"/>
      <c r="D208" s="123" t="e">
        <f>IF(AND(ISNUMBER(AE206),ISNUMBER(Y206)),AE206/Y206,NA())</f>
        <v>#N/A</v>
      </c>
      <c r="E208" s="123" t="e">
        <f>IF(AND(ISNUMBER(AF206),ISNUMBER(Z206)),AF206/Z206,NA())</f>
        <v>#N/A</v>
      </c>
      <c r="F208" s="123" t="e">
        <f>IF(AND(ISNUMBER(AG206),ISNUMBER(AA206)),AG206/AA206,NA())</f>
        <v>#N/A</v>
      </c>
      <c r="G208" s="123" t="e">
        <f>IF(AND(ISNUMBER(AH206),ISNUMBER(AB206)),AH206/AB206,NA())</f>
        <v>#N/A</v>
      </c>
      <c r="H208" s="125" t="e">
        <f>IF(AND(ISNUMBER(AI206),ISNUMBER(AC206)),AI206/AC206,NA())</f>
        <v>#N/A</v>
      </c>
      <c r="I208" s="68"/>
      <c r="J208" s="68"/>
      <c r="K208" s="127"/>
      <c r="L208" s="127"/>
      <c r="M208" s="127"/>
      <c r="N208" s="127"/>
      <c r="O208" s="127"/>
      <c r="P208" s="127"/>
      <c r="Q208" s="127"/>
      <c r="R208" s="128"/>
      <c r="S208" s="120"/>
      <c r="T208" s="127"/>
      <c r="U208" s="89"/>
      <c r="V208" s="103"/>
      <c r="W208" s="115"/>
      <c r="X208" s="263" t="str">
        <f t="shared" si="69"/>
        <v>Buckinghamshire</v>
      </c>
      <c r="Y208" s="307" t="str">
        <f>IF(Year1_Buckinghamshire Year1_LAC_4weeks="","",Year1_Buckinghamshire Year1_LAC_4weeks)</f>
        <v/>
      </c>
      <c r="Z208" s="248" t="str">
        <f>IF(Year2_Buckinghamshire Year2_LAC_4weeks="","",Year2_Buckinghamshire Year2_LAC_4weeks)</f>
        <v/>
      </c>
      <c r="AA208" s="248" t="str">
        <f>IF(Year3_Buckinghamshire Year3_LAC_4weeks="","",Year3_Buckinghamshire Year3_LAC_4weeks)</f>
        <v/>
      </c>
      <c r="AB208" s="248" t="str">
        <f>IF(Year4_Buckinghamshire Year4_LAC_4weeks="","",Year4_Buckinghamshire Year4_LAC_4weeks)</f>
        <v/>
      </c>
      <c r="AC208" s="352" t="str">
        <f>IF(Year5_Buckinghamshire Year5_LAC_4weeks="","",Year5_Buckinghamshire Year5_LAC_4weeks)</f>
        <v/>
      </c>
      <c r="AD208" s="263" t="str">
        <f t="shared" si="70"/>
        <v>Buckinghamshire</v>
      </c>
      <c r="AE208" s="307" t="str">
        <f>IF(Year1_Buckinghamshire Year1_LAC_4weeks_reviews_in_timescales="","",Year1_Buckinghamshire Year1_LAC_4weeks_reviews_in_timescales)</f>
        <v/>
      </c>
      <c r="AF208" s="248" t="str">
        <f>IF(Year2_Buckinghamshire Year2_LAC_4weeks_reviews_in_timescales="","",Year2_Buckinghamshire Year2_LAC_4weeks_reviews_in_timescales)</f>
        <v/>
      </c>
      <c r="AG208" s="248" t="str">
        <f>IF(Year3_Buckinghamshire Year3_LAC_4weeks_reviews_in_timescales="","",Year3_Buckinghamshire Year3_LAC_4weeks_reviews_in_timescales)</f>
        <v/>
      </c>
      <c r="AH208" s="248" t="str">
        <f>IF(Year4_Buckinghamshire Year4_LAC_4weeks_reviews_in_timescales="","",Year4_Buckinghamshire Year4_LAC_4weeks_reviews_in_timescales)</f>
        <v/>
      </c>
      <c r="AI208" s="352" t="str">
        <f>IF(Year5_Buckinghamshire Year5_LAC_4weeks_reviews_in_timescales="","",Year5_Buckinghamshire Year5_LAC_4weeks_reviews_in_timescales)</f>
        <v/>
      </c>
      <c r="AJ208" s="121"/>
    </row>
    <row r="209" spans="1:44" s="61" customFormat="1" ht="12.75" hidden="1" customHeight="1" thickBot="1">
      <c r="A209" s="306">
        <f>VLOOKUP(B209,ReportData!$AQ$4:$AR$25,2,FALSE)</f>
        <v>0</v>
      </c>
      <c r="B209" s="65" t="str">
        <f t="shared" si="71"/>
        <v>Brighton &amp; Hove</v>
      </c>
      <c r="C209" s="59"/>
      <c r="D209" s="123" t="e">
        <f t="shared" ref="D209:F230" si="72">IF(AND(ISNUMBER(AE207),ISNUMBER(Y207)),AE207/Y207,NA())</f>
        <v>#N/A</v>
      </c>
      <c r="E209" s="123" t="e">
        <f t="shared" si="72"/>
        <v>#N/A</v>
      </c>
      <c r="F209" s="123" t="e">
        <f t="shared" si="72"/>
        <v>#N/A</v>
      </c>
      <c r="G209" s="123" t="e">
        <f t="shared" ref="G209:G230" si="73">IF(AND(ISNUMBER(AH207),ISNUMBER(AB207)),AH207/AB207,NA())</f>
        <v>#N/A</v>
      </c>
      <c r="H209" s="125" t="e">
        <f t="shared" ref="H209:H230" si="74">IF(AND(ISNUMBER(AI207),ISNUMBER(AC207)),AI207/AC207,NA())</f>
        <v>#N/A</v>
      </c>
      <c r="I209" s="68"/>
      <c r="J209" s="68"/>
      <c r="K209" s="127"/>
      <c r="L209" s="127"/>
      <c r="M209" s="127"/>
      <c r="N209" s="127"/>
      <c r="O209" s="127"/>
      <c r="P209" s="127"/>
      <c r="Q209" s="127"/>
      <c r="R209" s="128"/>
      <c r="S209" s="120"/>
      <c r="T209" s="127"/>
      <c r="U209" s="89"/>
      <c r="V209" s="103"/>
      <c r="W209" s="115"/>
      <c r="X209" s="263" t="str">
        <f t="shared" si="69"/>
        <v>East Sussex</v>
      </c>
      <c r="Y209" s="307" t="str">
        <f>IF(Year1_East_Sussex Year1_LAC_4weeks="","",Year1_East_Sussex Year1_LAC_4weeks)</f>
        <v/>
      </c>
      <c r="Z209" s="248" t="str">
        <f>IF(Year2_East_Sussex Year2_LAC_4weeks="","",Year2_East_Sussex Year2_LAC_4weeks)</f>
        <v/>
      </c>
      <c r="AA209" s="248" t="str">
        <f>IF(Year3_East_Sussex Year3_LAC_4weeks="","",Year3_East_Sussex Year3_LAC_4weeks)</f>
        <v/>
      </c>
      <c r="AB209" s="248" t="str">
        <f>IF(Year4_East_Sussex Year4_LAC_4weeks="","",Year4_East_Sussex Year4_LAC_4weeks)</f>
        <v/>
      </c>
      <c r="AC209" s="352" t="str">
        <f>IF(Year5_East_Sussex Year5_LAC_4weeks="","",Year5_East_Sussex Year5_LAC_4weeks)</f>
        <v/>
      </c>
      <c r="AD209" s="263" t="str">
        <f t="shared" si="70"/>
        <v>East Sussex</v>
      </c>
      <c r="AE209" s="307" t="str">
        <f>IF(Year1_East_Sussex Year1_LAC_4weeks_reviews_in_timescales="","",Year1_East_Sussex Year1_LAC_4weeks_reviews_in_timescales)</f>
        <v/>
      </c>
      <c r="AF209" s="248" t="str">
        <f>IF(Year2_East_Sussex Year2_LAC_4weeks_reviews_in_timescales="","",Year2_East_Sussex Year2_LAC_4weeks_reviews_in_timescales)</f>
        <v/>
      </c>
      <c r="AG209" s="248" t="str">
        <f>IF(Year3_East_Sussex Year3_LAC_4weeks_reviews_in_timescales="","",Year3_East_Sussex Year3_LAC_4weeks_reviews_in_timescales)</f>
        <v/>
      </c>
      <c r="AH209" s="248" t="str">
        <f>IF(Year4_East_Sussex Year4_LAC_4weeks_reviews_in_timescales="","",Year4_East_Sussex Year4_LAC_4weeks_reviews_in_timescales)</f>
        <v/>
      </c>
      <c r="AI209" s="352" t="str">
        <f>IF(Year5_East_Sussex Year5_LAC_4weeks_reviews_in_timescales="","",Year5_East_Sussex Year5_LAC_4weeks_reviews_in_timescales)</f>
        <v/>
      </c>
      <c r="AJ209" s="121"/>
    </row>
    <row r="210" spans="1:44" s="61" customFormat="1" ht="12.75" hidden="1" customHeight="1" thickBot="1">
      <c r="A210" s="306">
        <f>VLOOKUP(B210,ReportData!$AQ$4:$AR$25,2,FALSE)</f>
        <v>0</v>
      </c>
      <c r="B210" s="65" t="str">
        <f t="shared" si="71"/>
        <v>Buckinghamshire</v>
      </c>
      <c r="C210" s="59"/>
      <c r="D210" s="123" t="e">
        <f t="shared" si="72"/>
        <v>#N/A</v>
      </c>
      <c r="E210" s="123" t="e">
        <f t="shared" si="72"/>
        <v>#N/A</v>
      </c>
      <c r="F210" s="123" t="e">
        <f t="shared" si="72"/>
        <v>#N/A</v>
      </c>
      <c r="G210" s="123" t="e">
        <f t="shared" si="73"/>
        <v>#N/A</v>
      </c>
      <c r="H210" s="125" t="e">
        <f t="shared" si="74"/>
        <v>#N/A</v>
      </c>
      <c r="I210" s="68"/>
      <c r="J210" s="68"/>
      <c r="K210" s="127"/>
      <c r="L210" s="127"/>
      <c r="M210" s="127"/>
      <c r="N210" s="127"/>
      <c r="O210" s="127"/>
      <c r="P210" s="127"/>
      <c r="Q210" s="127"/>
      <c r="R210" s="128"/>
      <c r="S210" s="120"/>
      <c r="T210" s="127"/>
      <c r="U210" s="89"/>
      <c r="V210" s="103"/>
      <c r="W210" s="115"/>
      <c r="X210" s="263" t="str">
        <f t="shared" si="69"/>
        <v>Hampshire</v>
      </c>
      <c r="Y210" s="307" t="str">
        <f>IF(Year1_Hampshire Year1_LAC_4weeks="","",Year1_Hampshire Year1_LAC_4weeks)</f>
        <v/>
      </c>
      <c r="Z210" s="248" t="str">
        <f>IF(Year2_Hampshire Year2_LAC_4weeks="","",Year2_Hampshire Year2_LAC_4weeks)</f>
        <v/>
      </c>
      <c r="AA210" s="248" t="str">
        <f>IF(Year3_Hampshire Year3_LAC_4weeks="","",Year3_Hampshire Year3_LAC_4weeks)</f>
        <v/>
      </c>
      <c r="AB210" s="248" t="str">
        <f>IF(Year4_Hampshire Year4_LAC_4weeks="","",Year4_Hampshire Year4_LAC_4weeks)</f>
        <v/>
      </c>
      <c r="AC210" s="352" t="str">
        <f>IF(Year5_Hampshire Year5_LAC_4weeks="","",Year5_Hampshire Year5_LAC_4weeks)</f>
        <v/>
      </c>
      <c r="AD210" s="263" t="str">
        <f t="shared" si="70"/>
        <v>Hampshire</v>
      </c>
      <c r="AE210" s="307" t="str">
        <f>IF(Year1_Hampshire Year1_LAC_4weeks_reviews_in_timescales="","",Year1_Hampshire Year1_LAC_4weeks_reviews_in_timescales)</f>
        <v/>
      </c>
      <c r="AF210" s="248" t="str">
        <f>IF(Year2_Hampshire Year2_LAC_4weeks_reviews_in_timescales="","",Year2_Hampshire Year2_LAC_4weeks_reviews_in_timescales)</f>
        <v/>
      </c>
      <c r="AG210" s="248" t="str">
        <f>IF(Year3_Hampshire Year3_LAC_4weeks_reviews_in_timescales="","",Year3_Hampshire Year3_LAC_4weeks_reviews_in_timescales)</f>
        <v/>
      </c>
      <c r="AH210" s="248" t="str">
        <f>IF(Year4_Hampshire Year4_LAC_4weeks_reviews_in_timescales="","",Year4_Hampshire Year4_LAC_4weeks_reviews_in_timescales)</f>
        <v/>
      </c>
      <c r="AI210" s="352" t="str">
        <f>IF(Year5_Hampshire Year5_LAC_4weeks_reviews_in_timescales="","",Year5_Hampshire Year5_LAC_4weeks_reviews_in_timescales)</f>
        <v/>
      </c>
      <c r="AJ210" s="121"/>
    </row>
    <row r="211" spans="1:44" s="61" customFormat="1" ht="12.75" hidden="1" customHeight="1" thickBot="1">
      <c r="A211" s="306">
        <f>VLOOKUP(B211,ReportData!$AQ$4:$AR$25,2,FALSE)</f>
        <v>0</v>
      </c>
      <c r="B211" s="65" t="str">
        <f t="shared" si="71"/>
        <v>East Sussex</v>
      </c>
      <c r="C211" s="59"/>
      <c r="D211" s="123" t="e">
        <f t="shared" si="72"/>
        <v>#N/A</v>
      </c>
      <c r="E211" s="123" t="e">
        <f t="shared" si="72"/>
        <v>#N/A</v>
      </c>
      <c r="F211" s="123" t="e">
        <f t="shared" si="72"/>
        <v>#N/A</v>
      </c>
      <c r="G211" s="123" t="e">
        <f t="shared" si="73"/>
        <v>#N/A</v>
      </c>
      <c r="H211" s="125" t="e">
        <f t="shared" si="74"/>
        <v>#N/A</v>
      </c>
      <c r="I211" s="68"/>
      <c r="J211" s="68"/>
      <c r="K211" s="127"/>
      <c r="L211" s="127"/>
      <c r="M211" s="127"/>
      <c r="N211" s="127"/>
      <c r="O211" s="127"/>
      <c r="P211" s="127"/>
      <c r="Q211" s="127"/>
      <c r="R211" s="128"/>
      <c r="S211" s="120"/>
      <c r="T211" s="127"/>
      <c r="U211" s="89"/>
      <c r="V211" s="103"/>
      <c r="W211" s="115"/>
      <c r="X211" s="263" t="str">
        <f t="shared" si="69"/>
        <v>Isle of Wight</v>
      </c>
      <c r="Y211" s="307" t="str">
        <f>IF(Year1_Isle_of_Wight Year1_LAC_4weeks="","",Year1_Isle_of_Wight Year1_LAC_4weeks)</f>
        <v/>
      </c>
      <c r="Z211" s="248" t="str">
        <f>IF(Year2_Isle_of_Wight Year2_LAC_4weeks="","",Year2_Isle_of_Wight Year2_LAC_4weeks)</f>
        <v/>
      </c>
      <c r="AA211" s="248" t="str">
        <f>IF(Year3_Isle_of_Wight Year3_LAC_4weeks="","",Year3_Isle_of_Wight Year3_LAC_4weeks)</f>
        <v/>
      </c>
      <c r="AB211" s="248" t="str">
        <f>IF(Year4_Isle_of_Wight Year4_LAC_4weeks="","",Year4_Isle_of_Wight Year4_LAC_4weeks)</f>
        <v/>
      </c>
      <c r="AC211" s="352" t="str">
        <f>IF(Year5_Isle_of_Wight Year5_LAC_4weeks="","",Year5_Isle_of_Wight Year5_LAC_4weeks)</f>
        <v/>
      </c>
      <c r="AD211" s="263" t="str">
        <f t="shared" si="70"/>
        <v>Isle of Wight</v>
      </c>
      <c r="AE211" s="307" t="str">
        <f>IF(Year1_Isle_of_Wight Year1_LAC_4weeks_reviews_in_timescales="","",Year1_Isle_of_Wight Year1_LAC_4weeks_reviews_in_timescales)</f>
        <v/>
      </c>
      <c r="AF211" s="248" t="str">
        <f>IF(Year2_Isle_of_Wight Year2_LAC_4weeks_reviews_in_timescales="","",Year2_Isle_of_Wight Year2_LAC_4weeks_reviews_in_timescales)</f>
        <v/>
      </c>
      <c r="AG211" s="248" t="str">
        <f>IF(Year3_Isle_of_Wight Year3_LAC_4weeks_reviews_in_timescales="","",Year3_Isle_of_Wight Year3_LAC_4weeks_reviews_in_timescales)</f>
        <v/>
      </c>
      <c r="AH211" s="248" t="str">
        <f>IF(Year4_Isle_of_Wight Year4_LAC_4weeks_reviews_in_timescales="","",Year4_Isle_of_Wight Year4_LAC_4weeks_reviews_in_timescales)</f>
        <v/>
      </c>
      <c r="AI211" s="352" t="str">
        <f>IF(Year5_Isle_of_Wight Year5_LAC_4weeks_reviews_in_timescales="","",Year5_Isle_of_Wight Year5_LAC_4weeks_reviews_in_timescales)</f>
        <v/>
      </c>
      <c r="AJ211" s="121"/>
      <c r="AR211" s="61" t="s">
        <v>95</v>
      </c>
    </row>
    <row r="212" spans="1:44" s="61" customFormat="1" ht="12.75" hidden="1" customHeight="1" thickBot="1">
      <c r="A212" s="306">
        <f>VLOOKUP(B212,ReportData!$AQ$4:$AR$25,2,FALSE)</f>
        <v>0</v>
      </c>
      <c r="B212" s="65" t="str">
        <f t="shared" si="71"/>
        <v>Hampshire</v>
      </c>
      <c r="C212" s="59"/>
      <c r="D212" s="123" t="e">
        <f t="shared" si="72"/>
        <v>#N/A</v>
      </c>
      <c r="E212" s="123" t="e">
        <f t="shared" si="72"/>
        <v>#N/A</v>
      </c>
      <c r="F212" s="123" t="e">
        <f t="shared" si="72"/>
        <v>#N/A</v>
      </c>
      <c r="G212" s="123" t="e">
        <f t="shared" si="73"/>
        <v>#N/A</v>
      </c>
      <c r="H212" s="125" t="e">
        <f t="shared" si="74"/>
        <v>#N/A</v>
      </c>
      <c r="I212" s="68"/>
      <c r="J212" s="68"/>
      <c r="K212" s="127"/>
      <c r="L212" s="127"/>
      <c r="M212" s="127"/>
      <c r="N212" s="127"/>
      <c r="O212" s="127"/>
      <c r="P212" s="127"/>
      <c r="Q212" s="127"/>
      <c r="R212" s="128"/>
      <c r="S212" s="120"/>
      <c r="T212" s="127"/>
      <c r="U212" s="89"/>
      <c r="V212" s="103"/>
      <c r="W212" s="115"/>
      <c r="X212" s="263" t="str">
        <f t="shared" si="69"/>
        <v>Kent</v>
      </c>
      <c r="Y212" s="307" t="str">
        <f>IF(Year1_Kent Year1_LAC_4weeks="","",Year1_Kent Year1_LAC_4weeks)</f>
        <v/>
      </c>
      <c r="Z212" s="248" t="str">
        <f>IF(Year2_Kent Year2_LAC_4weeks="","",Year2_Kent Year2_LAC_4weeks)</f>
        <v/>
      </c>
      <c r="AA212" s="248" t="str">
        <f>IF(Year3_Kent Year3_LAC_4weeks="","",Year3_Kent Year3_LAC_4weeks)</f>
        <v/>
      </c>
      <c r="AB212" s="248" t="str">
        <f>IF(Year4_Kent Year4_LAC_4weeks="","",Year4_Kent Year4_LAC_4weeks)</f>
        <v/>
      </c>
      <c r="AC212" s="352" t="str">
        <f>IF(Year5_Kent Year5_LAC_4weeks="","",Year5_Kent Year5_LAC_4weeks)</f>
        <v/>
      </c>
      <c r="AD212" s="263" t="str">
        <f t="shared" si="70"/>
        <v>Kent</v>
      </c>
      <c r="AE212" s="307" t="str">
        <f>IF(Year1_Kent Year1_LAC_4weeks_reviews_in_timescales="","",Year1_Kent Year1_LAC_4weeks_reviews_in_timescales)</f>
        <v/>
      </c>
      <c r="AF212" s="248" t="str">
        <f>IF(Year2_Kent Year2_LAC_4weeks_reviews_in_timescales="","",Year2_Kent Year2_LAC_4weeks_reviews_in_timescales)</f>
        <v/>
      </c>
      <c r="AG212" s="248" t="str">
        <f>IF(Year3_Kent Year3_LAC_4weeks_reviews_in_timescales="","",Year3_Kent Year3_LAC_4weeks_reviews_in_timescales)</f>
        <v/>
      </c>
      <c r="AH212" s="248" t="str">
        <f>IF(Year4_Kent Year4_LAC_4weeks_reviews_in_timescales="","",Year4_Kent Year4_LAC_4weeks_reviews_in_timescales)</f>
        <v/>
      </c>
      <c r="AI212" s="352" t="str">
        <f>IF(Year5_Kent Year5_LAC_4weeks_reviews_in_timescales="","",Year5_Kent Year5_LAC_4weeks_reviews_in_timescales)</f>
        <v/>
      </c>
      <c r="AJ212" s="121"/>
    </row>
    <row r="213" spans="1:44" s="61" customFormat="1" ht="12.75" hidden="1" customHeight="1" thickBot="1">
      <c r="A213" s="306">
        <f>VLOOKUP(B213,ReportData!$AQ$4:$AR$25,2,FALSE)</f>
        <v>0</v>
      </c>
      <c r="B213" s="65" t="str">
        <f t="shared" si="71"/>
        <v>Isle of Wight</v>
      </c>
      <c r="C213" s="59"/>
      <c r="D213" s="123" t="e">
        <f t="shared" si="72"/>
        <v>#N/A</v>
      </c>
      <c r="E213" s="123" t="e">
        <f t="shared" si="72"/>
        <v>#N/A</v>
      </c>
      <c r="F213" s="123" t="e">
        <f t="shared" si="72"/>
        <v>#N/A</v>
      </c>
      <c r="G213" s="123" t="e">
        <f t="shared" si="73"/>
        <v>#N/A</v>
      </c>
      <c r="H213" s="125" t="e">
        <f t="shared" si="74"/>
        <v>#N/A</v>
      </c>
      <c r="I213" s="68"/>
      <c r="J213" s="68"/>
      <c r="K213" s="127"/>
      <c r="L213" s="127"/>
      <c r="M213" s="127"/>
      <c r="N213" s="127"/>
      <c r="O213" s="127"/>
      <c r="P213" s="127"/>
      <c r="Q213" s="127"/>
      <c r="R213" s="128"/>
      <c r="S213" s="120"/>
      <c r="T213" s="127"/>
      <c r="U213" s="89"/>
      <c r="V213" s="103"/>
      <c r="W213" s="115"/>
      <c r="X213" s="263" t="str">
        <f t="shared" si="69"/>
        <v>Medway</v>
      </c>
      <c r="Y213" s="307" t="str">
        <f>IF(Year1_Medway Year1_LAC_4weeks="","",Year1_Medway Year1_LAC_4weeks)</f>
        <v/>
      </c>
      <c r="Z213" s="248" t="str">
        <f>IF(Year2_Medway Year2_LAC_4weeks="","",Year2_Medway Year2_LAC_4weeks)</f>
        <v/>
      </c>
      <c r="AA213" s="248" t="str">
        <f>IF(Year3_Medway Year3_LAC_4weeks="","",Year3_Medway Year3_LAC_4weeks)</f>
        <v/>
      </c>
      <c r="AB213" s="248" t="str">
        <f>IF(Year4_Medway Year4_LAC_4weeks="","",Year4_Medway Year4_LAC_4weeks)</f>
        <v/>
      </c>
      <c r="AC213" s="352" t="str">
        <f>IF(Year5_Medway Year5_LAC_4weeks="","",Year5_Medway Year5_LAC_4weeks)</f>
        <v/>
      </c>
      <c r="AD213" s="263" t="str">
        <f t="shared" si="70"/>
        <v>Medway</v>
      </c>
      <c r="AE213" s="307" t="str">
        <f>IF(Year1_Medway Year1_LAC_4weeks_reviews_in_timescales="","",Year1_Medway Year1_LAC_4weeks_reviews_in_timescales)</f>
        <v/>
      </c>
      <c r="AF213" s="248" t="str">
        <f>IF(Year2_Medway Year2_LAC_4weeks_reviews_in_timescales="","",Year2_Medway Year2_LAC_4weeks_reviews_in_timescales)</f>
        <v/>
      </c>
      <c r="AG213" s="248" t="str">
        <f>IF(Year3_Medway Year3_LAC_4weeks_reviews_in_timescales="","",Year3_Medway Year3_LAC_4weeks_reviews_in_timescales)</f>
        <v/>
      </c>
      <c r="AH213" s="248" t="str">
        <f>IF(Year4_Medway Year4_LAC_4weeks_reviews_in_timescales="","",Year4_Medway Year4_LAC_4weeks_reviews_in_timescales)</f>
        <v/>
      </c>
      <c r="AI213" s="352" t="str">
        <f>IF(Year5_Medway Year5_LAC_4weeks_reviews_in_timescales="","",Year5_Medway Year5_LAC_4weeks_reviews_in_timescales)</f>
        <v/>
      </c>
      <c r="AJ213" s="121"/>
    </row>
    <row r="214" spans="1:44" s="61" customFormat="1" ht="12.75" hidden="1" customHeight="1" thickBot="1">
      <c r="A214" s="306">
        <f>VLOOKUP(B214,ReportData!$AQ$4:$AR$25,2,FALSE)</f>
        <v>0</v>
      </c>
      <c r="B214" s="65" t="str">
        <f t="shared" si="71"/>
        <v>Kent</v>
      </c>
      <c r="C214" s="59"/>
      <c r="D214" s="123" t="e">
        <f t="shared" si="72"/>
        <v>#N/A</v>
      </c>
      <c r="E214" s="123" t="e">
        <f t="shared" si="72"/>
        <v>#N/A</v>
      </c>
      <c r="F214" s="123" t="e">
        <f t="shared" si="72"/>
        <v>#N/A</v>
      </c>
      <c r="G214" s="123" t="e">
        <f t="shared" si="73"/>
        <v>#N/A</v>
      </c>
      <c r="H214" s="125" t="e">
        <f t="shared" si="74"/>
        <v>#N/A</v>
      </c>
      <c r="I214" s="68"/>
      <c r="J214" s="68"/>
      <c r="K214" s="127"/>
      <c r="L214" s="127"/>
      <c r="M214" s="127"/>
      <c r="N214" s="127"/>
      <c r="O214" s="127"/>
      <c r="P214" s="127"/>
      <c r="Q214" s="127"/>
      <c r="R214" s="128"/>
      <c r="S214" s="120"/>
      <c r="T214" s="127"/>
      <c r="U214" s="89"/>
      <c r="V214" s="103"/>
      <c r="W214" s="115"/>
      <c r="X214" s="263" t="str">
        <f t="shared" si="69"/>
        <v>Milton Keynes</v>
      </c>
      <c r="Y214" s="307" t="str">
        <f>IF(Year1_Milton_Keynes Year1_LAC_4weeks="","",Year1_Milton_Keynes Year1_LAC_4weeks)</f>
        <v/>
      </c>
      <c r="Z214" s="248" t="str">
        <f>IF(Year2_Milton_Keynes Year2_LAC_4weeks="","",Year2_Milton_Keynes Year2_LAC_4weeks)</f>
        <v/>
      </c>
      <c r="AA214" s="248" t="str">
        <f>IF(Year3_Milton_Keynes Year3_LAC_4weeks="","",Year3_Milton_Keynes Year3_LAC_4weeks)</f>
        <v/>
      </c>
      <c r="AB214" s="248" t="str">
        <f>IF(Year4_Milton_Keynes Year4_LAC_4weeks="","",Year4_Milton_Keynes Year4_LAC_4weeks)</f>
        <v/>
      </c>
      <c r="AC214" s="352" t="str">
        <f>IF(Year5_Milton_Keynes Year5_LAC_4weeks="","",Year5_Milton_Keynes Year5_LAC_4weeks)</f>
        <v/>
      </c>
      <c r="AD214" s="263" t="str">
        <f t="shared" si="70"/>
        <v>Milton Keynes</v>
      </c>
      <c r="AE214" s="307" t="str">
        <f>IF(Year1_Milton_Keynes Year1_LAC_4weeks_reviews_in_timescales="","",Year1_Milton_Keynes Year1_LAC_4weeks_reviews_in_timescales)</f>
        <v/>
      </c>
      <c r="AF214" s="248" t="str">
        <f>IF(Year2_Milton_Keynes Year2_LAC_4weeks_reviews_in_timescales="","",Year2_Milton_Keynes Year2_LAC_4weeks_reviews_in_timescales)</f>
        <v/>
      </c>
      <c r="AG214" s="248" t="str">
        <f>IF(Year3_Milton_Keynes Year3_LAC_4weeks_reviews_in_timescales="","",Year3_Milton_Keynes Year3_LAC_4weeks_reviews_in_timescales)</f>
        <v/>
      </c>
      <c r="AH214" s="248" t="str">
        <f>IF(Year4_Milton_Keynes Year4_LAC_4weeks_reviews_in_timescales="","",Year4_Milton_Keynes Year4_LAC_4weeks_reviews_in_timescales)</f>
        <v/>
      </c>
      <c r="AI214" s="352" t="str">
        <f>IF(Year5_Milton_Keynes Year5_LAC_4weeks_reviews_in_timescales="","",Year5_Milton_Keynes Year5_LAC_4weeks_reviews_in_timescales)</f>
        <v/>
      </c>
      <c r="AJ214" s="121"/>
    </row>
    <row r="215" spans="1:44" s="61" customFormat="1" ht="12.75" hidden="1" customHeight="1" thickBot="1">
      <c r="A215" s="306">
        <f>VLOOKUP(B215,ReportData!$AQ$4:$AR$25,2,FALSE)</f>
        <v>0</v>
      </c>
      <c r="B215" s="65" t="str">
        <f t="shared" si="71"/>
        <v>Medway</v>
      </c>
      <c r="C215" s="59"/>
      <c r="D215" s="123" t="e">
        <f t="shared" si="72"/>
        <v>#N/A</v>
      </c>
      <c r="E215" s="123" t="e">
        <f t="shared" si="72"/>
        <v>#N/A</v>
      </c>
      <c r="F215" s="123" t="e">
        <f t="shared" si="72"/>
        <v>#N/A</v>
      </c>
      <c r="G215" s="123" t="e">
        <f t="shared" si="73"/>
        <v>#N/A</v>
      </c>
      <c r="H215" s="125" t="e">
        <f t="shared" si="74"/>
        <v>#N/A</v>
      </c>
      <c r="I215" s="68"/>
      <c r="J215" s="68"/>
      <c r="K215" s="127"/>
      <c r="L215" s="127"/>
      <c r="M215" s="127"/>
      <c r="N215" s="127"/>
      <c r="O215" s="127"/>
      <c r="P215" s="127"/>
      <c r="Q215" s="127"/>
      <c r="R215" s="128"/>
      <c r="S215" s="120"/>
      <c r="T215" s="127"/>
      <c r="U215" s="89"/>
      <c r="V215" s="103"/>
      <c r="W215" s="115"/>
      <c r="X215" s="263" t="str">
        <f t="shared" si="69"/>
        <v>Oxfordshire</v>
      </c>
      <c r="Y215" s="307" t="str">
        <f>IF(Year1_Oxfordshire Year1_LAC_4weeks="","",Year1_Oxfordshire Year1_LAC_4weeks)</f>
        <v/>
      </c>
      <c r="Z215" s="248" t="str">
        <f>IF(Year2_Oxfordshire Year2_LAC_4weeks="","",Year2_Oxfordshire Year2_LAC_4weeks)</f>
        <v/>
      </c>
      <c r="AA215" s="248" t="str">
        <f>IF(Year3_Oxfordshire Year3_LAC_4weeks="","",Year3_Oxfordshire Year3_LAC_4weeks)</f>
        <v/>
      </c>
      <c r="AB215" s="248" t="str">
        <f>IF(Year4_Oxfordshire Year4_LAC_4weeks="","",Year4_Oxfordshire Year4_LAC_4weeks)</f>
        <v/>
      </c>
      <c r="AC215" s="352" t="str">
        <f>IF(Year5_Oxfordshire Year5_LAC_4weeks="","",Year5_Oxfordshire Year5_LAC_4weeks)</f>
        <v/>
      </c>
      <c r="AD215" s="263" t="str">
        <f t="shared" si="70"/>
        <v>Oxfordshire</v>
      </c>
      <c r="AE215" s="307" t="str">
        <f>IF(Year1_Oxfordshire Year1_LAC_4weeks_reviews_in_timescales="","",Year1_Oxfordshire Year1_LAC_4weeks_reviews_in_timescales)</f>
        <v/>
      </c>
      <c r="AF215" s="248" t="str">
        <f>IF(Year2_Oxfordshire Year2_LAC_4weeks_reviews_in_timescales="","",Year2_Oxfordshire Year2_LAC_4weeks_reviews_in_timescales)</f>
        <v/>
      </c>
      <c r="AG215" s="248" t="str">
        <f>IF(Year3_Oxfordshire Year3_LAC_4weeks_reviews_in_timescales="","",Year3_Oxfordshire Year3_LAC_4weeks_reviews_in_timescales)</f>
        <v/>
      </c>
      <c r="AH215" s="248" t="str">
        <f>IF(Year4_Oxfordshire Year4_LAC_4weeks_reviews_in_timescales="","",Year4_Oxfordshire Year4_LAC_4weeks_reviews_in_timescales)</f>
        <v/>
      </c>
      <c r="AI215" s="352" t="str">
        <f>IF(Year5_Oxfordshire Year5_LAC_4weeks_reviews_in_timescales="","",Year5_Oxfordshire Year5_LAC_4weeks_reviews_in_timescales)</f>
        <v/>
      </c>
      <c r="AJ215" s="121"/>
    </row>
    <row r="216" spans="1:44" s="61" customFormat="1" ht="12.75" hidden="1" customHeight="1" thickBot="1">
      <c r="A216" s="306">
        <f>VLOOKUP(B216,ReportData!$AQ$4:$AR$25,2,FALSE)</f>
        <v>0</v>
      </c>
      <c r="B216" s="65" t="str">
        <f t="shared" si="71"/>
        <v>Milton Keynes</v>
      </c>
      <c r="C216" s="59"/>
      <c r="D216" s="123" t="e">
        <f t="shared" si="72"/>
        <v>#N/A</v>
      </c>
      <c r="E216" s="123" t="e">
        <f t="shared" si="72"/>
        <v>#N/A</v>
      </c>
      <c r="F216" s="123" t="e">
        <f t="shared" si="72"/>
        <v>#N/A</v>
      </c>
      <c r="G216" s="123" t="e">
        <f t="shared" si="73"/>
        <v>#N/A</v>
      </c>
      <c r="H216" s="125" t="e">
        <f t="shared" si="74"/>
        <v>#N/A</v>
      </c>
      <c r="I216" s="68"/>
      <c r="J216" s="68"/>
      <c r="K216" s="127"/>
      <c r="L216" s="127"/>
      <c r="M216" s="127"/>
      <c r="N216" s="127"/>
      <c r="O216" s="127"/>
      <c r="P216" s="127"/>
      <c r="Q216" s="127"/>
      <c r="R216" s="128"/>
      <c r="S216" s="120"/>
      <c r="T216" s="127"/>
      <c r="U216" s="89"/>
      <c r="V216" s="103"/>
      <c r="W216" s="115"/>
      <c r="X216" s="263" t="str">
        <f t="shared" si="69"/>
        <v>Portsmouth</v>
      </c>
      <c r="Y216" s="307" t="str">
        <f>IF(Year1_Portsmouth Year1_LAC_4weeks="","",Year1_Portsmouth Year1_LAC_4weeks)</f>
        <v/>
      </c>
      <c r="Z216" s="248" t="str">
        <f>IF(Year2_Portsmouth Year2_LAC_4weeks="","",Year2_Portsmouth Year2_LAC_4weeks)</f>
        <v/>
      </c>
      <c r="AA216" s="248" t="str">
        <f>IF(Year3_Portsmouth Year3_LAC_4weeks="","",Year3_Portsmouth Year3_LAC_4weeks)</f>
        <v/>
      </c>
      <c r="AB216" s="248" t="str">
        <f>IF(Year4_Portsmouth Year4_LAC_4weeks="","",Year4_Portsmouth Year4_LAC_4weeks)</f>
        <v/>
      </c>
      <c r="AC216" s="352" t="str">
        <f>IF(Year5_Portsmouth Year5_LAC_4weeks="","",Year5_Portsmouth Year5_LAC_4weeks)</f>
        <v/>
      </c>
      <c r="AD216" s="263" t="str">
        <f t="shared" si="70"/>
        <v>Portsmouth</v>
      </c>
      <c r="AE216" s="307" t="str">
        <f>IF(Year1_Portsmouth Year1_LAC_4weeks_reviews_in_timescales="","",Year1_Portsmouth Year1_LAC_4weeks_reviews_in_timescales)</f>
        <v/>
      </c>
      <c r="AF216" s="248" t="str">
        <f>IF(Year2_Portsmouth Year2_LAC_4weeks_reviews_in_timescales="","",Year2_Portsmouth Year2_LAC_4weeks_reviews_in_timescales)</f>
        <v/>
      </c>
      <c r="AG216" s="248" t="str">
        <f>IF(Year3_Portsmouth Year3_LAC_4weeks_reviews_in_timescales="","",Year3_Portsmouth Year3_LAC_4weeks_reviews_in_timescales)</f>
        <v/>
      </c>
      <c r="AH216" s="248" t="str">
        <f>IF(Year4_Portsmouth Year4_LAC_4weeks_reviews_in_timescales="","",Year4_Portsmouth Year4_LAC_4weeks_reviews_in_timescales)</f>
        <v/>
      </c>
      <c r="AI216" s="352" t="str">
        <f>IF(Year5_Portsmouth Year5_LAC_4weeks_reviews_in_timescales="","",Year5_Portsmouth Year5_LAC_4weeks_reviews_in_timescales)</f>
        <v/>
      </c>
      <c r="AJ216" s="121"/>
    </row>
    <row r="217" spans="1:44" s="61" customFormat="1" ht="12.75" hidden="1" customHeight="1" thickBot="1">
      <c r="A217" s="306">
        <f>VLOOKUP(B217,ReportData!$AQ$4:$AR$25,2,FALSE)</f>
        <v>0</v>
      </c>
      <c r="B217" s="65" t="str">
        <f t="shared" si="71"/>
        <v>Oxfordshire</v>
      </c>
      <c r="C217" s="59"/>
      <c r="D217" s="123" t="e">
        <f t="shared" si="72"/>
        <v>#N/A</v>
      </c>
      <c r="E217" s="123" t="e">
        <f t="shared" si="72"/>
        <v>#N/A</v>
      </c>
      <c r="F217" s="123" t="e">
        <f t="shared" si="72"/>
        <v>#N/A</v>
      </c>
      <c r="G217" s="123" t="e">
        <f t="shared" si="73"/>
        <v>#N/A</v>
      </c>
      <c r="H217" s="125" t="e">
        <f t="shared" si="74"/>
        <v>#N/A</v>
      </c>
      <c r="I217" s="68"/>
      <c r="J217" s="68"/>
      <c r="K217" s="127"/>
      <c r="L217" s="127"/>
      <c r="M217" s="127"/>
      <c r="N217" s="127"/>
      <c r="O217" s="127"/>
      <c r="P217" s="127"/>
      <c r="Q217" s="127"/>
      <c r="R217" s="128"/>
      <c r="S217" s="120"/>
      <c r="T217" s="127"/>
      <c r="U217" s="89"/>
      <c r="V217" s="103"/>
      <c r="W217" s="115"/>
      <c r="X217" s="263" t="str">
        <f t="shared" si="69"/>
        <v>Reading</v>
      </c>
      <c r="Y217" s="307" t="str">
        <f>IF(Year1_Reading Year1_LAC_4weeks="","",Year1_Reading Year1_LAC_4weeks)</f>
        <v/>
      </c>
      <c r="Z217" s="248" t="str">
        <f>IF(Year2_Reading Year2_LAC_4weeks="","",Year2_Reading Year2_LAC_4weeks)</f>
        <v/>
      </c>
      <c r="AA217" s="248" t="str">
        <f>IF(Year3_Reading Year3_LAC_4weeks="","",Year3_Reading Year3_LAC_4weeks)</f>
        <v/>
      </c>
      <c r="AB217" s="248" t="str">
        <f>IF(Year4_Reading Year4_LAC_4weeks="","",Year4_Reading Year4_LAC_4weeks)</f>
        <v/>
      </c>
      <c r="AC217" s="352" t="str">
        <f>IF(Year5_Reading Year5_LAC_4weeks="","",Year5_Reading Year5_LAC_4weeks)</f>
        <v/>
      </c>
      <c r="AD217" s="263" t="str">
        <f t="shared" si="70"/>
        <v>Reading</v>
      </c>
      <c r="AE217" s="307" t="str">
        <f>IF(Year1_Reading Year1_LAC_4weeks_reviews_in_timescales="","",Year1_Reading Year1_LAC_4weeks_reviews_in_timescales)</f>
        <v/>
      </c>
      <c r="AF217" s="248" t="str">
        <f>IF(Year2_Reading Year2_LAC_4weeks_reviews_in_timescales="","",Year2_Reading Year2_LAC_4weeks_reviews_in_timescales)</f>
        <v/>
      </c>
      <c r="AG217" s="248" t="str">
        <f>IF(Year3_Reading Year3_LAC_4weeks_reviews_in_timescales="","",Year3_Reading Year3_LAC_4weeks_reviews_in_timescales)</f>
        <v/>
      </c>
      <c r="AH217" s="248" t="str">
        <f>IF(Year4_Reading Year4_LAC_4weeks_reviews_in_timescales="","",Year4_Reading Year4_LAC_4weeks_reviews_in_timescales)</f>
        <v/>
      </c>
      <c r="AI217" s="352" t="str">
        <f>IF(Year5_Reading Year5_LAC_4weeks_reviews_in_timescales="","",Year5_Reading Year5_LAC_4weeks_reviews_in_timescales)</f>
        <v/>
      </c>
      <c r="AJ217" s="121"/>
    </row>
    <row r="218" spans="1:44" s="61" customFormat="1" ht="12.75" hidden="1" customHeight="1" thickBot="1">
      <c r="A218" s="306">
        <f>VLOOKUP(B218,ReportData!$AQ$4:$AR$25,2,FALSE)</f>
        <v>0</v>
      </c>
      <c r="B218" s="65" t="str">
        <f t="shared" si="71"/>
        <v>Portsmouth</v>
      </c>
      <c r="C218" s="59"/>
      <c r="D218" s="123" t="e">
        <f t="shared" si="72"/>
        <v>#N/A</v>
      </c>
      <c r="E218" s="123" t="e">
        <f t="shared" si="72"/>
        <v>#N/A</v>
      </c>
      <c r="F218" s="123" t="e">
        <f t="shared" si="72"/>
        <v>#N/A</v>
      </c>
      <c r="G218" s="123" t="e">
        <f t="shared" si="73"/>
        <v>#N/A</v>
      </c>
      <c r="H218" s="125" t="e">
        <f t="shared" si="74"/>
        <v>#N/A</v>
      </c>
      <c r="I218" s="68"/>
      <c r="J218" s="68"/>
      <c r="K218" s="127"/>
      <c r="L218" s="127"/>
      <c r="M218" s="127"/>
      <c r="N218" s="127"/>
      <c r="O218" s="127"/>
      <c r="P218" s="127"/>
      <c r="Q218" s="127"/>
      <c r="R218" s="128"/>
      <c r="S218" s="120"/>
      <c r="T218" s="127"/>
      <c r="U218" s="89"/>
      <c r="V218" s="103"/>
      <c r="W218" s="115"/>
      <c r="X218" s="263" t="str">
        <f t="shared" si="69"/>
        <v>Slough</v>
      </c>
      <c r="Y218" s="307" t="str">
        <f>IF(Year1_Slough Year1_LAC_4weeks="","",Year1_Slough Year1_LAC_4weeks)</f>
        <v/>
      </c>
      <c r="Z218" s="248" t="str">
        <f>IF(Year2_Slough Year2_LAC_4weeks="","",Year2_Slough Year2_LAC_4weeks)</f>
        <v/>
      </c>
      <c r="AA218" s="248" t="str">
        <f>IF(Year3_Slough Year3_LAC_4weeks="","",Year3_Slough Year3_LAC_4weeks)</f>
        <v/>
      </c>
      <c r="AB218" s="248" t="str">
        <f>IF(Year4_Slough Year4_LAC_4weeks="","",Year4_Slough Year4_LAC_4weeks)</f>
        <v/>
      </c>
      <c r="AC218" s="352" t="str">
        <f>IF(Year5_Slough Year5_LAC_4weeks="","",Year5_Slough Year5_LAC_4weeks)</f>
        <v/>
      </c>
      <c r="AD218" s="263" t="str">
        <f t="shared" si="70"/>
        <v>Slough</v>
      </c>
      <c r="AE218" s="307" t="str">
        <f>IF(Year1_Slough Year1_LAC_4weeks_reviews_in_timescales="","",Year1_Slough Year1_LAC_4weeks_reviews_in_timescales)</f>
        <v/>
      </c>
      <c r="AF218" s="248" t="str">
        <f>IF(Year2_Slough Year2_LAC_4weeks_reviews_in_timescales="","",Year2_Slough Year2_LAC_4weeks_reviews_in_timescales)</f>
        <v/>
      </c>
      <c r="AG218" s="248" t="str">
        <f>IF(Year3_Slough Year3_LAC_4weeks_reviews_in_timescales="","",Year3_Slough Year3_LAC_4weeks_reviews_in_timescales)</f>
        <v/>
      </c>
      <c r="AH218" s="248" t="str">
        <f>IF(Year4_Slough Year4_LAC_4weeks_reviews_in_timescales="","",Year4_Slough Year4_LAC_4weeks_reviews_in_timescales)</f>
        <v/>
      </c>
      <c r="AI218" s="352" t="str">
        <f>IF(Year5_Slough Year5_LAC_4weeks_reviews_in_timescales="","",Year5_Slough Year5_LAC_4weeks_reviews_in_timescales)</f>
        <v/>
      </c>
      <c r="AJ218" s="121"/>
    </row>
    <row r="219" spans="1:44" s="61" customFormat="1" ht="12.75" hidden="1" customHeight="1" thickBot="1">
      <c r="A219" s="306">
        <f>VLOOKUP(B219,ReportData!$AQ$4:$AR$25,2,FALSE)</f>
        <v>0</v>
      </c>
      <c r="B219" s="65" t="str">
        <f t="shared" si="71"/>
        <v>Reading</v>
      </c>
      <c r="C219" s="59"/>
      <c r="D219" s="123" t="e">
        <f t="shared" si="72"/>
        <v>#N/A</v>
      </c>
      <c r="E219" s="123" t="e">
        <f t="shared" si="72"/>
        <v>#N/A</v>
      </c>
      <c r="F219" s="123" t="e">
        <f t="shared" si="72"/>
        <v>#N/A</v>
      </c>
      <c r="G219" s="123" t="e">
        <f t="shared" si="73"/>
        <v>#N/A</v>
      </c>
      <c r="H219" s="125" t="e">
        <f t="shared" si="74"/>
        <v>#N/A</v>
      </c>
      <c r="I219" s="68"/>
      <c r="J219" s="68"/>
      <c r="K219" s="127"/>
      <c r="L219" s="127"/>
      <c r="M219" s="127"/>
      <c r="N219" s="127"/>
      <c r="O219" s="127"/>
      <c r="P219" s="127"/>
      <c r="Q219" s="127"/>
      <c r="R219" s="128"/>
      <c r="S219" s="120"/>
      <c r="T219" s="127"/>
      <c r="U219" s="89"/>
      <c r="V219" s="103"/>
      <c r="W219" s="115"/>
      <c r="X219" s="263" t="e">
        <f t="shared" si="69"/>
        <v>#REF!</v>
      </c>
      <c r="Y219" s="307" t="e">
        <f>IF(Year1_Somerset Year1_LAC_4weeks="","",Year1_Somerset Year1_LAC_4weeks)</f>
        <v>#NAME?</v>
      </c>
      <c r="Z219" s="248" t="e">
        <f>IF(Year2_Somerset Year2_LAC_4weeks="","",Year2_Somerset Year2_LAC_4weeks)</f>
        <v>#NAME?</v>
      </c>
      <c r="AA219" s="248" t="e">
        <f>IF(Year3_Somerset Year3_LAC_4weeks="","",Year3_Somerset Year3_LAC_4weeks)</f>
        <v>#NAME?</v>
      </c>
      <c r="AB219" s="248" t="e">
        <f>IF(Year4_Somerset Year4_LAC_4weeks="","",Year4_Somerset Year4_LAC_4weeks)</f>
        <v>#NAME?</v>
      </c>
      <c r="AC219" s="352" t="e">
        <f>IF(Year5_Somerset Year5_LAC_4weeks="","",Year5_Somerset Year5_LAC_4weeks)</f>
        <v>#NAME?</v>
      </c>
      <c r="AD219" s="263" t="e">
        <f t="shared" si="70"/>
        <v>#REF!</v>
      </c>
      <c r="AE219" s="307" t="e">
        <f>IF(Year1_Somerset Year1_LAC_4weeks_reviews_in_timescales="","",Year1_Somerset Year1_LAC_4weeks_reviews_in_timescales)</f>
        <v>#NAME?</v>
      </c>
      <c r="AF219" s="248" t="e">
        <f>IF(Year2_Somerset Year2_LAC_4weeks_reviews_in_timescales="","",Year2_Somerset Year2_LAC_4weeks_reviews_in_timescales)</f>
        <v>#NAME?</v>
      </c>
      <c r="AG219" s="248" t="e">
        <f>IF(Year3_Somerset Year3_LAC_4weeks_reviews_in_timescales="","",Year3_Somerset Year3_LAC_4weeks_reviews_in_timescales)</f>
        <v>#NAME?</v>
      </c>
      <c r="AH219" s="248" t="e">
        <f>IF(Year4_Somerset Year4_LAC_4weeks_reviews_in_timescales="","",Year4_Somerset Year4_LAC_4weeks_reviews_in_timescales)</f>
        <v>#NAME?</v>
      </c>
      <c r="AI219" s="352" t="e">
        <f>IF(Year5_Somerset Year5_LAC_4weeks_reviews_in_timescales="","",Year5_Somerset Year5_LAC_4weeks_reviews_in_timescales)</f>
        <v>#NAME?</v>
      </c>
      <c r="AJ219" s="121"/>
    </row>
    <row r="220" spans="1:44" s="61" customFormat="1" ht="12.75" hidden="1" customHeight="1" thickBot="1">
      <c r="A220" s="306">
        <f>VLOOKUP(B220,ReportData!$AQ$4:$AR$25,2,FALSE)</f>
        <v>0</v>
      </c>
      <c r="B220" s="65" t="str">
        <f t="shared" si="71"/>
        <v>Slough</v>
      </c>
      <c r="C220" s="59"/>
      <c r="D220" s="123" t="e">
        <f t="shared" si="72"/>
        <v>#N/A</v>
      </c>
      <c r="E220" s="123" t="e">
        <f t="shared" si="72"/>
        <v>#N/A</v>
      </c>
      <c r="F220" s="123" t="e">
        <f t="shared" si="72"/>
        <v>#N/A</v>
      </c>
      <c r="G220" s="123" t="e">
        <f t="shared" si="73"/>
        <v>#N/A</v>
      </c>
      <c r="H220" s="125" t="e">
        <f t="shared" si="74"/>
        <v>#N/A</v>
      </c>
      <c r="I220" s="68"/>
      <c r="J220" s="68"/>
      <c r="K220" s="127"/>
      <c r="L220" s="127"/>
      <c r="M220" s="127"/>
      <c r="N220" s="127"/>
      <c r="O220" s="127"/>
      <c r="P220" s="127"/>
      <c r="Q220" s="127"/>
      <c r="R220" s="128"/>
      <c r="S220" s="120"/>
      <c r="T220" s="127"/>
      <c r="U220" s="89"/>
      <c r="V220" s="103"/>
      <c r="W220" s="115"/>
      <c r="X220" s="263" t="str">
        <f t="shared" si="69"/>
        <v>Southampton</v>
      </c>
      <c r="Y220" s="307" t="str">
        <f>IF(Year1_Southampton Year1_LAC_4weeks="","",Year1_Southampton Year1_LAC_4weeks)</f>
        <v/>
      </c>
      <c r="Z220" s="248" t="str">
        <f>IF(Year2_Southampton Year2_LAC_4weeks="","",Year2_Southampton Year2_LAC_4weeks)</f>
        <v/>
      </c>
      <c r="AA220" s="248" t="str">
        <f>IF(Year3_Southampton Year3_LAC_4weeks="","",Year3_Southampton Year3_LAC_4weeks)</f>
        <v/>
      </c>
      <c r="AB220" s="248" t="str">
        <f>IF(Year4_Southampton Year4_LAC_4weeks="","",Year4_Southampton Year4_LAC_4weeks)</f>
        <v/>
      </c>
      <c r="AC220" s="352" t="str">
        <f>IF(Year5_Southampton Year5_LAC_4weeks="","",Year5_Southampton Year5_LAC_4weeks)</f>
        <v/>
      </c>
      <c r="AD220" s="263" t="str">
        <f t="shared" si="70"/>
        <v>Southampton</v>
      </c>
      <c r="AE220" s="307" t="str">
        <f>IF(Year1_Southampton Year1_LAC_4weeks_reviews_in_timescales="","",Year1_Southampton Year1_LAC_4weeks_reviews_in_timescales)</f>
        <v/>
      </c>
      <c r="AF220" s="248" t="str">
        <f>IF(Year2_Southampton Year2_LAC_4weeks_reviews_in_timescales="","",Year2_Southampton Year2_LAC_4weeks_reviews_in_timescales)</f>
        <v/>
      </c>
      <c r="AG220" s="248" t="str">
        <f>IF(Year3_Southampton Year3_LAC_4weeks_reviews_in_timescales="","",Year3_Southampton Year3_LAC_4weeks_reviews_in_timescales)</f>
        <v/>
      </c>
      <c r="AH220" s="248" t="str">
        <f>IF(Year4_Southampton Year4_LAC_4weeks_reviews_in_timescales="","",Year4_Southampton Year4_LAC_4weeks_reviews_in_timescales)</f>
        <v/>
      </c>
      <c r="AI220" s="352" t="str">
        <f>IF(Year5_Southampton Year5_LAC_4weeks_reviews_in_timescales="","",Year5_Southampton Year5_LAC_4weeks_reviews_in_timescales)</f>
        <v/>
      </c>
      <c r="AJ220" s="121"/>
    </row>
    <row r="221" spans="1:44" s="61" customFormat="1" ht="12.75" hidden="1" customHeight="1" thickBot="1">
      <c r="A221" s="306" t="e">
        <f>VLOOKUP(B221,ReportData!$AQ$4:$AR$25,2,FALSE)</f>
        <v>#REF!</v>
      </c>
      <c r="B221" s="65" t="e">
        <f>#REF!</f>
        <v>#REF!</v>
      </c>
      <c r="C221" s="59"/>
      <c r="D221" s="123" t="e">
        <f t="shared" si="72"/>
        <v>#N/A</v>
      </c>
      <c r="E221" s="123" t="e">
        <f t="shared" si="72"/>
        <v>#N/A</v>
      </c>
      <c r="F221" s="123" t="e">
        <f t="shared" si="72"/>
        <v>#N/A</v>
      </c>
      <c r="G221" s="123" t="e">
        <f t="shared" si="73"/>
        <v>#N/A</v>
      </c>
      <c r="H221" s="125" t="e">
        <f t="shared" si="74"/>
        <v>#N/A</v>
      </c>
      <c r="I221" s="68"/>
      <c r="J221" s="68"/>
      <c r="K221" s="127"/>
      <c r="L221" s="127"/>
      <c r="M221" s="127"/>
      <c r="N221" s="127"/>
      <c r="O221" s="127"/>
      <c r="P221" s="127"/>
      <c r="Q221" s="127"/>
      <c r="R221" s="128"/>
      <c r="S221" s="120"/>
      <c r="T221" s="127"/>
      <c r="U221" s="89"/>
      <c r="V221" s="103"/>
      <c r="W221" s="115"/>
      <c r="X221" s="263" t="str">
        <f t="shared" si="69"/>
        <v>Surrey</v>
      </c>
      <c r="Y221" s="307" t="str">
        <f>IF(Year1_Surrey Year1_LAC_4weeks="","",Year1_Surrey Year1_LAC_4weeks)</f>
        <v/>
      </c>
      <c r="Z221" s="248" t="str">
        <f>IF(Year2_Surrey Year2_LAC_4weeks="","",Year2_Surrey Year2_LAC_4weeks)</f>
        <v/>
      </c>
      <c r="AA221" s="248" t="str">
        <f>IF(Year3_Surrey Year3_LAC_4weeks="","",Year3_Surrey Year3_LAC_4weeks)</f>
        <v/>
      </c>
      <c r="AB221" s="248" t="str">
        <f>IF(Year4_Surrey Year4_LAC_4weeks="","",Year4_Surrey Year4_LAC_4weeks)</f>
        <v/>
      </c>
      <c r="AC221" s="352" t="str">
        <f>IF(Year5_Surrey Year5_LAC_4weeks="","",Year5_Surrey Year5_LAC_4weeks)</f>
        <v/>
      </c>
      <c r="AD221" s="263" t="str">
        <f t="shared" si="70"/>
        <v>Surrey</v>
      </c>
      <c r="AE221" s="307" t="str">
        <f>IF(Year1_Surrey Year1_LAC_4weeks_reviews_in_timescales="","",Year1_Surrey Year1_LAC_4weeks_reviews_in_timescales)</f>
        <v/>
      </c>
      <c r="AF221" s="248" t="str">
        <f>IF(Year2_Surrey Year2_LAC_4weeks_reviews_in_timescales="","",Year2_Surrey Year2_LAC_4weeks_reviews_in_timescales)</f>
        <v/>
      </c>
      <c r="AG221" s="248" t="str">
        <f>IF(Year3_Surrey Year3_LAC_4weeks_reviews_in_timescales="","",Year3_Surrey Year3_LAC_4weeks_reviews_in_timescales)</f>
        <v/>
      </c>
      <c r="AH221" s="248" t="str">
        <f>IF(Year4_Surrey Year4_LAC_4weeks_reviews_in_timescales="","",Year4_Surrey Year4_LAC_4weeks_reviews_in_timescales)</f>
        <v/>
      </c>
      <c r="AI221" s="352" t="str">
        <f>IF(Year5_Surrey Year5_LAC_4weeks_reviews_in_timescales="","",Year5_Surrey Year5_LAC_4weeks_reviews_in_timescales)</f>
        <v/>
      </c>
      <c r="AJ221" s="121"/>
    </row>
    <row r="222" spans="1:44" s="61" customFormat="1" ht="12.75" hidden="1" customHeight="1" thickBot="1">
      <c r="A222" s="306">
        <f>VLOOKUP(B222,ReportData!$AQ$4:$AR$25,2,FALSE)</f>
        <v>0</v>
      </c>
      <c r="B222" s="65" t="str">
        <f>B188</f>
        <v>Southampton</v>
      </c>
      <c r="C222" s="59"/>
      <c r="D222" s="123" t="e">
        <f t="shared" si="72"/>
        <v>#N/A</v>
      </c>
      <c r="E222" s="123" t="e">
        <f t="shared" si="72"/>
        <v>#N/A</v>
      </c>
      <c r="F222" s="123" t="e">
        <f t="shared" si="72"/>
        <v>#N/A</v>
      </c>
      <c r="G222" s="123" t="e">
        <f t="shared" si="73"/>
        <v>#N/A</v>
      </c>
      <c r="H222" s="125" t="e">
        <f t="shared" si="74"/>
        <v>#N/A</v>
      </c>
      <c r="I222" s="68"/>
      <c r="J222" s="68"/>
      <c r="K222" s="127"/>
      <c r="L222" s="127"/>
      <c r="M222" s="127"/>
      <c r="N222" s="127"/>
      <c r="O222" s="127"/>
      <c r="P222" s="127"/>
      <c r="Q222" s="127"/>
      <c r="R222" s="128"/>
      <c r="S222" s="120"/>
      <c r="T222" s="127"/>
      <c r="U222" s="89"/>
      <c r="V222" s="103"/>
      <c r="W222" s="115"/>
      <c r="X222" s="263" t="e">
        <f t="shared" si="69"/>
        <v>#REF!</v>
      </c>
      <c r="Y222" s="307" t="e">
        <f>IF(Year1_Swindon Year1_LAC_4weeks="","",Year1_Swindon Year1_LAC_4weeks)</f>
        <v>#NAME?</v>
      </c>
      <c r="Z222" s="248" t="e">
        <f>IF(Year2_Swindon Year2_LAC_4weeks="","",Year2_Swindon Year2_LAC_4weeks)</f>
        <v>#NAME?</v>
      </c>
      <c r="AA222" s="248" t="e">
        <f>IF(Year3_Swindon Year3_LAC_4weeks="","",Year3_Swindon Year3_LAC_4weeks)</f>
        <v>#NAME?</v>
      </c>
      <c r="AB222" s="307" t="e">
        <f>IF(Year4_Swindon Year4_LAC_4weeks="","",Year4_Swindon Year4_LAC_4weeks)</f>
        <v>#NAME?</v>
      </c>
      <c r="AC222" s="371" t="e">
        <f>IF(Year5_Swindon Year5_LAC_4weeks="","",Year5_Swindon Year5_LAC_4weeks)</f>
        <v>#NAME?</v>
      </c>
      <c r="AD222" s="263" t="e">
        <f t="shared" si="70"/>
        <v>#REF!</v>
      </c>
      <c r="AE222" s="307" t="e">
        <f>IF(Year1_Swindon Year1_LAC_4weeks_reviews_in_timescales="","",Year1_Swindon Year1_LAC_4weeks_reviews_in_timescales)</f>
        <v>#NAME?</v>
      </c>
      <c r="AF222" s="248" t="e">
        <f>IF(Year2_Swindon Year2_LAC_4weeks_reviews_in_timescales="","",Year2_Swindon Year2_LAC_4weeks_reviews_in_timescales)</f>
        <v>#NAME?</v>
      </c>
      <c r="AG222" s="248" t="e">
        <f>IF(Year3_Swindon Year3_LAC_4weeks_reviews_in_timescales="","",Year3_Swindon Year3_LAC_4weeks_reviews_in_timescales)</f>
        <v>#NAME?</v>
      </c>
      <c r="AH222" s="307" t="e">
        <f>IF(Year4_Swindon Year4_LAC_4weeks_reviews_in_timescales="","",Year4_Swindon Year4_LAC_4weeks_reviews_in_timescales)</f>
        <v>#NAME?</v>
      </c>
      <c r="AI222" s="371" t="e">
        <f>IF(Year5_Swindon Year5_LAC_4weeks_reviews_in_timescales="","",Year5_Swindon Year5_LAC_4weeks_reviews_in_timescales)</f>
        <v>#NAME?</v>
      </c>
      <c r="AJ222" s="121"/>
    </row>
    <row r="223" spans="1:44" s="61" customFormat="1" ht="12.75" hidden="1" customHeight="1" thickBot="1">
      <c r="A223" s="306">
        <f>VLOOKUP(B223,ReportData!$AQ$4:$AR$25,2,FALSE)</f>
        <v>0</v>
      </c>
      <c r="B223" s="65" t="str">
        <f>B189</f>
        <v>Surrey</v>
      </c>
      <c r="C223" s="59"/>
      <c r="D223" s="123" t="e">
        <f t="shared" si="72"/>
        <v>#N/A</v>
      </c>
      <c r="E223" s="123" t="e">
        <f t="shared" si="72"/>
        <v>#N/A</v>
      </c>
      <c r="F223" s="123" t="e">
        <f t="shared" si="72"/>
        <v>#N/A</v>
      </c>
      <c r="G223" s="123" t="e">
        <f t="shared" si="73"/>
        <v>#N/A</v>
      </c>
      <c r="H223" s="125" t="e">
        <f t="shared" si="74"/>
        <v>#N/A</v>
      </c>
      <c r="I223" s="68"/>
      <c r="J223" s="68"/>
      <c r="K223" s="127"/>
      <c r="L223" s="127"/>
      <c r="M223" s="127"/>
      <c r="N223" s="127"/>
      <c r="O223" s="127"/>
      <c r="P223" s="127"/>
      <c r="Q223" s="127"/>
      <c r="R223" s="128"/>
      <c r="S223" s="120"/>
      <c r="T223" s="127"/>
      <c r="U223" s="89"/>
      <c r="V223" s="103"/>
      <c r="W223" s="115"/>
      <c r="X223" s="263" t="str">
        <f t="shared" si="69"/>
        <v>West Berkshire</v>
      </c>
      <c r="Y223" s="307" t="str">
        <f>IF(Year1_West_Berkshire Year1_LAC_4weeks="","",Year1_West_Berkshire Year1_LAC_4weeks)</f>
        <v/>
      </c>
      <c r="Z223" s="248" t="str">
        <f>IF(Year2_West_Berkshire Year2_LAC_4weeks="","",Year2_West_Berkshire Year2_LAC_4weeks)</f>
        <v/>
      </c>
      <c r="AA223" s="248" t="str">
        <f>IF(Year3_West_Berkshire Year3_LAC_4weeks="","",Year3_West_Berkshire Year3_LAC_4weeks)</f>
        <v/>
      </c>
      <c r="AB223" s="248" t="str">
        <f>IF(Year4_West_Berkshire Year4_LAC_4weeks="","",Year4_West_Berkshire Year4_LAC_4weeks)</f>
        <v/>
      </c>
      <c r="AC223" s="352" t="str">
        <f>IF(Year5_West_Berkshire Year5_LAC_4weeks="","",Year5_West_Berkshire Year5_LAC_4weeks)</f>
        <v/>
      </c>
      <c r="AD223" s="263" t="str">
        <f t="shared" si="70"/>
        <v>West Berkshire</v>
      </c>
      <c r="AE223" s="307" t="str">
        <f>IF(Year1_West_Berkshire Year1_LAC_4weeks_reviews_in_timescales="","",Year1_West_Berkshire Year1_LAC_4weeks_reviews_in_timescales)</f>
        <v/>
      </c>
      <c r="AF223" s="248" t="str">
        <f>IF(Year2_West_Berkshire Year2_LAC_4weeks_reviews_in_timescales="","",Year2_West_Berkshire Year2_LAC_4weeks_reviews_in_timescales)</f>
        <v/>
      </c>
      <c r="AG223" s="248" t="str">
        <f>IF(Year3_West_Berkshire Year3_LAC_4weeks_reviews_in_timescales="","",Year3_West_Berkshire Year3_LAC_4weeks_reviews_in_timescales)</f>
        <v/>
      </c>
      <c r="AH223" s="248" t="str">
        <f>IF(Year4_West_Berkshire Year4_LAC_4weeks_reviews_in_timescales="","",Year4_West_Berkshire Year4_LAC_4weeks_reviews_in_timescales)</f>
        <v/>
      </c>
      <c r="AI223" s="352" t="str">
        <f>IF(Year5_West_Berkshire Year5_LAC_4weeks_reviews_in_timescales="","",Year5_West_Berkshire Year5_LAC_4weeks_reviews_in_timescales)</f>
        <v/>
      </c>
      <c r="AJ223" s="121"/>
    </row>
    <row r="224" spans="1:44" s="61" customFormat="1" ht="12.75" hidden="1" customHeight="1" thickBot="1">
      <c r="A224" s="306" t="e">
        <f>VLOOKUP(B224,ReportData!$AQ$4:$AR$25,2,FALSE)</f>
        <v>#REF!</v>
      </c>
      <c r="B224" s="65" t="e">
        <f>#REF!</f>
        <v>#REF!</v>
      </c>
      <c r="C224" s="59"/>
      <c r="D224" s="123" t="e">
        <f t="shared" si="72"/>
        <v>#N/A</v>
      </c>
      <c r="E224" s="123" t="e">
        <f t="shared" si="72"/>
        <v>#N/A</v>
      </c>
      <c r="F224" s="123" t="e">
        <f t="shared" si="72"/>
        <v>#N/A</v>
      </c>
      <c r="G224" s="123" t="e">
        <f t="shared" si="73"/>
        <v>#N/A</v>
      </c>
      <c r="H224" s="125" t="e">
        <f t="shared" si="74"/>
        <v>#N/A</v>
      </c>
      <c r="I224" s="68"/>
      <c r="J224" s="68"/>
      <c r="K224" s="127"/>
      <c r="L224" s="127"/>
      <c r="M224" s="127"/>
      <c r="N224" s="127"/>
      <c r="O224" s="127"/>
      <c r="P224" s="127"/>
      <c r="Q224" s="127"/>
      <c r="R224" s="128"/>
      <c r="S224" s="120"/>
      <c r="T224" s="127"/>
      <c r="U224" s="89"/>
      <c r="V224" s="103"/>
      <c r="W224" s="115"/>
      <c r="X224" s="263" t="str">
        <f t="shared" si="69"/>
        <v>West Sussex</v>
      </c>
      <c r="Y224" s="307" t="str">
        <f>IF(Year1_West_Sussex Year1_LAC_4weeks="","",Year1_West_Sussex Year1_LAC_4weeks)</f>
        <v/>
      </c>
      <c r="Z224" s="248" t="str">
        <f>IF(Year2_West_Sussex Year2_LAC_4weeks="","",Year2_West_Sussex Year2_LAC_4weeks)</f>
        <v/>
      </c>
      <c r="AA224" s="248" t="str">
        <f>IF(Year3_West_Sussex Year3_LAC_4weeks="","",Year3_West_Sussex Year3_LAC_4weeks)</f>
        <v/>
      </c>
      <c r="AB224" s="248" t="str">
        <f>IF(Year4_West_Sussex Year4_LAC_4weeks="","",Year4_West_Sussex Year4_LAC_4weeks)</f>
        <v/>
      </c>
      <c r="AC224" s="352" t="str">
        <f>IF(Year5_West_Sussex Year5_LAC_4weeks="","",Year5_West_Sussex Year5_LAC_4weeks)</f>
        <v/>
      </c>
      <c r="AD224" s="263" t="str">
        <f t="shared" si="70"/>
        <v>West Sussex</v>
      </c>
      <c r="AE224" s="307" t="str">
        <f>IF(Year1_West_Sussex Year1_LAC_4weeks_reviews_in_timescales="","",Year1_West_Sussex Year1_LAC_4weeks_reviews_in_timescales)</f>
        <v/>
      </c>
      <c r="AF224" s="248" t="str">
        <f>IF(Year2_West_Sussex Year2_LAC_4weeks_reviews_in_timescales="","",Year2_West_Sussex Year2_LAC_4weeks_reviews_in_timescales)</f>
        <v/>
      </c>
      <c r="AG224" s="248" t="str">
        <f>IF(Year3_West_Sussex Year3_LAC_4weeks_reviews_in_timescales="","",Year3_West_Sussex Year3_LAC_4weeks_reviews_in_timescales)</f>
        <v/>
      </c>
      <c r="AH224" s="248" t="str">
        <f>IF(Year4_West_Sussex Year4_LAC_4weeks_reviews_in_timescales="","",Year4_West_Sussex Year4_LAC_4weeks_reviews_in_timescales)</f>
        <v/>
      </c>
      <c r="AI224" s="352" t="str">
        <f>IF(Year5_West_Sussex Year5_LAC_4weeks_reviews_in_timescales="","",Year5_West_Sussex Year5_LAC_4weeks_reviews_in_timescales)</f>
        <v/>
      </c>
      <c r="AJ224" s="121"/>
    </row>
    <row r="225" spans="1:76" s="61" customFormat="1" ht="12.75" hidden="1" customHeight="1" thickBot="1">
      <c r="A225" s="306">
        <f>VLOOKUP(B225,ReportData!$AQ$4:$AR$25,2,FALSE)</f>
        <v>0</v>
      </c>
      <c r="B225" s="65" t="str">
        <f t="shared" ref="B225:B230" si="75">B190</f>
        <v>West Berkshire</v>
      </c>
      <c r="C225" s="59"/>
      <c r="D225" s="123" t="e">
        <f t="shared" si="72"/>
        <v>#N/A</v>
      </c>
      <c r="E225" s="123" t="e">
        <f t="shared" si="72"/>
        <v>#N/A</v>
      </c>
      <c r="F225" s="123" t="e">
        <f t="shared" si="72"/>
        <v>#N/A</v>
      </c>
      <c r="G225" s="123" t="e">
        <f t="shared" si="73"/>
        <v>#N/A</v>
      </c>
      <c r="H225" s="125" t="e">
        <f t="shared" si="74"/>
        <v>#N/A</v>
      </c>
      <c r="I225" s="68"/>
      <c r="J225" s="68"/>
      <c r="K225" s="127"/>
      <c r="L225" s="127"/>
      <c r="M225" s="127"/>
      <c r="N225" s="127"/>
      <c r="O225" s="127"/>
      <c r="P225" s="127"/>
      <c r="Q225" s="127"/>
      <c r="R225" s="128"/>
      <c r="S225" s="120"/>
      <c r="T225" s="127"/>
      <c r="U225" s="89"/>
      <c r="V225" s="103"/>
      <c r="W225" s="115"/>
      <c r="X225" s="263" t="str">
        <f t="shared" si="69"/>
        <v>Windsor &amp; Maidenhead</v>
      </c>
      <c r="Y225" s="307" t="str">
        <f>IF(Year1_Windsor_and_Maidenhead Year1_LAC_4weeks="","",Year1_Windsor_and_Maidenhead Year1_LAC_4weeks)</f>
        <v/>
      </c>
      <c r="Z225" s="248" t="str">
        <f>IF(Year2_Windsor_and_Maidenhead Year2_LAC_4weeks="","",Year2_Windsor_and_Maidenhead Year2_LAC_4weeks)</f>
        <v/>
      </c>
      <c r="AA225" s="248" t="str">
        <f>IF(Year3_Windsor_and_Maidenhead Year3_LAC_4weeks="","",Year3_Windsor_and_Maidenhead Year3_LAC_4weeks)</f>
        <v/>
      </c>
      <c r="AB225" s="248" t="str">
        <f>IF(Year4_Windsor_and_Maidenhead Year4_LAC_4weeks="","",Year4_Windsor_and_Maidenhead Year4_LAC_4weeks)</f>
        <v/>
      </c>
      <c r="AC225" s="352" t="str">
        <f>IF(Year5_Windsor_and_Maidenhead Year5_LAC_4weeks="","",Year5_Windsor_and_Maidenhead Year5_LAC_4weeks)</f>
        <v/>
      </c>
      <c r="AD225" s="263" t="str">
        <f t="shared" si="70"/>
        <v>Windsor &amp; Maidenhead</v>
      </c>
      <c r="AE225" s="307" t="str">
        <f>IF(Year1_Windsor_and_Maidenhead Year1_LAC_4weeks_reviews_in_timescales="","",Year1_Windsor_and_Maidenhead Year1_LAC_4weeks_reviews_in_timescales)</f>
        <v/>
      </c>
      <c r="AF225" s="248" t="str">
        <f>IF(Year2_Windsor_and_Maidenhead Year2_LAC_4weeks_reviews_in_timescales="","",Year2_Windsor_and_Maidenhead Year2_LAC_4weeks_reviews_in_timescales)</f>
        <v/>
      </c>
      <c r="AG225" s="248" t="str">
        <f>IF(Year3_Windsor_and_Maidenhead Year3_LAC_4weeks_reviews_in_timescales="","",Year3_Windsor_and_Maidenhead Year3_LAC_4weeks_reviews_in_timescales)</f>
        <v/>
      </c>
      <c r="AH225" s="248" t="str">
        <f>IF(Year4_Windsor_and_Maidenhead Year4_LAC_4weeks_reviews_in_timescales="","",Year4_Windsor_and_Maidenhead Year4_LAC_4weeks_reviews_in_timescales)</f>
        <v/>
      </c>
      <c r="AI225" s="352" t="str">
        <f>IF(Year5_Windsor_and_Maidenhead Year5_LAC_4weeks_reviews_in_timescales="","",Year5_Windsor_and_Maidenhead Year5_LAC_4weeks_reviews_in_timescales)</f>
        <v/>
      </c>
      <c r="AJ225" s="121"/>
    </row>
    <row r="226" spans="1:76" s="61" customFormat="1" ht="12.75" hidden="1" customHeight="1" thickBot="1">
      <c r="A226" s="306">
        <f>VLOOKUP(B226,ReportData!$AQ$4:$AR$25,2,FALSE)</f>
        <v>0</v>
      </c>
      <c r="B226" s="65" t="str">
        <f t="shared" si="75"/>
        <v>West Sussex</v>
      </c>
      <c r="C226" s="59"/>
      <c r="D226" s="123" t="e">
        <f t="shared" si="72"/>
        <v>#N/A</v>
      </c>
      <c r="E226" s="123" t="e">
        <f t="shared" si="72"/>
        <v>#N/A</v>
      </c>
      <c r="F226" s="123" t="e">
        <f t="shared" si="72"/>
        <v>#N/A</v>
      </c>
      <c r="G226" s="123" t="e">
        <f t="shared" si="73"/>
        <v>#N/A</v>
      </c>
      <c r="H226" s="125" t="e">
        <f t="shared" si="74"/>
        <v>#N/A</v>
      </c>
      <c r="I226" s="68"/>
      <c r="J226" s="68"/>
      <c r="K226" s="127"/>
      <c r="L226" s="127"/>
      <c r="M226" s="127"/>
      <c r="N226" s="127"/>
      <c r="O226" s="127"/>
      <c r="P226" s="127"/>
      <c r="Q226" s="127"/>
      <c r="R226" s="128"/>
      <c r="S226" s="120"/>
      <c r="T226" s="127"/>
      <c r="U226" s="89"/>
      <c r="V226" s="103"/>
      <c r="W226" s="115"/>
      <c r="X226" s="263" t="str">
        <f t="shared" si="69"/>
        <v>Wokingham</v>
      </c>
      <c r="Y226" s="307" t="str">
        <f>IF(Year1_Wokingham Year1_LAC_4weeks="","",Year1_Wokingham Year1_LAC_4weeks)</f>
        <v/>
      </c>
      <c r="Z226" s="248" t="str">
        <f>IF(Year2_Wokingham Year2_LAC_4weeks="","",Year2_Wokingham Year2_LAC_4weeks)</f>
        <v/>
      </c>
      <c r="AA226" s="248" t="str">
        <f>IF(Year3_Wokingham Year3_LAC_4weeks="","",Year3_Wokingham Year3_LAC_4weeks)</f>
        <v/>
      </c>
      <c r="AB226" s="248" t="str">
        <f>IF(Year4_Wokingham Year4_LAC_4weeks="","",Year4_Wokingham Year4_LAC_4weeks)</f>
        <v/>
      </c>
      <c r="AC226" s="352" t="str">
        <f>IF(Year5_Wokingham Year5_LAC_4weeks="","",Year5_Wokingham Year5_LAC_4weeks)</f>
        <v/>
      </c>
      <c r="AD226" s="263" t="str">
        <f t="shared" si="70"/>
        <v>Wokingham</v>
      </c>
      <c r="AE226" s="307" t="str">
        <f>IF(Year1_Wokingham Year1_LAC_4weeks_reviews_in_timescales="","",Year1_Wokingham Year1_LAC_4weeks_reviews_in_timescales)</f>
        <v/>
      </c>
      <c r="AF226" s="248" t="str">
        <f>IF(Year2_Wokingham Year2_LAC_4weeks_reviews_in_timescales="","",Year2_Wokingham Year2_LAC_4weeks_reviews_in_timescales)</f>
        <v/>
      </c>
      <c r="AG226" s="248" t="str">
        <f>IF(Year3_Wokingham Year3_LAC_4weeks_reviews_in_timescales="","",Year3_Wokingham Year3_LAC_4weeks_reviews_in_timescales)</f>
        <v/>
      </c>
      <c r="AH226" s="248" t="str">
        <f>IF(Year4_Wokingham Year4_LAC_4weeks_reviews_in_timescales="","",Year4_Wokingham Year4_LAC_4weeks_reviews_in_timescales)</f>
        <v/>
      </c>
      <c r="AI226" s="352" t="str">
        <f>IF(Year5_Wokingham Year5_LAC_4weeks_reviews_in_timescales="","",Year5_Wokingham Year5_LAC_4weeks_reviews_in_timescales)</f>
        <v/>
      </c>
      <c r="AJ226" s="121"/>
    </row>
    <row r="227" spans="1:76" s="61" customFormat="1" ht="12.75" hidden="1" customHeight="1" thickBot="1">
      <c r="A227" s="306">
        <f>VLOOKUP(B227,ReportData!$AQ$4:$AR$25,2,FALSE)</f>
        <v>0</v>
      </c>
      <c r="B227" s="65" t="str">
        <f t="shared" si="75"/>
        <v>Windsor &amp; Maidenhead</v>
      </c>
      <c r="C227" s="59"/>
      <c r="D227" s="123" t="e">
        <f t="shared" si="72"/>
        <v>#N/A</v>
      </c>
      <c r="E227" s="123" t="e">
        <f t="shared" si="72"/>
        <v>#N/A</v>
      </c>
      <c r="F227" s="123" t="e">
        <f t="shared" si="72"/>
        <v>#N/A</v>
      </c>
      <c r="G227" s="123" t="e">
        <f t="shared" si="73"/>
        <v>#N/A</v>
      </c>
      <c r="H227" s="125" t="e">
        <f t="shared" si="74"/>
        <v>#N/A</v>
      </c>
      <c r="I227" s="68"/>
      <c r="J227" s="68"/>
      <c r="K227" s="127"/>
      <c r="L227" s="127"/>
      <c r="M227" s="127"/>
      <c r="N227" s="127"/>
      <c r="O227" s="127"/>
      <c r="P227" s="127"/>
      <c r="Q227" s="127"/>
      <c r="R227" s="128"/>
      <c r="S227" s="120"/>
      <c r="T227" s="127"/>
      <c r="U227" s="89"/>
      <c r="V227" s="103"/>
      <c r="W227" s="115"/>
      <c r="X227" s="263" t="str">
        <f t="shared" si="69"/>
        <v>South East</v>
      </c>
      <c r="Y227" s="248" t="str">
        <f>IF(Year1_South_East Year1_LAC_4weeks="","",Year1_South_East Year1_LAC_4weeks)</f>
        <v/>
      </c>
      <c r="Z227" s="248" t="str">
        <f>IF(Year2_South_East Year2_LAC_4weeks="","",Year2_South_East Year2_LAC_4weeks)</f>
        <v/>
      </c>
      <c r="AA227" s="248" t="str">
        <f>IF(Year3_South_East Year3_LAC_4weeks="","",Year3_South_East Year3_LAC_4weeks)</f>
        <v/>
      </c>
      <c r="AB227" s="248" t="str">
        <f>IF(Year4_South_East Year4_LAC_4weeks="","",Year4_South_East Year4_LAC_4weeks)</f>
        <v/>
      </c>
      <c r="AC227" s="352" t="str">
        <f>IF(Year5_South_East Year5_LAC_4weeks="","",Year5_South_East Year5_LAC_4weeks)</f>
        <v/>
      </c>
      <c r="AD227" s="263" t="str">
        <f t="shared" si="70"/>
        <v>South East</v>
      </c>
      <c r="AE227" s="248" t="str">
        <f>IF(Year1_South_East Year1_LAC_4weeks_reviews_in_timescales="","",Year1_South_East Year1_LAC_4weeks_reviews_in_timescales)</f>
        <v/>
      </c>
      <c r="AF227" s="248" t="str">
        <f>IF(Year2_South_East Year2_LAC_4weeks_reviews_in_timescales="","",Year2_South_East Year2_LAC_4weeks_reviews_in_timescales)</f>
        <v/>
      </c>
      <c r="AG227" s="248" t="str">
        <f>IF(Year3_South_East Year3_LAC_4weeks_reviews_in_timescales="","",Year3_South_East Year3_LAC_4weeks_reviews_in_timescales)</f>
        <v/>
      </c>
      <c r="AH227" s="248" t="str">
        <f>IF(Year4_South_East Year4_LAC_4weeks_reviews_in_timescales="","",Year4_South_East Year4_LAC_4weeks_reviews_in_timescales)</f>
        <v/>
      </c>
      <c r="AI227" s="352" t="str">
        <f>IF(Year5_South_East Year5_LAC_4weeks_reviews_in_timescales="","",Year5_South_East Year5_LAC_4weeks_reviews_in_timescales)</f>
        <v/>
      </c>
      <c r="AJ227" s="121"/>
    </row>
    <row r="228" spans="1:76" s="61" customFormat="1" ht="12.75" hidden="1" customHeight="1" thickBot="1">
      <c r="A228" s="306">
        <f>VLOOKUP(B228,ReportData!$AQ$4:$AR$25,2,FALSE)</f>
        <v>0</v>
      </c>
      <c r="B228" s="65" t="str">
        <f t="shared" si="75"/>
        <v>Wokingham</v>
      </c>
      <c r="C228" s="59"/>
      <c r="D228" s="123" t="e">
        <f t="shared" si="72"/>
        <v>#N/A</v>
      </c>
      <c r="E228" s="123" t="e">
        <f t="shared" si="72"/>
        <v>#N/A</v>
      </c>
      <c r="F228" s="123" t="e">
        <f t="shared" si="72"/>
        <v>#N/A</v>
      </c>
      <c r="G228" s="123" t="e">
        <f t="shared" si="73"/>
        <v>#N/A</v>
      </c>
      <c r="H228" s="125" t="e">
        <f t="shared" si="74"/>
        <v>#N/A</v>
      </c>
      <c r="I228" s="68"/>
      <c r="J228" s="68"/>
      <c r="K228" s="127"/>
      <c r="L228" s="127"/>
      <c r="M228" s="127"/>
      <c r="N228" s="127"/>
      <c r="O228" s="127"/>
      <c r="P228" s="127"/>
      <c r="Q228" s="127"/>
      <c r="R228" s="128"/>
      <c r="S228" s="120"/>
      <c r="T228" s="127"/>
      <c r="U228" s="89"/>
      <c r="V228" s="103"/>
      <c r="W228" s="115"/>
      <c r="X228" s="263" t="str">
        <f t="shared" si="69"/>
        <v>England</v>
      </c>
      <c r="Y228" s="248" t="str">
        <f>IF(Year1_England Year1_LAC_4weeks="","",Year1_England Year1_LAC_4weeks)</f>
        <v/>
      </c>
      <c r="Z228" s="248" t="str">
        <f>IF(Year2_England Year2_LAC_4weeks="","",Year2_England Year2_LAC_4weeks)</f>
        <v/>
      </c>
      <c r="AA228" s="248" t="str">
        <f>IF(Year3_England Year3_LAC_4weeks="","",Year3_England Year3_LAC_4weeks)</f>
        <v/>
      </c>
      <c r="AB228" s="248" t="str">
        <f>IF(Year4_England Year4_LAC_4weeks="","",Year4_England Year4_LAC_4weeks)</f>
        <v/>
      </c>
      <c r="AC228" s="352" t="str">
        <f>IF(Year5_England Year5_LAC_4weeks="","",Year5_England Year5_LAC_4weeks)</f>
        <v/>
      </c>
      <c r="AD228" s="263" t="str">
        <f t="shared" si="70"/>
        <v>England</v>
      </c>
      <c r="AE228" s="248" t="str">
        <f>IF(Year1_England Year1_LAC_4weeks_reviews_in_timescales="","",Year1_England Year1_LAC_4weeks_reviews_in_timescales)</f>
        <v/>
      </c>
      <c r="AF228" s="248" t="str">
        <f>IF(Year2_England Year2_LAC_4weeks_reviews_in_timescales="","",Year2_England Year2_LAC_4weeks_reviews_in_timescales)</f>
        <v/>
      </c>
      <c r="AG228" s="248" t="str">
        <f>IF(Year3_England Year3_LAC_4weeks_reviews_in_timescales="","",Year3_England Year3_LAC_4weeks_reviews_in_timescales)</f>
        <v/>
      </c>
      <c r="AH228" s="248" t="str">
        <f>IF(Year4_England Year4_LAC_4weeks_reviews_in_timescales="","",Year4_England Year4_LAC_4weeks_reviews_in_timescales)</f>
        <v/>
      </c>
      <c r="AI228" s="352" t="str">
        <f>IF(Year5_England Year5_LAC_4weeks_reviews_in_timescales="","",Year5_England Year5_LAC_4weeks_reviews_in_timescales)</f>
        <v/>
      </c>
      <c r="AJ228" s="121"/>
    </row>
    <row r="229" spans="1:76" s="61" customFormat="1" ht="12.75" hidden="1" customHeight="1" thickBot="1">
      <c r="A229" s="88"/>
      <c r="B229" s="96" t="str">
        <f t="shared" si="75"/>
        <v>South East</v>
      </c>
      <c r="C229" s="59"/>
      <c r="D229" s="124" t="e">
        <f t="shared" si="72"/>
        <v>#N/A</v>
      </c>
      <c r="E229" s="124" t="e">
        <f t="shared" si="72"/>
        <v>#N/A</v>
      </c>
      <c r="F229" s="124" t="e">
        <f t="shared" si="72"/>
        <v>#N/A</v>
      </c>
      <c r="G229" s="124" t="e">
        <f t="shared" si="73"/>
        <v>#N/A</v>
      </c>
      <c r="H229" s="126" t="e">
        <f t="shared" si="74"/>
        <v>#N/A</v>
      </c>
      <c r="I229" s="68"/>
      <c r="J229" s="68"/>
      <c r="K229" s="129"/>
      <c r="L229" s="129"/>
      <c r="M229" s="129"/>
      <c r="N229" s="129"/>
      <c r="O229" s="129"/>
      <c r="P229" s="129"/>
      <c r="Q229" s="129"/>
      <c r="R229" s="130"/>
      <c r="S229" s="120"/>
      <c r="T229" s="131"/>
      <c r="U229" s="89"/>
      <c r="V229" s="103"/>
      <c r="W229" s="115"/>
      <c r="X229" s="56"/>
      <c r="Y229" s="56"/>
      <c r="Z229" s="146"/>
      <c r="AA229" s="146"/>
      <c r="AB229" s="147"/>
      <c r="AC229" s="56"/>
      <c r="AD229" s="56"/>
      <c r="AE229" s="56"/>
      <c r="AF229" s="56"/>
      <c r="AG229" s="56"/>
      <c r="AH229" s="56"/>
      <c r="AI229" s="52"/>
      <c r="AJ229" s="121"/>
    </row>
    <row r="230" spans="1:76" s="61" customFormat="1" ht="12.75" hidden="1" customHeight="1" thickBot="1">
      <c r="A230" s="88"/>
      <c r="B230" s="231" t="str">
        <f t="shared" si="75"/>
        <v>England</v>
      </c>
      <c r="C230" s="59"/>
      <c r="D230" s="309" t="e">
        <f t="shared" si="72"/>
        <v>#N/A</v>
      </c>
      <c r="E230" s="309" t="e">
        <f t="shared" si="72"/>
        <v>#N/A</v>
      </c>
      <c r="F230" s="309" t="e">
        <f t="shared" si="72"/>
        <v>#N/A</v>
      </c>
      <c r="G230" s="309" t="e">
        <f t="shared" si="73"/>
        <v>#N/A</v>
      </c>
      <c r="H230" s="308" t="e">
        <f t="shared" si="74"/>
        <v>#N/A</v>
      </c>
      <c r="I230" s="68"/>
      <c r="J230" s="68"/>
      <c r="K230" s="129"/>
      <c r="L230" s="129"/>
      <c r="M230" s="129"/>
      <c r="N230" s="129"/>
      <c r="O230" s="129"/>
      <c r="P230" s="129"/>
      <c r="Q230" s="129"/>
      <c r="R230" s="130"/>
      <c r="S230" s="120"/>
      <c r="T230" s="131"/>
      <c r="U230" s="89"/>
      <c r="V230" s="103"/>
      <c r="W230" s="114"/>
      <c r="X230" s="56"/>
      <c r="Y230" s="56"/>
      <c r="Z230" s="56"/>
      <c r="AA230" s="56"/>
      <c r="AB230" s="56"/>
      <c r="AC230" s="147"/>
      <c r="AD230" s="149"/>
      <c r="AE230" s="52"/>
      <c r="AF230" s="52"/>
      <c r="AG230" s="52"/>
      <c r="AH230" s="56"/>
      <c r="AI230" s="52"/>
      <c r="AJ230" s="122"/>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row>
    <row r="231" spans="1:76" s="61" customFormat="1" ht="7.5" hidden="1" customHeight="1" thickBot="1">
      <c r="A231" s="217"/>
      <c r="B231" s="68"/>
      <c r="C231" s="68"/>
      <c r="D231" s="68"/>
      <c r="E231" s="68"/>
      <c r="F231" s="68"/>
      <c r="G231" s="68"/>
      <c r="H231" s="68"/>
      <c r="I231" s="68"/>
      <c r="J231" s="68"/>
      <c r="K231" s="129"/>
      <c r="L231" s="129"/>
      <c r="M231" s="129"/>
      <c r="N231" s="129"/>
      <c r="O231" s="129"/>
      <c r="P231" s="129"/>
      <c r="Q231" s="129"/>
      <c r="R231" s="130"/>
      <c r="S231" s="120"/>
      <c r="T231" s="131"/>
      <c r="U231" s="89"/>
      <c r="V231" s="103"/>
      <c r="W231" s="114"/>
      <c r="X231" s="56"/>
      <c r="Y231" s="141"/>
      <c r="Z231" s="56"/>
      <c r="AA231" s="56"/>
      <c r="AB231" s="56"/>
      <c r="AC231" s="56"/>
      <c r="AD231" s="149"/>
      <c r="AE231" s="52"/>
      <c r="AF231" s="52"/>
      <c r="AG231" s="52"/>
      <c r="AH231" s="56"/>
      <c r="AI231" s="52"/>
      <c r="AJ231" s="122"/>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row>
    <row r="232" spans="1:76" s="56" customFormat="1" ht="51" hidden="1" customHeight="1" thickBot="1">
      <c r="A232" s="166"/>
      <c r="B232" s="171"/>
      <c r="C232" s="171"/>
      <c r="D232" s="171"/>
      <c r="E232" s="171"/>
      <c r="F232" s="171"/>
      <c r="G232" s="171"/>
      <c r="H232" s="171"/>
      <c r="I232" s="171"/>
      <c r="J232" s="133"/>
      <c r="K232" s="133"/>
      <c r="L232" s="133"/>
      <c r="M232" s="133"/>
      <c r="N232" s="133"/>
      <c r="O232" s="133"/>
      <c r="P232" s="133"/>
      <c r="Q232" s="133"/>
      <c r="R232" s="101"/>
      <c r="S232" s="133"/>
      <c r="T232" s="133"/>
      <c r="U232" s="86"/>
      <c r="V232" s="102"/>
      <c r="W232" s="114"/>
      <c r="Y232" s="141"/>
      <c r="AD232" s="149"/>
      <c r="AE232" s="52"/>
      <c r="AF232" s="52"/>
      <c r="AG232" s="52"/>
      <c r="AI232" s="52"/>
      <c r="AJ232" s="122"/>
    </row>
    <row r="233" spans="1:76" s="56" customFormat="1" ht="39" hidden="1" customHeight="1" thickBot="1">
      <c r="A233" s="166"/>
      <c r="B233" s="171"/>
      <c r="C233" s="171"/>
      <c r="D233" s="171"/>
      <c r="E233" s="171"/>
      <c r="F233" s="171"/>
      <c r="G233" s="171"/>
      <c r="H233" s="171"/>
      <c r="I233" s="171"/>
      <c r="J233" s="133"/>
      <c r="K233" s="133"/>
      <c r="L233" s="133"/>
      <c r="M233" s="133"/>
      <c r="N233" s="133"/>
      <c r="O233" s="133"/>
      <c r="P233" s="133"/>
      <c r="Q233" s="133"/>
      <c r="R233" s="101"/>
      <c r="S233" s="133"/>
      <c r="T233" s="133"/>
      <c r="U233" s="86"/>
      <c r="V233" s="102"/>
      <c r="W233" s="114"/>
      <c r="Y233" s="141"/>
      <c r="AI233" s="52"/>
      <c r="AJ233" s="119"/>
      <c r="AK233" s="52"/>
      <c r="AL233" s="52"/>
      <c r="AM233" s="52"/>
      <c r="AN233" s="52"/>
      <c r="AO233" s="52"/>
      <c r="AP233" s="52"/>
      <c r="AQ233" s="52"/>
    </row>
    <row r="234" spans="1:76" s="56" customFormat="1" ht="51" hidden="1" customHeight="1" thickBot="1">
      <c r="A234" s="166"/>
      <c r="B234" s="171"/>
      <c r="C234" s="171"/>
      <c r="D234" s="171"/>
      <c r="E234" s="171"/>
      <c r="F234" s="171"/>
      <c r="G234" s="171"/>
      <c r="H234" s="171"/>
      <c r="I234" s="171"/>
      <c r="J234" s="133"/>
      <c r="K234" s="133"/>
      <c r="L234" s="133"/>
      <c r="M234" s="133"/>
      <c r="N234" s="133"/>
      <c r="O234" s="133"/>
      <c r="P234" s="133"/>
      <c r="Q234" s="133"/>
      <c r="R234" s="101"/>
      <c r="S234" s="133"/>
      <c r="T234" s="133"/>
      <c r="U234" s="86"/>
      <c r="V234" s="102"/>
      <c r="W234" s="114"/>
      <c r="AJ234" s="122"/>
      <c r="AS234" s="52"/>
    </row>
    <row r="235" spans="1:76" s="56" customFormat="1" ht="7.5" hidden="1" customHeight="1" thickBot="1">
      <c r="A235" s="87"/>
      <c r="B235" s="12"/>
      <c r="C235" s="12"/>
      <c r="D235" s="11"/>
      <c r="E235" s="11"/>
      <c r="F235" s="11"/>
      <c r="G235" s="11"/>
      <c r="H235" s="11"/>
      <c r="I235" s="11"/>
      <c r="J235" s="1"/>
      <c r="K235" s="13"/>
      <c r="L235" s="13"/>
      <c r="M235" s="13"/>
      <c r="N235" s="13"/>
      <c r="O235" s="13"/>
      <c r="P235" s="13"/>
      <c r="Q235" s="13"/>
      <c r="R235" s="13"/>
      <c r="S235" s="13"/>
      <c r="T235" s="14"/>
      <c r="U235" s="86"/>
      <c r="V235" s="102"/>
      <c r="W235" s="114"/>
      <c r="AI235" s="52"/>
      <c r="AJ235" s="121"/>
      <c r="AK235" s="61"/>
      <c r="AS235" s="52"/>
    </row>
    <row r="236" spans="1:76" s="56" customFormat="1" ht="15" hidden="1" customHeight="1" thickBot="1">
      <c r="A236" s="1565"/>
      <c r="B236" s="1751"/>
      <c r="C236" s="1751"/>
      <c r="D236" s="1751"/>
      <c r="E236" s="1751"/>
      <c r="F236" s="1751"/>
      <c r="G236" s="1751"/>
      <c r="H236" s="1751"/>
      <c r="I236" s="1751"/>
      <c r="J236" s="1751"/>
      <c r="K236" s="1751"/>
      <c r="L236" s="1751"/>
      <c r="M236" s="1751"/>
      <c r="N236" s="1751"/>
      <c r="O236" s="1751"/>
      <c r="P236" s="1751"/>
      <c r="Q236" s="1751"/>
      <c r="R236" s="1751"/>
      <c r="S236" s="1751"/>
      <c r="T236" s="1751"/>
      <c r="U236" s="1752"/>
      <c r="V236" s="102"/>
      <c r="W236" s="114"/>
      <c r="X236" s="148"/>
      <c r="Y236" s="146"/>
      <c r="Z236" s="52"/>
      <c r="AI236" s="52"/>
      <c r="AJ236" s="121"/>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row>
    <row r="237" spans="1:76" s="56" customFormat="1" ht="11.25" hidden="1" customHeight="1" thickBot="1">
      <c r="A237" s="1739" t="e">
        <f>Home!#REF!</f>
        <v>#REF!</v>
      </c>
      <c r="B237" s="1740"/>
      <c r="C237" s="1740"/>
      <c r="D237" s="1740"/>
      <c r="E237" s="1740"/>
      <c r="F237" s="1740"/>
      <c r="G237" s="1740"/>
      <c r="H237" s="1740"/>
      <c r="I237" s="1741"/>
      <c r="J237" s="1740"/>
      <c r="K237" s="1740"/>
      <c r="L237" s="1740"/>
      <c r="M237" s="1740"/>
      <c r="N237" s="1740"/>
      <c r="O237" s="1740"/>
      <c r="P237" s="1742"/>
      <c r="Q237" s="1740"/>
      <c r="R237" s="1740"/>
      <c r="S237" s="1741"/>
      <c r="T237" s="1740"/>
      <c r="U237" s="1743"/>
      <c r="V237" s="102"/>
      <c r="W237" s="114"/>
      <c r="X237" s="249" t="s">
        <v>161</v>
      </c>
      <c r="Y237" s="250"/>
      <c r="Z237" s="251"/>
      <c r="AA237" s="251"/>
      <c r="AB237" s="251"/>
      <c r="AD237" s="442" t="s">
        <v>679</v>
      </c>
      <c r="AI237" s="52"/>
      <c r="AJ237" s="121"/>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row>
    <row r="238" spans="1:76" ht="10.5" customHeight="1" thickBot="1">
      <c r="A238" s="81"/>
      <c r="B238" s="82"/>
      <c r="C238" s="82"/>
      <c r="D238" s="82"/>
      <c r="E238" s="82"/>
      <c r="F238" s="82"/>
      <c r="G238" s="82"/>
      <c r="H238" s="82"/>
      <c r="I238" s="82"/>
      <c r="J238" s="83"/>
      <c r="K238" s="82"/>
      <c r="L238" s="82"/>
      <c r="M238" s="82"/>
      <c r="N238" s="82"/>
      <c r="O238" s="82"/>
      <c r="P238" s="82"/>
      <c r="Q238" s="82"/>
      <c r="R238" s="82"/>
      <c r="S238" s="82"/>
      <c r="T238" s="82"/>
      <c r="U238" s="84"/>
      <c r="V238" s="102"/>
      <c r="W238" s="114"/>
      <c r="X238" s="251"/>
      <c r="Y238" s="250"/>
      <c r="Z238" s="251"/>
      <c r="AA238" s="251"/>
      <c r="AB238" s="251"/>
      <c r="AJ238" s="121"/>
    </row>
    <row r="239" spans="1:76" ht="18.75" customHeight="1">
      <c r="A239" s="87"/>
      <c r="B239" s="1886" t="str">
        <f>"Children Looked After"&amp;Y1&amp;" who were UASC [RIIA219]"</f>
        <v>Children Looked After at 31st March who were UASC [RIIA219]</v>
      </c>
      <c r="C239" s="1886"/>
      <c r="D239" s="1886"/>
      <c r="E239" s="1886"/>
      <c r="F239" s="1886"/>
      <c r="G239" s="1886"/>
      <c r="H239" s="1886"/>
      <c r="I239" s="76"/>
      <c r="J239" s="50"/>
      <c r="K239" s="50"/>
      <c r="L239" s="50"/>
      <c r="M239" s="50"/>
      <c r="N239" s="224"/>
      <c r="O239" s="50"/>
      <c r="P239" s="50"/>
      <c r="Q239" s="50"/>
      <c r="R239" s="50"/>
      <c r="S239" s="50"/>
      <c r="T239" s="50"/>
      <c r="U239" s="86"/>
      <c r="V239" s="102"/>
      <c r="W239" s="114"/>
      <c r="X239" s="251"/>
      <c r="Y239" s="264" t="str">
        <f t="shared" ref="Y239:AC240" si="76">D241</f>
        <v>2019/20</v>
      </c>
      <c r="Z239" s="264" t="str">
        <f t="shared" si="76"/>
        <v>2020/21</v>
      </c>
      <c r="AA239" s="264" t="str">
        <f t="shared" si="76"/>
        <v>2021/22</v>
      </c>
      <c r="AB239" s="264" t="str">
        <f t="shared" si="76"/>
        <v>2022/23</v>
      </c>
      <c r="AC239" s="353" t="str">
        <f t="shared" si="76"/>
        <v>2023/24</v>
      </c>
      <c r="AD239" s="461" t="str">
        <f>IF(ReportData!$C$3="Annual","",ReportData!$D$28)</f>
        <v/>
      </c>
      <c r="AE239" s="462" t="str">
        <f>IF(ReportData!$C$3="Annual","",ReportData!$E$28)</f>
        <v/>
      </c>
      <c r="AF239" s="462" t="str">
        <f>IF(ReportData!$C$3="Annual","",ReportData!$F$28)</f>
        <v/>
      </c>
      <c r="AG239" s="462" t="str">
        <f>IF(ReportData!$C$3="Annual","",ReportData!$G$28)</f>
        <v/>
      </c>
      <c r="AH239" s="463" t="str">
        <f>IF(ReportData!$C$3="Annual","",ReportData!$H$28)</f>
        <v/>
      </c>
      <c r="AJ239" s="121"/>
    </row>
    <row r="240" spans="1:76" ht="18.75" customHeight="1" thickBot="1">
      <c r="A240" s="87"/>
      <c r="B240" s="1886"/>
      <c r="C240" s="1886"/>
      <c r="D240" s="1886"/>
      <c r="E240" s="1886"/>
      <c r="F240" s="1886"/>
      <c r="G240" s="1886"/>
      <c r="H240" s="1886"/>
      <c r="I240" s="76"/>
      <c r="J240" s="50"/>
      <c r="K240" s="50"/>
      <c r="L240" s="50"/>
      <c r="M240" s="50"/>
      <c r="N240" s="224"/>
      <c r="O240" s="50"/>
      <c r="P240" s="50"/>
      <c r="Q240" s="50"/>
      <c r="R240" s="5"/>
      <c r="S240" s="50"/>
      <c r="T240" s="50"/>
      <c r="U240" s="86"/>
      <c r="V240" s="102"/>
      <c r="W240" s="115"/>
      <c r="X240" s="248"/>
      <c r="Y240" s="264" t="e">
        <f t="shared" si="76"/>
        <v>#N/A</v>
      </c>
      <c r="Z240" s="264" t="e">
        <f t="shared" si="76"/>
        <v>#N/A</v>
      </c>
      <c r="AA240" s="264" t="e">
        <f t="shared" si="76"/>
        <v>#N/A</v>
      </c>
      <c r="AB240" s="264" t="e">
        <f t="shared" si="76"/>
        <v>#N/A</v>
      </c>
      <c r="AC240" s="353" t="e">
        <f t="shared" si="76"/>
        <v>#N/A</v>
      </c>
      <c r="AD240" s="464" t="str">
        <f>ReportData!$D$27</f>
        <v>2019/20</v>
      </c>
      <c r="AE240" s="465" t="str">
        <f>ReportData!$E$27</f>
        <v>2020/21</v>
      </c>
      <c r="AF240" s="465" t="str">
        <f>ReportData!$F$27</f>
        <v>2021/22</v>
      </c>
      <c r="AG240" s="465" t="str">
        <f>ReportData!$G$27</f>
        <v>2022/23</v>
      </c>
      <c r="AH240" s="466" t="str">
        <f>ReportData!$H$27</f>
        <v>2023/24</v>
      </c>
      <c r="AJ240" s="12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row>
    <row r="241" spans="1:76" ht="18.75" customHeight="1">
      <c r="A241" s="427"/>
      <c r="B241" s="1749" t="s">
        <v>177</v>
      </c>
      <c r="C241" s="1175"/>
      <c r="D241" s="1088" t="str">
        <f>ReportData!$D$27</f>
        <v>2019/20</v>
      </c>
      <c r="E241" s="1088" t="str">
        <f>ReportData!$E$27</f>
        <v>2020/21</v>
      </c>
      <c r="F241" s="1088" t="str">
        <f>ReportData!$F$27</f>
        <v>2021/22</v>
      </c>
      <c r="G241" s="1088" t="str">
        <f>ReportData!$G$27</f>
        <v>2022/23</v>
      </c>
      <c r="H241" s="1089" t="str">
        <f>ReportData!$H$27</f>
        <v>2023/24</v>
      </c>
      <c r="I241" s="230"/>
      <c r="J241" s="50"/>
      <c r="K241" s="50"/>
      <c r="L241" s="50"/>
      <c r="M241" s="50"/>
      <c r="N241" s="224"/>
      <c r="O241" s="50"/>
      <c r="P241" s="50"/>
      <c r="Q241" s="50"/>
      <c r="R241" s="5"/>
      <c r="S241" s="50"/>
      <c r="T241" s="50"/>
      <c r="U241" s="86"/>
      <c r="V241" s="102"/>
      <c r="W241" s="115"/>
      <c r="X241" s="265" t="str">
        <f t="shared" ref="X241:X253" si="77">B243</f>
        <v>Bracknell Forest</v>
      </c>
      <c r="Y241" s="307">
        <f>IF(Year1_Bracknell_Forest Year1_LAC_UASC="","",Year1_Bracknell_Forest Year1_LAC_UASC)</f>
        <v>3</v>
      </c>
      <c r="Z241" s="248" t="str">
        <f>IF(Year2_Bracknell_Forest Year2_LAC_UASC="","",Year2_Bracknell_Forest Year2_LAC_UASC)</f>
        <v>x</v>
      </c>
      <c r="AA241" s="248">
        <f>IF(Year3_Bracknell_Forest Year3_LAC_UASC="","",Year3_Bracknell_Forest Year3_LAC_UASC)</f>
        <v>11</v>
      </c>
      <c r="AB241" s="248">
        <f>IF(Year4_Bracknell_Forest Year4_LAC_UASC="","",Year4_Bracknell_Forest Year4_LAC_UASC)</f>
        <v>32</v>
      </c>
      <c r="AC241" s="352">
        <f>IF(Year5_Bracknell_Forest Year5_LAC_UASC="","",Year5_Bracknell_Forest Year5_LAC_UASC)</f>
        <v>22</v>
      </c>
      <c r="AD241" s="307">
        <f t="shared" ref="AD241:AD259" si="78">IF(ISNUMBER(Y241),D11,0)</f>
        <v>142</v>
      </c>
      <c r="AE241" s="307">
        <f t="shared" ref="AE241:AE259" si="79">IF(ISNUMBER(Z241),E11,0)</f>
        <v>0</v>
      </c>
      <c r="AF241" s="307">
        <f t="shared" ref="AF241:AF259" si="80">IF(ISNUMBER(AA241),F11,0)</f>
        <v>137</v>
      </c>
      <c r="AG241" s="307">
        <f t="shared" ref="AG241:AG259" si="81">IF(ISNUMBER(AB241),G11,0)</f>
        <v>157</v>
      </c>
      <c r="AH241" s="307">
        <f t="shared" ref="AH241:AH259" si="82">IF(ISNUMBER(AC241),H11,0)</f>
        <v>140</v>
      </c>
      <c r="AJ241" s="12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row>
    <row r="242" spans="1:76" s="61" customFormat="1" ht="16.5" customHeight="1">
      <c r="A242" s="1148"/>
      <c r="B242" s="1750"/>
      <c r="C242" s="896"/>
      <c r="D242" s="897" t="e">
        <f>ReportData!$D$28</f>
        <v>#N/A</v>
      </c>
      <c r="E242" s="897" t="e">
        <f>ReportData!$E$28</f>
        <v>#N/A</v>
      </c>
      <c r="F242" s="897" t="e">
        <f>ReportData!$F$28</f>
        <v>#N/A</v>
      </c>
      <c r="G242" s="897" t="e">
        <f>ReportData!$G$28</f>
        <v>#N/A</v>
      </c>
      <c r="H242" s="920" t="e">
        <f>ReportData!$H$28</f>
        <v>#N/A</v>
      </c>
      <c r="I242" s="68"/>
      <c r="J242" s="68"/>
      <c r="K242" s="43"/>
      <c r="L242" s="43"/>
      <c r="M242" s="43"/>
      <c r="N242" s="43"/>
      <c r="O242" s="43"/>
      <c r="P242" s="43"/>
      <c r="Q242" s="225"/>
      <c r="R242" s="225"/>
      <c r="S242" s="120"/>
      <c r="T242" s="226"/>
      <c r="U242" s="89"/>
      <c r="V242" s="103"/>
      <c r="W242" s="115"/>
      <c r="X242" s="265" t="str">
        <f t="shared" si="77"/>
        <v>Brighton &amp; Hove</v>
      </c>
      <c r="Y242" s="307">
        <f>IF(Year1_Brighton_and_Hove Year1_LAC_UASC="","",Year1_Brighton_and_Hove Year1_LAC_UASC)</f>
        <v>32</v>
      </c>
      <c r="Z242" s="248">
        <f>IF(Year2_Brighton_and_Hove Year2_LAC_UASC="","",Year2_Brighton_and_Hove Year2_LAC_UASC)</f>
        <v>37</v>
      </c>
      <c r="AA242" s="248">
        <f>IF(Year3_Brighton_and_Hove Year3_LAC_UASC="","",Year3_Brighton_and_Hove Year3_LAC_UASC)</f>
        <v>42</v>
      </c>
      <c r="AB242" s="248">
        <f>IF(Year4_Brighton_and_Hove Year4_LAC_UASC="","",Year4_Brighton_and_Hove Year4_LAC_UASC)</f>
        <v>53</v>
      </c>
      <c r="AC242" s="352">
        <f>IF(Year5_Brighton_and_Hove Year5_LAC_UASC="","",Year5_Brighton_and_Hove Year5_LAC_UASC)</f>
        <v>51</v>
      </c>
      <c r="AD242" s="307">
        <f t="shared" si="78"/>
        <v>371</v>
      </c>
      <c r="AE242" s="307">
        <f t="shared" si="79"/>
        <v>373</v>
      </c>
      <c r="AF242" s="307">
        <f t="shared" si="80"/>
        <v>389</v>
      </c>
      <c r="AG242" s="307">
        <f t="shared" si="81"/>
        <v>345</v>
      </c>
      <c r="AH242" s="307">
        <f t="shared" si="82"/>
        <v>354</v>
      </c>
      <c r="AI242" s="52"/>
      <c r="AJ242" s="121"/>
    </row>
    <row r="243" spans="1:76" s="61" customFormat="1" ht="13.5" customHeight="1">
      <c r="A243" s="1103">
        <f>VLOOKUP(B243,ReportData!$AQ$4:$AR$25,2,FALSE)</f>
        <v>0</v>
      </c>
      <c r="B243" s="885" t="str">
        <f t="shared" ref="B243:B263" si="83">B175</f>
        <v>Bracknell Forest</v>
      </c>
      <c r="C243" s="896"/>
      <c r="D243" s="922">
        <f t="shared" ref="D243:D261" si="84">IF(AND(ISNUMBER(D11),ISNUMBER(Y241)),Y241/D11,NA())</f>
        <v>2.1126760563380281E-2</v>
      </c>
      <c r="E243" s="922" t="e">
        <f t="shared" ref="E243:E261" si="85">IF(AND(ISNUMBER(E11),ISNUMBER(Z241)),Z241/E11,NA())</f>
        <v>#N/A</v>
      </c>
      <c r="F243" s="922">
        <f t="shared" ref="F243:F261" si="86">IF(AND(ISNUMBER(F11),ISNUMBER(AA241)),AA241/F11,NA())</f>
        <v>8.0291970802919707E-2</v>
      </c>
      <c r="G243" s="922">
        <f t="shared" ref="G243:G261" si="87">IF(AND(ISNUMBER(G11),ISNUMBER(AB241)),AB241/G11,NA())</f>
        <v>0.20382165605095542</v>
      </c>
      <c r="H243" s="923">
        <f t="shared" ref="H243:H261" si="88">IF(AND(ISNUMBER(H11),ISNUMBER(AC241)),AC241/H11,NA())</f>
        <v>0.15714285714285714</v>
      </c>
      <c r="I243" s="68"/>
      <c r="J243" s="68"/>
      <c r="K243" s="127"/>
      <c r="L243" s="127"/>
      <c r="M243" s="127"/>
      <c r="N243" s="127"/>
      <c r="O243" s="127"/>
      <c r="P243" s="127"/>
      <c r="Q243" s="127"/>
      <c r="R243" s="128"/>
      <c r="S243" s="120"/>
      <c r="T243" s="127"/>
      <c r="U243" s="89"/>
      <c r="V243" s="103"/>
      <c r="W243" s="115"/>
      <c r="X243" s="265" t="str">
        <f t="shared" si="77"/>
        <v>Buckinghamshire</v>
      </c>
      <c r="Y243" s="307">
        <f>IF(Year1_Buckinghamshire Year1_LAC_UASC="","",Year1_Buckinghamshire Year1_LAC_UASC)</f>
        <v>25</v>
      </c>
      <c r="Z243" s="248">
        <f>IF(Year2_Buckinghamshire Year2_LAC_UASC="","",Year2_Buckinghamshire Year2_LAC_UASC)</f>
        <v>21</v>
      </c>
      <c r="AA243" s="248">
        <f>IF(Year3_Buckinghamshire Year3_LAC_UASC="","",Year3_Buckinghamshire Year3_LAC_UASC)</f>
        <v>27</v>
      </c>
      <c r="AB243" s="248">
        <f>IF(Year4_Buckinghamshire Year4_LAC_UASC="","",Year4_Buckinghamshire Year4_LAC_UASC)</f>
        <v>71</v>
      </c>
      <c r="AC243" s="352">
        <f>IF(Year5_Buckinghamshire Year5_LAC_UASC="","",Year5_Buckinghamshire Year5_LAC_UASC)</f>
        <v>65</v>
      </c>
      <c r="AD243" s="307">
        <f t="shared" si="78"/>
        <v>484</v>
      </c>
      <c r="AE243" s="307">
        <f t="shared" si="79"/>
        <v>510</v>
      </c>
      <c r="AF243" s="307">
        <f t="shared" si="80"/>
        <v>502</v>
      </c>
      <c r="AG243" s="307">
        <f t="shared" si="81"/>
        <v>497</v>
      </c>
      <c r="AH243" s="307">
        <f t="shared" si="82"/>
        <v>523</v>
      </c>
      <c r="AI243" s="52"/>
      <c r="AJ243" s="121"/>
    </row>
    <row r="244" spans="1:76" s="61" customFormat="1" ht="13.5" customHeight="1">
      <c r="A244" s="1103">
        <f>VLOOKUP(B244,ReportData!$AQ$4:$AR$25,2,FALSE)</f>
        <v>0</v>
      </c>
      <c r="B244" s="885" t="str">
        <f t="shared" si="83"/>
        <v>Brighton &amp; Hove</v>
      </c>
      <c r="C244" s="896"/>
      <c r="D244" s="922">
        <f t="shared" si="84"/>
        <v>8.6253369272237201E-2</v>
      </c>
      <c r="E244" s="922">
        <f t="shared" si="85"/>
        <v>9.9195710455764072E-2</v>
      </c>
      <c r="F244" s="922">
        <f t="shared" si="86"/>
        <v>0.10796915167095116</v>
      </c>
      <c r="G244" s="922">
        <f t="shared" si="87"/>
        <v>0.15362318840579711</v>
      </c>
      <c r="H244" s="923">
        <f t="shared" si="88"/>
        <v>0.1440677966101695</v>
      </c>
      <c r="I244" s="68"/>
      <c r="J244" s="68"/>
      <c r="K244" s="127"/>
      <c r="L244" s="127"/>
      <c r="M244" s="127"/>
      <c r="N244" s="127"/>
      <c r="O244" s="127"/>
      <c r="P244" s="127"/>
      <c r="Q244" s="127"/>
      <c r="R244" s="128"/>
      <c r="S244" s="120"/>
      <c r="T244" s="127"/>
      <c r="U244" s="89"/>
      <c r="V244" s="103"/>
      <c r="W244" s="115"/>
      <c r="X244" s="265" t="str">
        <f t="shared" si="77"/>
        <v>East Sussex</v>
      </c>
      <c r="Y244" s="307">
        <f>IF(Year1_East_Sussex Year1_LAC_UASC="","",Year1_East_Sussex Year1_LAC_UASC)</f>
        <v>31</v>
      </c>
      <c r="Z244" s="248">
        <f>IF(Year2_East_Sussex Year2_LAC_UASC="","",Year2_East_Sussex Year2_LAC_UASC)</f>
        <v>56</v>
      </c>
      <c r="AA244" s="248">
        <f>IF(Year3_East_Sussex Year3_LAC_UASC="","",Year3_East_Sussex Year3_LAC_UASC)</f>
        <v>59</v>
      </c>
      <c r="AB244" s="248">
        <f>IF(Year4_East_Sussex Year4_LAC_UASC="","",Year4_East_Sussex Year4_LAC_UASC)</f>
        <v>72</v>
      </c>
      <c r="AC244" s="352">
        <f>IF(Year5_East_Sussex Year5_LAC_UASC="","",Year5_East_Sussex Year5_LAC_UASC)</f>
        <v>73</v>
      </c>
      <c r="AD244" s="307">
        <f t="shared" si="78"/>
        <v>580</v>
      </c>
      <c r="AE244" s="307">
        <f t="shared" si="79"/>
        <v>611</v>
      </c>
      <c r="AF244" s="307">
        <f t="shared" si="80"/>
        <v>628</v>
      </c>
      <c r="AG244" s="307">
        <f t="shared" si="81"/>
        <v>661</v>
      </c>
      <c r="AH244" s="307">
        <f t="shared" si="82"/>
        <v>657</v>
      </c>
      <c r="AI244" s="52"/>
      <c r="AJ244" s="121"/>
    </row>
    <row r="245" spans="1:76" s="61" customFormat="1" ht="13.5" customHeight="1">
      <c r="A245" s="1103">
        <f>VLOOKUP(B245,ReportData!$AQ$4:$AR$25,2,FALSE)</f>
        <v>0</v>
      </c>
      <c r="B245" s="885" t="str">
        <f t="shared" si="83"/>
        <v>Buckinghamshire</v>
      </c>
      <c r="C245" s="896"/>
      <c r="D245" s="922">
        <f t="shared" si="84"/>
        <v>5.1652892561983473E-2</v>
      </c>
      <c r="E245" s="922">
        <f t="shared" si="85"/>
        <v>4.1176470588235294E-2</v>
      </c>
      <c r="F245" s="922">
        <f t="shared" si="86"/>
        <v>5.3784860557768925E-2</v>
      </c>
      <c r="G245" s="922">
        <f t="shared" si="87"/>
        <v>0.14285714285714285</v>
      </c>
      <c r="H245" s="923">
        <f t="shared" si="88"/>
        <v>0.124282982791587</v>
      </c>
      <c r="I245" s="68"/>
      <c r="J245" s="68"/>
      <c r="K245" s="127"/>
      <c r="L245" s="127"/>
      <c r="M245" s="127"/>
      <c r="N245" s="127"/>
      <c r="O245" s="127"/>
      <c r="P245" s="127"/>
      <c r="Q245" s="127"/>
      <c r="R245" s="128"/>
      <c r="S245" s="120"/>
      <c r="T245" s="127"/>
      <c r="U245" s="89"/>
      <c r="V245" s="103"/>
      <c r="W245" s="115"/>
      <c r="X245" s="265" t="str">
        <f t="shared" si="77"/>
        <v>Hampshire</v>
      </c>
      <c r="Y245" s="307">
        <f>IF(Year1_Hampshire Year1_LAC_UASC="","",Year1_Hampshire Year1_LAC_UASC)</f>
        <v>85</v>
      </c>
      <c r="Z245" s="248">
        <f>IF(Year2_Hampshire Year2_LAC_UASC="","",Year2_Hampshire Year2_LAC_UASC)</f>
        <v>69</v>
      </c>
      <c r="AA245" s="248">
        <f>IF(Year3_Hampshire Year3_LAC_UASC="","",Year3_Hampshire Year3_LAC_UASC)</f>
        <v>106</v>
      </c>
      <c r="AB245" s="248">
        <f>IF(Year4_Hampshire Year4_LAC_UASC="","",Year4_Hampshire Year4_LAC_UASC)</f>
        <v>239</v>
      </c>
      <c r="AC245" s="352">
        <f>IF(Year5_Hampshire Year5_LAC_UASC="","",Year5_Hampshire Year5_LAC_UASC)</f>
        <v>305</v>
      </c>
      <c r="AD245" s="307">
        <f t="shared" si="78"/>
        <v>1601</v>
      </c>
      <c r="AE245" s="307">
        <f t="shared" si="79"/>
        <v>1661</v>
      </c>
      <c r="AF245" s="307">
        <f t="shared" si="80"/>
        <v>1724</v>
      </c>
      <c r="AG245" s="307">
        <f t="shared" si="81"/>
        <v>1853</v>
      </c>
      <c r="AH245" s="307">
        <f t="shared" si="82"/>
        <v>1917</v>
      </c>
      <c r="AI245" s="52"/>
      <c r="AJ245" s="121"/>
    </row>
    <row r="246" spans="1:76" s="61" customFormat="1" ht="13.5" customHeight="1">
      <c r="A246" s="1103">
        <f>VLOOKUP(B246,ReportData!$AQ$4:$AR$25,2,FALSE)</f>
        <v>0</v>
      </c>
      <c r="B246" s="885" t="str">
        <f t="shared" si="83"/>
        <v>East Sussex</v>
      </c>
      <c r="C246" s="896"/>
      <c r="D246" s="922">
        <f t="shared" si="84"/>
        <v>5.3448275862068968E-2</v>
      </c>
      <c r="E246" s="922">
        <f t="shared" si="85"/>
        <v>9.1653027823240585E-2</v>
      </c>
      <c r="F246" s="922">
        <f t="shared" si="86"/>
        <v>9.3949044585987268E-2</v>
      </c>
      <c r="G246" s="922">
        <f t="shared" si="87"/>
        <v>0.10892586989409984</v>
      </c>
      <c r="H246" s="923">
        <f t="shared" si="88"/>
        <v>0.1111111111111111</v>
      </c>
      <c r="I246" s="68"/>
      <c r="J246" s="68"/>
      <c r="K246" s="127"/>
      <c r="L246" s="127"/>
      <c r="M246" s="127"/>
      <c r="N246" s="127"/>
      <c r="O246" s="127"/>
      <c r="P246" s="127"/>
      <c r="Q246" s="127"/>
      <c r="R246" s="128"/>
      <c r="S246" s="120"/>
      <c r="T246" s="127"/>
      <c r="U246" s="89"/>
      <c r="V246" s="103"/>
      <c r="W246" s="115"/>
      <c r="X246" s="265" t="str">
        <f t="shared" si="77"/>
        <v>Isle of Wight</v>
      </c>
      <c r="Y246" s="307">
        <f>IF(Year1_Isle_of_Wight Year1_LAC_UASC="","",Year1_Isle_of_Wight Year1_LAC_UASC)</f>
        <v>5</v>
      </c>
      <c r="Z246" s="248">
        <f>IF(Year2_Isle_of_Wight Year2_LAC_UASC="","",Year2_Isle_of_Wight Year2_LAC_UASC)</f>
        <v>7</v>
      </c>
      <c r="AA246" s="248">
        <f>IF(Year3_Isle_of_Wight Year3_LAC_UASC="","",Year3_Isle_of_Wight Year3_LAC_UASC)</f>
        <v>17</v>
      </c>
      <c r="AB246" s="248">
        <f>IF(Year4_Isle_of_Wight Year4_LAC_UASC="","",Year4_Isle_of_Wight Year4_LAC_UASC)</f>
        <v>23</v>
      </c>
      <c r="AC246" s="352">
        <f>IF(Year5_Isle_of_Wight Year5_LAC_UASC="","",Year5_Isle_of_Wight Year5_LAC_UASC)</f>
        <v>21</v>
      </c>
      <c r="AD246" s="307">
        <f t="shared" si="78"/>
        <v>263</v>
      </c>
      <c r="AE246" s="307">
        <f t="shared" si="79"/>
        <v>270</v>
      </c>
      <c r="AF246" s="307">
        <f t="shared" si="80"/>
        <v>275</v>
      </c>
      <c r="AG246" s="307">
        <f t="shared" si="81"/>
        <v>288</v>
      </c>
      <c r="AH246" s="307">
        <f t="shared" si="82"/>
        <v>279</v>
      </c>
      <c r="AI246" s="52"/>
      <c r="AJ246" s="121"/>
      <c r="AR246" s="61" t="s">
        <v>95</v>
      </c>
    </row>
    <row r="247" spans="1:76" s="61" customFormat="1" ht="13.5" customHeight="1">
      <c r="A247" s="1103">
        <f>VLOOKUP(B247,ReportData!$AQ$4:$AR$25,2,FALSE)</f>
        <v>0</v>
      </c>
      <c r="B247" s="885" t="str">
        <f t="shared" si="83"/>
        <v>Hampshire</v>
      </c>
      <c r="C247" s="896"/>
      <c r="D247" s="922">
        <f t="shared" si="84"/>
        <v>5.3091817613991253E-2</v>
      </c>
      <c r="E247" s="922">
        <f t="shared" si="85"/>
        <v>4.1541240216736906E-2</v>
      </c>
      <c r="F247" s="922">
        <f t="shared" si="86"/>
        <v>6.1484918793503478E-2</v>
      </c>
      <c r="G247" s="922">
        <f t="shared" si="87"/>
        <v>0.12898003237992445</v>
      </c>
      <c r="H247" s="923">
        <f t="shared" si="88"/>
        <v>0.15910276473656756</v>
      </c>
      <c r="I247" s="68"/>
      <c r="J247" s="68"/>
      <c r="K247" s="127"/>
      <c r="L247" s="127"/>
      <c r="M247" s="127"/>
      <c r="N247" s="127"/>
      <c r="O247" s="127"/>
      <c r="P247" s="127"/>
      <c r="Q247" s="127"/>
      <c r="R247" s="128"/>
      <c r="S247" s="120"/>
      <c r="T247" s="127"/>
      <c r="U247" s="89"/>
      <c r="V247" s="103"/>
      <c r="W247" s="115"/>
      <c r="X247" s="265" t="str">
        <f t="shared" si="77"/>
        <v>Kent</v>
      </c>
      <c r="Y247" s="307">
        <f>IF(Year1_Kent Year1_LAC_UASC="","",Year1_Kent Year1_LAC_UASC)</f>
        <v>426</v>
      </c>
      <c r="Z247" s="248">
        <f>IF(Year2_Kent Year2_LAC_UASC="","",Year2_Kent Year2_LAC_UASC)</f>
        <v>291</v>
      </c>
      <c r="AA247" s="248">
        <f>IF(Year3_Kent Year3_LAC_UASC="","",Year3_Kent Year3_LAC_UASC)</f>
        <v>370</v>
      </c>
      <c r="AB247" s="248">
        <f>IF(Year4_Kent Year4_LAC_UASC="","",Year4_Kent Year4_LAC_UASC)</f>
        <v>445</v>
      </c>
      <c r="AC247" s="352">
        <f>IF(Year5_Kent Year5_LAC_UASC="","",Year5_Kent Year5_LAC_UASC)</f>
        <v>498</v>
      </c>
      <c r="AD247" s="307">
        <f t="shared" si="78"/>
        <v>1806</v>
      </c>
      <c r="AE247" s="307">
        <f t="shared" si="79"/>
        <v>1662</v>
      </c>
      <c r="AF247" s="307">
        <f t="shared" si="80"/>
        <v>1777</v>
      </c>
      <c r="AG247" s="307">
        <f t="shared" si="81"/>
        <v>1942</v>
      </c>
      <c r="AH247" s="307">
        <f t="shared" si="82"/>
        <v>1960</v>
      </c>
      <c r="AI247" s="52"/>
      <c r="AJ247" s="121"/>
    </row>
    <row r="248" spans="1:76" s="61" customFormat="1" ht="13.5" customHeight="1">
      <c r="A248" s="1103">
        <f>VLOOKUP(B248,ReportData!$AQ$4:$AR$25,2,FALSE)</f>
        <v>0</v>
      </c>
      <c r="B248" s="885" t="str">
        <f t="shared" si="83"/>
        <v>Isle of Wight</v>
      </c>
      <c r="C248" s="896"/>
      <c r="D248" s="922">
        <f t="shared" si="84"/>
        <v>1.9011406844106463E-2</v>
      </c>
      <c r="E248" s="922">
        <f t="shared" si="85"/>
        <v>2.5925925925925925E-2</v>
      </c>
      <c r="F248" s="922">
        <f t="shared" si="86"/>
        <v>6.1818181818181821E-2</v>
      </c>
      <c r="G248" s="922">
        <f t="shared" si="87"/>
        <v>7.9861111111111105E-2</v>
      </c>
      <c r="H248" s="923">
        <f t="shared" si="88"/>
        <v>7.5268817204301078E-2</v>
      </c>
      <c r="I248" s="68"/>
      <c r="J248" s="68"/>
      <c r="K248" s="127"/>
      <c r="L248" s="127"/>
      <c r="M248" s="127"/>
      <c r="N248" s="127"/>
      <c r="O248" s="127"/>
      <c r="P248" s="127"/>
      <c r="Q248" s="127"/>
      <c r="R248" s="128"/>
      <c r="S248" s="120"/>
      <c r="T248" s="127"/>
      <c r="U248" s="89"/>
      <c r="V248" s="103"/>
      <c r="W248" s="115"/>
      <c r="X248" s="265" t="str">
        <f t="shared" si="77"/>
        <v>Medway</v>
      </c>
      <c r="Y248" s="307">
        <f>IF(Year1_Medway Year1_LAC_UASC="","",Year1_Medway Year1_LAC_UASC)</f>
        <v>8</v>
      </c>
      <c r="Z248" s="248" t="str">
        <f>IF(Year2_Medway Year2_LAC_UASC="","",Year2_Medway Year2_LAC_UASC)</f>
        <v>x</v>
      </c>
      <c r="AA248" s="248" t="str">
        <f>IF(Year3_Medway Year3_LAC_UASC="","",Year3_Medway Year3_LAC_UASC)</f>
        <v>c</v>
      </c>
      <c r="AB248" s="248" t="str">
        <f>IF(Year4_Medway Year4_LAC_UASC="","",Year4_Medway Year4_LAC_UASC)</f>
        <v>c</v>
      </c>
      <c r="AC248" s="352">
        <f>IF(Year5_Medway Year5_LAC_UASC="","",Year5_Medway Year5_LAC_UASC)</f>
        <v>22</v>
      </c>
      <c r="AD248" s="307">
        <f t="shared" si="78"/>
        <v>426</v>
      </c>
      <c r="AE248" s="307">
        <f t="shared" si="79"/>
        <v>0</v>
      </c>
      <c r="AF248" s="307">
        <f t="shared" si="80"/>
        <v>0</v>
      </c>
      <c r="AG248" s="307">
        <f t="shared" si="81"/>
        <v>0</v>
      </c>
      <c r="AH248" s="307">
        <f t="shared" si="82"/>
        <v>476</v>
      </c>
      <c r="AI248" s="52"/>
      <c r="AJ248" s="121"/>
    </row>
    <row r="249" spans="1:76" s="61" customFormat="1" ht="13.5" customHeight="1">
      <c r="A249" s="1103">
        <f>VLOOKUP(B249,ReportData!$AQ$4:$AR$25,2,FALSE)</f>
        <v>0</v>
      </c>
      <c r="B249" s="885" t="str">
        <f t="shared" si="83"/>
        <v>Kent</v>
      </c>
      <c r="C249" s="896"/>
      <c r="D249" s="922">
        <f t="shared" si="84"/>
        <v>0.23588039867109634</v>
      </c>
      <c r="E249" s="922">
        <f t="shared" si="85"/>
        <v>0.17509025270758122</v>
      </c>
      <c r="F249" s="922">
        <f t="shared" si="86"/>
        <v>0.20821609454136183</v>
      </c>
      <c r="G249" s="922">
        <f t="shared" si="87"/>
        <v>0.22914521112255407</v>
      </c>
      <c r="H249" s="923">
        <f t="shared" si="88"/>
        <v>0.25408163265306122</v>
      </c>
      <c r="I249" s="68"/>
      <c r="J249" s="68"/>
      <c r="K249" s="127"/>
      <c r="L249" s="127"/>
      <c r="M249" s="127"/>
      <c r="N249" s="127"/>
      <c r="O249" s="127"/>
      <c r="P249" s="127"/>
      <c r="Q249" s="127"/>
      <c r="R249" s="128"/>
      <c r="S249" s="120"/>
      <c r="T249" s="127"/>
      <c r="U249" s="89"/>
      <c r="V249" s="103"/>
      <c r="W249" s="115"/>
      <c r="X249" s="265" t="str">
        <f t="shared" si="77"/>
        <v>Milton Keynes</v>
      </c>
      <c r="Y249" s="307">
        <f>IF(Year1_Milton_Keynes Year1_LAC_UASC="","",Year1_Milton_Keynes Year1_LAC_UASC)</f>
        <v>32</v>
      </c>
      <c r="Z249" s="248">
        <f>IF(Year2_Milton_Keynes Year2_LAC_UASC="","",Year2_Milton_Keynes Year2_LAC_UASC)</f>
        <v>23</v>
      </c>
      <c r="AA249" s="248">
        <f>IF(Year3_Milton_Keynes Year3_LAC_UASC="","",Year3_Milton_Keynes Year3_LAC_UASC)</f>
        <v>28</v>
      </c>
      <c r="AB249" s="248">
        <f>IF(Year4_Milton_Keynes Year4_LAC_UASC="","",Year4_Milton_Keynes Year4_LAC_UASC)</f>
        <v>31</v>
      </c>
      <c r="AC249" s="352">
        <f>IF(Year5_Milton_Keynes Year5_LAC_UASC="","",Year5_Milton_Keynes Year5_LAC_UASC)</f>
        <v>46</v>
      </c>
      <c r="AD249" s="307">
        <f t="shared" si="78"/>
        <v>403</v>
      </c>
      <c r="AE249" s="307">
        <f t="shared" si="79"/>
        <v>395</v>
      </c>
      <c r="AF249" s="307">
        <f t="shared" si="80"/>
        <v>361</v>
      </c>
      <c r="AG249" s="307">
        <f t="shared" si="81"/>
        <v>354</v>
      </c>
      <c r="AH249" s="307">
        <f t="shared" si="82"/>
        <v>410</v>
      </c>
      <c r="AI249" s="52"/>
      <c r="AJ249" s="121"/>
    </row>
    <row r="250" spans="1:76" s="61" customFormat="1" ht="13.5" customHeight="1">
      <c r="A250" s="1103">
        <f>VLOOKUP(B250,ReportData!$AQ$4:$AR$25,2,FALSE)</f>
        <v>0</v>
      </c>
      <c r="B250" s="885" t="str">
        <f t="shared" si="83"/>
        <v>Medway</v>
      </c>
      <c r="C250" s="896"/>
      <c r="D250" s="922">
        <f t="shared" si="84"/>
        <v>1.8779342723004695E-2</v>
      </c>
      <c r="E250" s="922" t="e">
        <f t="shared" si="85"/>
        <v>#N/A</v>
      </c>
      <c r="F250" s="922" t="e">
        <f t="shared" si="86"/>
        <v>#N/A</v>
      </c>
      <c r="G250" s="922" t="e">
        <f t="shared" si="87"/>
        <v>#N/A</v>
      </c>
      <c r="H250" s="923">
        <f t="shared" si="88"/>
        <v>4.6218487394957986E-2</v>
      </c>
      <c r="I250" s="68"/>
      <c r="J250" s="68"/>
      <c r="K250" s="127"/>
      <c r="L250" s="127"/>
      <c r="M250" s="127"/>
      <c r="N250" s="127"/>
      <c r="O250" s="127"/>
      <c r="P250" s="127"/>
      <c r="Q250" s="127"/>
      <c r="R250" s="128"/>
      <c r="S250" s="120"/>
      <c r="T250" s="127"/>
      <c r="U250" s="89"/>
      <c r="V250" s="103"/>
      <c r="W250" s="115"/>
      <c r="X250" s="265" t="str">
        <f t="shared" si="77"/>
        <v>Oxfordshire</v>
      </c>
      <c r="Y250" s="307">
        <f>IF(Year1_Oxfordshire Year1_LAC_UASC="","",Year1_Oxfordshire Year1_LAC_UASC)</f>
        <v>51</v>
      </c>
      <c r="Z250" s="248">
        <f>IF(Year2_Oxfordshire Year2_LAC_UASC="","",Year2_Oxfordshire Year2_LAC_UASC)</f>
        <v>41</v>
      </c>
      <c r="AA250" s="248">
        <f>IF(Year3_Oxfordshire Year3_LAC_UASC="","",Year3_Oxfordshire Year3_LAC_UASC)</f>
        <v>58</v>
      </c>
      <c r="AB250" s="248">
        <f>IF(Year4_Oxfordshire Year4_LAC_UASC="","",Year4_Oxfordshire Year4_LAC_UASC)</f>
        <v>104</v>
      </c>
      <c r="AC250" s="352">
        <f>IF(Year5_Oxfordshire Year5_LAC_UASC="","",Year5_Oxfordshire Year5_LAC_UASC)</f>
        <v>95</v>
      </c>
      <c r="AD250" s="307">
        <f t="shared" si="78"/>
        <v>767</v>
      </c>
      <c r="AE250" s="307">
        <f t="shared" si="79"/>
        <v>784</v>
      </c>
      <c r="AF250" s="307">
        <f t="shared" si="80"/>
        <v>854</v>
      </c>
      <c r="AG250" s="307">
        <f t="shared" si="81"/>
        <v>881</v>
      </c>
      <c r="AH250" s="307">
        <f t="shared" si="82"/>
        <v>770</v>
      </c>
      <c r="AI250" s="52"/>
      <c r="AJ250" s="121"/>
    </row>
    <row r="251" spans="1:76" s="61" customFormat="1" ht="13.5" customHeight="1">
      <c r="A251" s="1103">
        <f>VLOOKUP(B251,ReportData!$AQ$4:$AR$25,2,FALSE)</f>
        <v>0</v>
      </c>
      <c r="B251" s="885" t="str">
        <f t="shared" si="83"/>
        <v>Milton Keynes</v>
      </c>
      <c r="C251" s="896"/>
      <c r="D251" s="922">
        <f t="shared" si="84"/>
        <v>7.9404466501240695E-2</v>
      </c>
      <c r="E251" s="922">
        <f t="shared" si="85"/>
        <v>5.8227848101265821E-2</v>
      </c>
      <c r="F251" s="922">
        <f t="shared" si="86"/>
        <v>7.7562326869806089E-2</v>
      </c>
      <c r="G251" s="922">
        <f t="shared" si="87"/>
        <v>8.7570621468926552E-2</v>
      </c>
      <c r="H251" s="923">
        <f t="shared" si="88"/>
        <v>0.11219512195121951</v>
      </c>
      <c r="I251" s="68"/>
      <c r="J251" s="68"/>
      <c r="K251" s="127"/>
      <c r="L251" s="127"/>
      <c r="M251" s="127"/>
      <c r="N251" s="127"/>
      <c r="O251" s="127"/>
      <c r="P251" s="127"/>
      <c r="Q251" s="127"/>
      <c r="R251" s="128"/>
      <c r="S251" s="120"/>
      <c r="T251" s="127"/>
      <c r="U251" s="89"/>
      <c r="V251" s="103"/>
      <c r="W251" s="115"/>
      <c r="X251" s="265" t="str">
        <f t="shared" si="77"/>
        <v>Portsmouth</v>
      </c>
      <c r="Y251" s="307">
        <f>IF(Year1_Portsmouth Year1_LAC_UASC="","",Year1_Portsmouth Year1_LAC_UASC)</f>
        <v>99</v>
      </c>
      <c r="Z251" s="248">
        <f>IF(Year2_Portsmouth Year2_LAC_UASC="","",Year2_Portsmouth Year2_LAC_UASC)</f>
        <v>35</v>
      </c>
      <c r="AA251" s="248">
        <f>IF(Year3_Portsmouth Year3_LAC_UASC="","",Year3_Portsmouth Year3_LAC_UASC)</f>
        <v>40</v>
      </c>
      <c r="AB251" s="248">
        <f>IF(Year4_Portsmouth Year4_LAC_UASC="","",Year4_Portsmouth Year4_LAC_UASC)</f>
        <v>39</v>
      </c>
      <c r="AC251" s="352">
        <f>IF(Year5_Portsmouth Year5_LAC_UASC="","",Year5_Portsmouth Year5_LAC_UASC)</f>
        <v>39</v>
      </c>
      <c r="AD251" s="307">
        <f t="shared" si="78"/>
        <v>468</v>
      </c>
      <c r="AE251" s="307">
        <f t="shared" si="79"/>
        <v>378</v>
      </c>
      <c r="AF251" s="307">
        <f t="shared" si="80"/>
        <v>386</v>
      </c>
      <c r="AG251" s="307">
        <f t="shared" si="81"/>
        <v>388</v>
      </c>
      <c r="AH251" s="307">
        <f t="shared" si="82"/>
        <v>402</v>
      </c>
      <c r="AI251" s="52"/>
      <c r="AJ251" s="121"/>
    </row>
    <row r="252" spans="1:76" s="61" customFormat="1" ht="13.5" customHeight="1">
      <c r="A252" s="1103">
        <f>VLOOKUP(B252,ReportData!$AQ$4:$AR$25,2,FALSE)</f>
        <v>0</v>
      </c>
      <c r="B252" s="885" t="str">
        <f t="shared" si="83"/>
        <v>Oxfordshire</v>
      </c>
      <c r="C252" s="896"/>
      <c r="D252" s="922">
        <f t="shared" si="84"/>
        <v>6.6492829204693613E-2</v>
      </c>
      <c r="E252" s="922">
        <f t="shared" si="85"/>
        <v>5.2295918367346941E-2</v>
      </c>
      <c r="F252" s="922">
        <f t="shared" si="86"/>
        <v>6.7915690866510545E-2</v>
      </c>
      <c r="G252" s="922">
        <f t="shared" si="87"/>
        <v>0.11804767309875142</v>
      </c>
      <c r="H252" s="923">
        <f t="shared" si="88"/>
        <v>0.12337662337662338</v>
      </c>
      <c r="I252" s="68"/>
      <c r="J252" s="68"/>
      <c r="K252" s="127"/>
      <c r="L252" s="127"/>
      <c r="M252" s="127"/>
      <c r="N252" s="127"/>
      <c r="O252" s="127"/>
      <c r="P252" s="127"/>
      <c r="Q252" s="127"/>
      <c r="R252" s="128"/>
      <c r="S252" s="120"/>
      <c r="T252" s="127"/>
      <c r="U252" s="89"/>
      <c r="V252" s="103"/>
      <c r="W252" s="115"/>
      <c r="X252" s="265" t="str">
        <f t="shared" si="77"/>
        <v>Reading</v>
      </c>
      <c r="Y252" s="307">
        <f>IF(Year1_Reading Year1_LAC_UASC="","",Year1_Reading Year1_LAC_UASC)</f>
        <v>10</v>
      </c>
      <c r="Z252" s="248">
        <f>IF(Year2_Reading Year2_LAC_UASC="","",Year2_Reading Year2_LAC_UASC)</f>
        <v>19</v>
      </c>
      <c r="AA252" s="248">
        <f>IF(Year3_Reading Year3_LAC_UASC="","",Year3_Reading Year3_LAC_UASC)</f>
        <v>23</v>
      </c>
      <c r="AB252" s="248">
        <f>IF(Year4_Reading Year4_LAC_UASC="","",Year4_Reading Year4_LAC_UASC)</f>
        <v>34</v>
      </c>
      <c r="AC252" s="352">
        <f>IF(Year5_Reading Year5_LAC_UASC="","",Year5_Reading Year5_LAC_UASC)</f>
        <v>29</v>
      </c>
      <c r="AD252" s="307">
        <f t="shared" si="78"/>
        <v>277</v>
      </c>
      <c r="AE252" s="307">
        <f t="shared" si="79"/>
        <v>270</v>
      </c>
      <c r="AF252" s="307">
        <f t="shared" si="80"/>
        <v>234</v>
      </c>
      <c r="AG252" s="307">
        <f t="shared" si="81"/>
        <v>252</v>
      </c>
      <c r="AH252" s="307">
        <f t="shared" si="82"/>
        <v>266</v>
      </c>
      <c r="AI252" s="52"/>
      <c r="AJ252" s="121"/>
    </row>
    <row r="253" spans="1:76" s="61" customFormat="1" ht="13.5" customHeight="1">
      <c r="A253" s="1103">
        <f>VLOOKUP(B253,ReportData!$AQ$4:$AR$25,2,FALSE)</f>
        <v>0</v>
      </c>
      <c r="B253" s="885" t="str">
        <f t="shared" si="83"/>
        <v>Portsmouth</v>
      </c>
      <c r="C253" s="896"/>
      <c r="D253" s="922">
        <f t="shared" si="84"/>
        <v>0.21153846153846154</v>
      </c>
      <c r="E253" s="922">
        <f t="shared" si="85"/>
        <v>9.2592592592592587E-2</v>
      </c>
      <c r="F253" s="922">
        <f t="shared" si="86"/>
        <v>0.10362694300518134</v>
      </c>
      <c r="G253" s="922">
        <f t="shared" si="87"/>
        <v>0.10051546391752578</v>
      </c>
      <c r="H253" s="923">
        <f t="shared" si="88"/>
        <v>9.7014925373134331E-2</v>
      </c>
      <c r="I253" s="68"/>
      <c r="J253" s="68"/>
      <c r="K253" s="127"/>
      <c r="L253" s="127"/>
      <c r="M253" s="127"/>
      <c r="N253" s="127"/>
      <c r="O253" s="127"/>
      <c r="P253" s="127"/>
      <c r="Q253" s="127"/>
      <c r="R253" s="128"/>
      <c r="S253" s="120"/>
      <c r="T253" s="127"/>
      <c r="U253" s="89"/>
      <c r="V253" s="103"/>
      <c r="W253" s="115"/>
      <c r="X253" s="265" t="str">
        <f t="shared" si="77"/>
        <v>Slough</v>
      </c>
      <c r="Y253" s="307">
        <f>IF(Year1_Slough Year1_LAC_UASC="","",Year1_Slough Year1_LAC_UASC)</f>
        <v>3</v>
      </c>
      <c r="Z253" s="248">
        <f>IF(Year2_Slough Year2_LAC_UASC="","",Year2_Slough Year2_LAC_UASC)</f>
        <v>10</v>
      </c>
      <c r="AA253" s="248">
        <f>IF(Year3_Slough Year3_LAC_UASC="","",Year3_Slough Year3_LAC_UASC)</f>
        <v>28</v>
      </c>
      <c r="AB253" s="248">
        <f>IF(Year4_Slough Year4_LAC_UASC="","",Year4_Slough Year4_LAC_UASC)</f>
        <v>40</v>
      </c>
      <c r="AC253" s="352">
        <f>IF(Year5_Slough Year5_LAC_UASC="","",Year5_Slough Year5_LAC_UASC)</f>
        <v>26</v>
      </c>
      <c r="AD253" s="307">
        <f t="shared" si="78"/>
        <v>196</v>
      </c>
      <c r="AE253" s="307">
        <f t="shared" si="79"/>
        <v>223</v>
      </c>
      <c r="AF253" s="307">
        <f t="shared" si="80"/>
        <v>234</v>
      </c>
      <c r="AG253" s="307">
        <f t="shared" si="81"/>
        <v>253</v>
      </c>
      <c r="AH253" s="307">
        <f t="shared" si="82"/>
        <v>201</v>
      </c>
      <c r="AI253" s="52"/>
      <c r="AJ253" s="121"/>
    </row>
    <row r="254" spans="1:76" s="61" customFormat="1" ht="13.5" customHeight="1">
      <c r="A254" s="1103">
        <f>VLOOKUP(B254,ReportData!$AQ$4:$AR$25,2,FALSE)</f>
        <v>0</v>
      </c>
      <c r="B254" s="885" t="str">
        <f t="shared" si="83"/>
        <v>Reading</v>
      </c>
      <c r="C254" s="896"/>
      <c r="D254" s="922">
        <f t="shared" si="84"/>
        <v>3.6101083032490974E-2</v>
      </c>
      <c r="E254" s="922">
        <f t="shared" si="85"/>
        <v>7.0370370370370375E-2</v>
      </c>
      <c r="F254" s="922">
        <f t="shared" si="86"/>
        <v>9.8290598290598288E-2</v>
      </c>
      <c r="G254" s="922">
        <f t="shared" si="87"/>
        <v>0.13492063492063491</v>
      </c>
      <c r="H254" s="923">
        <f t="shared" si="88"/>
        <v>0.10902255639097744</v>
      </c>
      <c r="I254" s="68"/>
      <c r="J254" s="68"/>
      <c r="K254" s="127"/>
      <c r="L254" s="127"/>
      <c r="M254" s="127"/>
      <c r="N254" s="127"/>
      <c r="O254" s="127"/>
      <c r="P254" s="127"/>
      <c r="Q254" s="127"/>
      <c r="R254" s="128"/>
      <c r="S254" s="120"/>
      <c r="T254" s="127"/>
      <c r="U254" s="89"/>
      <c r="V254" s="103"/>
      <c r="W254" s="115"/>
      <c r="X254" s="265" t="str">
        <f t="shared" ref="X254:X261" si="89">B256</f>
        <v>Southampton</v>
      </c>
      <c r="Y254" s="307">
        <f>IF(Year1_Southampton Year1_LAC_UASC="","",Year1_Southampton Year1_LAC_UASC)</f>
        <v>15</v>
      </c>
      <c r="Z254" s="248">
        <f>IF(Year2_Southampton Year2_LAC_UASC="","",Year2_Southampton Year2_LAC_UASC)</f>
        <v>20</v>
      </c>
      <c r="AA254" s="248">
        <f>IF(Year3_Southampton Year3_LAC_UASC="","",Year3_Southampton Year3_LAC_UASC)</f>
        <v>25</v>
      </c>
      <c r="AB254" s="248">
        <f>IF(Year4_Southampton Year4_LAC_UASC="","",Year4_Southampton Year4_LAC_UASC)</f>
        <v>40</v>
      </c>
      <c r="AC254" s="352">
        <f>IF(Year5_Southampton Year5_LAC_UASC="","",Year5_Southampton Year5_LAC_UASC)</f>
        <v>39</v>
      </c>
      <c r="AD254" s="307">
        <f t="shared" si="78"/>
        <v>486</v>
      </c>
      <c r="AE254" s="307">
        <f t="shared" si="79"/>
        <v>497</v>
      </c>
      <c r="AF254" s="307">
        <f t="shared" si="80"/>
        <v>561</v>
      </c>
      <c r="AG254" s="307">
        <f t="shared" si="81"/>
        <v>538</v>
      </c>
      <c r="AH254" s="307">
        <f t="shared" si="82"/>
        <v>488</v>
      </c>
      <c r="AI254" s="52"/>
      <c r="AJ254" s="121"/>
    </row>
    <row r="255" spans="1:76" s="61" customFormat="1" ht="13.5" customHeight="1">
      <c r="A255" s="1103">
        <f>VLOOKUP(B255,ReportData!$AQ$4:$AR$25,2,FALSE)</f>
        <v>0</v>
      </c>
      <c r="B255" s="885" t="str">
        <f t="shared" si="83"/>
        <v>Slough</v>
      </c>
      <c r="C255" s="896"/>
      <c r="D255" s="922">
        <f t="shared" si="84"/>
        <v>1.5306122448979591E-2</v>
      </c>
      <c r="E255" s="922">
        <f t="shared" si="85"/>
        <v>4.4843049327354258E-2</v>
      </c>
      <c r="F255" s="922">
        <f t="shared" si="86"/>
        <v>0.11965811965811966</v>
      </c>
      <c r="G255" s="922">
        <f t="shared" si="87"/>
        <v>0.15810276679841898</v>
      </c>
      <c r="H255" s="923">
        <f t="shared" si="88"/>
        <v>0.12935323383084577</v>
      </c>
      <c r="I255" s="68"/>
      <c r="J255" s="68"/>
      <c r="K255" s="127"/>
      <c r="L255" s="127"/>
      <c r="M255" s="127"/>
      <c r="N255" s="127"/>
      <c r="O255" s="127"/>
      <c r="P255" s="127"/>
      <c r="Q255" s="127"/>
      <c r="R255" s="128"/>
      <c r="S255" s="120"/>
      <c r="T255" s="127"/>
      <c r="U255" s="89"/>
      <c r="V255" s="103"/>
      <c r="W255" s="115"/>
      <c r="X255" s="265" t="str">
        <f t="shared" si="89"/>
        <v>Surrey</v>
      </c>
      <c r="Y255" s="307">
        <f>IF(Year1_Surrey Year1_LAC_UASC="","",Year1_Surrey Year1_LAC_UASC)</f>
        <v>108</v>
      </c>
      <c r="Z255" s="248">
        <f>IF(Year2_Surrey Year2_LAC_UASC="","",Year2_Surrey Year2_LAC_UASC)</f>
        <v>78</v>
      </c>
      <c r="AA255" s="248">
        <f>IF(Year3_Surrey Year3_LAC_UASC="","",Year3_Surrey Year3_LAC_UASC)</f>
        <v>119</v>
      </c>
      <c r="AB255" s="248">
        <f>IF(Year4_Surrey Year4_LAC_UASC="","",Year4_Surrey Year4_LAC_UASC)</f>
        <v>143</v>
      </c>
      <c r="AC255" s="352">
        <f>IF(Year5_Surrey Year5_LAC_UASC="","",Year5_Surrey Year5_LAC_UASC)</f>
        <v>102</v>
      </c>
      <c r="AD255" s="307">
        <f t="shared" si="78"/>
        <v>983</v>
      </c>
      <c r="AE255" s="307">
        <f t="shared" si="79"/>
        <v>996</v>
      </c>
      <c r="AF255" s="307">
        <f t="shared" si="80"/>
        <v>1048</v>
      </c>
      <c r="AG255" s="307">
        <f t="shared" si="81"/>
        <v>1013</v>
      </c>
      <c r="AH255" s="307">
        <f t="shared" si="82"/>
        <v>963</v>
      </c>
      <c r="AI255" s="52"/>
      <c r="AJ255" s="121"/>
    </row>
    <row r="256" spans="1:76" s="61" customFormat="1" ht="13.5" customHeight="1">
      <c r="A256" s="1103">
        <f>VLOOKUP(B256,ReportData!$AQ$4:$AR$25,2,FALSE)</f>
        <v>0</v>
      </c>
      <c r="B256" s="885" t="str">
        <f t="shared" si="83"/>
        <v>Southampton</v>
      </c>
      <c r="C256" s="896"/>
      <c r="D256" s="922">
        <f t="shared" si="84"/>
        <v>3.0864197530864196E-2</v>
      </c>
      <c r="E256" s="922">
        <f t="shared" si="85"/>
        <v>4.0241448692152917E-2</v>
      </c>
      <c r="F256" s="922">
        <f t="shared" si="86"/>
        <v>4.4563279857397504E-2</v>
      </c>
      <c r="G256" s="922">
        <f t="shared" si="87"/>
        <v>7.434944237918216E-2</v>
      </c>
      <c r="H256" s="923">
        <f t="shared" si="88"/>
        <v>7.9918032786885251E-2</v>
      </c>
      <c r="I256" s="68"/>
      <c r="J256" s="68"/>
      <c r="K256" s="127"/>
      <c r="L256" s="127"/>
      <c r="M256" s="127"/>
      <c r="N256" s="127"/>
      <c r="O256" s="127"/>
      <c r="P256" s="127"/>
      <c r="Q256" s="127"/>
      <c r="R256" s="128"/>
      <c r="S256" s="120"/>
      <c r="T256" s="127"/>
      <c r="U256" s="89"/>
      <c r="V256" s="103"/>
      <c r="W256" s="115"/>
      <c r="X256" s="265" t="str">
        <f t="shared" si="89"/>
        <v>West Berkshire</v>
      </c>
      <c r="Y256" s="307">
        <f>IF(Year1_West_Berkshire Year1_LAC_UASC="","",Year1_West_Berkshire Year1_LAC_UASC)</f>
        <v>15</v>
      </c>
      <c r="Z256" s="248">
        <f>IF(Year2_West_Berkshire Year2_LAC_UASC="","",Year2_West_Berkshire Year2_LAC_UASC)</f>
        <v>11</v>
      </c>
      <c r="AA256" s="248">
        <f>IF(Year3_West_Berkshire Year3_LAC_UASC="","",Year3_West_Berkshire Year3_LAC_UASC)</f>
        <v>26</v>
      </c>
      <c r="AB256" s="248">
        <f>IF(Year4_West_Berkshire Year4_LAC_UASC="","",Year4_West_Berkshire Year4_LAC_UASC)</f>
        <v>26</v>
      </c>
      <c r="AC256" s="352">
        <f>IF(Year5_West_Berkshire Year5_LAC_UASC="","",Year5_West_Berkshire Year5_LAC_UASC)</f>
        <v>25</v>
      </c>
      <c r="AD256" s="307">
        <f t="shared" si="78"/>
        <v>156</v>
      </c>
      <c r="AE256" s="307">
        <f t="shared" si="79"/>
        <v>146</v>
      </c>
      <c r="AF256" s="307">
        <f t="shared" si="80"/>
        <v>166</v>
      </c>
      <c r="AG256" s="307">
        <f t="shared" si="81"/>
        <v>197</v>
      </c>
      <c r="AH256" s="307">
        <f t="shared" si="82"/>
        <v>187</v>
      </c>
      <c r="AI256" s="52"/>
      <c r="AJ256" s="121"/>
    </row>
    <row r="257" spans="1:76" s="61" customFormat="1" ht="13.5" customHeight="1">
      <c r="A257" s="1103">
        <f>VLOOKUP(B257,ReportData!$AQ$4:$AR$25,2,FALSE)</f>
        <v>0</v>
      </c>
      <c r="B257" s="885" t="str">
        <f t="shared" si="83"/>
        <v>Surrey</v>
      </c>
      <c r="C257" s="896"/>
      <c r="D257" s="922">
        <f t="shared" si="84"/>
        <v>0.10986775178026449</v>
      </c>
      <c r="E257" s="922">
        <f t="shared" si="85"/>
        <v>7.8313253012048195E-2</v>
      </c>
      <c r="F257" s="922">
        <f t="shared" si="86"/>
        <v>0.11354961832061068</v>
      </c>
      <c r="G257" s="922">
        <f t="shared" si="87"/>
        <v>0.14116485686080948</v>
      </c>
      <c r="H257" s="923">
        <f t="shared" si="88"/>
        <v>0.1059190031152648</v>
      </c>
      <c r="I257" s="68"/>
      <c r="J257" s="68"/>
      <c r="K257" s="127"/>
      <c r="L257" s="127"/>
      <c r="M257" s="127"/>
      <c r="N257" s="127"/>
      <c r="O257" s="127"/>
      <c r="P257" s="127"/>
      <c r="Q257" s="127"/>
      <c r="R257" s="128"/>
      <c r="S257" s="120"/>
      <c r="T257" s="127"/>
      <c r="U257" s="89"/>
      <c r="V257" s="103"/>
      <c r="W257" s="115"/>
      <c r="X257" s="265" t="str">
        <f t="shared" si="89"/>
        <v>West Sussex</v>
      </c>
      <c r="Y257" s="307">
        <f>IF(Year1_West_Sussex Year1_LAC_UASC="","",Year1_West_Sussex Year1_LAC_UASC)</f>
        <v>78</v>
      </c>
      <c r="Z257" s="248">
        <f>IF(Year2_West_Sussex Year2_LAC_UASC="","",Year2_West_Sussex Year2_LAC_UASC)</f>
        <v>80</v>
      </c>
      <c r="AA257" s="248">
        <f>IF(Year3_West_Sussex Year3_LAC_UASC="","",Year3_West_Sussex Year3_LAC_UASC)</f>
        <v>107</v>
      </c>
      <c r="AB257" s="248">
        <f>IF(Year4_West_Sussex Year4_LAC_UASC="","",Year4_West_Sussex Year4_LAC_UASC)</f>
        <v>88</v>
      </c>
      <c r="AC257" s="352">
        <f>IF(Year5_West_Sussex Year5_LAC_UASC="","",Year5_West_Sussex Year5_LAC_UASC)</f>
        <v>85</v>
      </c>
      <c r="AD257" s="307">
        <f t="shared" si="78"/>
        <v>806</v>
      </c>
      <c r="AE257" s="307">
        <f t="shared" si="79"/>
        <v>891</v>
      </c>
      <c r="AF257" s="307">
        <f t="shared" si="80"/>
        <v>860</v>
      </c>
      <c r="AG257" s="307">
        <f t="shared" si="81"/>
        <v>887</v>
      </c>
      <c r="AH257" s="307">
        <f t="shared" si="82"/>
        <v>906</v>
      </c>
      <c r="AI257" s="52"/>
      <c r="AJ257" s="121"/>
    </row>
    <row r="258" spans="1:76" s="61" customFormat="1" ht="13.5" customHeight="1">
      <c r="A258" s="1103">
        <f>VLOOKUP(B258,ReportData!$AQ$4:$AR$25,2,FALSE)</f>
        <v>0</v>
      </c>
      <c r="B258" s="885" t="str">
        <f t="shared" si="83"/>
        <v>West Berkshire</v>
      </c>
      <c r="C258" s="896"/>
      <c r="D258" s="922">
        <f t="shared" si="84"/>
        <v>9.6153846153846159E-2</v>
      </c>
      <c r="E258" s="922">
        <f t="shared" si="85"/>
        <v>7.5342465753424653E-2</v>
      </c>
      <c r="F258" s="922">
        <f t="shared" si="86"/>
        <v>0.15662650602409639</v>
      </c>
      <c r="G258" s="922">
        <f t="shared" si="87"/>
        <v>0.13197969543147209</v>
      </c>
      <c r="H258" s="923">
        <f t="shared" si="88"/>
        <v>0.13368983957219252</v>
      </c>
      <c r="I258" s="68"/>
      <c r="J258" s="68"/>
      <c r="K258" s="127"/>
      <c r="L258" s="127"/>
      <c r="M258" s="127"/>
      <c r="N258" s="127"/>
      <c r="O258" s="127"/>
      <c r="P258" s="127"/>
      <c r="Q258" s="127"/>
      <c r="R258" s="128"/>
      <c r="S258" s="120"/>
      <c r="T258" s="127"/>
      <c r="U258" s="89"/>
      <c r="V258" s="103"/>
      <c r="W258" s="115"/>
      <c r="X258" s="265" t="str">
        <f t="shared" si="89"/>
        <v>Windsor &amp; Maidenhead</v>
      </c>
      <c r="Y258" s="307">
        <f>IF(Year1_Windsor_and_Maidenhead Year1_LAC_UASC="","",Year1_Windsor_and_Maidenhead Year1_LAC_UASC)</f>
        <v>3</v>
      </c>
      <c r="Z258" s="248">
        <f>IF(Year2_Windsor_and_Maidenhead Year2_LAC_UASC="","",Year2_Windsor_and_Maidenhead Year2_LAC_UASC)</f>
        <v>6</v>
      </c>
      <c r="AA258" s="248">
        <f>IF(Year3_Windsor_and_Maidenhead Year3_LAC_UASC="","",Year3_Windsor_and_Maidenhead Year3_LAC_UASC)</f>
        <v>9</v>
      </c>
      <c r="AB258" s="248">
        <f>IF(Year4_Windsor_and_Maidenhead Year4_LAC_UASC="","",Year4_Windsor_and_Maidenhead Year4_LAC_UASC)</f>
        <v>31</v>
      </c>
      <c r="AC258" s="352">
        <f>IF(Year5_Windsor_and_Maidenhead Year5_LAC_UASC="","",Year5_Windsor_and_Maidenhead Year5_LAC_UASC)</f>
        <v>22</v>
      </c>
      <c r="AD258" s="307">
        <f t="shared" si="78"/>
        <v>116</v>
      </c>
      <c r="AE258" s="307">
        <f t="shared" si="79"/>
        <v>130</v>
      </c>
      <c r="AF258" s="307">
        <f t="shared" si="80"/>
        <v>128</v>
      </c>
      <c r="AG258" s="307">
        <f t="shared" si="81"/>
        <v>151</v>
      </c>
      <c r="AH258" s="307">
        <f t="shared" si="82"/>
        <v>140</v>
      </c>
      <c r="AI258" s="52"/>
      <c r="AJ258" s="121"/>
    </row>
    <row r="259" spans="1:76" s="61" customFormat="1" ht="13.5" customHeight="1">
      <c r="A259" s="1103">
        <f>VLOOKUP(B259,ReportData!$AQ$4:$AR$25,2,FALSE)</f>
        <v>0</v>
      </c>
      <c r="B259" s="885" t="str">
        <f t="shared" si="83"/>
        <v>West Sussex</v>
      </c>
      <c r="C259" s="896"/>
      <c r="D259" s="922">
        <f t="shared" si="84"/>
        <v>9.6774193548387094E-2</v>
      </c>
      <c r="E259" s="922">
        <f t="shared" si="85"/>
        <v>8.9786756453423114E-2</v>
      </c>
      <c r="F259" s="922">
        <f t="shared" si="86"/>
        <v>0.12441860465116279</v>
      </c>
      <c r="G259" s="922">
        <f t="shared" si="87"/>
        <v>9.92108229988726E-2</v>
      </c>
      <c r="H259" s="923">
        <f t="shared" si="88"/>
        <v>9.3818984547461362E-2</v>
      </c>
      <c r="I259" s="68"/>
      <c r="J259" s="68"/>
      <c r="K259" s="127"/>
      <c r="L259" s="127"/>
      <c r="M259" s="127"/>
      <c r="N259" s="127"/>
      <c r="O259" s="127"/>
      <c r="P259" s="127"/>
      <c r="Q259" s="127"/>
      <c r="R259" s="128"/>
      <c r="S259" s="120"/>
      <c r="T259" s="127"/>
      <c r="U259" s="89"/>
      <c r="V259" s="103"/>
      <c r="W259" s="115"/>
      <c r="X259" s="265" t="str">
        <f t="shared" si="89"/>
        <v>Wokingham</v>
      </c>
      <c r="Y259" s="307">
        <f>IF(Year1_Wokingham Year1_LAC_UASC="","",Year1_Wokingham Year1_LAC_UASC)</f>
        <v>7</v>
      </c>
      <c r="Z259" s="248">
        <f>IF(Year2_Wokingham Year2_LAC_UASC="","",Year2_Wokingham Year2_LAC_UASC)</f>
        <v>6</v>
      </c>
      <c r="AA259" s="248">
        <f>IF(Year3_Wokingham Year3_LAC_UASC="","",Year3_Wokingham Year3_LAC_UASC)</f>
        <v>26</v>
      </c>
      <c r="AB259" s="248">
        <f>IF(Year4_Wokingham Year4_LAC_UASC="","",Year4_Wokingham Year4_LAC_UASC)</f>
        <v>40</v>
      </c>
      <c r="AC259" s="352">
        <f>IF(Year5_Wokingham Year5_LAC_UASC="","",Year5_Wokingham Year5_LAC_UASC)</f>
        <v>36</v>
      </c>
      <c r="AD259" s="307">
        <f t="shared" si="78"/>
        <v>98</v>
      </c>
      <c r="AE259" s="307">
        <f t="shared" si="79"/>
        <v>101</v>
      </c>
      <c r="AF259" s="307">
        <f t="shared" si="80"/>
        <v>136</v>
      </c>
      <c r="AG259" s="307">
        <f t="shared" si="81"/>
        <v>137</v>
      </c>
      <c r="AH259" s="307">
        <f t="shared" si="82"/>
        <v>137</v>
      </c>
      <c r="AI259" s="52"/>
      <c r="AJ259" s="121"/>
    </row>
    <row r="260" spans="1:76" s="61" customFormat="1" ht="13.5" customHeight="1">
      <c r="A260" s="1103">
        <f>VLOOKUP(B260,ReportData!$AQ$4:$AR$25,2,FALSE)</f>
        <v>0</v>
      </c>
      <c r="B260" s="885" t="str">
        <f t="shared" si="83"/>
        <v>Windsor &amp; Maidenhead</v>
      </c>
      <c r="C260" s="896"/>
      <c r="D260" s="922">
        <f t="shared" si="84"/>
        <v>2.5862068965517241E-2</v>
      </c>
      <c r="E260" s="922">
        <f t="shared" si="85"/>
        <v>4.6153846153846156E-2</v>
      </c>
      <c r="F260" s="922">
        <f t="shared" si="86"/>
        <v>7.03125E-2</v>
      </c>
      <c r="G260" s="922">
        <f t="shared" si="87"/>
        <v>0.20529801324503311</v>
      </c>
      <c r="H260" s="923">
        <f t="shared" si="88"/>
        <v>0.15714285714285714</v>
      </c>
      <c r="I260" s="68"/>
      <c r="J260" s="68"/>
      <c r="K260" s="127"/>
      <c r="L260" s="127"/>
      <c r="M260" s="127"/>
      <c r="N260" s="127"/>
      <c r="O260" s="127"/>
      <c r="P260" s="127"/>
      <c r="Q260" s="127"/>
      <c r="R260" s="128"/>
      <c r="S260" s="120"/>
      <c r="T260" s="127"/>
      <c r="U260" s="89"/>
      <c r="V260" s="103"/>
      <c r="W260" s="115"/>
      <c r="X260" s="265" t="str">
        <f t="shared" si="89"/>
        <v>South East</v>
      </c>
      <c r="Y260" s="248">
        <f>IF(Year1_South_East Year1_LAC_UASC="","",Year1_South_East Year1_LAC_UASC)</f>
        <v>1040</v>
      </c>
      <c r="Z260" s="248">
        <f>IF(Year2_South_East Year2_LAC_UASC="","",Year2_South_East Year2_LAC_UASC)</f>
        <v>810</v>
      </c>
      <c r="AA260" s="248">
        <f>IF(Year3_South_East Year3_LAC_UASC="","",Year3_South_East Year3_LAC_UASC)</f>
        <v>1121</v>
      </c>
      <c r="AB260" s="248">
        <f>IF(Year4_South_East Year4_LAC_UASC="","",Year4_South_East Year4_LAC_UASC)</f>
        <v>1550</v>
      </c>
      <c r="AC260" s="352">
        <f>IF(Year5_South_East Year5_LAC_UASC="","",Year5_South_East Year5_LAC_UASC)</f>
        <v>1600</v>
      </c>
      <c r="AD260" s="248">
        <f>SUM(AD241:AD253,AD254:AD255,AD256:AD259)</f>
        <v>10429</v>
      </c>
      <c r="AE260" s="248">
        <f>SUM(AE241:AE253,AE254:AE255,AE256:AE259)</f>
        <v>9898</v>
      </c>
      <c r="AF260" s="248">
        <f>SUM(AF241:AF253,AF254:AF255,AF256:AF259)</f>
        <v>10400</v>
      </c>
      <c r="AG260" s="248">
        <f>SUM(AG241:AG253,AG254:AG255,AG256:AG259)</f>
        <v>10794</v>
      </c>
      <c r="AH260" s="248">
        <f>SUM(AH241:AH253,AH254:AH255,AH256:AH259)</f>
        <v>11176</v>
      </c>
      <c r="AI260" s="52"/>
      <c r="AJ260" s="121"/>
    </row>
    <row r="261" spans="1:76" s="61" customFormat="1" ht="13.5" customHeight="1">
      <c r="A261" s="1103">
        <f>VLOOKUP(B261,ReportData!$AQ$4:$AR$25,2,FALSE)</f>
        <v>0</v>
      </c>
      <c r="B261" s="885" t="str">
        <f t="shared" si="83"/>
        <v>Wokingham</v>
      </c>
      <c r="C261" s="896"/>
      <c r="D261" s="922">
        <f t="shared" si="84"/>
        <v>7.1428571428571425E-2</v>
      </c>
      <c r="E261" s="922">
        <f t="shared" si="85"/>
        <v>5.9405940594059403E-2</v>
      </c>
      <c r="F261" s="922">
        <f t="shared" si="86"/>
        <v>0.19117647058823528</v>
      </c>
      <c r="G261" s="922">
        <f t="shared" si="87"/>
        <v>0.29197080291970801</v>
      </c>
      <c r="H261" s="923">
        <f t="shared" si="88"/>
        <v>0.26277372262773724</v>
      </c>
      <c r="I261" s="68"/>
      <c r="J261" s="68"/>
      <c r="K261" s="127"/>
      <c r="L261" s="127"/>
      <c r="M261" s="127"/>
      <c r="N261" s="127"/>
      <c r="O261" s="127"/>
      <c r="P261" s="127"/>
      <c r="Q261" s="127"/>
      <c r="R261" s="128"/>
      <c r="S261" s="120"/>
      <c r="T261" s="127"/>
      <c r="U261" s="89"/>
      <c r="V261" s="103"/>
      <c r="W261" s="115"/>
      <c r="X261" s="265" t="str">
        <f t="shared" si="89"/>
        <v>England</v>
      </c>
      <c r="Y261" s="248">
        <f>IF(Year1_England Year1_LAC_UASC="","",Year1_England Year1_LAC_UASC)</f>
        <v>5000</v>
      </c>
      <c r="Z261" s="248">
        <f>IF(Year2_England Year2_LAC_UASC="","",Year2_England Year2_LAC_UASC)</f>
        <v>4070</v>
      </c>
      <c r="AA261" s="248">
        <f>IF(Year3_England Year3_LAC_UASC="","",Year3_England Year3_LAC_UASC)</f>
        <v>5570</v>
      </c>
      <c r="AB261" s="248">
        <f>IF(Year4_England Year4_LAC_UASC="","",Year4_England Year4_LAC_UASC)</f>
        <v>7290</v>
      </c>
      <c r="AC261" s="352">
        <f>IF(Year5_England Year5_LAC_UASC="","",Year5_England Year5_LAC_UASC)</f>
        <v>7380</v>
      </c>
      <c r="AD261" s="248">
        <f>IF(Year1_England Year1_LAC_3_or_more_Placements="","",Year1_England Year1_LAC_3_or_more_Placements)</f>
        <v>8690</v>
      </c>
      <c r="AE261" s="248">
        <f>IF(Year2_England Year2_LAC_3_or_more_Placements="","",Year2_England Year2_LAC_3_or_more_Placements)</f>
        <v>7230</v>
      </c>
      <c r="AF261" s="248">
        <f>IF(Year3_England Year3_LAC_3_or_more_Placements="","",Year3_England Year3_LAC_3_or_more_Placements)</f>
        <v>8030</v>
      </c>
      <c r="AG261" s="248">
        <f>IF(Year4_England Year4_LAC_3_or_more_Placements="","",Year4_England Year4_LAC_3_or_more_Placements)</f>
        <v>8630</v>
      </c>
      <c r="AH261" s="352">
        <f>IF(Year5_England Year5_LAC_3_or_more_Placements="","",Year5_England Year5_LAC_3_or_more_Placements)</f>
        <v>8690</v>
      </c>
      <c r="AI261" s="52"/>
      <c r="AJ261" s="121"/>
    </row>
    <row r="262" spans="1:76" s="61" customFormat="1" ht="13.5" customHeight="1">
      <c r="A262" s="1103"/>
      <c r="B262" s="886" t="str">
        <f t="shared" si="83"/>
        <v>South East</v>
      </c>
      <c r="C262" s="896"/>
      <c r="D262" s="924">
        <f>IF(AND(ISNUMBER(AD260),ISNUMBER(Y260)),Y260/AD260,NA())</f>
        <v>9.9721929235784837E-2</v>
      </c>
      <c r="E262" s="924">
        <f>IF(AND(ISNUMBER(AE260),ISNUMBER(Z260)),Z260/AE260,NA())</f>
        <v>8.1834714083653268E-2</v>
      </c>
      <c r="F262" s="924">
        <f>IF(AND(ISNUMBER(AF260),ISNUMBER(AA260)),AA260/AF260,NA())</f>
        <v>0.10778846153846154</v>
      </c>
      <c r="G262" s="924">
        <f>IF(AND(ISNUMBER(AG260),ISNUMBER(AB260)),AB260/AG260,NA())</f>
        <v>0.1435982953492681</v>
      </c>
      <c r="H262" s="925">
        <f>IF(AND(ISNUMBER(AH260),ISNUMBER(AC260)),AC260/AH260,NA())</f>
        <v>0.14316392269148176</v>
      </c>
      <c r="I262" s="68"/>
      <c r="J262" s="68"/>
      <c r="K262" s="129"/>
      <c r="L262" s="129"/>
      <c r="M262" s="129"/>
      <c r="N262" s="129"/>
      <c r="O262" s="129"/>
      <c r="P262" s="129"/>
      <c r="Q262" s="129"/>
      <c r="R262" s="130"/>
      <c r="S262" s="120"/>
      <c r="T262" s="131"/>
      <c r="U262" s="89"/>
      <c r="V262" s="103"/>
      <c r="W262" s="115"/>
      <c r="X262" s="56"/>
      <c r="Y262" s="141"/>
      <c r="Z262" s="56"/>
      <c r="AA262" s="56"/>
      <c r="AB262" s="56"/>
      <c r="AC262" s="56"/>
      <c r="AD262" s="149"/>
      <c r="AE262" s="52"/>
      <c r="AF262" s="52"/>
      <c r="AG262" s="52"/>
      <c r="AH262" s="56"/>
      <c r="AI262" s="52"/>
      <c r="AJ262" s="121"/>
    </row>
    <row r="263" spans="1:76" s="61" customFormat="1" ht="13.5" customHeight="1">
      <c r="A263" s="1148"/>
      <c r="B263" s="887" t="str">
        <f t="shared" si="83"/>
        <v>England</v>
      </c>
      <c r="C263" s="896"/>
      <c r="D263" s="926">
        <f>IF(AND(ISNUMBER(D31),ISNUMBER(Y261)),Y261/D31,NA())</f>
        <v>6.25E-2</v>
      </c>
      <c r="E263" s="926">
        <f>IF(AND(ISNUMBER(E31),ISNUMBER(Z261)),Z261/E31,NA())</f>
        <v>5.0338890812843221E-2</v>
      </c>
      <c r="F263" s="926">
        <f>IF(AND(ISNUMBER(F31),ISNUMBER(AA261)),AA261/F31,NA())</f>
        <v>6.7786296701959348E-2</v>
      </c>
      <c r="G263" s="926">
        <f>IF(AND(ISNUMBER(G31),ISNUMBER(AB261)),AB261/G31,NA())</f>
        <v>8.6951335877862593E-2</v>
      </c>
      <c r="H263" s="927">
        <f>IF(AND(ISNUMBER(H31),ISNUMBER(AC261)),AC261/H31,NA())</f>
        <v>8.8245844792538566E-2</v>
      </c>
      <c r="I263" s="68"/>
      <c r="J263" s="68"/>
      <c r="K263" s="129"/>
      <c r="L263" s="129"/>
      <c r="M263" s="129"/>
      <c r="N263" s="129"/>
      <c r="O263" s="129"/>
      <c r="P263" s="129"/>
      <c r="Q263" s="129"/>
      <c r="R263" s="130"/>
      <c r="S263" s="120"/>
      <c r="T263" s="131"/>
      <c r="U263" s="89"/>
      <c r="V263" s="103"/>
      <c r="W263" s="114"/>
      <c r="AI263" s="52"/>
      <c r="AJ263" s="122"/>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row>
    <row r="264" spans="1:76" s="61" customFormat="1" ht="4.5" customHeight="1">
      <c r="A264" s="217"/>
      <c r="B264" s="68"/>
      <c r="C264" s="68"/>
      <c r="D264" s="68"/>
      <c r="E264" s="68"/>
      <c r="F264" s="68"/>
      <c r="G264" s="68"/>
      <c r="H264" s="68"/>
      <c r="I264" s="68"/>
      <c r="J264" s="68"/>
      <c r="K264" s="129"/>
      <c r="L264" s="129"/>
      <c r="M264" s="129"/>
      <c r="N264" s="129"/>
      <c r="O264" s="129"/>
      <c r="P264" s="129"/>
      <c r="Q264" s="129"/>
      <c r="R264" s="130"/>
      <c r="S264" s="120"/>
      <c r="T264" s="131"/>
      <c r="U264" s="89"/>
      <c r="V264" s="103"/>
      <c r="W264" s="114"/>
      <c r="AI264" s="52"/>
      <c r="AJ264" s="122"/>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row>
    <row r="265" spans="1:76" s="56" customFormat="1" ht="42" customHeight="1">
      <c r="A265" s="166"/>
      <c r="B265" s="171"/>
      <c r="C265" s="171"/>
      <c r="D265" s="171"/>
      <c r="E265" s="171"/>
      <c r="F265" s="171"/>
      <c r="G265" s="171"/>
      <c r="H265" s="171"/>
      <c r="I265" s="171"/>
      <c r="J265" s="133"/>
      <c r="K265" s="133"/>
      <c r="L265" s="133"/>
      <c r="M265" s="133"/>
      <c r="N265" s="133"/>
      <c r="O265" s="133"/>
      <c r="P265" s="133"/>
      <c r="Q265" s="133"/>
      <c r="R265" s="101"/>
      <c r="S265" s="133"/>
      <c r="T265" s="133"/>
      <c r="U265" s="86"/>
      <c r="V265" s="102"/>
      <c r="W265" s="114"/>
      <c r="Y265" s="141"/>
      <c r="AD265" s="149"/>
      <c r="AE265" s="52"/>
      <c r="AF265" s="52"/>
      <c r="AG265" s="52"/>
      <c r="AI265" s="52"/>
      <c r="AJ265" s="122"/>
    </row>
    <row r="266" spans="1:76" s="56" customFormat="1" ht="42.75" customHeight="1">
      <c r="A266" s="166"/>
      <c r="B266" s="171"/>
      <c r="C266" s="171"/>
      <c r="D266" s="171"/>
      <c r="E266" s="171"/>
      <c r="F266" s="171"/>
      <c r="G266" s="171"/>
      <c r="H266" s="171"/>
      <c r="I266" s="171"/>
      <c r="J266" s="133"/>
      <c r="K266" s="133"/>
      <c r="L266" s="133"/>
      <c r="M266" s="133"/>
      <c r="N266" s="133"/>
      <c r="O266" s="133"/>
      <c r="P266" s="133"/>
      <c r="Q266" s="133"/>
      <c r="R266" s="101"/>
      <c r="S266" s="133"/>
      <c r="T266" s="133"/>
      <c r="U266" s="86"/>
      <c r="V266" s="102"/>
      <c r="W266" s="114"/>
      <c r="Y266" s="141"/>
      <c r="AI266" s="52"/>
      <c r="AJ266" s="119"/>
      <c r="AK266" s="52"/>
      <c r="AL266" s="52"/>
      <c r="AM266" s="52"/>
      <c r="AN266" s="52"/>
      <c r="AO266" s="52"/>
      <c r="AP266" s="52"/>
      <c r="AQ266" s="52"/>
    </row>
    <row r="267" spans="1:76" s="56" customFormat="1" ht="42" customHeight="1">
      <c r="A267" s="166"/>
      <c r="B267" s="171"/>
      <c r="C267" s="171"/>
      <c r="D267" s="171"/>
      <c r="E267" s="171"/>
      <c r="F267" s="171"/>
      <c r="G267" s="171"/>
      <c r="H267" s="171"/>
      <c r="I267" s="171"/>
      <c r="J267" s="133"/>
      <c r="K267" s="133"/>
      <c r="L267" s="133"/>
      <c r="M267" s="133"/>
      <c r="N267" s="133"/>
      <c r="O267" s="133"/>
      <c r="P267" s="133"/>
      <c r="Q267" s="133"/>
      <c r="R267" s="101"/>
      <c r="S267" s="133"/>
      <c r="T267" s="133"/>
      <c r="U267" s="86"/>
      <c r="V267" s="121"/>
      <c r="W267" s="114"/>
      <c r="AJ267" s="122"/>
      <c r="AS267" s="52"/>
    </row>
    <row r="268" spans="1:76" s="56" customFormat="1" ht="7.5" customHeight="1">
      <c r="A268" s="87"/>
      <c r="B268" s="12"/>
      <c r="C268" s="12"/>
      <c r="D268" s="11"/>
      <c r="E268" s="11"/>
      <c r="F268" s="11"/>
      <c r="G268" s="11"/>
      <c r="H268" s="11"/>
      <c r="I268" s="11"/>
      <c r="J268" s="1"/>
      <c r="K268" s="13"/>
      <c r="L268" s="13"/>
      <c r="M268" s="13"/>
      <c r="N268" s="13"/>
      <c r="O268" s="13"/>
      <c r="P268" s="13"/>
      <c r="Q268" s="13"/>
      <c r="R268" s="13"/>
      <c r="S268" s="13"/>
      <c r="T268" s="14"/>
      <c r="U268" s="86"/>
      <c r="V268" s="185"/>
      <c r="W268" s="114"/>
      <c r="AI268" s="52"/>
      <c r="AJ268" s="121"/>
      <c r="AK268" s="61"/>
      <c r="AS268" s="52"/>
    </row>
    <row r="269" spans="1:76" s="56" customFormat="1" ht="15" customHeight="1">
      <c r="A269" s="1565"/>
      <c r="B269" s="1751"/>
      <c r="C269" s="1751"/>
      <c r="D269" s="1751"/>
      <c r="E269" s="1751"/>
      <c r="F269" s="1751"/>
      <c r="G269" s="1751"/>
      <c r="H269" s="1751"/>
      <c r="I269" s="1751"/>
      <c r="J269" s="1751"/>
      <c r="K269" s="1751"/>
      <c r="L269" s="1751"/>
      <c r="M269" s="1751"/>
      <c r="N269" s="1751"/>
      <c r="O269" s="1751"/>
      <c r="P269" s="1751"/>
      <c r="Q269" s="1751"/>
      <c r="R269" s="1751"/>
      <c r="S269" s="1751"/>
      <c r="T269" s="1751"/>
      <c r="U269" s="1752"/>
      <c r="V269" s="185"/>
      <c r="W269" s="114"/>
      <c r="X269" s="148"/>
      <c r="Y269" s="146"/>
      <c r="Z269" s="52"/>
      <c r="AI269" s="52"/>
      <c r="AJ269" s="121"/>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c r="BX269" s="52"/>
    </row>
    <row r="270" spans="1:76" s="56" customFormat="1" ht="11.25" customHeight="1">
      <c r="A270" s="1739"/>
      <c r="B270" s="1740"/>
      <c r="C270" s="1740"/>
      <c r="D270" s="1740"/>
      <c r="E270" s="1740"/>
      <c r="F270" s="1740"/>
      <c r="G270" s="1740"/>
      <c r="H270" s="1740"/>
      <c r="I270" s="1741"/>
      <c r="J270" s="1740"/>
      <c r="K270" s="1740"/>
      <c r="L270" s="1740"/>
      <c r="M270" s="1740"/>
      <c r="N270" s="1740"/>
      <c r="O270" s="1740"/>
      <c r="P270" s="1742"/>
      <c r="Q270" s="1740"/>
      <c r="R270" s="1740"/>
      <c r="S270" s="1741"/>
      <c r="T270" s="1740"/>
      <c r="U270" s="1743"/>
      <c r="V270" s="185"/>
      <c r="W270" s="114"/>
      <c r="X270" s="583" t="str">
        <f>IF(ReportData!C3="Annual",'Looked After Children'!AC3,(AC3&amp;" "&amp;AC2))</f>
        <v>2023/24</v>
      </c>
      <c r="Y270" s="250"/>
      <c r="Z270" s="251"/>
      <c r="AA270" s="251"/>
      <c r="AB270" s="251"/>
      <c r="AI270" s="52"/>
      <c r="AJ270" s="121"/>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c r="BX270" s="52"/>
    </row>
    <row r="271" spans="1:76" ht="10.5" customHeight="1">
      <c r="A271" s="81"/>
      <c r="B271" s="82"/>
      <c r="C271" s="82"/>
      <c r="D271" s="82"/>
      <c r="E271" s="82"/>
      <c r="F271" s="82"/>
      <c r="G271" s="82"/>
      <c r="H271" s="82"/>
      <c r="I271" s="82"/>
      <c r="J271" s="83"/>
      <c r="K271" s="82"/>
      <c r="L271" s="82"/>
      <c r="M271" s="82"/>
      <c r="N271" s="82"/>
      <c r="O271" s="82"/>
      <c r="P271" s="82"/>
      <c r="Q271" s="82"/>
      <c r="R271" s="82"/>
      <c r="S271" s="82"/>
      <c r="T271" s="82"/>
      <c r="U271" s="84"/>
      <c r="V271" s="102"/>
      <c r="W271" s="114"/>
      <c r="X271" s="249" t="s">
        <v>162</v>
      </c>
      <c r="Y271" s="250"/>
      <c r="Z271" s="251"/>
      <c r="AA271" s="251"/>
      <c r="AB271" s="251"/>
      <c r="AJ271" s="121"/>
    </row>
    <row r="272" spans="1:76" ht="45" customHeight="1">
      <c r="A272" s="87"/>
      <c r="B272" s="1928" t="str">
        <f>"Age breakdown of Children Looked After"&amp;Y1&amp;" ("&amp;X270&amp;") [SCB31-35]"</f>
        <v>Age breakdown of Children Looked After at 31st March (2023/24) [SCB31-35]</v>
      </c>
      <c r="C272" s="1928"/>
      <c r="D272" s="1928"/>
      <c r="E272" s="1928"/>
      <c r="F272" s="1928"/>
      <c r="G272" s="1928"/>
      <c r="H272" s="1928"/>
      <c r="I272" s="1928"/>
      <c r="J272" s="1928"/>
      <c r="K272" s="1928"/>
      <c r="L272" s="1928"/>
      <c r="M272" s="1928"/>
      <c r="N272" s="1928"/>
      <c r="O272" s="1928"/>
      <c r="P272" s="1928"/>
      <c r="Q272" s="1928"/>
      <c r="R272" s="1928"/>
      <c r="S272" s="1928"/>
      <c r="T272" s="1928"/>
      <c r="U272" s="86"/>
      <c r="V272" s="102"/>
      <c r="W272" s="115"/>
      <c r="X272" s="248"/>
      <c r="Y272" s="264" t="str">
        <f>D274</f>
        <v>Under 1</v>
      </c>
      <c r="Z272" s="264" t="str">
        <f>E274</f>
        <v xml:space="preserve">      1 - 4    </v>
      </c>
      <c r="AA272" s="264" t="str">
        <f>F274</f>
        <v xml:space="preserve">      5 - 9    </v>
      </c>
      <c r="AB272" s="264" t="str">
        <f>G274</f>
        <v xml:space="preserve">   10 - 15  </v>
      </c>
      <c r="AC272" s="264" t="str">
        <f>H274</f>
        <v>16 +</v>
      </c>
      <c r="AE272" s="56" t="s">
        <v>168</v>
      </c>
      <c r="AJ272" s="12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row>
    <row r="273" spans="1:76" ht="21" customHeight="1">
      <c r="A273" s="1185"/>
      <c r="B273" s="1921" t="s">
        <v>177</v>
      </c>
      <c r="C273" s="1208"/>
      <c r="D273" s="1708" t="s">
        <v>147</v>
      </c>
      <c r="E273" s="1708"/>
      <c r="F273" s="1708"/>
      <c r="G273" s="1708"/>
      <c r="H273" s="1709"/>
      <c r="I273" s="1925" t="s">
        <v>148</v>
      </c>
      <c r="J273" s="1926"/>
      <c r="K273" s="1926"/>
      <c r="L273" s="1926"/>
      <c r="M273" s="1926"/>
      <c r="N273" s="1927"/>
      <c r="O273" s="253"/>
      <c r="P273" s="254"/>
      <c r="Q273" s="254"/>
      <c r="R273" s="254"/>
      <c r="S273" s="133"/>
      <c r="T273" s="133"/>
      <c r="U273" s="86"/>
      <c r="V273" s="102"/>
      <c r="W273" s="115"/>
      <c r="X273" s="248" t="str">
        <f t="shared" ref="X273:X285" si="90">B275</f>
        <v>Bracknell Forest</v>
      </c>
      <c r="Y273" s="248">
        <f>IF(Year5_Bracknell_Forest Year5_LAC_Under1="","",Year5_Bracknell_Forest Year5_LAC_Under1)</f>
        <v>9</v>
      </c>
      <c r="Z273" s="248">
        <f>IF(Year5_Bracknell_Forest Year5_LAC_1to4="","",Year5_Bracknell_Forest Year5_LAC_1to4)</f>
        <v>11</v>
      </c>
      <c r="AA273" s="248">
        <f>IF(Year5_Bracknell_Forest Year5_LAC_5to9="","",Year5_Bracknell_Forest Year5_LAC_5to9)</f>
        <v>14</v>
      </c>
      <c r="AB273" s="248">
        <f>IF(Year5_Bracknell_Forest Year5_LAC_10to15="","",Year5_Bracknell_Forest Year5_LAC_10to15)</f>
        <v>42</v>
      </c>
      <c r="AC273" s="248">
        <f>IF(Year5_Bracknell_Forest Year5_LAC_16plus="","",Year5_Bracknell_Forest Year5_LAC_16plus)</f>
        <v>64</v>
      </c>
      <c r="AD273" s="56" t="e">
        <f>IF(X273=$Y$4,1,NA())</f>
        <v>#N/A</v>
      </c>
      <c r="AE273" s="56">
        <f>IF(SUM(Y273:AC273)&gt;0,SUM(Y273:AC273),NA())</f>
        <v>140</v>
      </c>
      <c r="AJ273" s="12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row>
    <row r="274" spans="1:76" s="61" customFormat="1" ht="16.5" customHeight="1">
      <c r="A274" s="1148"/>
      <c r="B274" s="1922"/>
      <c r="C274" s="896"/>
      <c r="D274" s="1209" t="s">
        <v>137</v>
      </c>
      <c r="E274" s="1209" t="s">
        <v>139</v>
      </c>
      <c r="F274" s="1209" t="s">
        <v>140</v>
      </c>
      <c r="G274" s="1209" t="s">
        <v>141</v>
      </c>
      <c r="H274" s="1210" t="s">
        <v>138</v>
      </c>
      <c r="I274" s="1216" t="s">
        <v>142</v>
      </c>
      <c r="J274" s="1923" t="s">
        <v>143</v>
      </c>
      <c r="K274" s="1924"/>
      <c r="L274" s="1217" t="s">
        <v>144</v>
      </c>
      <c r="M274" s="1218" t="s">
        <v>145</v>
      </c>
      <c r="N274" s="1219" t="s">
        <v>146</v>
      </c>
      <c r="O274" s="255"/>
      <c r="P274" s="171"/>
      <c r="Q274" s="171"/>
      <c r="R274" s="171"/>
      <c r="S274" s="133"/>
      <c r="T274" s="133"/>
      <c r="U274" s="89"/>
      <c r="V274" s="103"/>
      <c r="W274" s="115"/>
      <c r="X274" s="248" t="str">
        <f t="shared" si="90"/>
        <v>Brighton &amp; Hove</v>
      </c>
      <c r="Y274" s="248">
        <f>IF(Year5_Brighton_and_Hove Year5_LAC_Under1="","",Year5_Brighton_and_Hove Year5_LAC_Under1)</f>
        <v>15</v>
      </c>
      <c r="Z274" s="248">
        <f>IF(Year5_Brighton_and_Hove Year5_LAC_1to4="","",Year5_Brighton_and_Hove Year5_LAC_1to4)</f>
        <v>32</v>
      </c>
      <c r="AA274" s="248">
        <f>IF(Year5_Brighton_and_Hove Year5_LAC_5to9="","",Year5_Brighton_and_Hove Year5_LAC_5to9)</f>
        <v>51</v>
      </c>
      <c r="AB274" s="248">
        <f>IF(Year5_Brighton_and_Hove Year5_LAC_10to15="","",Year5_Brighton_and_Hove Year5_LAC_10to15)</f>
        <v>139</v>
      </c>
      <c r="AC274" s="248">
        <f>IF(Year5_Brighton_and_Hove Year5_LAC_16plus="","",Year5_Brighton_and_Hove Year5_LAC_16plus)</f>
        <v>117</v>
      </c>
      <c r="AD274" s="56" t="e">
        <f>IF(X274=$Y$4,1,NA())</f>
        <v>#N/A</v>
      </c>
      <c r="AE274" s="56">
        <f t="shared" ref="AE274:AE285" si="91">IF(SUM(Y274:AC274)&gt;0,SUM(Y274:AC274),NA())</f>
        <v>354</v>
      </c>
      <c r="AF274" s="56"/>
      <c r="AG274" s="56"/>
      <c r="AH274" s="56"/>
      <c r="AI274" s="52"/>
      <c r="AJ274" s="121"/>
    </row>
    <row r="275" spans="1:76" s="61" customFormat="1" ht="15.75" customHeight="1">
      <c r="A275" s="1103">
        <f>VLOOKUP(B275,ReportData!$AQ$4:$AR$25,2,FALSE)</f>
        <v>0</v>
      </c>
      <c r="B275" s="885" t="str">
        <f t="shared" ref="B275:B294" si="92">B175</f>
        <v>Bracknell Forest</v>
      </c>
      <c r="C275" s="896"/>
      <c r="D275" s="891">
        <f>IF(ISNUMBER(Y273),Y273,NA())</f>
        <v>9</v>
      </c>
      <c r="E275" s="891">
        <f>IF(ISNUMBER(Z273),Z273,NA())</f>
        <v>11</v>
      </c>
      <c r="F275" s="891">
        <f>IF(ISNUMBER(AA273),AA273,NA())</f>
        <v>14</v>
      </c>
      <c r="G275" s="891">
        <f>IF(ISNUMBER(AB273),AB273,NA())</f>
        <v>42</v>
      </c>
      <c r="H275" s="1211">
        <f>IF(ISNUMBER(AC273),AC273,NA())</f>
        <v>64</v>
      </c>
      <c r="I275" s="922">
        <f>IF($AE273&gt;0,Y273/$AE273,NA())</f>
        <v>6.4285714285714279E-2</v>
      </c>
      <c r="J275" s="1933">
        <f>IF($AE273&gt;0,Z273/$AE273,NA())</f>
        <v>7.857142857142857E-2</v>
      </c>
      <c r="K275" s="1934"/>
      <c r="L275" s="922">
        <f>IF($AE273&gt;0,AA273/$AE273,NA())</f>
        <v>0.1</v>
      </c>
      <c r="M275" s="922">
        <f>IF($AE273&gt;0,AB273/$AE273,NA())</f>
        <v>0.3</v>
      </c>
      <c r="N275" s="923">
        <f>IF($AE273&gt;0,AC273/$AE273,NA())</f>
        <v>0.45714285714285713</v>
      </c>
      <c r="O275" s="255"/>
      <c r="P275" s="171"/>
      <c r="Q275" s="171"/>
      <c r="R275" s="171"/>
      <c r="S275" s="133"/>
      <c r="T275" s="133"/>
      <c r="U275" s="89"/>
      <c r="V275" s="103"/>
      <c r="W275" s="115"/>
      <c r="X275" s="248" t="str">
        <f t="shared" si="90"/>
        <v>Buckinghamshire</v>
      </c>
      <c r="Y275" s="248">
        <f>IF(Year5_Buckinghamshire Year5_LAC_Under1="","",Year5_Buckinghamshire Year5_LAC_Under1)</f>
        <v>24</v>
      </c>
      <c r="Z275" s="248">
        <f>IF(Year5_Buckinghamshire Year5_LAC_1to4="","",Year5_Buckinghamshire Year5_LAC_1to4)</f>
        <v>44</v>
      </c>
      <c r="AA275" s="248">
        <f>IF(Year5_Buckinghamshire Year5_LAC_5to9="","",Year5_Buckinghamshire Year5_LAC_5to9)</f>
        <v>82</v>
      </c>
      <c r="AB275" s="248">
        <f>IF(Year5_Buckinghamshire Year5_LAC_10to15="","",Year5_Buckinghamshire Year5_LAC_10to15)</f>
        <v>203</v>
      </c>
      <c r="AC275" s="248">
        <f>IF(Year5_Buckinghamshire Year5_LAC_16plus="","",Year5_Buckinghamshire Year5_LAC_16plus)</f>
        <v>170</v>
      </c>
      <c r="AD275" s="56" t="e">
        <f t="shared" ref="AD275:AD285" si="93">IF(X275=$Y$4,1,NA())</f>
        <v>#N/A</v>
      </c>
      <c r="AE275" s="56">
        <f t="shared" si="91"/>
        <v>523</v>
      </c>
      <c r="AF275" s="56"/>
      <c r="AG275" s="56"/>
      <c r="AH275" s="56"/>
      <c r="AI275" s="52"/>
      <c r="AJ275" s="121"/>
    </row>
    <row r="276" spans="1:76" s="61" customFormat="1" ht="15.75" customHeight="1">
      <c r="A276" s="1103">
        <f>VLOOKUP(B276,ReportData!$AQ$4:$AR$25,2,FALSE)</f>
        <v>0</v>
      </c>
      <c r="B276" s="885" t="str">
        <f t="shared" si="92"/>
        <v>Brighton &amp; Hove</v>
      </c>
      <c r="C276" s="896"/>
      <c r="D276" s="891">
        <f t="shared" ref="D276:D287" si="94">IF(ISNUMBER(Y274),Y274,NA())</f>
        <v>15</v>
      </c>
      <c r="E276" s="891">
        <f t="shared" ref="E276:E287" si="95">IF(ISNUMBER(Z274),Z274,NA())</f>
        <v>32</v>
      </c>
      <c r="F276" s="891">
        <f t="shared" ref="F276:F287" si="96">IF(ISNUMBER(AA274),AA274,NA())</f>
        <v>51</v>
      </c>
      <c r="G276" s="891">
        <f t="shared" ref="G276:G287" si="97">IF(ISNUMBER(AB274),AB274,NA())</f>
        <v>139</v>
      </c>
      <c r="H276" s="1211">
        <f t="shared" ref="H276:H287" si="98">IF(ISNUMBER(AC274),AC274,NA())</f>
        <v>117</v>
      </c>
      <c r="I276" s="922">
        <f t="shared" ref="I276:J287" si="99">IF($AE274&gt;0,Y274/$AE274,NA())</f>
        <v>4.2372881355932202E-2</v>
      </c>
      <c r="J276" s="1933">
        <f t="shared" si="99"/>
        <v>9.03954802259887E-2</v>
      </c>
      <c r="K276" s="1934"/>
      <c r="L276" s="922">
        <f t="shared" ref="L276:L287" si="100">IF($AE274&gt;0,AA274/$AE274,NA())</f>
        <v>0.1440677966101695</v>
      </c>
      <c r="M276" s="922">
        <f t="shared" ref="M276:M287" si="101">IF($AE274&gt;0,AB274/$AE274,NA())</f>
        <v>0.39265536723163841</v>
      </c>
      <c r="N276" s="923">
        <f t="shared" ref="N276:N287" si="102">IF($AE274&gt;0,AC274/$AE274,NA())</f>
        <v>0.33050847457627119</v>
      </c>
      <c r="O276" s="255"/>
      <c r="P276" s="171"/>
      <c r="Q276" s="171"/>
      <c r="R276" s="171"/>
      <c r="S276" s="133"/>
      <c r="T276" s="133"/>
      <c r="U276" s="89"/>
      <c r="V276" s="103"/>
      <c r="W276" s="115"/>
      <c r="X276" s="248" t="str">
        <f t="shared" si="90"/>
        <v>East Sussex</v>
      </c>
      <c r="Y276" s="248">
        <f>IF(Year5_East_Sussex Year5_LAC_Under1="","",Year5_East_Sussex Year5_LAC_Under1)</f>
        <v>22</v>
      </c>
      <c r="Z276" s="248">
        <f>IF(Year5_East_Sussex Year5_LAC_1to4="","",Year5_East_Sussex Year5_LAC_1to4)</f>
        <v>69</v>
      </c>
      <c r="AA276" s="248">
        <f>IF(Year5_East_Sussex Year5_LAC_5to9="","",Year5_East_Sussex Year5_LAC_5to9)</f>
        <v>105</v>
      </c>
      <c r="AB276" s="248">
        <f>IF(Year5_East_Sussex Year5_LAC_10to15="","",Year5_East_Sussex Year5_LAC_10to15)</f>
        <v>282</v>
      </c>
      <c r="AC276" s="248">
        <f>IF(Year5_East_Sussex Year5_LAC_16plus="","",Year5_East_Sussex Year5_LAC_16plus)</f>
        <v>179</v>
      </c>
      <c r="AD276" s="56" t="e">
        <f t="shared" si="93"/>
        <v>#N/A</v>
      </c>
      <c r="AE276" s="56">
        <f t="shared" si="91"/>
        <v>657</v>
      </c>
      <c r="AF276" s="56"/>
      <c r="AG276" s="56"/>
      <c r="AH276" s="56"/>
      <c r="AI276" s="52"/>
      <c r="AJ276" s="121"/>
    </row>
    <row r="277" spans="1:76" s="61" customFormat="1" ht="15.75" customHeight="1">
      <c r="A277" s="1103">
        <f>VLOOKUP(B277,ReportData!$AQ$4:$AR$25,2,FALSE)</f>
        <v>0</v>
      </c>
      <c r="B277" s="885" t="str">
        <f t="shared" si="92"/>
        <v>Buckinghamshire</v>
      </c>
      <c r="C277" s="896"/>
      <c r="D277" s="891">
        <f t="shared" si="94"/>
        <v>24</v>
      </c>
      <c r="E277" s="891">
        <f t="shared" si="95"/>
        <v>44</v>
      </c>
      <c r="F277" s="891">
        <f t="shared" si="96"/>
        <v>82</v>
      </c>
      <c r="G277" s="891">
        <f t="shared" si="97"/>
        <v>203</v>
      </c>
      <c r="H277" s="1211">
        <f t="shared" si="98"/>
        <v>170</v>
      </c>
      <c r="I277" s="922">
        <f t="shared" si="99"/>
        <v>4.5889101338432124E-2</v>
      </c>
      <c r="J277" s="1933">
        <f t="shared" si="99"/>
        <v>8.4130019120458893E-2</v>
      </c>
      <c r="K277" s="1934"/>
      <c r="L277" s="922">
        <f t="shared" si="100"/>
        <v>0.15678776290630975</v>
      </c>
      <c r="M277" s="922">
        <f t="shared" si="101"/>
        <v>0.3881453154875717</v>
      </c>
      <c r="N277" s="923">
        <f t="shared" si="102"/>
        <v>0.32504780114722753</v>
      </c>
      <c r="O277" s="255"/>
      <c r="P277" s="171"/>
      <c r="Q277" s="171"/>
      <c r="R277" s="171"/>
      <c r="S277" s="133"/>
      <c r="T277" s="133"/>
      <c r="U277" s="89"/>
      <c r="V277" s="103"/>
      <c r="W277" s="115"/>
      <c r="X277" s="248" t="str">
        <f t="shared" si="90"/>
        <v>Hampshire</v>
      </c>
      <c r="Y277" s="248">
        <f>IF(Year5_Hampshire Year5_LAC_Under1="","",Year5_Hampshire Year5_LAC_Under1)</f>
        <v>55</v>
      </c>
      <c r="Z277" s="248">
        <f>IF(Year5_Hampshire Year5_LAC_1to4="","",Year5_Hampshire Year5_LAC_1to4)</f>
        <v>175</v>
      </c>
      <c r="AA277" s="248">
        <f>IF(Year5_Hampshire Year5_LAC_5to9="","",Year5_Hampshire Year5_LAC_5to9)</f>
        <v>344</v>
      </c>
      <c r="AB277" s="248">
        <f>IF(Year5_Hampshire Year5_LAC_10to15="","",Year5_Hampshire Year5_LAC_10to15)</f>
        <v>755</v>
      </c>
      <c r="AC277" s="248">
        <f>IF(Year5_Hampshire Year5_LAC_16plus="","",Year5_Hampshire Year5_LAC_16plus)</f>
        <v>588</v>
      </c>
      <c r="AD277" s="56" t="e">
        <f t="shared" si="93"/>
        <v>#N/A</v>
      </c>
      <c r="AE277" s="56">
        <f t="shared" si="91"/>
        <v>1917</v>
      </c>
      <c r="AF277" s="56"/>
      <c r="AG277" s="56"/>
      <c r="AH277" s="56"/>
      <c r="AI277" s="52"/>
      <c r="AJ277" s="121"/>
    </row>
    <row r="278" spans="1:76" s="61" customFormat="1" ht="15.75" customHeight="1">
      <c r="A278" s="1103">
        <f>VLOOKUP(B278,ReportData!$AQ$4:$AR$25,2,FALSE)</f>
        <v>0</v>
      </c>
      <c r="B278" s="885" t="str">
        <f t="shared" si="92"/>
        <v>East Sussex</v>
      </c>
      <c r="C278" s="896"/>
      <c r="D278" s="891">
        <f t="shared" si="94"/>
        <v>22</v>
      </c>
      <c r="E278" s="891">
        <f t="shared" si="95"/>
        <v>69</v>
      </c>
      <c r="F278" s="891">
        <f t="shared" si="96"/>
        <v>105</v>
      </c>
      <c r="G278" s="891">
        <f t="shared" si="97"/>
        <v>282</v>
      </c>
      <c r="H278" s="1211">
        <f t="shared" si="98"/>
        <v>179</v>
      </c>
      <c r="I278" s="922">
        <f t="shared" si="99"/>
        <v>3.3485540334855401E-2</v>
      </c>
      <c r="J278" s="1933">
        <f t="shared" si="99"/>
        <v>0.1050228310502283</v>
      </c>
      <c r="K278" s="1934"/>
      <c r="L278" s="922">
        <f t="shared" si="100"/>
        <v>0.15981735159817351</v>
      </c>
      <c r="M278" s="922">
        <f t="shared" si="101"/>
        <v>0.42922374429223742</v>
      </c>
      <c r="N278" s="923">
        <f t="shared" si="102"/>
        <v>0.27245053272450531</v>
      </c>
      <c r="O278" s="255"/>
      <c r="P278" s="171"/>
      <c r="Q278" s="171"/>
      <c r="R278" s="171"/>
      <c r="S278" s="133"/>
      <c r="T278" s="133"/>
      <c r="U278" s="89"/>
      <c r="V278" s="103"/>
      <c r="W278" s="115"/>
      <c r="X278" s="248" t="str">
        <f t="shared" si="90"/>
        <v>Isle of Wight</v>
      </c>
      <c r="Y278" s="248">
        <f>IF(Year5_Isle_of_Wight Year5_LAC_Under1="","",Year5_Isle_of_Wight Year5_LAC_Under1)</f>
        <v>8</v>
      </c>
      <c r="Z278" s="248">
        <f>IF(Year5_Isle_of_Wight Year5_LAC_1to4="","",Year5_Isle_of_Wight Year5_LAC_1to4)</f>
        <v>32</v>
      </c>
      <c r="AA278" s="248">
        <f>IF(Year5_Isle_of_Wight Year5_LAC_5to9="","",Year5_Isle_of_Wight Year5_LAC_5to9)</f>
        <v>58</v>
      </c>
      <c r="AB278" s="248">
        <f>IF(Year5_Isle_of_Wight Year5_LAC_10to15="","",Year5_Isle_of_Wight Year5_LAC_10to15)</f>
        <v>111</v>
      </c>
      <c r="AC278" s="248">
        <f>IF(Year5_Isle_of_Wight Year5_LAC_16plus="","",Year5_Isle_of_Wight Year5_LAC_16plus)</f>
        <v>70</v>
      </c>
      <c r="AD278" s="56" t="e">
        <f t="shared" si="93"/>
        <v>#N/A</v>
      </c>
      <c r="AE278" s="56">
        <f t="shared" si="91"/>
        <v>279</v>
      </c>
      <c r="AF278" s="56"/>
      <c r="AG278" s="56"/>
      <c r="AH278" s="56"/>
      <c r="AI278" s="52"/>
      <c r="AJ278" s="121"/>
      <c r="AR278" s="61" t="s">
        <v>95</v>
      </c>
    </row>
    <row r="279" spans="1:76" s="61" customFormat="1" ht="15.75" customHeight="1">
      <c r="A279" s="1103">
        <f>VLOOKUP(B279,ReportData!$AQ$4:$AR$25,2,FALSE)</f>
        <v>0</v>
      </c>
      <c r="B279" s="885" t="str">
        <f t="shared" si="92"/>
        <v>Hampshire</v>
      </c>
      <c r="C279" s="896"/>
      <c r="D279" s="891">
        <f t="shared" si="94"/>
        <v>55</v>
      </c>
      <c r="E279" s="891">
        <f t="shared" si="95"/>
        <v>175</v>
      </c>
      <c r="F279" s="891">
        <f t="shared" si="96"/>
        <v>344</v>
      </c>
      <c r="G279" s="891">
        <f t="shared" si="97"/>
        <v>755</v>
      </c>
      <c r="H279" s="1211">
        <f t="shared" si="98"/>
        <v>588</v>
      </c>
      <c r="I279" s="922">
        <f t="shared" si="99"/>
        <v>2.8690662493479395E-2</v>
      </c>
      <c r="J279" s="1933">
        <f t="shared" si="99"/>
        <v>9.1288471570161706E-2</v>
      </c>
      <c r="K279" s="1934"/>
      <c r="L279" s="922">
        <f t="shared" si="100"/>
        <v>0.17944705268648931</v>
      </c>
      <c r="M279" s="922">
        <f t="shared" si="101"/>
        <v>0.39384454877412622</v>
      </c>
      <c r="N279" s="923">
        <f t="shared" si="102"/>
        <v>0.30672926447574334</v>
      </c>
      <c r="O279" s="255"/>
      <c r="P279" s="171"/>
      <c r="Q279" s="171"/>
      <c r="R279" s="171"/>
      <c r="S279" s="133"/>
      <c r="T279" s="133"/>
      <c r="U279" s="89"/>
      <c r="V279" s="103"/>
      <c r="W279" s="115"/>
      <c r="X279" s="248" t="str">
        <f t="shared" si="90"/>
        <v>Kent</v>
      </c>
      <c r="Y279" s="248">
        <f>IF(Year5_Kent Year5_LAC_Under1="","",Year5_Kent Year5_LAC_Under1)</f>
        <v>67</v>
      </c>
      <c r="Z279" s="248">
        <f>IF(Year5_Kent Year5_LAC_1to4="","",Year5_Kent Year5_LAC_1to4)</f>
        <v>172</v>
      </c>
      <c r="AA279" s="248">
        <f>IF(Year5_Kent Year5_LAC_5to9="","",Year5_Kent Year5_LAC_5to9)</f>
        <v>233</v>
      </c>
      <c r="AB279" s="248">
        <f>IF(Year5_Kent Year5_LAC_10to15="","",Year5_Kent Year5_LAC_10to15)</f>
        <v>662</v>
      </c>
      <c r="AC279" s="248">
        <f>IF(Year5_Kent Year5_LAC_16plus="","",Year5_Kent Year5_LAC_16plus)</f>
        <v>826</v>
      </c>
      <c r="AD279" s="56" t="e">
        <f t="shared" si="93"/>
        <v>#N/A</v>
      </c>
      <c r="AE279" s="56">
        <f t="shared" si="91"/>
        <v>1960</v>
      </c>
      <c r="AF279" s="56"/>
      <c r="AG279" s="56"/>
      <c r="AH279" s="56"/>
      <c r="AI279" s="52"/>
      <c r="AJ279" s="121"/>
    </row>
    <row r="280" spans="1:76" s="61" customFormat="1" ht="15.75" customHeight="1">
      <c r="A280" s="1103">
        <f>VLOOKUP(B280,ReportData!$AQ$4:$AR$25,2,FALSE)</f>
        <v>0</v>
      </c>
      <c r="B280" s="885" t="str">
        <f t="shared" si="92"/>
        <v>Isle of Wight</v>
      </c>
      <c r="C280" s="896"/>
      <c r="D280" s="891">
        <f t="shared" si="94"/>
        <v>8</v>
      </c>
      <c r="E280" s="891">
        <f t="shared" si="95"/>
        <v>32</v>
      </c>
      <c r="F280" s="891">
        <f t="shared" si="96"/>
        <v>58</v>
      </c>
      <c r="G280" s="891">
        <f t="shared" si="97"/>
        <v>111</v>
      </c>
      <c r="H280" s="1211">
        <f t="shared" si="98"/>
        <v>70</v>
      </c>
      <c r="I280" s="922">
        <f t="shared" si="99"/>
        <v>2.8673835125448029E-2</v>
      </c>
      <c r="J280" s="1933">
        <f t="shared" si="99"/>
        <v>0.11469534050179211</v>
      </c>
      <c r="K280" s="1934"/>
      <c r="L280" s="922">
        <f t="shared" si="100"/>
        <v>0.2078853046594982</v>
      </c>
      <c r="M280" s="922">
        <f t="shared" si="101"/>
        <v>0.39784946236559138</v>
      </c>
      <c r="N280" s="923">
        <f t="shared" si="102"/>
        <v>0.25089605734767023</v>
      </c>
      <c r="O280" s="255"/>
      <c r="P280" s="171"/>
      <c r="Q280" s="171"/>
      <c r="R280" s="171"/>
      <c r="S280" s="133"/>
      <c r="T280" s="133"/>
      <c r="U280" s="89"/>
      <c r="V280" s="103"/>
      <c r="W280" s="115"/>
      <c r="X280" s="248" t="str">
        <f t="shared" si="90"/>
        <v>Medway</v>
      </c>
      <c r="Y280" s="248">
        <f>IF(Year5_Medway Year5_LAC_Under1="","",Year5_Medway Year5_LAC_Under1)</f>
        <v>23</v>
      </c>
      <c r="Z280" s="248">
        <f>IF(Year5_Medway Year5_LAC_1to4="","",Year5_Medway Year5_LAC_1to4)</f>
        <v>54</v>
      </c>
      <c r="AA280" s="248">
        <f>IF(Year5_Medway Year5_LAC_5to9="","",Year5_Medway Year5_LAC_5to9)</f>
        <v>81</v>
      </c>
      <c r="AB280" s="248">
        <f>IF(Year5_Medway Year5_LAC_10to15="","",Year5_Medway Year5_LAC_10to15)</f>
        <v>208</v>
      </c>
      <c r="AC280" s="248">
        <f>IF(Year5_Medway Year5_LAC_16plus="","",Year5_Medway Year5_LAC_16plus)</f>
        <v>110</v>
      </c>
      <c r="AD280" s="56" t="e">
        <f t="shared" si="93"/>
        <v>#N/A</v>
      </c>
      <c r="AE280" s="56">
        <f t="shared" si="91"/>
        <v>476</v>
      </c>
      <c r="AF280" s="56"/>
      <c r="AG280" s="56"/>
      <c r="AH280" s="56"/>
      <c r="AI280" s="52"/>
      <c r="AJ280" s="121"/>
    </row>
    <row r="281" spans="1:76" s="61" customFormat="1" ht="15.75" customHeight="1">
      <c r="A281" s="1103">
        <f>VLOOKUP(B281,ReportData!$AQ$4:$AR$25,2,FALSE)</f>
        <v>0</v>
      </c>
      <c r="B281" s="885" t="str">
        <f t="shared" si="92"/>
        <v>Kent</v>
      </c>
      <c r="C281" s="896"/>
      <c r="D281" s="891">
        <f t="shared" si="94"/>
        <v>67</v>
      </c>
      <c r="E281" s="891">
        <f t="shared" si="95"/>
        <v>172</v>
      </c>
      <c r="F281" s="891">
        <f t="shared" si="96"/>
        <v>233</v>
      </c>
      <c r="G281" s="891">
        <f t="shared" si="97"/>
        <v>662</v>
      </c>
      <c r="H281" s="1211">
        <f t="shared" si="98"/>
        <v>826</v>
      </c>
      <c r="I281" s="922">
        <f t="shared" si="99"/>
        <v>3.4183673469387756E-2</v>
      </c>
      <c r="J281" s="1933">
        <f t="shared" si="99"/>
        <v>8.7755102040816324E-2</v>
      </c>
      <c r="K281" s="1934"/>
      <c r="L281" s="922">
        <f t="shared" si="100"/>
        <v>0.11887755102040816</v>
      </c>
      <c r="M281" s="922">
        <f t="shared" si="101"/>
        <v>0.33775510204081632</v>
      </c>
      <c r="N281" s="923">
        <f t="shared" si="102"/>
        <v>0.42142857142857143</v>
      </c>
      <c r="O281" s="255"/>
      <c r="P281" s="171"/>
      <c r="Q281" s="171"/>
      <c r="R281" s="171"/>
      <c r="S281" s="133"/>
      <c r="T281" s="133"/>
      <c r="U281" s="89"/>
      <c r="V281" s="103"/>
      <c r="W281" s="115"/>
      <c r="X281" s="248" t="str">
        <f t="shared" si="90"/>
        <v>Milton Keynes</v>
      </c>
      <c r="Y281" s="248">
        <f>IF(Year5_Milton_Keynes Year5_LAC_Under1="","",Year5_Milton_Keynes Year5_LAC_Under1)</f>
        <v>24</v>
      </c>
      <c r="Z281" s="248">
        <f>IF(Year5_Milton_Keynes Year5_LAC_1to4="","",Year5_Milton_Keynes Year5_LAC_1to4)</f>
        <v>60</v>
      </c>
      <c r="AA281" s="248">
        <f>IF(Year5_Milton_Keynes Year5_LAC_5to9="","",Year5_Milton_Keynes Year5_LAC_5to9)</f>
        <v>58</v>
      </c>
      <c r="AB281" s="248">
        <f>IF(Year5_Milton_Keynes Year5_LAC_10to15="","",Year5_Milton_Keynes Year5_LAC_10to15)</f>
        <v>165</v>
      </c>
      <c r="AC281" s="248">
        <f>IF(Year5_Milton_Keynes Year5_LAC_16plus="","",Year5_Milton_Keynes Year5_LAC_16plus)</f>
        <v>103</v>
      </c>
      <c r="AD281" s="56" t="e">
        <f t="shared" si="93"/>
        <v>#N/A</v>
      </c>
      <c r="AE281" s="56">
        <f t="shared" si="91"/>
        <v>410</v>
      </c>
      <c r="AF281" s="56"/>
      <c r="AG281" s="56"/>
      <c r="AH281" s="56"/>
      <c r="AI281" s="52"/>
      <c r="AJ281" s="121"/>
    </row>
    <row r="282" spans="1:76" s="61" customFormat="1" ht="15.75" customHeight="1">
      <c r="A282" s="1103">
        <f>VLOOKUP(B282,ReportData!$AQ$4:$AR$25,2,FALSE)</f>
        <v>0</v>
      </c>
      <c r="B282" s="885" t="str">
        <f t="shared" si="92"/>
        <v>Medway</v>
      </c>
      <c r="C282" s="896"/>
      <c r="D282" s="891">
        <f t="shared" si="94"/>
        <v>23</v>
      </c>
      <c r="E282" s="891">
        <f t="shared" si="95"/>
        <v>54</v>
      </c>
      <c r="F282" s="891">
        <f t="shared" si="96"/>
        <v>81</v>
      </c>
      <c r="G282" s="891">
        <f t="shared" si="97"/>
        <v>208</v>
      </c>
      <c r="H282" s="1211">
        <f t="shared" si="98"/>
        <v>110</v>
      </c>
      <c r="I282" s="922">
        <f t="shared" si="99"/>
        <v>4.8319327731092439E-2</v>
      </c>
      <c r="J282" s="1933">
        <f t="shared" si="99"/>
        <v>0.1134453781512605</v>
      </c>
      <c r="K282" s="1934"/>
      <c r="L282" s="922">
        <f t="shared" si="100"/>
        <v>0.17016806722689076</v>
      </c>
      <c r="M282" s="922">
        <f t="shared" si="101"/>
        <v>0.43697478991596639</v>
      </c>
      <c r="N282" s="923">
        <f t="shared" si="102"/>
        <v>0.23109243697478993</v>
      </c>
      <c r="O282" s="255"/>
      <c r="P282" s="171"/>
      <c r="Q282" s="171"/>
      <c r="R282" s="171"/>
      <c r="S282" s="133"/>
      <c r="T282" s="133"/>
      <c r="U282" s="89"/>
      <c r="V282" s="103"/>
      <c r="W282" s="115"/>
      <c r="X282" s="248" t="str">
        <f t="shared" si="90"/>
        <v>Oxfordshire</v>
      </c>
      <c r="Y282" s="248">
        <f>IF(Year5_Oxfordshire Year5_LAC_Under1="","",Year5_Oxfordshire Year5_LAC_Under1)</f>
        <v>22</v>
      </c>
      <c r="Z282" s="248">
        <f>IF(Year5_Oxfordshire Year5_LAC_1to4="","",Year5_Oxfordshire Year5_LAC_1to4)</f>
        <v>55</v>
      </c>
      <c r="AA282" s="248">
        <f>IF(Year5_Oxfordshire Year5_LAC_5to9="","",Year5_Oxfordshire Year5_LAC_5to9)</f>
        <v>99</v>
      </c>
      <c r="AB282" s="248">
        <f>IF(Year5_Oxfordshire Year5_LAC_10to15="","",Year5_Oxfordshire Year5_LAC_10to15)</f>
        <v>328</v>
      </c>
      <c r="AC282" s="248">
        <f>IF(Year5_Oxfordshire Year5_LAC_16plus="","",Year5_Oxfordshire Year5_LAC_16plus)</f>
        <v>266</v>
      </c>
      <c r="AD282" s="56" t="e">
        <f t="shared" si="93"/>
        <v>#N/A</v>
      </c>
      <c r="AE282" s="56">
        <f t="shared" si="91"/>
        <v>770</v>
      </c>
      <c r="AF282" s="56"/>
      <c r="AG282" s="56"/>
      <c r="AH282" s="56"/>
      <c r="AI282" s="52"/>
      <c r="AJ282" s="121"/>
    </row>
    <row r="283" spans="1:76" s="61" customFormat="1" ht="15.75" customHeight="1">
      <c r="A283" s="1103">
        <f>VLOOKUP(B283,ReportData!$AQ$4:$AR$25,2,FALSE)</f>
        <v>0</v>
      </c>
      <c r="B283" s="885" t="str">
        <f t="shared" si="92"/>
        <v>Milton Keynes</v>
      </c>
      <c r="C283" s="896"/>
      <c r="D283" s="891">
        <f t="shared" si="94"/>
        <v>24</v>
      </c>
      <c r="E283" s="891">
        <f t="shared" si="95"/>
        <v>60</v>
      </c>
      <c r="F283" s="891">
        <f t="shared" si="96"/>
        <v>58</v>
      </c>
      <c r="G283" s="891">
        <f t="shared" si="97"/>
        <v>165</v>
      </c>
      <c r="H283" s="1211">
        <f t="shared" si="98"/>
        <v>103</v>
      </c>
      <c r="I283" s="922">
        <f t="shared" si="99"/>
        <v>5.8536585365853662E-2</v>
      </c>
      <c r="J283" s="1933">
        <f t="shared" si="99"/>
        <v>0.14634146341463414</v>
      </c>
      <c r="K283" s="1934"/>
      <c r="L283" s="922">
        <f t="shared" si="100"/>
        <v>0.14146341463414633</v>
      </c>
      <c r="M283" s="922">
        <f t="shared" si="101"/>
        <v>0.40243902439024393</v>
      </c>
      <c r="N283" s="923">
        <f t="shared" si="102"/>
        <v>0.25121951219512195</v>
      </c>
      <c r="O283" s="255"/>
      <c r="P283" s="171"/>
      <c r="Q283" s="171"/>
      <c r="R283" s="171"/>
      <c r="S283" s="133"/>
      <c r="T283" s="133"/>
      <c r="U283" s="89"/>
      <c r="V283" s="103"/>
      <c r="W283" s="115"/>
      <c r="X283" s="248" t="str">
        <f t="shared" si="90"/>
        <v>Portsmouth</v>
      </c>
      <c r="Y283" s="248">
        <f>IF(Year5_Portsmouth Year5_LAC_Under1="","",Year5_Portsmouth Year5_LAC_Under1)</f>
        <v>22</v>
      </c>
      <c r="Z283" s="248">
        <f>IF(Year5_Portsmouth Year5_LAC_1to4="","",Year5_Portsmouth Year5_LAC_1to4)</f>
        <v>62</v>
      </c>
      <c r="AA283" s="248">
        <f>IF(Year5_Portsmouth Year5_LAC_5to9="","",Year5_Portsmouth Year5_LAC_5to9)</f>
        <v>71</v>
      </c>
      <c r="AB283" s="248">
        <f>IF(Year5_Portsmouth Year5_LAC_10to15="","",Year5_Portsmouth Year5_LAC_10to15)</f>
        <v>141</v>
      </c>
      <c r="AC283" s="248">
        <f>IF(Year5_Portsmouth Year5_LAC_16plus="","",Year5_Portsmouth Year5_LAC_16plus)</f>
        <v>106</v>
      </c>
      <c r="AD283" s="56" t="e">
        <f t="shared" si="93"/>
        <v>#N/A</v>
      </c>
      <c r="AE283" s="56">
        <f t="shared" si="91"/>
        <v>402</v>
      </c>
      <c r="AF283" s="56"/>
      <c r="AG283" s="56"/>
      <c r="AH283" s="56"/>
      <c r="AI283" s="52"/>
      <c r="AJ283" s="121"/>
    </row>
    <row r="284" spans="1:76" s="61" customFormat="1" ht="15.75" customHeight="1">
      <c r="A284" s="1103">
        <f>VLOOKUP(B284,ReportData!$AQ$4:$AR$25,2,FALSE)</f>
        <v>0</v>
      </c>
      <c r="B284" s="885" t="str">
        <f t="shared" si="92"/>
        <v>Oxfordshire</v>
      </c>
      <c r="C284" s="896"/>
      <c r="D284" s="891">
        <f t="shared" si="94"/>
        <v>22</v>
      </c>
      <c r="E284" s="891">
        <f t="shared" si="95"/>
        <v>55</v>
      </c>
      <c r="F284" s="891">
        <f t="shared" si="96"/>
        <v>99</v>
      </c>
      <c r="G284" s="891">
        <f t="shared" si="97"/>
        <v>328</v>
      </c>
      <c r="H284" s="1211">
        <f t="shared" si="98"/>
        <v>266</v>
      </c>
      <c r="I284" s="922">
        <f t="shared" si="99"/>
        <v>2.8571428571428571E-2</v>
      </c>
      <c r="J284" s="1933">
        <f t="shared" si="99"/>
        <v>7.1428571428571425E-2</v>
      </c>
      <c r="K284" s="1934"/>
      <c r="L284" s="922">
        <f t="shared" si="100"/>
        <v>0.12857142857142856</v>
      </c>
      <c r="M284" s="922">
        <f t="shared" si="101"/>
        <v>0.42597402597402595</v>
      </c>
      <c r="N284" s="923">
        <f t="shared" si="102"/>
        <v>0.34545454545454546</v>
      </c>
      <c r="O284" s="255"/>
      <c r="P284" s="171"/>
      <c r="Q284" s="171"/>
      <c r="R284" s="171"/>
      <c r="S284" s="133"/>
      <c r="T284" s="133"/>
      <c r="U284" s="89"/>
      <c r="V284" s="103"/>
      <c r="W284" s="115"/>
      <c r="X284" s="248" t="str">
        <f t="shared" si="90"/>
        <v>Reading</v>
      </c>
      <c r="Y284" s="248">
        <f>IF(Year5_Reading Year5_LAC_Under1="","",Year5_Reading Year5_LAC_Under1)</f>
        <v>13</v>
      </c>
      <c r="Z284" s="248">
        <f>IF(Year5_Reading Year5_LAC_1to4="","",Year5_Reading Year5_LAC_1to4)</f>
        <v>27</v>
      </c>
      <c r="AA284" s="248">
        <f>IF(Year5_Reading Year5_LAC_5to9="","",Year5_Reading Year5_LAC_5to9)</f>
        <v>38</v>
      </c>
      <c r="AB284" s="248">
        <f>IF(Year5_Reading Year5_LAC_10to15="","",Year5_Reading Year5_LAC_10to15)</f>
        <v>116</v>
      </c>
      <c r="AC284" s="248">
        <f>IF(Year5_Reading Year5_LAC_16plus="","",Year5_Reading Year5_LAC_16plus)</f>
        <v>72</v>
      </c>
      <c r="AD284" s="56" t="e">
        <f t="shared" si="93"/>
        <v>#N/A</v>
      </c>
      <c r="AE284" s="56">
        <f t="shared" si="91"/>
        <v>266</v>
      </c>
      <c r="AF284" s="56"/>
      <c r="AG284" s="56"/>
      <c r="AH284" s="56"/>
      <c r="AI284" s="52"/>
      <c r="AJ284" s="121"/>
    </row>
    <row r="285" spans="1:76" s="61" customFormat="1" ht="15.75" customHeight="1">
      <c r="A285" s="1103">
        <f>VLOOKUP(B285,ReportData!$AQ$4:$AR$25,2,FALSE)</f>
        <v>0</v>
      </c>
      <c r="B285" s="885" t="str">
        <f t="shared" si="92"/>
        <v>Portsmouth</v>
      </c>
      <c r="C285" s="896"/>
      <c r="D285" s="891">
        <f t="shared" si="94"/>
        <v>22</v>
      </c>
      <c r="E285" s="891">
        <f t="shared" si="95"/>
        <v>62</v>
      </c>
      <c r="F285" s="891">
        <f t="shared" si="96"/>
        <v>71</v>
      </c>
      <c r="G285" s="891">
        <f t="shared" si="97"/>
        <v>141</v>
      </c>
      <c r="H285" s="1211">
        <f t="shared" si="98"/>
        <v>106</v>
      </c>
      <c r="I285" s="922">
        <f t="shared" si="99"/>
        <v>5.4726368159203981E-2</v>
      </c>
      <c r="J285" s="1933">
        <f t="shared" si="99"/>
        <v>0.15422885572139303</v>
      </c>
      <c r="K285" s="1934"/>
      <c r="L285" s="922">
        <f t="shared" si="100"/>
        <v>0.17661691542288557</v>
      </c>
      <c r="M285" s="922">
        <f t="shared" si="101"/>
        <v>0.35074626865671643</v>
      </c>
      <c r="N285" s="923">
        <f t="shared" si="102"/>
        <v>0.26368159203980102</v>
      </c>
      <c r="O285" s="255"/>
      <c r="P285" s="171"/>
      <c r="Q285" s="171"/>
      <c r="R285" s="171"/>
      <c r="S285" s="133"/>
      <c r="T285" s="133"/>
      <c r="U285" s="89"/>
      <c r="V285" s="103"/>
      <c r="W285" s="115"/>
      <c r="X285" s="248" t="str">
        <f t="shared" si="90"/>
        <v>Slough</v>
      </c>
      <c r="Y285" s="248">
        <f>IF(Year5_Slough Year5_LAC_Under1="","",Year5_Slough Year5_LAC_Under1)</f>
        <v>8</v>
      </c>
      <c r="Z285" s="248">
        <f>IF(Year5_Slough Year5_LAC_1to4="","",Year5_Slough Year5_LAC_1to4)</f>
        <v>25</v>
      </c>
      <c r="AA285" s="248">
        <f>IF(Year5_Slough Year5_LAC_5to9="","",Year5_Slough Year5_LAC_5to9)</f>
        <v>34</v>
      </c>
      <c r="AB285" s="248">
        <f>IF(Year5_Slough Year5_LAC_10to15="","",Year5_Slough Year5_LAC_10to15)</f>
        <v>60</v>
      </c>
      <c r="AC285" s="248">
        <f>IF(Year5_Slough Year5_LAC_16plus="","",Year5_Slough Year5_LAC_16plus)</f>
        <v>74</v>
      </c>
      <c r="AD285" s="56" t="e">
        <f t="shared" si="93"/>
        <v>#N/A</v>
      </c>
      <c r="AE285" s="56">
        <f t="shared" si="91"/>
        <v>201</v>
      </c>
      <c r="AF285" s="56"/>
      <c r="AG285" s="56"/>
      <c r="AH285" s="56"/>
      <c r="AI285" s="52"/>
      <c r="AJ285" s="121"/>
    </row>
    <row r="286" spans="1:76" s="61" customFormat="1" ht="15.75" customHeight="1">
      <c r="A286" s="1103">
        <f>VLOOKUP(B286,ReportData!$AQ$4:$AR$25,2,FALSE)</f>
        <v>0</v>
      </c>
      <c r="B286" s="885" t="str">
        <f t="shared" si="92"/>
        <v>Reading</v>
      </c>
      <c r="C286" s="896"/>
      <c r="D286" s="891">
        <f t="shared" si="94"/>
        <v>13</v>
      </c>
      <c r="E286" s="891">
        <f t="shared" si="95"/>
        <v>27</v>
      </c>
      <c r="F286" s="891">
        <f t="shared" si="96"/>
        <v>38</v>
      </c>
      <c r="G286" s="891">
        <f t="shared" si="97"/>
        <v>116</v>
      </c>
      <c r="H286" s="1211">
        <f t="shared" si="98"/>
        <v>72</v>
      </c>
      <c r="I286" s="922">
        <f t="shared" si="99"/>
        <v>4.8872180451127817E-2</v>
      </c>
      <c r="J286" s="1933">
        <f t="shared" si="99"/>
        <v>0.10150375939849623</v>
      </c>
      <c r="K286" s="1934"/>
      <c r="L286" s="922">
        <f t="shared" si="100"/>
        <v>0.14285714285714285</v>
      </c>
      <c r="M286" s="922">
        <f t="shared" si="101"/>
        <v>0.43609022556390975</v>
      </c>
      <c r="N286" s="923">
        <f t="shared" si="102"/>
        <v>0.27067669172932329</v>
      </c>
      <c r="O286" s="255"/>
      <c r="P286" s="171"/>
      <c r="Q286" s="171"/>
      <c r="R286" s="171"/>
      <c r="S286" s="133"/>
      <c r="T286" s="133"/>
      <c r="U286" s="89"/>
      <c r="V286" s="103"/>
      <c r="W286" s="115"/>
      <c r="X286" s="248" t="str">
        <f t="shared" ref="X286:X293" si="103">B288</f>
        <v>Southampton</v>
      </c>
      <c r="Y286" s="248">
        <f>IF(Year5_Southampton Year5_LAC_Under1="","",Year5_Southampton Year5_LAC_Under1)</f>
        <v>13</v>
      </c>
      <c r="Z286" s="248">
        <f>IF(Year5_Southampton Year5_LAC_1to4="","",Year5_Southampton Year5_LAC_1to4)</f>
        <v>39</v>
      </c>
      <c r="AA286" s="248">
        <f>IF(Year5_Southampton Year5_LAC_5to9="","",Year5_Southampton Year5_LAC_5to9)</f>
        <v>88</v>
      </c>
      <c r="AB286" s="248">
        <f>IF(Year5_Southampton Year5_LAC_10to15="","",Year5_Southampton Year5_LAC_10to15)</f>
        <v>211</v>
      </c>
      <c r="AC286" s="248">
        <f>IF(Year5_Southampton Year5_LAC_16plus="","",Year5_Southampton Year5_LAC_16plus)</f>
        <v>137</v>
      </c>
      <c r="AD286" s="56" t="e">
        <f>IF(X286=$Y$4,1,NA())</f>
        <v>#N/A</v>
      </c>
      <c r="AE286" s="56">
        <f t="shared" ref="AE286:AE293" si="104">IF(SUM(Y286:AC286)&gt;0,SUM(Y286:AC286),NA())</f>
        <v>488</v>
      </c>
      <c r="AF286" s="56"/>
      <c r="AG286" s="56"/>
      <c r="AH286" s="56"/>
      <c r="AI286" s="52"/>
      <c r="AJ286" s="121"/>
    </row>
    <row r="287" spans="1:76" s="61" customFormat="1" ht="15.75" customHeight="1">
      <c r="A287" s="1103">
        <f>VLOOKUP(B287,ReportData!$AQ$4:$AR$25,2,FALSE)</f>
        <v>0</v>
      </c>
      <c r="B287" s="885" t="str">
        <f t="shared" si="92"/>
        <v>Slough</v>
      </c>
      <c r="C287" s="896"/>
      <c r="D287" s="891">
        <f t="shared" si="94"/>
        <v>8</v>
      </c>
      <c r="E287" s="891">
        <f t="shared" si="95"/>
        <v>25</v>
      </c>
      <c r="F287" s="891">
        <f t="shared" si="96"/>
        <v>34</v>
      </c>
      <c r="G287" s="891">
        <f t="shared" si="97"/>
        <v>60</v>
      </c>
      <c r="H287" s="1211">
        <f t="shared" si="98"/>
        <v>74</v>
      </c>
      <c r="I287" s="922">
        <f t="shared" si="99"/>
        <v>3.9800995024875621E-2</v>
      </c>
      <c r="J287" s="1933">
        <f t="shared" si="99"/>
        <v>0.12437810945273632</v>
      </c>
      <c r="K287" s="1934"/>
      <c r="L287" s="922">
        <f t="shared" si="100"/>
        <v>0.1691542288557214</v>
      </c>
      <c r="M287" s="922">
        <f t="shared" si="101"/>
        <v>0.29850746268656714</v>
      </c>
      <c r="N287" s="923">
        <f t="shared" si="102"/>
        <v>0.36815920398009949</v>
      </c>
      <c r="O287" s="255"/>
      <c r="P287" s="171"/>
      <c r="Q287" s="171"/>
      <c r="R287" s="171"/>
      <c r="S287" s="133"/>
      <c r="T287" s="133"/>
      <c r="U287" s="89"/>
      <c r="V287" s="103"/>
      <c r="W287" s="115"/>
      <c r="X287" s="248" t="str">
        <f t="shared" si="103"/>
        <v>Surrey</v>
      </c>
      <c r="Y287" s="248">
        <f>IF(Year5_Surrey Year5_LAC_Under1="","",Year5_Surrey Year5_LAC_Under1)</f>
        <v>27</v>
      </c>
      <c r="Z287" s="248">
        <f>IF(Year5_Surrey Year5_LAC_1to4="","",Year5_Surrey Year5_LAC_1to4)</f>
        <v>103</v>
      </c>
      <c r="AA287" s="248">
        <f>IF(Year5_Surrey Year5_LAC_5to9="","",Year5_Surrey Year5_LAC_5to9)</f>
        <v>155</v>
      </c>
      <c r="AB287" s="248">
        <f>IF(Year5_Surrey Year5_LAC_10to15="","",Year5_Surrey Year5_LAC_10to15)</f>
        <v>375</v>
      </c>
      <c r="AC287" s="248">
        <f>IF(Year5_Surrey Year5_LAC_16plus="","",Year5_Surrey Year5_LAC_16plus)</f>
        <v>303</v>
      </c>
      <c r="AD287" s="56" t="e">
        <f>IF(X287=$Y$4,1,NA())</f>
        <v>#N/A</v>
      </c>
      <c r="AE287" s="56">
        <f t="shared" si="104"/>
        <v>963</v>
      </c>
      <c r="AF287" s="56"/>
      <c r="AG287" s="56"/>
      <c r="AH287" s="56"/>
      <c r="AI287" s="52"/>
      <c r="AJ287" s="121"/>
    </row>
    <row r="288" spans="1:76" s="61" customFormat="1" ht="15.75" customHeight="1">
      <c r="A288" s="1103">
        <f>VLOOKUP(B288,ReportData!$AQ$4:$AR$25,2,FALSE)</f>
        <v>0</v>
      </c>
      <c r="B288" s="885" t="str">
        <f t="shared" si="92"/>
        <v>Southampton</v>
      </c>
      <c r="C288" s="896"/>
      <c r="D288" s="891">
        <f t="shared" ref="D288:H295" si="105">IF(ISNUMBER(Y286),Y286,NA())</f>
        <v>13</v>
      </c>
      <c r="E288" s="891">
        <f t="shared" si="105"/>
        <v>39</v>
      </c>
      <c r="F288" s="891">
        <f t="shared" si="105"/>
        <v>88</v>
      </c>
      <c r="G288" s="891">
        <f t="shared" si="105"/>
        <v>211</v>
      </c>
      <c r="H288" s="1211">
        <f t="shared" si="105"/>
        <v>137</v>
      </c>
      <c r="I288" s="922">
        <f t="shared" ref="I288:J290" si="106">IF($AE286&gt;0,Y286/$AE286,NA())</f>
        <v>2.663934426229508E-2</v>
      </c>
      <c r="J288" s="1933">
        <f t="shared" si="106"/>
        <v>7.9918032786885251E-2</v>
      </c>
      <c r="K288" s="1934"/>
      <c r="L288" s="922">
        <f t="shared" ref="L288:N295" si="107">IF($AE286&gt;0,AA286/$AE286,NA())</f>
        <v>0.18032786885245902</v>
      </c>
      <c r="M288" s="922">
        <f t="shared" si="107"/>
        <v>0.43237704918032788</v>
      </c>
      <c r="N288" s="923">
        <f t="shared" si="107"/>
        <v>0.28073770491803279</v>
      </c>
      <c r="O288" s="255"/>
      <c r="P288" s="171"/>
      <c r="Q288" s="171"/>
      <c r="R288" s="171"/>
      <c r="S288" s="133"/>
      <c r="T288" s="133"/>
      <c r="U288" s="89"/>
      <c r="V288" s="103"/>
      <c r="W288" s="115"/>
      <c r="X288" s="248" t="str">
        <f t="shared" si="103"/>
        <v>West Berkshire</v>
      </c>
      <c r="Y288" s="248">
        <f>IF(Year5_West_Berkshire Year5_LAC_Under1="","",Year5_West_Berkshire Year5_LAC_Under1)</f>
        <v>8</v>
      </c>
      <c r="Z288" s="248">
        <f>IF(Year5_West_Berkshire Year5_LAC_1to4="","",Year5_West_Berkshire Year5_LAC_1to4)</f>
        <v>22</v>
      </c>
      <c r="AA288" s="248">
        <f>IF(Year5_West_Berkshire Year5_LAC_5to9="","",Year5_West_Berkshire Year5_LAC_5to9)</f>
        <v>42</v>
      </c>
      <c r="AB288" s="248">
        <f>IF(Year5_West_Berkshire Year5_LAC_10to15="","",Year5_West_Berkshire Year5_LAC_10to15)</f>
        <v>58</v>
      </c>
      <c r="AC288" s="248">
        <f>IF(Year5_West_Berkshire Year5_LAC_16plus="","",Year5_West_Berkshire Year5_LAC_16plus)</f>
        <v>57</v>
      </c>
      <c r="AD288" s="56" t="e">
        <f t="shared" ref="AD288:AD293" si="108">IF(X288=$Y$4,1,NA())</f>
        <v>#N/A</v>
      </c>
      <c r="AE288" s="56">
        <f t="shared" si="104"/>
        <v>187</v>
      </c>
      <c r="AF288" s="56"/>
      <c r="AG288" s="56"/>
      <c r="AH288" s="56"/>
      <c r="AI288" s="52"/>
      <c r="AJ288" s="121"/>
    </row>
    <row r="289" spans="1:76" s="61" customFormat="1" ht="15.75" customHeight="1">
      <c r="A289" s="1103">
        <f>VLOOKUP(B289,ReportData!$AQ$4:$AR$25,2,FALSE)</f>
        <v>0</v>
      </c>
      <c r="B289" s="885" t="str">
        <f t="shared" si="92"/>
        <v>Surrey</v>
      </c>
      <c r="C289" s="896"/>
      <c r="D289" s="891">
        <f t="shared" si="105"/>
        <v>27</v>
      </c>
      <c r="E289" s="891">
        <f t="shared" si="105"/>
        <v>103</v>
      </c>
      <c r="F289" s="891">
        <f t="shared" si="105"/>
        <v>155</v>
      </c>
      <c r="G289" s="891">
        <f t="shared" si="105"/>
        <v>375</v>
      </c>
      <c r="H289" s="1211">
        <f t="shared" si="105"/>
        <v>303</v>
      </c>
      <c r="I289" s="922">
        <f t="shared" si="106"/>
        <v>2.8037383177570093E-2</v>
      </c>
      <c r="J289" s="1933">
        <f t="shared" si="106"/>
        <v>0.10695742471443406</v>
      </c>
      <c r="K289" s="1934"/>
      <c r="L289" s="922">
        <f t="shared" si="107"/>
        <v>0.16095534787123572</v>
      </c>
      <c r="M289" s="922">
        <f t="shared" si="107"/>
        <v>0.38940809968847351</v>
      </c>
      <c r="N289" s="923">
        <f t="shared" si="107"/>
        <v>0.31464174454828658</v>
      </c>
      <c r="O289" s="255"/>
      <c r="P289" s="171"/>
      <c r="Q289" s="171"/>
      <c r="R289" s="171"/>
      <c r="S289" s="133"/>
      <c r="T289" s="133"/>
      <c r="U289" s="89"/>
      <c r="V289" s="103"/>
      <c r="W289" s="115"/>
      <c r="X289" s="248" t="str">
        <f t="shared" si="103"/>
        <v>West Sussex</v>
      </c>
      <c r="Y289" s="248">
        <f>IF(Year5_West_Sussex Year5_LAC_Under1="","",Year5_West_Sussex Year5_LAC_Under1)</f>
        <v>33</v>
      </c>
      <c r="Z289" s="248">
        <f>IF(Year5_West_Sussex Year5_LAC_1to4="","",Year5_West_Sussex Year5_LAC_1to4)</f>
        <v>88</v>
      </c>
      <c r="AA289" s="248">
        <f>IF(Year5_West_Sussex Year5_LAC_5to9="","",Year5_West_Sussex Year5_LAC_5to9)</f>
        <v>141</v>
      </c>
      <c r="AB289" s="248">
        <f>IF(Year5_West_Sussex Year5_LAC_10to15="","",Year5_West_Sussex Year5_LAC_10to15)</f>
        <v>372</v>
      </c>
      <c r="AC289" s="248">
        <f>IF(Year5_West_Sussex Year5_LAC_16plus="","",Year5_West_Sussex Year5_LAC_16plus)</f>
        <v>272</v>
      </c>
      <c r="AD289" s="56" t="e">
        <f t="shared" si="108"/>
        <v>#N/A</v>
      </c>
      <c r="AE289" s="56">
        <f t="shared" si="104"/>
        <v>906</v>
      </c>
      <c r="AF289" s="56"/>
      <c r="AG289" s="56"/>
      <c r="AH289" s="56"/>
      <c r="AI289" s="52"/>
      <c r="AJ289" s="121"/>
    </row>
    <row r="290" spans="1:76" s="61" customFormat="1" ht="15.75" customHeight="1">
      <c r="A290" s="1103">
        <f>VLOOKUP(B290,ReportData!$AQ$4:$AR$25,2,FALSE)</f>
        <v>0</v>
      </c>
      <c r="B290" s="885" t="str">
        <f t="shared" si="92"/>
        <v>West Berkshire</v>
      </c>
      <c r="C290" s="896"/>
      <c r="D290" s="891">
        <f t="shared" si="105"/>
        <v>8</v>
      </c>
      <c r="E290" s="891">
        <f t="shared" si="105"/>
        <v>22</v>
      </c>
      <c r="F290" s="891">
        <f t="shared" si="105"/>
        <v>42</v>
      </c>
      <c r="G290" s="891">
        <f t="shared" si="105"/>
        <v>58</v>
      </c>
      <c r="H290" s="1211">
        <f t="shared" si="105"/>
        <v>57</v>
      </c>
      <c r="I290" s="922">
        <f t="shared" si="106"/>
        <v>4.2780748663101602E-2</v>
      </c>
      <c r="J290" s="1933">
        <f t="shared" si="106"/>
        <v>0.11764705882352941</v>
      </c>
      <c r="K290" s="1934"/>
      <c r="L290" s="922">
        <f t="shared" si="107"/>
        <v>0.22459893048128343</v>
      </c>
      <c r="M290" s="922">
        <f t="shared" si="107"/>
        <v>0.31016042780748665</v>
      </c>
      <c r="N290" s="923">
        <f t="shared" si="107"/>
        <v>0.30481283422459893</v>
      </c>
      <c r="O290" s="255"/>
      <c r="P290" s="171"/>
      <c r="Q290" s="171"/>
      <c r="R290" s="171"/>
      <c r="S290" s="133"/>
      <c r="T290" s="133"/>
      <c r="U290" s="89"/>
      <c r="V290" s="103"/>
      <c r="W290" s="115"/>
      <c r="X290" s="248" t="str">
        <f t="shared" si="103"/>
        <v>Windsor &amp; Maidenhead</v>
      </c>
      <c r="Y290" s="248">
        <f>IF(Year5_Windsor_and_Maidenhead Year5_LAC_Under1="","",Year5_Windsor_and_Maidenhead Year5_LAC_Under1)</f>
        <v>8</v>
      </c>
      <c r="Z290" s="248">
        <f>IF(Year5_Windsor_and_Maidenhead Year5_LAC_1to4="","",Year5_Windsor_and_Maidenhead Year5_LAC_1to4)</f>
        <v>16</v>
      </c>
      <c r="AA290" s="248">
        <f>IF(Year5_Windsor_and_Maidenhead Year5_LAC_5to9="","",Year5_Windsor_and_Maidenhead Year5_LAC_5to9)</f>
        <v>25</v>
      </c>
      <c r="AB290" s="248">
        <f>IF(Year5_Windsor_and_Maidenhead Year5_LAC_10to15="","",Year5_Windsor_and_Maidenhead Year5_LAC_10to15)</f>
        <v>53</v>
      </c>
      <c r="AC290" s="248">
        <f>IF(Year5_Windsor_and_Maidenhead Year5_LAC_16plus="","",Year5_Windsor_and_Maidenhead Year5_LAC_16plus)</f>
        <v>38</v>
      </c>
      <c r="AD290" s="56" t="e">
        <f t="shared" si="108"/>
        <v>#N/A</v>
      </c>
      <c r="AE290" s="56">
        <f t="shared" si="104"/>
        <v>140</v>
      </c>
      <c r="AF290" s="56"/>
      <c r="AG290" s="56"/>
      <c r="AH290" s="56"/>
      <c r="AI290" s="52"/>
      <c r="AJ290" s="121"/>
    </row>
    <row r="291" spans="1:76" s="61" customFormat="1" ht="15.75" customHeight="1">
      <c r="A291" s="1103">
        <f>VLOOKUP(B291,ReportData!$AQ$4:$AR$25,2,FALSE)</f>
        <v>0</v>
      </c>
      <c r="B291" s="885" t="str">
        <f t="shared" si="92"/>
        <v>West Sussex</v>
      </c>
      <c r="C291" s="896"/>
      <c r="D291" s="891">
        <f t="shared" si="105"/>
        <v>33</v>
      </c>
      <c r="E291" s="891">
        <f t="shared" si="105"/>
        <v>88</v>
      </c>
      <c r="F291" s="891">
        <f t="shared" si="105"/>
        <v>141</v>
      </c>
      <c r="G291" s="891">
        <f t="shared" si="105"/>
        <v>372</v>
      </c>
      <c r="H291" s="1211">
        <f t="shared" si="105"/>
        <v>272</v>
      </c>
      <c r="I291" s="922">
        <f>IF($AE289&gt;0,Y289/$AE289,NA())</f>
        <v>3.6423841059602648E-2</v>
      </c>
      <c r="J291" s="1933">
        <f>IF($AE288&gt;0,Z288/$AE288,NA())</f>
        <v>0.11764705882352941</v>
      </c>
      <c r="K291" s="1934"/>
      <c r="L291" s="922">
        <f t="shared" si="107"/>
        <v>0.15562913907284767</v>
      </c>
      <c r="M291" s="922">
        <f t="shared" si="107"/>
        <v>0.41059602649006621</v>
      </c>
      <c r="N291" s="923">
        <f t="shared" si="107"/>
        <v>0.30022075055187636</v>
      </c>
      <c r="O291" s="255"/>
      <c r="P291" s="171"/>
      <c r="Q291" s="171"/>
      <c r="R291" s="171"/>
      <c r="S291" s="133"/>
      <c r="T291" s="133"/>
      <c r="U291" s="89"/>
      <c r="V291" s="103"/>
      <c r="W291" s="115"/>
      <c r="X291" s="248" t="str">
        <f t="shared" si="103"/>
        <v>Wokingham</v>
      </c>
      <c r="Y291" s="248">
        <f>IF(Year5_Wokingham Year5_LAC_Under1="","",Year5_Wokingham Year5_LAC_Under1)</f>
        <v>8</v>
      </c>
      <c r="Z291" s="248">
        <f>IF(Year5_Wokingham Year5_LAC_1to4="","",Year5_Wokingham Year5_LAC_1to4)</f>
        <v>9</v>
      </c>
      <c r="AA291" s="248">
        <f>IF(Year5_Wokingham Year5_LAC_5to9="","",Year5_Wokingham Year5_LAC_5to9)</f>
        <v>20</v>
      </c>
      <c r="AB291" s="248">
        <f>IF(Year5_Wokingham Year5_LAC_10to15="","",Year5_Wokingham Year5_LAC_10to15)</f>
        <v>45</v>
      </c>
      <c r="AC291" s="248">
        <f>IF(Year5_Wokingham Year5_LAC_16plus="","",Year5_Wokingham Year5_LAC_16plus)</f>
        <v>55</v>
      </c>
      <c r="AD291" s="56" t="e">
        <f t="shared" si="108"/>
        <v>#N/A</v>
      </c>
      <c r="AE291" s="56">
        <f t="shared" si="104"/>
        <v>137</v>
      </c>
      <c r="AF291" s="56"/>
      <c r="AG291" s="56"/>
      <c r="AH291" s="56"/>
      <c r="AI291" s="52"/>
      <c r="AJ291" s="121"/>
    </row>
    <row r="292" spans="1:76" s="61" customFormat="1" ht="15.75" customHeight="1">
      <c r="A292" s="1103">
        <f>VLOOKUP(B292,ReportData!$AQ$4:$AR$25,2,FALSE)</f>
        <v>0</v>
      </c>
      <c r="B292" s="885" t="str">
        <f t="shared" si="92"/>
        <v>Windsor &amp; Maidenhead</v>
      </c>
      <c r="C292" s="896"/>
      <c r="D292" s="891">
        <f t="shared" si="105"/>
        <v>8</v>
      </c>
      <c r="E292" s="891">
        <f t="shared" si="105"/>
        <v>16</v>
      </c>
      <c r="F292" s="891">
        <f t="shared" si="105"/>
        <v>25</v>
      </c>
      <c r="G292" s="891">
        <f t="shared" si="105"/>
        <v>53</v>
      </c>
      <c r="H292" s="1211">
        <f t="shared" si="105"/>
        <v>38</v>
      </c>
      <c r="I292" s="922">
        <f>IF($AE290&gt;0,Y290/$AE290,NA())</f>
        <v>5.7142857142857141E-2</v>
      </c>
      <c r="J292" s="1933">
        <f>IF($AE289&gt;0,Z289/$AE289,NA())</f>
        <v>9.713024282560706E-2</v>
      </c>
      <c r="K292" s="1934"/>
      <c r="L292" s="922">
        <f t="shared" si="107"/>
        <v>0.17857142857142858</v>
      </c>
      <c r="M292" s="922">
        <f t="shared" si="107"/>
        <v>0.37857142857142856</v>
      </c>
      <c r="N292" s="923">
        <f t="shared" si="107"/>
        <v>0.27142857142857141</v>
      </c>
      <c r="O292" s="255"/>
      <c r="P292" s="171"/>
      <c r="Q292" s="171"/>
      <c r="R292" s="171"/>
      <c r="S292" s="133"/>
      <c r="T292" s="133"/>
      <c r="U292" s="89"/>
      <c r="V292" s="103"/>
      <c r="W292" s="115"/>
      <c r="X292" s="248" t="str">
        <f t="shared" si="103"/>
        <v>South East</v>
      </c>
      <c r="Y292" s="248">
        <f>IF(Year5_South_East Year5_LAC_Under1="","",Year5_South_East Year5_LAC_Under1)</f>
        <v>410</v>
      </c>
      <c r="Z292" s="248">
        <f>IF(Year5_South_East Year5_LAC_1to4="","",Year5_South_East Year5_LAC_1to4)</f>
        <v>1100</v>
      </c>
      <c r="AA292" s="248">
        <f>IF(Year5_South_East Year5_LAC_5to9="","",Year5_South_East Year5_LAC_5to9)</f>
        <v>1740</v>
      </c>
      <c r="AB292" s="248">
        <f>IF(Year5_South_East Year5_LAC_10to15="","",Year5_South_East Year5_LAC_10to15)</f>
        <v>4330</v>
      </c>
      <c r="AC292" s="248">
        <f>IF(Year5_South_East Year5_LAC_16plus="","",Year5_South_East Year5_LAC_16plus)</f>
        <v>3610</v>
      </c>
      <c r="AD292" s="56" t="e">
        <f t="shared" si="108"/>
        <v>#N/A</v>
      </c>
      <c r="AE292" s="56">
        <f t="shared" si="104"/>
        <v>11190</v>
      </c>
      <c r="AF292" s="56"/>
      <c r="AG292" s="56"/>
      <c r="AH292" s="56"/>
      <c r="AI292" s="52"/>
      <c r="AJ292" s="121"/>
    </row>
    <row r="293" spans="1:76" s="61" customFormat="1" ht="15.75" customHeight="1">
      <c r="A293" s="1103">
        <f>VLOOKUP(B293,ReportData!$AQ$4:$AR$25,2,FALSE)</f>
        <v>0</v>
      </c>
      <c r="B293" s="885" t="str">
        <f t="shared" si="92"/>
        <v>Wokingham</v>
      </c>
      <c r="C293" s="896"/>
      <c r="D293" s="891">
        <f t="shared" si="105"/>
        <v>8</v>
      </c>
      <c r="E293" s="891">
        <f t="shared" si="105"/>
        <v>9</v>
      </c>
      <c r="F293" s="891">
        <f t="shared" si="105"/>
        <v>20</v>
      </c>
      <c r="G293" s="891">
        <f t="shared" si="105"/>
        <v>45</v>
      </c>
      <c r="H293" s="1211">
        <f t="shared" si="105"/>
        <v>55</v>
      </c>
      <c r="I293" s="922">
        <f>IF($AE291&gt;0,Y291/$AE291,NA())</f>
        <v>5.8394160583941604E-2</v>
      </c>
      <c r="J293" s="1933">
        <f>IF($AE290&gt;0,Z290/$AE290,NA())</f>
        <v>0.11428571428571428</v>
      </c>
      <c r="K293" s="1934"/>
      <c r="L293" s="922">
        <f t="shared" si="107"/>
        <v>0.145985401459854</v>
      </c>
      <c r="M293" s="922">
        <f t="shared" si="107"/>
        <v>0.32846715328467152</v>
      </c>
      <c r="N293" s="923">
        <f t="shared" si="107"/>
        <v>0.40145985401459855</v>
      </c>
      <c r="O293" s="255"/>
      <c r="P293" s="171"/>
      <c r="Q293" s="171"/>
      <c r="R293" s="171"/>
      <c r="S293" s="133"/>
      <c r="T293" s="133"/>
      <c r="U293" s="89"/>
      <c r="V293" s="103"/>
      <c r="W293" s="115"/>
      <c r="X293" s="248" t="str">
        <f t="shared" si="103"/>
        <v>England</v>
      </c>
      <c r="Y293" s="248">
        <f>IF(Year5_England Year5_LAC_Under1="","",Year5_England Year5_LAC_Under1)</f>
        <v>3730</v>
      </c>
      <c r="Z293" s="248">
        <f>IF(Year5_England Year5_LAC_1to4="","",Year5_England Year5_LAC_1to4)</f>
        <v>10820</v>
      </c>
      <c r="AA293" s="248">
        <f>IF(Year5_England Year5_LAC_5to9="","",Year5_England Year5_LAC_5to9)</f>
        <v>15020</v>
      </c>
      <c r="AB293" s="248">
        <f>IF(Year5_England Year5_LAC_10to15="","",Year5_England Year5_LAC_10to15)</f>
        <v>31440</v>
      </c>
      <c r="AC293" s="248">
        <f>IF(Year5_England Year5_LAC_16plus="","",Year5_England Year5_LAC_16plus)</f>
        <v>22620</v>
      </c>
      <c r="AD293" s="56" t="e">
        <f t="shared" si="108"/>
        <v>#N/A</v>
      </c>
      <c r="AE293" s="56">
        <f t="shared" si="104"/>
        <v>83630</v>
      </c>
      <c r="AF293" s="56"/>
      <c r="AG293" s="56"/>
      <c r="AH293" s="56"/>
      <c r="AI293" s="52"/>
      <c r="AJ293" s="121"/>
    </row>
    <row r="294" spans="1:76" s="61" customFormat="1" ht="15.75" customHeight="1">
      <c r="A294" s="1103"/>
      <c r="B294" s="886" t="str">
        <f t="shared" si="92"/>
        <v>South East</v>
      </c>
      <c r="C294" s="896"/>
      <c r="D294" s="1212">
        <f t="shared" si="105"/>
        <v>410</v>
      </c>
      <c r="E294" s="1212">
        <f t="shared" si="105"/>
        <v>1100</v>
      </c>
      <c r="F294" s="1212">
        <f t="shared" si="105"/>
        <v>1740</v>
      </c>
      <c r="G294" s="1212">
        <f t="shared" si="105"/>
        <v>4330</v>
      </c>
      <c r="H294" s="1213">
        <f t="shared" si="105"/>
        <v>3610</v>
      </c>
      <c r="I294" s="924">
        <f>IF($AE292&gt;0,Y292/$AE292,NA())</f>
        <v>3.6639857015192137E-2</v>
      </c>
      <c r="J294" s="1937">
        <f>IF($AE292&gt;0,Z292/$AE292,NA())</f>
        <v>9.8302055406613048E-2</v>
      </c>
      <c r="K294" s="1938"/>
      <c r="L294" s="924">
        <f t="shared" si="107"/>
        <v>0.15549597855227881</v>
      </c>
      <c r="M294" s="924">
        <f t="shared" si="107"/>
        <v>0.38695263628239501</v>
      </c>
      <c r="N294" s="925">
        <f t="shared" si="107"/>
        <v>0.32260947274352098</v>
      </c>
      <c r="O294" s="255"/>
      <c r="P294" s="171"/>
      <c r="Q294" s="171"/>
      <c r="R294" s="171"/>
      <c r="S294" s="133"/>
      <c r="T294" s="133"/>
      <c r="U294" s="89"/>
      <c r="V294" s="103"/>
      <c r="W294" s="115"/>
      <c r="AF294" s="56"/>
      <c r="AG294" s="56"/>
      <c r="AH294" s="56"/>
      <c r="AI294" s="52"/>
      <c r="AJ294" s="121"/>
    </row>
    <row r="295" spans="1:76" s="61" customFormat="1" ht="15.75" customHeight="1">
      <c r="A295" s="1148"/>
      <c r="B295" s="887" t="s">
        <v>109</v>
      </c>
      <c r="C295" s="896"/>
      <c r="D295" s="1214">
        <f t="shared" si="105"/>
        <v>3730</v>
      </c>
      <c r="E295" s="1214">
        <f t="shared" si="105"/>
        <v>10820</v>
      </c>
      <c r="F295" s="1214">
        <f t="shared" si="105"/>
        <v>15020</v>
      </c>
      <c r="G295" s="1214">
        <f t="shared" si="105"/>
        <v>31440</v>
      </c>
      <c r="H295" s="1215">
        <f t="shared" si="105"/>
        <v>22620</v>
      </c>
      <c r="I295" s="926">
        <f>IF($AE293&gt;0,Y293/$AE293,NA())</f>
        <v>4.4601219658017457E-2</v>
      </c>
      <c r="J295" s="1935">
        <f>IF($AE293&gt;0,Z293/$AE293,NA())</f>
        <v>0.12937940930288175</v>
      </c>
      <c r="K295" s="1936"/>
      <c r="L295" s="926">
        <f t="shared" si="107"/>
        <v>0.17960062178644026</v>
      </c>
      <c r="M295" s="926">
        <f t="shared" si="107"/>
        <v>0.37594164773406674</v>
      </c>
      <c r="N295" s="927">
        <f t="shared" si="107"/>
        <v>0.27047710151859383</v>
      </c>
      <c r="O295" s="255"/>
      <c r="P295" s="171"/>
      <c r="Q295" s="171"/>
      <c r="R295" s="171"/>
      <c r="S295" s="133"/>
      <c r="T295" s="133"/>
      <c r="U295" s="89"/>
      <c r="V295" s="103"/>
      <c r="W295" s="115"/>
      <c r="AF295" s="56"/>
      <c r="AG295" s="56"/>
      <c r="AH295" s="56"/>
      <c r="AI295" s="52"/>
      <c r="AJ295" s="121"/>
    </row>
    <row r="296" spans="1:76" s="61" customFormat="1" ht="12.75">
      <c r="A296" s="88"/>
      <c r="B296" s="120"/>
      <c r="C296" s="120"/>
      <c r="D296" s="120"/>
      <c r="E296" s="120"/>
      <c r="F296" s="120"/>
      <c r="G296" s="120"/>
      <c r="H296" s="120"/>
      <c r="I296" s="120"/>
      <c r="J296" s="120"/>
      <c r="K296" s="120"/>
      <c r="L296" s="120"/>
      <c r="M296" s="120"/>
      <c r="N296" s="809"/>
      <c r="O296" s="539"/>
      <c r="P296" s="539"/>
      <c r="Q296" s="257"/>
      <c r="R296" s="257"/>
      <c r="S296" s="133"/>
      <c r="T296" s="133"/>
      <c r="U296" s="89"/>
      <c r="V296" s="103"/>
      <c r="W296" s="114"/>
      <c r="AF296" s="52"/>
      <c r="AG296" s="52"/>
      <c r="AH296" s="56"/>
      <c r="AI296" s="52"/>
      <c r="AJ296" s="122"/>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row>
    <row r="297" spans="1:76" s="61" customFormat="1" ht="15" customHeight="1">
      <c r="A297" s="217"/>
      <c r="B297" s="68"/>
      <c r="C297" s="68"/>
      <c r="D297" s="68"/>
      <c r="E297" s="68"/>
      <c r="F297" s="68"/>
      <c r="G297" s="68"/>
      <c r="H297" s="68"/>
      <c r="I297" s="68"/>
      <c r="J297" s="68"/>
      <c r="K297" s="129"/>
      <c r="L297" s="129"/>
      <c r="M297" s="129"/>
      <c r="N297" s="129"/>
      <c r="O297" s="171"/>
      <c r="P297" s="171"/>
      <c r="Q297" s="171"/>
      <c r="R297" s="171"/>
      <c r="S297" s="133"/>
      <c r="T297" s="133"/>
      <c r="U297" s="89"/>
      <c r="V297" s="103"/>
      <c r="W297" s="114"/>
      <c r="X297" s="56"/>
      <c r="Y297" s="141"/>
      <c r="Z297" s="56"/>
      <c r="AA297" s="56"/>
      <c r="AB297" s="56"/>
      <c r="AC297" s="56"/>
      <c r="AD297" s="149"/>
      <c r="AE297" s="52"/>
      <c r="AF297" s="52"/>
      <c r="AG297" s="52"/>
      <c r="AH297" s="56"/>
      <c r="AI297" s="52"/>
      <c r="AJ297" s="122"/>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row>
    <row r="298" spans="1:76" s="56" customFormat="1" ht="15" customHeight="1">
      <c r="A298" s="166"/>
      <c r="B298" s="171"/>
      <c r="C298" s="171"/>
      <c r="D298" s="171"/>
      <c r="E298" s="171"/>
      <c r="F298" s="171"/>
      <c r="G298" s="171"/>
      <c r="H298" s="171"/>
      <c r="I298" s="171"/>
      <c r="J298" s="133"/>
      <c r="K298" s="133"/>
      <c r="L298" s="133"/>
      <c r="M298" s="133"/>
      <c r="N298" s="133"/>
      <c r="O298" s="171"/>
      <c r="P298" s="171"/>
      <c r="Q298" s="171"/>
      <c r="R298" s="171"/>
      <c r="S298" s="133"/>
      <c r="T298" s="133"/>
      <c r="U298" s="86"/>
      <c r="V298" s="102"/>
      <c r="W298" s="114"/>
      <c r="Y298" s="141"/>
      <c r="AD298" s="149"/>
      <c r="AE298" s="52"/>
      <c r="AF298" s="52"/>
      <c r="AG298" s="52"/>
      <c r="AI298" s="52"/>
      <c r="AJ298" s="122"/>
    </row>
    <row r="299" spans="1:76" s="56" customFormat="1" ht="10.5" customHeight="1">
      <c r="A299" s="166"/>
      <c r="B299" s="171"/>
      <c r="C299" s="171"/>
      <c r="D299" s="171"/>
      <c r="E299" s="171"/>
      <c r="F299" s="171"/>
      <c r="G299" s="171"/>
      <c r="H299" s="171"/>
      <c r="I299" s="171"/>
      <c r="J299" s="133"/>
      <c r="K299" s="133"/>
      <c r="L299" s="133"/>
      <c r="M299" s="133"/>
      <c r="N299" s="133"/>
      <c r="O299" s="171"/>
      <c r="P299" s="171"/>
      <c r="Q299" s="171"/>
      <c r="R299" s="171"/>
      <c r="S299" s="133"/>
      <c r="T299" s="133"/>
      <c r="U299" s="86"/>
      <c r="V299" s="102"/>
      <c r="W299" s="114"/>
      <c r="Y299" s="141"/>
      <c r="AI299" s="52"/>
      <c r="AJ299" s="119"/>
      <c r="AK299" s="52"/>
      <c r="AL299" s="52"/>
      <c r="AM299" s="52"/>
      <c r="AN299" s="52"/>
      <c r="AO299" s="52"/>
      <c r="AP299" s="52"/>
      <c r="AQ299" s="52"/>
    </row>
    <row r="300" spans="1:76" s="56" customFormat="1" ht="21" customHeight="1">
      <c r="A300" s="166"/>
      <c r="B300" s="171"/>
      <c r="C300" s="171"/>
      <c r="D300" s="171"/>
      <c r="E300" s="171"/>
      <c r="F300" s="171"/>
      <c r="G300" s="171"/>
      <c r="H300" s="171"/>
      <c r="I300" s="171"/>
      <c r="J300" s="171"/>
      <c r="L300" s="171"/>
      <c r="M300" s="171"/>
      <c r="N300" s="171"/>
      <c r="O300" s="171"/>
      <c r="P300" s="171"/>
      <c r="Q300" s="171"/>
      <c r="R300" s="171"/>
      <c r="S300" s="133"/>
      <c r="T300" s="133"/>
      <c r="U300" s="86"/>
      <c r="V300" s="121"/>
      <c r="W300" s="114"/>
      <c r="AJ300" s="122"/>
      <c r="AS300" s="52"/>
    </row>
    <row r="301" spans="1:76" s="56" customFormat="1" ht="7.5" customHeight="1">
      <c r="A301" s="87"/>
      <c r="B301" s="12"/>
      <c r="C301" s="12"/>
      <c r="D301" s="11"/>
      <c r="E301" s="11"/>
      <c r="F301" s="11"/>
      <c r="G301" s="11"/>
      <c r="H301" s="11"/>
      <c r="I301" s="11"/>
      <c r="J301" s="1"/>
      <c r="K301" s="13"/>
      <c r="L301" s="13"/>
      <c r="M301" s="13"/>
      <c r="N301" s="13"/>
      <c r="O301" s="13"/>
      <c r="P301" s="13"/>
      <c r="Q301" s="13"/>
      <c r="R301" s="13"/>
      <c r="S301" s="13"/>
      <c r="T301" s="14"/>
      <c r="U301" s="86"/>
      <c r="V301" s="185"/>
      <c r="W301" s="114"/>
      <c r="AI301" s="52"/>
      <c r="AJ301" s="121"/>
      <c r="AK301" s="61"/>
      <c r="AS301" s="52"/>
    </row>
    <row r="302" spans="1:76" s="56" customFormat="1" ht="15" customHeight="1">
      <c r="A302" s="1565"/>
      <c r="B302" s="1751"/>
      <c r="C302" s="1751"/>
      <c r="D302" s="1751"/>
      <c r="E302" s="1751"/>
      <c r="F302" s="1751"/>
      <c r="G302" s="1751"/>
      <c r="H302" s="1751"/>
      <c r="I302" s="1751"/>
      <c r="J302" s="1751"/>
      <c r="K302" s="1751"/>
      <c r="L302" s="1751"/>
      <c r="M302" s="1751"/>
      <c r="N302" s="1751"/>
      <c r="O302" s="1751"/>
      <c r="P302" s="1751"/>
      <c r="Q302" s="1751"/>
      <c r="R302" s="1751"/>
      <c r="S302" s="1751"/>
      <c r="T302" s="1751"/>
      <c r="U302" s="1752"/>
      <c r="V302" s="185"/>
      <c r="W302" s="114"/>
      <c r="X302" s="148"/>
      <c r="Y302" s="146"/>
      <c r="Z302" s="52"/>
      <c r="AI302" s="52"/>
      <c r="AJ302" s="121"/>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c r="BX302" s="52"/>
    </row>
    <row r="303" spans="1:76" s="56" customFormat="1" ht="11.25" customHeight="1">
      <c r="A303" s="1739"/>
      <c r="B303" s="1740"/>
      <c r="C303" s="1740"/>
      <c r="D303" s="1740"/>
      <c r="E303" s="1740"/>
      <c r="F303" s="1740"/>
      <c r="G303" s="1740"/>
      <c r="H303" s="1740"/>
      <c r="I303" s="1741"/>
      <c r="J303" s="1740"/>
      <c r="K303" s="1740"/>
      <c r="L303" s="1740"/>
      <c r="M303" s="1740"/>
      <c r="N303" s="1740"/>
      <c r="O303" s="1740"/>
      <c r="P303" s="1742"/>
      <c r="Q303" s="1740"/>
      <c r="R303" s="1740"/>
      <c r="S303" s="1741"/>
      <c r="T303" s="1740"/>
      <c r="U303" s="1743"/>
      <c r="V303" s="185"/>
      <c r="W303" s="114"/>
      <c r="X303" s="249" t="s">
        <v>530</v>
      </c>
      <c r="Y303" s="250"/>
      <c r="Z303" s="251"/>
      <c r="AA303" s="251"/>
      <c r="AB303" s="251"/>
      <c r="AI303" s="52"/>
      <c r="AJ303" s="121"/>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c r="BX303" s="52"/>
    </row>
    <row r="304" spans="1:76" ht="10.5" customHeight="1">
      <c r="A304" s="81"/>
      <c r="B304" s="82"/>
      <c r="C304" s="82"/>
      <c r="D304" s="82"/>
      <c r="E304" s="82"/>
      <c r="F304" s="82"/>
      <c r="G304" s="82"/>
      <c r="H304" s="82"/>
      <c r="I304" s="82"/>
      <c r="J304" s="83"/>
      <c r="K304" s="82"/>
      <c r="L304" s="82"/>
      <c r="M304" s="82"/>
      <c r="N304" s="82"/>
      <c r="O304" s="82"/>
      <c r="P304" s="82"/>
      <c r="Q304" s="82"/>
      <c r="R304" s="82"/>
      <c r="S304" s="82"/>
      <c r="T304" s="82"/>
      <c r="U304" s="84"/>
      <c r="V304" s="102"/>
      <c r="W304" s="114"/>
      <c r="X304" s="251"/>
      <c r="Y304" s="250"/>
      <c r="Z304" s="251"/>
      <c r="AA304" s="251"/>
      <c r="AB304" s="251"/>
      <c r="AJ304" s="121"/>
    </row>
    <row r="305" spans="1:76" ht="45" customHeight="1">
      <c r="A305" s="87"/>
      <c r="B305" s="1928" t="str">
        <f>"Age breakdown of Children Looked After"&amp;Y1&amp;" ("&amp;X270&amp;")"&amp;" (groups)"</f>
        <v>Age breakdown of Children Looked After at 31st March (2023/24) (groups)</v>
      </c>
      <c r="C305" s="1928"/>
      <c r="D305" s="1928"/>
      <c r="E305" s="1928"/>
      <c r="F305" s="1928"/>
      <c r="G305" s="1928"/>
      <c r="H305" s="1928"/>
      <c r="I305" s="1928"/>
      <c r="J305" s="1928"/>
      <c r="K305" s="1928"/>
      <c r="L305" s="1928"/>
      <c r="M305" s="1928"/>
      <c r="N305" s="1928"/>
      <c r="O305" s="1928"/>
      <c r="P305" s="1928"/>
      <c r="Q305" s="1928"/>
      <c r="R305" s="1928"/>
      <c r="S305" s="1928"/>
      <c r="T305" s="1928"/>
      <c r="U305" s="86"/>
      <c r="V305" s="102"/>
      <c r="W305" s="115"/>
      <c r="X305" s="248"/>
      <c r="Y305" s="307" t="str">
        <f>D307</f>
        <v>Under 1</v>
      </c>
      <c r="Z305" s="307" t="str">
        <f>E307</f>
        <v xml:space="preserve">      1 - 4    </v>
      </c>
      <c r="AA305" s="307" t="str">
        <f>F307</f>
        <v xml:space="preserve">      5 - 9    </v>
      </c>
      <c r="AB305" s="307" t="str">
        <f>G307</f>
        <v xml:space="preserve">   10 - 15  </v>
      </c>
      <c r="AC305" s="307" t="str">
        <f>H307</f>
        <v>16-17</v>
      </c>
      <c r="AJ305" s="12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row>
    <row r="306" spans="1:76" ht="21" customHeight="1">
      <c r="A306" s="1185"/>
      <c r="B306" s="1931" t="s">
        <v>177</v>
      </c>
      <c r="C306" s="1208"/>
      <c r="D306" s="1816" t="s">
        <v>149</v>
      </c>
      <c r="E306" s="1929"/>
      <c r="F306" s="1929"/>
      <c r="G306" s="1929"/>
      <c r="H306" s="1929"/>
      <c r="I306" s="1929"/>
      <c r="J306" s="1929"/>
      <c r="K306" s="1929"/>
      <c r="L306" s="1929"/>
      <c r="M306" s="1929"/>
      <c r="N306" s="1929"/>
      <c r="O306" s="1929"/>
      <c r="P306" s="1929"/>
      <c r="Q306" s="1929"/>
      <c r="R306" s="1929"/>
      <c r="S306" s="1929"/>
      <c r="T306" s="1930"/>
      <c r="U306" s="86"/>
      <c r="V306" s="102"/>
      <c r="W306" s="115"/>
      <c r="X306" s="248" t="str">
        <f t="shared" ref="X306:X318" si="109">B308</f>
        <v>Bracknell Forest</v>
      </c>
      <c r="Y306" s="307">
        <v>1377</v>
      </c>
      <c r="Z306" s="248">
        <v>6078</v>
      </c>
      <c r="AA306" s="248">
        <v>8489</v>
      </c>
      <c r="AB306" s="248">
        <v>8954</v>
      </c>
      <c r="AC306" s="244">
        <v>3173</v>
      </c>
      <c r="AD306" s="56" t="e">
        <f>IF($X306=$Y$4,150,NA())</f>
        <v>#N/A</v>
      </c>
      <c r="AE306" s="56" t="e">
        <f>IF($X306=$Y$4,100,NA())</f>
        <v>#N/A</v>
      </c>
      <c r="AF306" s="56" t="e">
        <f>IF($X306=$Y$4,100,NA())</f>
        <v>#N/A</v>
      </c>
      <c r="AG306" s="56" t="e">
        <f>IF($X306=$Y$4,200,NA())</f>
        <v>#N/A</v>
      </c>
      <c r="AH306" s="56" t="e">
        <f>IF($X306=$Y$4,250,NA())</f>
        <v>#N/A</v>
      </c>
      <c r="AJ306" s="12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row>
    <row r="307" spans="1:76" s="61" customFormat="1" ht="16.5" customHeight="1">
      <c r="A307" s="1148"/>
      <c r="B307" s="1932"/>
      <c r="C307" s="896"/>
      <c r="D307" s="1220" t="s">
        <v>137</v>
      </c>
      <c r="E307" s="1220" t="s">
        <v>139</v>
      </c>
      <c r="F307" s="1220" t="s">
        <v>140</v>
      </c>
      <c r="G307" s="1220" t="s">
        <v>141</v>
      </c>
      <c r="H307" s="1221" t="s">
        <v>150</v>
      </c>
      <c r="I307" s="1222"/>
      <c r="J307" s="1223"/>
      <c r="K307" s="1223"/>
      <c r="L307" s="1223"/>
      <c r="M307" s="1223"/>
      <c r="N307" s="1223"/>
      <c r="O307" s="1222"/>
      <c r="P307" s="1222"/>
      <c r="Q307" s="1222"/>
      <c r="R307" s="1222"/>
      <c r="S307" s="1223"/>
      <c r="T307" s="1224"/>
      <c r="U307" s="89"/>
      <c r="V307" s="103"/>
      <c r="W307" s="115"/>
      <c r="X307" s="248" t="str">
        <f t="shared" si="109"/>
        <v>Brighton &amp; Hove</v>
      </c>
      <c r="Y307" s="307">
        <v>2750</v>
      </c>
      <c r="Z307" s="248">
        <v>11406</v>
      </c>
      <c r="AA307" s="248">
        <v>14788</v>
      </c>
      <c r="AB307" s="248">
        <v>16437</v>
      </c>
      <c r="AC307" s="244">
        <v>5600</v>
      </c>
      <c r="AD307" s="56" t="e">
        <f t="shared" ref="AD307:AD318" si="110">IF($X307=$Y$4,150,NA())</f>
        <v>#N/A</v>
      </c>
      <c r="AE307" s="56" t="e">
        <f t="shared" ref="AE307:AF318" si="111">IF($X307=$Y$4,100,NA())</f>
        <v>#N/A</v>
      </c>
      <c r="AF307" s="56" t="e">
        <f t="shared" si="111"/>
        <v>#N/A</v>
      </c>
      <c r="AG307" s="56" t="e">
        <f t="shared" ref="AG307:AG318" si="112">IF($X307=$Y$4,200,NA())</f>
        <v>#N/A</v>
      </c>
      <c r="AH307" s="56" t="e">
        <f t="shared" ref="AH307:AH318" si="113">IF($X307=$Y$4,250,NA())</f>
        <v>#N/A</v>
      </c>
      <c r="AI307" s="52"/>
      <c r="AJ307" s="121"/>
    </row>
    <row r="308" spans="1:76" s="61" customFormat="1" ht="15.75" customHeight="1">
      <c r="A308" s="1103">
        <f>VLOOKUP(B308,ReportData!$AQ$4:$AR$25,2,FALSE)</f>
        <v>0</v>
      </c>
      <c r="B308" s="885" t="str">
        <f t="shared" ref="B308:B327" si="114">B275</f>
        <v>Bracknell Forest</v>
      </c>
      <c r="C308" s="896"/>
      <c r="D308" s="1104">
        <f t="shared" ref="D308:D328" si="115">IF(SUM($Y273:$AC273)&gt;0,Y273/Y306*10000,NA())</f>
        <v>65.359477124183002</v>
      </c>
      <c r="E308" s="1104">
        <f t="shared" ref="E308:E328" si="116">IF(SUM($Y273:$AC273)&gt;0,Z273/Z306*10000,NA())</f>
        <v>18.098058571898651</v>
      </c>
      <c r="F308" s="1104">
        <f t="shared" ref="F308:F328" si="117">IF(SUM($Y273:$AC273)&gt;0,AA273/AA306*10000,NA())</f>
        <v>16.491930733890918</v>
      </c>
      <c r="G308" s="1104">
        <f t="shared" ref="G308:G328" si="118">IF(SUM($Y273:$AC273)&gt;0,AB273/AB306*10000,NA())</f>
        <v>46.906410542774182</v>
      </c>
      <c r="H308" s="1105">
        <f t="shared" ref="H308:H328" si="119">IF(SUM($Y273:$AC273)&gt;0,AC273/AC306*10000,NA())</f>
        <v>201.70185943901669</v>
      </c>
      <c r="I308" s="1222"/>
      <c r="J308" s="1223"/>
      <c r="K308" s="1223"/>
      <c r="L308" s="1223"/>
      <c r="M308" s="1223"/>
      <c r="N308" s="1223"/>
      <c r="O308" s="1222"/>
      <c r="P308" s="1222"/>
      <c r="Q308" s="1222"/>
      <c r="R308" s="1222"/>
      <c r="S308" s="1223"/>
      <c r="T308" s="1224"/>
      <c r="U308" s="89"/>
      <c r="V308" s="103"/>
      <c r="W308" s="115"/>
      <c r="X308" s="248" t="str">
        <f t="shared" si="109"/>
        <v>Buckinghamshire</v>
      </c>
      <c r="Y308" s="307">
        <v>5926</v>
      </c>
      <c r="Z308" s="248">
        <v>26684</v>
      </c>
      <c r="AA308" s="248">
        <v>36651</v>
      </c>
      <c r="AB308" s="248">
        <v>40613</v>
      </c>
      <c r="AC308" s="244">
        <v>13201</v>
      </c>
      <c r="AD308" s="56" t="e">
        <f t="shared" si="110"/>
        <v>#N/A</v>
      </c>
      <c r="AE308" s="56" t="e">
        <f t="shared" si="111"/>
        <v>#N/A</v>
      </c>
      <c r="AF308" s="56" t="e">
        <f t="shared" si="111"/>
        <v>#N/A</v>
      </c>
      <c r="AG308" s="56" t="e">
        <f t="shared" si="112"/>
        <v>#N/A</v>
      </c>
      <c r="AH308" s="56" t="e">
        <f t="shared" si="113"/>
        <v>#N/A</v>
      </c>
      <c r="AI308" s="52"/>
      <c r="AJ308" s="121"/>
    </row>
    <row r="309" spans="1:76" s="61" customFormat="1" ht="15.75" customHeight="1">
      <c r="A309" s="1103">
        <f>VLOOKUP(B309,ReportData!$AQ$4:$AR$25,2,FALSE)</f>
        <v>0</v>
      </c>
      <c r="B309" s="885" t="str">
        <f t="shared" si="114"/>
        <v>Brighton &amp; Hove</v>
      </c>
      <c r="C309" s="896"/>
      <c r="D309" s="1104">
        <f t="shared" si="115"/>
        <v>54.545454545454547</v>
      </c>
      <c r="E309" s="1104">
        <f t="shared" si="116"/>
        <v>28.055409433631425</v>
      </c>
      <c r="F309" s="1104">
        <f t="shared" si="117"/>
        <v>34.487422234243979</v>
      </c>
      <c r="G309" s="1104">
        <f t="shared" si="118"/>
        <v>84.565309971405981</v>
      </c>
      <c r="H309" s="1105">
        <f t="shared" si="119"/>
        <v>208.92857142857144</v>
      </c>
      <c r="I309" s="1222"/>
      <c r="J309" s="1223"/>
      <c r="K309" s="1223"/>
      <c r="L309" s="1223"/>
      <c r="M309" s="1223"/>
      <c r="N309" s="1223"/>
      <c r="O309" s="1222"/>
      <c r="P309" s="1222"/>
      <c r="Q309" s="1222"/>
      <c r="R309" s="1222"/>
      <c r="S309" s="1223"/>
      <c r="T309" s="1224"/>
      <c r="U309" s="89"/>
      <c r="V309" s="103"/>
      <c r="W309" s="115"/>
      <c r="X309" s="248" t="str">
        <f t="shared" si="109"/>
        <v>East Sussex</v>
      </c>
      <c r="Y309" s="307">
        <v>5059</v>
      </c>
      <c r="Z309" s="248">
        <v>22434</v>
      </c>
      <c r="AA309" s="248">
        <v>31073</v>
      </c>
      <c r="AB309" s="248">
        <v>35438</v>
      </c>
      <c r="AC309" s="244">
        <v>12041</v>
      </c>
      <c r="AD309" s="56" t="e">
        <f t="shared" si="110"/>
        <v>#N/A</v>
      </c>
      <c r="AE309" s="56" t="e">
        <f t="shared" si="111"/>
        <v>#N/A</v>
      </c>
      <c r="AF309" s="56" t="e">
        <f t="shared" si="111"/>
        <v>#N/A</v>
      </c>
      <c r="AG309" s="56" t="e">
        <f t="shared" si="112"/>
        <v>#N/A</v>
      </c>
      <c r="AH309" s="56" t="e">
        <f t="shared" si="113"/>
        <v>#N/A</v>
      </c>
      <c r="AI309" s="52"/>
      <c r="AJ309" s="121"/>
    </row>
    <row r="310" spans="1:76" s="61" customFormat="1" ht="15.75" customHeight="1">
      <c r="A310" s="1103">
        <f>VLOOKUP(B310,ReportData!$AQ$4:$AR$25,2,FALSE)</f>
        <v>0</v>
      </c>
      <c r="B310" s="885" t="str">
        <f t="shared" si="114"/>
        <v>Buckinghamshire</v>
      </c>
      <c r="C310" s="896"/>
      <c r="D310" s="1104">
        <f t="shared" si="115"/>
        <v>40.49949375632805</v>
      </c>
      <c r="E310" s="1104">
        <f t="shared" si="116"/>
        <v>16.489281966721631</v>
      </c>
      <c r="F310" s="1104">
        <f t="shared" si="117"/>
        <v>22.373195820032198</v>
      </c>
      <c r="G310" s="1104">
        <f t="shared" si="118"/>
        <v>49.983995272449704</v>
      </c>
      <c r="H310" s="1105">
        <f t="shared" si="119"/>
        <v>128.7781228694796</v>
      </c>
      <c r="I310" s="1222"/>
      <c r="J310" s="1223"/>
      <c r="K310" s="1223"/>
      <c r="L310" s="1223"/>
      <c r="M310" s="1223"/>
      <c r="N310" s="1223"/>
      <c r="O310" s="1222"/>
      <c r="P310" s="1222"/>
      <c r="Q310" s="1222"/>
      <c r="R310" s="1222"/>
      <c r="S310" s="1223"/>
      <c r="T310" s="1224"/>
      <c r="U310" s="89"/>
      <c r="V310" s="103"/>
      <c r="W310" s="115"/>
      <c r="X310" s="248" t="str">
        <f t="shared" si="109"/>
        <v>Hampshire</v>
      </c>
      <c r="Y310" s="307">
        <v>14038</v>
      </c>
      <c r="Z310" s="248">
        <v>61621</v>
      </c>
      <c r="AA310" s="248">
        <v>83682</v>
      </c>
      <c r="AB310" s="248">
        <v>92949</v>
      </c>
      <c r="AC310" s="244">
        <v>31024</v>
      </c>
      <c r="AD310" s="56" t="e">
        <f t="shared" si="110"/>
        <v>#N/A</v>
      </c>
      <c r="AE310" s="56" t="e">
        <f t="shared" si="111"/>
        <v>#N/A</v>
      </c>
      <c r="AF310" s="56" t="e">
        <f t="shared" si="111"/>
        <v>#N/A</v>
      </c>
      <c r="AG310" s="56" t="e">
        <f t="shared" si="112"/>
        <v>#N/A</v>
      </c>
      <c r="AH310" s="56" t="e">
        <f t="shared" si="113"/>
        <v>#N/A</v>
      </c>
      <c r="AI310" s="52"/>
      <c r="AJ310" s="121"/>
    </row>
    <row r="311" spans="1:76" s="61" customFormat="1" ht="15.75" customHeight="1">
      <c r="A311" s="1103">
        <f>VLOOKUP(B311,ReportData!$AQ$4:$AR$25,2,FALSE)</f>
        <v>0</v>
      </c>
      <c r="B311" s="885" t="str">
        <f t="shared" si="114"/>
        <v>East Sussex</v>
      </c>
      <c r="C311" s="896"/>
      <c r="D311" s="1104">
        <f t="shared" si="115"/>
        <v>43.486855109705473</v>
      </c>
      <c r="E311" s="1104">
        <f t="shared" si="116"/>
        <v>30.756886868146562</v>
      </c>
      <c r="F311" s="1104">
        <f t="shared" si="117"/>
        <v>33.791394458211307</v>
      </c>
      <c r="G311" s="1104">
        <f t="shared" si="118"/>
        <v>79.57559681697613</v>
      </c>
      <c r="H311" s="1105">
        <f t="shared" si="119"/>
        <v>148.65874927331618</v>
      </c>
      <c r="I311" s="1222"/>
      <c r="J311" s="1223"/>
      <c r="K311" s="1223"/>
      <c r="L311" s="1223"/>
      <c r="M311" s="1223"/>
      <c r="N311" s="1223"/>
      <c r="O311" s="1222"/>
      <c r="P311" s="1222"/>
      <c r="Q311" s="1222"/>
      <c r="R311" s="1222"/>
      <c r="S311" s="1223"/>
      <c r="T311" s="1224"/>
      <c r="U311" s="89"/>
      <c r="V311" s="103"/>
      <c r="W311" s="115"/>
      <c r="X311" s="248" t="str">
        <f t="shared" si="109"/>
        <v>Isle of Wight</v>
      </c>
      <c r="Y311" s="307">
        <v>1210</v>
      </c>
      <c r="Z311" s="248">
        <v>5403</v>
      </c>
      <c r="AA311" s="248">
        <v>6980</v>
      </c>
      <c r="AB311" s="248">
        <v>8403</v>
      </c>
      <c r="AC311" s="244">
        <v>3059</v>
      </c>
      <c r="AD311" s="56" t="e">
        <f t="shared" si="110"/>
        <v>#N/A</v>
      </c>
      <c r="AE311" s="56" t="e">
        <f t="shared" si="111"/>
        <v>#N/A</v>
      </c>
      <c r="AF311" s="56" t="e">
        <f t="shared" si="111"/>
        <v>#N/A</v>
      </c>
      <c r="AG311" s="56" t="e">
        <f t="shared" si="112"/>
        <v>#N/A</v>
      </c>
      <c r="AH311" s="56" t="e">
        <f t="shared" si="113"/>
        <v>#N/A</v>
      </c>
      <c r="AI311" s="52"/>
      <c r="AJ311" s="121"/>
      <c r="AR311" s="61" t="s">
        <v>95</v>
      </c>
    </row>
    <row r="312" spans="1:76" s="61" customFormat="1" ht="15.75" customHeight="1">
      <c r="A312" s="1103">
        <f>VLOOKUP(B312,ReportData!$AQ$4:$AR$25,2,FALSE)</f>
        <v>0</v>
      </c>
      <c r="B312" s="885" t="str">
        <f t="shared" si="114"/>
        <v>Hampshire</v>
      </c>
      <c r="C312" s="896"/>
      <c r="D312" s="1104">
        <f t="shared" si="115"/>
        <v>39.179370280666767</v>
      </c>
      <c r="E312" s="1104">
        <f t="shared" si="116"/>
        <v>28.39940929228672</v>
      </c>
      <c r="F312" s="1104">
        <f t="shared" si="117"/>
        <v>41.108004110800408</v>
      </c>
      <c r="G312" s="1104">
        <f t="shared" si="118"/>
        <v>81.22733972393462</v>
      </c>
      <c r="H312" s="1105">
        <f t="shared" si="119"/>
        <v>189.53068592057761</v>
      </c>
      <c r="I312" s="1222"/>
      <c r="J312" s="1223"/>
      <c r="K312" s="1223"/>
      <c r="L312" s="1223"/>
      <c r="M312" s="1223"/>
      <c r="N312" s="1223"/>
      <c r="O312" s="1222"/>
      <c r="P312" s="1222"/>
      <c r="Q312" s="1222"/>
      <c r="R312" s="1222"/>
      <c r="S312" s="1223"/>
      <c r="T312" s="1224"/>
      <c r="U312" s="89"/>
      <c r="V312" s="103"/>
      <c r="W312" s="115"/>
      <c r="X312" s="248" t="str">
        <f t="shared" si="109"/>
        <v>Kent</v>
      </c>
      <c r="Y312" s="307">
        <v>17442</v>
      </c>
      <c r="Z312" s="248">
        <v>73957</v>
      </c>
      <c r="AA312" s="248">
        <v>98657</v>
      </c>
      <c r="AB312" s="248">
        <v>109858</v>
      </c>
      <c r="AC312" s="244">
        <v>36176</v>
      </c>
      <c r="AD312" s="56" t="e">
        <f t="shared" si="110"/>
        <v>#N/A</v>
      </c>
      <c r="AE312" s="56" t="e">
        <f t="shared" si="111"/>
        <v>#N/A</v>
      </c>
      <c r="AF312" s="56" t="e">
        <f t="shared" si="111"/>
        <v>#N/A</v>
      </c>
      <c r="AG312" s="56" t="e">
        <f t="shared" si="112"/>
        <v>#N/A</v>
      </c>
      <c r="AH312" s="56" t="e">
        <f t="shared" si="113"/>
        <v>#N/A</v>
      </c>
      <c r="AI312" s="52"/>
      <c r="AJ312" s="121"/>
    </row>
    <row r="313" spans="1:76" s="61" customFormat="1" ht="15.75" customHeight="1">
      <c r="A313" s="1103">
        <f>VLOOKUP(B313,ReportData!$AQ$4:$AR$25,2,FALSE)</f>
        <v>0</v>
      </c>
      <c r="B313" s="885" t="str">
        <f t="shared" si="114"/>
        <v>Isle of Wight</v>
      </c>
      <c r="C313" s="896"/>
      <c r="D313" s="1104">
        <f t="shared" si="115"/>
        <v>66.115702479338836</v>
      </c>
      <c r="E313" s="1104">
        <f t="shared" si="116"/>
        <v>59.22635572829909</v>
      </c>
      <c r="F313" s="1104">
        <f t="shared" si="117"/>
        <v>83.094555873925501</v>
      </c>
      <c r="G313" s="1104">
        <f t="shared" si="118"/>
        <v>132.09568011424491</v>
      </c>
      <c r="H313" s="1105">
        <f t="shared" si="119"/>
        <v>228.83295194508008</v>
      </c>
      <c r="I313" s="1222"/>
      <c r="J313" s="1223"/>
      <c r="K313" s="1223"/>
      <c r="L313" s="1223"/>
      <c r="M313" s="1223"/>
      <c r="N313" s="1223"/>
      <c r="O313" s="1222"/>
      <c r="P313" s="1222"/>
      <c r="Q313" s="1222"/>
      <c r="R313" s="1222"/>
      <c r="S313" s="1223"/>
      <c r="T313" s="1224"/>
      <c r="U313" s="89"/>
      <c r="V313" s="103"/>
      <c r="W313" s="115"/>
      <c r="X313" s="248" t="str">
        <f t="shared" si="109"/>
        <v>Medway</v>
      </c>
      <c r="Y313" s="307">
        <v>3650</v>
      </c>
      <c r="Z313" s="248">
        <v>14916</v>
      </c>
      <c r="AA313" s="248">
        <v>18608</v>
      </c>
      <c r="AB313" s="248">
        <v>20102</v>
      </c>
      <c r="AC313" s="244">
        <v>6667</v>
      </c>
      <c r="AD313" s="56" t="e">
        <f t="shared" si="110"/>
        <v>#N/A</v>
      </c>
      <c r="AE313" s="56" t="e">
        <f t="shared" si="111"/>
        <v>#N/A</v>
      </c>
      <c r="AF313" s="56" t="e">
        <f t="shared" si="111"/>
        <v>#N/A</v>
      </c>
      <c r="AG313" s="56" t="e">
        <f t="shared" si="112"/>
        <v>#N/A</v>
      </c>
      <c r="AH313" s="56" t="e">
        <f t="shared" si="113"/>
        <v>#N/A</v>
      </c>
      <c r="AI313" s="52"/>
      <c r="AJ313" s="121"/>
    </row>
    <row r="314" spans="1:76" s="61" customFormat="1" ht="15.75" customHeight="1">
      <c r="A314" s="1103">
        <f>VLOOKUP(B314,ReportData!$AQ$4:$AR$25,2,FALSE)</f>
        <v>0</v>
      </c>
      <c r="B314" s="885" t="str">
        <f t="shared" si="114"/>
        <v>Kent</v>
      </c>
      <c r="C314" s="896"/>
      <c r="D314" s="1104">
        <f t="shared" si="115"/>
        <v>38.413026029125099</v>
      </c>
      <c r="E314" s="1104">
        <f t="shared" si="116"/>
        <v>23.256757304920427</v>
      </c>
      <c r="F314" s="1104">
        <f t="shared" si="117"/>
        <v>23.617178710076324</v>
      </c>
      <c r="G314" s="1104">
        <f t="shared" si="118"/>
        <v>60.259607857415936</v>
      </c>
      <c r="H314" s="1105">
        <f t="shared" si="119"/>
        <v>228.32817337461302</v>
      </c>
      <c r="I314" s="1222"/>
      <c r="J314" s="1223"/>
      <c r="K314" s="1223"/>
      <c r="L314" s="1223"/>
      <c r="M314" s="1223"/>
      <c r="N314" s="1223"/>
      <c r="O314" s="1222"/>
      <c r="P314" s="1222"/>
      <c r="Q314" s="1222"/>
      <c r="R314" s="1222"/>
      <c r="S314" s="1223"/>
      <c r="T314" s="1224"/>
      <c r="U314" s="89"/>
      <c r="V314" s="103"/>
      <c r="W314" s="115"/>
      <c r="X314" s="248" t="str">
        <f t="shared" si="109"/>
        <v>Milton Keynes</v>
      </c>
      <c r="Y314" s="307">
        <v>3593</v>
      </c>
      <c r="Z314" s="248">
        <v>15781</v>
      </c>
      <c r="AA314" s="248">
        <v>21244</v>
      </c>
      <c r="AB314" s="248">
        <v>20728</v>
      </c>
      <c r="AC314" s="244">
        <v>6301</v>
      </c>
      <c r="AD314" s="56" t="e">
        <f t="shared" si="110"/>
        <v>#N/A</v>
      </c>
      <c r="AE314" s="56" t="e">
        <f t="shared" si="111"/>
        <v>#N/A</v>
      </c>
      <c r="AF314" s="56" t="e">
        <f t="shared" si="111"/>
        <v>#N/A</v>
      </c>
      <c r="AG314" s="56" t="e">
        <f t="shared" si="112"/>
        <v>#N/A</v>
      </c>
      <c r="AH314" s="56" t="e">
        <f t="shared" si="113"/>
        <v>#N/A</v>
      </c>
      <c r="AI314" s="52"/>
      <c r="AJ314" s="121"/>
    </row>
    <row r="315" spans="1:76" s="61" customFormat="1" ht="15.75" customHeight="1">
      <c r="A315" s="1103">
        <f>VLOOKUP(B315,ReportData!$AQ$4:$AR$25,2,FALSE)</f>
        <v>0</v>
      </c>
      <c r="B315" s="885" t="str">
        <f t="shared" si="114"/>
        <v>Medway</v>
      </c>
      <c r="C315" s="896"/>
      <c r="D315" s="1104">
        <f t="shared" si="115"/>
        <v>63.013698630136986</v>
      </c>
      <c r="E315" s="1104">
        <f t="shared" si="116"/>
        <v>36.202735317779563</v>
      </c>
      <c r="F315" s="1104">
        <f t="shared" si="117"/>
        <v>43.529664660361128</v>
      </c>
      <c r="G315" s="1104">
        <f t="shared" si="118"/>
        <v>103.47229131429708</v>
      </c>
      <c r="H315" s="1105">
        <f t="shared" si="119"/>
        <v>164.99175041247938</v>
      </c>
      <c r="I315" s="1222"/>
      <c r="J315" s="1223"/>
      <c r="K315" s="1223"/>
      <c r="L315" s="1223"/>
      <c r="M315" s="1223"/>
      <c r="N315" s="1223"/>
      <c r="O315" s="1222"/>
      <c r="P315" s="1222"/>
      <c r="Q315" s="1222"/>
      <c r="R315" s="1222"/>
      <c r="S315" s="1223"/>
      <c r="T315" s="1224"/>
      <c r="U315" s="89"/>
      <c r="V315" s="103"/>
      <c r="W315" s="115"/>
      <c r="X315" s="248" t="str">
        <f t="shared" si="109"/>
        <v>Oxfordshire</v>
      </c>
      <c r="Y315" s="307">
        <v>7519</v>
      </c>
      <c r="Z315" s="248">
        <v>32015</v>
      </c>
      <c r="AA315" s="248">
        <v>42546</v>
      </c>
      <c r="AB315" s="248">
        <v>46163</v>
      </c>
      <c r="AC315" s="244">
        <v>15201</v>
      </c>
      <c r="AD315" s="56" t="e">
        <f t="shared" si="110"/>
        <v>#N/A</v>
      </c>
      <c r="AE315" s="56" t="e">
        <f t="shared" si="111"/>
        <v>#N/A</v>
      </c>
      <c r="AF315" s="56" t="e">
        <f t="shared" si="111"/>
        <v>#N/A</v>
      </c>
      <c r="AG315" s="56" t="e">
        <f t="shared" si="112"/>
        <v>#N/A</v>
      </c>
      <c r="AH315" s="56" t="e">
        <f t="shared" si="113"/>
        <v>#N/A</v>
      </c>
      <c r="AI315" s="52"/>
      <c r="AJ315" s="121"/>
    </row>
    <row r="316" spans="1:76" s="61" customFormat="1" ht="15.75" customHeight="1">
      <c r="A316" s="1103">
        <f>VLOOKUP(B316,ReportData!$AQ$4:$AR$25,2,FALSE)</f>
        <v>0</v>
      </c>
      <c r="B316" s="885" t="str">
        <f t="shared" si="114"/>
        <v>Milton Keynes</v>
      </c>
      <c r="C316" s="896"/>
      <c r="D316" s="1104">
        <f t="shared" si="115"/>
        <v>66.796548844976343</v>
      </c>
      <c r="E316" s="1104">
        <f t="shared" si="116"/>
        <v>38.020404283632217</v>
      </c>
      <c r="F316" s="1104">
        <f t="shared" si="117"/>
        <v>27.301826398041801</v>
      </c>
      <c r="G316" s="1104">
        <f t="shared" si="118"/>
        <v>79.602470088768825</v>
      </c>
      <c r="H316" s="1105">
        <f t="shared" si="119"/>
        <v>163.46611648944611</v>
      </c>
      <c r="I316" s="1222"/>
      <c r="J316" s="1223"/>
      <c r="K316" s="1223"/>
      <c r="L316" s="1223"/>
      <c r="M316" s="1223"/>
      <c r="N316" s="1223"/>
      <c r="O316" s="1222"/>
      <c r="P316" s="1222"/>
      <c r="Q316" s="1222"/>
      <c r="R316" s="1222"/>
      <c r="S316" s="1223"/>
      <c r="T316" s="1224"/>
      <c r="U316" s="89"/>
      <c r="V316" s="103"/>
      <c r="W316" s="115"/>
      <c r="X316" s="248" t="str">
        <f t="shared" si="109"/>
        <v>Portsmouth</v>
      </c>
      <c r="Y316" s="307">
        <v>2479</v>
      </c>
      <c r="Z316" s="248">
        <v>10646</v>
      </c>
      <c r="AA316" s="248">
        <v>13191</v>
      </c>
      <c r="AB316" s="248">
        <v>13605</v>
      </c>
      <c r="AC316" s="244">
        <v>4271</v>
      </c>
      <c r="AD316" s="56" t="e">
        <f t="shared" si="110"/>
        <v>#N/A</v>
      </c>
      <c r="AE316" s="56" t="e">
        <f t="shared" si="111"/>
        <v>#N/A</v>
      </c>
      <c r="AF316" s="56" t="e">
        <f t="shared" si="111"/>
        <v>#N/A</v>
      </c>
      <c r="AG316" s="56" t="e">
        <f t="shared" si="112"/>
        <v>#N/A</v>
      </c>
      <c r="AH316" s="56" t="e">
        <f t="shared" si="113"/>
        <v>#N/A</v>
      </c>
      <c r="AI316" s="52"/>
      <c r="AJ316" s="121"/>
    </row>
    <row r="317" spans="1:76" s="61" customFormat="1" ht="15.75" customHeight="1">
      <c r="A317" s="1103">
        <f>VLOOKUP(B317,ReportData!$AQ$4:$AR$25,2,FALSE)</f>
        <v>0</v>
      </c>
      <c r="B317" s="885" t="str">
        <f t="shared" si="114"/>
        <v>Oxfordshire</v>
      </c>
      <c r="C317" s="896"/>
      <c r="D317" s="1104">
        <f t="shared" si="115"/>
        <v>29.259210001329961</v>
      </c>
      <c r="E317" s="1104">
        <f t="shared" si="116"/>
        <v>17.179447134155865</v>
      </c>
      <c r="F317" s="1104">
        <f t="shared" si="117"/>
        <v>23.268932449583978</v>
      </c>
      <c r="G317" s="1104">
        <f t="shared" si="118"/>
        <v>71.052574572709744</v>
      </c>
      <c r="H317" s="1105">
        <f t="shared" si="119"/>
        <v>174.98848759950002</v>
      </c>
      <c r="I317" s="1222"/>
      <c r="J317" s="1223"/>
      <c r="K317" s="1223"/>
      <c r="L317" s="1223"/>
      <c r="M317" s="1223"/>
      <c r="N317" s="1223"/>
      <c r="O317" s="1222"/>
      <c r="P317" s="1222"/>
      <c r="Q317" s="1222"/>
      <c r="R317" s="1222"/>
      <c r="S317" s="1223"/>
      <c r="T317" s="1224"/>
      <c r="U317" s="89"/>
      <c r="V317" s="103"/>
      <c r="W317" s="115"/>
      <c r="X317" s="248" t="str">
        <f t="shared" si="109"/>
        <v>Reading</v>
      </c>
      <c r="Y317" s="307">
        <v>2461</v>
      </c>
      <c r="Z317" s="248">
        <v>9672</v>
      </c>
      <c r="AA317" s="248">
        <v>11190</v>
      </c>
      <c r="AB317" s="248">
        <v>10449</v>
      </c>
      <c r="AC317" s="244">
        <v>3321</v>
      </c>
      <c r="AD317" s="56" t="e">
        <f t="shared" si="110"/>
        <v>#N/A</v>
      </c>
      <c r="AE317" s="56" t="e">
        <f t="shared" si="111"/>
        <v>#N/A</v>
      </c>
      <c r="AF317" s="56" t="e">
        <f t="shared" si="111"/>
        <v>#N/A</v>
      </c>
      <c r="AG317" s="56" t="e">
        <f t="shared" si="112"/>
        <v>#N/A</v>
      </c>
      <c r="AH317" s="56" t="e">
        <f t="shared" si="113"/>
        <v>#N/A</v>
      </c>
      <c r="AI317" s="52"/>
      <c r="AJ317" s="121"/>
    </row>
    <row r="318" spans="1:76" s="61" customFormat="1" ht="15.75" customHeight="1">
      <c r="A318" s="1103">
        <f>VLOOKUP(B318,ReportData!$AQ$4:$AR$25,2,FALSE)</f>
        <v>0</v>
      </c>
      <c r="B318" s="885" t="str">
        <f t="shared" si="114"/>
        <v>Portsmouth</v>
      </c>
      <c r="C318" s="896"/>
      <c r="D318" s="1104">
        <f t="shared" si="115"/>
        <v>88.745461879790241</v>
      </c>
      <c r="E318" s="1104">
        <f t="shared" si="116"/>
        <v>58.237835806875822</v>
      </c>
      <c r="F318" s="1104">
        <f t="shared" si="117"/>
        <v>53.824577363353804</v>
      </c>
      <c r="G318" s="1104">
        <f t="shared" si="118"/>
        <v>103.63836824696803</v>
      </c>
      <c r="H318" s="1105">
        <f t="shared" si="119"/>
        <v>248.18543666588619</v>
      </c>
      <c r="I318" s="1222"/>
      <c r="J318" s="1223"/>
      <c r="K318" s="1223"/>
      <c r="L318" s="1223"/>
      <c r="M318" s="1223"/>
      <c r="N318" s="1223"/>
      <c r="O318" s="1222"/>
      <c r="P318" s="1222"/>
      <c r="Q318" s="1222"/>
      <c r="R318" s="1222"/>
      <c r="S318" s="1223"/>
      <c r="T318" s="1224"/>
      <c r="U318" s="89"/>
      <c r="V318" s="103"/>
      <c r="W318" s="115"/>
      <c r="X318" s="248" t="str">
        <f t="shared" si="109"/>
        <v>Slough</v>
      </c>
      <c r="Y318" s="307">
        <v>2557</v>
      </c>
      <c r="Z318" s="248">
        <v>10464</v>
      </c>
      <c r="AA318" s="248">
        <v>12884</v>
      </c>
      <c r="AB318" s="248">
        <v>12639</v>
      </c>
      <c r="AC318" s="244">
        <v>3636</v>
      </c>
      <c r="AD318" s="56" t="e">
        <f t="shared" si="110"/>
        <v>#N/A</v>
      </c>
      <c r="AE318" s="56" t="e">
        <f t="shared" si="111"/>
        <v>#N/A</v>
      </c>
      <c r="AF318" s="56" t="e">
        <f t="shared" si="111"/>
        <v>#N/A</v>
      </c>
      <c r="AG318" s="56" t="e">
        <f t="shared" si="112"/>
        <v>#N/A</v>
      </c>
      <c r="AH318" s="56" t="e">
        <f t="shared" si="113"/>
        <v>#N/A</v>
      </c>
      <c r="AI318" s="52"/>
      <c r="AJ318" s="121"/>
    </row>
    <row r="319" spans="1:76" s="61" customFormat="1" ht="15.75" customHeight="1">
      <c r="A319" s="1103">
        <f>VLOOKUP(B319,ReportData!$AQ$4:$AR$25,2,FALSE)</f>
        <v>0</v>
      </c>
      <c r="B319" s="885" t="str">
        <f t="shared" si="114"/>
        <v>Reading</v>
      </c>
      <c r="C319" s="896"/>
      <c r="D319" s="1104">
        <f t="shared" si="115"/>
        <v>52.824055262088585</v>
      </c>
      <c r="E319" s="1104">
        <f t="shared" si="116"/>
        <v>27.915632754342429</v>
      </c>
      <c r="F319" s="1104">
        <f t="shared" si="117"/>
        <v>33.958891867739055</v>
      </c>
      <c r="G319" s="1104">
        <f t="shared" si="118"/>
        <v>111.01540817303092</v>
      </c>
      <c r="H319" s="1105">
        <f t="shared" si="119"/>
        <v>216.80216802168022</v>
      </c>
      <c r="I319" s="1222"/>
      <c r="J319" s="1223"/>
      <c r="K319" s="1223"/>
      <c r="L319" s="1223"/>
      <c r="M319" s="1223"/>
      <c r="N319" s="1223"/>
      <c r="O319" s="1222"/>
      <c r="P319" s="1222"/>
      <c r="Q319" s="1222"/>
      <c r="R319" s="1222"/>
      <c r="S319" s="1223"/>
      <c r="T319" s="1224"/>
      <c r="U319" s="89"/>
      <c r="V319" s="103"/>
      <c r="W319" s="115"/>
      <c r="X319" s="248" t="str">
        <f t="shared" ref="X319:X326" si="120">B321</f>
        <v>Southampton</v>
      </c>
      <c r="Y319" s="307">
        <v>3148</v>
      </c>
      <c r="Z319" s="248">
        <v>12884</v>
      </c>
      <c r="AA319" s="248">
        <v>15242</v>
      </c>
      <c r="AB319" s="248">
        <v>14427</v>
      </c>
      <c r="AC319" s="244">
        <v>4604</v>
      </c>
      <c r="AD319" s="56" t="e">
        <f t="shared" ref="AD319:AD326" si="121">IF($X319=$Y$4,150,NA())</f>
        <v>#N/A</v>
      </c>
      <c r="AE319" s="56" t="e">
        <f t="shared" ref="AE319:AF326" si="122">IF($X319=$Y$4,100,NA())</f>
        <v>#N/A</v>
      </c>
      <c r="AF319" s="56" t="e">
        <f t="shared" si="122"/>
        <v>#N/A</v>
      </c>
      <c r="AG319" s="56" t="e">
        <f t="shared" ref="AG319:AG326" si="123">IF($X319=$Y$4,200,NA())</f>
        <v>#N/A</v>
      </c>
      <c r="AH319" s="56" t="e">
        <f t="shared" ref="AH319:AH326" si="124">IF($X319=$Y$4,250,NA())</f>
        <v>#N/A</v>
      </c>
      <c r="AI319" s="52"/>
      <c r="AJ319" s="121"/>
    </row>
    <row r="320" spans="1:76" s="61" customFormat="1" ht="15.75" customHeight="1">
      <c r="A320" s="1103">
        <f>VLOOKUP(B320,ReportData!$AQ$4:$AR$25,2,FALSE)</f>
        <v>0</v>
      </c>
      <c r="B320" s="885" t="str">
        <f t="shared" si="114"/>
        <v>Slough</v>
      </c>
      <c r="C320" s="896"/>
      <c r="D320" s="1104">
        <f t="shared" si="115"/>
        <v>31.286664059444661</v>
      </c>
      <c r="E320" s="1104">
        <f t="shared" si="116"/>
        <v>23.8914373088685</v>
      </c>
      <c r="F320" s="1104">
        <f t="shared" si="117"/>
        <v>26.389320086929526</v>
      </c>
      <c r="G320" s="1104">
        <f t="shared" si="118"/>
        <v>47.472110135295509</v>
      </c>
      <c r="H320" s="1105">
        <f t="shared" si="119"/>
        <v>203.5203520352035</v>
      </c>
      <c r="I320" s="1222"/>
      <c r="J320" s="1223"/>
      <c r="K320" s="1223"/>
      <c r="L320" s="1223"/>
      <c r="M320" s="1223"/>
      <c r="N320" s="1223"/>
      <c r="O320" s="1222"/>
      <c r="P320" s="1222"/>
      <c r="Q320" s="1222"/>
      <c r="R320" s="1222"/>
      <c r="S320" s="1223"/>
      <c r="T320" s="1224"/>
      <c r="U320" s="89"/>
      <c r="V320" s="103"/>
      <c r="W320" s="115"/>
      <c r="X320" s="248" t="str">
        <f t="shared" si="120"/>
        <v>Surrey</v>
      </c>
      <c r="Y320" s="307">
        <v>13129</v>
      </c>
      <c r="Z320" s="248">
        <v>57891</v>
      </c>
      <c r="AA320" s="248">
        <v>77703</v>
      </c>
      <c r="AB320" s="248">
        <v>84018</v>
      </c>
      <c r="AC320" s="244">
        <v>27564</v>
      </c>
      <c r="AD320" s="56" t="e">
        <f t="shared" si="121"/>
        <v>#N/A</v>
      </c>
      <c r="AE320" s="56" t="e">
        <f t="shared" si="122"/>
        <v>#N/A</v>
      </c>
      <c r="AF320" s="56" t="e">
        <f t="shared" si="122"/>
        <v>#N/A</v>
      </c>
      <c r="AG320" s="56" t="e">
        <f t="shared" si="123"/>
        <v>#N/A</v>
      </c>
      <c r="AH320" s="56" t="e">
        <f t="shared" si="124"/>
        <v>#N/A</v>
      </c>
      <c r="AI320" s="52"/>
      <c r="AJ320" s="121"/>
    </row>
    <row r="321" spans="1:76" s="61" customFormat="1" ht="15.75" customHeight="1">
      <c r="A321" s="1103">
        <f>VLOOKUP(B321,ReportData!$AQ$4:$AR$25,2,FALSE)</f>
        <v>0</v>
      </c>
      <c r="B321" s="885" t="str">
        <f t="shared" si="114"/>
        <v>Southampton</v>
      </c>
      <c r="C321" s="896"/>
      <c r="D321" s="1104">
        <f t="shared" si="115"/>
        <v>41.296060991105463</v>
      </c>
      <c r="E321" s="1104">
        <f t="shared" si="116"/>
        <v>30.270102452654456</v>
      </c>
      <c r="F321" s="1104">
        <f t="shared" si="117"/>
        <v>57.735205353628132</v>
      </c>
      <c r="G321" s="1104">
        <f t="shared" si="118"/>
        <v>146.2535523670895</v>
      </c>
      <c r="H321" s="1105">
        <f t="shared" si="119"/>
        <v>297.56733275412688</v>
      </c>
      <c r="I321" s="1222"/>
      <c r="J321" s="1223"/>
      <c r="K321" s="1223"/>
      <c r="L321" s="1223"/>
      <c r="M321" s="1223"/>
      <c r="N321" s="1223"/>
      <c r="O321" s="1222"/>
      <c r="P321" s="1222"/>
      <c r="Q321" s="1222"/>
      <c r="R321" s="1222"/>
      <c r="S321" s="1223"/>
      <c r="T321" s="1224"/>
      <c r="U321" s="89"/>
      <c r="V321" s="103"/>
      <c r="W321" s="115"/>
      <c r="X321" s="248" t="str">
        <f t="shared" si="120"/>
        <v>West Berkshire</v>
      </c>
      <c r="Y321" s="307">
        <v>1675</v>
      </c>
      <c r="Z321" s="248">
        <v>7470</v>
      </c>
      <c r="AA321" s="248">
        <v>10459</v>
      </c>
      <c r="AB321" s="248">
        <v>11956</v>
      </c>
      <c r="AC321" s="244">
        <v>4230</v>
      </c>
      <c r="AD321" s="56" t="e">
        <f t="shared" si="121"/>
        <v>#N/A</v>
      </c>
      <c r="AE321" s="56" t="e">
        <f t="shared" si="122"/>
        <v>#N/A</v>
      </c>
      <c r="AF321" s="56" t="e">
        <f t="shared" si="122"/>
        <v>#N/A</v>
      </c>
      <c r="AG321" s="56" t="e">
        <f t="shared" si="123"/>
        <v>#N/A</v>
      </c>
      <c r="AH321" s="56" t="e">
        <f t="shared" si="124"/>
        <v>#N/A</v>
      </c>
      <c r="AI321" s="52"/>
      <c r="AJ321" s="121"/>
    </row>
    <row r="322" spans="1:76" s="61" customFormat="1" ht="15.75" customHeight="1">
      <c r="A322" s="1103">
        <f>VLOOKUP(B322,ReportData!$AQ$4:$AR$25,2,FALSE)</f>
        <v>0</v>
      </c>
      <c r="B322" s="885" t="str">
        <f t="shared" si="114"/>
        <v>Surrey</v>
      </c>
      <c r="C322" s="896"/>
      <c r="D322" s="1104">
        <f t="shared" si="115"/>
        <v>20.565161093761901</v>
      </c>
      <c r="E322" s="1104">
        <f t="shared" si="116"/>
        <v>17.792057487346909</v>
      </c>
      <c r="F322" s="1104">
        <f t="shared" si="117"/>
        <v>19.947749765131334</v>
      </c>
      <c r="G322" s="1104">
        <f t="shared" si="118"/>
        <v>44.633292865814475</v>
      </c>
      <c r="H322" s="1105">
        <f t="shared" si="119"/>
        <v>109.92599042228996</v>
      </c>
      <c r="I322" s="1222"/>
      <c r="J322" s="1223"/>
      <c r="K322" s="1223"/>
      <c r="L322" s="1223"/>
      <c r="M322" s="1223"/>
      <c r="N322" s="1223"/>
      <c r="O322" s="1222"/>
      <c r="P322" s="1222"/>
      <c r="Q322" s="1222"/>
      <c r="R322" s="1222"/>
      <c r="S322" s="1223"/>
      <c r="T322" s="1224"/>
      <c r="U322" s="89"/>
      <c r="V322" s="103"/>
      <c r="W322" s="115"/>
      <c r="X322" s="248" t="str">
        <f t="shared" si="120"/>
        <v>West Sussex</v>
      </c>
      <c r="Y322" s="307">
        <v>8783</v>
      </c>
      <c r="Z322" s="248">
        <v>38411</v>
      </c>
      <c r="AA322" s="248">
        <v>51877</v>
      </c>
      <c r="AB322" s="248">
        <v>55900</v>
      </c>
      <c r="AC322" s="244">
        <v>18310</v>
      </c>
      <c r="AD322" s="56" t="e">
        <f t="shared" si="121"/>
        <v>#N/A</v>
      </c>
      <c r="AE322" s="56" t="e">
        <f t="shared" si="122"/>
        <v>#N/A</v>
      </c>
      <c r="AF322" s="56" t="e">
        <f t="shared" si="122"/>
        <v>#N/A</v>
      </c>
      <c r="AG322" s="56" t="e">
        <f t="shared" si="123"/>
        <v>#N/A</v>
      </c>
      <c r="AH322" s="56" t="e">
        <f t="shared" si="124"/>
        <v>#N/A</v>
      </c>
      <c r="AI322" s="52"/>
      <c r="AJ322" s="121"/>
    </row>
    <row r="323" spans="1:76" s="61" customFormat="1" ht="15.75" customHeight="1">
      <c r="A323" s="1103">
        <f>VLOOKUP(B323,ReportData!$AQ$4:$AR$25,2,FALSE)</f>
        <v>0</v>
      </c>
      <c r="B323" s="885" t="str">
        <f t="shared" si="114"/>
        <v>West Berkshire</v>
      </c>
      <c r="C323" s="896"/>
      <c r="D323" s="1104">
        <f t="shared" si="115"/>
        <v>47.761194029850749</v>
      </c>
      <c r="E323" s="1104">
        <f t="shared" si="116"/>
        <v>29.451137884872825</v>
      </c>
      <c r="F323" s="1104">
        <f t="shared" si="117"/>
        <v>40.156802753609334</v>
      </c>
      <c r="G323" s="1104">
        <f t="shared" si="118"/>
        <v>48.511207761793244</v>
      </c>
      <c r="H323" s="1105">
        <f t="shared" si="119"/>
        <v>134.75177304964541</v>
      </c>
      <c r="I323" s="1222"/>
      <c r="J323" s="1223"/>
      <c r="K323" s="1223"/>
      <c r="L323" s="1223"/>
      <c r="M323" s="1223"/>
      <c r="N323" s="1223"/>
      <c r="O323" s="1222"/>
      <c r="P323" s="1222"/>
      <c r="Q323" s="1222"/>
      <c r="R323" s="1222"/>
      <c r="S323" s="1223"/>
      <c r="T323" s="1224"/>
      <c r="U323" s="89"/>
      <c r="V323" s="103"/>
      <c r="W323" s="115"/>
      <c r="X323" s="248" t="str">
        <f t="shared" si="120"/>
        <v>Windsor &amp; Maidenhead</v>
      </c>
      <c r="Y323" s="307">
        <v>1694</v>
      </c>
      <c r="Z323" s="248">
        <v>7049</v>
      </c>
      <c r="AA323" s="248">
        <v>9902</v>
      </c>
      <c r="AB323" s="248">
        <v>11737</v>
      </c>
      <c r="AC323" s="244">
        <v>3970</v>
      </c>
      <c r="AD323" s="56" t="e">
        <f t="shared" si="121"/>
        <v>#N/A</v>
      </c>
      <c r="AE323" s="56" t="e">
        <f t="shared" si="122"/>
        <v>#N/A</v>
      </c>
      <c r="AF323" s="56" t="e">
        <f t="shared" si="122"/>
        <v>#N/A</v>
      </c>
      <c r="AG323" s="56" t="e">
        <f t="shared" si="123"/>
        <v>#N/A</v>
      </c>
      <c r="AH323" s="56" t="e">
        <f t="shared" si="124"/>
        <v>#N/A</v>
      </c>
      <c r="AI323" s="52"/>
      <c r="AJ323" s="121"/>
    </row>
    <row r="324" spans="1:76" s="61" customFormat="1" ht="15.75" customHeight="1">
      <c r="A324" s="1103">
        <f>VLOOKUP(B324,ReportData!$AQ$4:$AR$25,2,FALSE)</f>
        <v>0</v>
      </c>
      <c r="B324" s="885" t="str">
        <f t="shared" si="114"/>
        <v>West Sussex</v>
      </c>
      <c r="C324" s="896"/>
      <c r="D324" s="1104">
        <f t="shared" si="115"/>
        <v>37.572583399749519</v>
      </c>
      <c r="E324" s="1104">
        <f t="shared" si="116"/>
        <v>22.910103876493714</v>
      </c>
      <c r="F324" s="1104">
        <f t="shared" si="117"/>
        <v>27.179675000481907</v>
      </c>
      <c r="G324" s="1104">
        <f t="shared" si="118"/>
        <v>66.547406082289797</v>
      </c>
      <c r="H324" s="1105">
        <f t="shared" si="119"/>
        <v>148.55270344074276</v>
      </c>
      <c r="I324" s="1222"/>
      <c r="J324" s="1223"/>
      <c r="K324" s="1223"/>
      <c r="L324" s="1223"/>
      <c r="M324" s="1223"/>
      <c r="N324" s="1223"/>
      <c r="O324" s="1222"/>
      <c r="P324" s="1222"/>
      <c r="Q324" s="1222"/>
      <c r="R324" s="1222"/>
      <c r="S324" s="1223"/>
      <c r="T324" s="1224"/>
      <c r="U324" s="89"/>
      <c r="V324" s="103"/>
      <c r="W324" s="115"/>
      <c r="X324" s="248" t="str">
        <f t="shared" si="120"/>
        <v>Wokingham</v>
      </c>
      <c r="Y324" s="307">
        <v>1777</v>
      </c>
      <c r="Z324" s="248">
        <v>8174</v>
      </c>
      <c r="AA324" s="248">
        <v>11965</v>
      </c>
      <c r="AB324" s="248">
        <v>12803</v>
      </c>
      <c r="AC324" s="244">
        <v>3983</v>
      </c>
      <c r="AD324" s="56" t="e">
        <f t="shared" si="121"/>
        <v>#N/A</v>
      </c>
      <c r="AE324" s="56" t="e">
        <f t="shared" si="122"/>
        <v>#N/A</v>
      </c>
      <c r="AF324" s="56" t="e">
        <f t="shared" si="122"/>
        <v>#N/A</v>
      </c>
      <c r="AG324" s="56" t="e">
        <f t="shared" si="123"/>
        <v>#N/A</v>
      </c>
      <c r="AH324" s="56" t="e">
        <f t="shared" si="124"/>
        <v>#N/A</v>
      </c>
      <c r="AI324" s="52"/>
      <c r="AJ324" s="121"/>
    </row>
    <row r="325" spans="1:76" s="61" customFormat="1" ht="15.75" customHeight="1">
      <c r="A325" s="1103">
        <f>VLOOKUP(B325,ReportData!$AQ$4:$AR$25,2,FALSE)</f>
        <v>0</v>
      </c>
      <c r="B325" s="885" t="str">
        <f t="shared" si="114"/>
        <v>Windsor &amp; Maidenhead</v>
      </c>
      <c r="C325" s="896"/>
      <c r="D325" s="1104">
        <f t="shared" si="115"/>
        <v>47.225501770956313</v>
      </c>
      <c r="E325" s="1104">
        <f t="shared" si="116"/>
        <v>22.698255071641366</v>
      </c>
      <c r="F325" s="1104">
        <f t="shared" si="117"/>
        <v>25.247424762674207</v>
      </c>
      <c r="G325" s="1104">
        <f t="shared" si="118"/>
        <v>45.156343188208233</v>
      </c>
      <c r="H325" s="1105">
        <f t="shared" si="119"/>
        <v>95.71788413098237</v>
      </c>
      <c r="I325" s="1222"/>
      <c r="J325" s="1223"/>
      <c r="K325" s="1223"/>
      <c r="L325" s="1223"/>
      <c r="M325" s="1223"/>
      <c r="N325" s="1223"/>
      <c r="O325" s="1222"/>
      <c r="P325" s="1222"/>
      <c r="Q325" s="1222"/>
      <c r="R325" s="1222"/>
      <c r="S325" s="1223"/>
      <c r="T325" s="1224"/>
      <c r="U325" s="89"/>
      <c r="V325" s="103"/>
      <c r="W325" s="115"/>
      <c r="X325" s="248" t="str">
        <f t="shared" si="120"/>
        <v>South East</v>
      </c>
      <c r="Y325" s="248">
        <v>100267</v>
      </c>
      <c r="Z325" s="248">
        <v>432956</v>
      </c>
      <c r="AA325" s="248">
        <v>577131</v>
      </c>
      <c r="AB325" s="248">
        <v>627179</v>
      </c>
      <c r="AC325" s="248">
        <v>206332</v>
      </c>
      <c r="AD325" s="56" t="e">
        <f t="shared" si="121"/>
        <v>#N/A</v>
      </c>
      <c r="AE325" s="56" t="e">
        <f t="shared" si="122"/>
        <v>#N/A</v>
      </c>
      <c r="AF325" s="56" t="e">
        <f t="shared" si="122"/>
        <v>#N/A</v>
      </c>
      <c r="AG325" s="56" t="e">
        <f t="shared" si="123"/>
        <v>#N/A</v>
      </c>
      <c r="AH325" s="56" t="e">
        <f t="shared" si="124"/>
        <v>#N/A</v>
      </c>
      <c r="AI325" s="52"/>
      <c r="AJ325" s="121"/>
    </row>
    <row r="326" spans="1:76" s="61" customFormat="1" ht="15.75" customHeight="1">
      <c r="A326" s="1103">
        <f>VLOOKUP(B326,ReportData!$AQ$4:$AR$25,2,FALSE)</f>
        <v>0</v>
      </c>
      <c r="B326" s="885" t="str">
        <f t="shared" si="114"/>
        <v>Wokingham</v>
      </c>
      <c r="C326" s="896"/>
      <c r="D326" s="1104">
        <f t="shared" si="115"/>
        <v>45.019696117051211</v>
      </c>
      <c r="E326" s="1104">
        <f t="shared" si="116"/>
        <v>11.010521164668461</v>
      </c>
      <c r="F326" s="1104">
        <f t="shared" si="117"/>
        <v>16.715419974926871</v>
      </c>
      <c r="G326" s="1104">
        <f t="shared" si="118"/>
        <v>35.148012184644223</v>
      </c>
      <c r="H326" s="1105">
        <f t="shared" si="119"/>
        <v>138.08686919407481</v>
      </c>
      <c r="I326" s="1222"/>
      <c r="J326" s="1223"/>
      <c r="K326" s="1223"/>
      <c r="L326" s="1223"/>
      <c r="M326" s="1223"/>
      <c r="N326" s="1223"/>
      <c r="O326" s="1222"/>
      <c r="P326" s="1222"/>
      <c r="Q326" s="1222"/>
      <c r="R326" s="1222"/>
      <c r="S326" s="1223"/>
      <c r="T326" s="1224"/>
      <c r="U326" s="89"/>
      <c r="V326" s="103"/>
      <c r="W326" s="115"/>
      <c r="X326" s="248" t="str">
        <f t="shared" si="120"/>
        <v>England</v>
      </c>
      <c r="Y326" s="387">
        <v>653467</v>
      </c>
      <c r="Z326" s="387">
        <v>2731458</v>
      </c>
      <c r="AA326" s="387">
        <v>3497402</v>
      </c>
      <c r="AB326" s="387">
        <v>3755644</v>
      </c>
      <c r="AC326" s="387">
        <v>1228986</v>
      </c>
      <c r="AD326" s="56" t="e">
        <f t="shared" si="121"/>
        <v>#N/A</v>
      </c>
      <c r="AE326" s="56" t="e">
        <f t="shared" si="122"/>
        <v>#N/A</v>
      </c>
      <c r="AF326" s="56" t="e">
        <f t="shared" si="122"/>
        <v>#N/A</v>
      </c>
      <c r="AG326" s="56" t="e">
        <f t="shared" si="123"/>
        <v>#N/A</v>
      </c>
      <c r="AH326" s="56" t="e">
        <f t="shared" si="124"/>
        <v>#N/A</v>
      </c>
      <c r="AI326" s="52"/>
      <c r="AJ326" s="121"/>
    </row>
    <row r="327" spans="1:76" s="61" customFormat="1" ht="15.75" customHeight="1">
      <c r="A327" s="1103"/>
      <c r="B327" s="886" t="str">
        <f t="shared" si="114"/>
        <v>South East</v>
      </c>
      <c r="C327" s="896"/>
      <c r="D327" s="1225">
        <f t="shared" si="115"/>
        <v>40.890821506577439</v>
      </c>
      <c r="E327" s="1225">
        <f t="shared" si="116"/>
        <v>25.406738791008788</v>
      </c>
      <c r="F327" s="1225">
        <f t="shared" si="117"/>
        <v>30.149134252015571</v>
      </c>
      <c r="G327" s="1225">
        <f t="shared" si="118"/>
        <v>69.039301379669922</v>
      </c>
      <c r="H327" s="1226">
        <f t="shared" si="119"/>
        <v>174.96074288040634</v>
      </c>
      <c r="I327" s="1222"/>
      <c r="J327" s="1223"/>
      <c r="K327" s="1223"/>
      <c r="L327" s="1223"/>
      <c r="M327" s="1223"/>
      <c r="N327" s="1223"/>
      <c r="O327" s="1222"/>
      <c r="P327" s="1222"/>
      <c r="Q327" s="1222"/>
      <c r="R327" s="1222"/>
      <c r="S327" s="1223"/>
      <c r="T327" s="1224"/>
      <c r="U327" s="89"/>
      <c r="V327" s="103"/>
      <c r="W327" s="115"/>
      <c r="X327" s="56"/>
      <c r="Y327" s="56"/>
      <c r="Z327" s="56"/>
      <c r="AA327" s="56"/>
      <c r="AB327" s="56"/>
      <c r="AC327" s="147"/>
      <c r="AD327" s="149"/>
      <c r="AE327" s="52"/>
      <c r="AF327" s="52"/>
      <c r="AG327" s="52"/>
      <c r="AH327" s="56"/>
      <c r="AI327" s="52"/>
      <c r="AJ327" s="121"/>
    </row>
    <row r="328" spans="1:76" s="61" customFormat="1" ht="14.25" customHeight="1">
      <c r="A328" s="1103"/>
      <c r="B328" s="887" t="s">
        <v>109</v>
      </c>
      <c r="C328" s="896"/>
      <c r="D328" s="1227">
        <f t="shared" si="115"/>
        <v>57.080158600204754</v>
      </c>
      <c r="E328" s="1227">
        <f t="shared" si="116"/>
        <v>39.61254392342844</v>
      </c>
      <c r="F328" s="1227">
        <f t="shared" si="117"/>
        <v>42.946164038334736</v>
      </c>
      <c r="G328" s="1227">
        <f t="shared" si="118"/>
        <v>83.71400484177947</v>
      </c>
      <c r="H328" s="1193">
        <f t="shared" si="119"/>
        <v>184.05417148771426</v>
      </c>
      <c r="I328" s="1222"/>
      <c r="J328" s="1223"/>
      <c r="K328" s="1223"/>
      <c r="L328" s="1223"/>
      <c r="M328" s="1223"/>
      <c r="N328" s="1223"/>
      <c r="O328" s="1222"/>
      <c r="P328" s="1222"/>
      <c r="Q328" s="1222"/>
      <c r="R328" s="1222"/>
      <c r="S328" s="1223"/>
      <c r="T328" s="1224"/>
      <c r="U328" s="89"/>
      <c r="V328" s="103"/>
      <c r="W328" s="115"/>
      <c r="AI328" s="52"/>
      <c r="AJ328" s="121"/>
    </row>
    <row r="329" spans="1:76" s="61" customFormat="1" ht="14.25" customHeight="1">
      <c r="A329" s="88"/>
      <c r="B329" s="120"/>
      <c r="C329" s="120"/>
      <c r="D329" s="120"/>
      <c r="E329" s="120"/>
      <c r="F329" s="120"/>
      <c r="G329" s="120"/>
      <c r="H329" s="120"/>
      <c r="I329" s="171"/>
      <c r="J329" s="133"/>
      <c r="K329" s="133"/>
      <c r="L329" s="133"/>
      <c r="M329" s="133"/>
      <c r="N329" s="133"/>
      <c r="O329" s="171"/>
      <c r="P329" s="171"/>
      <c r="Q329" s="171"/>
      <c r="R329" s="171"/>
      <c r="S329" s="133"/>
      <c r="T329" s="256"/>
      <c r="U329" s="89"/>
      <c r="V329" s="103"/>
      <c r="W329" s="114"/>
      <c r="AI329" s="52"/>
      <c r="AJ329" s="122"/>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row>
    <row r="330" spans="1:76" s="61" customFormat="1" ht="18" customHeight="1">
      <c r="A330" s="217"/>
      <c r="B330" s="68"/>
      <c r="C330" s="68"/>
      <c r="D330" s="68"/>
      <c r="E330" s="68"/>
      <c r="F330" s="68"/>
      <c r="G330" s="68"/>
      <c r="H330" s="68"/>
      <c r="I330" s="171"/>
      <c r="J330" s="133"/>
      <c r="K330" s="133"/>
      <c r="L330" s="133"/>
      <c r="M330" s="133"/>
      <c r="N330" s="133"/>
      <c r="O330" s="171"/>
      <c r="P330" s="171"/>
      <c r="Q330" s="171"/>
      <c r="R330" s="171"/>
      <c r="S330" s="133"/>
      <c r="T330" s="256"/>
      <c r="U330" s="89"/>
      <c r="V330" s="103"/>
      <c r="W330" s="114"/>
      <c r="X330" s="56"/>
      <c r="Y330" s="141"/>
      <c r="Z330" s="56"/>
      <c r="AA330" s="56"/>
      <c r="AB330" s="56"/>
      <c r="AC330" s="56"/>
      <c r="AD330" s="149"/>
      <c r="AE330" s="52"/>
      <c r="AF330" s="52"/>
      <c r="AG330" s="52"/>
      <c r="AH330" s="56"/>
      <c r="AI330" s="52"/>
      <c r="AJ330" s="122"/>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row>
    <row r="331" spans="1:76" s="56" customFormat="1" ht="15.75" customHeight="1">
      <c r="A331" s="166"/>
      <c r="B331" s="171"/>
      <c r="C331" s="171"/>
      <c r="D331" s="171"/>
      <c r="E331" s="171"/>
      <c r="F331" s="171"/>
      <c r="G331" s="171"/>
      <c r="H331" s="171"/>
      <c r="I331" s="171"/>
      <c r="J331" s="133"/>
      <c r="K331" s="133"/>
      <c r="L331" s="133"/>
      <c r="M331" s="133"/>
      <c r="N331" s="133"/>
      <c r="O331" s="171"/>
      <c r="P331" s="171"/>
      <c r="Q331" s="171"/>
      <c r="R331" s="171"/>
      <c r="S331" s="133"/>
      <c r="T331" s="256"/>
      <c r="U331" s="86"/>
      <c r="V331" s="102"/>
      <c r="W331" s="114"/>
      <c r="Y331" s="141"/>
      <c r="AD331" s="149"/>
      <c r="AE331" s="52"/>
      <c r="AF331" s="52"/>
      <c r="AG331" s="52"/>
      <c r="AI331" s="52"/>
      <c r="AJ331" s="122"/>
    </row>
    <row r="332" spans="1:76" s="56" customFormat="1" ht="10.5" customHeight="1">
      <c r="A332" s="166"/>
      <c r="B332" s="171"/>
      <c r="C332" s="171"/>
      <c r="D332" s="171"/>
      <c r="E332" s="171"/>
      <c r="F332" s="171"/>
      <c r="G332" s="171"/>
      <c r="H332" s="171"/>
      <c r="I332" s="171"/>
      <c r="J332" s="133"/>
      <c r="K332" s="133"/>
      <c r="L332" s="133"/>
      <c r="M332" s="133"/>
      <c r="N332" s="133"/>
      <c r="O332" s="171"/>
      <c r="P332" s="171"/>
      <c r="Q332" s="171"/>
      <c r="R332" s="171"/>
      <c r="S332" s="133"/>
      <c r="T332" s="133"/>
      <c r="U332" s="86"/>
      <c r="V332" s="102"/>
      <c r="W332" s="114"/>
      <c r="Y332" s="141"/>
      <c r="AI332" s="52"/>
      <c r="AJ332" s="119"/>
      <c r="AK332" s="52"/>
      <c r="AL332" s="52"/>
      <c r="AM332" s="52"/>
      <c r="AN332" s="52"/>
      <c r="AO332" s="52"/>
      <c r="AP332" s="52"/>
      <c r="AQ332" s="52"/>
    </row>
    <row r="333" spans="1:76" s="56" customFormat="1" ht="18" customHeight="1">
      <c r="A333" s="166"/>
      <c r="B333" s="171"/>
      <c r="C333" s="171"/>
      <c r="D333" s="171"/>
      <c r="E333" s="171"/>
      <c r="F333" s="171"/>
      <c r="G333" s="171"/>
      <c r="H333" s="171"/>
      <c r="I333" s="171"/>
      <c r="J333" s="171"/>
      <c r="K333" s="171"/>
      <c r="L333" s="171"/>
      <c r="M333" s="171"/>
      <c r="N333" s="171"/>
      <c r="O333" s="171"/>
      <c r="P333" s="171"/>
      <c r="Q333" s="171"/>
      <c r="R333" s="171"/>
      <c r="S333" s="133"/>
      <c r="T333" s="133"/>
      <c r="U333" s="86"/>
      <c r="V333" s="121"/>
      <c r="W333" s="114"/>
      <c r="AJ333" s="122"/>
      <c r="AS333" s="52"/>
    </row>
    <row r="334" spans="1:76" s="56" customFormat="1" ht="7.5" customHeight="1">
      <c r="A334" s="87"/>
      <c r="B334" s="12"/>
      <c r="C334" s="12"/>
      <c r="D334" s="11"/>
      <c r="E334" s="11"/>
      <c r="F334" s="11"/>
      <c r="G334" s="11"/>
      <c r="H334" s="11"/>
      <c r="I334" s="11"/>
      <c r="J334" s="1"/>
      <c r="K334" s="13"/>
      <c r="L334" s="13"/>
      <c r="M334" s="13"/>
      <c r="N334" s="13"/>
      <c r="O334" s="13"/>
      <c r="P334" s="13"/>
      <c r="Q334" s="13"/>
      <c r="R334" s="13"/>
      <c r="S334" s="13"/>
      <c r="T334" s="14"/>
      <c r="U334" s="86"/>
      <c r="V334" s="185"/>
      <c r="W334" s="114"/>
      <c r="AI334" s="52"/>
      <c r="AJ334" s="121"/>
      <c r="AK334" s="61"/>
      <c r="AS334" s="52"/>
    </row>
    <row r="335" spans="1:76" s="56" customFormat="1" ht="15" customHeight="1">
      <c r="A335" s="1565"/>
      <c r="B335" s="1751"/>
      <c r="C335" s="1751"/>
      <c r="D335" s="1751"/>
      <c r="E335" s="1751"/>
      <c r="F335" s="1751"/>
      <c r="G335" s="1751"/>
      <c r="H335" s="1751"/>
      <c r="I335" s="1751"/>
      <c r="J335" s="1751"/>
      <c r="K335" s="1751"/>
      <c r="L335" s="1751"/>
      <c r="M335" s="1751"/>
      <c r="N335" s="1751"/>
      <c r="O335" s="1751"/>
      <c r="P335" s="1751"/>
      <c r="Q335" s="1751"/>
      <c r="R335" s="1751"/>
      <c r="S335" s="1751"/>
      <c r="T335" s="1751"/>
      <c r="U335" s="1752"/>
      <c r="V335" s="185"/>
      <c r="W335" s="114"/>
      <c r="AE335" s="57"/>
      <c r="AH335" s="52"/>
      <c r="AI335" s="52"/>
      <c r="AJ335" s="119"/>
      <c r="AK335" s="52"/>
      <c r="AL335" s="52"/>
      <c r="AM335" s="52"/>
      <c r="AN335" s="52"/>
      <c r="AO335" s="52"/>
      <c r="AP335" s="52"/>
      <c r="AQ335" s="52"/>
      <c r="BG335" s="52"/>
      <c r="BH335" s="52"/>
      <c r="BI335" s="52"/>
      <c r="BJ335" s="52"/>
      <c r="BK335" s="52"/>
      <c r="BL335" s="52"/>
      <c r="BM335" s="52"/>
      <c r="BN335" s="52"/>
      <c r="BO335" s="52"/>
      <c r="BP335" s="52"/>
      <c r="BQ335" s="52"/>
      <c r="BR335" s="52"/>
      <c r="BS335" s="52"/>
      <c r="BT335" s="52"/>
      <c r="BU335" s="52"/>
      <c r="BV335" s="52"/>
      <c r="BW335" s="52"/>
      <c r="BX335" s="52"/>
    </row>
    <row r="336" spans="1:76" s="56" customFormat="1" ht="11.25" customHeight="1">
      <c r="A336" s="1739"/>
      <c r="B336" s="1740"/>
      <c r="C336" s="1740"/>
      <c r="D336" s="1740"/>
      <c r="E336" s="1740"/>
      <c r="F336" s="1740"/>
      <c r="G336" s="1740"/>
      <c r="H336" s="1740"/>
      <c r="I336" s="1741"/>
      <c r="J336" s="1740"/>
      <c r="K336" s="1740"/>
      <c r="L336" s="1740"/>
      <c r="M336" s="1740"/>
      <c r="N336" s="1740"/>
      <c r="O336" s="1740"/>
      <c r="P336" s="1742"/>
      <c r="Q336" s="1740"/>
      <c r="R336" s="1740"/>
      <c r="S336" s="1741"/>
      <c r="T336" s="1740"/>
      <c r="U336" s="1743"/>
      <c r="V336" s="185"/>
      <c r="W336" s="114"/>
      <c r="AE336" s="57"/>
      <c r="AH336" s="52"/>
      <c r="AI336" s="52"/>
      <c r="AJ336" s="119"/>
      <c r="AK336" s="52"/>
      <c r="AR336" s="52"/>
      <c r="AS336" s="52"/>
      <c r="AT336" s="52"/>
      <c r="AU336" s="52"/>
      <c r="AV336" s="52"/>
      <c r="AW336" s="52"/>
      <c r="AX336" s="52"/>
      <c r="AY336" s="52"/>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c r="BX336" s="52"/>
    </row>
    <row r="337" spans="1:43" ht="11.25" customHeight="1">
      <c r="A337" s="106"/>
      <c r="B337" s="705"/>
      <c r="C337" s="5"/>
      <c r="D337" s="5"/>
      <c r="E337" s="9"/>
      <c r="F337" s="5"/>
      <c r="G337" s="40"/>
      <c r="H337" s="554"/>
      <c r="I337" s="40"/>
      <c r="J337" s="40"/>
      <c r="K337" s="40"/>
      <c r="L337" s="40"/>
      <c r="M337" s="40"/>
      <c r="N337" s="40"/>
      <c r="O337" s="40"/>
      <c r="P337" s="40"/>
      <c r="Q337" s="40"/>
      <c r="R337" s="40"/>
      <c r="S337" s="40"/>
      <c r="T337" s="40"/>
      <c r="U337" s="40"/>
      <c r="V337" s="119"/>
      <c r="W337" s="114"/>
      <c r="AE337" s="57"/>
      <c r="AH337" s="52"/>
      <c r="AJ337" s="119"/>
      <c r="AL337" s="56"/>
      <c r="AM337" s="56"/>
      <c r="AN337" s="56"/>
      <c r="AO337" s="56"/>
      <c r="AP337" s="56"/>
      <c r="AQ337" s="56"/>
    </row>
    <row r="338" spans="1:43" ht="11.25" customHeight="1">
      <c r="A338" s="106"/>
      <c r="B338" s="705"/>
      <c r="C338" s="5"/>
      <c r="D338" s="5"/>
      <c r="E338" s="9"/>
      <c r="F338" s="5"/>
      <c r="G338" s="40"/>
      <c r="H338" s="554"/>
      <c r="I338" s="40"/>
      <c r="J338" s="40"/>
      <c r="K338" s="40"/>
      <c r="L338" s="40"/>
      <c r="M338" s="40"/>
      <c r="N338" s="40"/>
      <c r="O338" s="40"/>
      <c r="P338" s="40"/>
      <c r="Q338" s="40"/>
      <c r="R338" s="40"/>
      <c r="S338" s="40"/>
      <c r="T338" s="40"/>
      <c r="U338" s="40"/>
      <c r="V338" s="119"/>
      <c r="W338" s="114"/>
      <c r="AE338" s="57"/>
      <c r="AH338" s="52"/>
      <c r="AJ338" s="119"/>
    </row>
    <row r="339" spans="1:43" ht="11.25" customHeight="1">
      <c r="A339" s="106"/>
      <c r="B339" s="1317"/>
      <c r="C339" s="5"/>
      <c r="D339" s="5"/>
      <c r="E339" s="9"/>
      <c r="F339" s="5"/>
      <c r="G339" s="40"/>
      <c r="H339" s="554"/>
      <c r="I339" s="40"/>
      <c r="J339" s="40"/>
      <c r="K339" s="40"/>
      <c r="L339" s="40"/>
      <c r="M339" s="40"/>
      <c r="N339" s="40"/>
      <c r="O339" s="40"/>
      <c r="P339" s="40"/>
      <c r="Q339" s="40"/>
      <c r="R339" s="40"/>
      <c r="S339" s="40"/>
      <c r="T339" s="40"/>
      <c r="U339" s="40"/>
      <c r="V339" s="119"/>
      <c r="W339" s="114"/>
      <c r="AE339" s="57"/>
      <c r="AH339" s="52"/>
      <c r="AJ339" s="119"/>
    </row>
    <row r="340" spans="1:43" ht="11.25" customHeight="1">
      <c r="A340" s="106"/>
      <c r="B340" s="1318"/>
      <c r="C340" s="5"/>
      <c r="D340" s="5"/>
      <c r="E340" s="9"/>
      <c r="F340" s="2"/>
      <c r="G340" s="554"/>
      <c r="H340" s="554"/>
      <c r="I340" s="40"/>
      <c r="J340" s="40"/>
      <c r="K340" s="40"/>
      <c r="L340" s="40"/>
      <c r="M340" s="40"/>
      <c r="N340" s="40"/>
      <c r="O340" s="40"/>
      <c r="P340" s="40"/>
      <c r="Q340" s="40"/>
      <c r="R340" s="40"/>
      <c r="S340" s="40"/>
      <c r="T340" s="40"/>
      <c r="U340" s="40"/>
      <c r="V340" s="119"/>
      <c r="W340" s="114"/>
      <c r="AE340" s="57"/>
      <c r="AH340" s="52"/>
      <c r="AJ340" s="119"/>
    </row>
    <row r="341" spans="1:43" ht="11.25" customHeight="1">
      <c r="A341" s="106"/>
      <c r="B341" s="420"/>
      <c r="C341" s="420"/>
      <c r="D341" s="420"/>
      <c r="E341" s="420"/>
      <c r="F341" s="420"/>
      <c r="G341" s="420"/>
      <c r="H341" s="554"/>
      <c r="I341" s="40"/>
      <c r="J341" s="40"/>
      <c r="K341" s="40"/>
      <c r="L341" s="40"/>
      <c r="M341" s="40"/>
      <c r="N341" s="40"/>
      <c r="O341" s="40"/>
      <c r="P341" s="40"/>
      <c r="Q341" s="40"/>
      <c r="R341" s="40"/>
      <c r="S341" s="40"/>
      <c r="T341" s="40"/>
      <c r="U341" s="40"/>
      <c r="V341" s="119"/>
      <c r="W341" s="116"/>
      <c r="AE341" s="57"/>
      <c r="AH341" s="52"/>
      <c r="AJ341" s="119"/>
    </row>
    <row r="342" spans="1:43" ht="11.25" customHeight="1">
      <c r="A342" s="106"/>
      <c r="B342" s="420"/>
      <c r="C342" s="420"/>
      <c r="D342" s="420"/>
      <c r="E342" s="420"/>
      <c r="F342" s="420"/>
      <c r="G342" s="420"/>
      <c r="H342" s="554"/>
      <c r="I342" s="40"/>
      <c r="J342" s="40"/>
      <c r="K342" s="40"/>
      <c r="L342" s="40"/>
      <c r="M342" s="40"/>
      <c r="N342" s="40"/>
      <c r="O342" s="40"/>
      <c r="P342" s="40"/>
      <c r="Q342" s="40"/>
      <c r="R342" s="40"/>
      <c r="S342" s="40"/>
      <c r="T342" s="40"/>
      <c r="U342" s="40"/>
      <c r="V342" s="119"/>
      <c r="W342" s="114"/>
      <c r="AE342" s="57"/>
      <c r="AH342" s="52"/>
      <c r="AJ342" s="119"/>
    </row>
    <row r="343" spans="1:43" ht="11.25" customHeight="1">
      <c r="A343" s="106"/>
      <c r="B343" s="420"/>
      <c r="C343" s="420"/>
      <c r="D343" s="420"/>
      <c r="E343" s="420"/>
      <c r="F343" s="420"/>
      <c r="G343" s="420"/>
      <c r="H343" s="554"/>
      <c r="I343" s="40"/>
      <c r="J343" s="40"/>
      <c r="K343" s="40"/>
      <c r="L343" s="40"/>
      <c r="M343" s="40"/>
      <c r="N343" s="40"/>
      <c r="O343" s="40"/>
      <c r="P343" s="40"/>
      <c r="Q343" s="40"/>
      <c r="R343" s="40"/>
      <c r="S343" s="40"/>
      <c r="T343" s="40"/>
      <c r="U343" s="40"/>
      <c r="V343" s="119"/>
      <c r="W343" s="114"/>
      <c r="AE343" s="57"/>
      <c r="AH343" s="52"/>
      <c r="AJ343" s="119"/>
    </row>
    <row r="344" spans="1:43" ht="11.25" customHeight="1">
      <c r="A344" s="106"/>
      <c r="B344" s="420"/>
      <c r="C344" s="420"/>
      <c r="D344" s="420"/>
      <c r="E344" s="420"/>
      <c r="F344" s="420"/>
      <c r="G344" s="420"/>
      <c r="H344" s="554"/>
      <c r="I344" s="40"/>
      <c r="J344" s="40"/>
      <c r="K344" s="40"/>
      <c r="L344" s="40"/>
      <c r="M344" s="40"/>
      <c r="N344" s="40"/>
      <c r="O344" s="40"/>
      <c r="P344" s="40"/>
      <c r="Q344" s="40"/>
      <c r="R344" s="40"/>
      <c r="S344" s="40"/>
      <c r="T344" s="40"/>
      <c r="U344" s="40"/>
      <c r="V344" s="119"/>
      <c r="W344" s="114"/>
      <c r="AE344" s="57"/>
      <c r="AH344" s="52"/>
      <c r="AJ344" s="119"/>
    </row>
    <row r="345" spans="1:43" ht="11.25" customHeight="1">
      <c r="A345" s="106"/>
      <c r="B345" s="420"/>
      <c r="C345" s="420"/>
      <c r="D345" s="420"/>
      <c r="E345" s="420"/>
      <c r="F345" s="420"/>
      <c r="G345" s="420"/>
      <c r="H345" s="554"/>
      <c r="I345" s="40"/>
      <c r="J345" s="40"/>
      <c r="K345" s="40"/>
      <c r="L345" s="40"/>
      <c r="M345" s="40"/>
      <c r="N345" s="40"/>
      <c r="O345" s="40"/>
      <c r="P345" s="40"/>
      <c r="Q345" s="40"/>
      <c r="R345" s="40"/>
      <c r="S345" s="40"/>
      <c r="T345" s="40"/>
      <c r="U345" s="40"/>
      <c r="V345" s="119"/>
      <c r="W345" s="114"/>
      <c r="Z345" s="52"/>
      <c r="AA345" s="52"/>
      <c r="AE345" s="57"/>
      <c r="AH345" s="52"/>
      <c r="AJ345" s="119"/>
    </row>
    <row r="346" spans="1:43" ht="11.25" customHeight="1">
      <c r="A346" s="106"/>
      <c r="B346" s="420"/>
      <c r="C346" s="420"/>
      <c r="D346" s="420"/>
      <c r="E346" s="420"/>
      <c r="F346" s="420"/>
      <c r="G346" s="420"/>
      <c r="H346" s="554"/>
      <c r="I346" s="40"/>
      <c r="J346" s="40"/>
      <c r="K346" s="40"/>
      <c r="L346" s="40"/>
      <c r="M346" s="40"/>
      <c r="N346" s="40"/>
      <c r="O346" s="40"/>
      <c r="P346" s="40"/>
      <c r="Q346" s="40"/>
      <c r="R346" s="40"/>
      <c r="S346" s="40"/>
      <c r="T346" s="40"/>
      <c r="U346" s="40"/>
      <c r="V346" s="119"/>
      <c r="W346" s="114"/>
      <c r="Z346" s="52"/>
      <c r="AA346" s="52"/>
      <c r="AE346" s="57"/>
      <c r="AH346" s="52"/>
      <c r="AJ346" s="119"/>
    </row>
    <row r="347" spans="1:43" ht="11.25" customHeight="1">
      <c r="A347" s="106"/>
      <c r="B347" s="420"/>
      <c r="C347" s="420"/>
      <c r="D347" s="420"/>
      <c r="E347" s="420"/>
      <c r="F347" s="420"/>
      <c r="G347" s="420"/>
      <c r="H347" s="554"/>
      <c r="I347" s="40"/>
      <c r="J347" s="40"/>
      <c r="K347" s="40"/>
      <c r="L347" s="40"/>
      <c r="M347" s="40"/>
      <c r="N347" s="40"/>
      <c r="O347" s="40"/>
      <c r="P347" s="40"/>
      <c r="Q347" s="40"/>
      <c r="R347" s="40"/>
      <c r="S347" s="40"/>
      <c r="T347" s="40"/>
      <c r="U347" s="40"/>
      <c r="V347" s="119"/>
      <c r="W347" s="114"/>
      <c r="Z347" s="52"/>
      <c r="AA347" s="52"/>
      <c r="AE347" s="57"/>
      <c r="AH347" s="52"/>
      <c r="AJ347" s="119"/>
    </row>
    <row r="348" spans="1:43" ht="11.25" customHeight="1">
      <c r="A348" s="106"/>
      <c r="B348" s="420"/>
      <c r="C348" s="420"/>
      <c r="D348" s="420"/>
      <c r="E348" s="420"/>
      <c r="F348" s="420"/>
      <c r="G348" s="420"/>
      <c r="H348" s="554"/>
      <c r="I348" s="40"/>
      <c r="J348" s="40"/>
      <c r="K348" s="40"/>
      <c r="L348" s="40"/>
      <c r="M348" s="40"/>
      <c r="N348" s="40"/>
      <c r="O348" s="40"/>
      <c r="P348" s="40"/>
      <c r="Q348" s="40"/>
      <c r="R348" s="40"/>
      <c r="S348" s="40"/>
      <c r="T348" s="40"/>
      <c r="U348" s="40"/>
      <c r="V348" s="119"/>
      <c r="W348" s="114"/>
      <c r="Z348" s="52"/>
      <c r="AA348" s="52"/>
      <c r="AE348" s="57"/>
      <c r="AH348" s="52"/>
      <c r="AJ348" s="119"/>
    </row>
    <row r="349" spans="1:43" ht="11.25" customHeight="1">
      <c r="A349" s="106"/>
      <c r="B349" s="420"/>
      <c r="C349" s="420"/>
      <c r="D349" s="420"/>
      <c r="E349" s="420"/>
      <c r="F349" s="420"/>
      <c r="G349" s="420"/>
      <c r="H349" s="554"/>
      <c r="I349" s="40"/>
      <c r="J349" s="40"/>
      <c r="K349" s="40"/>
      <c r="L349" s="40"/>
      <c r="M349" s="40"/>
      <c r="N349" s="40"/>
      <c r="O349" s="40"/>
      <c r="P349" s="40"/>
      <c r="Q349" s="40"/>
      <c r="R349" s="40"/>
      <c r="S349" s="40"/>
      <c r="T349" s="40"/>
      <c r="U349" s="40"/>
      <c r="V349" s="119"/>
      <c r="W349" s="114"/>
      <c r="Z349" s="52"/>
      <c r="AA349" s="52"/>
      <c r="AE349" s="57"/>
      <c r="AH349" s="52"/>
      <c r="AJ349" s="119"/>
    </row>
    <row r="350" spans="1:43" ht="11.25" customHeight="1">
      <c r="A350" s="106"/>
      <c r="B350" s="420"/>
      <c r="C350" s="420"/>
      <c r="D350" s="420"/>
      <c r="E350" s="420"/>
      <c r="F350" s="420"/>
      <c r="G350" s="420"/>
      <c r="H350" s="554"/>
      <c r="I350" s="40"/>
      <c r="J350" s="40"/>
      <c r="K350" s="40"/>
      <c r="L350" s="40"/>
      <c r="M350" s="40"/>
      <c r="N350" s="40"/>
      <c r="O350" s="40"/>
      <c r="P350" s="40"/>
      <c r="Q350" s="40"/>
      <c r="R350" s="40"/>
      <c r="S350" s="40"/>
      <c r="T350" s="40"/>
      <c r="U350" s="40"/>
      <c r="V350" s="119"/>
      <c r="W350" s="114"/>
      <c r="Z350" s="52"/>
      <c r="AA350" s="52"/>
      <c r="AE350" s="57"/>
      <c r="AH350" s="52"/>
      <c r="AJ350" s="119"/>
    </row>
    <row r="351" spans="1:43" ht="11.25" customHeight="1">
      <c r="A351" s="106"/>
      <c r="B351" s="420"/>
      <c r="C351" s="420"/>
      <c r="D351" s="420"/>
      <c r="E351" s="420"/>
      <c r="F351" s="420"/>
      <c r="G351" s="420"/>
      <c r="H351" s="554"/>
      <c r="I351" s="40"/>
      <c r="J351" s="40"/>
      <c r="K351" s="40"/>
      <c r="L351" s="40"/>
      <c r="M351" s="40"/>
      <c r="N351" s="40"/>
      <c r="O351" s="40"/>
      <c r="P351" s="40"/>
      <c r="Q351" s="40"/>
      <c r="R351" s="40"/>
      <c r="S351" s="40"/>
      <c r="T351" s="40"/>
      <c r="U351" s="40"/>
      <c r="V351" s="119"/>
      <c r="W351" s="114"/>
      <c r="AE351" s="57"/>
      <c r="AH351" s="52"/>
      <c r="AJ351" s="119"/>
    </row>
    <row r="352" spans="1:43" ht="11.25" customHeight="1">
      <c r="A352" s="106"/>
      <c r="B352" s="420"/>
      <c r="C352" s="420"/>
      <c r="D352" s="420"/>
      <c r="E352" s="420"/>
      <c r="F352" s="420"/>
      <c r="G352" s="420"/>
      <c r="H352" s="554"/>
      <c r="I352" s="40"/>
      <c r="J352" s="40"/>
      <c r="K352" s="40"/>
      <c r="L352" s="40"/>
      <c r="M352" s="40"/>
      <c r="N352" s="40"/>
      <c r="O352" s="40"/>
      <c r="P352" s="40"/>
      <c r="Q352" s="40"/>
      <c r="R352" s="40"/>
      <c r="S352" s="40"/>
      <c r="T352" s="40"/>
      <c r="U352" s="40"/>
      <c r="V352" s="119"/>
      <c r="W352" s="114"/>
      <c r="AE352" s="57"/>
      <c r="AH352" s="52"/>
      <c r="AJ352" s="119"/>
    </row>
    <row r="353" spans="1:36" ht="11.25" customHeight="1">
      <c r="A353" s="106"/>
      <c r="B353" s="420"/>
      <c r="C353" s="420"/>
      <c r="D353" s="420"/>
      <c r="E353" s="420"/>
      <c r="F353" s="420"/>
      <c r="G353" s="420"/>
      <c r="H353" s="554"/>
      <c r="I353" s="40"/>
      <c r="J353" s="40"/>
      <c r="K353" s="40"/>
      <c r="L353" s="40"/>
      <c r="M353" s="40"/>
      <c r="N353" s="40"/>
      <c r="O353" s="40"/>
      <c r="P353" s="40"/>
      <c r="Q353" s="40"/>
      <c r="R353" s="40"/>
      <c r="S353" s="40"/>
      <c r="T353" s="40"/>
      <c r="U353" s="40"/>
      <c r="V353" s="119"/>
      <c r="W353" s="114"/>
      <c r="AE353" s="57"/>
      <c r="AH353" s="52"/>
      <c r="AJ353" s="119"/>
    </row>
    <row r="354" spans="1:36" ht="11.25" customHeight="1">
      <c r="A354" s="106"/>
      <c r="B354" s="420"/>
      <c r="C354" s="420"/>
      <c r="D354" s="420"/>
      <c r="E354" s="420"/>
      <c r="F354" s="420"/>
      <c r="G354" s="420"/>
      <c r="H354" s="554"/>
      <c r="I354" s="40"/>
      <c r="J354" s="40"/>
      <c r="K354" s="40"/>
      <c r="L354" s="40"/>
      <c r="M354" s="40"/>
      <c r="N354" s="40"/>
      <c r="O354" s="40"/>
      <c r="P354" s="40"/>
      <c r="Q354" s="40"/>
      <c r="R354" s="40"/>
      <c r="S354" s="40"/>
      <c r="T354" s="40"/>
      <c r="U354" s="40"/>
      <c r="V354" s="119"/>
      <c r="W354" s="114"/>
      <c r="AE354" s="57"/>
      <c r="AH354" s="52"/>
      <c r="AJ354" s="119"/>
    </row>
    <row r="355" spans="1:36" ht="11.25" customHeight="1">
      <c r="A355" s="106"/>
      <c r="B355" s="420"/>
      <c r="C355" s="420"/>
      <c r="D355" s="420"/>
      <c r="E355" s="420"/>
      <c r="F355" s="420"/>
      <c r="G355" s="420"/>
      <c r="H355" s="554"/>
      <c r="I355" s="40"/>
      <c r="J355" s="40"/>
      <c r="K355" s="40"/>
      <c r="L355" s="40"/>
      <c r="M355" s="40"/>
      <c r="N355" s="40"/>
      <c r="O355" s="40"/>
      <c r="P355" s="40"/>
      <c r="Q355" s="40"/>
      <c r="R355" s="40"/>
      <c r="S355" s="40"/>
      <c r="T355" s="40"/>
      <c r="U355" s="40"/>
      <c r="V355" s="119"/>
      <c r="W355" s="114"/>
      <c r="AE355" s="57"/>
      <c r="AH355" s="52"/>
      <c r="AJ355" s="119"/>
    </row>
    <row r="356" spans="1:36" ht="11.25" customHeight="1">
      <c r="A356" s="106"/>
      <c r="B356" s="420"/>
      <c r="C356" s="420"/>
      <c r="D356" s="420"/>
      <c r="E356" s="420"/>
      <c r="F356" s="420"/>
      <c r="G356" s="420"/>
      <c r="H356" s="554"/>
      <c r="I356" s="40"/>
      <c r="J356" s="40"/>
      <c r="K356" s="40"/>
      <c r="L356" s="40"/>
      <c r="M356" s="40"/>
      <c r="N356" s="40"/>
      <c r="O356" s="40"/>
      <c r="P356" s="40"/>
      <c r="Q356" s="40"/>
      <c r="R356" s="40"/>
      <c r="S356" s="40"/>
      <c r="T356" s="40"/>
      <c r="U356" s="40"/>
      <c r="V356" s="119"/>
      <c r="W356" s="114"/>
      <c r="AE356" s="57"/>
      <c r="AH356" s="52"/>
      <c r="AJ356" s="119"/>
    </row>
    <row r="357" spans="1:36" ht="11.25" customHeight="1">
      <c r="A357" s="106"/>
      <c r="B357" s="420"/>
      <c r="C357" s="420"/>
      <c r="D357" s="420"/>
      <c r="E357" s="420"/>
      <c r="F357" s="420"/>
      <c r="G357" s="420"/>
      <c r="H357" s="554"/>
      <c r="I357" s="40"/>
      <c r="J357" s="40"/>
      <c r="K357" s="40"/>
      <c r="L357" s="40"/>
      <c r="M357" s="40"/>
      <c r="N357" s="40"/>
      <c r="O357" s="40"/>
      <c r="P357" s="40"/>
      <c r="Q357" s="40"/>
      <c r="R357" s="40"/>
      <c r="S357" s="40"/>
      <c r="T357" s="40"/>
      <c r="U357" s="40"/>
      <c r="V357" s="119"/>
      <c r="W357" s="114"/>
      <c r="AE357" s="57"/>
      <c r="AH357" s="52"/>
      <c r="AJ357" s="119"/>
    </row>
    <row r="358" spans="1:36" ht="11.25" customHeight="1">
      <c r="A358" s="106"/>
      <c r="B358" s="420"/>
      <c r="C358" s="420"/>
      <c r="D358" s="420"/>
      <c r="E358" s="420"/>
      <c r="F358" s="420"/>
      <c r="G358" s="420"/>
      <c r="H358" s="554"/>
      <c r="I358" s="40"/>
      <c r="J358" s="40"/>
      <c r="K358" s="40"/>
      <c r="L358" s="40"/>
      <c r="M358" s="40"/>
      <c r="N358" s="40"/>
      <c r="O358" s="40"/>
      <c r="P358" s="40"/>
      <c r="Q358" s="40"/>
      <c r="R358" s="40"/>
      <c r="S358" s="40"/>
      <c r="T358" s="40"/>
      <c r="U358" s="40"/>
      <c r="V358" s="119"/>
      <c r="W358" s="114"/>
      <c r="AE358" s="57"/>
      <c r="AH358" s="52"/>
      <c r="AJ358" s="119"/>
    </row>
    <row r="359" spans="1:36" ht="11.25" customHeight="1">
      <c r="A359" s="106"/>
      <c r="B359" s="420"/>
      <c r="C359" s="420"/>
      <c r="D359" s="420"/>
      <c r="E359" s="420"/>
      <c r="F359" s="420"/>
      <c r="G359" s="420"/>
      <c r="H359" s="554"/>
      <c r="I359" s="40"/>
      <c r="J359" s="40"/>
      <c r="K359" s="40"/>
      <c r="L359" s="40"/>
      <c r="M359" s="40"/>
      <c r="N359" s="40"/>
      <c r="O359" s="40"/>
      <c r="P359" s="40"/>
      <c r="Q359" s="40"/>
      <c r="R359" s="40"/>
      <c r="S359" s="40"/>
      <c r="T359" s="40"/>
      <c r="U359" s="40"/>
      <c r="V359" s="119"/>
      <c r="W359" s="114"/>
      <c r="AE359" s="57"/>
      <c r="AH359" s="52"/>
      <c r="AJ359" s="119"/>
    </row>
    <row r="360" spans="1:36" ht="11.25" customHeight="1">
      <c r="A360" s="106"/>
      <c r="B360" s="420"/>
      <c r="C360" s="420"/>
      <c r="D360" s="420"/>
      <c r="E360" s="420"/>
      <c r="F360" s="420"/>
      <c r="G360" s="420"/>
      <c r="H360" s="554"/>
      <c r="I360" s="40"/>
      <c r="J360" s="40"/>
      <c r="K360" s="40"/>
      <c r="L360" s="40"/>
      <c r="M360" s="40"/>
      <c r="N360" s="40"/>
      <c r="O360" s="40"/>
      <c r="P360" s="40"/>
      <c r="Q360" s="40"/>
      <c r="R360" s="40"/>
      <c r="S360" s="40"/>
      <c r="T360" s="40"/>
      <c r="U360" s="40"/>
      <c r="V360" s="119"/>
      <c r="W360" s="114"/>
      <c r="AE360" s="57"/>
      <c r="AH360" s="52"/>
      <c r="AJ360" s="119"/>
    </row>
    <row r="361" spans="1:36" ht="11.25" customHeight="1">
      <c r="A361" s="106"/>
      <c r="B361" s="420"/>
      <c r="C361" s="420"/>
      <c r="D361" s="420"/>
      <c r="E361" s="420"/>
      <c r="F361" s="420"/>
      <c r="G361" s="420"/>
      <c r="H361" s="554"/>
      <c r="I361" s="40"/>
      <c r="J361" s="40"/>
      <c r="K361" s="40"/>
      <c r="L361" s="40"/>
      <c r="M361" s="40"/>
      <c r="N361" s="40"/>
      <c r="O361" s="40"/>
      <c r="P361" s="40"/>
      <c r="Q361" s="40"/>
      <c r="R361" s="40"/>
      <c r="S361" s="40"/>
      <c r="T361" s="40"/>
      <c r="U361" s="40"/>
      <c r="V361" s="119"/>
      <c r="W361" s="114"/>
      <c r="AE361" s="57"/>
      <c r="AH361" s="52"/>
      <c r="AJ361" s="119"/>
    </row>
    <row r="362" spans="1:36" ht="11.25" customHeight="1">
      <c r="A362" s="106"/>
      <c r="B362" s="420"/>
      <c r="C362" s="420"/>
      <c r="D362" s="420"/>
      <c r="E362" s="420"/>
      <c r="F362" s="420"/>
      <c r="G362" s="420"/>
      <c r="H362" s="554"/>
      <c r="I362" s="40"/>
      <c r="J362" s="40"/>
      <c r="K362" s="40"/>
      <c r="L362" s="40"/>
      <c r="M362" s="40"/>
      <c r="N362" s="40"/>
      <c r="O362" s="40"/>
      <c r="P362" s="40"/>
      <c r="Q362" s="40"/>
      <c r="R362" s="40"/>
      <c r="S362" s="40"/>
      <c r="T362" s="40"/>
      <c r="U362" s="40"/>
      <c r="V362" s="119"/>
      <c r="W362" s="114"/>
      <c r="AE362" s="57"/>
      <c r="AH362" s="52"/>
      <c r="AJ362" s="119"/>
    </row>
    <row r="363" spans="1:36" ht="11.25" customHeight="1">
      <c r="A363" s="106"/>
      <c r="B363" s="420"/>
      <c r="C363" s="420"/>
      <c r="D363" s="420"/>
      <c r="E363" s="420"/>
      <c r="F363" s="420"/>
      <c r="G363" s="420"/>
      <c r="H363" s="554"/>
      <c r="I363" s="40"/>
      <c r="J363" s="40"/>
      <c r="K363" s="40"/>
      <c r="L363" s="40"/>
      <c r="M363" s="40"/>
      <c r="N363" s="40"/>
      <c r="O363" s="40"/>
      <c r="P363" s="40"/>
      <c r="Q363" s="40"/>
      <c r="R363" s="40"/>
      <c r="S363" s="40"/>
      <c r="T363" s="40"/>
      <c r="U363" s="40"/>
      <c r="V363" s="119"/>
      <c r="W363" s="114"/>
      <c r="AE363" s="57"/>
      <c r="AH363" s="52"/>
      <c r="AJ363" s="119"/>
    </row>
    <row r="364" spans="1:36" ht="11.25" customHeight="1">
      <c r="A364" s="106"/>
      <c r="B364" s="420"/>
      <c r="C364" s="420"/>
      <c r="D364" s="420"/>
      <c r="E364" s="420"/>
      <c r="F364" s="420"/>
      <c r="G364" s="420"/>
      <c r="H364" s="554"/>
      <c r="I364" s="40"/>
      <c r="J364" s="40"/>
      <c r="K364" s="40"/>
      <c r="L364" s="40"/>
      <c r="M364" s="40"/>
      <c r="N364" s="40"/>
      <c r="O364" s="40"/>
      <c r="P364" s="40"/>
      <c r="Q364" s="40"/>
      <c r="R364" s="40"/>
      <c r="S364" s="40"/>
      <c r="T364" s="40"/>
      <c r="U364" s="40"/>
      <c r="V364" s="119"/>
      <c r="W364" s="114"/>
      <c r="AE364" s="57"/>
      <c r="AH364" s="52"/>
      <c r="AJ364" s="119"/>
    </row>
    <row r="365" spans="1:36" ht="11.25" customHeight="1">
      <c r="A365" s="106"/>
      <c r="B365" s="420"/>
      <c r="C365" s="420"/>
      <c r="D365" s="420"/>
      <c r="E365" s="420"/>
      <c r="F365" s="420"/>
      <c r="G365" s="420"/>
      <c r="H365" s="554"/>
      <c r="I365" s="40"/>
      <c r="J365" s="40"/>
      <c r="K365" s="40"/>
      <c r="L365" s="40"/>
      <c r="M365" s="40"/>
      <c r="N365" s="40"/>
      <c r="O365" s="40"/>
      <c r="P365" s="40"/>
      <c r="Q365" s="40"/>
      <c r="R365" s="40"/>
      <c r="S365" s="40"/>
      <c r="T365" s="40"/>
      <c r="U365" s="40"/>
      <c r="V365" s="119"/>
      <c r="W365" s="114"/>
      <c r="AE365" s="57"/>
      <c r="AH365" s="52"/>
      <c r="AJ365" s="119"/>
    </row>
    <row r="366" spans="1:36" ht="11.25" customHeight="1">
      <c r="A366" s="106"/>
      <c r="B366" s="420"/>
      <c r="C366" s="420"/>
      <c r="D366" s="420"/>
      <c r="E366" s="420"/>
      <c r="F366" s="420"/>
      <c r="G366" s="420"/>
      <c r="H366" s="554"/>
      <c r="I366" s="40"/>
      <c r="J366" s="40"/>
      <c r="K366" s="40"/>
      <c r="L366" s="40"/>
      <c r="M366" s="40"/>
      <c r="N366" s="40"/>
      <c r="O366" s="40"/>
      <c r="P366" s="40"/>
      <c r="Q366" s="40"/>
      <c r="R366" s="40"/>
      <c r="S366" s="40"/>
      <c r="T366" s="40"/>
      <c r="U366" s="40"/>
      <c r="V366" s="119"/>
      <c r="W366" s="114"/>
      <c r="AE366" s="57"/>
      <c r="AH366" s="52"/>
      <c r="AJ366" s="119"/>
    </row>
    <row r="367" spans="1:36" ht="11.25" customHeight="1">
      <c r="A367" s="106"/>
      <c r="B367" s="420"/>
      <c r="C367" s="420"/>
      <c r="D367" s="420"/>
      <c r="E367" s="420"/>
      <c r="F367" s="420"/>
      <c r="G367" s="420"/>
      <c r="H367" s="554"/>
      <c r="I367" s="40"/>
      <c r="J367" s="40"/>
      <c r="K367" s="40"/>
      <c r="L367" s="40"/>
      <c r="M367" s="40"/>
      <c r="N367" s="40"/>
      <c r="O367" s="40"/>
      <c r="P367" s="40"/>
      <c r="Q367" s="40"/>
      <c r="R367" s="40"/>
      <c r="S367" s="40"/>
      <c r="T367" s="40"/>
      <c r="U367" s="40"/>
      <c r="V367" s="119"/>
      <c r="W367" s="114"/>
      <c r="AE367" s="57"/>
      <c r="AH367" s="52"/>
      <c r="AJ367" s="119"/>
    </row>
    <row r="368" spans="1:36" ht="11.25" customHeight="1">
      <c r="A368" s="106"/>
      <c r="B368" s="420"/>
      <c r="C368" s="420"/>
      <c r="D368" s="420"/>
      <c r="E368" s="420"/>
      <c r="F368" s="420"/>
      <c r="G368" s="420"/>
      <c r="H368" s="554"/>
      <c r="I368" s="40"/>
      <c r="J368" s="40"/>
      <c r="K368" s="40"/>
      <c r="L368" s="40"/>
      <c r="M368" s="40"/>
      <c r="N368" s="40"/>
      <c r="O368" s="40"/>
      <c r="P368" s="40"/>
      <c r="Q368" s="40"/>
      <c r="R368" s="40"/>
      <c r="S368" s="40"/>
      <c r="T368" s="40"/>
      <c r="U368" s="40"/>
      <c r="V368" s="119"/>
      <c r="W368" s="114"/>
      <c r="AE368" s="57"/>
      <c r="AH368" s="52"/>
      <c r="AJ368" s="119"/>
    </row>
    <row r="369" spans="1:76" ht="11.25" customHeight="1">
      <c r="A369" s="106"/>
      <c r="B369" s="420"/>
      <c r="C369" s="420"/>
      <c r="D369" s="420"/>
      <c r="E369" s="420"/>
      <c r="F369" s="420"/>
      <c r="G369" s="420"/>
      <c r="H369" s="554"/>
      <c r="I369" s="40"/>
      <c r="J369" s="40"/>
      <c r="K369" s="40"/>
      <c r="L369" s="40"/>
      <c r="M369" s="40"/>
      <c r="N369" s="40"/>
      <c r="O369" s="40"/>
      <c r="P369" s="40"/>
      <c r="Q369" s="40"/>
      <c r="R369" s="40"/>
      <c r="S369" s="40"/>
      <c r="T369" s="40"/>
      <c r="U369" s="40"/>
      <c r="V369" s="119"/>
      <c r="W369" s="114"/>
      <c r="AE369" s="57"/>
      <c r="AH369" s="52"/>
      <c r="AJ369" s="119"/>
    </row>
    <row r="370" spans="1:76" ht="11.25" customHeight="1">
      <c r="A370" s="106"/>
      <c r="B370" s="420"/>
      <c r="C370" s="420"/>
      <c r="D370" s="420"/>
      <c r="E370" s="420"/>
      <c r="F370" s="420"/>
      <c r="G370" s="420"/>
      <c r="H370" s="554"/>
      <c r="I370" s="40"/>
      <c r="J370" s="40"/>
      <c r="K370" s="40"/>
      <c r="L370" s="40"/>
      <c r="M370" s="40"/>
      <c r="N370" s="40"/>
      <c r="O370" s="40"/>
      <c r="P370" s="40"/>
      <c r="Q370" s="40"/>
      <c r="R370" s="40"/>
      <c r="S370" s="40"/>
      <c r="T370" s="40"/>
      <c r="U370" s="40"/>
      <c r="V370" s="119"/>
      <c r="W370" s="114"/>
      <c r="AE370" s="57"/>
      <c r="AH370" s="52"/>
      <c r="AJ370" s="119"/>
    </row>
    <row r="371" spans="1:76" ht="11.25" customHeight="1">
      <c r="A371" s="106"/>
      <c r="B371" s="420"/>
      <c r="C371" s="420"/>
      <c r="D371" s="420"/>
      <c r="E371" s="420"/>
      <c r="F371" s="420"/>
      <c r="G371" s="420"/>
      <c r="H371" s="554"/>
      <c r="I371" s="40"/>
      <c r="J371" s="40"/>
      <c r="K371" s="40"/>
      <c r="L371" s="40"/>
      <c r="M371" s="40"/>
      <c r="N371" s="40"/>
      <c r="O371" s="40"/>
      <c r="P371" s="40"/>
      <c r="Q371" s="40"/>
      <c r="R371" s="40"/>
      <c r="S371" s="40"/>
      <c r="T371" s="40"/>
      <c r="U371" s="40"/>
      <c r="V371" s="119"/>
      <c r="W371" s="114"/>
      <c r="AE371" s="57"/>
      <c r="AH371" s="52"/>
      <c r="AJ371" s="119"/>
      <c r="BS371" s="55"/>
      <c r="BT371" s="55"/>
      <c r="BU371" s="55"/>
      <c r="BV371" s="55"/>
      <c r="BW371" s="55"/>
      <c r="BX371" s="55"/>
    </row>
    <row r="372" spans="1:76" ht="11.25" customHeight="1">
      <c r="A372" s="106"/>
      <c r="B372" s="420"/>
      <c r="C372" s="420"/>
      <c r="D372" s="420"/>
      <c r="E372" s="420"/>
      <c r="F372" s="420"/>
      <c r="G372" s="420"/>
      <c r="H372" s="554"/>
      <c r="I372" s="40"/>
      <c r="J372" s="40"/>
      <c r="K372" s="40"/>
      <c r="L372" s="40"/>
      <c r="M372" s="40"/>
      <c r="N372" s="40"/>
      <c r="O372" s="40"/>
      <c r="P372" s="40"/>
      <c r="Q372" s="40"/>
      <c r="R372" s="40"/>
      <c r="S372" s="40"/>
      <c r="T372" s="40"/>
      <c r="U372" s="40"/>
      <c r="V372" s="119"/>
      <c r="W372" s="114"/>
      <c r="AE372" s="57"/>
      <c r="AH372" s="52"/>
      <c r="AJ372" s="119"/>
    </row>
    <row r="373" spans="1:76" s="55" customFormat="1" ht="11.25" customHeight="1">
      <c r="A373" s="106"/>
      <c r="B373" s="420"/>
      <c r="C373" s="420"/>
      <c r="D373" s="420"/>
      <c r="E373" s="420"/>
      <c r="F373" s="420"/>
      <c r="G373" s="420"/>
      <c r="H373" s="554"/>
      <c r="I373" s="40"/>
      <c r="J373" s="40"/>
      <c r="K373" s="40"/>
      <c r="L373" s="40"/>
      <c r="M373" s="40"/>
      <c r="N373" s="40"/>
      <c r="O373" s="40"/>
      <c r="P373" s="40"/>
      <c r="Q373" s="40"/>
      <c r="R373" s="40"/>
      <c r="S373" s="40"/>
      <c r="T373" s="40"/>
      <c r="U373" s="40"/>
      <c r="V373" s="119"/>
      <c r="W373" s="114"/>
      <c r="X373" s="56"/>
      <c r="Y373" s="56"/>
      <c r="Z373" s="56"/>
      <c r="AA373" s="56"/>
      <c r="AB373" s="56"/>
      <c r="AC373" s="56"/>
      <c r="AD373" s="56"/>
      <c r="AE373" s="57"/>
      <c r="AF373" s="56"/>
      <c r="AG373" s="56"/>
      <c r="AH373" s="52"/>
      <c r="AI373" s="52"/>
      <c r="AJ373" s="139"/>
      <c r="AK373" s="52"/>
      <c r="AL373" s="52"/>
      <c r="AM373" s="52"/>
      <c r="AN373" s="52"/>
      <c r="AO373" s="52"/>
      <c r="AP373" s="52"/>
      <c r="AQ373" s="52"/>
      <c r="AR373" s="52"/>
      <c r="AS373" s="52"/>
      <c r="AT373" s="52"/>
      <c r="AU373" s="52"/>
      <c r="AV373" s="52"/>
      <c r="AW373" s="52"/>
      <c r="AX373" s="52"/>
      <c r="AY373" s="52"/>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c r="BX373" s="52"/>
    </row>
    <row r="374" spans="1:76" ht="11.25" customHeight="1">
      <c r="A374" s="711"/>
      <c r="B374" s="712"/>
      <c r="C374" s="713"/>
      <c r="D374" s="713"/>
      <c r="E374" s="713"/>
      <c r="F374" s="152"/>
      <c r="G374" s="152"/>
      <c r="H374" s="714"/>
      <c r="I374" s="152"/>
      <c r="J374" s="152"/>
      <c r="K374" s="152"/>
      <c r="L374" s="152"/>
      <c r="M374" s="152"/>
      <c r="N374" s="152"/>
      <c r="O374" s="152"/>
      <c r="P374" s="152"/>
      <c r="Q374" s="152"/>
      <c r="R374" s="152"/>
      <c r="S374" s="859"/>
      <c r="T374" s="151"/>
      <c r="U374" s="151"/>
      <c r="V374" s="865"/>
      <c r="W374" s="1232"/>
      <c r="X374" s="289"/>
      <c r="Y374" s="289"/>
      <c r="Z374" s="289"/>
      <c r="AA374" s="289"/>
      <c r="AB374" s="289"/>
      <c r="AC374" s="289"/>
      <c r="AD374" s="289"/>
      <c r="AE374" s="710"/>
      <c r="AF374" s="289"/>
      <c r="AG374" s="289"/>
      <c r="AH374" s="363"/>
      <c r="AI374" s="363"/>
      <c r="AJ374" s="1333"/>
    </row>
    <row r="375" spans="1:76" ht="11.25" customHeight="1">
      <c r="J375" s="52"/>
      <c r="V375" s="52"/>
      <c r="AE375" s="57"/>
      <c r="AH375" s="52"/>
    </row>
    <row r="376" spans="1:76" ht="11.25" customHeight="1">
      <c r="J376" s="52"/>
      <c r="V376" s="52"/>
      <c r="AE376" s="57"/>
      <c r="AH376" s="52"/>
    </row>
    <row r="377" spans="1:76" ht="11.25" customHeight="1">
      <c r="J377" s="52"/>
      <c r="V377" s="52"/>
      <c r="AE377" s="57"/>
      <c r="AH377" s="52"/>
    </row>
    <row r="378" spans="1:76" ht="11.25" customHeight="1">
      <c r="J378" s="52"/>
      <c r="V378" s="52"/>
      <c r="AE378" s="57"/>
      <c r="AH378" s="52"/>
    </row>
    <row r="379" spans="1:76" ht="11.25" customHeight="1">
      <c r="J379" s="52"/>
      <c r="V379" s="52"/>
      <c r="AE379" s="57"/>
      <c r="AH379" s="52"/>
    </row>
    <row r="380" spans="1:76" ht="11.25" customHeight="1">
      <c r="J380" s="52"/>
      <c r="V380" s="52"/>
      <c r="AE380" s="57"/>
      <c r="AH380" s="52"/>
    </row>
    <row r="381" spans="1:76" ht="11.25" customHeight="1">
      <c r="J381" s="52"/>
      <c r="V381" s="52"/>
      <c r="AE381" s="57"/>
      <c r="AH381" s="52"/>
    </row>
    <row r="382" spans="1:76" ht="11.25" customHeight="1">
      <c r="J382" s="52"/>
      <c r="V382" s="52"/>
      <c r="AE382" s="57"/>
      <c r="AH382" s="52"/>
    </row>
    <row r="383" spans="1:76" ht="11.25" customHeight="1">
      <c r="J383" s="52"/>
      <c r="V383" s="52"/>
      <c r="AE383" s="57"/>
      <c r="AH383" s="52"/>
    </row>
    <row r="384" spans="1:76" ht="11.25" customHeight="1">
      <c r="J384" s="52"/>
      <c r="V384" s="52"/>
      <c r="AE384" s="57"/>
      <c r="AH384" s="52"/>
    </row>
    <row r="385" spans="10:22" ht="11.25" customHeight="1">
      <c r="J385" s="52"/>
      <c r="V385" s="52"/>
    </row>
    <row r="386" spans="10:22" ht="11.25" customHeight="1">
      <c r="J386" s="52"/>
      <c r="V386" s="52"/>
    </row>
    <row r="495" spans="37:37" ht="11.25" customHeight="1">
      <c r="AK495" s="52" t="b">
        <v>1</v>
      </c>
    </row>
  </sheetData>
  <mergeCells count="82">
    <mergeCell ref="J276:K276"/>
    <mergeCell ref="J282:K282"/>
    <mergeCell ref="J286:K286"/>
    <mergeCell ref="J287:K287"/>
    <mergeCell ref="J275:K275"/>
    <mergeCell ref="J284:K284"/>
    <mergeCell ref="J285:K285"/>
    <mergeCell ref="J277:K277"/>
    <mergeCell ref="J278:K278"/>
    <mergeCell ref="J279:K279"/>
    <mergeCell ref="J280:K280"/>
    <mergeCell ref="J283:K283"/>
    <mergeCell ref="J281:K281"/>
    <mergeCell ref="J288:K288"/>
    <mergeCell ref="J289:K289"/>
    <mergeCell ref="A335:U335"/>
    <mergeCell ref="J295:K295"/>
    <mergeCell ref="J290:K290"/>
    <mergeCell ref="J291:K291"/>
    <mergeCell ref="J292:K292"/>
    <mergeCell ref="J293:K293"/>
    <mergeCell ref="J294:K294"/>
    <mergeCell ref="A336:U336"/>
    <mergeCell ref="D306:T306"/>
    <mergeCell ref="B306:B307"/>
    <mergeCell ref="A302:U302"/>
    <mergeCell ref="A303:U303"/>
    <mergeCell ref="B305:T305"/>
    <mergeCell ref="B5:N6"/>
    <mergeCell ref="A34:U34"/>
    <mergeCell ref="O10:P10"/>
    <mergeCell ref="A35:U35"/>
    <mergeCell ref="A201:U201"/>
    <mergeCell ref="A136:U136"/>
    <mergeCell ref="A168:U168"/>
    <mergeCell ref="A169:U169"/>
    <mergeCell ref="B105:H106"/>
    <mergeCell ref="K8:K9"/>
    <mergeCell ref="L8:L9"/>
    <mergeCell ref="M8:M9"/>
    <mergeCell ref="N8:N9"/>
    <mergeCell ref="O8:P9"/>
    <mergeCell ref="D8:D9"/>
    <mergeCell ref="E8:E9"/>
    <mergeCell ref="F8:F9"/>
    <mergeCell ref="G8:G9"/>
    <mergeCell ref="H8:H9"/>
    <mergeCell ref="Z8:Z10"/>
    <mergeCell ref="A67:U67"/>
    <mergeCell ref="S7:T9"/>
    <mergeCell ref="Y8:Y10"/>
    <mergeCell ref="D7:H7"/>
    <mergeCell ref="I7:I10"/>
    <mergeCell ref="Q7:Q10"/>
    <mergeCell ref="B7:B10"/>
    <mergeCell ref="K7:P7"/>
    <mergeCell ref="A68:U68"/>
    <mergeCell ref="A102:U102"/>
    <mergeCell ref="A103:U103"/>
    <mergeCell ref="Q61:T61"/>
    <mergeCell ref="Q62:T62"/>
    <mergeCell ref="L61:O61"/>
    <mergeCell ref="L62:O62"/>
    <mergeCell ref="A202:U202"/>
    <mergeCell ref="B107:B108"/>
    <mergeCell ref="B173:B174"/>
    <mergeCell ref="B140:B141"/>
    <mergeCell ref="B204:I205"/>
    <mergeCell ref="B138:H139"/>
    <mergeCell ref="B171:H172"/>
    <mergeCell ref="A236:U236"/>
    <mergeCell ref="A237:U237"/>
    <mergeCell ref="B273:B274"/>
    <mergeCell ref="B241:B242"/>
    <mergeCell ref="B206:B207"/>
    <mergeCell ref="A269:U269"/>
    <mergeCell ref="A270:U270"/>
    <mergeCell ref="B239:H240"/>
    <mergeCell ref="D273:H273"/>
    <mergeCell ref="J274:K274"/>
    <mergeCell ref="I273:N273"/>
    <mergeCell ref="B272:T272"/>
  </mergeCells>
  <conditionalFormatting sqref="A1:A336">
    <cfRule type="containsErrors" dxfId="308" priority="49">
      <formula>ISERROR(A1)</formula>
    </cfRule>
  </conditionalFormatting>
  <conditionalFormatting sqref="A11:A31 A109:A127 A142:A160 A175:A193 A208:A228 A243:A262 A275:A294 A308:A328">
    <cfRule type="cellIs" dxfId="307" priority="84" operator="equal">
      <formula>0</formula>
    </cfRule>
  </conditionalFormatting>
  <conditionalFormatting sqref="A35">
    <cfRule type="cellIs" dxfId="306" priority="66" operator="equal">
      <formula>0</formula>
    </cfRule>
  </conditionalFormatting>
  <conditionalFormatting sqref="A68">
    <cfRule type="cellIs" dxfId="305" priority="64" operator="equal">
      <formula>0</formula>
    </cfRule>
  </conditionalFormatting>
  <conditionalFormatting sqref="A103">
    <cfRule type="cellIs" dxfId="304" priority="62" operator="equal">
      <formula>0</formula>
    </cfRule>
  </conditionalFormatting>
  <conditionalFormatting sqref="A136">
    <cfRule type="cellIs" dxfId="303" priority="60" operator="equal">
      <formula>0</formula>
    </cfRule>
  </conditionalFormatting>
  <conditionalFormatting sqref="A169">
    <cfRule type="cellIs" dxfId="302" priority="58" operator="equal">
      <formula>0</formula>
    </cfRule>
  </conditionalFormatting>
  <conditionalFormatting sqref="A202">
    <cfRule type="cellIs" dxfId="301" priority="56" operator="equal">
      <formula>0</formula>
    </cfRule>
  </conditionalFormatting>
  <conditionalFormatting sqref="A237">
    <cfRule type="cellIs" dxfId="300" priority="54" operator="equal">
      <formula>0</formula>
    </cfRule>
  </conditionalFormatting>
  <conditionalFormatting sqref="A270">
    <cfRule type="cellIs" dxfId="299" priority="52" operator="equal">
      <formula>0</formula>
    </cfRule>
  </conditionalFormatting>
  <conditionalFormatting sqref="A303">
    <cfRule type="cellIs" dxfId="298" priority="50" operator="equal">
      <formula>0</formula>
    </cfRule>
  </conditionalFormatting>
  <conditionalFormatting sqref="A336">
    <cfRule type="cellIs" dxfId="297" priority="48" operator="equal">
      <formula>0</formula>
    </cfRule>
  </conditionalFormatting>
  <conditionalFormatting sqref="A387:A1048576">
    <cfRule type="containsErrors" dxfId="296" priority="76">
      <formula>ISERROR(A387)</formula>
    </cfRule>
  </conditionalFormatting>
  <conditionalFormatting sqref="B11:B29 D11:I29 K11:O29 S11:T29 P11:Q30 P31 B48:C63 B142:B160 D142:H160 D208:H228 B275:B293 D275:N293 B308:B326 D308:H326">
    <cfRule type="expression" dxfId="295" priority="4916">
      <formula>$B11=$Y$4</formula>
    </cfRule>
  </conditionalFormatting>
  <conditionalFormatting sqref="B11:B29 D11:I29 K11:O29 S11:T29 AF11:AG29 B48:C63 B142:B160 D142:H160 D208:H228 B275:B293 D275:J293 L275:N293 B308:B326 D308:H326">
    <cfRule type="containsErrors" dxfId="294" priority="125">
      <formula>ISERROR(B11)</formula>
    </cfRule>
  </conditionalFormatting>
  <conditionalFormatting sqref="B109:B127 D109:H127 B175:B193 D175:H193 B208:B228 B243:B261 D243:H261">
    <cfRule type="containsErrors" dxfId="293" priority="4903">
      <formula>ISERROR(B109)</formula>
    </cfRule>
    <cfRule type="expression" dxfId="292" priority="4902">
      <formula>$B109=$Y$4</formula>
    </cfRule>
  </conditionalFormatting>
  <conditionalFormatting sqref="D8:H8">
    <cfRule type="containsErrors" dxfId="291" priority="2">
      <formula>ISERROR(D8)</formula>
    </cfRule>
  </conditionalFormatting>
  <conditionalFormatting sqref="D10:H10">
    <cfRule type="containsErrors" dxfId="290" priority="3">
      <formula>ISERROR(D10)</formula>
    </cfRule>
  </conditionalFormatting>
  <conditionalFormatting sqref="D107:H107">
    <cfRule type="containsErrors" dxfId="289" priority="24">
      <formula>ISERROR(D107)</formula>
    </cfRule>
  </conditionalFormatting>
  <conditionalFormatting sqref="D108:H108">
    <cfRule type="containsErrors" dxfId="288" priority="25">
      <formula>ISERROR(D108)</formula>
    </cfRule>
  </conditionalFormatting>
  <conditionalFormatting sqref="D129:H129">
    <cfRule type="containsErrors" dxfId="287" priority="71">
      <formula>ISERROR(D129)</formula>
    </cfRule>
  </conditionalFormatting>
  <conditionalFormatting sqref="D140:H140">
    <cfRule type="containsErrors" dxfId="286" priority="26">
      <formula>ISERROR(D140)</formula>
    </cfRule>
  </conditionalFormatting>
  <conditionalFormatting sqref="D141:H141">
    <cfRule type="containsErrors" dxfId="285" priority="27">
      <formula>ISERROR(D141)</formula>
    </cfRule>
  </conditionalFormatting>
  <conditionalFormatting sqref="D173:H173">
    <cfRule type="containsErrors" dxfId="284" priority="28">
      <formula>ISERROR(D173)</formula>
    </cfRule>
  </conditionalFormatting>
  <conditionalFormatting sqref="D174:H174">
    <cfRule type="containsErrors" dxfId="283" priority="29">
      <formula>ISERROR(D174)</formula>
    </cfRule>
  </conditionalFormatting>
  <conditionalFormatting sqref="D195:H195">
    <cfRule type="containsErrors" dxfId="282" priority="72">
      <formula>ISERROR(D195)</formula>
    </cfRule>
  </conditionalFormatting>
  <conditionalFormatting sqref="D206:H206">
    <cfRule type="containsErrors" dxfId="281" priority="30">
      <formula>ISERROR(D206)</formula>
    </cfRule>
  </conditionalFormatting>
  <conditionalFormatting sqref="D207:H207">
    <cfRule type="containsErrors" dxfId="280" priority="31">
      <formula>ISERROR(D207)</formula>
    </cfRule>
  </conditionalFormatting>
  <conditionalFormatting sqref="D241:H241">
    <cfRule type="containsErrors" dxfId="279" priority="32">
      <formula>ISERROR(D241)</formula>
    </cfRule>
  </conditionalFormatting>
  <conditionalFormatting sqref="D242:H242">
    <cfRule type="containsErrors" dxfId="278" priority="33">
      <formula>ISERROR(D242)</formula>
    </cfRule>
  </conditionalFormatting>
  <conditionalFormatting sqref="D263:H263">
    <cfRule type="containsErrors" dxfId="277" priority="5">
      <formula>ISERROR(D263)</formula>
    </cfRule>
  </conditionalFormatting>
  <conditionalFormatting sqref="D31:O31">
    <cfRule type="containsErrors" dxfId="276" priority="20">
      <formula>ISERROR(D31)</formula>
    </cfRule>
  </conditionalFormatting>
  <conditionalFormatting sqref="K8:O8">
    <cfRule type="containsErrors" dxfId="275" priority="1">
      <formula>ISERROR(K8)</formula>
    </cfRule>
  </conditionalFormatting>
  <conditionalFormatting sqref="K10:O10">
    <cfRule type="containsErrors" dxfId="274" priority="4">
      <formula>ISERROR(K10)</formula>
    </cfRule>
  </conditionalFormatting>
  <conditionalFormatting sqref="P11:P31">
    <cfRule type="containsErrors" dxfId="273" priority="4639">
      <formula>ISERROR(P11)</formula>
    </cfRule>
    <cfRule type="dataBar" priority="4640">
      <dataBar showValue="0">
        <cfvo type="min"/>
        <cfvo type="max"/>
        <color theme="9"/>
      </dataBar>
      <extLst>
        <ext xmlns:x14="http://schemas.microsoft.com/office/spreadsheetml/2009/9/main" uri="{B025F937-C7B1-47D3-B67F-A62EFF666E3E}">
          <x14:id>{FA58FA61-3D29-4CED-AD83-3B9FDDEAD1BF}</x14:id>
        </ext>
      </extLst>
    </cfRule>
  </conditionalFormatting>
  <conditionalFormatting sqref="P30:P31">
    <cfRule type="containsErrors" dxfId="272" priority="41">
      <formula>ISERROR(P30)</formula>
    </cfRule>
  </conditionalFormatting>
  <conditionalFormatting sqref="Q11:Q29">
    <cfRule type="containsErrors" dxfId="271" priority="38">
      <formula>ISERROR(Q11)</formula>
    </cfRule>
  </conditionalFormatting>
  <conditionalFormatting sqref="Q31:T31 D162:H162">
    <cfRule type="containsErrors" dxfId="270" priority="73">
      <formula>ISERROR(D31)</formula>
    </cfRule>
  </conditionalFormatting>
  <conditionalFormatting sqref="T30">
    <cfRule type="containsErrors" dxfId="269" priority="21">
      <formula>ISERROR(T30)</formula>
    </cfRule>
  </conditionalFormatting>
  <conditionalFormatting sqref="X2:AC3">
    <cfRule type="containsErrors" dxfId="268" priority="18">
      <formula>ISERROR(X2)</formula>
    </cfRule>
  </conditionalFormatting>
  <conditionalFormatting sqref="Y105:AC106">
    <cfRule type="containsErrors" dxfId="267" priority="16">
      <formula>ISERROR(Y105)</formula>
    </cfRule>
  </conditionalFormatting>
  <conditionalFormatting sqref="Y138:AC139">
    <cfRule type="containsErrors" dxfId="266" priority="12">
      <formula>ISERROR(Y138)</formula>
    </cfRule>
  </conditionalFormatting>
  <conditionalFormatting sqref="Y171:AH172">
    <cfRule type="containsErrors" dxfId="265" priority="8">
      <formula>ISERROR(Y171)</formula>
    </cfRule>
  </conditionalFormatting>
  <conditionalFormatting sqref="AA10:AE10">
    <cfRule type="cellIs" dxfId="264" priority="19" stopIfTrue="1" operator="equal">
      <formula>0</formula>
    </cfRule>
  </conditionalFormatting>
  <conditionalFormatting sqref="AD239:AH240">
    <cfRule type="containsErrors" dxfId="263" priority="6">
      <formula>ISERROR(AD239)</formula>
    </cfRule>
  </conditionalFormatting>
  <conditionalFormatting sqref="AE105:AI106">
    <cfRule type="containsErrors" dxfId="262" priority="14">
      <formula>ISERROR(AE105)</formula>
    </cfRule>
  </conditionalFormatting>
  <conditionalFormatting sqref="AF11:AG22 AG12:AG23">
    <cfRule type="expression" dxfId="261" priority="74">
      <formula>$B11=$W$4</formula>
    </cfRule>
  </conditionalFormatting>
  <conditionalFormatting sqref="AG24">
    <cfRule type="expression" dxfId="260" priority="4637">
      <formula>#REF!=$W$4</formula>
    </cfRule>
  </conditionalFormatting>
  <conditionalFormatting sqref="AG25:AG27">
    <cfRule type="expression" dxfId="259" priority="4150">
      <formula>$B24=$W$4</formula>
    </cfRule>
  </conditionalFormatting>
  <conditionalFormatting sqref="AG28">
    <cfRule type="expression" dxfId="258" priority="2181">
      <formula>#REF!=$W$4</formula>
    </cfRule>
  </conditionalFormatting>
  <conditionalFormatting sqref="AG29">
    <cfRule type="expression" dxfId="257" priority="2180">
      <formula>$B26=$W$4</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8" manualBreakCount="8">
    <brk id="35" max="20" man="1"/>
    <brk id="68" max="20" man="1"/>
    <brk id="103" max="20" man="1"/>
    <brk id="136" max="20" man="1"/>
    <brk id="169" max="20" man="1"/>
    <brk id="237" max="20" man="1"/>
    <brk id="270" max="20" man="1"/>
    <brk id="303" max="20" man="1"/>
  </rowBreaks>
  <ignoredErrors>
    <ignoredError sqref="A208:A224 A175 A11 A225:A228"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defaultSize="0" autoFill="0" autoLine="0" autoPict="0" macro="[0]!CheckBox1_Click" altText="">
                <anchor>
                  <from>
                    <xdr:col>22</xdr:col>
                    <xdr:colOff>85725</xdr:colOff>
                    <xdr:row>36</xdr:row>
                    <xdr:rowOff>28575</xdr:rowOff>
                  </from>
                  <to>
                    <xdr:col>35</xdr:col>
                    <xdr:colOff>57150</xdr:colOff>
                    <xdr:row>38</xdr:row>
                    <xdr:rowOff>0</xdr:rowOff>
                  </to>
                </anchor>
              </controlPr>
            </control>
          </mc:Choice>
        </mc:AlternateContent>
        <mc:AlternateContent xmlns:mc="http://schemas.openxmlformats.org/markup-compatibility/2006">
          <mc:Choice Requires="x14">
            <control shapeId="105474" r:id="rId5" name="Check Box 2">
              <controlPr defaultSize="0" autoFill="0" autoLine="0" autoPict="0" macro="[0]!CheckBox1_Click" altText="">
                <anchor>
                  <from>
                    <xdr:col>22</xdr:col>
                    <xdr:colOff>85725</xdr:colOff>
                    <xdr:row>37</xdr:row>
                    <xdr:rowOff>142875</xdr:rowOff>
                  </from>
                  <to>
                    <xdr:col>35</xdr:col>
                    <xdr:colOff>57150</xdr:colOff>
                    <xdr:row>39</xdr:row>
                    <xdr:rowOff>0</xdr:rowOff>
                  </to>
                </anchor>
              </controlPr>
            </control>
          </mc:Choice>
        </mc:AlternateContent>
        <mc:AlternateContent xmlns:mc="http://schemas.openxmlformats.org/markup-compatibility/2006">
          <mc:Choice Requires="x14">
            <control shapeId="105475" r:id="rId6" name="Check Box 3">
              <controlPr defaultSize="0" autoFill="0" autoLine="0" autoPict="0" macro="[0]!CheckBox1_Click" altText="">
                <anchor>
                  <from>
                    <xdr:col>22</xdr:col>
                    <xdr:colOff>85725</xdr:colOff>
                    <xdr:row>38</xdr:row>
                    <xdr:rowOff>142875</xdr:rowOff>
                  </from>
                  <to>
                    <xdr:col>35</xdr:col>
                    <xdr:colOff>57150</xdr:colOff>
                    <xdr:row>40</xdr:row>
                    <xdr:rowOff>0</xdr:rowOff>
                  </to>
                </anchor>
              </controlPr>
            </control>
          </mc:Choice>
        </mc:AlternateContent>
        <mc:AlternateContent xmlns:mc="http://schemas.openxmlformats.org/markup-compatibility/2006">
          <mc:Choice Requires="x14">
            <control shapeId="105476" r:id="rId7" name="Check Box 4">
              <controlPr defaultSize="0" autoFill="0" autoLine="0" autoPict="0" macro="[0]!CheckBox1_Click" altText="">
                <anchor>
                  <from>
                    <xdr:col>22</xdr:col>
                    <xdr:colOff>85725</xdr:colOff>
                    <xdr:row>39</xdr:row>
                    <xdr:rowOff>142875</xdr:rowOff>
                  </from>
                  <to>
                    <xdr:col>35</xdr:col>
                    <xdr:colOff>57150</xdr:colOff>
                    <xdr:row>41</xdr:row>
                    <xdr:rowOff>0</xdr:rowOff>
                  </to>
                </anchor>
              </controlPr>
            </control>
          </mc:Choice>
        </mc:AlternateContent>
        <mc:AlternateContent xmlns:mc="http://schemas.openxmlformats.org/markup-compatibility/2006">
          <mc:Choice Requires="x14">
            <control shapeId="105477" r:id="rId8" name="Check Box 5">
              <controlPr defaultSize="0" autoFill="0" autoLine="0" autoPict="0" macro="[0]!CheckBox1_Click" altText="">
                <anchor>
                  <from>
                    <xdr:col>22</xdr:col>
                    <xdr:colOff>85725</xdr:colOff>
                    <xdr:row>40</xdr:row>
                    <xdr:rowOff>142875</xdr:rowOff>
                  </from>
                  <to>
                    <xdr:col>35</xdr:col>
                    <xdr:colOff>57150</xdr:colOff>
                    <xdr:row>42</xdr:row>
                    <xdr:rowOff>0</xdr:rowOff>
                  </to>
                </anchor>
              </controlPr>
            </control>
          </mc:Choice>
        </mc:AlternateContent>
        <mc:AlternateContent xmlns:mc="http://schemas.openxmlformats.org/markup-compatibility/2006">
          <mc:Choice Requires="x14">
            <control shapeId="105478" r:id="rId9" name="Check Box 6">
              <controlPr defaultSize="0" autoFill="0" autoLine="0" autoPict="0" macro="[0]!CheckBox1_Click" altText="">
                <anchor>
                  <from>
                    <xdr:col>22</xdr:col>
                    <xdr:colOff>85725</xdr:colOff>
                    <xdr:row>41</xdr:row>
                    <xdr:rowOff>142875</xdr:rowOff>
                  </from>
                  <to>
                    <xdr:col>35</xdr:col>
                    <xdr:colOff>57150</xdr:colOff>
                    <xdr:row>43</xdr:row>
                    <xdr:rowOff>0</xdr:rowOff>
                  </to>
                </anchor>
              </controlPr>
            </control>
          </mc:Choice>
        </mc:AlternateContent>
        <mc:AlternateContent xmlns:mc="http://schemas.openxmlformats.org/markup-compatibility/2006">
          <mc:Choice Requires="x14">
            <control shapeId="105479" r:id="rId10" name="Check Box 7">
              <controlPr defaultSize="0" autoFill="0" autoLine="0" autoPict="0" macro="[0]!CheckBox1_Click" altText="">
                <anchor>
                  <from>
                    <xdr:col>22</xdr:col>
                    <xdr:colOff>85725</xdr:colOff>
                    <xdr:row>42</xdr:row>
                    <xdr:rowOff>142875</xdr:rowOff>
                  </from>
                  <to>
                    <xdr:col>35</xdr:col>
                    <xdr:colOff>57150</xdr:colOff>
                    <xdr:row>44</xdr:row>
                    <xdr:rowOff>0</xdr:rowOff>
                  </to>
                </anchor>
              </controlPr>
            </control>
          </mc:Choice>
        </mc:AlternateContent>
        <mc:AlternateContent xmlns:mc="http://schemas.openxmlformats.org/markup-compatibility/2006">
          <mc:Choice Requires="x14">
            <control shapeId="105480" r:id="rId11" name="Check Box 8">
              <controlPr defaultSize="0" autoFill="0" autoLine="0" autoPict="0" macro="[0]!CheckBox1_Click" altText="">
                <anchor>
                  <from>
                    <xdr:col>22</xdr:col>
                    <xdr:colOff>85725</xdr:colOff>
                    <xdr:row>43</xdr:row>
                    <xdr:rowOff>142875</xdr:rowOff>
                  </from>
                  <to>
                    <xdr:col>35</xdr:col>
                    <xdr:colOff>57150</xdr:colOff>
                    <xdr:row>45</xdr:row>
                    <xdr:rowOff>0</xdr:rowOff>
                  </to>
                </anchor>
              </controlPr>
            </control>
          </mc:Choice>
        </mc:AlternateContent>
        <mc:AlternateContent xmlns:mc="http://schemas.openxmlformats.org/markup-compatibility/2006">
          <mc:Choice Requires="x14">
            <control shapeId="105481" r:id="rId12" name="Check Box 9">
              <controlPr defaultSize="0" autoFill="0" autoLine="0" autoPict="0" macro="[0]!CheckBox1_Click" altText="">
                <anchor>
                  <from>
                    <xdr:col>22</xdr:col>
                    <xdr:colOff>85725</xdr:colOff>
                    <xdr:row>44</xdr:row>
                    <xdr:rowOff>142875</xdr:rowOff>
                  </from>
                  <to>
                    <xdr:col>35</xdr:col>
                    <xdr:colOff>57150</xdr:colOff>
                    <xdr:row>46</xdr:row>
                    <xdr:rowOff>0</xdr:rowOff>
                  </to>
                </anchor>
              </controlPr>
            </control>
          </mc:Choice>
        </mc:AlternateContent>
        <mc:AlternateContent xmlns:mc="http://schemas.openxmlformats.org/markup-compatibility/2006">
          <mc:Choice Requires="x14">
            <control shapeId="105482" r:id="rId13" name="Check Box 10">
              <controlPr defaultSize="0" autoFill="0" autoLine="0" autoPict="0" macro="[0]!CheckBox1_Click" altText="">
                <anchor>
                  <from>
                    <xdr:col>22</xdr:col>
                    <xdr:colOff>85725</xdr:colOff>
                    <xdr:row>45</xdr:row>
                    <xdr:rowOff>142875</xdr:rowOff>
                  </from>
                  <to>
                    <xdr:col>35</xdr:col>
                    <xdr:colOff>57150</xdr:colOff>
                    <xdr:row>47</xdr:row>
                    <xdr:rowOff>0</xdr:rowOff>
                  </to>
                </anchor>
              </controlPr>
            </control>
          </mc:Choice>
        </mc:AlternateContent>
        <mc:AlternateContent xmlns:mc="http://schemas.openxmlformats.org/markup-compatibility/2006">
          <mc:Choice Requires="x14">
            <control shapeId="105483" r:id="rId14" name="Check Box 11">
              <controlPr defaultSize="0" autoFill="0" autoLine="0" autoPict="0" macro="[0]!CheckBox1_Click" altText="">
                <anchor>
                  <from>
                    <xdr:col>22</xdr:col>
                    <xdr:colOff>85725</xdr:colOff>
                    <xdr:row>46</xdr:row>
                    <xdr:rowOff>142875</xdr:rowOff>
                  </from>
                  <to>
                    <xdr:col>35</xdr:col>
                    <xdr:colOff>57150</xdr:colOff>
                    <xdr:row>48</xdr:row>
                    <xdr:rowOff>0</xdr:rowOff>
                  </to>
                </anchor>
              </controlPr>
            </control>
          </mc:Choice>
        </mc:AlternateContent>
        <mc:AlternateContent xmlns:mc="http://schemas.openxmlformats.org/markup-compatibility/2006">
          <mc:Choice Requires="x14">
            <control shapeId="105484" r:id="rId15" name="Check Box 12">
              <controlPr defaultSize="0" autoFill="0" autoLine="0" autoPict="0" macro="[0]!CheckBox1_Click" altText="">
                <anchor>
                  <from>
                    <xdr:col>22</xdr:col>
                    <xdr:colOff>85725</xdr:colOff>
                    <xdr:row>47</xdr:row>
                    <xdr:rowOff>142875</xdr:rowOff>
                  </from>
                  <to>
                    <xdr:col>35</xdr:col>
                    <xdr:colOff>57150</xdr:colOff>
                    <xdr:row>49</xdr:row>
                    <xdr:rowOff>0</xdr:rowOff>
                  </to>
                </anchor>
              </controlPr>
            </control>
          </mc:Choice>
        </mc:AlternateContent>
        <mc:AlternateContent xmlns:mc="http://schemas.openxmlformats.org/markup-compatibility/2006">
          <mc:Choice Requires="x14">
            <control shapeId="105485" r:id="rId16" name="Check Box 13">
              <controlPr defaultSize="0" autoFill="0" autoLine="0" autoPict="0" macro="[0]!CheckBox1_Click" altText="">
                <anchor>
                  <from>
                    <xdr:col>22</xdr:col>
                    <xdr:colOff>85725</xdr:colOff>
                    <xdr:row>48</xdr:row>
                    <xdr:rowOff>142875</xdr:rowOff>
                  </from>
                  <to>
                    <xdr:col>35</xdr:col>
                    <xdr:colOff>57150</xdr:colOff>
                    <xdr:row>50</xdr:row>
                    <xdr:rowOff>0</xdr:rowOff>
                  </to>
                </anchor>
              </controlPr>
            </control>
          </mc:Choice>
        </mc:AlternateContent>
        <mc:AlternateContent xmlns:mc="http://schemas.openxmlformats.org/markup-compatibility/2006">
          <mc:Choice Requires="x14">
            <control shapeId="105487" r:id="rId17" name="Check Box 15">
              <controlPr defaultSize="0" autoFill="0" autoLine="0" autoPict="0" macro="[0]!CheckBox1_Click" altText="">
                <anchor>
                  <from>
                    <xdr:col>22</xdr:col>
                    <xdr:colOff>85725</xdr:colOff>
                    <xdr:row>49</xdr:row>
                    <xdr:rowOff>142875</xdr:rowOff>
                  </from>
                  <to>
                    <xdr:col>35</xdr:col>
                    <xdr:colOff>57150</xdr:colOff>
                    <xdr:row>51</xdr:row>
                    <xdr:rowOff>0</xdr:rowOff>
                  </to>
                </anchor>
              </controlPr>
            </control>
          </mc:Choice>
        </mc:AlternateContent>
        <mc:AlternateContent xmlns:mc="http://schemas.openxmlformats.org/markup-compatibility/2006">
          <mc:Choice Requires="x14">
            <control shapeId="105488" r:id="rId18" name="Check Box 16">
              <controlPr defaultSize="0" autoFill="0" autoLine="0" autoPict="0" macro="[0]!CheckBox1_Click" altText="">
                <anchor>
                  <from>
                    <xdr:col>22</xdr:col>
                    <xdr:colOff>85725</xdr:colOff>
                    <xdr:row>50</xdr:row>
                    <xdr:rowOff>152400</xdr:rowOff>
                  </from>
                  <to>
                    <xdr:col>35</xdr:col>
                    <xdr:colOff>57150</xdr:colOff>
                    <xdr:row>52</xdr:row>
                    <xdr:rowOff>9525</xdr:rowOff>
                  </to>
                </anchor>
              </controlPr>
            </control>
          </mc:Choice>
        </mc:AlternateContent>
        <mc:AlternateContent xmlns:mc="http://schemas.openxmlformats.org/markup-compatibility/2006">
          <mc:Choice Requires="x14">
            <control shapeId="105489" r:id="rId19" name="Check Box 17">
              <controlPr defaultSize="0" autoFill="0" autoLine="0" autoPict="0" macro="[0]!CheckBox1_Click" altText="">
                <anchor>
                  <from>
                    <xdr:col>22</xdr:col>
                    <xdr:colOff>85725</xdr:colOff>
                    <xdr:row>51</xdr:row>
                    <xdr:rowOff>161925</xdr:rowOff>
                  </from>
                  <to>
                    <xdr:col>35</xdr:col>
                    <xdr:colOff>57150</xdr:colOff>
                    <xdr:row>53</xdr:row>
                    <xdr:rowOff>19050</xdr:rowOff>
                  </to>
                </anchor>
              </controlPr>
            </control>
          </mc:Choice>
        </mc:AlternateContent>
        <mc:AlternateContent xmlns:mc="http://schemas.openxmlformats.org/markup-compatibility/2006">
          <mc:Choice Requires="x14">
            <control shapeId="105490" r:id="rId20" name="Check Box 18">
              <controlPr defaultSize="0" autoFill="0" autoLine="0" autoPict="0" macro="[0]!CheckBox1_Click" altText="">
                <anchor>
                  <from>
                    <xdr:col>22</xdr:col>
                    <xdr:colOff>85725</xdr:colOff>
                    <xdr:row>52</xdr:row>
                    <xdr:rowOff>161925</xdr:rowOff>
                  </from>
                  <to>
                    <xdr:col>35</xdr:col>
                    <xdr:colOff>57150</xdr:colOff>
                    <xdr:row>54</xdr:row>
                    <xdr:rowOff>19050</xdr:rowOff>
                  </to>
                </anchor>
              </controlPr>
            </control>
          </mc:Choice>
        </mc:AlternateContent>
        <mc:AlternateContent xmlns:mc="http://schemas.openxmlformats.org/markup-compatibility/2006">
          <mc:Choice Requires="x14">
            <control shapeId="105491" r:id="rId21" name="Check Box 19">
              <controlPr defaultSize="0" autoFill="0" autoLine="0" autoPict="0" macro="[0]!CheckBox1_Click" altText="">
                <anchor>
                  <from>
                    <xdr:col>22</xdr:col>
                    <xdr:colOff>85725</xdr:colOff>
                    <xdr:row>53</xdr:row>
                    <xdr:rowOff>161925</xdr:rowOff>
                  </from>
                  <to>
                    <xdr:col>35</xdr:col>
                    <xdr:colOff>57150</xdr:colOff>
                    <xdr:row>55</xdr:row>
                    <xdr:rowOff>19050</xdr:rowOff>
                  </to>
                </anchor>
              </controlPr>
            </control>
          </mc:Choice>
        </mc:AlternateContent>
        <mc:AlternateContent xmlns:mc="http://schemas.openxmlformats.org/markup-compatibility/2006">
          <mc:Choice Requires="x14">
            <control shapeId="105492" r:id="rId22" name="Check Box 20">
              <controlPr defaultSize="0" autoFill="0" autoLine="0" autoPict="0" macro="[0]!CheckBox1_Click" altText="">
                <anchor>
                  <from>
                    <xdr:col>22</xdr:col>
                    <xdr:colOff>85725</xdr:colOff>
                    <xdr:row>54</xdr:row>
                    <xdr:rowOff>161925</xdr:rowOff>
                  </from>
                  <to>
                    <xdr:col>35</xdr:col>
                    <xdr:colOff>57150</xdr:colOff>
                    <xdr:row>56</xdr:row>
                    <xdr:rowOff>19050</xdr:rowOff>
                  </to>
                </anchor>
              </controlPr>
            </control>
          </mc:Choice>
        </mc:AlternateContent>
        <mc:AlternateContent xmlns:mc="http://schemas.openxmlformats.org/markup-compatibility/2006">
          <mc:Choice Requires="x14">
            <control shapeId="105493" r:id="rId23" name="Check Box 21">
              <controlPr defaultSize="0" autoFill="0" autoLine="0" autoPict="0" macro="[0]!CheckBox1_Click" altText="">
                <anchor>
                  <from>
                    <xdr:col>22</xdr:col>
                    <xdr:colOff>85725</xdr:colOff>
                    <xdr:row>55</xdr:row>
                    <xdr:rowOff>161925</xdr:rowOff>
                  </from>
                  <to>
                    <xdr:col>35</xdr:col>
                    <xdr:colOff>57150</xdr:colOff>
                    <xdr:row>57</xdr:row>
                    <xdr:rowOff>19050</xdr:rowOff>
                  </to>
                </anchor>
              </controlPr>
            </control>
          </mc:Choice>
        </mc:AlternateContent>
        <mc:AlternateContent xmlns:mc="http://schemas.openxmlformats.org/markup-compatibility/2006">
          <mc:Choice Requires="x14">
            <control shapeId="105496" r:id="rId24" name="Check Box 24">
              <controlPr defaultSize="0" autoFill="0" autoLine="0" autoPict="0" macro="[0]!CheckBox1_Click" altText="">
                <anchor>
                  <from>
                    <xdr:col>22</xdr:col>
                    <xdr:colOff>85725</xdr:colOff>
                    <xdr:row>56</xdr:row>
                    <xdr:rowOff>171450</xdr:rowOff>
                  </from>
                  <to>
                    <xdr:col>35</xdr:col>
                    <xdr:colOff>57150</xdr:colOff>
                    <xdr:row>58</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FA58FA61-3D29-4CED-AD83-3B9FDDEAD1BF}">
            <x14:dataBar minLength="0" maxLength="100" gradient="0" negativeBarColorSameAsPositive="1">
              <x14:cfvo type="autoMin"/>
              <x14:cfvo type="autoMax"/>
              <x14:axisColor rgb="FF000000"/>
            </x14:dataBar>
          </x14:cfRule>
          <xm:sqref>P11:P31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0">
    <tabColor rgb="FFFFC000"/>
  </sheetPr>
  <dimension ref="A1:BX530"/>
  <sheetViews>
    <sheetView showGridLines="0" showRowColHeaders="0" workbookViewId="0"/>
  </sheetViews>
  <sheetFormatPr defaultColWidth="9.140625" defaultRowHeight="11.25" customHeight="1"/>
  <cols>
    <col min="1" max="1" width="2" style="52" customWidth="1"/>
    <col min="2" max="2" width="19.42578125" style="52" customWidth="1"/>
    <col min="3" max="3" width="1.140625" style="52" customWidth="1"/>
    <col min="4" max="9" width="7.42578125" style="52" customWidth="1"/>
    <col min="10" max="10" width="1.140625" customWidth="1"/>
    <col min="11" max="14" width="7.42578125" style="52" customWidth="1"/>
    <col min="15" max="15" width="7.28515625" style="52" customWidth="1"/>
    <col min="16" max="16" width="6" style="52" customWidth="1"/>
    <col min="17" max="17" width="6.42578125" style="52" customWidth="1"/>
    <col min="18" max="18" width="1.140625" style="52" customWidth="1"/>
    <col min="19" max="19" width="8.7109375" style="52" customWidth="1"/>
    <col min="20" max="20" width="8.28515625" style="52" customWidth="1"/>
    <col min="21" max="21" width="2" style="52" customWidth="1"/>
    <col min="22" max="22" width="6.42578125" style="55" customWidth="1"/>
    <col min="23" max="23" width="4.85546875" style="55" customWidth="1"/>
    <col min="24" max="24" width="17.85546875" style="251" hidden="1" customWidth="1"/>
    <col min="25" max="25" width="19.42578125" style="251" hidden="1" customWidth="1"/>
    <col min="26" max="26" width="19.85546875" style="251" hidden="1" customWidth="1"/>
    <col min="27" max="28" width="16.5703125" style="251" hidden="1" customWidth="1"/>
    <col min="29" max="29" width="8.5703125" style="251" hidden="1" customWidth="1"/>
    <col min="30" max="30" width="17" style="251" hidden="1" customWidth="1"/>
    <col min="31" max="31" width="8.5703125" style="56" hidden="1" customWidth="1"/>
    <col min="32" max="32" width="14.42578125" style="56" hidden="1" customWidth="1"/>
    <col min="33" max="34" width="6.5703125" style="56" hidden="1" customWidth="1"/>
    <col min="35" max="35" width="6.5703125" style="52" hidden="1" customWidth="1"/>
    <col min="36" max="36" width="31.5703125" style="52" customWidth="1"/>
    <col min="37" max="37" width="17" style="52" hidden="1" customWidth="1"/>
    <col min="38" max="42" width="13.5703125" style="52" hidden="1" customWidth="1"/>
    <col min="43" max="58" width="9.140625" style="52" hidden="1" customWidth="1"/>
    <col min="59" max="68" width="9.140625" style="52" customWidth="1"/>
    <col min="69" max="16384" width="9.140625" style="52"/>
  </cols>
  <sheetData>
    <row r="1" spans="1:49" ht="18.75" customHeight="1" thickBot="1">
      <c r="A1" s="816"/>
      <c r="B1" s="82"/>
      <c r="C1" s="82"/>
      <c r="D1" s="82"/>
      <c r="E1" s="82"/>
      <c r="F1" s="82"/>
      <c r="G1" s="82"/>
      <c r="H1" s="82"/>
      <c r="I1" s="82"/>
      <c r="J1" s="83"/>
      <c r="K1" s="82"/>
      <c r="L1" s="82"/>
      <c r="M1" s="82"/>
      <c r="N1" s="82"/>
      <c r="O1" s="82"/>
      <c r="P1" s="82"/>
      <c r="Q1" s="82"/>
      <c r="R1" s="82"/>
      <c r="S1" s="82"/>
      <c r="T1" s="82"/>
      <c r="U1" s="84"/>
      <c r="V1" s="207"/>
      <c r="W1" s="117"/>
      <c r="X1" s="775"/>
      <c r="Y1" s="776" t="str">
        <f>IF(ReportData!$C$3="Annual"," the year ending 31st March"," the quarter")</f>
        <v xml:space="preserve"> the year ending 31st March</v>
      </c>
      <c r="Z1" s="775"/>
      <c r="AA1" s="775"/>
      <c r="AB1" s="775"/>
      <c r="AC1" s="775"/>
      <c r="AD1" s="775"/>
      <c r="AE1" s="135"/>
      <c r="AF1" s="135"/>
      <c r="AG1" s="135"/>
      <c r="AH1" s="135"/>
      <c r="AI1" s="136"/>
      <c r="AJ1" s="260"/>
    </row>
    <row r="2" spans="1:49" ht="18.75" customHeight="1">
      <c r="A2" s="87"/>
      <c r="B2" s="888" t="s">
        <v>648</v>
      </c>
      <c r="C2" s="5"/>
      <c r="D2" s="5"/>
      <c r="E2" s="5"/>
      <c r="F2" s="5"/>
      <c r="G2" s="5"/>
      <c r="H2" s="5"/>
      <c r="I2" s="5"/>
      <c r="J2" s="1"/>
      <c r="K2" s="5"/>
      <c r="L2" s="5"/>
      <c r="M2" s="5"/>
      <c r="N2" s="5"/>
      <c r="O2" s="5"/>
      <c r="P2" s="5"/>
      <c r="Q2" s="5"/>
      <c r="R2" s="5"/>
      <c r="S2" s="5"/>
      <c r="T2" s="5"/>
      <c r="U2" s="86"/>
      <c r="V2" s="122"/>
      <c r="W2" s="114"/>
      <c r="X2" s="777">
        <f>IF(ReportData!$C$3="Annual",1,4)</f>
        <v>1</v>
      </c>
      <c r="Y2" s="778" t="str">
        <f>IF(ReportData!$C$3="Annual","",ReportData!$D$28)</f>
        <v/>
      </c>
      <c r="Z2" s="779" t="str">
        <f>IF(ReportData!$C$3="Annual","",ReportData!$E$28)</f>
        <v/>
      </c>
      <c r="AA2" s="779" t="str">
        <f>IF(ReportData!$C$3="Annual","",ReportData!$F$28)</f>
        <v/>
      </c>
      <c r="AB2" s="779" t="str">
        <f>IF(ReportData!$C$3="Annual","",ReportData!$G$28)</f>
        <v/>
      </c>
      <c r="AC2" s="780" t="str">
        <f>IF(ReportData!$C$3="Annual","",ReportData!$H$28)</f>
        <v/>
      </c>
      <c r="AJ2" s="119"/>
    </row>
    <row r="3" spans="1:49" ht="18.75" customHeight="1" thickBot="1">
      <c r="A3" s="91"/>
      <c r="B3" s="92"/>
      <c r="C3" s="92"/>
      <c r="D3" s="92"/>
      <c r="E3" s="92"/>
      <c r="F3" s="92"/>
      <c r="G3" s="92"/>
      <c r="H3" s="92"/>
      <c r="I3" s="200"/>
      <c r="J3" s="93"/>
      <c r="K3" s="92"/>
      <c r="L3" s="92"/>
      <c r="M3" s="92"/>
      <c r="N3" s="92"/>
      <c r="O3" s="92"/>
      <c r="P3" s="329"/>
      <c r="Q3" s="92"/>
      <c r="R3" s="92"/>
      <c r="S3" s="200"/>
      <c r="T3" s="92"/>
      <c r="U3" s="94"/>
      <c r="V3" s="122"/>
      <c r="W3" s="114"/>
      <c r="X3" s="781"/>
      <c r="Y3" s="781" t="str">
        <f>ReportData!$D$27</f>
        <v>2019/20</v>
      </c>
      <c r="Z3" s="782" t="str">
        <f>ReportData!$E$27</f>
        <v>2020/21</v>
      </c>
      <c r="AA3" s="782" t="str">
        <f>ReportData!$F$27</f>
        <v>2021/22</v>
      </c>
      <c r="AB3" s="782" t="str">
        <f>ReportData!$G$27</f>
        <v>2022/23</v>
      </c>
      <c r="AC3" s="783" t="str">
        <f>ReportData!$H$27</f>
        <v>2023/24</v>
      </c>
      <c r="AJ3" s="119"/>
      <c r="AQ3" s="52">
        <v>0</v>
      </c>
    </row>
    <row r="4" spans="1:49" ht="11.25" customHeight="1">
      <c r="A4" s="81"/>
      <c r="B4" s="82"/>
      <c r="C4" s="82"/>
      <c r="D4" s="82"/>
      <c r="E4" s="82"/>
      <c r="F4" s="82"/>
      <c r="G4" s="82"/>
      <c r="H4" s="82"/>
      <c r="I4" s="82"/>
      <c r="J4" s="83"/>
      <c r="K4" s="82"/>
      <c r="L4" s="82"/>
      <c r="M4" s="82"/>
      <c r="N4" s="82"/>
      <c r="O4" s="82"/>
      <c r="P4" s="82"/>
      <c r="Q4" s="82"/>
      <c r="R4" s="82"/>
      <c r="S4" s="82"/>
      <c r="T4" s="82"/>
      <c r="U4" s="84"/>
      <c r="V4" s="119"/>
      <c r="W4" s="114"/>
      <c r="X4" s="784"/>
      <c r="Y4" s="242" t="str">
        <f>Home!$D$5</f>
        <v>(none)</v>
      </c>
      <c r="Z4" s="785" t="str">
        <f>"Selected LA- "&amp;Y4</f>
        <v>Selected LA- (none)</v>
      </c>
      <c r="AJ4" s="119"/>
    </row>
    <row r="5" spans="1:49" ht="18.75" customHeight="1">
      <c r="A5" s="87"/>
      <c r="B5" s="1900" t="str">
        <f>"Number of Children who Started to be Looked After in"&amp;$Y1&amp;" [RIIA217]"</f>
        <v>Number of Children who Started to be Looked After in the year ending 31st March [RIIA217]</v>
      </c>
      <c r="C5" s="1900"/>
      <c r="D5" s="1900"/>
      <c r="E5" s="1900"/>
      <c r="F5" s="1900"/>
      <c r="G5" s="1900"/>
      <c r="H5" s="1900"/>
      <c r="I5" s="1900"/>
      <c r="J5" s="1900"/>
      <c r="K5" s="1900"/>
      <c r="L5" s="1900"/>
      <c r="M5" s="1900"/>
      <c r="N5" s="1900"/>
      <c r="O5" s="1948"/>
      <c r="P5" s="1948"/>
      <c r="Q5" s="1948"/>
      <c r="R5" s="1948"/>
      <c r="S5" s="1948"/>
      <c r="T5" s="1948"/>
      <c r="U5" s="86"/>
      <c r="V5" s="119"/>
      <c r="W5" s="114"/>
      <c r="X5" s="784"/>
      <c r="Y5" s="784"/>
      <c r="Z5" s="784"/>
      <c r="AA5" s="784"/>
      <c r="AB5" s="784"/>
      <c r="AC5" s="784"/>
      <c r="AD5" s="784"/>
      <c r="AE5" s="52"/>
      <c r="AF5" s="52"/>
      <c r="AG5" s="52"/>
      <c r="AH5" s="52"/>
      <c r="AJ5" s="119"/>
      <c r="AK5" s="52" t="str">
        <f>CONCATENATE($I$7,"in Number of "&amp;$B2)</f>
        <v>Average Annual Change in Number of Children Starting to be Looked After</v>
      </c>
      <c r="AQ5" s="530" t="s">
        <v>604</v>
      </c>
    </row>
    <row r="6" spans="1:49" ht="18.75" customHeight="1">
      <c r="A6" s="87"/>
      <c r="B6" s="1900"/>
      <c r="C6" s="1900"/>
      <c r="D6" s="1900"/>
      <c r="E6" s="1900"/>
      <c r="F6" s="1900"/>
      <c r="G6" s="1900"/>
      <c r="H6" s="1900"/>
      <c r="I6" s="1900"/>
      <c r="J6" s="1900"/>
      <c r="K6" s="1900"/>
      <c r="L6" s="1900"/>
      <c r="M6" s="1900"/>
      <c r="N6" s="1900"/>
      <c r="O6" s="1948"/>
      <c r="P6" s="1948"/>
      <c r="Q6" s="1948"/>
      <c r="R6" s="1948"/>
      <c r="S6" s="1948"/>
      <c r="T6" s="1948"/>
      <c r="U6" s="86"/>
      <c r="V6" s="119"/>
      <c r="W6" s="114"/>
      <c r="Y6" s="250"/>
      <c r="AJ6" s="119"/>
    </row>
    <row r="7" spans="1:49" s="61" customFormat="1" ht="13.5" customHeight="1">
      <c r="A7" s="88"/>
      <c r="B7" s="1749" t="s">
        <v>177</v>
      </c>
      <c r="C7" s="896"/>
      <c r="D7" s="1777" t="s">
        <v>84</v>
      </c>
      <c r="E7" s="1777"/>
      <c r="F7" s="1777"/>
      <c r="G7" s="1777"/>
      <c r="H7" s="1778"/>
      <c r="I7" s="1761" t="str">
        <f>"Average "&amp;ReportData!C3&amp;" Change "</f>
        <v xml:space="preserve">Average Annual Change </v>
      </c>
      <c r="J7" s="896"/>
      <c r="K7" s="1765" t="s">
        <v>85</v>
      </c>
      <c r="L7" s="1766"/>
      <c r="M7" s="1766"/>
      <c r="N7" s="1766"/>
      <c r="O7" s="1766"/>
      <c r="P7" s="1767"/>
      <c r="Q7" s="1761" t="str">
        <f>IF(ISNA(O8),"Rank "&amp;O10,"Rank "&amp;LEFT(O8,5)&amp;" "&amp;RIGHT(O8,2))</f>
        <v>Rank 2023/ 24</v>
      </c>
      <c r="R7" s="64"/>
      <c r="S7" s="1783" t="str">
        <f>"Distance from "&amp;ReportData!$B$8&amp;" Expected Rate based on IDACI"</f>
        <v>Distance from 2024 Expected Rate based on IDACI</v>
      </c>
      <c r="T7" s="1784"/>
      <c r="U7" s="89"/>
      <c r="V7" s="186"/>
      <c r="W7" s="115"/>
      <c r="X7" s="585"/>
      <c r="Y7" s="1945" t="s">
        <v>671</v>
      </c>
      <c r="Z7" s="1946"/>
      <c r="AA7" s="1941" t="s">
        <v>76</v>
      </c>
      <c r="AB7" s="1942"/>
      <c r="AC7" s="1942"/>
      <c r="AD7" s="1942"/>
      <c r="AE7" s="1943"/>
      <c r="AF7" s="154" t="s">
        <v>88</v>
      </c>
      <c r="AG7" s="141"/>
      <c r="AH7" s="141"/>
      <c r="AJ7" s="121"/>
      <c r="AK7" s="350"/>
      <c r="AL7" s="350"/>
      <c r="AM7" s="350"/>
      <c r="AN7" s="350"/>
      <c r="AO7" s="350"/>
      <c r="AP7" s="52"/>
    </row>
    <row r="8" spans="1:49" s="61" customFormat="1" ht="13.5" customHeight="1">
      <c r="A8" s="217"/>
      <c r="B8" s="1749"/>
      <c r="C8" s="896"/>
      <c r="D8" s="1770" t="str">
        <f>ReportData!$D$27</f>
        <v>2019/20</v>
      </c>
      <c r="E8" s="1770" t="str">
        <f>ReportData!$E$27</f>
        <v>2020/21</v>
      </c>
      <c r="F8" s="1770" t="str">
        <f>ReportData!$F$27</f>
        <v>2021/22</v>
      </c>
      <c r="G8" s="1770" t="str">
        <f>ReportData!$G$27</f>
        <v>2022/23</v>
      </c>
      <c r="H8" s="1781" t="str">
        <f>ReportData!$H$27</f>
        <v>2023/24</v>
      </c>
      <c r="I8" s="1762"/>
      <c r="J8" s="896"/>
      <c r="K8" s="1770" t="str">
        <f>ReportData!$D$27</f>
        <v>2019/20</v>
      </c>
      <c r="L8" s="1770" t="str">
        <f>ReportData!$E$27</f>
        <v>2020/21</v>
      </c>
      <c r="M8" s="1770" t="str">
        <f>ReportData!$F$27</f>
        <v>2021/22</v>
      </c>
      <c r="N8" s="1770" t="str">
        <f>ReportData!$G$27</f>
        <v>2022/23</v>
      </c>
      <c r="O8" s="1789" t="str">
        <f>ReportData!$H$27</f>
        <v>2023/24</v>
      </c>
      <c r="P8" s="1790"/>
      <c r="Q8" s="1762"/>
      <c r="R8" s="64"/>
      <c r="S8" s="1785"/>
      <c r="T8" s="1786"/>
      <c r="U8" s="89"/>
      <c r="V8" s="103"/>
      <c r="W8" s="115"/>
      <c r="X8" s="585"/>
      <c r="Y8" s="1939" t="s">
        <v>73</v>
      </c>
      <c r="Z8" s="1939" t="s">
        <v>74</v>
      </c>
      <c r="AA8" s="307" t="str">
        <f>IF(ReportData!$C$3="Annual","",ReportData!$D$28)</f>
        <v/>
      </c>
      <c r="AB8" s="307" t="str">
        <f>IF(ReportData!$C$3="Annual","",ReportData!$E$28)</f>
        <v/>
      </c>
      <c r="AC8" s="307" t="str">
        <f>IF(ReportData!$C$3="Annual","",ReportData!$F$28)</f>
        <v/>
      </c>
      <c r="AD8" s="307" t="str">
        <f>IF(ReportData!$C$3="Annual","",ReportData!$G$28)</f>
        <v/>
      </c>
      <c r="AE8" s="444" t="str">
        <f>IF(ReportData!$C$3="Annual","",ReportData!$H$28)</f>
        <v/>
      </c>
      <c r="AF8" s="154"/>
      <c r="AG8" s="141"/>
      <c r="AH8" s="141"/>
      <c r="AJ8" s="121"/>
      <c r="AK8" s="109"/>
      <c r="AL8" s="109"/>
      <c r="AM8" s="109"/>
      <c r="AN8" s="109"/>
      <c r="AO8" s="109"/>
    </row>
    <row r="9" spans="1:49" s="61" customFormat="1" ht="9" customHeight="1">
      <c r="A9" s="217"/>
      <c r="B9" s="1749"/>
      <c r="C9" s="896"/>
      <c r="D9" s="1771"/>
      <c r="E9" s="1771"/>
      <c r="F9" s="1771"/>
      <c r="G9" s="1771"/>
      <c r="H9" s="1782"/>
      <c r="I9" s="1762"/>
      <c r="J9" s="896"/>
      <c r="K9" s="1771"/>
      <c r="L9" s="1771"/>
      <c r="M9" s="1771"/>
      <c r="N9" s="1771"/>
      <c r="O9" s="1791"/>
      <c r="P9" s="1792"/>
      <c r="Q9" s="1762"/>
      <c r="R9" s="64"/>
      <c r="S9" s="1787"/>
      <c r="T9" s="1788"/>
      <c r="U9" s="89"/>
      <c r="V9" s="103"/>
      <c r="W9" s="918"/>
      <c r="X9" s="585"/>
      <c r="Y9" s="1944"/>
      <c r="Z9" s="1944"/>
      <c r="AA9" s="307"/>
      <c r="AB9" s="307"/>
      <c r="AC9" s="307"/>
      <c r="AD9" s="307"/>
      <c r="AE9" s="444"/>
      <c r="AF9" s="154"/>
      <c r="AG9" s="141"/>
      <c r="AH9" s="141"/>
      <c r="AJ9" s="121"/>
      <c r="AK9" s="109"/>
      <c r="AL9" s="109"/>
      <c r="AM9" s="109"/>
      <c r="AN9" s="109"/>
      <c r="AO9" s="109"/>
    </row>
    <row r="10" spans="1:49" s="61" customFormat="1" ht="13.5" customHeight="1">
      <c r="A10" s="88"/>
      <c r="B10" s="1764"/>
      <c r="C10" s="896"/>
      <c r="D10" s="897" t="e">
        <f>ReportData!$D$28</f>
        <v>#N/A</v>
      </c>
      <c r="E10" s="897" t="e">
        <f>ReportData!$E$28</f>
        <v>#N/A</v>
      </c>
      <c r="F10" s="897" t="e">
        <f>ReportData!$F$28</f>
        <v>#N/A</v>
      </c>
      <c r="G10" s="897" t="e">
        <f>ReportData!$G$28</f>
        <v>#N/A</v>
      </c>
      <c r="H10" s="920" t="e">
        <f>ReportData!$H$28</f>
        <v>#N/A</v>
      </c>
      <c r="I10" s="1763"/>
      <c r="J10" s="896"/>
      <c r="K10" s="897" t="e">
        <f>ReportData!$D$28</f>
        <v>#N/A</v>
      </c>
      <c r="L10" s="897" t="e">
        <f>ReportData!$E$28</f>
        <v>#N/A</v>
      </c>
      <c r="M10" s="897" t="e">
        <f>ReportData!$F$28</f>
        <v>#N/A</v>
      </c>
      <c r="N10" s="897" t="e">
        <f>ReportData!$G$28</f>
        <v>#N/A</v>
      </c>
      <c r="O10" s="1779" t="e">
        <f>ReportData!$H$28</f>
        <v>#N/A</v>
      </c>
      <c r="P10" s="1780"/>
      <c r="Q10" s="1763"/>
      <c r="R10" s="64"/>
      <c r="S10" s="898" t="s">
        <v>110</v>
      </c>
      <c r="T10" s="899" t="s">
        <v>111</v>
      </c>
      <c r="U10" s="89"/>
      <c r="V10" s="103"/>
      <c r="W10" s="115"/>
      <c r="X10" s="585"/>
      <c r="Y10" s="1940"/>
      <c r="Z10" s="1940"/>
      <c r="AA10" s="307" t="str">
        <f>ReportData!$D$27</f>
        <v>2019/20</v>
      </c>
      <c r="AB10" s="307" t="str">
        <f>ReportData!$E$27</f>
        <v>2020/21</v>
      </c>
      <c r="AC10" s="307" t="str">
        <f>ReportData!$F$27</f>
        <v>2021/22</v>
      </c>
      <c r="AD10" s="307" t="str">
        <f>ReportData!$G$27</f>
        <v>2022/23</v>
      </c>
      <c r="AE10" s="444" t="str">
        <f>ReportData!$H$27</f>
        <v>2023/24</v>
      </c>
      <c r="AF10" s="141"/>
      <c r="AG10" s="141">
        <f>COLUMNS($B$4:O$4)</f>
        <v>14</v>
      </c>
      <c r="AH10" s="141"/>
      <c r="AJ10" s="121"/>
      <c r="AK10" s="479" t="s">
        <v>598</v>
      </c>
      <c r="AL10" s="479" t="s">
        <v>599</v>
      </c>
      <c r="AM10" s="479" t="s">
        <v>600</v>
      </c>
      <c r="AN10" s="479" t="s">
        <v>601</v>
      </c>
      <c r="AO10" s="479" t="s">
        <v>602</v>
      </c>
      <c r="AQ10" s="532" t="s">
        <v>605</v>
      </c>
      <c r="AR10" s="532" t="s">
        <v>606</v>
      </c>
      <c r="AS10" s="532" t="s">
        <v>607</v>
      </c>
      <c r="AT10" s="532" t="s">
        <v>608</v>
      </c>
      <c r="AU10" s="533" t="s">
        <v>609</v>
      </c>
      <c r="AV10" s="533" t="s">
        <v>610</v>
      </c>
      <c r="AW10" s="533" t="s">
        <v>611</v>
      </c>
    </row>
    <row r="11" spans="1:49" s="61" customFormat="1" ht="15.75" customHeight="1">
      <c r="A11" s="1103">
        <f>VLOOKUP(B11,ReportData!$AQ$4:$AR$25,2,FALSE)</f>
        <v>0</v>
      </c>
      <c r="B11" s="885" t="str">
        <f>ReportData!$K$4</f>
        <v>Bracknell Forest</v>
      </c>
      <c r="C11" s="896"/>
      <c r="D11" s="889">
        <f>IF(Year1_Bracknell_Forest Year1_LAC_Start="","",Year1_Bracknell_Forest Year1_LAC_Start)</f>
        <v>47</v>
      </c>
      <c r="E11" s="889">
        <f>IF(Year2_Bracknell_Forest Year2_LAC_Start="","",Year2_Bracknell_Forest Year2_LAC_Start)</f>
        <v>41</v>
      </c>
      <c r="F11" s="889">
        <f>IF(Year3_Bracknell_Forest Year3_LAC_Start="","",Year3_Bracknell_Forest Year3_LAC_Start)</f>
        <v>45</v>
      </c>
      <c r="G11" s="889">
        <f>IF(Year4_Bracknell_Forest Year4_LAC_Start="","",Year4_Bracknell_Forest Year4_LAC_Start)</f>
        <v>84</v>
      </c>
      <c r="H11" s="890">
        <f>IF(Year5_Bracknell_Forest Year5_LAC_Start="","",Year5_Bracknell_Forest Year5_LAC_Start)</f>
        <v>40</v>
      </c>
      <c r="I11" s="900">
        <f>AO11</f>
        <v>7.8189635999703466E-2</v>
      </c>
      <c r="J11" s="896"/>
      <c r="K11" s="901">
        <f>IF(ISNUMBER(D11),D11/Population!D11*10000,NA())</f>
        <v>17.217378562532055</v>
      </c>
      <c r="L11" s="901">
        <f>IF(ISNUMBER(E11),E11/Population!E11*10000,NA())</f>
        <v>14.858302529535406</v>
      </c>
      <c r="M11" s="901">
        <f>IF(ISNUMBER(F11),F11/Population!F11*10000,NA())</f>
        <v>16.173669266434246</v>
      </c>
      <c r="N11" s="901">
        <f>IF(ISNUMBER(G11),G11/Population!G11*10000,NA())</f>
        <v>29.650547123190965</v>
      </c>
      <c r="O11" s="902">
        <f>IF(ISNUMBER(H11),H11/Population!H11*10000,NA())</f>
        <v>13.963067685970607</v>
      </c>
      <c r="P11" s="903">
        <f>IF(ISNUMBER(O11),O11,"")</f>
        <v>13.963067685970607</v>
      </c>
      <c r="Q11" s="1190">
        <f>IF(ISNA(VLOOKUP(B11,$AF$11:$AH$29,3,FALSE)),"--",IF(ISNUMBER(H11),VLOOKUP(B11,$AF$11:$AH$29,3,FALSE),NA()))</f>
        <v>3</v>
      </c>
      <c r="R11" s="64"/>
      <c r="S11" s="905">
        <f>((AQ38*$Y$41)+$Z$41)/$X$2</f>
        <v>23.222776706263389</v>
      </c>
      <c r="T11" s="906">
        <f t="shared" ref="T11:T31" si="0">O11-S11</f>
        <v>-9.2597090202927816</v>
      </c>
      <c r="U11" s="89"/>
      <c r="V11" s="103"/>
      <c r="W11" s="115"/>
      <c r="X11" s="786" t="str">
        <f t="shared" ref="X11:X31" si="1">B11</f>
        <v>Bracknell Forest</v>
      </c>
      <c r="Y11" s="370">
        <f>IF(ISNUMBER(H11),IDACI!D9,0)</f>
        <v>24849</v>
      </c>
      <c r="Z11" s="370">
        <f>IF(ISNUMBER(H11),IDACI!E9,0)</f>
        <v>2211.5610000000001</v>
      </c>
      <c r="AA11" s="369">
        <f>IF(ISNUMBER(D11),Population!D11,"")</f>
        <v>27298</v>
      </c>
      <c r="AB11" s="369">
        <f>IF(ISNUMBER(E11),Population!E11,"")</f>
        <v>27594</v>
      </c>
      <c r="AC11" s="369">
        <f>IF(ISNUMBER(F11),Population!F11,"")</f>
        <v>27823</v>
      </c>
      <c r="AD11" s="369">
        <f>IF(ISNUMBER(G11),Population!G11,"")</f>
        <v>28330</v>
      </c>
      <c r="AE11" s="155">
        <f>IF(ISNUMBER(H11),Population!H11,"")</f>
        <v>28647</v>
      </c>
      <c r="AF11" s="65" t="str">
        <f>B11</f>
        <v>Bracknell Forest</v>
      </c>
      <c r="AG11" s="70">
        <f>IFERROR(VLOOKUP(AF11,$B$11:$O$29,AG$10,FALSE),"")</f>
        <v>13.963067685970607</v>
      </c>
      <c r="AH11" s="156">
        <f>RANK(AG11,$AG$11:$AG$29,1)</f>
        <v>3</v>
      </c>
      <c r="AJ11" s="121"/>
      <c r="AK11" s="480">
        <f t="shared" ref="AK11:AK29" si="2">IF(ISERROR((E11-D11)/D11),"x",(E11-D11)/D11)</f>
        <v>-0.1276595744680851</v>
      </c>
      <c r="AL11" s="480">
        <f t="shared" ref="AL11:AL29" si="3">IF(ISERROR((F11-E11)/E11),"x",(F11-E11)/E11)</f>
        <v>9.7560975609756101E-2</v>
      </c>
      <c r="AM11" s="480">
        <f t="shared" ref="AM11:AM29" si="4">IF(ISERROR((G11-F11)/F11),"x",(G11-F11)/F11)</f>
        <v>0.8666666666666667</v>
      </c>
      <c r="AN11" s="480">
        <f t="shared" ref="AN11:AN29" si="5">IF(ISERROR((H11-G11)/G11),"x",(H11-G11)/G11)</f>
        <v>-0.52380952380952384</v>
      </c>
      <c r="AO11" s="480">
        <f>AVERAGE(AK11:AN11)</f>
        <v>7.8189635999703466E-2</v>
      </c>
      <c r="AQ11" s="531">
        <f t="shared" ref="AQ11:AQ31" si="6">IF(ISNUMBER(L11),L11,"")</f>
        <v>14.858302529535406</v>
      </c>
      <c r="AR11" s="531">
        <f t="shared" ref="AR11:AR31" si="7">IF(ISNUMBER(M11),M11,"")</f>
        <v>16.173669266434246</v>
      </c>
      <c r="AS11" s="531">
        <f t="shared" ref="AS11:AS31" si="8">IF(ISNUMBER(N11),N11,"")</f>
        <v>29.650547123190965</v>
      </c>
      <c r="AT11" s="531">
        <f t="shared" ref="AT11:AT31" si="9">IF(ISNUMBER(O11),O11,"")</f>
        <v>13.963067685970607</v>
      </c>
      <c r="AU11" s="531">
        <f t="shared" ref="AU11:AU23" si="10">SUM(AQ11:AT11)</f>
        <v>74.645586605131228</v>
      </c>
      <c r="AV11" s="350">
        <f t="shared" ref="AV11:AV23" si="11">COUNTBLANK(AQ11:AT11)</f>
        <v>0</v>
      </c>
      <c r="AW11" s="531">
        <f>AU11/(4-AV11)*4</f>
        <v>74.645586605131228</v>
      </c>
    </row>
    <row r="12" spans="1:49" s="61" customFormat="1" ht="15.75" customHeight="1">
      <c r="A12" s="1103">
        <f>VLOOKUP(B12,ReportData!$AQ$4:$AR$25,2,FALSE)</f>
        <v>0</v>
      </c>
      <c r="B12" s="885" t="str">
        <f>ReportData!$K$5</f>
        <v>Brighton &amp; Hove</v>
      </c>
      <c r="C12" s="896"/>
      <c r="D12" s="889">
        <f>IF(Year1_Brighton_and_Hove Year1_LAC_Start="","",Year1_Brighton_and_Hove Year1_LAC_Start)</f>
        <v>154</v>
      </c>
      <c r="E12" s="889">
        <f>IF(Year2_Brighton_and_Hove Year2_LAC_Start="","",Year2_Brighton_and_Hove Year2_LAC_Start)</f>
        <v>151</v>
      </c>
      <c r="F12" s="889">
        <f>IF(Year3_Brighton_and_Hove Year3_LAC_Start="","",Year3_Brighton_and_Hove Year3_LAC_Start)</f>
        <v>145</v>
      </c>
      <c r="G12" s="889">
        <f>IF(Year4_Brighton_and_Hove Year4_LAC_Start="","",Year4_Brighton_and_Hove Year4_LAC_Start)</f>
        <v>116</v>
      </c>
      <c r="H12" s="890">
        <f>IF(Year5_Brighton_and_Hove Year5_LAC_Start="","",Year5_Brighton_and_Hove Year5_LAC_Start)</f>
        <v>140</v>
      </c>
      <c r="I12" s="900">
        <f t="shared" ref="I12:I25" si="12">AO12</f>
        <v>-1.3079766773532474E-2</v>
      </c>
      <c r="J12" s="896"/>
      <c r="K12" s="901">
        <f>IF(ISNUMBER(D12),D12/Population!D12*10000,NA())</f>
        <v>31.816867071608613</v>
      </c>
      <c r="L12" s="901">
        <f>IF(ISNUMBER(E12),E12/Population!E12*10000,NA())</f>
        <v>31.48194479192728</v>
      </c>
      <c r="M12" s="901">
        <f>IF(ISNUMBER(F12),F12/Population!F12*10000,NA())</f>
        <v>30.76923076923077</v>
      </c>
      <c r="N12" s="901">
        <f>IF(ISNUMBER(G12),G12/Population!G12*10000,NA())</f>
        <v>24.607551972846842</v>
      </c>
      <c r="O12" s="902">
        <f>IF(ISNUMBER(H12),H12/Population!H12*10000,NA())</f>
        <v>30.000428577551109</v>
      </c>
      <c r="P12" s="903">
        <f t="shared" ref="P12:P25" si="13">IF(ISNUMBER(O12),O12,"")</f>
        <v>30.000428577551109</v>
      </c>
      <c r="Q12" s="1190">
        <f t="shared" ref="Q12:Q31" si="14">IF(ISNA(VLOOKUP(B12,$AF$11:$AH$29,3,FALSE)),"--",IF(ISNUMBER(H12),VLOOKUP(B12,$AF$11:$AH$29,3,FALSE),NA()))</f>
        <v>15</v>
      </c>
      <c r="R12" s="64"/>
      <c r="S12" s="905">
        <f t="shared" ref="S12:S31" si="15">((AQ39*$Y$41)+$Z$41)/$X$2</f>
        <v>28.156082841140261</v>
      </c>
      <c r="T12" s="906">
        <f t="shared" si="0"/>
        <v>1.8443457364108475</v>
      </c>
      <c r="U12" s="89"/>
      <c r="V12" s="103"/>
      <c r="W12" s="115"/>
      <c r="X12" s="786" t="str">
        <f t="shared" si="1"/>
        <v>Brighton &amp; Hove</v>
      </c>
      <c r="Y12" s="370">
        <f>IF(ISNUMBER(H12),IDACI!D10,0)</f>
        <v>45576</v>
      </c>
      <c r="Z12" s="370">
        <f>IF(ISNUMBER(H12),IDACI!E10,0)</f>
        <v>6973.1279999999997</v>
      </c>
      <c r="AA12" s="369">
        <f>IF(ISNUMBER(D12),Population!D12,"")</f>
        <v>48402</v>
      </c>
      <c r="AB12" s="369">
        <f>IF(ISNUMBER(E12),Population!E12,"")</f>
        <v>47964</v>
      </c>
      <c r="AC12" s="369">
        <f>IF(ISNUMBER(F12),Population!F12,"")</f>
        <v>47125</v>
      </c>
      <c r="AD12" s="369">
        <f>IF(ISNUMBER(G12),Population!G12,"")</f>
        <v>47140</v>
      </c>
      <c r="AE12" s="155">
        <f>IF(ISNUMBER(H12),Population!H12,"")</f>
        <v>46666</v>
      </c>
      <c r="AF12" s="65" t="s">
        <v>28</v>
      </c>
      <c r="AG12" s="70">
        <f t="shared" ref="AG12:AG29" si="16">IFERROR(VLOOKUP(AF12,$B$11:$O$29,AG$10,FALSE),"")</f>
        <v>30.000428577551109</v>
      </c>
      <c r="AH12" s="156">
        <f t="shared" ref="AH12:AH29" si="17">RANK(AG12,$AG$11:$AG$29,1)</f>
        <v>15</v>
      </c>
      <c r="AJ12" s="121"/>
      <c r="AK12" s="480">
        <f t="shared" si="2"/>
        <v>-1.948051948051948E-2</v>
      </c>
      <c r="AL12" s="480">
        <f t="shared" si="3"/>
        <v>-3.9735099337748346E-2</v>
      </c>
      <c r="AM12" s="480">
        <f t="shared" si="4"/>
        <v>-0.2</v>
      </c>
      <c r="AN12" s="480">
        <f t="shared" si="5"/>
        <v>0.20689655172413793</v>
      </c>
      <c r="AO12" s="480">
        <f t="shared" ref="AO12:AO25" si="18">AVERAGE(AK12:AN12)</f>
        <v>-1.3079766773532474E-2</v>
      </c>
      <c r="AQ12" s="531">
        <f t="shared" si="6"/>
        <v>31.48194479192728</v>
      </c>
      <c r="AR12" s="531">
        <f t="shared" si="7"/>
        <v>30.76923076923077</v>
      </c>
      <c r="AS12" s="531">
        <f t="shared" si="8"/>
        <v>24.607551972846842</v>
      </c>
      <c r="AT12" s="531">
        <f t="shared" si="9"/>
        <v>30.000428577551109</v>
      </c>
      <c r="AU12" s="531">
        <f t="shared" si="10"/>
        <v>116.85915611155599</v>
      </c>
      <c r="AV12" s="350">
        <f t="shared" si="11"/>
        <v>0</v>
      </c>
      <c r="AW12" s="531">
        <f t="shared" ref="AW12:AW25" si="19">AU12/(4-AV12)*4</f>
        <v>116.85915611155599</v>
      </c>
    </row>
    <row r="13" spans="1:49" s="61" customFormat="1" ht="15.75" customHeight="1">
      <c r="A13" s="1103">
        <f>VLOOKUP(B13,ReportData!$AQ$4:$AR$25,2,FALSE)</f>
        <v>0</v>
      </c>
      <c r="B13" s="885" t="str">
        <f>ReportData!$K$6</f>
        <v>Buckinghamshire</v>
      </c>
      <c r="C13" s="896"/>
      <c r="D13" s="889">
        <f>IF(Year1_Buckinghamshire Year1_LAC_Start="","",Year1_Buckinghamshire Year1_LAC_Start)</f>
        <v>203</v>
      </c>
      <c r="E13" s="889">
        <f>IF(Year2_Buckinghamshire Year2_LAC_Start="","",Year2_Buckinghamshire Year2_LAC_Start)</f>
        <v>205</v>
      </c>
      <c r="F13" s="889">
        <f>IF(Year3_Buckinghamshire Year3_LAC_Start="","",Year3_Buckinghamshire Year3_LAC_Start)</f>
        <v>193</v>
      </c>
      <c r="G13" s="889">
        <f>IF(Year4_Buckinghamshire Year4_LAC_Start="","",Year4_Buckinghamshire Year4_LAC_Start)</f>
        <v>193</v>
      </c>
      <c r="H13" s="890">
        <f>IF(Year5_Buckinghamshire Year5_LAC_Start="","",Year5_Buckinghamshire Year5_LAC_Start)</f>
        <v>230</v>
      </c>
      <c r="I13" s="900">
        <f t="shared" si="12"/>
        <v>3.5756368985625071E-2</v>
      </c>
      <c r="J13" s="896"/>
      <c r="K13" s="901">
        <f>IF(ISNUMBER(D13),D13/Population!D13*10000,NA())</f>
        <v>16.620680056002687</v>
      </c>
      <c r="L13" s="901">
        <f>IF(ISNUMBER(E13),E13/Population!E13*10000,NA())</f>
        <v>16.735376954161396</v>
      </c>
      <c r="M13" s="901">
        <f>IF(ISNUMBER(F13),F13/Population!F13*10000,NA())</f>
        <v>15.626265079750628</v>
      </c>
      <c r="N13" s="901">
        <f>IF(ISNUMBER(G13),G13/Population!G13*10000,NA())</f>
        <v>15.327800500337528</v>
      </c>
      <c r="O13" s="902">
        <f>IF(ISNUMBER(H13),H13/Population!H13*10000,NA())</f>
        <v>18.022818455366099</v>
      </c>
      <c r="P13" s="903">
        <f t="shared" si="13"/>
        <v>18.022818455366099</v>
      </c>
      <c r="Q13" s="1190">
        <f t="shared" si="14"/>
        <v>6</v>
      </c>
      <c r="R13" s="64"/>
      <c r="S13" s="905">
        <f t="shared" si="15"/>
        <v>22.914445072833587</v>
      </c>
      <c r="T13" s="906">
        <f t="shared" si="0"/>
        <v>-4.8916266174674874</v>
      </c>
      <c r="U13" s="89"/>
      <c r="V13" s="103"/>
      <c r="W13" s="115"/>
      <c r="X13" s="786" t="str">
        <f t="shared" si="1"/>
        <v>Buckinghamshire</v>
      </c>
      <c r="Y13" s="370">
        <f>IF(ISNUMBER(H13),IDACI!D11,0)</f>
        <v>107385</v>
      </c>
      <c r="Z13" s="370">
        <f>IF(ISNUMBER(H13),IDACI!E11,0)</f>
        <v>9127.7250000000004</v>
      </c>
      <c r="AA13" s="369">
        <f>IF(ISNUMBER(D13),Population!D13,"")</f>
        <v>122137</v>
      </c>
      <c r="AB13" s="369">
        <f>IF(ISNUMBER(E13),Population!E13,"")</f>
        <v>122495</v>
      </c>
      <c r="AC13" s="369">
        <f>IF(ISNUMBER(F13),Population!F13,"")</f>
        <v>123510</v>
      </c>
      <c r="AD13" s="369">
        <f>IF(ISNUMBER(G13),Population!G13,"")</f>
        <v>125915</v>
      </c>
      <c r="AE13" s="155">
        <f>IF(ISNUMBER(H13),Population!H13,"")</f>
        <v>127616</v>
      </c>
      <c r="AF13" s="65" t="s">
        <v>8</v>
      </c>
      <c r="AG13" s="70">
        <f t="shared" si="16"/>
        <v>18.022818455366099</v>
      </c>
      <c r="AH13" s="156">
        <f t="shared" si="17"/>
        <v>6</v>
      </c>
      <c r="AJ13" s="121"/>
      <c r="AK13" s="480">
        <f t="shared" si="2"/>
        <v>9.852216748768473E-3</v>
      </c>
      <c r="AL13" s="480">
        <f t="shared" si="3"/>
        <v>-5.8536585365853662E-2</v>
      </c>
      <c r="AM13" s="480">
        <f t="shared" si="4"/>
        <v>0</v>
      </c>
      <c r="AN13" s="480">
        <f t="shared" si="5"/>
        <v>0.19170984455958548</v>
      </c>
      <c r="AO13" s="480">
        <f t="shared" si="18"/>
        <v>3.5756368985625071E-2</v>
      </c>
      <c r="AQ13" s="531">
        <f t="shared" si="6"/>
        <v>16.735376954161396</v>
      </c>
      <c r="AR13" s="531">
        <f t="shared" si="7"/>
        <v>15.626265079750628</v>
      </c>
      <c r="AS13" s="531">
        <f t="shared" si="8"/>
        <v>15.327800500337528</v>
      </c>
      <c r="AT13" s="531">
        <f t="shared" si="9"/>
        <v>18.022818455366099</v>
      </c>
      <c r="AU13" s="531">
        <f t="shared" si="10"/>
        <v>65.712260989615658</v>
      </c>
      <c r="AV13" s="350">
        <f t="shared" si="11"/>
        <v>0</v>
      </c>
      <c r="AW13" s="531">
        <f t="shared" si="19"/>
        <v>65.712260989615658</v>
      </c>
    </row>
    <row r="14" spans="1:49" s="61" customFormat="1" ht="15.75" customHeight="1">
      <c r="A14" s="1103">
        <f>VLOOKUP(B14,ReportData!$AQ$4:$AR$25,2,FALSE)</f>
        <v>0</v>
      </c>
      <c r="B14" s="885" t="str">
        <f>ReportData!$K$7</f>
        <v>East Sussex</v>
      </c>
      <c r="C14" s="896"/>
      <c r="D14" s="889">
        <f>IF(Year1_East_Sussex Year1_LAC_Start="","",Year1_East_Sussex Year1_LAC_Start)</f>
        <v>174</v>
      </c>
      <c r="E14" s="889">
        <f>IF(Year2_East_Sussex Year2_LAC_Start="","",Year2_East_Sussex Year2_LAC_Start)</f>
        <v>203</v>
      </c>
      <c r="F14" s="889">
        <f>IF(Year3_East_Sussex Year3_LAC_Start="","",Year3_East_Sussex Year3_LAC_Start)</f>
        <v>236</v>
      </c>
      <c r="G14" s="889">
        <f>IF(Year4_East_Sussex Year4_LAC_Start="","",Year4_East_Sussex Year4_LAC_Start)</f>
        <v>241</v>
      </c>
      <c r="H14" s="890">
        <f>IF(Year5_East_Sussex Year5_LAC_Start="","",Year5_East_Sussex Year5_LAC_Start)</f>
        <v>240</v>
      </c>
      <c r="I14" s="900">
        <f t="shared" si="12"/>
        <v>8.6566326526487894E-2</v>
      </c>
      <c r="J14" s="896"/>
      <c r="K14" s="901">
        <f>IF(ISNUMBER(D14),D14/Population!D14*10000,NA())</f>
        <v>16.906170752324599</v>
      </c>
      <c r="L14" s="901">
        <f>IF(ISNUMBER(E14),E14/Population!E14*10000,NA())</f>
        <v>19.82054111053613</v>
      </c>
      <c r="M14" s="901">
        <f>IF(ISNUMBER(F14),F14/Population!F14*10000,NA())</f>
        <v>23.146558910934786</v>
      </c>
      <c r="N14" s="901">
        <f>IF(ISNUMBER(G14),G14/Population!G14*10000,NA())</f>
        <v>23.437879893022124</v>
      </c>
      <c r="O14" s="902">
        <f>IF(ISNUMBER(H14),H14/Population!H14*10000,NA())</f>
        <v>23.164681582147754</v>
      </c>
      <c r="P14" s="903">
        <f t="shared" si="13"/>
        <v>23.164681582147754</v>
      </c>
      <c r="Q14" s="1190">
        <f t="shared" si="14"/>
        <v>10</v>
      </c>
      <c r="R14" s="64"/>
      <c r="S14" s="905">
        <f t="shared" si="15"/>
        <v>28.772746107999872</v>
      </c>
      <c r="T14" s="906">
        <f t="shared" si="0"/>
        <v>-5.608064525852118</v>
      </c>
      <c r="U14" s="89"/>
      <c r="V14" s="103"/>
      <c r="W14" s="115"/>
      <c r="X14" s="786" t="str">
        <f t="shared" si="1"/>
        <v>East Sussex</v>
      </c>
      <c r="Y14" s="370">
        <f>IF(ISNUMBER(H14),IDACI!D12,0)</f>
        <v>93130</v>
      </c>
      <c r="Z14" s="370">
        <f>IF(ISNUMBER(H14),IDACI!E12,0)</f>
        <v>14993.93</v>
      </c>
      <c r="AA14" s="369">
        <f>IF(ISNUMBER(D14),Population!D14,"")</f>
        <v>102921</v>
      </c>
      <c r="AB14" s="369">
        <f>IF(ISNUMBER(E14),Population!E14,"")</f>
        <v>102419</v>
      </c>
      <c r="AC14" s="369">
        <f>IF(ISNUMBER(F14),Population!F14,"")</f>
        <v>101959</v>
      </c>
      <c r="AD14" s="369">
        <f>IF(ISNUMBER(G14),Population!G14,"")</f>
        <v>102825</v>
      </c>
      <c r="AE14" s="155">
        <f>IF(ISNUMBER(H14),Population!H14,"")</f>
        <v>103606</v>
      </c>
      <c r="AF14" s="65" t="s">
        <v>4</v>
      </c>
      <c r="AG14" s="70">
        <f t="shared" si="16"/>
        <v>23.164681582147754</v>
      </c>
      <c r="AH14" s="156">
        <f t="shared" si="17"/>
        <v>10</v>
      </c>
      <c r="AJ14" s="121"/>
      <c r="AK14" s="480">
        <f t="shared" si="2"/>
        <v>0.16666666666666666</v>
      </c>
      <c r="AL14" s="480">
        <f t="shared" si="3"/>
        <v>0.1625615763546798</v>
      </c>
      <c r="AM14" s="480">
        <f t="shared" si="4"/>
        <v>2.1186440677966101E-2</v>
      </c>
      <c r="AN14" s="480">
        <f t="shared" si="5"/>
        <v>-4.1493775933609959E-3</v>
      </c>
      <c r="AO14" s="480">
        <f t="shared" si="18"/>
        <v>8.6566326526487894E-2</v>
      </c>
      <c r="AQ14" s="531">
        <f t="shared" si="6"/>
        <v>19.82054111053613</v>
      </c>
      <c r="AR14" s="531">
        <f t="shared" si="7"/>
        <v>23.146558910934786</v>
      </c>
      <c r="AS14" s="531">
        <f t="shared" si="8"/>
        <v>23.437879893022124</v>
      </c>
      <c r="AT14" s="531">
        <f t="shared" si="9"/>
        <v>23.164681582147754</v>
      </c>
      <c r="AU14" s="531">
        <f t="shared" si="10"/>
        <v>89.569661496640791</v>
      </c>
      <c r="AV14" s="350">
        <f t="shared" si="11"/>
        <v>0</v>
      </c>
      <c r="AW14" s="531">
        <f t="shared" si="19"/>
        <v>89.569661496640791</v>
      </c>
    </row>
    <row r="15" spans="1:49" s="61" customFormat="1" ht="15.75" customHeight="1">
      <c r="A15" s="1103">
        <f>VLOOKUP(B15,ReportData!$AQ$4:$AR$25,2,FALSE)</f>
        <v>0</v>
      </c>
      <c r="B15" s="885" t="str">
        <f>ReportData!$K$8</f>
        <v>Hampshire</v>
      </c>
      <c r="C15" s="896"/>
      <c r="D15" s="889">
        <f>IF(Year1_Hampshire Year1_LAC_Start="","",Year1_Hampshire Year1_LAC_Start)</f>
        <v>549</v>
      </c>
      <c r="E15" s="889">
        <f>IF(Year2_Hampshire Year2_LAC_Start="","",Year2_Hampshire Year2_LAC_Start)</f>
        <v>614</v>
      </c>
      <c r="F15" s="891">
        <f>IF(Year3_Hampshire Year3_LAC_Start="","",Year3_Hampshire Year3_LAC_Start)</f>
        <v>609</v>
      </c>
      <c r="G15" s="891">
        <f>IF(Year4_Hampshire Year4_LAC_Start="","",Year4_Hampshire Year4_LAC_Start)</f>
        <v>731</v>
      </c>
      <c r="H15" s="890">
        <f>IF(Year5_Hampshire Year5_LAC_Start="","",Year5_Hampshire Year5_LAC_Start)</f>
        <v>686</v>
      </c>
      <c r="I15" s="900">
        <f t="shared" si="12"/>
        <v>6.2255665708912375E-2</v>
      </c>
      <c r="J15" s="896"/>
      <c r="K15" s="901">
        <f>IF(ISNUMBER(D15),D15/Population!D15*10000,NA())</f>
        <v>19.653468890957257</v>
      </c>
      <c r="L15" s="901">
        <f>IF(ISNUMBER(E15),E15/Population!E15*10000,NA())</f>
        <v>21.969686126894619</v>
      </c>
      <c r="M15" s="901">
        <f>IF(ISNUMBER(F15),F15/Population!F15*10000,NA())</f>
        <v>21.678075243210916</v>
      </c>
      <c r="N15" s="901">
        <f>IF(ISNUMBER(G15),G15/Population!G15*10000,NA())</f>
        <v>25.78601487898916</v>
      </c>
      <c r="O15" s="902">
        <f>IF(ISNUMBER(H15),H15/Population!H15*10000,NA())</f>
        <v>24.018766849900217</v>
      </c>
      <c r="P15" s="903">
        <f t="shared" si="13"/>
        <v>24.018766849900217</v>
      </c>
      <c r="Q15" s="1190">
        <f t="shared" si="14"/>
        <v>11</v>
      </c>
      <c r="R15" s="64"/>
      <c r="S15" s="905">
        <f t="shared" si="15"/>
        <v>24.147771606552801</v>
      </c>
      <c r="T15" s="906">
        <f t="shared" si="0"/>
        <v>-0.12900475665258426</v>
      </c>
      <c r="U15" s="89"/>
      <c r="V15" s="103"/>
      <c r="W15" s="115"/>
      <c r="X15" s="786" t="str">
        <f t="shared" si="1"/>
        <v>Hampshire</v>
      </c>
      <c r="Y15" s="370">
        <f>IF(ISNUMBER(H15),IDACI!D13,0)</f>
        <v>249483</v>
      </c>
      <c r="Z15" s="370">
        <f>IF(ISNUMBER(H15),IDACI!E13,0)</f>
        <v>25197.783000000007</v>
      </c>
      <c r="AA15" s="369">
        <f>IF(ISNUMBER(D15),Population!D15,"")</f>
        <v>279340</v>
      </c>
      <c r="AB15" s="369">
        <f>IF(ISNUMBER(E15),Population!E15,"")</f>
        <v>279476</v>
      </c>
      <c r="AC15" s="369">
        <f>IF(ISNUMBER(F15),Population!F15,"")</f>
        <v>280929</v>
      </c>
      <c r="AD15" s="369">
        <f>IF(ISNUMBER(G15),Population!G15,"")</f>
        <v>283487</v>
      </c>
      <c r="AE15" s="155">
        <f>IF(ISNUMBER(H15),Population!H15,"")</f>
        <v>285610</v>
      </c>
      <c r="AF15" s="65" t="s">
        <v>6</v>
      </c>
      <c r="AG15" s="70">
        <f t="shared" si="16"/>
        <v>24.018766849900217</v>
      </c>
      <c r="AH15" s="156">
        <f t="shared" si="17"/>
        <v>11</v>
      </c>
      <c r="AJ15" s="121"/>
      <c r="AK15" s="480">
        <f t="shared" si="2"/>
        <v>0.11839708561020036</v>
      </c>
      <c r="AL15" s="480">
        <f t="shared" si="3"/>
        <v>-8.1433224755700327E-3</v>
      </c>
      <c r="AM15" s="480">
        <f t="shared" si="4"/>
        <v>0.20032840722495895</v>
      </c>
      <c r="AN15" s="480">
        <f t="shared" si="5"/>
        <v>-6.1559507523939808E-2</v>
      </c>
      <c r="AO15" s="480">
        <f t="shared" si="18"/>
        <v>6.2255665708912375E-2</v>
      </c>
      <c r="AQ15" s="531">
        <f t="shared" si="6"/>
        <v>21.969686126894619</v>
      </c>
      <c r="AR15" s="531">
        <f t="shared" si="7"/>
        <v>21.678075243210916</v>
      </c>
      <c r="AS15" s="531">
        <f t="shared" si="8"/>
        <v>25.78601487898916</v>
      </c>
      <c r="AT15" s="531">
        <f t="shared" si="9"/>
        <v>24.018766849900217</v>
      </c>
      <c r="AU15" s="531">
        <f t="shared" si="10"/>
        <v>93.452543098994909</v>
      </c>
      <c r="AV15" s="350">
        <f t="shared" si="11"/>
        <v>0</v>
      </c>
      <c r="AW15" s="531">
        <f t="shared" si="19"/>
        <v>93.452543098994909</v>
      </c>
    </row>
    <row r="16" spans="1:49" s="61" customFormat="1" ht="15.75" customHeight="1">
      <c r="A16" s="1103">
        <f>VLOOKUP(B16,ReportData!$AQ$4:$AR$25,2,FALSE)</f>
        <v>0</v>
      </c>
      <c r="B16" s="885" t="str">
        <f>ReportData!$K$9</f>
        <v>Isle of Wight</v>
      </c>
      <c r="C16" s="896"/>
      <c r="D16" s="889">
        <f>IF(Year1_Isle_of_Wight Year1_LAC_Start="","",Year1_Isle_of_Wight Year1_LAC_Start)</f>
        <v>72</v>
      </c>
      <c r="E16" s="889">
        <f>IF(Year2_Isle_of_Wight Year2_LAC_Start="","",Year2_Isle_of_Wight Year2_LAC_Start)</f>
        <v>71</v>
      </c>
      <c r="F16" s="889">
        <f>IF(Year3_Isle_of_Wight Year3_LAC_Start="","",Year3_Isle_of_Wight Year3_LAC_Start)</f>
        <v>95</v>
      </c>
      <c r="G16" s="889">
        <f>IF(Year4_Isle_of_Wight Year4_LAC_Start="","",Year4_Isle_of_Wight Year4_LAC_Start)</f>
        <v>84</v>
      </c>
      <c r="H16" s="890">
        <f>IF(Year5_Isle_of_Wight Year5_LAC_Start="","",Year5_Isle_of_Wight Year5_LAC_Start)</f>
        <v>69</v>
      </c>
      <c r="I16" s="900">
        <f t="shared" si="12"/>
        <v>7.4445944673891262E-3</v>
      </c>
      <c r="J16" s="896"/>
      <c r="K16" s="901">
        <f>IF(ISNUMBER(D16),D16/Population!D16*10000,NA())</f>
        <v>29.628410353483396</v>
      </c>
      <c r="L16" s="901">
        <f>IF(ISNUMBER(E16),E16/Population!E16*10000,NA())</f>
        <v>29.717060103800435</v>
      </c>
      <c r="M16" s="901">
        <f>IF(ISNUMBER(F16),F16/Population!F16*10000,NA())</f>
        <v>40.192926045016073</v>
      </c>
      <c r="N16" s="901">
        <f>IF(ISNUMBER(G16),G16/Population!G16*10000,NA())</f>
        <v>35.693039857227838</v>
      </c>
      <c r="O16" s="902">
        <f>IF(ISNUMBER(H16),H16/Population!H16*10000,NA())</f>
        <v>29.43937196006485</v>
      </c>
      <c r="P16" s="903">
        <f t="shared" si="13"/>
        <v>29.43937196006485</v>
      </c>
      <c r="Q16" s="1190">
        <f t="shared" si="14"/>
        <v>13</v>
      </c>
      <c r="R16" s="64"/>
      <c r="S16" s="905">
        <f t="shared" si="15"/>
        <v>30.237321366791441</v>
      </c>
      <c r="T16" s="906">
        <f t="shared" si="0"/>
        <v>-0.79794940672659109</v>
      </c>
      <c r="U16" s="89"/>
      <c r="V16" s="103"/>
      <c r="W16" s="115"/>
      <c r="X16" s="786" t="str">
        <f t="shared" si="1"/>
        <v>Isle of Wight</v>
      </c>
      <c r="Y16" s="370">
        <f>IF(ISNUMBER(H16),IDACI!D14,0)</f>
        <v>22123</v>
      </c>
      <c r="Z16" s="370">
        <f>IF(ISNUMBER(H16),IDACI!E14,0)</f>
        <v>3982.14</v>
      </c>
      <c r="AA16" s="369">
        <f>IF(ISNUMBER(D16),Population!D16,"")</f>
        <v>24301</v>
      </c>
      <c r="AB16" s="369">
        <f>IF(ISNUMBER(E16),Population!E16,"")</f>
        <v>23892</v>
      </c>
      <c r="AC16" s="369">
        <f>IF(ISNUMBER(F16),Population!F16,"")</f>
        <v>23636</v>
      </c>
      <c r="AD16" s="369">
        <f>IF(ISNUMBER(G16),Population!G16,"")</f>
        <v>23534</v>
      </c>
      <c r="AE16" s="155">
        <f>IF(ISNUMBER(H16),Population!H16,"")</f>
        <v>23438</v>
      </c>
      <c r="AF16" s="65" t="s">
        <v>1</v>
      </c>
      <c r="AG16" s="70">
        <f t="shared" si="16"/>
        <v>29.43937196006485</v>
      </c>
      <c r="AH16" s="156">
        <f t="shared" si="17"/>
        <v>13</v>
      </c>
      <c r="AJ16" s="121"/>
      <c r="AK16" s="480">
        <f t="shared" si="2"/>
        <v>-1.3888888888888888E-2</v>
      </c>
      <c r="AL16" s="480">
        <f t="shared" si="3"/>
        <v>0.3380281690140845</v>
      </c>
      <c r="AM16" s="480">
        <f t="shared" si="4"/>
        <v>-0.11578947368421053</v>
      </c>
      <c r="AN16" s="480">
        <f t="shared" si="5"/>
        <v>-0.17857142857142858</v>
      </c>
      <c r="AO16" s="480">
        <f t="shared" si="18"/>
        <v>7.4445944673891262E-3</v>
      </c>
      <c r="AQ16" s="531">
        <f t="shared" si="6"/>
        <v>29.717060103800435</v>
      </c>
      <c r="AR16" s="531">
        <f t="shared" si="7"/>
        <v>40.192926045016073</v>
      </c>
      <c r="AS16" s="531">
        <f t="shared" si="8"/>
        <v>35.693039857227838</v>
      </c>
      <c r="AT16" s="531">
        <f t="shared" si="9"/>
        <v>29.43937196006485</v>
      </c>
      <c r="AU16" s="531">
        <f t="shared" si="10"/>
        <v>135.04239796610918</v>
      </c>
      <c r="AV16" s="350">
        <f t="shared" si="11"/>
        <v>0</v>
      </c>
      <c r="AW16" s="531">
        <f t="shared" si="19"/>
        <v>135.04239796610918</v>
      </c>
    </row>
    <row r="17" spans="1:69" s="61" customFormat="1" ht="15.75" customHeight="1">
      <c r="A17" s="1103">
        <f>VLOOKUP(B17,ReportData!$AQ$4:$AR$25,2,FALSE)</f>
        <v>0</v>
      </c>
      <c r="B17" s="885" t="str">
        <f>ReportData!$K$10</f>
        <v>Kent</v>
      </c>
      <c r="C17" s="896"/>
      <c r="D17" s="889">
        <f>IF(Year1_Kent Year1_LAC_Start="","",Year1_Kent Year1_LAC_Start)</f>
        <v>946</v>
      </c>
      <c r="E17" s="889">
        <f>IF(Year2_Kent Year2_LAC_Start="","",Year2_Kent Year2_LAC_Start)</f>
        <v>976</v>
      </c>
      <c r="F17" s="889">
        <f>IF(Year3_Kent Year3_LAC_Start="","",Year3_Kent Year3_LAC_Start)</f>
        <v>1495</v>
      </c>
      <c r="G17" s="889">
        <f>IF(Year4_Kent Year4_LAC_Start="","",Year4_Kent Year4_LAC_Start)</f>
        <v>1785</v>
      </c>
      <c r="H17" s="890">
        <f>IF(Year5_Kent Year5_LAC_Start="","",Year5_Kent Year5_LAC_Start)</f>
        <v>2741</v>
      </c>
      <c r="I17" s="900">
        <f t="shared" si="12"/>
        <v>0.32325723286428765</v>
      </c>
      <c r="J17" s="896"/>
      <c r="K17" s="901">
        <f>IF(ISNUMBER(D17),D17/Population!D17*10000,NA())</f>
        <v>28.379177003866889</v>
      </c>
      <c r="L17" s="901">
        <f>IF(ISNUMBER(E17),E17/Population!E17*10000,NA())</f>
        <v>29.184508288878789</v>
      </c>
      <c r="M17" s="901">
        <f>IF(ISNUMBER(F17),F17/Population!F17*10000,NA())</f>
        <v>44.482000410603085</v>
      </c>
      <c r="N17" s="901">
        <f>IF(ISNUMBER(G17),G17/Population!G17*10000,NA())</f>
        <v>52.062369844075391</v>
      </c>
      <c r="O17" s="902">
        <f>IF(ISNUMBER(H17),H17/Population!H17*10000,NA())</f>
        <v>78.68929641835949</v>
      </c>
      <c r="P17" s="903">
        <f t="shared" si="13"/>
        <v>78.68929641835949</v>
      </c>
      <c r="Q17" s="1190">
        <f t="shared" si="14"/>
        <v>19</v>
      </c>
      <c r="R17" s="64"/>
      <c r="S17" s="905">
        <f t="shared" si="15"/>
        <v>28.541497382927517</v>
      </c>
      <c r="T17" s="906">
        <f t="shared" si="0"/>
        <v>50.147799035431973</v>
      </c>
      <c r="U17" s="89"/>
      <c r="V17" s="103"/>
      <c r="W17" s="115"/>
      <c r="X17" s="786" t="str">
        <f t="shared" si="1"/>
        <v>Kent</v>
      </c>
      <c r="Y17" s="370">
        <f>IF(ISNUMBER(H17),IDACI!D15,0)</f>
        <v>291866</v>
      </c>
      <c r="Z17" s="370">
        <f>IF(ISNUMBER(H17),IDACI!E15,0)</f>
        <v>46114.828000000001</v>
      </c>
      <c r="AA17" s="369">
        <f>IF(ISNUMBER(D17),Population!D17,"")</f>
        <v>333343</v>
      </c>
      <c r="AB17" s="369">
        <f>IF(ISNUMBER(E17),Population!E17,"")</f>
        <v>334424</v>
      </c>
      <c r="AC17" s="369">
        <f>IF(ISNUMBER(F17),Population!F17,"")</f>
        <v>336091</v>
      </c>
      <c r="AD17" s="369">
        <f>IF(ISNUMBER(G17),Population!G17,"")</f>
        <v>342858</v>
      </c>
      <c r="AE17" s="155">
        <f>IF(ISNUMBER(H17),Population!H17,"")</f>
        <v>348332</v>
      </c>
      <c r="AF17" s="65" t="s">
        <v>9</v>
      </c>
      <c r="AG17" s="70">
        <f t="shared" si="16"/>
        <v>78.68929641835949</v>
      </c>
      <c r="AH17" s="156">
        <f t="shared" si="17"/>
        <v>19</v>
      </c>
      <c r="AJ17" s="121"/>
      <c r="AK17" s="480">
        <f t="shared" si="2"/>
        <v>3.1712473572938688E-2</v>
      </c>
      <c r="AL17" s="480">
        <f t="shared" si="3"/>
        <v>0.53176229508196726</v>
      </c>
      <c r="AM17" s="480">
        <f t="shared" si="4"/>
        <v>0.1939799331103679</v>
      </c>
      <c r="AN17" s="480">
        <f t="shared" si="5"/>
        <v>0.53557422969187674</v>
      </c>
      <c r="AO17" s="480">
        <f t="shared" si="18"/>
        <v>0.32325723286428765</v>
      </c>
      <c r="AQ17" s="531">
        <f t="shared" si="6"/>
        <v>29.184508288878789</v>
      </c>
      <c r="AR17" s="531">
        <f t="shared" si="7"/>
        <v>44.482000410603085</v>
      </c>
      <c r="AS17" s="531">
        <f t="shared" si="8"/>
        <v>52.062369844075391</v>
      </c>
      <c r="AT17" s="531">
        <f t="shared" si="9"/>
        <v>78.68929641835949</v>
      </c>
      <c r="AU17" s="531">
        <f t="shared" si="10"/>
        <v>204.41817496191675</v>
      </c>
      <c r="AV17" s="350">
        <f t="shared" si="11"/>
        <v>0</v>
      </c>
      <c r="AW17" s="531">
        <f t="shared" si="19"/>
        <v>204.41817496191675</v>
      </c>
    </row>
    <row r="18" spans="1:69" s="61" customFormat="1" ht="15.75" customHeight="1">
      <c r="A18" s="1103">
        <f>VLOOKUP(B18,ReportData!$AQ$4:$AR$25,2,FALSE)</f>
        <v>0</v>
      </c>
      <c r="B18" s="885" t="str">
        <f>ReportData!$K$11</f>
        <v>Medway</v>
      </c>
      <c r="C18" s="896"/>
      <c r="D18" s="889">
        <f>IF(Year1_Medway Year1_LAC_Start="","",Year1_Medway Year1_LAC_Start)</f>
        <v>174</v>
      </c>
      <c r="E18" s="1173">
        <f>IF(Year2_Medway Year2_LAC_Start="","",Year2_Medway Year2_LAC_Start)</f>
        <v>149</v>
      </c>
      <c r="F18" s="1173">
        <f>IF(Year3_Medway Year3_LAC_Start="","",Year3_Medway Year3_LAC_Start)</f>
        <v>125</v>
      </c>
      <c r="G18" s="1173">
        <f>IF(Year4_Medway Year4_LAC_Start="","",Year4_Medway Year4_LAC_Start)</f>
        <v>162</v>
      </c>
      <c r="H18" s="1174">
        <f>IF(Year5_Medway Year5_LAC_Start="","",Year5_Medway Year5_LAC_Start)</f>
        <v>190</v>
      </c>
      <c r="I18" s="900">
        <f t="shared" si="12"/>
        <v>4.1021879937485892E-2</v>
      </c>
      <c r="J18" s="896"/>
      <c r="K18" s="901">
        <f>IF(ISNUMBER(D18),D18/Population!D18*10000,NA())</f>
        <v>27.327553712777988</v>
      </c>
      <c r="L18" s="901">
        <f>IF(ISNUMBER(E18),E18/Population!E18*10000,NA())</f>
        <v>23.39273098359369</v>
      </c>
      <c r="M18" s="901">
        <f>IF(ISNUMBER(F18),F18/Population!F18*10000,NA())</f>
        <v>19.587257313881882</v>
      </c>
      <c r="N18" s="901">
        <f>IF(ISNUMBER(G18),G18/Population!G18*10000,NA())</f>
        <v>24.940343314602416</v>
      </c>
      <c r="O18" s="902">
        <f>IF(ISNUMBER(H18),H18/Population!H18*10000,NA())</f>
        <v>28.491310150404125</v>
      </c>
      <c r="P18" s="903">
        <f t="shared" si="13"/>
        <v>28.491310150404125</v>
      </c>
      <c r="Q18" s="1190">
        <f t="shared" si="14"/>
        <v>12</v>
      </c>
      <c r="R18" s="64"/>
      <c r="S18" s="905">
        <f t="shared" si="15"/>
        <v>30.931067542008499</v>
      </c>
      <c r="T18" s="906">
        <f t="shared" si="0"/>
        <v>-2.439757391604374</v>
      </c>
      <c r="U18" s="89"/>
      <c r="V18" s="103"/>
      <c r="W18" s="115"/>
      <c r="X18" s="786" t="str">
        <f t="shared" si="1"/>
        <v>Medway</v>
      </c>
      <c r="Y18" s="370">
        <f>IF(ISNUMBER(H18),IDACI!D16,0)</f>
        <v>55993</v>
      </c>
      <c r="Z18" s="370">
        <f>IF(ISNUMBER(H18),IDACI!E16,0)</f>
        <v>10582.676999999998</v>
      </c>
      <c r="AA18" s="369">
        <f>IF(ISNUMBER(D18),Population!D18,"")</f>
        <v>63672</v>
      </c>
      <c r="AB18" s="369">
        <f>IF(ISNUMBER(E18),Population!E18,"")</f>
        <v>63695</v>
      </c>
      <c r="AC18" s="369">
        <f>IF(ISNUMBER(F18),Population!F18,"")</f>
        <v>63817</v>
      </c>
      <c r="AD18" s="369">
        <f>IF(ISNUMBER(G18),Population!G18,"")</f>
        <v>64955</v>
      </c>
      <c r="AE18" s="155">
        <f>IF(ISNUMBER(H18),Population!H18,"")</f>
        <v>66687</v>
      </c>
      <c r="AF18" s="65" t="s">
        <v>2</v>
      </c>
      <c r="AG18" s="70">
        <f t="shared" si="16"/>
        <v>28.491310150404125</v>
      </c>
      <c r="AH18" s="156">
        <f t="shared" si="17"/>
        <v>12</v>
      </c>
      <c r="AJ18" s="121"/>
      <c r="AK18" s="480">
        <f t="shared" si="2"/>
        <v>-0.14367816091954022</v>
      </c>
      <c r="AL18" s="480">
        <f t="shared" si="3"/>
        <v>-0.16107382550335569</v>
      </c>
      <c r="AM18" s="480">
        <f t="shared" si="4"/>
        <v>0.29599999999999999</v>
      </c>
      <c r="AN18" s="480">
        <f t="shared" si="5"/>
        <v>0.1728395061728395</v>
      </c>
      <c r="AO18" s="480">
        <f t="shared" si="18"/>
        <v>4.1021879937485892E-2</v>
      </c>
      <c r="AQ18" s="531">
        <f t="shared" si="6"/>
        <v>23.39273098359369</v>
      </c>
      <c r="AR18" s="531">
        <f t="shared" si="7"/>
        <v>19.587257313881882</v>
      </c>
      <c r="AS18" s="531">
        <f t="shared" si="8"/>
        <v>24.940343314602416</v>
      </c>
      <c r="AT18" s="531">
        <f t="shared" si="9"/>
        <v>28.491310150404125</v>
      </c>
      <c r="AU18" s="531">
        <f t="shared" si="10"/>
        <v>96.411641762482105</v>
      </c>
      <c r="AV18" s="350">
        <f t="shared" si="11"/>
        <v>0</v>
      </c>
      <c r="AW18" s="531">
        <f t="shared" si="19"/>
        <v>96.411641762482105</v>
      </c>
    </row>
    <row r="19" spans="1:69" s="61" customFormat="1" ht="15.75" customHeight="1">
      <c r="A19" s="1103">
        <f>VLOOKUP(B19,ReportData!$AQ$4:$AR$25,2,FALSE)</f>
        <v>0</v>
      </c>
      <c r="B19" s="885" t="str">
        <f>ReportData!$K$12</f>
        <v>Milton Keynes</v>
      </c>
      <c r="C19" s="896"/>
      <c r="D19" s="889">
        <f>IF(Year1_Milton_Keynes Year1_LAC_Start="","",Year1_Milton_Keynes Year1_LAC_Start)</f>
        <v>168</v>
      </c>
      <c r="E19" s="889">
        <f>IF(Year2_Milton_Keynes Year2_LAC_Start="","",Year2_Milton_Keynes Year2_LAC_Start)</f>
        <v>161</v>
      </c>
      <c r="F19" s="889">
        <f>IF(Year3_Milton_Keynes Year3_LAC_Start="","",Year3_Milton_Keynes Year3_LAC_Start)</f>
        <v>150</v>
      </c>
      <c r="G19" s="889">
        <f>IF(Year4_Milton_Keynes Year4_LAC_Start="","",Year4_Milton_Keynes Year4_LAC_Start)</f>
        <v>166</v>
      </c>
      <c r="H19" s="890">
        <f>IF(Year5_Milton_Keynes Year5_LAC_Start="","",Year5_Milton_Keynes Year5_LAC_Start)</f>
        <v>238</v>
      </c>
      <c r="I19" s="900">
        <f t="shared" si="12"/>
        <v>0.10760298959814413</v>
      </c>
      <c r="J19" s="896"/>
      <c r="K19" s="901">
        <f>IF(ISNUMBER(D19),D19/Population!D19*10000,NA())</f>
        <v>24.334777003635729</v>
      </c>
      <c r="L19" s="901">
        <f>IF(ISNUMBER(E19),E19/Population!E19*10000,NA())</f>
        <v>23.230647139456028</v>
      </c>
      <c r="M19" s="901">
        <f>IF(ISNUMBER(F19),F19/Population!F19*10000,NA())</f>
        <v>21.540891792920227</v>
      </c>
      <c r="N19" s="901">
        <f>IF(ISNUMBER(G19),G19/Population!G19*10000,NA())</f>
        <v>23.39642852109202</v>
      </c>
      <c r="O19" s="902">
        <f>IF(ISNUMBER(H19),H19/Population!H19*10000,NA())</f>
        <v>32.69365495830872</v>
      </c>
      <c r="P19" s="903">
        <f t="shared" si="13"/>
        <v>32.69365495830872</v>
      </c>
      <c r="Q19" s="1190">
        <f t="shared" si="14"/>
        <v>17</v>
      </c>
      <c r="R19" s="64"/>
      <c r="S19" s="905">
        <f t="shared" si="15"/>
        <v>27.924834116067906</v>
      </c>
      <c r="T19" s="906">
        <f t="shared" si="0"/>
        <v>4.7688208422408138</v>
      </c>
      <c r="U19" s="89"/>
      <c r="V19" s="103"/>
      <c r="W19" s="115"/>
      <c r="X19" s="786" t="str">
        <f t="shared" si="1"/>
        <v>Milton Keynes</v>
      </c>
      <c r="Y19" s="370">
        <f>IF(ISNUMBER(H19),IDACI!D17,0)</f>
        <v>59903</v>
      </c>
      <c r="Z19" s="370">
        <f>IF(ISNUMBER(H19),IDACI!E17,0)</f>
        <v>8985.4499999999989</v>
      </c>
      <c r="AA19" s="369">
        <f>IF(ISNUMBER(D19),Population!D19,"")</f>
        <v>69037</v>
      </c>
      <c r="AB19" s="369">
        <f>IF(ISNUMBER(E19),Population!E19,"")</f>
        <v>69305</v>
      </c>
      <c r="AC19" s="369">
        <f>IF(ISNUMBER(F19),Population!F19,"")</f>
        <v>69635</v>
      </c>
      <c r="AD19" s="369">
        <f>IF(ISNUMBER(G19),Population!G19,"")</f>
        <v>70951</v>
      </c>
      <c r="AE19" s="155">
        <f>IF(ISNUMBER(H19),Population!H19,"")</f>
        <v>72797</v>
      </c>
      <c r="AF19" s="65" t="s">
        <v>10</v>
      </c>
      <c r="AG19" s="70">
        <f t="shared" si="16"/>
        <v>32.69365495830872</v>
      </c>
      <c r="AH19" s="156">
        <f t="shared" si="17"/>
        <v>17</v>
      </c>
      <c r="AJ19" s="121"/>
      <c r="AK19" s="480">
        <f t="shared" si="2"/>
        <v>-4.1666666666666664E-2</v>
      </c>
      <c r="AL19" s="480">
        <f t="shared" si="3"/>
        <v>-6.8322981366459631E-2</v>
      </c>
      <c r="AM19" s="480">
        <f t="shared" si="4"/>
        <v>0.10666666666666667</v>
      </c>
      <c r="AN19" s="480">
        <f t="shared" si="5"/>
        <v>0.43373493975903615</v>
      </c>
      <c r="AO19" s="480">
        <f t="shared" si="18"/>
        <v>0.10760298959814413</v>
      </c>
      <c r="AQ19" s="531">
        <f t="shared" si="6"/>
        <v>23.230647139456028</v>
      </c>
      <c r="AR19" s="531">
        <f t="shared" si="7"/>
        <v>21.540891792920227</v>
      </c>
      <c r="AS19" s="531">
        <f t="shared" si="8"/>
        <v>23.39642852109202</v>
      </c>
      <c r="AT19" s="531">
        <f t="shared" si="9"/>
        <v>32.69365495830872</v>
      </c>
      <c r="AU19" s="531">
        <f t="shared" si="10"/>
        <v>100.86162241177701</v>
      </c>
      <c r="AV19" s="350">
        <f t="shared" si="11"/>
        <v>0</v>
      </c>
      <c r="AW19" s="531">
        <f t="shared" si="19"/>
        <v>100.86162241177701</v>
      </c>
    </row>
    <row r="20" spans="1:69" s="61" customFormat="1" ht="15.75" customHeight="1">
      <c r="A20" s="1103">
        <f>VLOOKUP(B20,ReportData!$AQ$4:$AR$25,2,FALSE)</f>
        <v>0</v>
      </c>
      <c r="B20" s="885" t="str">
        <f>ReportData!$K$13</f>
        <v>Oxfordshire</v>
      </c>
      <c r="C20" s="896"/>
      <c r="D20" s="889">
        <f>IF(Year1_Oxfordshire Year1_LAC_Start="","",Year1_Oxfordshire Year1_LAC_Start)</f>
        <v>309</v>
      </c>
      <c r="E20" s="889">
        <f>IF(Year2_Oxfordshire Year2_LAC_Start="","",Year2_Oxfordshire Year2_LAC_Start)</f>
        <v>288</v>
      </c>
      <c r="F20" s="889">
        <f>IF(Year3_Oxfordshire Year3_LAC_Start="","",Year3_Oxfordshire Year3_LAC_Start)</f>
        <v>371</v>
      </c>
      <c r="G20" s="889">
        <f>IF(Year4_Oxfordshire Year4_LAC_Start="","",Year4_Oxfordshire Year4_LAC_Start)</f>
        <v>368</v>
      </c>
      <c r="H20" s="890">
        <f>IF(Year5_Oxfordshire Year5_LAC_Start="","",Year5_Oxfordshire Year5_LAC_Start)</f>
        <v>219</v>
      </c>
      <c r="I20" s="900">
        <f t="shared" si="12"/>
        <v>-4.8186069580299404E-2</v>
      </c>
      <c r="J20" s="896"/>
      <c r="K20" s="901">
        <f>IF(ISNUMBER(D20),D20/Population!D20*10000,NA())</f>
        <v>21.394595268263298</v>
      </c>
      <c r="L20" s="901">
        <f>IF(ISNUMBER(E20),E20/Population!E20*10000,NA())</f>
        <v>19.832115632251977</v>
      </c>
      <c r="M20" s="901">
        <f>IF(ISNUMBER(F20),F20/Population!F20*10000,NA())</f>
        <v>25.351400476961661</v>
      </c>
      <c r="N20" s="901">
        <f>IF(ISNUMBER(G20),G20/Population!G20*10000,NA())</f>
        <v>24.609129452045636</v>
      </c>
      <c r="O20" s="902">
        <f>IF(ISNUMBER(H20),H20/Population!H20*10000,NA())</f>
        <v>14.3601849119701</v>
      </c>
      <c r="P20" s="903">
        <f t="shared" si="13"/>
        <v>14.3601849119701</v>
      </c>
      <c r="Q20" s="1190">
        <f t="shared" si="14"/>
        <v>4</v>
      </c>
      <c r="R20" s="64"/>
      <c r="S20" s="905">
        <f t="shared" si="15"/>
        <v>24.147771606552801</v>
      </c>
      <c r="T20" s="906">
        <f t="shared" si="0"/>
        <v>-9.7875866945827017</v>
      </c>
      <c r="U20" s="89"/>
      <c r="V20" s="103"/>
      <c r="W20" s="115"/>
      <c r="X20" s="786" t="str">
        <f t="shared" si="1"/>
        <v>Oxfordshire</v>
      </c>
      <c r="Y20" s="370">
        <f>IF(ISNUMBER(H20),IDACI!D18,0)</f>
        <v>126119</v>
      </c>
      <c r="Z20" s="370">
        <f>IF(ISNUMBER(H20),IDACI!E18,0)</f>
        <v>12738.019000000002</v>
      </c>
      <c r="AA20" s="369">
        <f>IF(ISNUMBER(D20),Population!D20,"")</f>
        <v>144429</v>
      </c>
      <c r="AB20" s="369">
        <f>IF(ISNUMBER(E20),Population!E20,"")</f>
        <v>145219</v>
      </c>
      <c r="AC20" s="369">
        <f>IF(ISNUMBER(F20),Population!F20,"")</f>
        <v>146343</v>
      </c>
      <c r="AD20" s="369">
        <f>IF(ISNUMBER(G20),Population!G20,"")</f>
        <v>149538</v>
      </c>
      <c r="AE20" s="155">
        <f>IF(ISNUMBER(H20),Population!H20,"")</f>
        <v>152505</v>
      </c>
      <c r="AF20" s="65" t="s">
        <v>11</v>
      </c>
      <c r="AG20" s="70">
        <f t="shared" si="16"/>
        <v>14.3601849119701</v>
      </c>
      <c r="AH20" s="156">
        <f t="shared" si="17"/>
        <v>4</v>
      </c>
      <c r="AJ20" s="121"/>
      <c r="AK20" s="480">
        <f t="shared" si="2"/>
        <v>-6.7961165048543687E-2</v>
      </c>
      <c r="AL20" s="480">
        <f t="shared" si="3"/>
        <v>0.28819444444444442</v>
      </c>
      <c r="AM20" s="480">
        <f t="shared" si="4"/>
        <v>-8.0862533692722376E-3</v>
      </c>
      <c r="AN20" s="480">
        <f t="shared" si="5"/>
        <v>-0.40489130434782611</v>
      </c>
      <c r="AO20" s="480">
        <f t="shared" si="18"/>
        <v>-4.8186069580299404E-2</v>
      </c>
      <c r="AQ20" s="531">
        <f t="shared" si="6"/>
        <v>19.832115632251977</v>
      </c>
      <c r="AR20" s="531">
        <f t="shared" si="7"/>
        <v>25.351400476961661</v>
      </c>
      <c r="AS20" s="531">
        <f t="shared" si="8"/>
        <v>24.609129452045636</v>
      </c>
      <c r="AT20" s="531">
        <f t="shared" si="9"/>
        <v>14.3601849119701</v>
      </c>
      <c r="AU20" s="531">
        <f t="shared" si="10"/>
        <v>84.152830473229372</v>
      </c>
      <c r="AV20" s="350">
        <f t="shared" si="11"/>
        <v>0</v>
      </c>
      <c r="AW20" s="531">
        <f t="shared" si="19"/>
        <v>84.152830473229372</v>
      </c>
    </row>
    <row r="21" spans="1:69" s="61" customFormat="1" ht="15.75" customHeight="1">
      <c r="A21" s="1103">
        <f>VLOOKUP(B21,ReportData!$AQ$4:$AR$25,2,FALSE)</f>
        <v>0</v>
      </c>
      <c r="B21" s="885" t="str">
        <f>ReportData!$K$14</f>
        <v>Portsmouth</v>
      </c>
      <c r="C21" s="896"/>
      <c r="D21" s="889">
        <f>IF(Year1_Portsmouth Year1_LAC_Start="","",Year1_Portsmouth Year1_LAC_Start)</f>
        <v>179</v>
      </c>
      <c r="E21" s="889">
        <f>IF(Year2_Portsmouth Year2_LAC_Start="","",Year2_Portsmouth Year2_LAC_Start)</f>
        <v>126</v>
      </c>
      <c r="F21" s="889">
        <f>IF(Year3_Portsmouth Year3_LAC_Start="","",Year3_Portsmouth Year3_LAC_Start)</f>
        <v>132</v>
      </c>
      <c r="G21" s="889">
        <f>IF(Year4_Portsmouth Year4_LAC_Start="","",Year4_Portsmouth Year4_LAC_Start)</f>
        <v>153</v>
      </c>
      <c r="H21" s="890">
        <f>IF(Year5_Portsmouth Year5_LAC_Start="","",Year5_Portsmouth Year5_LAC_Start)</f>
        <v>168</v>
      </c>
      <c r="I21" s="900">
        <f t="shared" si="12"/>
        <v>2.1649467303427143E-3</v>
      </c>
      <c r="J21" s="896"/>
      <c r="K21" s="901">
        <f>IF(ISNUMBER(D21),D21/Population!D21*10000,NA())</f>
        <v>42.585587514571884</v>
      </c>
      <c r="L21" s="901">
        <f>IF(ISNUMBER(E21),E21/Population!E21*10000,NA())</f>
        <v>30.096739519885343</v>
      </c>
      <c r="M21" s="901">
        <f>IF(ISNUMBER(F21),F21/Population!F21*10000,NA())</f>
        <v>31.847902140082514</v>
      </c>
      <c r="N21" s="901">
        <f>IF(ISNUMBER(G21),G21/Population!G21*10000,NA())</f>
        <v>36.540803897685748</v>
      </c>
      <c r="O21" s="902">
        <f>IF(ISNUMBER(H21),H21/Population!H21*10000,NA())</f>
        <v>39.709740704847896</v>
      </c>
      <c r="P21" s="903">
        <f t="shared" si="13"/>
        <v>39.709740704847896</v>
      </c>
      <c r="Q21" s="1190">
        <f t="shared" si="14"/>
        <v>18</v>
      </c>
      <c r="R21" s="64"/>
      <c r="S21" s="905">
        <f t="shared" si="15"/>
        <v>31.933145350655366</v>
      </c>
      <c r="T21" s="906">
        <f t="shared" si="0"/>
        <v>7.7765953541925299</v>
      </c>
      <c r="U21" s="89"/>
      <c r="V21" s="103"/>
      <c r="W21" s="115"/>
      <c r="X21" s="786" t="str">
        <f t="shared" si="1"/>
        <v>Portsmouth</v>
      </c>
      <c r="Y21" s="370">
        <f>IF(ISNUMBER(H21),IDACI!D19,0)</f>
        <v>39325</v>
      </c>
      <c r="Z21" s="370">
        <f>IF(ISNUMBER(H21),IDACI!E19,0)</f>
        <v>7943.6500000000015</v>
      </c>
      <c r="AA21" s="369">
        <f>IF(ISNUMBER(D21),Population!D21,"")</f>
        <v>42033</v>
      </c>
      <c r="AB21" s="369">
        <f>IF(ISNUMBER(E21),Population!E21,"")</f>
        <v>41865</v>
      </c>
      <c r="AC21" s="369">
        <f>IF(ISNUMBER(F21),Population!F21,"")</f>
        <v>41447</v>
      </c>
      <c r="AD21" s="369">
        <f>IF(ISNUMBER(G21),Population!G21,"")</f>
        <v>41871</v>
      </c>
      <c r="AE21" s="155">
        <f>IF(ISNUMBER(H21),Population!H21,"")</f>
        <v>42307</v>
      </c>
      <c r="AF21" s="65" t="s">
        <v>12</v>
      </c>
      <c r="AG21" s="70">
        <f t="shared" si="16"/>
        <v>39.709740704847896</v>
      </c>
      <c r="AH21" s="156">
        <f t="shared" si="17"/>
        <v>18</v>
      </c>
      <c r="AJ21" s="121"/>
      <c r="AK21" s="480">
        <f t="shared" si="2"/>
        <v>-0.29608938547486036</v>
      </c>
      <c r="AL21" s="480">
        <f t="shared" si="3"/>
        <v>4.7619047619047616E-2</v>
      </c>
      <c r="AM21" s="480">
        <f t="shared" si="4"/>
        <v>0.15909090909090909</v>
      </c>
      <c r="AN21" s="480">
        <f t="shared" si="5"/>
        <v>9.8039215686274508E-2</v>
      </c>
      <c r="AO21" s="480">
        <f t="shared" si="18"/>
        <v>2.1649467303427143E-3</v>
      </c>
      <c r="AQ21" s="531">
        <f t="shared" si="6"/>
        <v>30.096739519885343</v>
      </c>
      <c r="AR21" s="531">
        <f t="shared" si="7"/>
        <v>31.847902140082514</v>
      </c>
      <c r="AS21" s="531">
        <f t="shared" si="8"/>
        <v>36.540803897685748</v>
      </c>
      <c r="AT21" s="531">
        <f t="shared" si="9"/>
        <v>39.709740704847896</v>
      </c>
      <c r="AU21" s="531">
        <f t="shared" si="10"/>
        <v>138.19518626250149</v>
      </c>
      <c r="AV21" s="350">
        <f t="shared" si="11"/>
        <v>0</v>
      </c>
      <c r="AW21" s="531">
        <f t="shared" si="19"/>
        <v>138.19518626250149</v>
      </c>
    </row>
    <row r="22" spans="1:69" s="61" customFormat="1" ht="15.75" customHeight="1">
      <c r="A22" s="1103">
        <f>VLOOKUP(B22,ReportData!$AQ$4:$AR$25,2,FALSE)</f>
        <v>0</v>
      </c>
      <c r="B22" s="885" t="str">
        <f>ReportData!$K$15</f>
        <v>Reading</v>
      </c>
      <c r="C22" s="896"/>
      <c r="D22" s="889">
        <f>IF(Year1_Reading Year1_LAC_Start="","",Year1_Reading Year1_LAC_Start)</f>
        <v>116</v>
      </c>
      <c r="E22" s="889">
        <f>IF(Year2_Reading Year2_LAC_Start="","",Year2_Reading Year2_LAC_Start)</f>
        <v>94</v>
      </c>
      <c r="F22" s="889">
        <f>IF(Year3_Reading Year3_LAC_Start="","",Year3_Reading Year3_LAC_Start)</f>
        <v>79</v>
      </c>
      <c r="G22" s="889">
        <f>IF(Year4_Reading Year4_LAC_Start="","",Year4_Reading Year4_LAC_Start)</f>
        <v>99</v>
      </c>
      <c r="H22" s="890">
        <f>IF(Year5_Reading Year5_LAC_Start="","",Year5_Reading Year5_LAC_Start)</f>
        <v>112</v>
      </c>
      <c r="I22" s="900">
        <f t="shared" si="12"/>
        <v>8.8120119440642936E-3</v>
      </c>
      <c r="J22" s="896"/>
      <c r="K22" s="901">
        <f>IF(ISNUMBER(D22),D22/Population!D22*10000,NA())</f>
        <v>31.325951930866864</v>
      </c>
      <c r="L22" s="901">
        <f>IF(ISNUMBER(E22),E22/Population!E22*10000,NA())</f>
        <v>25.425333369397634</v>
      </c>
      <c r="M22" s="901">
        <f>IF(ISNUMBER(F22),F22/Population!F22*10000,NA())</f>
        <v>21.742720317058403</v>
      </c>
      <c r="N22" s="901">
        <f>IF(ISNUMBER(G22),G22/Population!G22*10000,NA())</f>
        <v>26.570048309178745</v>
      </c>
      <c r="O22" s="902">
        <f>IF(ISNUMBER(H22),H22/Population!H22*10000,NA())</f>
        <v>29.528856547760288</v>
      </c>
      <c r="P22" s="903">
        <f t="shared" si="13"/>
        <v>29.528856547760288</v>
      </c>
      <c r="Q22" s="1190">
        <f t="shared" si="14"/>
        <v>14</v>
      </c>
      <c r="R22" s="64"/>
      <c r="S22" s="905">
        <f t="shared" si="15"/>
        <v>28.695663199642418</v>
      </c>
      <c r="T22" s="906">
        <f t="shared" si="0"/>
        <v>0.83319334811787016</v>
      </c>
      <c r="U22" s="89"/>
      <c r="V22" s="103"/>
      <c r="W22" s="115"/>
      <c r="X22" s="786" t="str">
        <f t="shared" si="1"/>
        <v>Reading</v>
      </c>
      <c r="Y22" s="370">
        <f>IF(ISNUMBER(H22),IDACI!D20,0)</f>
        <v>33203</v>
      </c>
      <c r="Z22" s="370">
        <f>IF(ISNUMBER(H22),IDACI!E20,0)</f>
        <v>5312.4800000000005</v>
      </c>
      <c r="AA22" s="369">
        <f>IF(ISNUMBER(D22),Population!D22,"")</f>
        <v>37030</v>
      </c>
      <c r="AB22" s="369">
        <f>IF(ISNUMBER(E22),Population!E22,"")</f>
        <v>36971</v>
      </c>
      <c r="AC22" s="369">
        <f>IF(ISNUMBER(F22),Population!F22,"")</f>
        <v>36334</v>
      </c>
      <c r="AD22" s="369">
        <f>IF(ISNUMBER(G22),Population!G22,"")</f>
        <v>37260</v>
      </c>
      <c r="AE22" s="155">
        <f>IF(ISNUMBER(H22),Population!H22,"")</f>
        <v>37929</v>
      </c>
      <c r="AF22" s="65" t="s">
        <v>3</v>
      </c>
      <c r="AG22" s="70">
        <f t="shared" si="16"/>
        <v>29.528856547760288</v>
      </c>
      <c r="AH22" s="156">
        <f t="shared" si="17"/>
        <v>14</v>
      </c>
      <c r="AJ22" s="121"/>
      <c r="AK22" s="480">
        <f t="shared" si="2"/>
        <v>-0.18965517241379309</v>
      </c>
      <c r="AL22" s="480">
        <f t="shared" si="3"/>
        <v>-0.15957446808510639</v>
      </c>
      <c r="AM22" s="480">
        <f t="shared" si="4"/>
        <v>0.25316455696202533</v>
      </c>
      <c r="AN22" s="480">
        <f t="shared" si="5"/>
        <v>0.13131313131313133</v>
      </c>
      <c r="AO22" s="480">
        <f t="shared" si="18"/>
        <v>8.8120119440642936E-3</v>
      </c>
      <c r="AQ22" s="531">
        <f t="shared" si="6"/>
        <v>25.425333369397634</v>
      </c>
      <c r="AR22" s="531">
        <f t="shared" si="7"/>
        <v>21.742720317058403</v>
      </c>
      <c r="AS22" s="531">
        <f t="shared" si="8"/>
        <v>26.570048309178745</v>
      </c>
      <c r="AT22" s="531">
        <f t="shared" si="9"/>
        <v>29.528856547760288</v>
      </c>
      <c r="AU22" s="531">
        <f t="shared" si="10"/>
        <v>103.26695854339506</v>
      </c>
      <c r="AV22" s="350">
        <f t="shared" si="11"/>
        <v>0</v>
      </c>
      <c r="AW22" s="531">
        <f t="shared" si="19"/>
        <v>103.26695854339506</v>
      </c>
    </row>
    <row r="23" spans="1:69" s="61" customFormat="1" ht="15.75" customHeight="1">
      <c r="A23" s="1103">
        <f>VLOOKUP(B23,ReportData!$AQ$4:$AR$25,2,FALSE)</f>
        <v>0</v>
      </c>
      <c r="B23" s="885" t="str">
        <f>ReportData!$K$16</f>
        <v>Slough</v>
      </c>
      <c r="C23" s="896"/>
      <c r="D23" s="889">
        <f>IF(Year1_Slough Year1_LAC_Start="","",Year1_Slough Year1_LAC_Start)</f>
        <v>107</v>
      </c>
      <c r="E23" s="889">
        <f>IF(Year2_Slough Year2_LAC_Start="","",Year2_Slough Year2_LAC_Start)</f>
        <v>129</v>
      </c>
      <c r="F23" s="889">
        <f>IF(Year3_Slough Year3_LAC_Start="","",Year3_Slough Year3_LAC_Start)</f>
        <v>123</v>
      </c>
      <c r="G23" s="889">
        <f>IF(Year4_Slough Year4_LAC_Start="","",Year4_Slough Year4_LAC_Start)</f>
        <v>140</v>
      </c>
      <c r="H23" s="890">
        <f>IF(Year5_Slough Year5_LAC_Start="","",Year5_Slough Year5_LAC_Start)</f>
        <v>73</v>
      </c>
      <c r="I23" s="900">
        <f t="shared" si="12"/>
        <v>-4.5316049432267538E-2</v>
      </c>
      <c r="J23" s="896"/>
      <c r="K23" s="901">
        <f>IF(ISNUMBER(D23),D23/Population!D23*10000,NA())</f>
        <v>24.609581637112168</v>
      </c>
      <c r="L23" s="901">
        <f>IF(ISNUMBER(E23),E23/Population!E23*10000,NA())</f>
        <v>29.384965831435078</v>
      </c>
      <c r="M23" s="901">
        <f>IF(ISNUMBER(F23),F23/Population!F23*10000,NA())</f>
        <v>28.122642156526513</v>
      </c>
      <c r="N23" s="901">
        <f>IF(ISNUMBER(G23),G23/Population!G23*10000,NA())</f>
        <v>31.638418079096045</v>
      </c>
      <c r="O23" s="902">
        <f>IF(ISNUMBER(H23),H23/Population!H23*10000,NA())</f>
        <v>16.276840063323597</v>
      </c>
      <c r="P23" s="903">
        <f t="shared" si="13"/>
        <v>16.276840063323597</v>
      </c>
      <c r="Q23" s="1190">
        <f t="shared" si="14"/>
        <v>5</v>
      </c>
      <c r="R23" s="64"/>
      <c r="S23" s="905">
        <f t="shared" si="15"/>
        <v>27.693585390995551</v>
      </c>
      <c r="T23" s="906">
        <f t="shared" si="0"/>
        <v>-11.416745327671954</v>
      </c>
      <c r="U23" s="89"/>
      <c r="V23" s="103"/>
      <c r="W23" s="115"/>
      <c r="X23" s="786" t="str">
        <f t="shared" si="1"/>
        <v>Slough</v>
      </c>
      <c r="Y23" s="370">
        <f>IF(ISNUMBER(H23),IDACI!D21,0)</f>
        <v>37031</v>
      </c>
      <c r="Z23" s="370">
        <f>IF(ISNUMBER(H23),IDACI!E21,0)</f>
        <v>5443.5569999999998</v>
      </c>
      <c r="AA23" s="369">
        <f>IF(ISNUMBER(D23),Population!D23,"")</f>
        <v>43479</v>
      </c>
      <c r="AB23" s="369">
        <f>IF(ISNUMBER(E23),Population!E23,"")</f>
        <v>43900</v>
      </c>
      <c r="AC23" s="369">
        <f>IF(ISNUMBER(F23),Population!F23,"")</f>
        <v>43737</v>
      </c>
      <c r="AD23" s="369">
        <f>IF(ISNUMBER(G23),Population!G23,"")</f>
        <v>44250</v>
      </c>
      <c r="AE23" s="155">
        <f>IF(ISNUMBER(H23),Population!H23,"")</f>
        <v>44849</v>
      </c>
      <c r="AF23" s="65" t="s">
        <v>13</v>
      </c>
      <c r="AG23" s="70">
        <f t="shared" si="16"/>
        <v>16.276840063323597</v>
      </c>
      <c r="AH23" s="156">
        <f t="shared" si="17"/>
        <v>5</v>
      </c>
      <c r="AJ23" s="121"/>
      <c r="AK23" s="480">
        <f t="shared" si="2"/>
        <v>0.20560747663551401</v>
      </c>
      <c r="AL23" s="480">
        <f t="shared" si="3"/>
        <v>-4.6511627906976744E-2</v>
      </c>
      <c r="AM23" s="480">
        <f t="shared" si="4"/>
        <v>0.13821138211382114</v>
      </c>
      <c r="AN23" s="480">
        <f t="shared" si="5"/>
        <v>-0.47857142857142859</v>
      </c>
      <c r="AO23" s="480">
        <f t="shared" si="18"/>
        <v>-4.5316049432267538E-2</v>
      </c>
      <c r="AQ23" s="531">
        <f t="shared" si="6"/>
        <v>29.384965831435078</v>
      </c>
      <c r="AR23" s="531">
        <f t="shared" si="7"/>
        <v>28.122642156526513</v>
      </c>
      <c r="AS23" s="531">
        <f t="shared" si="8"/>
        <v>31.638418079096045</v>
      </c>
      <c r="AT23" s="531">
        <f t="shared" si="9"/>
        <v>16.276840063323597</v>
      </c>
      <c r="AU23" s="531">
        <f t="shared" si="10"/>
        <v>105.42286613038124</v>
      </c>
      <c r="AV23" s="350">
        <f t="shared" si="11"/>
        <v>0</v>
      </c>
      <c r="AW23" s="531">
        <f t="shared" si="19"/>
        <v>105.42286613038124</v>
      </c>
    </row>
    <row r="24" spans="1:69" s="61" customFormat="1" ht="15.75" customHeight="1">
      <c r="A24" s="1103">
        <f>VLOOKUP(B24,ReportData!$AQ$4:$AR$25,2,FALSE)</f>
        <v>0</v>
      </c>
      <c r="B24" s="885" t="str">
        <f>ReportData!$K$17</f>
        <v>Southampton</v>
      </c>
      <c r="C24" s="896"/>
      <c r="D24" s="889">
        <f>IF(Year1_Southampton Year1_LAC_Start="","",Year1_Southampton Year1_LAC_Start)</f>
        <v>197</v>
      </c>
      <c r="E24" s="889">
        <f>IF(Year2_Southampton Year2_LAC_Start="","",Year2_Southampton Year2_LAC_Start)</f>
        <v>192</v>
      </c>
      <c r="F24" s="889">
        <f>IF(Year3_Southampton Year3_LAC_Start="","",Year3_Southampton Year3_LAC_Start)</f>
        <v>227</v>
      </c>
      <c r="G24" s="889">
        <f>IF(Year4_Southampton Year4_LAC_Start="","",Year4_Southampton Year4_LAC_Start)</f>
        <v>195</v>
      </c>
      <c r="H24" s="890">
        <f>IF(Year5_Southampton Year5_LAC_Start="","",Year5_Southampton Year5_LAC_Start)</f>
        <v>163</v>
      </c>
      <c r="I24" s="900">
        <f t="shared" si="12"/>
        <v>-3.704019277284766E-2</v>
      </c>
      <c r="J24" s="896"/>
      <c r="K24" s="901">
        <f>IF(ISNUMBER(D24),D24/Population!D24*10000,NA())</f>
        <v>39.727353391949663</v>
      </c>
      <c r="L24" s="901">
        <f>IF(ISNUMBER(E24),E24/Population!E24*10000,NA())</f>
        <v>38.603052053803005</v>
      </c>
      <c r="M24" s="901">
        <f>IF(ISNUMBER(F24),F24/Population!F24*10000,NA())</f>
        <v>45.962582003725601</v>
      </c>
      <c r="N24" s="901">
        <f>IF(ISNUMBER(G24),G24/Population!G24*10000,NA())</f>
        <v>39.100880271099435</v>
      </c>
      <c r="O24" s="902">
        <f>IF(ISNUMBER(H24),H24/Population!H24*10000,NA())</f>
        <v>32.358604808131339</v>
      </c>
      <c r="P24" s="903">
        <f t="shared" si="13"/>
        <v>32.358604808131339</v>
      </c>
      <c r="Q24" s="1190">
        <f t="shared" si="14"/>
        <v>16</v>
      </c>
      <c r="R24" s="64"/>
      <c r="S24" s="905">
        <f t="shared" si="15"/>
        <v>32.164394075727714</v>
      </c>
      <c r="T24" s="906">
        <f t="shared" si="0"/>
        <v>0.19421073240362574</v>
      </c>
      <c r="U24" s="89"/>
      <c r="V24" s="103"/>
      <c r="W24" s="115"/>
      <c r="X24" s="786" t="str">
        <f t="shared" si="1"/>
        <v>Southampton</v>
      </c>
      <c r="Y24" s="370">
        <f>IF(ISNUMBER(H24),IDACI!D22,0)</f>
        <v>44295</v>
      </c>
      <c r="Z24" s="370">
        <f>IF(ISNUMBER(H24),IDACI!E22,0)</f>
        <v>9080.4750000000004</v>
      </c>
      <c r="AA24" s="369">
        <f>IF(ISNUMBER(D24),Population!D24,"")</f>
        <v>49588</v>
      </c>
      <c r="AB24" s="369">
        <f>IF(ISNUMBER(E24),Population!E24,"")</f>
        <v>49737</v>
      </c>
      <c r="AC24" s="369">
        <f>IF(ISNUMBER(F24),Population!F24,"")</f>
        <v>49388</v>
      </c>
      <c r="AD24" s="369">
        <f>IF(ISNUMBER(G24),Population!G24,"")</f>
        <v>49871</v>
      </c>
      <c r="AF24" s="65" t="s">
        <v>14</v>
      </c>
      <c r="AG24" s="70">
        <f t="shared" si="16"/>
        <v>32.358604808131339</v>
      </c>
      <c r="AH24" s="156">
        <f t="shared" si="17"/>
        <v>16</v>
      </c>
      <c r="AJ24" s="121"/>
      <c r="AK24" s="480">
        <f t="shared" si="2"/>
        <v>-2.5380710659898477E-2</v>
      </c>
      <c r="AL24" s="480">
        <f t="shared" si="3"/>
        <v>0.18229166666666666</v>
      </c>
      <c r="AM24" s="480">
        <f t="shared" si="4"/>
        <v>-0.14096916299559473</v>
      </c>
      <c r="AN24" s="480">
        <f t="shared" si="5"/>
        <v>-0.1641025641025641</v>
      </c>
      <c r="AO24" s="480">
        <f t="shared" si="18"/>
        <v>-3.704019277284766E-2</v>
      </c>
      <c r="AQ24" s="531">
        <f t="shared" si="6"/>
        <v>38.603052053803005</v>
      </c>
      <c r="AR24" s="531">
        <f t="shared" si="7"/>
        <v>45.962582003725601</v>
      </c>
      <c r="AS24" s="531">
        <f t="shared" si="8"/>
        <v>39.100880271099435</v>
      </c>
      <c r="AT24" s="531">
        <f t="shared" si="9"/>
        <v>32.358604808131339</v>
      </c>
      <c r="AU24" s="531">
        <f>SUM(AQ24:AT24)</f>
        <v>156.02511913675937</v>
      </c>
      <c r="AV24" s="350">
        <f>COUNTBLANK(AQ24:AT24)</f>
        <v>0</v>
      </c>
      <c r="AW24" s="531">
        <f t="shared" si="19"/>
        <v>156.02511913675937</v>
      </c>
    </row>
    <row r="25" spans="1:69" s="61" customFormat="1" ht="15.75" customHeight="1">
      <c r="A25" s="1103">
        <f>VLOOKUP(B25,ReportData!$AQ$4:$AR$25,2,FALSE)</f>
        <v>0</v>
      </c>
      <c r="B25" s="885" t="str">
        <f>ReportData!$K$18</f>
        <v>Surrey</v>
      </c>
      <c r="C25" s="896"/>
      <c r="D25" s="889">
        <f>IF(Year1_Surrey Year1_LAC_Start="","",Year1_Surrey Year1_LAC_Start)</f>
        <v>373</v>
      </c>
      <c r="E25" s="889">
        <f>IF(Year2_Surrey Year2_LAC_Start="","",Year2_Surrey Year2_LAC_Start)</f>
        <v>419</v>
      </c>
      <c r="F25" s="889">
        <f>IF(Year3_Surrey Year3_LAC_Start="","",Year3_Surrey Year3_LAC_Start)</f>
        <v>450</v>
      </c>
      <c r="G25" s="889">
        <f>IF(Year4_Surrey Year4_LAC_Start="","",Year4_Surrey Year4_LAC_Start)</f>
        <v>379</v>
      </c>
      <c r="H25" s="890">
        <f>IF(Year5_Surrey Year5_LAC_Start="","",Year5_Surrey Year5_LAC_Start)</f>
        <v>358</v>
      </c>
      <c r="I25" s="900">
        <f t="shared" si="12"/>
        <v>-3.9691679450646108E-3</v>
      </c>
      <c r="J25" s="896"/>
      <c r="K25" s="901">
        <f>IF(ISNUMBER(D25),D25/Population!D25*10000,NA())</f>
        <v>14.454843147513031</v>
      </c>
      <c r="L25" s="901">
        <f>IF(ISNUMBER(E25),E25/Population!E25*10000,NA())</f>
        <v>16.207706203412517</v>
      </c>
      <c r="M25" s="901">
        <f>IF(ISNUMBER(F25),F25/Population!F25*10000,NA())</f>
        <v>17.341842397336293</v>
      </c>
      <c r="N25" s="901">
        <f>IF(ISNUMBER(G25),G25/Population!G25*10000,NA())</f>
        <v>14.381446037323457</v>
      </c>
      <c r="O25" s="902">
        <f>IF(ISNUMBER(H25),H25/Population!H25*10000,NA())</f>
        <v>13.475262729982836</v>
      </c>
      <c r="P25" s="903">
        <f t="shared" si="13"/>
        <v>13.475262729982836</v>
      </c>
      <c r="Q25" s="1190">
        <f t="shared" si="14"/>
        <v>2</v>
      </c>
      <c r="R25" s="64"/>
      <c r="S25" s="905">
        <f t="shared" si="15"/>
        <v>22.760279256118682</v>
      </c>
      <c r="T25" s="906">
        <f t="shared" si="0"/>
        <v>-9.2850165261358466</v>
      </c>
      <c r="U25" s="89"/>
      <c r="V25" s="103"/>
      <c r="W25" s="115"/>
      <c r="X25" s="786" t="str">
        <f t="shared" si="1"/>
        <v>Surrey</v>
      </c>
      <c r="Y25" s="370">
        <f>IF(ISNUMBER(H25),IDACI!D23,0)</f>
        <v>228466</v>
      </c>
      <c r="Z25" s="370">
        <f>IF(ISNUMBER(H25),IDACI!E23,0)</f>
        <v>18962.678</v>
      </c>
      <c r="AA25" s="369">
        <f>IF(ISNUMBER(D25),Population!D25,"")</f>
        <v>258045</v>
      </c>
      <c r="AB25" s="369">
        <f>IF(ISNUMBER(E25),Population!E25,"")</f>
        <v>258519</v>
      </c>
      <c r="AC25" s="369">
        <f>IF(ISNUMBER(F25),Population!F25,"")</f>
        <v>259488</v>
      </c>
      <c r="AD25" s="369">
        <f>IF(ISNUMBER(G25),Population!G25,"")</f>
        <v>263534</v>
      </c>
      <c r="AE25" s="155">
        <f>IF(ISNUMBER(H24),Population!H24,"")</f>
        <v>50373</v>
      </c>
      <c r="AF25" s="65" t="s">
        <v>7</v>
      </c>
      <c r="AG25" s="70">
        <f t="shared" si="16"/>
        <v>13.475262729982836</v>
      </c>
      <c r="AH25" s="156">
        <f t="shared" si="17"/>
        <v>2</v>
      </c>
      <c r="AJ25" s="121"/>
      <c r="AK25" s="480">
        <f t="shared" si="2"/>
        <v>0.12332439678284182</v>
      </c>
      <c r="AL25" s="480">
        <f t="shared" si="3"/>
        <v>7.3985680190930783E-2</v>
      </c>
      <c r="AM25" s="480">
        <f t="shared" si="4"/>
        <v>-0.15777777777777777</v>
      </c>
      <c r="AN25" s="480">
        <f t="shared" si="5"/>
        <v>-5.5408970976253295E-2</v>
      </c>
      <c r="AO25" s="480">
        <f t="shared" si="18"/>
        <v>-3.9691679450646108E-3</v>
      </c>
      <c r="AQ25" s="531">
        <f t="shared" si="6"/>
        <v>16.207706203412517</v>
      </c>
      <c r="AR25" s="531">
        <f t="shared" si="7"/>
        <v>17.341842397336293</v>
      </c>
      <c r="AS25" s="531">
        <f t="shared" si="8"/>
        <v>14.381446037323457</v>
      </c>
      <c r="AT25" s="531">
        <f t="shared" si="9"/>
        <v>13.475262729982836</v>
      </c>
      <c r="AU25" s="531">
        <f>SUM(AQ25:AT25)</f>
        <v>61.406257368055101</v>
      </c>
      <c r="AV25" s="350">
        <f>COUNTBLANK(AQ25:AT25)</f>
        <v>0</v>
      </c>
      <c r="AW25" s="531">
        <f t="shared" si="19"/>
        <v>61.406257368055101</v>
      </c>
    </row>
    <row r="26" spans="1:69" s="61" customFormat="1" ht="15.75" customHeight="1">
      <c r="A26" s="1103">
        <f>VLOOKUP(B26,ReportData!$AQ$4:$AR$25,2,FALSE)</f>
        <v>0</v>
      </c>
      <c r="B26" s="885" t="str">
        <f>ReportData!$K$19</f>
        <v>West Berkshire</v>
      </c>
      <c r="C26" s="896"/>
      <c r="D26" s="889">
        <f>IF(Year1_West_Berkshire Year1_LAC_Start="","",Year1_West_Berkshire Year1_LAC_Start)</f>
        <v>59</v>
      </c>
      <c r="E26" s="889">
        <f>IF(Year2_West_Berkshire Year2_LAC_Start="","",Year2_West_Berkshire Year2_LAC_Start)</f>
        <v>48</v>
      </c>
      <c r="F26" s="889">
        <f>IF(Year3_West_Berkshire Year3_LAC_Start="","",Year3_West_Berkshire Year3_LAC_Start)</f>
        <v>76</v>
      </c>
      <c r="G26" s="889">
        <f>IF(Year4_West_Berkshire Year4_LAC_Start="","",Year4_West_Berkshire Year4_LAC_Start)</f>
        <v>100</v>
      </c>
      <c r="H26" s="890">
        <f>IF(Year5_West_Berkshire Year5_LAC_Start="","",Year5_West_Berkshire Year5_LAC_Start)</f>
        <v>70</v>
      </c>
      <c r="I26" s="900">
        <f t="shared" ref="I26:I31" si="20">AO26</f>
        <v>0.10317053226286056</v>
      </c>
      <c r="J26" s="896"/>
      <c r="K26" s="901">
        <f>IF(ISNUMBER(D26),D26/Population!D26*10000,NA())</f>
        <v>16.827814380650864</v>
      </c>
      <c r="L26" s="901">
        <f>IF(ISNUMBER(E26),E26/Population!E26*10000,NA())</f>
        <v>13.783597518952446</v>
      </c>
      <c r="M26" s="901">
        <f>IF(ISNUMBER(F26),F26/Population!F26*10000,NA())</f>
        <v>21.968492556727849</v>
      </c>
      <c r="N26" s="901">
        <f>IF(ISNUMBER(G26),G26/Population!G26*10000,NA())</f>
        <v>28.643446379468376</v>
      </c>
      <c r="O26" s="902">
        <f>IF(ISNUMBER(H26),H26/Population!H26*10000,NA())</f>
        <v>19.815994338287329</v>
      </c>
      <c r="P26" s="903">
        <f t="shared" ref="P26:P31" si="21">IF(ISNUMBER(O26),O26,"")</f>
        <v>19.815994338287329</v>
      </c>
      <c r="Q26" s="1190">
        <f t="shared" si="14"/>
        <v>8</v>
      </c>
      <c r="R26" s="64"/>
      <c r="S26" s="905">
        <f t="shared" si="15"/>
        <v>23.068610889548488</v>
      </c>
      <c r="T26" s="906">
        <f t="shared" si="0"/>
        <v>-3.2526165512611591</v>
      </c>
      <c r="U26" s="89"/>
      <c r="V26" s="103"/>
      <c r="W26" s="115"/>
      <c r="X26" s="786" t="str">
        <f t="shared" si="1"/>
        <v>West Berkshire</v>
      </c>
      <c r="Y26" s="370">
        <f>IF(ISNUMBER(H26),IDACI!D24,0)</f>
        <v>31625</v>
      </c>
      <c r="Z26" s="370">
        <f>IF(ISNUMBER(H26),IDACI!E24,0)</f>
        <v>2751.375</v>
      </c>
      <c r="AA26" s="369">
        <f>IF(ISNUMBER(D26),Population!D26,"")</f>
        <v>35061</v>
      </c>
      <c r="AB26" s="369">
        <f>IF(ISNUMBER(E26),Population!E26,"")</f>
        <v>34824</v>
      </c>
      <c r="AC26" s="369">
        <f>IF(ISNUMBER(F26),Population!F26,"")</f>
        <v>34595</v>
      </c>
      <c r="AD26" s="369">
        <f>IF(ISNUMBER(G26),Population!G26,"")</f>
        <v>34912</v>
      </c>
      <c r="AE26" s="155">
        <f>IF(ISNUMBER(H25),Population!H25,"")</f>
        <v>265672</v>
      </c>
      <c r="AF26" s="65" t="s">
        <v>15</v>
      </c>
      <c r="AG26" s="70">
        <f t="shared" si="16"/>
        <v>19.815994338287329</v>
      </c>
      <c r="AH26" s="156">
        <f t="shared" si="17"/>
        <v>8</v>
      </c>
      <c r="AJ26" s="121"/>
      <c r="AK26" s="480">
        <f t="shared" si="2"/>
        <v>-0.1864406779661017</v>
      </c>
      <c r="AL26" s="480">
        <f t="shared" si="3"/>
        <v>0.58333333333333337</v>
      </c>
      <c r="AM26" s="480">
        <f t="shared" si="4"/>
        <v>0.31578947368421051</v>
      </c>
      <c r="AN26" s="480">
        <f t="shared" si="5"/>
        <v>-0.3</v>
      </c>
      <c r="AO26" s="480">
        <f t="shared" ref="AO26:AO31" si="22">AVERAGE(AK26:AN26)</f>
        <v>0.10317053226286056</v>
      </c>
      <c r="AQ26" s="531">
        <f t="shared" si="6"/>
        <v>13.783597518952446</v>
      </c>
      <c r="AR26" s="531">
        <f t="shared" si="7"/>
        <v>21.968492556727849</v>
      </c>
      <c r="AS26" s="531">
        <f t="shared" si="8"/>
        <v>28.643446379468376</v>
      </c>
      <c r="AT26" s="531">
        <f t="shared" si="9"/>
        <v>19.815994338287329</v>
      </c>
      <c r="AU26" s="531">
        <f t="shared" ref="AU26:AU31" si="23">SUM(AQ26:AT26)</f>
        <v>84.211530793435998</v>
      </c>
      <c r="AV26" s="350">
        <f t="shared" ref="AV26:AV31" si="24">COUNTBLANK(AQ26:AT26)</f>
        <v>0</v>
      </c>
      <c r="AW26" s="531">
        <f t="shared" ref="AW26:AW31" si="25">AU26/(4-AV26)*4</f>
        <v>84.211530793435998</v>
      </c>
    </row>
    <row r="27" spans="1:69" s="61" customFormat="1" ht="15.75" customHeight="1">
      <c r="A27" s="1103">
        <f>VLOOKUP(B27,ReportData!$AQ$4:$AR$25,2,FALSE)</f>
        <v>0</v>
      </c>
      <c r="B27" s="885" t="str">
        <f>ReportData!$K$20</f>
        <v>West Sussex</v>
      </c>
      <c r="C27" s="896"/>
      <c r="D27" s="889">
        <f>IF(Year1_West_Sussex Year1_LAC_Start="","",Year1_West_Sussex Year1_LAC_Start)</f>
        <v>457</v>
      </c>
      <c r="E27" s="889">
        <f>IF(Year2_West_Sussex Year2_LAC_Start="","",Year2_West_Sussex Year2_LAC_Start)</f>
        <v>455</v>
      </c>
      <c r="F27" s="889">
        <f>IF(Year3_West_Sussex Year3_LAC_Start="","",Year3_West_Sussex Year3_LAC_Start)</f>
        <v>416</v>
      </c>
      <c r="G27" s="889">
        <f>IF(Year4_West_Sussex Year4_LAC_Start="","",Year4_West_Sussex Year4_LAC_Start)</f>
        <v>398</v>
      </c>
      <c r="H27" s="890">
        <f>IF(Year5_West_Sussex Year5_LAC_Start="","",Year5_West_Sussex Year5_LAC_Start)</f>
        <v>410</v>
      </c>
      <c r="I27" s="900">
        <f t="shared" si="20"/>
        <v>-2.5802282582387981E-2</v>
      </c>
      <c r="J27" s="896"/>
      <c r="K27" s="901">
        <f>IF(ISNUMBER(D27),D27/Population!D27*10000,NA())</f>
        <v>26.332317301542485</v>
      </c>
      <c r="L27" s="901">
        <f>IF(ISNUMBER(E27),E27/Population!E27*10000,NA())</f>
        <v>26.168525302951007</v>
      </c>
      <c r="M27" s="901">
        <f>IF(ISNUMBER(F27),F27/Population!F27*10000,NA())</f>
        <v>23.793998878936591</v>
      </c>
      <c r="N27" s="901">
        <f>IF(ISNUMBER(G27),G27/Population!G27*10000,NA())</f>
        <v>22.441626397667875</v>
      </c>
      <c r="O27" s="902">
        <f>IF(ISNUMBER(H27),H27/Population!H27*10000,NA())</f>
        <v>22.904004290311047</v>
      </c>
      <c r="P27" s="903">
        <f t="shared" si="21"/>
        <v>22.904004290311047</v>
      </c>
      <c r="Q27" s="1190">
        <f t="shared" si="14"/>
        <v>9</v>
      </c>
      <c r="R27" s="64"/>
      <c r="S27" s="905">
        <f t="shared" si="15"/>
        <v>24.841517781769863</v>
      </c>
      <c r="T27" s="906">
        <f t="shared" si="0"/>
        <v>-1.9375134914588159</v>
      </c>
      <c r="U27" s="89"/>
      <c r="V27" s="103"/>
      <c r="W27" s="115"/>
      <c r="X27" s="786" t="str">
        <f t="shared" si="1"/>
        <v>West Sussex</v>
      </c>
      <c r="Y27" s="370">
        <f>IF(ISNUMBER(H27),IDACI!D25,0)</f>
        <v>151487</v>
      </c>
      <c r="Z27" s="370">
        <f>IF(ISNUMBER(H27),IDACI!E25,0)</f>
        <v>16663.57</v>
      </c>
      <c r="AA27" s="369">
        <f>IF(ISNUMBER(D27),Population!D27,"")</f>
        <v>173551</v>
      </c>
      <c r="AB27" s="369">
        <f>IF(ISNUMBER(E27),Population!E27,"")</f>
        <v>173873</v>
      </c>
      <c r="AC27" s="369">
        <f>IF(ISNUMBER(F27),Population!F27,"")</f>
        <v>174834</v>
      </c>
      <c r="AD27" s="369">
        <f>IF(ISNUMBER(G27),Population!G27,"")</f>
        <v>177349</v>
      </c>
      <c r="AE27" s="155">
        <f>IF(ISNUMBER(H26),Population!H26,"")</f>
        <v>35325</v>
      </c>
      <c r="AF27" s="65" t="s">
        <v>5</v>
      </c>
      <c r="AG27" s="70">
        <f t="shared" si="16"/>
        <v>22.904004290311047</v>
      </c>
      <c r="AH27" s="156">
        <f t="shared" si="17"/>
        <v>9</v>
      </c>
      <c r="AJ27" s="121"/>
      <c r="AK27" s="480">
        <f t="shared" si="2"/>
        <v>-4.3763676148796497E-3</v>
      </c>
      <c r="AL27" s="480">
        <f t="shared" si="3"/>
        <v>-8.5714285714285715E-2</v>
      </c>
      <c r="AM27" s="480">
        <f t="shared" si="4"/>
        <v>-4.3269230769230768E-2</v>
      </c>
      <c r="AN27" s="480">
        <f t="shared" si="5"/>
        <v>3.015075376884422E-2</v>
      </c>
      <c r="AO27" s="480">
        <f t="shared" si="22"/>
        <v>-2.5802282582387981E-2</v>
      </c>
      <c r="AQ27" s="531">
        <f t="shared" si="6"/>
        <v>26.168525302951007</v>
      </c>
      <c r="AR27" s="531">
        <f t="shared" si="7"/>
        <v>23.793998878936591</v>
      </c>
      <c r="AS27" s="531">
        <f t="shared" si="8"/>
        <v>22.441626397667875</v>
      </c>
      <c r="AT27" s="531">
        <f t="shared" si="9"/>
        <v>22.904004290311047</v>
      </c>
      <c r="AU27" s="531">
        <f t="shared" si="23"/>
        <v>95.308154869866527</v>
      </c>
      <c r="AV27" s="350">
        <f t="shared" si="24"/>
        <v>0</v>
      </c>
      <c r="AW27" s="531">
        <f t="shared" si="25"/>
        <v>95.308154869866527</v>
      </c>
    </row>
    <row r="28" spans="1:69" s="61" customFormat="1" ht="15.75" customHeight="1">
      <c r="A28" s="1103">
        <f>VLOOKUP(B28,ReportData!$AQ$4:$AR$25,2,FALSE)</f>
        <v>0</v>
      </c>
      <c r="B28" s="885" t="str">
        <f>ReportData!$K$21</f>
        <v>Windsor &amp; Maidenhead</v>
      </c>
      <c r="C28" s="896"/>
      <c r="D28" s="889">
        <f>IF(Year1_Windsor_and_Maidenhead Year1_LAC_Start="","",Year1_Windsor_and_Maidenhead Year1_LAC_Start)</f>
        <v>52</v>
      </c>
      <c r="E28" s="889">
        <f>IF(Year2_Windsor_and_Maidenhead Year2_LAC_Start="","",Year2_Windsor_and_Maidenhead Year2_LAC_Start)</f>
        <v>51</v>
      </c>
      <c r="F28" s="889">
        <f>IF(Year3_Windsor_and_Maidenhead Year3_LAC_Start="","",Year3_Windsor_and_Maidenhead Year3_LAC_Start)</f>
        <v>46</v>
      </c>
      <c r="G28" s="889">
        <f>IF(Year4_Windsor_and_Maidenhead Year4_LAC_Start="","",Year4_Windsor_and_Maidenhead Year4_LAC_Start)</f>
        <v>98</v>
      </c>
      <c r="H28" s="890">
        <f>IF(Year5_Windsor_and_Maidenhead Year5_LAC_Start="","",Year5_Windsor_and_Maidenhead Year5_LAC_Start)</f>
        <v>63</v>
      </c>
      <c r="I28" s="900">
        <f t="shared" si="20"/>
        <v>0.16400548513719865</v>
      </c>
      <c r="J28" s="896"/>
      <c r="K28" s="901">
        <f>IF(ISNUMBER(D28),D28/Population!D28*10000,NA())</f>
        <v>15.171850382213924</v>
      </c>
      <c r="L28" s="901">
        <f>IF(ISNUMBER(E28),E28/Population!E28*10000,NA())</f>
        <v>14.963471525393892</v>
      </c>
      <c r="M28" s="901">
        <f>IF(ISNUMBER(F28),F28/Population!F28*10000,NA())</f>
        <v>13.578934939189988</v>
      </c>
      <c r="N28" s="901">
        <f>IF(ISNUMBER(G28),G28/Population!G28*10000,NA())</f>
        <v>28.728050889690149</v>
      </c>
      <c r="O28" s="902">
        <f>IF(ISNUMBER(H28),H28/Population!H28*10000,NA())</f>
        <v>18.37752690995012</v>
      </c>
      <c r="P28" s="903">
        <f t="shared" si="21"/>
        <v>18.37752690995012</v>
      </c>
      <c r="Q28" s="1190">
        <f t="shared" si="14"/>
        <v>7</v>
      </c>
      <c r="R28" s="64"/>
      <c r="S28" s="905">
        <f t="shared" si="15"/>
        <v>21.526952722399464</v>
      </c>
      <c r="T28" s="906">
        <f t="shared" si="0"/>
        <v>-3.1494258124493442</v>
      </c>
      <c r="U28" s="89"/>
      <c r="V28" s="103"/>
      <c r="W28" s="115"/>
      <c r="X28" s="786" t="str">
        <f t="shared" si="1"/>
        <v>Windsor &amp; Maidenhead</v>
      </c>
      <c r="Y28" s="370">
        <f>IF(ISNUMBER(H28),IDACI!D26,0)</f>
        <v>29792</v>
      </c>
      <c r="Z28" s="370">
        <f>IF(ISNUMBER(H28),IDACI!E26,0)</f>
        <v>1996.0640000000001</v>
      </c>
      <c r="AA28" s="369">
        <f>IF(ISNUMBER(D28),Population!D28,"")</f>
        <v>34274</v>
      </c>
      <c r="AB28" s="369">
        <f>IF(ISNUMBER(E28),Population!E28,"")</f>
        <v>34083</v>
      </c>
      <c r="AC28" s="369">
        <f>IF(ISNUMBER(F28),Population!F28,"")</f>
        <v>33876</v>
      </c>
      <c r="AD28" s="369">
        <f>IF(ISNUMBER(G28),Population!G28,"")</f>
        <v>34113</v>
      </c>
      <c r="AE28" s="155">
        <f>IF(ISNUMBER(H27),Population!H27,"")</f>
        <v>179008</v>
      </c>
      <c r="AF28" s="65" t="s">
        <v>27</v>
      </c>
      <c r="AG28" s="70">
        <f t="shared" si="16"/>
        <v>18.37752690995012</v>
      </c>
      <c r="AH28" s="156">
        <f t="shared" si="17"/>
        <v>7</v>
      </c>
      <c r="AJ28" s="121"/>
      <c r="AK28" s="480">
        <f t="shared" si="2"/>
        <v>-1.9230769230769232E-2</v>
      </c>
      <c r="AL28" s="480">
        <f t="shared" si="3"/>
        <v>-9.8039215686274508E-2</v>
      </c>
      <c r="AM28" s="480">
        <f t="shared" si="4"/>
        <v>1.1304347826086956</v>
      </c>
      <c r="AN28" s="480">
        <f t="shared" si="5"/>
        <v>-0.35714285714285715</v>
      </c>
      <c r="AO28" s="480">
        <f t="shared" si="22"/>
        <v>0.16400548513719865</v>
      </c>
      <c r="AQ28" s="531">
        <f t="shared" si="6"/>
        <v>14.963471525393892</v>
      </c>
      <c r="AR28" s="531">
        <f t="shared" si="7"/>
        <v>13.578934939189988</v>
      </c>
      <c r="AS28" s="531">
        <f t="shared" si="8"/>
        <v>28.728050889690149</v>
      </c>
      <c r="AT28" s="531">
        <f t="shared" si="9"/>
        <v>18.37752690995012</v>
      </c>
      <c r="AU28" s="531">
        <f t="shared" si="23"/>
        <v>75.647984264224149</v>
      </c>
      <c r="AV28" s="350">
        <f t="shared" si="24"/>
        <v>0</v>
      </c>
      <c r="AW28" s="531">
        <f t="shared" si="25"/>
        <v>75.647984264224149</v>
      </c>
    </row>
    <row r="29" spans="1:69" s="61" customFormat="1" ht="15.75" customHeight="1">
      <c r="A29" s="1103">
        <f>VLOOKUP(B29,ReportData!$AQ$4:$AR$25,2,FALSE)</f>
        <v>0</v>
      </c>
      <c r="B29" s="885" t="str">
        <f>ReportData!$K$22</f>
        <v>Wokingham</v>
      </c>
      <c r="C29" s="896"/>
      <c r="D29" s="889">
        <f>IF(Year1_Wokingham Year1_LAC_Start="","",Year1_Wokingham Year1_LAC_Start)</f>
        <v>44</v>
      </c>
      <c r="E29" s="889">
        <f>IF(Year2_Wokingham Year2_LAC_Start="","",Year2_Wokingham Year2_LAC_Start)</f>
        <v>51</v>
      </c>
      <c r="F29" s="889">
        <f>IF(Year3_Wokingham Year3_LAC_Start="","",Year3_Wokingham Year3_LAC_Start)</f>
        <v>93</v>
      </c>
      <c r="G29" s="889">
        <f>IF(Year4_Wokingham Year4_LAC_Start="","",Year4_Wokingham Year4_LAC_Start)</f>
        <v>67</v>
      </c>
      <c r="H29" s="890">
        <f>IF(Year5_Wokingham Year5_LAC_Start="","",Year5_Wokingham Year5_LAC_Start)</f>
        <v>58</v>
      </c>
      <c r="I29" s="900">
        <f t="shared" si="20"/>
        <v>0.14218051754338534</v>
      </c>
      <c r="J29" s="896"/>
      <c r="K29" s="901">
        <f>IF(ISNUMBER(D29),D29/Population!D29*10000,NA())</f>
        <v>11.063059438801165</v>
      </c>
      <c r="L29" s="901">
        <f>IF(ISNUMBER(E29),E29/Population!E29*10000,NA())</f>
        <v>12.600059294396681</v>
      </c>
      <c r="M29" s="901">
        <f>IF(ISNUMBER(F29),F29/Population!F29*10000,NA())</f>
        <v>22.61178244061368</v>
      </c>
      <c r="N29" s="901">
        <f>IF(ISNUMBER(G29),G29/Population!G29*10000,NA())</f>
        <v>15.757290686735654</v>
      </c>
      <c r="O29" s="902">
        <f>IF(ISNUMBER(H29),H29/Population!H29*10000,NA())</f>
        <v>13.390589647688969</v>
      </c>
      <c r="P29" s="903">
        <f t="shared" si="21"/>
        <v>13.390589647688969</v>
      </c>
      <c r="Q29" s="1190">
        <f t="shared" si="14"/>
        <v>1</v>
      </c>
      <c r="R29" s="64"/>
      <c r="S29" s="905">
        <f t="shared" si="15"/>
        <v>20.679040730467502</v>
      </c>
      <c r="T29" s="906">
        <f t="shared" si="0"/>
        <v>-7.2884510827785327</v>
      </c>
      <c r="U29" s="89"/>
      <c r="V29" s="103"/>
      <c r="W29" s="115"/>
      <c r="X29" s="786" t="str">
        <f t="shared" si="1"/>
        <v>Wokingham</v>
      </c>
      <c r="Y29" s="370">
        <f>IF(ISNUMBER(H29),IDACI!D27,0)</f>
        <v>33327</v>
      </c>
      <c r="Z29" s="370">
        <f>IF(ISNUMBER(H29),IDACI!E27,0)</f>
        <v>1866.3120000000004</v>
      </c>
      <c r="AA29" s="369">
        <f>IF(ISNUMBER(D29),Population!D29,"")</f>
        <v>39772</v>
      </c>
      <c r="AB29" s="369">
        <f>IF(ISNUMBER(E29),Population!E29,"")</f>
        <v>40476</v>
      </c>
      <c r="AC29" s="369">
        <f>IF(ISNUMBER(F29),Population!F29,"")</f>
        <v>41129</v>
      </c>
      <c r="AD29" s="369">
        <f>IF(ISNUMBER(G29),Population!G29,"")</f>
        <v>42520</v>
      </c>
      <c r="AE29" s="155">
        <f>IF(ISNUMBER(H29),Population!H29,"")</f>
        <v>43314</v>
      </c>
      <c r="AF29" s="65" t="s">
        <v>16</v>
      </c>
      <c r="AG29" s="70">
        <f t="shared" si="16"/>
        <v>13.390589647688969</v>
      </c>
      <c r="AH29" s="156">
        <f t="shared" si="17"/>
        <v>1</v>
      </c>
      <c r="AJ29" s="121"/>
      <c r="AK29" s="480">
        <f t="shared" si="2"/>
        <v>0.15909090909090909</v>
      </c>
      <c r="AL29" s="480">
        <f t="shared" si="3"/>
        <v>0.82352941176470584</v>
      </c>
      <c r="AM29" s="480">
        <f t="shared" si="4"/>
        <v>-0.27956989247311825</v>
      </c>
      <c r="AN29" s="480">
        <f t="shared" si="5"/>
        <v>-0.13432835820895522</v>
      </c>
      <c r="AO29" s="480">
        <f t="shared" si="22"/>
        <v>0.14218051754338534</v>
      </c>
      <c r="AQ29" s="531">
        <f t="shared" si="6"/>
        <v>12.600059294396681</v>
      </c>
      <c r="AR29" s="531">
        <f t="shared" si="7"/>
        <v>22.61178244061368</v>
      </c>
      <c r="AS29" s="531">
        <f t="shared" si="8"/>
        <v>15.757290686735654</v>
      </c>
      <c r="AT29" s="531">
        <f t="shared" si="9"/>
        <v>13.390589647688969</v>
      </c>
      <c r="AU29" s="531">
        <f t="shared" si="23"/>
        <v>64.35972206943498</v>
      </c>
      <c r="AV29" s="350">
        <f t="shared" si="24"/>
        <v>0</v>
      </c>
      <c r="AW29" s="531">
        <f t="shared" si="25"/>
        <v>64.35972206943498</v>
      </c>
    </row>
    <row r="30" spans="1:69" s="61" customFormat="1" ht="15.75" customHeight="1">
      <c r="A30" s="1103"/>
      <c r="B30" s="886" t="str">
        <f>ReportData!$K$23</f>
        <v>South East</v>
      </c>
      <c r="C30" s="896"/>
      <c r="D30" s="892">
        <f>IF(Year1_South_East Year1_LAC_Start="","",Year1_South_East Year1_LAC_Start)</f>
        <v>4380</v>
      </c>
      <c r="E30" s="892">
        <f>IF(Year2_South_East Year2_LAC_Start="","",Year2_South_East Year2_LAC_Start)</f>
        <v>4424</v>
      </c>
      <c r="F30" s="892">
        <f>IF(Year3_South_East Year3_LAC_Start="","",Year3_South_East Year3_LAC_Start)</f>
        <v>5106</v>
      </c>
      <c r="G30" s="892">
        <f>IF(Year4_South_East Year4_LAC_Start="","",Year4_South_East Year4_LAC_Start)</f>
        <v>5560</v>
      </c>
      <c r="H30" s="893">
        <f>IF(Year5_South_East Year5_LAC_Start="","",Year5_South_East Year5_LAC_Start)</f>
        <v>6270</v>
      </c>
      <c r="I30" s="907">
        <f t="shared" si="20"/>
        <v>9.1499831667897435E-2</v>
      </c>
      <c r="J30" s="896"/>
      <c r="K30" s="908">
        <f>IF(ISNUMBER(D30),D30/AA30*10000,NA())</f>
        <v>22.72122458063</v>
      </c>
      <c r="L30" s="908">
        <f>IF(ISNUMBER(E30),E30/AB30*10000,NA())</f>
        <v>22.913601117918549</v>
      </c>
      <c r="M30" s="908">
        <f>IF(ISNUMBER(F30),F30/AC30*10000,NA())</f>
        <v>26.378108959258068</v>
      </c>
      <c r="N30" s="908">
        <f>IF(ISNUMBER(G30),G30/AD30*10000,NA())</f>
        <v>28.29209861730001</v>
      </c>
      <c r="O30" s="909">
        <f>IF(ISNUMBER(H30),H30/AE30*10000,NA())</f>
        <v>32.076845275520661</v>
      </c>
      <c r="P30" s="903">
        <f t="shared" si="21"/>
        <v>32.076845275520661</v>
      </c>
      <c r="Q30" s="1191" t="str">
        <f t="shared" si="14"/>
        <v>--</v>
      </c>
      <c r="R30" s="64"/>
      <c r="S30" s="911">
        <f t="shared" si="15"/>
        <v>25.898531230998842</v>
      </c>
      <c r="T30" s="912">
        <f t="shared" si="0"/>
        <v>6.1783140445218194</v>
      </c>
      <c r="U30" s="89"/>
      <c r="V30" s="103"/>
      <c r="W30" s="115"/>
      <c r="X30" s="786" t="str">
        <f t="shared" si="1"/>
        <v>South East</v>
      </c>
      <c r="Y30" s="370">
        <f>SUM(Y24:Y25,Y11:Y23,Y26:Y29)</f>
        <v>1704978</v>
      </c>
      <c r="Z30" s="370">
        <f>SUM(Z24:Z25,Z11:Z23,Z26:Z29)</f>
        <v>210927.40200000003</v>
      </c>
      <c r="AA30" s="369">
        <f>SUM(AA11:AA23,AA24:AA25,AA26:AA29)</f>
        <v>1927713</v>
      </c>
      <c r="AB30" s="369">
        <f>SUM(AB11:AB23,AB24:AB25,AB26:AB29)</f>
        <v>1930731</v>
      </c>
      <c r="AC30" s="369">
        <f>SUM(AC11:AC23,AC24:AC25,AC26:AC29)</f>
        <v>1935696</v>
      </c>
      <c r="AD30" s="369">
        <f>SUM(AD11:AD23,AD24:AD25,AD26:AD29)</f>
        <v>1965213</v>
      </c>
      <c r="AE30" s="155">
        <f>SUM(AE11:AE23,AE25:AE26,AE27:AE29)</f>
        <v>1954681</v>
      </c>
      <c r="AH30" s="141"/>
      <c r="AJ30" s="121"/>
      <c r="AK30" s="581">
        <f>IF(ISERROR((L30-K30)/K30),"x",(L30-K30)/K30)</f>
        <v>8.4668208179479645E-3</v>
      </c>
      <c r="AL30" s="581">
        <f>IF(ISERROR((M30-L30)/L30),"x",(M30-L30)/L30)</f>
        <v>0.15119874975174705</v>
      </c>
      <c r="AM30" s="581">
        <f>IF(ISERROR((N30-M30)/M30),"x",(N30-M30)/M30)</f>
        <v>7.2559775266610935E-2</v>
      </c>
      <c r="AN30" s="581">
        <f>IF(ISERROR((O30-N30)/N30),"x",(O30-N30)/N30)</f>
        <v>0.13377398083528383</v>
      </c>
      <c r="AO30" s="480">
        <f t="shared" si="22"/>
        <v>9.1499831667897435E-2</v>
      </c>
      <c r="AQ30" s="531">
        <f t="shared" si="6"/>
        <v>22.913601117918549</v>
      </c>
      <c r="AR30" s="531">
        <f t="shared" si="7"/>
        <v>26.378108959258068</v>
      </c>
      <c r="AS30" s="531">
        <f t="shared" si="8"/>
        <v>28.29209861730001</v>
      </c>
      <c r="AT30" s="531">
        <f t="shared" si="9"/>
        <v>32.076845275520661</v>
      </c>
      <c r="AU30" s="531">
        <f t="shared" si="23"/>
        <v>109.6606539699973</v>
      </c>
      <c r="AV30" s="350">
        <f t="shared" si="24"/>
        <v>0</v>
      </c>
      <c r="AW30" s="531">
        <f t="shared" si="25"/>
        <v>109.6606539699973</v>
      </c>
    </row>
    <row r="31" spans="1:69" s="61" customFormat="1" ht="15.75" customHeight="1">
      <c r="A31" s="1103"/>
      <c r="B31" s="887" t="str">
        <f>ReportData!$K$24</f>
        <v>England</v>
      </c>
      <c r="C31" s="896"/>
      <c r="D31" s="894">
        <f>IF(Year1_England Year1_LAC_Start="","",Year1_England Year1_LAC_Start)</f>
        <v>30970</v>
      </c>
      <c r="E31" s="894">
        <f>IF(Year2_England Year2_LAC_Start="","",Year2_England Year2_LAC_Start)</f>
        <v>28440</v>
      </c>
      <c r="F31" s="894">
        <f>IF(Year3_England Year3_LAC_Start="","",Year3_England Year3_LAC_Start)</f>
        <v>31010</v>
      </c>
      <c r="G31" s="894">
        <f>IF(Year4_England Year4_LAC_Start="","",Year4_England Year4_LAC_Start)</f>
        <v>33000</v>
      </c>
      <c r="H31" s="895">
        <f>IF(Year5_England Year5_LAC_Start="","",Year5_England Year5_LAC_Start)</f>
        <v>33050</v>
      </c>
      <c r="I31" s="913">
        <f t="shared" si="20"/>
        <v>1.8590430290072815E-2</v>
      </c>
      <c r="J31" s="896"/>
      <c r="K31" s="914">
        <f>IF(ISNUMBER(D31),D31/Population!D31*10000,NA())</f>
        <v>26.26692762269802</v>
      </c>
      <c r="L31" s="914">
        <f>IF(ISNUMBER(E31),E31/Population!E31*10000,NA())</f>
        <v>24.126651687330131</v>
      </c>
      <c r="M31" s="914">
        <f>IF(ISNUMBER(F31),F31/Population!F31*10000,NA())</f>
        <v>26.362595956533767</v>
      </c>
      <c r="N31" s="914">
        <f>IF(ISNUMBER(G31),G31/Population!G31*10000,NA())</f>
        <v>27.764248549254912</v>
      </c>
      <c r="O31" s="1193">
        <f>IF(ISNUMBER(H31),H31/Population!H31*10000,NA())</f>
        <v>27.544774635404693</v>
      </c>
      <c r="P31" s="903">
        <f t="shared" si="21"/>
        <v>27.544774635404693</v>
      </c>
      <c r="Q31" s="1192" t="str">
        <f t="shared" si="14"/>
        <v>--</v>
      </c>
      <c r="R31" s="64"/>
      <c r="S31" s="917">
        <f t="shared" si="15"/>
        <v>29.531560590857126</v>
      </c>
      <c r="T31" s="1087">
        <f t="shared" si="0"/>
        <v>-1.986785955452433</v>
      </c>
      <c r="U31" s="89"/>
      <c r="V31" s="103"/>
      <c r="W31" s="115"/>
      <c r="X31" s="786" t="str">
        <f t="shared" si="1"/>
        <v>England</v>
      </c>
      <c r="Y31" s="370">
        <f>IF(H31&gt;0,IDACI!D29,0)</f>
        <v>10405050</v>
      </c>
      <c r="Z31" s="370">
        <f>IF(H31&gt;0,IDACI!E29,0)</f>
        <v>1777641.7570000088</v>
      </c>
      <c r="AA31" s="369">
        <f>IF(ISNUMBER(D31),Population!D31,"")</f>
        <v>11790492</v>
      </c>
      <c r="AB31" s="369">
        <f>IF(ISNUMBER(E31),Population!E31,"")</f>
        <v>11787794</v>
      </c>
      <c r="AC31" s="369">
        <f>IF(ISNUMBER(F31),Population!F31,"")</f>
        <v>11762878</v>
      </c>
      <c r="AD31" s="369">
        <f>IF(ISNUMBER(G31),Population!G31,"")</f>
        <v>11885789</v>
      </c>
      <c r="AE31" s="155">
        <f>IF(ISNUMBER(H31),Population!H31,"")</f>
        <v>11998646</v>
      </c>
      <c r="AH31" s="141"/>
      <c r="AJ31" s="121"/>
      <c r="AK31" s="480">
        <f>IF(ISERROR((E31-D31)/D31),"x",(E31-D31)/D31)</f>
        <v>-8.1691959961252822E-2</v>
      </c>
      <c r="AL31" s="480">
        <f>IF(ISERROR((F31-E31)/E31),"x",(F31-E31)/E31)</f>
        <v>9.0365682137834039E-2</v>
      </c>
      <c r="AM31" s="480">
        <f>IF(ISERROR((G31-F31)/F31),"x",(G31-F31)/F31)</f>
        <v>6.417284746855853E-2</v>
      </c>
      <c r="AN31" s="480">
        <f>IF(ISERROR((H31-G31)/G31),"x",(H31-G31)/G31)</f>
        <v>1.5151515151515152E-3</v>
      </c>
      <c r="AO31" s="480">
        <f t="shared" si="22"/>
        <v>1.8590430290072815E-2</v>
      </c>
      <c r="AQ31" s="531">
        <f t="shared" si="6"/>
        <v>24.126651687330131</v>
      </c>
      <c r="AR31" s="531">
        <f t="shared" si="7"/>
        <v>26.362595956533767</v>
      </c>
      <c r="AS31" s="531">
        <f t="shared" si="8"/>
        <v>27.764248549254912</v>
      </c>
      <c r="AT31" s="531">
        <f t="shared" si="9"/>
        <v>27.544774635404693</v>
      </c>
      <c r="AU31" s="531">
        <f t="shared" si="23"/>
        <v>105.7982708285235</v>
      </c>
      <c r="AV31" s="350">
        <f t="shared" si="24"/>
        <v>0</v>
      </c>
      <c r="AW31" s="531">
        <f t="shared" si="25"/>
        <v>105.7982708285235</v>
      </c>
    </row>
    <row r="32" spans="1:69" s="56" customFormat="1" ht="12.75" customHeight="1">
      <c r="A32" s="87"/>
      <c r="B32" s="1077"/>
      <c r="C32" s="1184"/>
      <c r="D32" s="1184"/>
      <c r="E32" s="1184"/>
      <c r="F32" s="1184"/>
      <c r="G32" s="1184"/>
      <c r="H32" s="1184"/>
      <c r="I32" s="1184"/>
      <c r="J32" s="1184"/>
      <c r="K32" s="1184"/>
      <c r="L32" s="1184"/>
      <c r="M32" s="1184"/>
      <c r="N32" s="1184"/>
      <c r="O32" s="1184"/>
      <c r="P32" s="1184"/>
      <c r="Q32" s="1091" t="s">
        <v>100</v>
      </c>
      <c r="R32" s="1113"/>
      <c r="S32" s="1184"/>
      <c r="T32" s="1184"/>
      <c r="U32" s="86"/>
      <c r="V32" s="121"/>
      <c r="W32" s="114"/>
      <c r="X32" s="784"/>
      <c r="Y32" s="784"/>
      <c r="Z32" s="784"/>
      <c r="AA32" s="784"/>
      <c r="AB32" s="784"/>
      <c r="AC32" s="784"/>
      <c r="AD32" s="784"/>
      <c r="AE32" s="52"/>
      <c r="AF32" s="52"/>
      <c r="AG32" s="52"/>
      <c r="AI32" s="52"/>
      <c r="AJ32" s="122"/>
      <c r="BB32" s="61"/>
      <c r="BC32" s="61"/>
      <c r="BD32" s="61"/>
      <c r="BE32" s="61"/>
      <c r="BF32" s="61"/>
      <c r="BG32" s="61"/>
      <c r="BH32" s="61"/>
      <c r="BI32" s="61"/>
      <c r="BJ32" s="61"/>
      <c r="BK32" s="61"/>
      <c r="BL32" s="61"/>
      <c r="BM32" s="61"/>
      <c r="BN32" s="61"/>
      <c r="BO32" s="61"/>
      <c r="BP32" s="61"/>
      <c r="BQ32" s="61"/>
    </row>
    <row r="33" spans="1:69"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X33" s="251"/>
      <c r="Y33" s="250"/>
      <c r="Z33" s="251"/>
      <c r="AA33" s="251"/>
      <c r="AB33" s="251"/>
      <c r="AC33" s="251"/>
      <c r="AD33" s="251"/>
      <c r="AI33" s="52"/>
      <c r="AJ33" s="119"/>
      <c r="AK33" s="52"/>
      <c r="AL33" s="52"/>
      <c r="AM33" s="52"/>
      <c r="AN33" s="52"/>
      <c r="AO33" s="52"/>
      <c r="AP33" s="52"/>
      <c r="AQ33" s="52"/>
      <c r="BB33" s="61"/>
      <c r="BC33" s="61"/>
      <c r="BD33" s="61"/>
      <c r="BE33" s="61"/>
      <c r="BF33" s="61"/>
      <c r="BG33" s="61"/>
      <c r="BH33" s="61"/>
      <c r="BI33" s="61"/>
      <c r="BJ33" s="61"/>
      <c r="BK33" s="61"/>
      <c r="BL33" s="61"/>
      <c r="BM33" s="61"/>
      <c r="BN33" s="61"/>
      <c r="BO33" s="61"/>
      <c r="BP33" s="61"/>
      <c r="BQ33" s="61"/>
    </row>
    <row r="34" spans="1:69" s="56" customFormat="1" ht="15" customHeight="1">
      <c r="A34" s="1565"/>
      <c r="B34" s="1751"/>
      <c r="C34" s="1751"/>
      <c r="D34" s="1751"/>
      <c r="E34" s="1751"/>
      <c r="F34" s="1751"/>
      <c r="G34" s="1751"/>
      <c r="H34" s="1751"/>
      <c r="I34" s="1751"/>
      <c r="J34" s="1751"/>
      <c r="K34" s="1751"/>
      <c r="L34" s="1751"/>
      <c r="M34" s="1751"/>
      <c r="N34" s="1751"/>
      <c r="O34" s="1751"/>
      <c r="P34" s="1751"/>
      <c r="Q34" s="1751"/>
      <c r="R34" s="1751"/>
      <c r="S34" s="1751"/>
      <c r="T34" s="1751"/>
      <c r="U34" s="1752"/>
      <c r="V34" s="185"/>
      <c r="W34" s="114"/>
      <c r="X34" s="251"/>
      <c r="Y34" s="250"/>
      <c r="Z34" s="251"/>
      <c r="AA34" s="251"/>
      <c r="AB34" s="251"/>
      <c r="AC34" s="251"/>
      <c r="AD34" s="251"/>
      <c r="AJ34" s="122"/>
      <c r="AL34" s="56">
        <f>COLUMNS($B$4:K$4)</f>
        <v>10</v>
      </c>
      <c r="AM34" s="56">
        <f>COLUMNS($B$4:L$4)</f>
        <v>11</v>
      </c>
      <c r="AN34" s="56">
        <f>COLUMNS($B$4:M$4)</f>
        <v>12</v>
      </c>
      <c r="AO34" s="56">
        <f>COLUMNS($B$4:N$4)</f>
        <v>13</v>
      </c>
      <c r="AP34" s="56">
        <f>COLUMNS($B$4:O$4)</f>
        <v>14</v>
      </c>
      <c r="AQ34" s="56">
        <f>COLUMNS($B$4:R$4)</f>
        <v>17</v>
      </c>
      <c r="AR34" s="56">
        <v>3</v>
      </c>
      <c r="AS34" s="17">
        <v>4</v>
      </c>
      <c r="AT34" s="17">
        <v>5</v>
      </c>
      <c r="AU34" s="17">
        <v>6</v>
      </c>
      <c r="AV34" s="16">
        <v>7</v>
      </c>
      <c r="AW34" s="56">
        <v>3</v>
      </c>
      <c r="AX34" s="17">
        <v>4</v>
      </c>
      <c r="AY34" s="17">
        <v>5</v>
      </c>
      <c r="AZ34" s="17">
        <v>6</v>
      </c>
      <c r="BA34" s="16">
        <v>7</v>
      </c>
      <c r="BB34" s="61"/>
      <c r="BC34" s="61"/>
      <c r="BD34" s="61"/>
      <c r="BE34" s="61"/>
      <c r="BF34" s="61"/>
      <c r="BG34" s="61"/>
      <c r="BH34" s="61"/>
      <c r="BI34" s="61"/>
      <c r="BJ34" s="61"/>
      <c r="BK34" s="61"/>
      <c r="BL34" s="61"/>
      <c r="BM34" s="61"/>
      <c r="BN34" s="61"/>
      <c r="BO34" s="61"/>
      <c r="BP34" s="61"/>
      <c r="BQ34" s="61"/>
    </row>
    <row r="35" spans="1:69" s="56" customFormat="1" ht="11.25" customHeight="1">
      <c r="A35" s="1739"/>
      <c r="B35" s="1740"/>
      <c r="C35" s="1740"/>
      <c r="D35" s="1740"/>
      <c r="E35" s="1740"/>
      <c r="F35" s="1740"/>
      <c r="G35" s="1740"/>
      <c r="H35" s="1740"/>
      <c r="I35" s="1741"/>
      <c r="J35" s="1740"/>
      <c r="K35" s="1740"/>
      <c r="L35" s="1740"/>
      <c r="M35" s="1740"/>
      <c r="N35" s="1740"/>
      <c r="O35" s="1740"/>
      <c r="P35" s="1742"/>
      <c r="Q35" s="1740"/>
      <c r="R35" s="1740"/>
      <c r="S35" s="1741"/>
      <c r="T35" s="1740"/>
      <c r="U35" s="1743"/>
      <c r="V35" s="185"/>
      <c r="W35" s="114"/>
      <c r="X35" s="251"/>
      <c r="Y35" s="250"/>
      <c r="Z35" s="251"/>
      <c r="AA35" s="251"/>
      <c r="AB35" s="251"/>
      <c r="AC35" s="251"/>
      <c r="AD35" s="251"/>
      <c r="AI35" s="52"/>
      <c r="AJ35" s="121"/>
      <c r="AK35" s="61"/>
      <c r="AL35" s="109" t="s">
        <v>85</v>
      </c>
      <c r="AM35" s="173"/>
      <c r="AN35" s="173"/>
      <c r="AO35" s="173"/>
      <c r="AP35" s="173"/>
      <c r="AQ35" s="109" t="s">
        <v>862</v>
      </c>
      <c r="AR35" s="38" t="s">
        <v>623</v>
      </c>
      <c r="AS35" s="17"/>
      <c r="AT35" s="17"/>
      <c r="AU35" s="17"/>
      <c r="AV35" s="16"/>
      <c r="AW35" s="38" t="s">
        <v>624</v>
      </c>
      <c r="AX35" s="17"/>
      <c r="AY35" s="17"/>
      <c r="AZ35" s="17"/>
      <c r="BA35" s="16"/>
      <c r="BB35" s="61"/>
      <c r="BC35" s="61"/>
      <c r="BD35" s="61"/>
      <c r="BE35" s="61"/>
      <c r="BF35" s="61"/>
      <c r="BG35" s="61"/>
      <c r="BH35" s="61"/>
      <c r="BI35" s="61"/>
      <c r="BJ35" s="61"/>
      <c r="BK35" s="61"/>
      <c r="BL35" s="61"/>
      <c r="BM35" s="61"/>
      <c r="BN35" s="61"/>
      <c r="BO35" s="61"/>
      <c r="BP35" s="61"/>
      <c r="BQ35" s="61"/>
    </row>
    <row r="36" spans="1:69" s="56" customFormat="1" ht="10.5" customHeight="1">
      <c r="A36" s="81"/>
      <c r="B36" s="82"/>
      <c r="C36" s="82"/>
      <c r="D36" s="82"/>
      <c r="E36" s="82"/>
      <c r="F36" s="82"/>
      <c r="G36" s="82"/>
      <c r="H36" s="82"/>
      <c r="I36" s="82"/>
      <c r="J36" s="83"/>
      <c r="K36" s="82"/>
      <c r="L36" s="82"/>
      <c r="M36" s="82"/>
      <c r="N36" s="82"/>
      <c r="O36" s="82"/>
      <c r="P36" s="82"/>
      <c r="Q36" s="82"/>
      <c r="R36" s="82"/>
      <c r="S36" s="82"/>
      <c r="T36" s="82"/>
      <c r="U36" s="84"/>
      <c r="V36" s="102"/>
      <c r="W36" s="1093" t="s">
        <v>94</v>
      </c>
      <c r="X36" s="1236"/>
      <c r="Y36" s="1237"/>
      <c r="Z36" s="1236"/>
      <c r="AA36" s="1236"/>
      <c r="AB36" s="1236"/>
      <c r="AC36" s="1236"/>
      <c r="AD36" s="1236"/>
      <c r="AE36" s="1113"/>
      <c r="AF36" s="1113"/>
      <c r="AG36" s="1113"/>
      <c r="AH36" s="1113"/>
      <c r="AI36" s="360"/>
      <c r="AJ36" s="921"/>
      <c r="AK36" s="61"/>
      <c r="AL36" s="109"/>
      <c r="AM36" s="109"/>
      <c r="AN36" s="109"/>
      <c r="AO36" s="109"/>
      <c r="AP36" s="109"/>
      <c r="AQ36" s="173"/>
      <c r="AR36" s="109"/>
      <c r="AS36" s="109"/>
      <c r="AT36" s="109"/>
      <c r="AU36" s="109"/>
      <c r="AV36" s="109"/>
      <c r="AW36" s="109"/>
      <c r="AX36" s="109"/>
      <c r="AY36" s="109"/>
      <c r="AZ36" s="109"/>
      <c r="BA36" s="275"/>
      <c r="BB36" s="61"/>
      <c r="BC36" s="61"/>
      <c r="BD36" s="61"/>
      <c r="BE36" s="61"/>
      <c r="BF36" s="61"/>
      <c r="BG36" s="61"/>
      <c r="BH36" s="61"/>
      <c r="BI36" s="61"/>
      <c r="BJ36" s="61"/>
      <c r="BK36" s="61"/>
      <c r="BL36" s="61"/>
      <c r="BM36" s="61"/>
      <c r="BN36" s="61"/>
      <c r="BO36" s="61"/>
      <c r="BP36" s="61"/>
      <c r="BQ36" s="61"/>
    </row>
    <row r="37" spans="1:69" s="56" customFormat="1" ht="3.75" customHeight="1">
      <c r="A37" s="85"/>
      <c r="B37" s="5"/>
      <c r="C37" s="5"/>
      <c r="D37" s="5"/>
      <c r="E37" s="5"/>
      <c r="F37" s="5"/>
      <c r="G37" s="5"/>
      <c r="H37" s="5"/>
      <c r="I37" s="5"/>
      <c r="J37" s="1"/>
      <c r="K37" s="5"/>
      <c r="L37" s="5"/>
      <c r="M37" s="5"/>
      <c r="N37" s="5"/>
      <c r="O37" s="5"/>
      <c r="P37" s="5"/>
      <c r="Q37" s="5"/>
      <c r="R37" s="5"/>
      <c r="S37" s="5"/>
      <c r="T37" s="5"/>
      <c r="U37" s="86"/>
      <c r="V37" s="102"/>
      <c r="W37" s="1155"/>
      <c r="X37" s="1236"/>
      <c r="Y37" s="1236"/>
      <c r="Z37" s="1236"/>
      <c r="AA37" s="1236"/>
      <c r="AB37" s="1236"/>
      <c r="AC37" s="1238" t="s">
        <v>762</v>
      </c>
      <c r="AD37" s="1236"/>
      <c r="AE37" s="1113"/>
      <c r="AF37" s="1113"/>
      <c r="AG37" s="1113"/>
      <c r="AH37" s="1113"/>
      <c r="AI37" s="1113"/>
      <c r="AJ37" s="921"/>
      <c r="AK37" s="61"/>
      <c r="AL37" s="109" t="e">
        <f>D10</f>
        <v>#N/A</v>
      </c>
      <c r="AM37" s="109" t="e">
        <f>E10</f>
        <v>#N/A</v>
      </c>
      <c r="AN37" s="109" t="e">
        <f>F10</f>
        <v>#N/A</v>
      </c>
      <c r="AO37" s="109" t="e">
        <f>G10</f>
        <v>#N/A</v>
      </c>
      <c r="AP37" s="109" t="e">
        <f>H10</f>
        <v>#N/A</v>
      </c>
      <c r="AQ37" s="173"/>
      <c r="AR37" s="109" t="e">
        <f>K10</f>
        <v>#N/A</v>
      </c>
      <c r="AS37" s="109" t="e">
        <f>L10</f>
        <v>#N/A</v>
      </c>
      <c r="AT37" s="109" t="e">
        <f>M10</f>
        <v>#N/A</v>
      </c>
      <c r="AU37" s="109" t="e">
        <f>N10</f>
        <v>#N/A</v>
      </c>
      <c r="AV37" s="109" t="e">
        <f>O10</f>
        <v>#N/A</v>
      </c>
      <c r="AW37" s="109" t="e">
        <f>AR37</f>
        <v>#N/A</v>
      </c>
      <c r="AX37" s="109" t="e">
        <f>AS37</f>
        <v>#N/A</v>
      </c>
      <c r="AY37" s="109" t="e">
        <f>AT37</f>
        <v>#N/A</v>
      </c>
      <c r="AZ37" s="109" t="e">
        <f>AU37</f>
        <v>#N/A</v>
      </c>
      <c r="BA37" s="275" t="e">
        <f>AV37</f>
        <v>#N/A</v>
      </c>
      <c r="BB37" s="61"/>
      <c r="BC37" s="61"/>
      <c r="BD37" s="61"/>
      <c r="BE37" s="61"/>
      <c r="BF37" s="61"/>
      <c r="BG37" s="61"/>
      <c r="BH37" s="61"/>
      <c r="BI37" s="61"/>
      <c r="BJ37" s="61"/>
      <c r="BK37" s="61"/>
      <c r="BL37" s="61"/>
      <c r="BM37" s="61"/>
      <c r="BN37" s="61"/>
      <c r="BO37" s="61"/>
      <c r="BP37" s="61"/>
      <c r="BQ37" s="61"/>
    </row>
    <row r="38" spans="1:69" s="56" customFormat="1" ht="14.25" customHeight="1">
      <c r="A38" s="87"/>
      <c r="B38" s="5"/>
      <c r="C38" s="5"/>
      <c r="D38" s="5"/>
      <c r="E38" s="5"/>
      <c r="F38" s="5"/>
      <c r="G38" s="5"/>
      <c r="H38" s="5"/>
      <c r="I38" s="5"/>
      <c r="J38" s="1"/>
      <c r="K38" s="5"/>
      <c r="L38" s="5"/>
      <c r="M38" s="5"/>
      <c r="N38" s="5"/>
      <c r="O38" s="5"/>
      <c r="P38" s="5"/>
      <c r="Q38" s="5"/>
      <c r="R38" s="5"/>
      <c r="S38" s="5"/>
      <c r="T38" s="5"/>
      <c r="U38" s="86"/>
      <c r="V38" s="102"/>
      <c r="W38" s="1155"/>
      <c r="X38" s="1239" t="s">
        <v>69</v>
      </c>
      <c r="Y38" s="1239" t="s">
        <v>67</v>
      </c>
      <c r="Z38" s="1239" t="s">
        <v>68</v>
      </c>
      <c r="AA38" s="1240">
        <v>3</v>
      </c>
      <c r="AB38" s="1241">
        <f>(AA38*Y39)+Z39</f>
        <v>8.8134934304073873</v>
      </c>
      <c r="AC38" s="1242">
        <f>ROUND(ChartLabels!$X45,3)</f>
        <v>0.30099999999999999</v>
      </c>
      <c r="AD38" s="1236"/>
      <c r="AE38" s="1113"/>
      <c r="AF38" s="1113"/>
      <c r="AG38" s="1113"/>
      <c r="AH38" s="1113"/>
      <c r="AI38" s="1161" t="b">
        <v>1</v>
      </c>
      <c r="AJ38" s="921" t="s">
        <v>0</v>
      </c>
      <c r="AK38" s="61" t="str">
        <f t="shared" ref="AK38:AK58" si="26">IF(AI38=TRUE,B11,"")</f>
        <v>Bracknell Forest</v>
      </c>
      <c r="AL38" s="110">
        <f t="shared" ref="AL38:AP47" si="27">VLOOKUP($AK38,$B$11:$O$31,AL$34,FALSE)</f>
        <v>17.217378562532055</v>
      </c>
      <c r="AM38" s="110">
        <f t="shared" si="27"/>
        <v>14.858302529535406</v>
      </c>
      <c r="AN38" s="110">
        <f t="shared" si="27"/>
        <v>16.173669266434246</v>
      </c>
      <c r="AO38" s="110">
        <f t="shared" si="27"/>
        <v>29.650547123190965</v>
      </c>
      <c r="AP38" s="110">
        <f t="shared" si="27"/>
        <v>13.963067685970607</v>
      </c>
      <c r="AQ38" s="111">
        <f>VLOOKUP(AK38,IDACI!$B$8:$C$29,2,FALSE)</f>
        <v>8.9</v>
      </c>
      <c r="AR38" s="237" t="e">
        <f t="shared" ref="AR38:AV47" si="28">VLOOKUP($AK38,$B$109:$H$129,AR$34,FALSE)</f>
        <v>#N/A</v>
      </c>
      <c r="AS38" s="237" t="e">
        <f t="shared" si="28"/>
        <v>#N/A</v>
      </c>
      <c r="AT38" s="237" t="e">
        <f t="shared" si="28"/>
        <v>#N/A</v>
      </c>
      <c r="AU38" s="237" t="e">
        <f t="shared" si="28"/>
        <v>#N/A</v>
      </c>
      <c r="AV38" s="237" t="e">
        <f t="shared" si="28"/>
        <v>#N/A</v>
      </c>
      <c r="AW38" s="237">
        <f t="shared" ref="AW38:BA47" si="29">VLOOKUP($AK38,$B$142:$H$162,AW$34,FALSE)</f>
        <v>0</v>
      </c>
      <c r="AX38" s="237">
        <f t="shared" si="29"/>
        <v>0</v>
      </c>
      <c r="AY38" s="237">
        <f t="shared" si="29"/>
        <v>0</v>
      </c>
      <c r="AZ38" s="237">
        <f t="shared" si="29"/>
        <v>0</v>
      </c>
      <c r="BA38" s="237">
        <f t="shared" si="29"/>
        <v>0</v>
      </c>
      <c r="BB38" s="61"/>
      <c r="BC38" s="61"/>
      <c r="BD38" s="61"/>
      <c r="BE38" s="61"/>
      <c r="BF38" s="61"/>
      <c r="BG38" s="61"/>
      <c r="BH38" s="61"/>
      <c r="BI38" s="61"/>
      <c r="BJ38" s="61"/>
      <c r="BK38" s="61"/>
      <c r="BL38" s="61"/>
      <c r="BM38" s="61"/>
      <c r="BN38" s="61"/>
      <c r="BO38" s="61"/>
      <c r="BP38" s="61"/>
      <c r="BQ38" s="61"/>
    </row>
    <row r="39" spans="1:69" s="56" customFormat="1" ht="14.25" customHeight="1">
      <c r="A39" s="87"/>
      <c r="B39" s="5"/>
      <c r="C39" s="5"/>
      <c r="D39" s="5"/>
      <c r="E39" s="5"/>
      <c r="F39" s="5"/>
      <c r="G39" s="5"/>
      <c r="H39" s="5"/>
      <c r="I39" s="5"/>
      <c r="J39" s="1"/>
      <c r="K39" s="5"/>
      <c r="L39" s="5"/>
      <c r="M39" s="5"/>
      <c r="N39" s="5"/>
      <c r="O39" s="5"/>
      <c r="P39" s="5"/>
      <c r="Q39" s="5"/>
      <c r="R39" s="5"/>
      <c r="S39" s="5"/>
      <c r="T39" s="5"/>
      <c r="U39" s="86"/>
      <c r="V39" s="102"/>
      <c r="W39" s="1155"/>
      <c r="X39" s="1243" t="str">
        <f>"Y= "&amp;Y39&amp;"x + "&amp;Z39</f>
        <v>Y= 1.73053618815353x + 3.62188486594679</v>
      </c>
      <c r="Y39" s="1244">
        <f>ChartLabels!$V45</f>
        <v>1.7305361881535337</v>
      </c>
      <c r="Z39" s="1244">
        <f>ChartLabels!$W45</f>
        <v>3.6218848659467859</v>
      </c>
      <c r="AA39" s="1242">
        <v>22</v>
      </c>
      <c r="AB39" s="1241">
        <f>(AA39*Y39)+Z39</f>
        <v>41.693681005324521</v>
      </c>
      <c r="AC39" s="1242" t="str">
        <f>AC37&amp;" = "&amp;AC38</f>
        <v>r² = 0.301</v>
      </c>
      <c r="AD39" s="1236"/>
      <c r="AE39" s="1113"/>
      <c r="AF39" s="1113"/>
      <c r="AG39" s="1113"/>
      <c r="AH39" s="1113"/>
      <c r="AI39" s="1161" t="b">
        <v>1</v>
      </c>
      <c r="AJ39" s="921" t="s">
        <v>28</v>
      </c>
      <c r="AK39" s="61" t="str">
        <f t="shared" si="26"/>
        <v>Brighton &amp; Hove</v>
      </c>
      <c r="AL39" s="110">
        <f t="shared" si="27"/>
        <v>31.816867071608613</v>
      </c>
      <c r="AM39" s="110">
        <f t="shared" si="27"/>
        <v>31.48194479192728</v>
      </c>
      <c r="AN39" s="110">
        <f t="shared" si="27"/>
        <v>30.76923076923077</v>
      </c>
      <c r="AO39" s="110">
        <f t="shared" si="27"/>
        <v>24.607551972846842</v>
      </c>
      <c r="AP39" s="110">
        <f t="shared" si="27"/>
        <v>30.000428577551109</v>
      </c>
      <c r="AQ39" s="111">
        <f>VLOOKUP(AK39,IDACI!$B$8:$C$29,2,FALSE)</f>
        <v>15.299999999999999</v>
      </c>
      <c r="AR39" s="237" t="e">
        <f t="shared" si="28"/>
        <v>#N/A</v>
      </c>
      <c r="AS39" s="237" t="e">
        <f t="shared" si="28"/>
        <v>#N/A</v>
      </c>
      <c r="AT39" s="237" t="e">
        <f t="shared" si="28"/>
        <v>#N/A</v>
      </c>
      <c r="AU39" s="237" t="e">
        <f t="shared" si="28"/>
        <v>#N/A</v>
      </c>
      <c r="AV39" s="237" t="e">
        <f t="shared" si="28"/>
        <v>#N/A</v>
      </c>
      <c r="AW39" s="237" t="e">
        <f t="shared" si="29"/>
        <v>#N/A</v>
      </c>
      <c r="AX39" s="237" t="e">
        <f t="shared" si="29"/>
        <v>#N/A</v>
      </c>
      <c r="AY39" s="237" t="e">
        <f t="shared" si="29"/>
        <v>#N/A</v>
      </c>
      <c r="AZ39" s="237">
        <f t="shared" si="29"/>
        <v>0</v>
      </c>
      <c r="BA39" s="237" t="e">
        <f t="shared" si="29"/>
        <v>#N/A</v>
      </c>
      <c r="BB39" s="61"/>
      <c r="BC39" s="237"/>
      <c r="BD39" s="237"/>
      <c r="BE39" s="237"/>
      <c r="BF39" s="237"/>
      <c r="BG39" s="237"/>
      <c r="BH39" s="237"/>
      <c r="BI39" s="237"/>
      <c r="BJ39" s="237"/>
      <c r="BK39" s="237"/>
      <c r="BL39" s="237"/>
      <c r="BM39" s="237"/>
      <c r="BN39" s="237"/>
      <c r="BO39" s="237"/>
      <c r="BP39" s="237"/>
    </row>
    <row r="40" spans="1:69" ht="14.25" customHeight="1">
      <c r="A40" s="87"/>
      <c r="B40" s="5"/>
      <c r="C40" s="5"/>
      <c r="D40" s="5"/>
      <c r="E40" s="5"/>
      <c r="F40" s="5"/>
      <c r="G40" s="5"/>
      <c r="H40" s="5"/>
      <c r="I40" s="5"/>
      <c r="J40" s="1"/>
      <c r="K40" s="5"/>
      <c r="L40" s="5"/>
      <c r="M40" s="5"/>
      <c r="N40" s="5"/>
      <c r="O40" s="5"/>
      <c r="P40" s="5"/>
      <c r="Q40" s="5"/>
      <c r="R40" s="5"/>
      <c r="S40" s="5"/>
      <c r="T40" s="5"/>
      <c r="U40" s="86"/>
      <c r="V40" s="102"/>
      <c r="W40" s="1155"/>
      <c r="X40" s="1239" t="str">
        <f>"National Trend "&amp;ReportData!$B$8</f>
        <v>National Trend 2024</v>
      </c>
      <c r="Y40" s="1245" t="s">
        <v>67</v>
      </c>
      <c r="Z40" s="1239" t="s">
        <v>68</v>
      </c>
      <c r="AA40" s="1240">
        <v>3</v>
      </c>
      <c r="AB40" s="1246">
        <f>((AA40*Y41)+Z41)/$X$2</f>
        <v>18.674885113173772</v>
      </c>
      <c r="AC40" s="1165" t="str">
        <f>$AC$37&amp;" = "&amp;AC41</f>
        <v>r² = 0.053</v>
      </c>
      <c r="AD40" s="1236"/>
      <c r="AE40" s="1113"/>
      <c r="AF40" s="1113"/>
      <c r="AG40" s="1113"/>
      <c r="AH40" s="1113"/>
      <c r="AI40" s="1161" t="b">
        <v>1</v>
      </c>
      <c r="AJ40" s="921" t="s">
        <v>8</v>
      </c>
      <c r="AK40" s="61" t="str">
        <f t="shared" si="26"/>
        <v>Buckinghamshire</v>
      </c>
      <c r="AL40" s="110">
        <f t="shared" si="27"/>
        <v>16.620680056002687</v>
      </c>
      <c r="AM40" s="110">
        <f t="shared" si="27"/>
        <v>16.735376954161396</v>
      </c>
      <c r="AN40" s="110">
        <f t="shared" si="27"/>
        <v>15.626265079750628</v>
      </c>
      <c r="AO40" s="110">
        <f t="shared" si="27"/>
        <v>15.327800500337528</v>
      </c>
      <c r="AP40" s="110">
        <f t="shared" si="27"/>
        <v>18.022818455366099</v>
      </c>
      <c r="AQ40" s="111">
        <f>VLOOKUP(AK40,IDACI!$B$8:$C$29,2,FALSE)</f>
        <v>8.5</v>
      </c>
      <c r="AR40" s="237" t="e">
        <f t="shared" si="28"/>
        <v>#N/A</v>
      </c>
      <c r="AS40" s="237" t="e">
        <f t="shared" si="28"/>
        <v>#N/A</v>
      </c>
      <c r="AT40" s="237" t="e">
        <f t="shared" si="28"/>
        <v>#N/A</v>
      </c>
      <c r="AU40" s="237" t="e">
        <f t="shared" si="28"/>
        <v>#N/A</v>
      </c>
      <c r="AV40" s="237" t="e">
        <f t="shared" si="28"/>
        <v>#N/A</v>
      </c>
      <c r="AW40" s="237" t="e">
        <f t="shared" si="29"/>
        <v>#N/A</v>
      </c>
      <c r="AX40" s="237" t="e">
        <f t="shared" si="29"/>
        <v>#N/A</v>
      </c>
      <c r="AY40" s="237">
        <f t="shared" si="29"/>
        <v>0</v>
      </c>
      <c r="AZ40" s="237" t="e">
        <f t="shared" si="29"/>
        <v>#N/A</v>
      </c>
      <c r="BA40" s="237">
        <f t="shared" si="29"/>
        <v>3.0434782608695653E-2</v>
      </c>
      <c r="BB40" s="61"/>
      <c r="BC40" s="237"/>
      <c r="BD40" s="237"/>
      <c r="BE40" s="237"/>
      <c r="BF40" s="237"/>
      <c r="BG40" s="237"/>
      <c r="BH40" s="237"/>
      <c r="BI40" s="237"/>
      <c r="BJ40" s="237"/>
      <c r="BK40" s="237"/>
      <c r="BL40" s="237"/>
      <c r="BM40" s="237"/>
      <c r="BN40" s="237"/>
      <c r="BO40" s="237"/>
      <c r="BP40" s="237"/>
    </row>
    <row r="41" spans="1:69" ht="14.25" customHeight="1">
      <c r="A41" s="87"/>
      <c r="B41" s="5"/>
      <c r="C41" s="5"/>
      <c r="D41" s="5"/>
      <c r="E41" s="5"/>
      <c r="F41" s="5"/>
      <c r="G41" s="5"/>
      <c r="H41" s="5"/>
      <c r="I41" s="5"/>
      <c r="J41" s="1"/>
      <c r="K41" s="10"/>
      <c r="L41" s="10"/>
      <c r="M41" s="10"/>
      <c r="N41" s="10"/>
      <c r="O41" s="5"/>
      <c r="P41" s="5"/>
      <c r="Q41" s="5"/>
      <c r="R41" s="5"/>
      <c r="S41" s="5"/>
      <c r="T41" s="5"/>
      <c r="U41" s="86"/>
      <c r="V41" s="102"/>
      <c r="W41" s="1155"/>
      <c r="X41" s="1247" t="str">
        <f>"Y= "&amp;Y41&amp;"x + "&amp;Z41</f>
        <v>Y= 0.770829083574511x + 16.3623978624502</v>
      </c>
      <c r="Y41" s="1248">
        <f>ReportData!$C$15</f>
        <v>0.77082908357451108</v>
      </c>
      <c r="Z41" s="1249">
        <f>ReportData!$C$16</f>
        <v>16.362397862450241</v>
      </c>
      <c r="AA41" s="1242">
        <v>22</v>
      </c>
      <c r="AB41" s="1241">
        <f>((AA41*Y41)+Z41)/$X$2</f>
        <v>33.320637701089481</v>
      </c>
      <c r="AC41" s="1169">
        <f>ROUND(ReportData!$C$17,3)</f>
        <v>5.2999999999999999E-2</v>
      </c>
      <c r="AD41" s="1236"/>
      <c r="AE41" s="1113"/>
      <c r="AF41" s="1113"/>
      <c r="AG41" s="1113"/>
      <c r="AH41" s="1113"/>
      <c r="AI41" s="1161" t="b">
        <v>1</v>
      </c>
      <c r="AJ41" s="921" t="s">
        <v>4</v>
      </c>
      <c r="AK41" s="61" t="str">
        <f t="shared" si="26"/>
        <v>East Sussex</v>
      </c>
      <c r="AL41" s="110">
        <f t="shared" si="27"/>
        <v>16.906170752324599</v>
      </c>
      <c r="AM41" s="110">
        <f t="shared" si="27"/>
        <v>19.82054111053613</v>
      </c>
      <c r="AN41" s="110">
        <f t="shared" si="27"/>
        <v>23.146558910934786</v>
      </c>
      <c r="AO41" s="110">
        <f t="shared" si="27"/>
        <v>23.437879893022124</v>
      </c>
      <c r="AP41" s="110">
        <f t="shared" si="27"/>
        <v>23.164681582147754</v>
      </c>
      <c r="AQ41" s="111">
        <f>VLOOKUP(AK41,IDACI!$B$8:$C$29,2,FALSE)</f>
        <v>16.100000000000001</v>
      </c>
      <c r="AR41" s="237" t="e">
        <f t="shared" si="28"/>
        <v>#N/A</v>
      </c>
      <c r="AS41" s="237" t="e">
        <f t="shared" si="28"/>
        <v>#N/A</v>
      </c>
      <c r="AT41" s="237" t="e">
        <f t="shared" si="28"/>
        <v>#N/A</v>
      </c>
      <c r="AU41" s="237" t="e">
        <f t="shared" si="28"/>
        <v>#N/A</v>
      </c>
      <c r="AV41" s="237" t="e">
        <f t="shared" si="28"/>
        <v>#N/A</v>
      </c>
      <c r="AW41" s="237" t="e">
        <f t="shared" si="29"/>
        <v>#N/A</v>
      </c>
      <c r="AX41" s="237" t="e">
        <f t="shared" si="29"/>
        <v>#N/A</v>
      </c>
      <c r="AY41" s="237" t="e">
        <f t="shared" si="29"/>
        <v>#N/A</v>
      </c>
      <c r="AZ41" s="237">
        <f t="shared" si="29"/>
        <v>2.4896265560165973E-2</v>
      </c>
      <c r="BA41" s="237" t="e">
        <f t="shared" si="29"/>
        <v>#N/A</v>
      </c>
      <c r="BB41" s="61"/>
      <c r="BC41" s="237"/>
      <c r="BD41" s="237"/>
      <c r="BE41" s="237"/>
      <c r="BF41" s="237"/>
      <c r="BG41" s="237"/>
      <c r="BH41" s="237"/>
      <c r="BI41" s="237"/>
      <c r="BJ41" s="237"/>
      <c r="BK41" s="237"/>
      <c r="BL41" s="237"/>
      <c r="BM41" s="237"/>
      <c r="BN41" s="237"/>
      <c r="BO41" s="237"/>
      <c r="BP41" s="237"/>
    </row>
    <row r="42" spans="1:69" ht="14.25" customHeight="1">
      <c r="A42" s="87"/>
      <c r="B42" s="76"/>
      <c r="C42" s="76"/>
      <c r="D42" s="77"/>
      <c r="E42" s="77"/>
      <c r="F42" s="77"/>
      <c r="G42" s="77"/>
      <c r="H42" s="77"/>
      <c r="I42" s="77"/>
      <c r="J42" s="1"/>
      <c r="K42" s="5"/>
      <c r="L42" s="5"/>
      <c r="M42" s="5"/>
      <c r="N42" s="5"/>
      <c r="O42" s="5"/>
      <c r="P42" s="5"/>
      <c r="Q42" s="5"/>
      <c r="R42" s="5"/>
      <c r="S42" s="5"/>
      <c r="T42" s="5"/>
      <c r="U42" s="86"/>
      <c r="V42" s="102"/>
      <c r="W42" s="1155"/>
      <c r="X42" s="1236"/>
      <c r="Y42" s="1237"/>
      <c r="Z42" s="1236"/>
      <c r="AA42" s="1236"/>
      <c r="AB42" s="1236"/>
      <c r="AC42" s="1236"/>
      <c r="AD42" s="1236"/>
      <c r="AE42" s="1113"/>
      <c r="AF42" s="1113"/>
      <c r="AG42" s="1113"/>
      <c r="AH42" s="1113"/>
      <c r="AI42" s="1161" t="b">
        <v>1</v>
      </c>
      <c r="AJ42" s="921" t="s">
        <v>6</v>
      </c>
      <c r="AK42" s="61" t="str">
        <f t="shared" si="26"/>
        <v>Hampshire</v>
      </c>
      <c r="AL42" s="110">
        <f t="shared" si="27"/>
        <v>19.653468890957257</v>
      </c>
      <c r="AM42" s="110">
        <f t="shared" si="27"/>
        <v>21.969686126894619</v>
      </c>
      <c r="AN42" s="110">
        <f t="shared" si="27"/>
        <v>21.678075243210916</v>
      </c>
      <c r="AO42" s="110">
        <f t="shared" si="27"/>
        <v>25.78601487898916</v>
      </c>
      <c r="AP42" s="110">
        <f t="shared" si="27"/>
        <v>24.018766849900217</v>
      </c>
      <c r="AQ42" s="111">
        <f>VLOOKUP(AK42,IDACI!$B$8:$C$29,2,FALSE)</f>
        <v>10.100000000000001</v>
      </c>
      <c r="AR42" s="237" t="e">
        <f t="shared" si="28"/>
        <v>#N/A</v>
      </c>
      <c r="AS42" s="237" t="e">
        <f t="shared" si="28"/>
        <v>#N/A</v>
      </c>
      <c r="AT42" s="237" t="e">
        <f t="shared" si="28"/>
        <v>#N/A</v>
      </c>
      <c r="AU42" s="237" t="e">
        <f t="shared" si="28"/>
        <v>#N/A</v>
      </c>
      <c r="AV42" s="237" t="e">
        <f t="shared" si="28"/>
        <v>#N/A</v>
      </c>
      <c r="AW42" s="237">
        <f t="shared" si="29"/>
        <v>1.8214936247723135E-2</v>
      </c>
      <c r="AX42" s="237">
        <f t="shared" si="29"/>
        <v>9.7719869706840382E-3</v>
      </c>
      <c r="AY42" s="237" t="e">
        <f t="shared" si="29"/>
        <v>#N/A</v>
      </c>
      <c r="AZ42" s="237" t="e">
        <f t="shared" si="29"/>
        <v>#N/A</v>
      </c>
      <c r="BA42" s="237" t="e">
        <f t="shared" si="29"/>
        <v>#N/A</v>
      </c>
      <c r="BB42" s="61"/>
      <c r="BC42" s="237"/>
      <c r="BD42" s="237"/>
      <c r="BE42" s="237"/>
      <c r="BF42" s="237"/>
      <c r="BG42" s="237"/>
      <c r="BH42" s="237"/>
      <c r="BI42" s="237"/>
      <c r="BJ42" s="237"/>
      <c r="BK42" s="237"/>
      <c r="BL42" s="237"/>
      <c r="BM42" s="237"/>
      <c r="BN42" s="237"/>
      <c r="BO42" s="237"/>
      <c r="BP42" s="237"/>
    </row>
    <row r="43" spans="1:69" ht="14.25" customHeight="1">
      <c r="A43" s="87"/>
      <c r="B43" s="77"/>
      <c r="C43" s="77"/>
      <c r="D43" s="77"/>
      <c r="E43" s="77"/>
      <c r="F43" s="77"/>
      <c r="G43" s="77"/>
      <c r="H43" s="77"/>
      <c r="I43" s="77"/>
      <c r="J43" s="1"/>
      <c r="K43" s="5"/>
      <c r="L43" s="5"/>
      <c r="M43" s="5"/>
      <c r="N43" s="5"/>
      <c r="O43" s="5"/>
      <c r="P43" s="5"/>
      <c r="Q43" s="5"/>
      <c r="R43" s="5"/>
      <c r="S43" s="5"/>
      <c r="T43" s="5"/>
      <c r="U43" s="86"/>
      <c r="V43" s="102"/>
      <c r="W43" s="1155"/>
      <c r="X43" s="1236"/>
      <c r="Y43" s="1237"/>
      <c r="Z43" s="1236"/>
      <c r="AA43" s="1236"/>
      <c r="AB43" s="1236"/>
      <c r="AC43" s="1236"/>
      <c r="AD43" s="1236"/>
      <c r="AE43" s="1113"/>
      <c r="AF43" s="1113"/>
      <c r="AG43" s="1113"/>
      <c r="AH43" s="1113"/>
      <c r="AI43" s="1161" t="b">
        <v>1</v>
      </c>
      <c r="AJ43" s="921" t="s">
        <v>1</v>
      </c>
      <c r="AK43" s="61" t="str">
        <f t="shared" si="26"/>
        <v>Isle of Wight</v>
      </c>
      <c r="AL43" s="110">
        <f t="shared" si="27"/>
        <v>29.628410353483396</v>
      </c>
      <c r="AM43" s="110">
        <f t="shared" si="27"/>
        <v>29.717060103800435</v>
      </c>
      <c r="AN43" s="110">
        <f t="shared" si="27"/>
        <v>40.192926045016073</v>
      </c>
      <c r="AO43" s="110">
        <f t="shared" si="27"/>
        <v>35.693039857227838</v>
      </c>
      <c r="AP43" s="110">
        <f t="shared" si="27"/>
        <v>29.43937196006485</v>
      </c>
      <c r="AQ43" s="111">
        <f>VLOOKUP(AK43,IDACI!$B$8:$C$29,2,FALSE)</f>
        <v>18</v>
      </c>
      <c r="AR43" s="237" t="e">
        <f t="shared" si="28"/>
        <v>#N/A</v>
      </c>
      <c r="AS43" s="237" t="e">
        <f t="shared" si="28"/>
        <v>#N/A</v>
      </c>
      <c r="AT43" s="237" t="e">
        <f t="shared" si="28"/>
        <v>#N/A</v>
      </c>
      <c r="AU43" s="237" t="e">
        <f t="shared" si="28"/>
        <v>#N/A</v>
      </c>
      <c r="AV43" s="237" t="e">
        <f t="shared" si="28"/>
        <v>#N/A</v>
      </c>
      <c r="AW43" s="237" t="e">
        <f t="shared" si="29"/>
        <v>#N/A</v>
      </c>
      <c r="AX43" s="237" t="e">
        <f t="shared" si="29"/>
        <v>#N/A</v>
      </c>
      <c r="AY43" s="237" t="e">
        <f t="shared" si="29"/>
        <v>#N/A</v>
      </c>
      <c r="AZ43" s="237" t="e">
        <f t="shared" si="29"/>
        <v>#N/A</v>
      </c>
      <c r="BA43" s="237" t="e">
        <f t="shared" si="29"/>
        <v>#N/A</v>
      </c>
      <c r="BB43" s="61"/>
      <c r="BC43" s="237"/>
      <c r="BD43" s="237"/>
      <c r="BE43" s="237"/>
      <c r="BF43" s="237"/>
      <c r="BG43" s="237"/>
      <c r="BH43" s="237"/>
      <c r="BI43" s="237"/>
      <c r="BJ43" s="237"/>
      <c r="BK43" s="237"/>
      <c r="BL43" s="237"/>
      <c r="BM43" s="237"/>
      <c r="BN43" s="237"/>
      <c r="BO43" s="237"/>
      <c r="BP43" s="237"/>
    </row>
    <row r="44" spans="1:69" ht="14.25" customHeight="1">
      <c r="A44" s="87"/>
      <c r="B44" s="77"/>
      <c r="C44" s="77"/>
      <c r="D44" s="77"/>
      <c r="E44" s="77"/>
      <c r="F44" s="77"/>
      <c r="G44" s="77"/>
      <c r="H44" s="77"/>
      <c r="I44" s="77"/>
      <c r="J44" s="1"/>
      <c r="K44" s="5"/>
      <c r="L44" s="5"/>
      <c r="M44" s="5"/>
      <c r="N44" s="5"/>
      <c r="O44" s="5"/>
      <c r="P44" s="5"/>
      <c r="Q44" s="5"/>
      <c r="R44" s="5"/>
      <c r="S44" s="5"/>
      <c r="T44" s="5"/>
      <c r="U44" s="86"/>
      <c r="V44" s="102"/>
      <c r="W44" s="1155"/>
      <c r="X44" s="1236"/>
      <c r="Y44" s="1237"/>
      <c r="Z44" s="1236"/>
      <c r="AA44" s="1236"/>
      <c r="AB44" s="1236"/>
      <c r="AC44" s="1250"/>
      <c r="AD44" s="1236"/>
      <c r="AE44" s="1113"/>
      <c r="AF44" s="1113"/>
      <c r="AG44" s="1113"/>
      <c r="AH44" s="1113"/>
      <c r="AI44" s="1161" t="b">
        <v>1</v>
      </c>
      <c r="AJ44" s="921" t="s">
        <v>9</v>
      </c>
      <c r="AK44" s="61" t="str">
        <f t="shared" si="26"/>
        <v>Kent</v>
      </c>
      <c r="AL44" s="110">
        <f t="shared" si="27"/>
        <v>28.379177003866889</v>
      </c>
      <c r="AM44" s="110">
        <f t="shared" si="27"/>
        <v>29.184508288878789</v>
      </c>
      <c r="AN44" s="110">
        <f t="shared" si="27"/>
        <v>44.482000410603085</v>
      </c>
      <c r="AO44" s="110">
        <f t="shared" si="27"/>
        <v>52.062369844075391</v>
      </c>
      <c r="AP44" s="110">
        <f t="shared" si="27"/>
        <v>78.68929641835949</v>
      </c>
      <c r="AQ44" s="111">
        <f>VLOOKUP(AK44,IDACI!$B$8:$C$29,2,FALSE)</f>
        <v>15.8</v>
      </c>
      <c r="AR44" s="237" t="e">
        <f t="shared" si="28"/>
        <v>#N/A</v>
      </c>
      <c r="AS44" s="237" t="e">
        <f t="shared" si="28"/>
        <v>#N/A</v>
      </c>
      <c r="AT44" s="237" t="e">
        <f t="shared" si="28"/>
        <v>#N/A</v>
      </c>
      <c r="AU44" s="237" t="e">
        <f t="shared" si="28"/>
        <v>#N/A</v>
      </c>
      <c r="AV44" s="237" t="e">
        <f t="shared" si="28"/>
        <v>#N/A</v>
      </c>
      <c r="AW44" s="237">
        <f t="shared" si="29"/>
        <v>1.1627906976744186E-2</v>
      </c>
      <c r="AX44" s="237">
        <f t="shared" si="29"/>
        <v>9.2213114754098359E-3</v>
      </c>
      <c r="AY44" s="237">
        <f t="shared" si="29"/>
        <v>5.3511705685618726E-3</v>
      </c>
      <c r="AZ44" s="237">
        <f t="shared" si="29"/>
        <v>6.7226890756302525E-3</v>
      </c>
      <c r="BA44" s="237">
        <f t="shared" si="29"/>
        <v>6.2021160160525357E-3</v>
      </c>
      <c r="BB44" s="61"/>
      <c r="BC44" s="237"/>
      <c r="BD44" s="237"/>
      <c r="BE44" s="237"/>
      <c r="BF44" s="237"/>
      <c r="BG44" s="237"/>
      <c r="BH44" s="237"/>
      <c r="BI44" s="237"/>
      <c r="BJ44" s="237"/>
      <c r="BK44" s="237"/>
      <c r="BL44" s="237"/>
      <c r="BM44" s="237"/>
      <c r="BN44" s="237"/>
      <c r="BO44" s="237"/>
      <c r="BP44" s="237"/>
    </row>
    <row r="45" spans="1:69" ht="14.25" customHeight="1">
      <c r="A45" s="87"/>
      <c r="B45" s="40"/>
      <c r="C45" s="40"/>
      <c r="D45" s="40"/>
      <c r="E45" s="40"/>
      <c r="F45" s="40"/>
      <c r="G45" s="40"/>
      <c r="H45" s="40"/>
      <c r="I45" s="40"/>
      <c r="J45" s="1"/>
      <c r="K45" s="5"/>
      <c r="L45" s="5"/>
      <c r="M45" s="5"/>
      <c r="N45" s="5"/>
      <c r="O45" s="5"/>
      <c r="P45" s="5"/>
      <c r="Q45" s="5"/>
      <c r="R45" s="5"/>
      <c r="S45" s="5"/>
      <c r="T45" s="5"/>
      <c r="U45" s="86"/>
      <c r="V45" s="102"/>
      <c r="W45" s="1155"/>
      <c r="X45" s="1236"/>
      <c r="Y45" s="1237"/>
      <c r="Z45" s="1236"/>
      <c r="AA45" s="1236"/>
      <c r="AB45" s="1236"/>
      <c r="AC45" s="1251"/>
      <c r="AD45" s="1236"/>
      <c r="AE45" s="1113"/>
      <c r="AF45" s="1113"/>
      <c r="AG45" s="1113"/>
      <c r="AH45" s="1113"/>
      <c r="AI45" s="1161" t="b">
        <v>1</v>
      </c>
      <c r="AJ45" s="921" t="s">
        <v>2</v>
      </c>
      <c r="AK45" s="61" t="str">
        <f t="shared" si="26"/>
        <v>Medway</v>
      </c>
      <c r="AL45" s="110">
        <f t="shared" si="27"/>
        <v>27.327553712777988</v>
      </c>
      <c r="AM45" s="110">
        <f t="shared" si="27"/>
        <v>23.39273098359369</v>
      </c>
      <c r="AN45" s="110">
        <f t="shared" si="27"/>
        <v>19.587257313881882</v>
      </c>
      <c r="AO45" s="110">
        <f t="shared" si="27"/>
        <v>24.940343314602416</v>
      </c>
      <c r="AP45" s="110">
        <f t="shared" si="27"/>
        <v>28.491310150404125</v>
      </c>
      <c r="AQ45" s="111">
        <f>VLOOKUP(AK45,IDACI!$B$8:$C$29,2,FALSE)</f>
        <v>18.899999999999999</v>
      </c>
      <c r="AR45" s="237" t="e">
        <f t="shared" si="28"/>
        <v>#N/A</v>
      </c>
      <c r="AS45" s="237" t="e">
        <f t="shared" si="28"/>
        <v>#N/A</v>
      </c>
      <c r="AT45" s="237" t="e">
        <f t="shared" si="28"/>
        <v>#N/A</v>
      </c>
      <c r="AU45" s="237" t="e">
        <f t="shared" si="28"/>
        <v>#N/A</v>
      </c>
      <c r="AV45" s="237" t="e">
        <f t="shared" si="28"/>
        <v>#N/A</v>
      </c>
      <c r="AW45" s="237" t="e">
        <f t="shared" si="29"/>
        <v>#N/A</v>
      </c>
      <c r="AX45" s="237" t="e">
        <f t="shared" si="29"/>
        <v>#N/A</v>
      </c>
      <c r="AY45" s="237">
        <f t="shared" si="29"/>
        <v>0</v>
      </c>
      <c r="AZ45" s="237" t="e">
        <f t="shared" si="29"/>
        <v>#N/A</v>
      </c>
      <c r="BA45" s="237" t="e">
        <f t="shared" si="29"/>
        <v>#N/A</v>
      </c>
      <c r="BB45" s="61"/>
      <c r="BC45" s="237"/>
      <c r="BD45" s="237"/>
      <c r="BE45" s="237"/>
      <c r="BF45" s="237"/>
      <c r="BG45" s="237"/>
      <c r="BH45" s="237"/>
      <c r="BI45" s="237"/>
      <c r="BJ45" s="237"/>
      <c r="BK45" s="237"/>
      <c r="BL45" s="237"/>
      <c r="BM45" s="237"/>
      <c r="BN45" s="237"/>
      <c r="BO45" s="237"/>
      <c r="BP45" s="237"/>
    </row>
    <row r="46" spans="1:69" ht="14.25" customHeight="1">
      <c r="A46" s="87"/>
      <c r="B46" s="40"/>
      <c r="C46" s="40"/>
      <c r="D46" s="49"/>
      <c r="E46" s="50"/>
      <c r="F46" s="49"/>
      <c r="G46" s="50"/>
      <c r="H46" s="50"/>
      <c r="I46" s="50"/>
      <c r="J46" s="1"/>
      <c r="K46" s="5"/>
      <c r="L46" s="5"/>
      <c r="M46" s="5"/>
      <c r="N46" s="5"/>
      <c r="O46" s="5"/>
      <c r="P46" s="5"/>
      <c r="Q46" s="5"/>
      <c r="R46" s="5"/>
      <c r="S46" s="5"/>
      <c r="T46" s="5"/>
      <c r="U46" s="86"/>
      <c r="V46" s="102"/>
      <c r="W46" s="1155"/>
      <c r="X46" s="1236"/>
      <c r="Y46" s="1237"/>
      <c r="Z46" s="1236"/>
      <c r="AA46" s="1236"/>
      <c r="AB46" s="1236"/>
      <c r="AC46" s="1236"/>
      <c r="AD46" s="1236"/>
      <c r="AE46" s="1113"/>
      <c r="AF46" s="1113"/>
      <c r="AG46" s="1113"/>
      <c r="AH46" s="1113"/>
      <c r="AI46" s="1161" t="b">
        <v>1</v>
      </c>
      <c r="AJ46" s="921" t="s">
        <v>10</v>
      </c>
      <c r="AK46" s="61" t="str">
        <f t="shared" si="26"/>
        <v>Milton Keynes</v>
      </c>
      <c r="AL46" s="110">
        <f t="shared" si="27"/>
        <v>24.334777003635729</v>
      </c>
      <c r="AM46" s="110">
        <f t="shared" si="27"/>
        <v>23.230647139456028</v>
      </c>
      <c r="AN46" s="110">
        <f t="shared" si="27"/>
        <v>21.540891792920227</v>
      </c>
      <c r="AO46" s="110">
        <f t="shared" si="27"/>
        <v>23.39642852109202</v>
      </c>
      <c r="AP46" s="110">
        <f t="shared" si="27"/>
        <v>32.69365495830872</v>
      </c>
      <c r="AQ46" s="111">
        <f>VLOOKUP(AK46,IDACI!$B$8:$C$29,2,FALSE)</f>
        <v>15</v>
      </c>
      <c r="AR46" s="237" t="e">
        <f t="shared" si="28"/>
        <v>#N/A</v>
      </c>
      <c r="AS46" s="237" t="e">
        <f t="shared" si="28"/>
        <v>#N/A</v>
      </c>
      <c r="AT46" s="237" t="e">
        <f t="shared" si="28"/>
        <v>#N/A</v>
      </c>
      <c r="AU46" s="237" t="e">
        <f t="shared" si="28"/>
        <v>#N/A</v>
      </c>
      <c r="AV46" s="237" t="e">
        <f t="shared" si="28"/>
        <v>#N/A</v>
      </c>
      <c r="AW46" s="237" t="e">
        <f t="shared" si="29"/>
        <v>#N/A</v>
      </c>
      <c r="AX46" s="237" t="e">
        <f t="shared" si="29"/>
        <v>#N/A</v>
      </c>
      <c r="AY46" s="237" t="e">
        <f t="shared" si="29"/>
        <v>#N/A</v>
      </c>
      <c r="AZ46" s="237">
        <f t="shared" si="29"/>
        <v>0</v>
      </c>
      <c r="BA46" s="237" t="e">
        <f t="shared" si="29"/>
        <v>#N/A</v>
      </c>
      <c r="BB46" s="61"/>
      <c r="BC46" s="237"/>
      <c r="BD46" s="237"/>
      <c r="BE46" s="237"/>
      <c r="BF46" s="237"/>
      <c r="BG46" s="237"/>
      <c r="BH46" s="237"/>
      <c r="BI46" s="237"/>
      <c r="BJ46" s="237"/>
      <c r="BK46" s="237"/>
      <c r="BL46" s="237"/>
      <c r="BM46" s="237"/>
      <c r="BN46" s="237"/>
      <c r="BO46" s="237"/>
      <c r="BP46" s="237"/>
    </row>
    <row r="47" spans="1:69" ht="14.25" customHeight="1">
      <c r="A47" s="87"/>
      <c r="B47" s="40"/>
      <c r="C47" s="40"/>
      <c r="D47" s="43"/>
      <c r="E47" s="43"/>
      <c r="F47" s="43"/>
      <c r="G47" s="43"/>
      <c r="H47" s="43"/>
      <c r="I47" s="43"/>
      <c r="J47" s="1"/>
      <c r="K47" s="5"/>
      <c r="L47" s="5"/>
      <c r="M47" s="5"/>
      <c r="N47" s="5"/>
      <c r="O47" s="5"/>
      <c r="P47" s="5"/>
      <c r="Q47" s="5"/>
      <c r="R47" s="5"/>
      <c r="S47" s="5"/>
      <c r="T47" s="5"/>
      <c r="U47" s="86"/>
      <c r="V47" s="102"/>
      <c r="W47" s="1155"/>
      <c r="X47" s="1236"/>
      <c r="Y47" s="1237"/>
      <c r="Z47" s="1236"/>
      <c r="AA47" s="1236"/>
      <c r="AB47" s="1236"/>
      <c r="AC47" s="1236"/>
      <c r="AD47" s="1236"/>
      <c r="AE47" s="1113"/>
      <c r="AF47" s="1113"/>
      <c r="AG47" s="1113"/>
      <c r="AH47" s="1113"/>
      <c r="AI47" s="1161" t="b">
        <v>1</v>
      </c>
      <c r="AJ47" s="921" t="s">
        <v>11</v>
      </c>
      <c r="AK47" s="61" t="str">
        <f t="shared" si="26"/>
        <v>Oxfordshire</v>
      </c>
      <c r="AL47" s="110">
        <f t="shared" si="27"/>
        <v>21.394595268263298</v>
      </c>
      <c r="AM47" s="110">
        <f t="shared" si="27"/>
        <v>19.832115632251977</v>
      </c>
      <c r="AN47" s="110">
        <f t="shared" si="27"/>
        <v>25.351400476961661</v>
      </c>
      <c r="AO47" s="110">
        <f t="shared" si="27"/>
        <v>24.609129452045636</v>
      </c>
      <c r="AP47" s="110">
        <f t="shared" si="27"/>
        <v>14.3601849119701</v>
      </c>
      <c r="AQ47" s="111">
        <f>VLOOKUP(AK47,IDACI!$B$8:$C$29,2,FALSE)</f>
        <v>10.100000000000001</v>
      </c>
      <c r="AR47" s="237" t="e">
        <f t="shared" si="28"/>
        <v>#N/A</v>
      </c>
      <c r="AS47" s="237" t="e">
        <f t="shared" si="28"/>
        <v>#N/A</v>
      </c>
      <c r="AT47" s="237" t="e">
        <f t="shared" si="28"/>
        <v>#N/A</v>
      </c>
      <c r="AU47" s="237" t="e">
        <f t="shared" si="28"/>
        <v>#N/A</v>
      </c>
      <c r="AV47" s="237" t="e">
        <f t="shared" si="28"/>
        <v>#N/A</v>
      </c>
      <c r="AW47" s="237" t="e">
        <f t="shared" si="29"/>
        <v>#N/A</v>
      </c>
      <c r="AX47" s="237" t="e">
        <f t="shared" si="29"/>
        <v>#N/A</v>
      </c>
      <c r="AY47" s="237" t="e">
        <f t="shared" si="29"/>
        <v>#N/A</v>
      </c>
      <c r="AZ47" s="237" t="e">
        <f t="shared" si="29"/>
        <v>#N/A</v>
      </c>
      <c r="BA47" s="237" t="e">
        <f t="shared" si="29"/>
        <v>#N/A</v>
      </c>
      <c r="BB47" s="61"/>
      <c r="BC47" s="237"/>
      <c r="BD47" s="237"/>
      <c r="BE47" s="237"/>
      <c r="BF47" s="237"/>
      <c r="BG47" s="237"/>
      <c r="BH47" s="237"/>
      <c r="BI47" s="237"/>
      <c r="BJ47" s="237"/>
      <c r="BK47" s="237"/>
      <c r="BL47" s="237"/>
      <c r="BM47" s="237"/>
      <c r="BN47" s="237"/>
      <c r="BO47" s="237"/>
      <c r="BP47" s="237"/>
    </row>
    <row r="48" spans="1:69" ht="14.25" customHeight="1">
      <c r="A48" s="87"/>
      <c r="B48" s="48"/>
      <c r="C48" s="48"/>
      <c r="D48" s="40"/>
      <c r="E48" s="40"/>
      <c r="F48" s="40"/>
      <c r="G48" s="40"/>
      <c r="H48" s="40"/>
      <c r="I48" s="40"/>
      <c r="J48" s="1"/>
      <c r="K48" s="5"/>
      <c r="L48" s="5"/>
      <c r="M48" s="5"/>
      <c r="N48" s="5"/>
      <c r="O48" s="5"/>
      <c r="P48" s="5"/>
      <c r="Q48" s="5"/>
      <c r="R48" s="5"/>
      <c r="S48" s="5"/>
      <c r="T48" s="5"/>
      <c r="U48" s="86"/>
      <c r="V48" s="102"/>
      <c r="W48" s="1155"/>
      <c r="X48" s="1236"/>
      <c r="Y48" s="1237"/>
      <c r="Z48" s="1236"/>
      <c r="AA48" s="1236"/>
      <c r="AB48" s="1236"/>
      <c r="AC48" s="1236"/>
      <c r="AD48" s="1236"/>
      <c r="AE48" s="1113"/>
      <c r="AF48" s="1113"/>
      <c r="AG48" s="1113"/>
      <c r="AH48" s="1113"/>
      <c r="AI48" s="1161" t="b">
        <v>1</v>
      </c>
      <c r="AJ48" s="921" t="s">
        <v>12</v>
      </c>
      <c r="AK48" s="61" t="str">
        <f t="shared" si="26"/>
        <v>Portsmouth</v>
      </c>
      <c r="AL48" s="110">
        <f t="shared" ref="AL48:AP58" si="30">VLOOKUP($AK48,$B$11:$O$31,AL$34,FALSE)</f>
        <v>42.585587514571884</v>
      </c>
      <c r="AM48" s="110">
        <f t="shared" si="30"/>
        <v>30.096739519885343</v>
      </c>
      <c r="AN48" s="110">
        <f t="shared" si="30"/>
        <v>31.847902140082514</v>
      </c>
      <c r="AO48" s="110">
        <f t="shared" si="30"/>
        <v>36.540803897685748</v>
      </c>
      <c r="AP48" s="110">
        <f t="shared" si="30"/>
        <v>39.709740704847896</v>
      </c>
      <c r="AQ48" s="111">
        <f>VLOOKUP(AK48,IDACI!$B$8:$C$29,2,FALSE)</f>
        <v>20.200000000000003</v>
      </c>
      <c r="AR48" s="237" t="e">
        <f t="shared" ref="AR48:AV58" si="31">VLOOKUP($AK48,$B$109:$H$129,AR$34,FALSE)</f>
        <v>#N/A</v>
      </c>
      <c r="AS48" s="237" t="e">
        <f t="shared" si="31"/>
        <v>#N/A</v>
      </c>
      <c r="AT48" s="237" t="e">
        <f t="shared" si="31"/>
        <v>#N/A</v>
      </c>
      <c r="AU48" s="237" t="e">
        <f t="shared" si="31"/>
        <v>#N/A</v>
      </c>
      <c r="AV48" s="237" t="e">
        <f t="shared" si="31"/>
        <v>#N/A</v>
      </c>
      <c r="AW48" s="237" t="e">
        <f t="shared" ref="AW48:BA58" si="32">VLOOKUP($AK48,$B$142:$H$162,AW$34,FALSE)</f>
        <v>#N/A</v>
      </c>
      <c r="AX48" s="237">
        <f t="shared" si="32"/>
        <v>0</v>
      </c>
      <c r="AY48" s="237" t="e">
        <f t="shared" si="32"/>
        <v>#N/A</v>
      </c>
      <c r="AZ48" s="237" t="e">
        <f t="shared" si="32"/>
        <v>#N/A</v>
      </c>
      <c r="BA48" s="237" t="e">
        <f t="shared" si="32"/>
        <v>#N/A</v>
      </c>
      <c r="BB48" s="61"/>
      <c r="BC48" s="237"/>
      <c r="BD48" s="237"/>
      <c r="BE48" s="237"/>
      <c r="BF48" s="237"/>
      <c r="BG48" s="237"/>
      <c r="BH48" s="237"/>
      <c r="BI48" s="237"/>
      <c r="BJ48" s="237"/>
      <c r="BK48" s="237"/>
      <c r="BL48" s="237"/>
      <c r="BM48" s="237"/>
      <c r="BN48" s="237"/>
      <c r="BO48" s="237"/>
      <c r="BP48" s="237"/>
    </row>
    <row r="49" spans="1:76" ht="14.25" customHeight="1">
      <c r="A49" s="87"/>
      <c r="B49" s="48"/>
      <c r="C49" s="48"/>
      <c r="D49" s="40"/>
      <c r="E49" s="40"/>
      <c r="F49" s="40"/>
      <c r="G49" s="40"/>
      <c r="H49" s="40"/>
      <c r="I49" s="40"/>
      <c r="J49" s="1"/>
      <c r="K49" s="5"/>
      <c r="L49" s="5"/>
      <c r="M49" s="5"/>
      <c r="N49" s="5"/>
      <c r="O49" s="5"/>
      <c r="P49" s="5"/>
      <c r="Q49" s="5"/>
      <c r="R49" s="5"/>
      <c r="S49" s="5"/>
      <c r="T49" s="5"/>
      <c r="U49" s="86"/>
      <c r="V49" s="102"/>
      <c r="W49" s="1155"/>
      <c r="X49" s="1236"/>
      <c r="Y49" s="1237"/>
      <c r="Z49" s="1236"/>
      <c r="AA49" s="1236"/>
      <c r="AB49" s="1236"/>
      <c r="AC49" s="1236"/>
      <c r="AD49" s="1236"/>
      <c r="AE49" s="1113"/>
      <c r="AF49" s="1113"/>
      <c r="AG49" s="1113"/>
      <c r="AH49" s="1113"/>
      <c r="AI49" s="1161" t="b">
        <v>1</v>
      </c>
      <c r="AJ49" s="921" t="s">
        <v>3</v>
      </c>
      <c r="AK49" s="61" t="str">
        <f t="shared" si="26"/>
        <v>Reading</v>
      </c>
      <c r="AL49" s="110">
        <f t="shared" si="30"/>
        <v>31.325951930866864</v>
      </c>
      <c r="AM49" s="110">
        <f t="shared" si="30"/>
        <v>25.425333369397634</v>
      </c>
      <c r="AN49" s="110">
        <f t="shared" si="30"/>
        <v>21.742720317058403</v>
      </c>
      <c r="AO49" s="110">
        <f t="shared" si="30"/>
        <v>26.570048309178745</v>
      </c>
      <c r="AP49" s="110">
        <f t="shared" si="30"/>
        <v>29.528856547760288</v>
      </c>
      <c r="AQ49" s="111">
        <f>VLOOKUP(AK49,IDACI!$B$8:$C$29,2,FALSE)</f>
        <v>16</v>
      </c>
      <c r="AR49" s="237" t="e">
        <f t="shared" si="31"/>
        <v>#N/A</v>
      </c>
      <c r="AS49" s="237" t="e">
        <f t="shared" si="31"/>
        <v>#N/A</v>
      </c>
      <c r="AT49" s="237" t="e">
        <f t="shared" si="31"/>
        <v>#N/A</v>
      </c>
      <c r="AU49" s="237" t="e">
        <f t="shared" si="31"/>
        <v>#N/A</v>
      </c>
      <c r="AV49" s="237" t="e">
        <f t="shared" si="31"/>
        <v>#N/A</v>
      </c>
      <c r="AW49" s="237" t="e">
        <f t="shared" si="32"/>
        <v>#N/A</v>
      </c>
      <c r="AX49" s="237" t="e">
        <f t="shared" si="32"/>
        <v>#N/A</v>
      </c>
      <c r="AY49" s="237" t="e">
        <f t="shared" si="32"/>
        <v>#N/A</v>
      </c>
      <c r="AZ49" s="237" t="e">
        <f t="shared" si="32"/>
        <v>#N/A</v>
      </c>
      <c r="BA49" s="237" t="e">
        <f t="shared" si="32"/>
        <v>#N/A</v>
      </c>
      <c r="BB49" s="237"/>
      <c r="BC49" s="237"/>
      <c r="BD49" s="237"/>
      <c r="BE49" s="237"/>
      <c r="BF49" s="237"/>
      <c r="BG49" s="237"/>
      <c r="BH49" s="237"/>
      <c r="BI49" s="237"/>
      <c r="BJ49" s="237"/>
      <c r="BK49" s="237"/>
      <c r="BL49" s="237"/>
      <c r="BM49" s="237"/>
      <c r="BN49" s="237"/>
      <c r="BO49" s="237"/>
      <c r="BP49" s="237"/>
    </row>
    <row r="50" spans="1:76" ht="14.25" customHeight="1">
      <c r="A50" s="87"/>
      <c r="B50" s="48"/>
      <c r="C50" s="48"/>
      <c r="D50" s="40"/>
      <c r="E50" s="40"/>
      <c r="F50" s="40"/>
      <c r="G50" s="40"/>
      <c r="H50" s="40"/>
      <c r="I50" s="40"/>
      <c r="J50" s="1"/>
      <c r="K50" s="5"/>
      <c r="L50" s="5"/>
      <c r="M50" s="5"/>
      <c r="N50" s="5"/>
      <c r="O50" s="5"/>
      <c r="P50" s="5"/>
      <c r="Q50" s="5"/>
      <c r="R50" s="5"/>
      <c r="S50" s="5"/>
      <c r="T50" s="5"/>
      <c r="U50" s="86"/>
      <c r="V50" s="102"/>
      <c r="W50" s="1155"/>
      <c r="X50" s="1236"/>
      <c r="Y50" s="1237"/>
      <c r="Z50" s="1236"/>
      <c r="AA50" s="1236"/>
      <c r="AB50" s="1236"/>
      <c r="AC50" s="1236"/>
      <c r="AD50" s="1236"/>
      <c r="AE50" s="1113"/>
      <c r="AF50" s="1113"/>
      <c r="AG50" s="1113"/>
      <c r="AH50" s="1113"/>
      <c r="AI50" s="1161" t="b">
        <v>1</v>
      </c>
      <c r="AJ50" s="921" t="s">
        <v>13</v>
      </c>
      <c r="AK50" s="61" t="str">
        <f t="shared" si="26"/>
        <v>Slough</v>
      </c>
      <c r="AL50" s="110">
        <f t="shared" si="30"/>
        <v>24.609581637112168</v>
      </c>
      <c r="AM50" s="110">
        <f t="shared" si="30"/>
        <v>29.384965831435078</v>
      </c>
      <c r="AN50" s="110">
        <f t="shared" si="30"/>
        <v>28.122642156526513</v>
      </c>
      <c r="AO50" s="110">
        <f t="shared" si="30"/>
        <v>31.638418079096045</v>
      </c>
      <c r="AP50" s="110">
        <f t="shared" si="30"/>
        <v>16.276840063323597</v>
      </c>
      <c r="AQ50" s="111">
        <f>VLOOKUP(AK50,IDACI!$B$8:$C$29,2,FALSE)</f>
        <v>14.7</v>
      </c>
      <c r="AR50" s="237" t="e">
        <f t="shared" si="31"/>
        <v>#N/A</v>
      </c>
      <c r="AS50" s="237" t="e">
        <f t="shared" si="31"/>
        <v>#N/A</v>
      </c>
      <c r="AT50" s="237" t="e">
        <f t="shared" si="31"/>
        <v>#N/A</v>
      </c>
      <c r="AU50" s="237" t="e">
        <f t="shared" si="31"/>
        <v>#N/A</v>
      </c>
      <c r="AV50" s="237" t="e">
        <f t="shared" si="31"/>
        <v>#N/A</v>
      </c>
      <c r="AW50" s="237" t="e">
        <f t="shared" si="32"/>
        <v>#N/A</v>
      </c>
      <c r="AX50" s="237" t="e">
        <f t="shared" si="32"/>
        <v>#N/A</v>
      </c>
      <c r="AY50" s="237" t="e">
        <f t="shared" si="32"/>
        <v>#N/A</v>
      </c>
      <c r="AZ50" s="237" t="e">
        <f t="shared" si="32"/>
        <v>#N/A</v>
      </c>
      <c r="BA50" s="237" t="e">
        <f t="shared" si="32"/>
        <v>#N/A</v>
      </c>
      <c r="BB50" s="237"/>
      <c r="BC50" s="237"/>
      <c r="BD50" s="237"/>
      <c r="BE50" s="237"/>
      <c r="BF50" s="237"/>
      <c r="BG50" s="237"/>
      <c r="BH50" s="237"/>
      <c r="BI50" s="237"/>
      <c r="BJ50" s="237"/>
      <c r="BK50" s="237"/>
      <c r="BL50" s="237"/>
      <c r="BM50" s="237"/>
      <c r="BN50" s="237"/>
      <c r="BO50" s="237"/>
      <c r="BP50" s="237"/>
    </row>
    <row r="51" spans="1:76" ht="14.25" customHeight="1">
      <c r="A51" s="87"/>
      <c r="B51" s="48"/>
      <c r="C51" s="48"/>
      <c r="D51" s="40"/>
      <c r="E51" s="40"/>
      <c r="F51" s="40"/>
      <c r="G51" s="40"/>
      <c r="H51" s="40"/>
      <c r="I51" s="40"/>
      <c r="J51" s="1"/>
      <c r="K51" s="5"/>
      <c r="L51" s="5"/>
      <c r="M51" s="5"/>
      <c r="N51" s="5"/>
      <c r="O51" s="5"/>
      <c r="P51" s="5"/>
      <c r="Q51" s="5"/>
      <c r="R51" s="5"/>
      <c r="S51" s="5"/>
      <c r="T51" s="5"/>
      <c r="U51" s="86"/>
      <c r="V51" s="102"/>
      <c r="W51" s="1155"/>
      <c r="X51" s="1236"/>
      <c r="Y51" s="1237"/>
      <c r="Z51" s="1236"/>
      <c r="AA51" s="1236"/>
      <c r="AB51" s="1236"/>
      <c r="AC51" s="1236"/>
      <c r="AD51" s="1236"/>
      <c r="AE51" s="1113"/>
      <c r="AF51" s="1113"/>
      <c r="AG51" s="1113"/>
      <c r="AH51" s="1113"/>
      <c r="AI51" s="1161" t="b">
        <v>1</v>
      </c>
      <c r="AJ51" s="921" t="s">
        <v>14</v>
      </c>
      <c r="AK51" s="61" t="str">
        <f t="shared" si="26"/>
        <v>Southampton</v>
      </c>
      <c r="AL51" s="110">
        <f t="shared" si="30"/>
        <v>39.727353391949663</v>
      </c>
      <c r="AM51" s="110">
        <f t="shared" si="30"/>
        <v>38.603052053803005</v>
      </c>
      <c r="AN51" s="110">
        <f t="shared" si="30"/>
        <v>45.962582003725601</v>
      </c>
      <c r="AO51" s="110">
        <f t="shared" si="30"/>
        <v>39.100880271099435</v>
      </c>
      <c r="AP51" s="110">
        <f t="shared" si="30"/>
        <v>32.358604808131339</v>
      </c>
      <c r="AQ51" s="111">
        <f>VLOOKUP(AK51,IDACI!$B$8:$C$29,2,FALSE)</f>
        <v>20.5</v>
      </c>
      <c r="AR51" s="237" t="e">
        <f t="shared" si="31"/>
        <v>#N/A</v>
      </c>
      <c r="AS51" s="237" t="e">
        <f t="shared" si="31"/>
        <v>#N/A</v>
      </c>
      <c r="AT51" s="237" t="e">
        <f t="shared" si="31"/>
        <v>#N/A</v>
      </c>
      <c r="AU51" s="237" t="e">
        <f t="shared" si="31"/>
        <v>#N/A</v>
      </c>
      <c r="AV51" s="237" t="e">
        <f t="shared" si="31"/>
        <v>#N/A</v>
      </c>
      <c r="AW51" s="237" t="e">
        <f t="shared" si="32"/>
        <v>#N/A</v>
      </c>
      <c r="AX51" s="237" t="e">
        <f t="shared" si="32"/>
        <v>#N/A</v>
      </c>
      <c r="AY51" s="237" t="e">
        <f t="shared" si="32"/>
        <v>#N/A</v>
      </c>
      <c r="AZ51" s="237">
        <f t="shared" si="32"/>
        <v>3.5897435897435895E-2</v>
      </c>
      <c r="BA51" s="237">
        <f t="shared" si="32"/>
        <v>4.9079754601226995E-2</v>
      </c>
      <c r="BB51" s="237"/>
      <c r="BC51" s="237"/>
      <c r="BD51" s="237"/>
      <c r="BE51" s="237"/>
      <c r="BF51" s="237"/>
      <c r="BG51" s="237"/>
      <c r="BH51" s="237"/>
      <c r="BI51" s="237"/>
      <c r="BJ51" s="237"/>
      <c r="BK51" s="237"/>
      <c r="BL51" s="237"/>
      <c r="BM51" s="237"/>
      <c r="BN51" s="237"/>
      <c r="BO51" s="237"/>
      <c r="BP51" s="237"/>
    </row>
    <row r="52" spans="1:76" ht="14.25" customHeight="1">
      <c r="A52" s="87"/>
      <c r="B52" s="48"/>
      <c r="C52" s="48"/>
      <c r="D52" s="40"/>
      <c r="E52" s="40"/>
      <c r="F52" s="40"/>
      <c r="G52" s="40"/>
      <c r="H52" s="40"/>
      <c r="I52" s="40"/>
      <c r="J52" s="1"/>
      <c r="K52" s="5"/>
      <c r="L52" s="5"/>
      <c r="M52" s="5"/>
      <c r="N52" s="5"/>
      <c r="O52" s="5"/>
      <c r="P52" s="5"/>
      <c r="Q52" s="5"/>
      <c r="R52" s="5"/>
      <c r="S52" s="5"/>
      <c r="T52" s="5"/>
      <c r="U52" s="86"/>
      <c r="V52" s="102"/>
      <c r="W52" s="1155"/>
      <c r="X52" s="1236"/>
      <c r="Y52" s="1237"/>
      <c r="Z52" s="1236"/>
      <c r="AA52" s="1236"/>
      <c r="AB52" s="1236"/>
      <c r="AC52" s="1236"/>
      <c r="AD52" s="1236"/>
      <c r="AE52" s="1113"/>
      <c r="AF52" s="1113"/>
      <c r="AG52" s="1113"/>
      <c r="AH52" s="1113"/>
      <c r="AI52" s="1161" t="b">
        <v>1</v>
      </c>
      <c r="AJ52" s="921" t="s">
        <v>7</v>
      </c>
      <c r="AK52" s="61" t="str">
        <f t="shared" si="26"/>
        <v>Surrey</v>
      </c>
      <c r="AL52" s="110">
        <f t="shared" si="30"/>
        <v>14.454843147513031</v>
      </c>
      <c r="AM52" s="110">
        <f t="shared" si="30"/>
        <v>16.207706203412517</v>
      </c>
      <c r="AN52" s="110">
        <f t="shared" si="30"/>
        <v>17.341842397336293</v>
      </c>
      <c r="AO52" s="110">
        <f t="shared" si="30"/>
        <v>14.381446037323457</v>
      </c>
      <c r="AP52" s="110">
        <f t="shared" si="30"/>
        <v>13.475262729982836</v>
      </c>
      <c r="AQ52" s="111">
        <f>VLOOKUP(AK52,IDACI!$B$8:$C$29,2,FALSE)</f>
        <v>8.3000000000000007</v>
      </c>
      <c r="AR52" s="237" t="e">
        <f t="shared" si="31"/>
        <v>#N/A</v>
      </c>
      <c r="AS52" s="237" t="e">
        <f t="shared" si="31"/>
        <v>#N/A</v>
      </c>
      <c r="AT52" s="237" t="e">
        <f t="shared" si="31"/>
        <v>#N/A</v>
      </c>
      <c r="AU52" s="237" t="e">
        <f t="shared" si="31"/>
        <v>#N/A</v>
      </c>
      <c r="AV52" s="237" t="e">
        <f t="shared" si="31"/>
        <v>#N/A</v>
      </c>
      <c r="AW52" s="237" t="e">
        <f t="shared" si="32"/>
        <v>#N/A</v>
      </c>
      <c r="AX52" s="237" t="e">
        <f t="shared" si="32"/>
        <v>#N/A</v>
      </c>
      <c r="AY52" s="237" t="e">
        <f t="shared" si="32"/>
        <v>#N/A</v>
      </c>
      <c r="AZ52" s="237" t="e">
        <f t="shared" si="32"/>
        <v>#N/A</v>
      </c>
      <c r="BA52" s="237" t="e">
        <f t="shared" si="32"/>
        <v>#N/A</v>
      </c>
      <c r="BB52" s="237"/>
      <c r="BC52" s="237"/>
      <c r="BD52" s="237"/>
      <c r="BE52" s="237"/>
      <c r="BF52" s="237"/>
      <c r="BG52" s="237"/>
      <c r="BH52" s="237"/>
      <c r="BI52" s="237"/>
      <c r="BJ52" s="237"/>
      <c r="BK52" s="237"/>
      <c r="BL52" s="237"/>
      <c r="BM52" s="237"/>
      <c r="BN52" s="237"/>
      <c r="BO52" s="237"/>
      <c r="BP52" s="237"/>
    </row>
    <row r="53" spans="1:76" ht="14.25" customHeight="1">
      <c r="A53" s="87"/>
      <c r="B53" s="48"/>
      <c r="C53" s="48"/>
      <c r="D53" s="40"/>
      <c r="E53" s="40"/>
      <c r="F53" s="40"/>
      <c r="G53" s="40"/>
      <c r="H53" s="40"/>
      <c r="I53" s="40"/>
      <c r="J53" s="1"/>
      <c r="K53" s="5"/>
      <c r="L53" s="5"/>
      <c r="M53" s="5"/>
      <c r="N53" s="5"/>
      <c r="O53" s="5"/>
      <c r="P53" s="5"/>
      <c r="Q53" s="5"/>
      <c r="R53" s="5"/>
      <c r="S53" s="5"/>
      <c r="T53" s="5"/>
      <c r="U53" s="86"/>
      <c r="V53" s="102"/>
      <c r="W53" s="1155"/>
      <c r="X53" s="1236"/>
      <c r="Y53" s="1237"/>
      <c r="Z53" s="1236"/>
      <c r="AA53" s="1236"/>
      <c r="AB53" s="1236"/>
      <c r="AC53" s="1236"/>
      <c r="AD53" s="1236"/>
      <c r="AE53" s="1113"/>
      <c r="AF53" s="1113"/>
      <c r="AG53" s="1113"/>
      <c r="AH53" s="1113"/>
      <c r="AI53" s="1161" t="b">
        <v>1</v>
      </c>
      <c r="AJ53" s="921" t="s">
        <v>15</v>
      </c>
      <c r="AK53" s="61" t="str">
        <f t="shared" si="26"/>
        <v>West Berkshire</v>
      </c>
      <c r="AL53" s="110">
        <f t="shared" si="30"/>
        <v>16.827814380650864</v>
      </c>
      <c r="AM53" s="110">
        <f t="shared" si="30"/>
        <v>13.783597518952446</v>
      </c>
      <c r="AN53" s="110">
        <f t="shared" si="30"/>
        <v>21.968492556727849</v>
      </c>
      <c r="AO53" s="110">
        <f t="shared" si="30"/>
        <v>28.643446379468376</v>
      </c>
      <c r="AP53" s="110">
        <f t="shared" si="30"/>
        <v>19.815994338287329</v>
      </c>
      <c r="AQ53" s="111">
        <f>VLOOKUP(AK53,IDACI!$B$8:$C$29,2,FALSE)</f>
        <v>8.6999999999999993</v>
      </c>
      <c r="AR53" s="237" t="e">
        <f t="shared" si="31"/>
        <v>#N/A</v>
      </c>
      <c r="AS53" s="237" t="e">
        <f t="shared" si="31"/>
        <v>#N/A</v>
      </c>
      <c r="AT53" s="237" t="e">
        <f t="shared" si="31"/>
        <v>#N/A</v>
      </c>
      <c r="AU53" s="237" t="e">
        <f t="shared" si="31"/>
        <v>#N/A</v>
      </c>
      <c r="AV53" s="237" t="e">
        <f t="shared" si="31"/>
        <v>#N/A</v>
      </c>
      <c r="AW53" s="237" t="e">
        <f t="shared" si="32"/>
        <v>#N/A</v>
      </c>
      <c r="AX53" s="237">
        <f t="shared" si="32"/>
        <v>0</v>
      </c>
      <c r="AY53" s="237">
        <f t="shared" si="32"/>
        <v>0</v>
      </c>
      <c r="AZ53" s="237">
        <f t="shared" si="32"/>
        <v>0</v>
      </c>
      <c r="BA53" s="237" t="e">
        <f t="shared" si="32"/>
        <v>#N/A</v>
      </c>
      <c r="BB53" s="237"/>
      <c r="BC53" s="237"/>
      <c r="BD53" s="237"/>
      <c r="BE53" s="237"/>
      <c r="BF53" s="237"/>
      <c r="BG53" s="237"/>
      <c r="BH53" s="237"/>
      <c r="BI53" s="237"/>
      <c r="BJ53" s="237"/>
      <c r="BK53" s="237"/>
      <c r="BL53" s="237"/>
      <c r="BM53" s="237"/>
      <c r="BN53" s="237"/>
      <c r="BO53" s="237"/>
      <c r="BP53" s="237"/>
    </row>
    <row r="54" spans="1:76" ht="14.25" customHeight="1">
      <c r="A54" s="208"/>
      <c r="B54" s="48"/>
      <c r="C54" s="48"/>
      <c r="D54" s="40"/>
      <c r="E54" s="40"/>
      <c r="F54" s="40"/>
      <c r="G54" s="40"/>
      <c r="H54" s="40"/>
      <c r="I54" s="40"/>
      <c r="J54" s="1"/>
      <c r="K54" s="5"/>
      <c r="L54" s="5"/>
      <c r="M54" s="5"/>
      <c r="N54" s="5"/>
      <c r="O54" s="5"/>
      <c r="P54" s="5"/>
      <c r="Q54" s="5"/>
      <c r="R54" s="5"/>
      <c r="S54" s="5"/>
      <c r="T54" s="5"/>
      <c r="U54" s="86"/>
      <c r="V54" s="102"/>
      <c r="W54" s="1155"/>
      <c r="X54" s="1236"/>
      <c r="Y54" s="1237"/>
      <c r="Z54" s="1236"/>
      <c r="AA54" s="1236"/>
      <c r="AB54" s="1236"/>
      <c r="AC54" s="1236"/>
      <c r="AD54" s="1236"/>
      <c r="AE54" s="1113"/>
      <c r="AF54" s="1113"/>
      <c r="AG54" s="1113"/>
      <c r="AH54" s="1113"/>
      <c r="AI54" s="1161" t="b">
        <v>1</v>
      </c>
      <c r="AJ54" s="921" t="s">
        <v>5</v>
      </c>
      <c r="AK54" s="61" t="str">
        <f t="shared" si="26"/>
        <v>West Sussex</v>
      </c>
      <c r="AL54" s="110">
        <f t="shared" si="30"/>
        <v>26.332317301542485</v>
      </c>
      <c r="AM54" s="110">
        <f t="shared" si="30"/>
        <v>26.168525302951007</v>
      </c>
      <c r="AN54" s="110">
        <f t="shared" si="30"/>
        <v>23.793998878936591</v>
      </c>
      <c r="AO54" s="110">
        <f t="shared" si="30"/>
        <v>22.441626397667875</v>
      </c>
      <c r="AP54" s="110">
        <f t="shared" si="30"/>
        <v>22.904004290311047</v>
      </c>
      <c r="AQ54" s="111">
        <f>VLOOKUP(AK54,IDACI!$B$8:$C$29,2,FALSE)</f>
        <v>11</v>
      </c>
      <c r="AR54" s="237" t="e">
        <f t="shared" si="31"/>
        <v>#N/A</v>
      </c>
      <c r="AS54" s="237" t="e">
        <f t="shared" si="31"/>
        <v>#N/A</v>
      </c>
      <c r="AT54" s="237" t="e">
        <f t="shared" si="31"/>
        <v>#N/A</v>
      </c>
      <c r="AU54" s="237" t="e">
        <f t="shared" si="31"/>
        <v>#N/A</v>
      </c>
      <c r="AV54" s="237" t="e">
        <f t="shared" si="31"/>
        <v>#N/A</v>
      </c>
      <c r="AW54" s="237" t="e">
        <f t="shared" si="32"/>
        <v>#N/A</v>
      </c>
      <c r="AX54" s="237" t="e">
        <f t="shared" si="32"/>
        <v>#N/A</v>
      </c>
      <c r="AY54" s="237" t="e">
        <f t="shared" si="32"/>
        <v>#N/A</v>
      </c>
      <c r="AZ54" s="237" t="e">
        <f t="shared" si="32"/>
        <v>#N/A</v>
      </c>
      <c r="BA54" s="237" t="e">
        <f t="shared" si="32"/>
        <v>#N/A</v>
      </c>
      <c r="BB54" s="237"/>
      <c r="BC54" s="237"/>
      <c r="BD54" s="237"/>
      <c r="BE54" s="237"/>
      <c r="BF54" s="237"/>
      <c r="BG54" s="237"/>
      <c r="BH54" s="237"/>
      <c r="BI54" s="237"/>
      <c r="BJ54" s="237"/>
      <c r="BK54" s="237"/>
      <c r="BL54" s="237"/>
      <c r="BM54" s="237"/>
      <c r="BN54" s="237"/>
      <c r="BO54" s="237"/>
      <c r="BP54" s="237"/>
    </row>
    <row r="55" spans="1:76" ht="14.25" customHeight="1">
      <c r="A55" s="208"/>
      <c r="B55" s="48"/>
      <c r="C55" s="48"/>
      <c r="D55" s="40"/>
      <c r="E55" s="40"/>
      <c r="F55" s="40"/>
      <c r="G55" s="40"/>
      <c r="H55" s="40"/>
      <c r="I55" s="40"/>
      <c r="J55" s="1"/>
      <c r="K55" s="5"/>
      <c r="L55" s="5"/>
      <c r="M55" s="5"/>
      <c r="N55" s="5"/>
      <c r="O55" s="5"/>
      <c r="P55" s="5"/>
      <c r="Q55" s="5"/>
      <c r="R55" s="5"/>
      <c r="S55" s="5"/>
      <c r="T55" s="5"/>
      <c r="U55" s="86"/>
      <c r="V55" s="102"/>
      <c r="W55" s="1155"/>
      <c r="X55" s="1236"/>
      <c r="Y55" s="1237"/>
      <c r="Z55" s="1236"/>
      <c r="AA55" s="1236"/>
      <c r="AB55" s="1236"/>
      <c r="AC55" s="1236"/>
      <c r="AD55" s="1236"/>
      <c r="AE55" s="1113"/>
      <c r="AF55" s="1113"/>
      <c r="AG55" s="1113"/>
      <c r="AH55" s="1113"/>
      <c r="AI55" s="1161" t="b">
        <v>1</v>
      </c>
      <c r="AJ55" s="921" t="s">
        <v>27</v>
      </c>
      <c r="AK55" s="61" t="str">
        <f t="shared" si="26"/>
        <v>Windsor &amp; Maidenhead</v>
      </c>
      <c r="AL55" s="110">
        <f t="shared" si="30"/>
        <v>15.171850382213924</v>
      </c>
      <c r="AM55" s="110">
        <f t="shared" si="30"/>
        <v>14.963471525393892</v>
      </c>
      <c r="AN55" s="110">
        <f t="shared" si="30"/>
        <v>13.578934939189988</v>
      </c>
      <c r="AO55" s="110">
        <f t="shared" si="30"/>
        <v>28.728050889690149</v>
      </c>
      <c r="AP55" s="110">
        <f t="shared" si="30"/>
        <v>18.37752690995012</v>
      </c>
      <c r="AQ55" s="111">
        <f>VLOOKUP(AK55,IDACI!$B$8:$C$29,2,FALSE)</f>
        <v>6.7</v>
      </c>
      <c r="AR55" s="237" t="e">
        <f t="shared" si="31"/>
        <v>#N/A</v>
      </c>
      <c r="AS55" s="237" t="e">
        <f t="shared" si="31"/>
        <v>#N/A</v>
      </c>
      <c r="AT55" s="237" t="e">
        <f t="shared" si="31"/>
        <v>#N/A</v>
      </c>
      <c r="AU55" s="237" t="e">
        <f t="shared" si="31"/>
        <v>#N/A</v>
      </c>
      <c r="AV55" s="237" t="e">
        <f t="shared" si="31"/>
        <v>#N/A</v>
      </c>
      <c r="AW55" s="237">
        <f t="shared" si="32"/>
        <v>0</v>
      </c>
      <c r="AX55" s="237">
        <f t="shared" si="32"/>
        <v>0</v>
      </c>
      <c r="AY55" s="237">
        <f t="shared" si="32"/>
        <v>0</v>
      </c>
      <c r="AZ55" s="237" t="e">
        <f t="shared" si="32"/>
        <v>#N/A</v>
      </c>
      <c r="BA55" s="237">
        <f t="shared" si="32"/>
        <v>0</v>
      </c>
      <c r="BB55" s="237"/>
      <c r="BC55" s="237"/>
      <c r="BD55" s="237"/>
      <c r="BE55" s="237"/>
      <c r="BF55" s="237"/>
      <c r="BG55" s="237"/>
      <c r="BH55" s="237"/>
      <c r="BI55" s="237"/>
      <c r="BJ55" s="237"/>
      <c r="BK55" s="237"/>
      <c r="BL55" s="237"/>
      <c r="BM55" s="237"/>
      <c r="BN55" s="237"/>
      <c r="BO55" s="237"/>
      <c r="BP55" s="237"/>
    </row>
    <row r="56" spans="1:76" ht="14.25" customHeight="1">
      <c r="A56" s="87"/>
      <c r="B56" s="48"/>
      <c r="C56" s="48"/>
      <c r="D56" s="40"/>
      <c r="E56" s="40"/>
      <c r="F56" s="40"/>
      <c r="G56" s="40"/>
      <c r="H56" s="40"/>
      <c r="I56" s="40"/>
      <c r="J56" s="1"/>
      <c r="K56" s="5"/>
      <c r="L56" s="5"/>
      <c r="M56" s="5"/>
      <c r="N56" s="5"/>
      <c r="O56" s="5"/>
      <c r="P56" s="5"/>
      <c r="Q56" s="5"/>
      <c r="R56" s="5"/>
      <c r="S56" s="5"/>
      <c r="T56" s="5"/>
      <c r="U56" s="86"/>
      <c r="V56" s="102"/>
      <c r="W56" s="1155"/>
      <c r="X56" s="1236"/>
      <c r="Y56" s="1237"/>
      <c r="Z56" s="1236"/>
      <c r="AA56" s="1236"/>
      <c r="AB56" s="1236"/>
      <c r="AC56" s="1236"/>
      <c r="AD56" s="1236"/>
      <c r="AE56" s="1113"/>
      <c r="AF56" s="1113"/>
      <c r="AG56" s="1113"/>
      <c r="AH56" s="1113"/>
      <c r="AI56" s="1161" t="b">
        <v>1</v>
      </c>
      <c r="AJ56" s="921" t="s">
        <v>16</v>
      </c>
      <c r="AK56" s="61" t="str">
        <f t="shared" si="26"/>
        <v>Wokingham</v>
      </c>
      <c r="AL56" s="110">
        <f t="shared" si="30"/>
        <v>11.063059438801165</v>
      </c>
      <c r="AM56" s="110">
        <f t="shared" si="30"/>
        <v>12.600059294396681</v>
      </c>
      <c r="AN56" s="110">
        <f t="shared" si="30"/>
        <v>22.61178244061368</v>
      </c>
      <c r="AO56" s="110">
        <f t="shared" si="30"/>
        <v>15.757290686735654</v>
      </c>
      <c r="AP56" s="110">
        <f t="shared" si="30"/>
        <v>13.390589647688969</v>
      </c>
      <c r="AQ56" s="111">
        <f>VLOOKUP(AK56,IDACI!$B$8:$C$29,2,FALSE)</f>
        <v>5.6000000000000005</v>
      </c>
      <c r="AR56" s="237" t="e">
        <f t="shared" si="31"/>
        <v>#N/A</v>
      </c>
      <c r="AS56" s="237" t="e">
        <f t="shared" si="31"/>
        <v>#N/A</v>
      </c>
      <c r="AT56" s="237" t="e">
        <f t="shared" si="31"/>
        <v>#N/A</v>
      </c>
      <c r="AU56" s="237" t="e">
        <f t="shared" si="31"/>
        <v>#N/A</v>
      </c>
      <c r="AV56" s="237" t="e">
        <f t="shared" si="31"/>
        <v>#N/A</v>
      </c>
      <c r="AW56" s="237">
        <f t="shared" si="32"/>
        <v>0</v>
      </c>
      <c r="AX56" s="237" t="e">
        <f t="shared" si="32"/>
        <v>#N/A</v>
      </c>
      <c r="AY56" s="237" t="e">
        <f t="shared" si="32"/>
        <v>#N/A</v>
      </c>
      <c r="AZ56" s="237">
        <f t="shared" si="32"/>
        <v>0</v>
      </c>
      <c r="BA56" s="237">
        <f t="shared" si="32"/>
        <v>0</v>
      </c>
      <c r="BB56" s="237"/>
      <c r="BC56" s="237"/>
      <c r="BD56" s="237"/>
      <c r="BE56" s="237"/>
      <c r="BF56" s="237"/>
      <c r="BG56" s="237"/>
      <c r="BH56" s="237"/>
      <c r="BI56" s="237"/>
      <c r="BJ56" s="237"/>
      <c r="BK56" s="237"/>
      <c r="BL56" s="237"/>
      <c r="BM56" s="237"/>
      <c r="BN56" s="237"/>
      <c r="BO56" s="237"/>
      <c r="BP56" s="237"/>
      <c r="BQ56" s="56"/>
      <c r="BR56" s="56"/>
      <c r="BS56" s="56"/>
      <c r="BT56" s="56"/>
      <c r="BU56" s="56"/>
      <c r="BV56" s="56"/>
      <c r="BW56" s="56"/>
      <c r="BX56" s="56"/>
    </row>
    <row r="57" spans="1:76" ht="14.25" customHeight="1">
      <c r="A57" s="87"/>
      <c r="B57" s="48"/>
      <c r="C57" s="48"/>
      <c r="D57" s="40"/>
      <c r="E57" s="40"/>
      <c r="F57" s="40"/>
      <c r="G57" s="40"/>
      <c r="H57" s="40"/>
      <c r="I57" s="40"/>
      <c r="J57" s="1"/>
      <c r="K57" s="5"/>
      <c r="L57" s="5"/>
      <c r="M57" s="5"/>
      <c r="N57" s="5"/>
      <c r="O57" s="5"/>
      <c r="P57" s="5"/>
      <c r="Q57" s="5"/>
      <c r="R57" s="5"/>
      <c r="S57" s="5"/>
      <c r="T57" s="5"/>
      <c r="U57" s="86"/>
      <c r="V57" s="102"/>
      <c r="W57" s="1155"/>
      <c r="X57" s="1236"/>
      <c r="Y57" s="1237"/>
      <c r="Z57" s="1236"/>
      <c r="AA57" s="1236"/>
      <c r="AB57" s="1236"/>
      <c r="AC57" s="1236"/>
      <c r="AD57" s="1236"/>
      <c r="AE57" s="1113"/>
      <c r="AF57" s="1113"/>
      <c r="AG57" s="1113"/>
      <c r="AH57" s="1113"/>
      <c r="AI57" s="1161" t="b">
        <v>1</v>
      </c>
      <c r="AJ57" s="921" t="s">
        <v>71</v>
      </c>
      <c r="AK57" s="61" t="str">
        <f t="shared" si="26"/>
        <v>South East</v>
      </c>
      <c r="AL57" s="110">
        <f t="shared" si="30"/>
        <v>22.72122458063</v>
      </c>
      <c r="AM57" s="110">
        <f t="shared" si="30"/>
        <v>22.913601117918549</v>
      </c>
      <c r="AN57" s="110">
        <f t="shared" si="30"/>
        <v>26.378108959258068</v>
      </c>
      <c r="AO57" s="110">
        <f t="shared" si="30"/>
        <v>28.29209861730001</v>
      </c>
      <c r="AP57" s="110">
        <f t="shared" si="30"/>
        <v>32.076845275520661</v>
      </c>
      <c r="AQ57" s="111">
        <f>Z30/Y30*100</f>
        <v>12.371268250968637</v>
      </c>
      <c r="AR57" s="237" t="e">
        <f t="shared" si="31"/>
        <v>#N/A</v>
      </c>
      <c r="AS57" s="237" t="e">
        <f t="shared" si="31"/>
        <v>#N/A</v>
      </c>
      <c r="AT57" s="237" t="e">
        <f t="shared" si="31"/>
        <v>#N/A</v>
      </c>
      <c r="AU57" s="237" t="e">
        <f t="shared" si="31"/>
        <v>#N/A</v>
      </c>
      <c r="AV57" s="237" t="e">
        <f t="shared" si="31"/>
        <v>#N/A</v>
      </c>
      <c r="AW57" s="237">
        <f t="shared" si="32"/>
        <v>1.3698630136986301E-2</v>
      </c>
      <c r="AX57" s="237">
        <f t="shared" si="32"/>
        <v>9.0415913200723331E-3</v>
      </c>
      <c r="AY57" s="237">
        <f t="shared" si="32"/>
        <v>7.8339208773991389E-3</v>
      </c>
      <c r="AZ57" s="237">
        <f t="shared" si="32"/>
        <v>8.9928057553956831E-3</v>
      </c>
      <c r="BA57" s="237">
        <f t="shared" si="32"/>
        <v>1.1164274322169059E-2</v>
      </c>
      <c r="BB57" s="237"/>
      <c r="BC57" s="237"/>
      <c r="BD57" s="237"/>
      <c r="BE57" s="237"/>
      <c r="BF57" s="237"/>
      <c r="BG57" s="237"/>
      <c r="BH57" s="237"/>
      <c r="BI57" s="237"/>
      <c r="BJ57" s="237"/>
      <c r="BK57" s="237"/>
      <c r="BL57" s="237"/>
      <c r="BM57" s="237"/>
      <c r="BN57" s="237"/>
      <c r="BO57" s="237"/>
      <c r="BP57" s="237"/>
      <c r="BQ57" s="56"/>
      <c r="BR57" s="56"/>
      <c r="BS57" s="56"/>
      <c r="BT57" s="56"/>
      <c r="BU57" s="56"/>
      <c r="BV57" s="56"/>
      <c r="BW57" s="56"/>
      <c r="BX57" s="56"/>
    </row>
    <row r="58" spans="1:76"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1155"/>
      <c r="X58" s="1236"/>
      <c r="Y58" s="1237"/>
      <c r="Z58" s="1236"/>
      <c r="AA58" s="1236"/>
      <c r="AB58" s="1236"/>
      <c r="AC58" s="1236"/>
      <c r="AD58" s="1236"/>
      <c r="AE58" s="1113"/>
      <c r="AF58" s="1113"/>
      <c r="AG58" s="1113"/>
      <c r="AH58" s="1113"/>
      <c r="AI58" s="1161" t="b">
        <v>1</v>
      </c>
      <c r="AJ58" s="921" t="s">
        <v>109</v>
      </c>
      <c r="AK58" s="61" t="str">
        <f t="shared" si="26"/>
        <v>England</v>
      </c>
      <c r="AL58" s="110">
        <f t="shared" si="30"/>
        <v>26.26692762269802</v>
      </c>
      <c r="AM58" s="110">
        <f t="shared" si="30"/>
        <v>24.126651687330131</v>
      </c>
      <c r="AN58" s="110">
        <f t="shared" si="30"/>
        <v>26.362595956533767</v>
      </c>
      <c r="AO58" s="110">
        <f t="shared" si="30"/>
        <v>27.764248549254912</v>
      </c>
      <c r="AP58" s="110">
        <f t="shared" si="30"/>
        <v>27.544774635404693</v>
      </c>
      <c r="AQ58" s="111">
        <f>VLOOKUP(AK58,IDACI!$B$8:$C$29,2,FALSE)</f>
        <v>17.084413405029373</v>
      </c>
      <c r="AR58" s="237" t="e">
        <f t="shared" si="31"/>
        <v>#N/A</v>
      </c>
      <c r="AS58" s="237" t="e">
        <f t="shared" si="31"/>
        <v>#N/A</v>
      </c>
      <c r="AT58" s="237" t="e">
        <f t="shared" si="31"/>
        <v>#N/A</v>
      </c>
      <c r="AU58" s="237" t="e">
        <f t="shared" si="31"/>
        <v>#N/A</v>
      </c>
      <c r="AV58" s="237" t="e">
        <f t="shared" si="31"/>
        <v>#N/A</v>
      </c>
      <c r="AW58" s="237">
        <f t="shared" si="32"/>
        <v>2.292541168873103E-2</v>
      </c>
      <c r="AX58" s="237">
        <f t="shared" si="32"/>
        <v>1.8635724331926864E-2</v>
      </c>
      <c r="AY58" s="237">
        <f t="shared" si="32"/>
        <v>1.5156401160915834E-2</v>
      </c>
      <c r="AZ58" s="237">
        <f t="shared" si="32"/>
        <v>1.4242424242424242E-2</v>
      </c>
      <c r="BA58" s="237">
        <f t="shared" si="32"/>
        <v>1.5128593040847202E-2</v>
      </c>
      <c r="BB58" s="237"/>
      <c r="BC58" s="237"/>
      <c r="BD58" s="237"/>
      <c r="BE58" s="237"/>
      <c r="BF58" s="237"/>
      <c r="BG58" s="237"/>
      <c r="BH58" s="237"/>
      <c r="BI58" s="237"/>
      <c r="BJ58" s="237"/>
      <c r="BK58" s="237"/>
      <c r="BL58" s="237"/>
      <c r="BM58" s="237"/>
      <c r="BN58" s="237"/>
      <c r="BO58" s="237"/>
      <c r="BP58" s="237"/>
    </row>
    <row r="59" spans="1:76" s="56" customFormat="1" ht="14.25" customHeight="1">
      <c r="A59" s="87"/>
      <c r="B59" s="48"/>
      <c r="C59" s="48"/>
      <c r="D59" s="40"/>
      <c r="E59" s="40"/>
      <c r="F59" s="40"/>
      <c r="G59" s="40"/>
      <c r="H59" s="40"/>
      <c r="I59" s="40"/>
      <c r="J59" s="1"/>
      <c r="K59" s="5"/>
      <c r="L59" s="5"/>
      <c r="M59" s="5"/>
      <c r="N59" s="5"/>
      <c r="O59" s="5"/>
      <c r="P59" s="5"/>
      <c r="Q59" s="5"/>
      <c r="R59" s="5"/>
      <c r="S59" s="5"/>
      <c r="T59" s="5"/>
      <c r="U59" s="86"/>
      <c r="V59" s="102"/>
      <c r="W59" s="218"/>
      <c r="X59" s="251"/>
      <c r="Y59" s="250"/>
      <c r="Z59" s="251"/>
      <c r="AA59" s="251"/>
      <c r="AB59" s="251"/>
      <c r="AC59" s="251"/>
      <c r="AD59" s="251"/>
      <c r="AJ59" s="122"/>
      <c r="AK59" s="52" t="str">
        <f>Z4</f>
        <v>Selected LA- (none)</v>
      </c>
      <c r="AL59" s="112" t="e">
        <f>VLOOKUP($Y4,$B$11:$O$30,AL$34,FALSE)</f>
        <v>#N/A</v>
      </c>
      <c r="AM59" s="112" t="e">
        <f>VLOOKUP($Y4,$B$11:$O$30,AM$34,FALSE)</f>
        <v>#N/A</v>
      </c>
      <c r="AN59" s="112" t="e">
        <f>VLOOKUP($Y4,$B$11:$O$30,AN$34,FALSE)</f>
        <v>#N/A</v>
      </c>
      <c r="AO59" s="112" t="e">
        <f>VLOOKUP($Y4,$B$11:$O$30,AO$34,FALSE)</f>
        <v>#N/A</v>
      </c>
      <c r="AP59" s="112" t="e">
        <f>VLOOKUP($Y4,$B$11:$O$30,AP$34,FALSE)</f>
        <v>#N/A</v>
      </c>
      <c r="AQ59" s="111" t="e">
        <f>VLOOKUP(Y4,IDACI!$B$8:$C$29,2,FALSE)</f>
        <v>#N/A</v>
      </c>
      <c r="AR59" s="132" t="e">
        <f>VLOOKUP($Y$4,$B$109:$H$129,AR$34,FALSE)</f>
        <v>#N/A</v>
      </c>
      <c r="AS59" s="132" t="e">
        <f>VLOOKUP($Y$4,$B$109:$H$129,AS$34,FALSE)</f>
        <v>#N/A</v>
      </c>
      <c r="AT59" s="132" t="e">
        <f>VLOOKUP($Y$4,$B$109:$H$129,AT$34,FALSE)</f>
        <v>#N/A</v>
      </c>
      <c r="AU59" s="132" t="e">
        <f>VLOOKUP($Y$4,$B$109:$H$129,AU$34,FALSE)</f>
        <v>#N/A</v>
      </c>
      <c r="AV59" s="132" t="e">
        <f>VLOOKUP($Y$4,$B$109:$H$129,AV$34,FALSE)</f>
        <v>#N/A</v>
      </c>
      <c r="AW59" s="132" t="e">
        <f>VLOOKUP($Y$4,$B$142:$H$162,AW$34,FALSE)</f>
        <v>#N/A</v>
      </c>
      <c r="AX59" s="132" t="e">
        <f>VLOOKUP($Y$4,$B$142:$H$162,AX$34,FALSE)</f>
        <v>#N/A</v>
      </c>
      <c r="AY59" s="132" t="e">
        <f>VLOOKUP($Y$4,$B$142:$H$162,AY$34,FALSE)</f>
        <v>#N/A</v>
      </c>
      <c r="AZ59" s="132" t="e">
        <f>VLOOKUP($Y$4,$B$142:$H$162,AZ$34,FALSE)</f>
        <v>#N/A</v>
      </c>
      <c r="BA59" s="132" t="e">
        <f>VLOOKUP($Y$4,$B$142:$H$162,BA$34,FALSE)</f>
        <v>#N/A</v>
      </c>
      <c r="BB59" s="237"/>
      <c r="BC59" s="237"/>
      <c r="BD59" s="237"/>
      <c r="BE59" s="237"/>
      <c r="BF59" s="237"/>
      <c r="BG59" s="237"/>
      <c r="BH59" s="237"/>
      <c r="BI59" s="237"/>
      <c r="BJ59" s="237"/>
      <c r="BK59" s="237"/>
      <c r="BL59" s="237"/>
      <c r="BM59" s="237"/>
      <c r="BN59" s="237"/>
      <c r="BO59" s="237"/>
      <c r="BP59" s="237"/>
    </row>
    <row r="60" spans="1:76" s="56" customFormat="1" ht="2.25" customHeight="1">
      <c r="A60" s="87"/>
      <c r="B60" s="48"/>
      <c r="C60" s="48"/>
      <c r="D60" s="40"/>
      <c r="E60" s="40"/>
      <c r="F60" s="40"/>
      <c r="G60" s="40"/>
      <c r="H60" s="40"/>
      <c r="I60" s="40"/>
      <c r="J60" s="1"/>
      <c r="K60" s="5"/>
      <c r="L60" s="5"/>
      <c r="M60" s="5"/>
      <c r="N60" s="5"/>
      <c r="O60" s="5"/>
      <c r="P60" s="5"/>
      <c r="Q60" s="5"/>
      <c r="R60" s="5"/>
      <c r="S60" s="5"/>
      <c r="T60" s="5"/>
      <c r="U60" s="86"/>
      <c r="V60" s="102"/>
      <c r="W60" s="114"/>
      <c r="X60" s="251"/>
      <c r="Y60" s="250"/>
      <c r="Z60" s="251"/>
      <c r="AA60" s="251"/>
      <c r="AB60" s="251"/>
      <c r="AC60" s="251"/>
      <c r="AD60" s="251"/>
      <c r="BB60" s="132"/>
      <c r="BC60" s="132"/>
      <c r="BD60" s="132"/>
      <c r="BE60" s="132"/>
      <c r="BF60" s="132"/>
      <c r="BG60" s="237"/>
      <c r="BH60" s="237"/>
      <c r="BI60" s="237"/>
      <c r="BJ60" s="237"/>
      <c r="BK60" s="237"/>
      <c r="BL60" s="237"/>
      <c r="BM60" s="237"/>
      <c r="BN60" s="237"/>
      <c r="BO60" s="237"/>
      <c r="BP60" s="237"/>
    </row>
    <row r="61" spans="1:76" s="56" customFormat="1" ht="14.25" customHeight="1">
      <c r="A61" s="87"/>
      <c r="B61" s="48"/>
      <c r="C61" s="48"/>
      <c r="D61" s="40"/>
      <c r="E61" s="40"/>
      <c r="F61" s="40"/>
      <c r="G61" s="40"/>
      <c r="H61" s="40"/>
      <c r="I61" s="40"/>
      <c r="J61" s="1"/>
      <c r="K61" s="79"/>
      <c r="L61" s="1882" t="s">
        <v>69</v>
      </c>
      <c r="M61" s="1882"/>
      <c r="N61" s="1882"/>
      <c r="O61" s="1882"/>
      <c r="P61" s="80"/>
      <c r="Q61" s="1753" t="s">
        <v>93</v>
      </c>
      <c r="R61" s="1753"/>
      <c r="S61" s="1753"/>
      <c r="T61" s="1753"/>
      <c r="U61" s="86"/>
      <c r="V61" s="102"/>
      <c r="W61" s="114"/>
      <c r="X61" s="251"/>
      <c r="Y61" s="251"/>
      <c r="Z61" s="251"/>
      <c r="AA61" s="251"/>
      <c r="AB61" s="251"/>
      <c r="AC61" s="251"/>
      <c r="AD61" s="251"/>
      <c r="AJ61" s="122"/>
    </row>
    <row r="62" spans="1:76" s="56" customFormat="1" ht="14.25" customHeight="1">
      <c r="A62" s="87"/>
      <c r="B62" s="48"/>
      <c r="C62" s="48"/>
      <c r="D62" s="40"/>
      <c r="E62" s="40"/>
      <c r="F62" s="40"/>
      <c r="G62" s="40"/>
      <c r="H62" s="40"/>
      <c r="I62" s="40"/>
      <c r="J62" s="1"/>
      <c r="K62" s="80"/>
      <c r="L62" s="1753" t="str">
        <f>Z4</f>
        <v>Selected LA- (none)</v>
      </c>
      <c r="M62" s="1753"/>
      <c r="N62" s="1753"/>
      <c r="O62" s="1753"/>
      <c r="P62" s="79"/>
      <c r="Q62" s="1753" t="s">
        <v>167</v>
      </c>
      <c r="R62" s="1753"/>
      <c r="S62" s="1753"/>
      <c r="T62" s="1753"/>
      <c r="U62" s="86"/>
      <c r="V62" s="102"/>
      <c r="W62" s="115"/>
      <c r="X62" s="585"/>
      <c r="Y62" s="585"/>
      <c r="Z62" s="585"/>
      <c r="AA62" s="585"/>
      <c r="AB62" s="585"/>
      <c r="AC62" s="585"/>
      <c r="AD62" s="250"/>
      <c r="AE62" s="141"/>
      <c r="AF62" s="141"/>
      <c r="AG62" s="141"/>
      <c r="AH62" s="141"/>
      <c r="AI62" s="61"/>
      <c r="AJ62" s="12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row>
    <row r="63" spans="1:76" s="56" customFormat="1" ht="46.5" customHeight="1">
      <c r="A63" s="87"/>
      <c r="B63" s="48"/>
      <c r="C63" s="48"/>
      <c r="D63" s="40"/>
      <c r="E63" s="40"/>
      <c r="F63" s="40"/>
      <c r="G63" s="40"/>
      <c r="H63" s="40"/>
      <c r="I63" s="40"/>
      <c r="J63" s="1"/>
      <c r="K63" s="5"/>
      <c r="L63" s="5"/>
      <c r="M63" s="5"/>
      <c r="N63" s="5"/>
      <c r="O63" s="5"/>
      <c r="P63" s="5"/>
      <c r="Q63" s="5"/>
      <c r="R63" s="5"/>
      <c r="S63" s="5"/>
      <c r="T63" s="5"/>
      <c r="U63" s="86"/>
      <c r="V63" s="102"/>
      <c r="W63" s="115"/>
      <c r="X63" s="585"/>
      <c r="Y63" s="585"/>
      <c r="Z63" s="585"/>
      <c r="AA63" s="585"/>
      <c r="AB63" s="585"/>
      <c r="AC63" s="585"/>
      <c r="AD63" s="250"/>
      <c r="AE63" s="141"/>
      <c r="AF63" s="141"/>
      <c r="AG63" s="141"/>
      <c r="AH63" s="141"/>
      <c r="AI63" s="61"/>
      <c r="AJ63" s="12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row>
    <row r="64" spans="1:76" s="61" customFormat="1" ht="46.5" customHeight="1">
      <c r="A64" s="88"/>
      <c r="B64" s="78"/>
      <c r="C64" s="78"/>
      <c r="D64" s="78"/>
      <c r="E64" s="78"/>
      <c r="F64" s="78"/>
      <c r="G64" s="78"/>
      <c r="H64" s="78"/>
      <c r="I64" s="78"/>
      <c r="J64" s="68"/>
      <c r="K64" s="59"/>
      <c r="L64" s="59"/>
      <c r="M64" s="59"/>
      <c r="N64" s="59"/>
      <c r="O64" s="59"/>
      <c r="P64" s="59"/>
      <c r="Q64" s="59"/>
      <c r="R64" s="59"/>
      <c r="S64" s="59"/>
      <c r="T64" s="59"/>
      <c r="U64" s="89"/>
      <c r="V64" s="103"/>
      <c r="W64" s="114"/>
      <c r="X64" s="585"/>
      <c r="Y64" s="585"/>
      <c r="Z64" s="585"/>
      <c r="AA64" s="585"/>
      <c r="AB64" s="585"/>
      <c r="AC64" s="251"/>
      <c r="AD64" s="251"/>
      <c r="AE64" s="56"/>
      <c r="AF64" s="56"/>
      <c r="AG64" s="56"/>
      <c r="AH64" s="56"/>
      <c r="AI64" s="52"/>
      <c r="AJ64" s="119"/>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row>
    <row r="65" spans="1:76" s="61" customFormat="1" ht="46.5" customHeight="1">
      <c r="A65" s="88"/>
      <c r="B65" s="78"/>
      <c r="C65" s="78"/>
      <c r="D65" s="78"/>
      <c r="E65" s="78"/>
      <c r="F65" s="78"/>
      <c r="G65" s="78"/>
      <c r="H65" s="78"/>
      <c r="I65" s="78"/>
      <c r="J65" s="68"/>
      <c r="K65" s="59"/>
      <c r="L65" s="59"/>
      <c r="M65" s="59"/>
      <c r="N65" s="59"/>
      <c r="O65" s="59"/>
      <c r="P65" s="59"/>
      <c r="Q65" s="59"/>
      <c r="R65" s="59"/>
      <c r="S65" s="59"/>
      <c r="T65" s="59"/>
      <c r="U65" s="89"/>
      <c r="V65" s="121"/>
      <c r="W65" s="114"/>
      <c r="X65" s="585"/>
      <c r="Y65" s="585"/>
      <c r="Z65" s="585"/>
      <c r="AA65" s="585"/>
      <c r="AB65" s="585"/>
      <c r="AC65" s="251"/>
      <c r="AD65" s="251"/>
      <c r="AE65" s="56"/>
      <c r="AF65" s="56"/>
      <c r="AG65" s="56"/>
      <c r="AH65" s="56"/>
      <c r="AI65" s="52"/>
      <c r="AJ65" s="119"/>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row>
    <row r="66" spans="1:76" ht="7.5" customHeight="1">
      <c r="A66" s="87"/>
      <c r="B66" s="12"/>
      <c r="C66" s="12"/>
      <c r="D66" s="11"/>
      <c r="E66" s="11"/>
      <c r="F66" s="11"/>
      <c r="G66" s="11"/>
      <c r="H66" s="11"/>
      <c r="I66" s="11"/>
      <c r="J66" s="1"/>
      <c r="K66" s="13"/>
      <c r="L66" s="13"/>
      <c r="M66" s="13"/>
      <c r="N66" s="13"/>
      <c r="O66" s="13"/>
      <c r="P66" s="13"/>
      <c r="Q66" s="13"/>
      <c r="R66" s="13"/>
      <c r="S66" s="13"/>
      <c r="T66" s="14"/>
      <c r="U66" s="86"/>
      <c r="V66" s="185"/>
      <c r="W66" s="114"/>
      <c r="X66" s="585"/>
      <c r="Y66" s="585"/>
      <c r="Z66" s="585"/>
      <c r="AA66" s="585"/>
      <c r="AB66" s="585"/>
      <c r="AJ66" s="119"/>
    </row>
    <row r="67" spans="1:76" ht="15" customHeight="1">
      <c r="A67" s="1565"/>
      <c r="B67" s="1751"/>
      <c r="C67" s="1751"/>
      <c r="D67" s="1751"/>
      <c r="E67" s="1751"/>
      <c r="F67" s="1751"/>
      <c r="G67" s="1751"/>
      <c r="H67" s="1751"/>
      <c r="I67" s="1751"/>
      <c r="J67" s="1751"/>
      <c r="K67" s="1751"/>
      <c r="L67" s="1751"/>
      <c r="M67" s="1751"/>
      <c r="N67" s="1751"/>
      <c r="O67" s="1751"/>
      <c r="P67" s="1751"/>
      <c r="Q67" s="1751"/>
      <c r="R67" s="1751"/>
      <c r="S67" s="1751"/>
      <c r="T67" s="1751"/>
      <c r="U67" s="1752"/>
      <c r="V67" s="185"/>
      <c r="W67" s="114"/>
      <c r="X67" s="784"/>
      <c r="Y67" s="784"/>
      <c r="AJ67" s="119"/>
    </row>
    <row r="68" spans="1:76" ht="11.25" customHeight="1">
      <c r="A68" s="1739"/>
      <c r="B68" s="1740"/>
      <c r="C68" s="1740"/>
      <c r="D68" s="1740"/>
      <c r="E68" s="1740"/>
      <c r="F68" s="1740"/>
      <c r="G68" s="1740"/>
      <c r="H68" s="1740"/>
      <c r="I68" s="1741"/>
      <c r="J68" s="1740"/>
      <c r="K68" s="1740"/>
      <c r="L68" s="1740"/>
      <c r="M68" s="1740"/>
      <c r="N68" s="1740"/>
      <c r="O68" s="1740"/>
      <c r="P68" s="1742"/>
      <c r="Q68" s="1740"/>
      <c r="R68" s="1740"/>
      <c r="S68" s="1741"/>
      <c r="T68" s="1740"/>
      <c r="U68" s="1743"/>
      <c r="V68" s="185"/>
      <c r="W68" s="114"/>
      <c r="X68" s="784"/>
      <c r="Y68" s="784"/>
      <c r="Z68" s="784"/>
      <c r="AA68" s="784"/>
      <c r="AB68" s="784"/>
      <c r="AC68" s="784"/>
      <c r="AJ68" s="119"/>
    </row>
    <row r="69" spans="1:76" ht="10.5" customHeight="1">
      <c r="A69" s="81"/>
      <c r="B69" s="82"/>
      <c r="C69" s="82"/>
      <c r="D69" s="82"/>
      <c r="E69" s="82"/>
      <c r="F69" s="82"/>
      <c r="G69" s="82"/>
      <c r="H69" s="82"/>
      <c r="I69" s="82"/>
      <c r="J69" s="83"/>
      <c r="K69" s="82"/>
      <c r="L69" s="82"/>
      <c r="M69" s="82"/>
      <c r="N69" s="82"/>
      <c r="O69" s="82"/>
      <c r="P69" s="82"/>
      <c r="Q69" s="82"/>
      <c r="R69" s="82"/>
      <c r="S69" s="82"/>
      <c r="T69" s="82"/>
      <c r="U69" s="84"/>
      <c r="V69" s="102"/>
      <c r="W69" s="114"/>
      <c r="X69" s="52"/>
      <c r="Y69" s="52"/>
      <c r="Z69" s="146"/>
      <c r="AA69" s="146"/>
      <c r="AB69" s="147"/>
      <c r="AC69" s="147"/>
      <c r="AD69" s="56"/>
      <c r="AJ69" s="119"/>
    </row>
    <row r="70" spans="1:76" ht="15" customHeight="1">
      <c r="A70" s="87"/>
      <c r="B70" s="41"/>
      <c r="C70" s="47"/>
      <c r="D70" s="47"/>
      <c r="E70" s="47"/>
      <c r="F70" s="47"/>
      <c r="G70" s="47"/>
      <c r="H70" s="47"/>
      <c r="I70" s="47"/>
      <c r="J70" s="50"/>
      <c r="K70" s="50"/>
      <c r="L70" s="50"/>
      <c r="M70" s="50"/>
      <c r="N70" s="224"/>
      <c r="O70" s="50"/>
      <c r="P70" s="50"/>
      <c r="Q70" s="50"/>
      <c r="R70" s="50"/>
      <c r="S70" s="50"/>
      <c r="T70" s="50"/>
      <c r="U70" s="86"/>
      <c r="V70" s="102"/>
      <c r="W70" s="115"/>
      <c r="X70" s="52"/>
      <c r="Y70" s="52"/>
      <c r="Z70" s="146"/>
      <c r="AA70" s="146"/>
      <c r="AB70" s="147"/>
      <c r="AC70" s="147"/>
      <c r="AD70" s="149"/>
      <c r="AE70" s="141"/>
      <c r="AF70" s="141"/>
      <c r="AG70" s="141"/>
      <c r="AH70" s="141"/>
      <c r="AI70" s="61"/>
      <c r="AJ70" s="12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row>
    <row r="71" spans="1:76" ht="13.5" customHeight="1">
      <c r="A71" s="87"/>
      <c r="B71" s="47"/>
      <c r="C71" s="47"/>
      <c r="D71" s="47"/>
      <c r="E71" s="47"/>
      <c r="F71" s="47"/>
      <c r="G71" s="47"/>
      <c r="H71" s="47"/>
      <c r="I71" s="47"/>
      <c r="J71" s="50"/>
      <c r="K71" s="50"/>
      <c r="L71" s="50"/>
      <c r="M71" s="50"/>
      <c r="N71" s="224"/>
      <c r="O71" s="50"/>
      <c r="P71" s="50"/>
      <c r="Q71" s="50"/>
      <c r="R71" s="5"/>
      <c r="S71" s="50"/>
      <c r="T71" s="50"/>
      <c r="U71" s="86"/>
      <c r="V71" s="102"/>
      <c r="W71" s="115"/>
      <c r="X71" s="61"/>
      <c r="Y71" s="241" t="s">
        <v>112</v>
      </c>
      <c r="Z71" s="242" t="s">
        <v>113</v>
      </c>
      <c r="AA71" s="146"/>
      <c r="AB71" s="147"/>
      <c r="AC71" s="147"/>
      <c r="AD71" s="149"/>
      <c r="AE71" s="141"/>
      <c r="AF71" s="141"/>
      <c r="AG71" s="141"/>
      <c r="AH71" s="141"/>
      <c r="AI71" s="61"/>
      <c r="AJ71" s="12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row>
    <row r="72" spans="1:76" s="61" customFormat="1" ht="12" customHeight="1">
      <c r="A72" s="88"/>
      <c r="B72" s="47"/>
      <c r="C72" s="47"/>
      <c r="D72" s="47"/>
      <c r="E72" s="47"/>
      <c r="F72" s="47"/>
      <c r="G72" s="47"/>
      <c r="H72" s="47"/>
      <c r="I72" s="68"/>
      <c r="J72" s="68"/>
      <c r="K72" s="43"/>
      <c r="L72" s="43"/>
      <c r="M72" s="43"/>
      <c r="N72" s="43"/>
      <c r="O72" s="43"/>
      <c r="P72" s="43"/>
      <c r="Q72" s="225"/>
      <c r="R72" s="225"/>
      <c r="S72" s="120"/>
      <c r="T72" s="226"/>
      <c r="U72" s="89"/>
      <c r="V72" s="103"/>
      <c r="W72" s="115"/>
      <c r="X72" s="243" t="str">
        <f t="shared" ref="X72:X92" si="33">B11</f>
        <v>Bracknell Forest</v>
      </c>
      <c r="Y72" s="244" t="e">
        <f t="shared" ref="Y72:Y92" si="34">IF(X72=$Y$4,I11,#N/A)</f>
        <v>#N/A</v>
      </c>
      <c r="Z72" s="244" t="e">
        <f>IF(X72=$Y$4,T11,#N/A)</f>
        <v>#N/A</v>
      </c>
      <c r="AA72" s="146"/>
      <c r="AB72" s="147"/>
      <c r="AC72" s="147"/>
      <c r="AD72" s="149"/>
      <c r="AE72" s="141"/>
      <c r="AF72" s="141"/>
      <c r="AG72" s="141"/>
      <c r="AH72" s="141"/>
      <c r="AJ72" s="121"/>
    </row>
    <row r="73" spans="1:76" s="61" customFormat="1" ht="24" customHeight="1">
      <c r="A73" s="88"/>
      <c r="B73" s="47"/>
      <c r="C73" s="47"/>
      <c r="D73" s="47"/>
      <c r="E73" s="47"/>
      <c r="F73" s="47"/>
      <c r="G73" s="47"/>
      <c r="H73" s="47"/>
      <c r="I73" s="68"/>
      <c r="J73" s="68"/>
      <c r="K73" s="127"/>
      <c r="L73" s="127"/>
      <c r="M73" s="127"/>
      <c r="N73" s="127"/>
      <c r="O73" s="127"/>
      <c r="P73" s="127"/>
      <c r="Q73" s="127"/>
      <c r="R73" s="128"/>
      <c r="S73" s="120"/>
      <c r="T73" s="127"/>
      <c r="U73" s="89"/>
      <c r="V73" s="103"/>
      <c r="W73" s="115"/>
      <c r="X73" s="243" t="str">
        <f t="shared" si="33"/>
        <v>Brighton &amp; Hove</v>
      </c>
      <c r="Y73" s="244" t="e">
        <f t="shared" si="34"/>
        <v>#N/A</v>
      </c>
      <c r="Z73" s="244" t="e">
        <f t="shared" ref="Z73:Z92" si="35">IF(X73=$Y$4,T12,#N/A)</f>
        <v>#N/A</v>
      </c>
      <c r="AA73" s="146"/>
      <c r="AB73" s="147"/>
      <c r="AC73" s="147"/>
      <c r="AD73" s="149"/>
      <c r="AE73" s="141"/>
      <c r="AF73" s="141"/>
      <c r="AG73" s="141"/>
      <c r="AH73" s="141"/>
      <c r="AJ73" s="121"/>
    </row>
    <row r="74" spans="1:76" s="61" customFormat="1" ht="12.75" customHeight="1">
      <c r="A74" s="88"/>
      <c r="B74" s="47"/>
      <c r="C74" s="47"/>
      <c r="D74" s="47"/>
      <c r="E74" s="47"/>
      <c r="F74" s="47"/>
      <c r="G74" s="47"/>
      <c r="H74" s="47"/>
      <c r="I74" s="68"/>
      <c r="J74" s="68"/>
      <c r="K74" s="127"/>
      <c r="L74" s="127"/>
      <c r="M74" s="127"/>
      <c r="N74" s="127"/>
      <c r="O74" s="127"/>
      <c r="P74" s="127"/>
      <c r="Q74" s="127"/>
      <c r="R74" s="128"/>
      <c r="S74" s="120"/>
      <c r="T74" s="127"/>
      <c r="U74" s="89"/>
      <c r="V74" s="103"/>
      <c r="W74" s="115"/>
      <c r="X74" s="243" t="str">
        <f t="shared" si="33"/>
        <v>Buckinghamshire</v>
      </c>
      <c r="Y74" s="244" t="e">
        <f t="shared" si="34"/>
        <v>#N/A</v>
      </c>
      <c r="Z74" s="244" t="e">
        <f t="shared" si="35"/>
        <v>#N/A</v>
      </c>
      <c r="AA74" s="146"/>
      <c r="AB74" s="147"/>
      <c r="AC74" s="147"/>
      <c r="AD74" s="149"/>
      <c r="AE74" s="141"/>
      <c r="AF74" s="141"/>
      <c r="AG74" s="141"/>
      <c r="AH74" s="141"/>
      <c r="AJ74" s="121"/>
    </row>
    <row r="75" spans="1:76" s="61" customFormat="1" ht="12.75" customHeight="1">
      <c r="A75" s="88"/>
      <c r="B75" s="47"/>
      <c r="C75" s="47"/>
      <c r="D75" s="47"/>
      <c r="E75" s="47"/>
      <c r="F75" s="47"/>
      <c r="G75" s="47"/>
      <c r="H75" s="47"/>
      <c r="I75" s="68"/>
      <c r="J75" s="68"/>
      <c r="K75" s="127"/>
      <c r="L75" s="127"/>
      <c r="M75" s="127"/>
      <c r="N75" s="127"/>
      <c r="O75" s="127"/>
      <c r="P75" s="127"/>
      <c r="Q75" s="127"/>
      <c r="R75" s="128"/>
      <c r="S75" s="120"/>
      <c r="T75" s="127"/>
      <c r="U75" s="89"/>
      <c r="V75" s="103"/>
      <c r="W75" s="115"/>
      <c r="X75" s="243" t="str">
        <f t="shared" si="33"/>
        <v>East Sussex</v>
      </c>
      <c r="Y75" s="244" t="e">
        <f t="shared" si="34"/>
        <v>#N/A</v>
      </c>
      <c r="Z75" s="244" t="e">
        <f t="shared" si="35"/>
        <v>#N/A</v>
      </c>
      <c r="AA75" s="146"/>
      <c r="AB75" s="147"/>
      <c r="AC75" s="147"/>
      <c r="AD75" s="149"/>
      <c r="AE75" s="141"/>
      <c r="AF75" s="141"/>
      <c r="AG75" s="141"/>
      <c r="AH75" s="141"/>
      <c r="AJ75" s="121"/>
    </row>
    <row r="76" spans="1:76" s="61" customFormat="1" ht="12.75" customHeight="1">
      <c r="A76" s="88"/>
      <c r="B76" s="47"/>
      <c r="C76" s="47"/>
      <c r="D76" s="47"/>
      <c r="E76" s="47"/>
      <c r="F76" s="47"/>
      <c r="G76" s="47"/>
      <c r="H76" s="47"/>
      <c r="I76" s="68"/>
      <c r="J76" s="68"/>
      <c r="K76" s="127"/>
      <c r="L76" s="127"/>
      <c r="M76" s="127"/>
      <c r="N76" s="127"/>
      <c r="O76" s="127"/>
      <c r="P76" s="127"/>
      <c r="Q76" s="127"/>
      <c r="R76" s="128"/>
      <c r="S76" s="120"/>
      <c r="T76" s="127"/>
      <c r="U76" s="89"/>
      <c r="V76" s="103"/>
      <c r="W76" s="115"/>
      <c r="X76" s="243" t="str">
        <f t="shared" si="33"/>
        <v>Hampshire</v>
      </c>
      <c r="Y76" s="244" t="e">
        <f t="shared" si="34"/>
        <v>#N/A</v>
      </c>
      <c r="Z76" s="244" t="e">
        <f t="shared" si="35"/>
        <v>#N/A</v>
      </c>
      <c r="AA76" s="146"/>
      <c r="AB76" s="147"/>
      <c r="AC76" s="147"/>
      <c r="AD76" s="149"/>
      <c r="AE76" s="141"/>
      <c r="AF76" s="141"/>
      <c r="AG76" s="141"/>
      <c r="AH76" s="141"/>
      <c r="AJ76" s="121"/>
      <c r="AR76" s="61" t="s">
        <v>95</v>
      </c>
    </row>
    <row r="77" spans="1:76" s="61" customFormat="1" ht="12.75" customHeight="1">
      <c r="A77" s="88"/>
      <c r="B77" s="47"/>
      <c r="C77" s="47"/>
      <c r="D77" s="47"/>
      <c r="E77" s="47"/>
      <c r="F77" s="47"/>
      <c r="G77" s="47"/>
      <c r="H77" s="47"/>
      <c r="I77" s="68"/>
      <c r="J77" s="68"/>
      <c r="K77" s="127"/>
      <c r="L77" s="127"/>
      <c r="M77" s="127"/>
      <c r="N77" s="127"/>
      <c r="O77" s="127"/>
      <c r="P77" s="127"/>
      <c r="Q77" s="127"/>
      <c r="R77" s="128"/>
      <c r="S77" s="120"/>
      <c r="T77" s="127"/>
      <c r="U77" s="89"/>
      <c r="V77" s="103"/>
      <c r="W77" s="115"/>
      <c r="X77" s="243" t="str">
        <f t="shared" si="33"/>
        <v>Isle of Wight</v>
      </c>
      <c r="Y77" s="244" t="e">
        <f t="shared" si="34"/>
        <v>#N/A</v>
      </c>
      <c r="Z77" s="244" t="e">
        <f t="shared" si="35"/>
        <v>#N/A</v>
      </c>
      <c r="AA77" s="146"/>
      <c r="AB77" s="147"/>
      <c r="AC77" s="147"/>
      <c r="AD77" s="149"/>
      <c r="AE77" s="141"/>
      <c r="AF77" s="141"/>
      <c r="AG77" s="141"/>
      <c r="AH77" s="141"/>
      <c r="AJ77" s="121"/>
    </row>
    <row r="78" spans="1:76" s="61" customFormat="1" ht="12.75" customHeight="1">
      <c r="A78" s="88"/>
      <c r="B78" s="47"/>
      <c r="C78" s="47"/>
      <c r="D78" s="47"/>
      <c r="E78" s="47"/>
      <c r="F78" s="47"/>
      <c r="G78" s="47"/>
      <c r="H78" s="47"/>
      <c r="I78" s="68"/>
      <c r="J78" s="68"/>
      <c r="K78" s="127"/>
      <c r="L78" s="127"/>
      <c r="M78" s="127"/>
      <c r="N78" s="127"/>
      <c r="O78" s="127"/>
      <c r="P78" s="127"/>
      <c r="Q78" s="127"/>
      <c r="R78" s="128"/>
      <c r="S78" s="120"/>
      <c r="T78" s="127"/>
      <c r="U78" s="89"/>
      <c r="V78" s="103"/>
      <c r="W78" s="115"/>
      <c r="X78" s="243" t="str">
        <f t="shared" si="33"/>
        <v>Kent</v>
      </c>
      <c r="Y78" s="244" t="e">
        <f t="shared" si="34"/>
        <v>#N/A</v>
      </c>
      <c r="Z78" s="244" t="e">
        <f t="shared" si="35"/>
        <v>#N/A</v>
      </c>
      <c r="AA78" s="146"/>
      <c r="AB78" s="147"/>
      <c r="AC78" s="147"/>
      <c r="AD78" s="149"/>
      <c r="AE78" s="141"/>
      <c r="AF78" s="141"/>
      <c r="AG78" s="141"/>
      <c r="AH78" s="141"/>
      <c r="AJ78" s="121"/>
    </row>
    <row r="79" spans="1:76" s="61" customFormat="1" ht="12.75" customHeight="1">
      <c r="A79" s="88"/>
      <c r="B79" s="47"/>
      <c r="C79" s="47"/>
      <c r="D79" s="47"/>
      <c r="E79" s="47"/>
      <c r="F79" s="47"/>
      <c r="G79" s="47"/>
      <c r="H79" s="47"/>
      <c r="I79" s="68"/>
      <c r="J79" s="68"/>
      <c r="K79" s="127"/>
      <c r="L79" s="127"/>
      <c r="M79" s="127"/>
      <c r="N79" s="127"/>
      <c r="O79" s="127"/>
      <c r="P79" s="127"/>
      <c r="Q79" s="127"/>
      <c r="R79" s="128"/>
      <c r="S79" s="120"/>
      <c r="T79" s="127"/>
      <c r="U79" s="89"/>
      <c r="V79" s="103"/>
      <c r="W79" s="115"/>
      <c r="X79" s="243" t="str">
        <f t="shared" si="33"/>
        <v>Medway</v>
      </c>
      <c r="Y79" s="244" t="e">
        <f t="shared" si="34"/>
        <v>#N/A</v>
      </c>
      <c r="Z79" s="244" t="e">
        <f t="shared" si="35"/>
        <v>#N/A</v>
      </c>
      <c r="AA79" s="146"/>
      <c r="AB79" s="147"/>
      <c r="AC79" s="147"/>
      <c r="AD79" s="149"/>
      <c r="AE79" s="141"/>
      <c r="AF79" s="141"/>
      <c r="AG79" s="141"/>
      <c r="AH79" s="141"/>
      <c r="AJ79" s="121"/>
    </row>
    <row r="80" spans="1:76" s="61" customFormat="1" ht="12.75" customHeight="1">
      <c r="A80" s="88"/>
      <c r="B80" s="47"/>
      <c r="C80" s="47"/>
      <c r="D80" s="47"/>
      <c r="E80" s="47"/>
      <c r="F80" s="47"/>
      <c r="G80" s="47"/>
      <c r="H80" s="47"/>
      <c r="I80" s="68"/>
      <c r="J80" s="68"/>
      <c r="K80" s="127"/>
      <c r="L80" s="127"/>
      <c r="M80" s="127"/>
      <c r="N80" s="127"/>
      <c r="O80" s="127"/>
      <c r="P80" s="127"/>
      <c r="Q80" s="127"/>
      <c r="R80" s="128"/>
      <c r="S80" s="120"/>
      <c r="T80" s="127"/>
      <c r="U80" s="89"/>
      <c r="V80" s="103"/>
      <c r="W80" s="115"/>
      <c r="X80" s="243" t="str">
        <f t="shared" si="33"/>
        <v>Milton Keynes</v>
      </c>
      <c r="Y80" s="244" t="e">
        <f t="shared" si="34"/>
        <v>#N/A</v>
      </c>
      <c r="Z80" s="244" t="e">
        <f t="shared" si="35"/>
        <v>#N/A</v>
      </c>
      <c r="AA80" s="146"/>
      <c r="AB80" s="147"/>
      <c r="AC80" s="147"/>
      <c r="AD80" s="149"/>
      <c r="AE80" s="141"/>
      <c r="AF80" s="141"/>
      <c r="AG80" s="141"/>
      <c r="AH80" s="141"/>
      <c r="AJ80" s="121"/>
    </row>
    <row r="81" spans="1:76" s="61" customFormat="1" ht="12.75" customHeight="1">
      <c r="A81" s="88"/>
      <c r="B81" s="47"/>
      <c r="C81" s="47"/>
      <c r="D81" s="47"/>
      <c r="E81" s="47"/>
      <c r="F81" s="47"/>
      <c r="G81" s="47"/>
      <c r="H81" s="47"/>
      <c r="I81" s="68"/>
      <c r="J81" s="68"/>
      <c r="K81" s="127"/>
      <c r="L81" s="127"/>
      <c r="M81" s="127"/>
      <c r="N81" s="127"/>
      <c r="O81" s="127"/>
      <c r="P81" s="127"/>
      <c r="Q81" s="127"/>
      <c r="R81" s="128"/>
      <c r="S81" s="120"/>
      <c r="T81" s="127"/>
      <c r="U81" s="89"/>
      <c r="V81" s="103"/>
      <c r="W81" s="115"/>
      <c r="X81" s="243" t="str">
        <f t="shared" si="33"/>
        <v>Oxfordshire</v>
      </c>
      <c r="Y81" s="244" t="e">
        <f t="shared" si="34"/>
        <v>#N/A</v>
      </c>
      <c r="Z81" s="244" t="e">
        <f t="shared" si="35"/>
        <v>#N/A</v>
      </c>
      <c r="AA81" s="146"/>
      <c r="AB81" s="147"/>
      <c r="AC81" s="147"/>
      <c r="AD81" s="149"/>
      <c r="AE81" s="141"/>
      <c r="AF81" s="141"/>
      <c r="AG81" s="141"/>
      <c r="AH81" s="141"/>
      <c r="AJ81" s="121"/>
    </row>
    <row r="82" spans="1:76" s="61" customFormat="1" ht="12.75" customHeight="1">
      <c r="A82" s="88"/>
      <c r="B82" s="47"/>
      <c r="C82" s="47"/>
      <c r="D82" s="47"/>
      <c r="E82" s="47"/>
      <c r="F82" s="47"/>
      <c r="G82" s="47"/>
      <c r="H82" s="47"/>
      <c r="I82" s="68"/>
      <c r="J82" s="68"/>
      <c r="K82" s="127"/>
      <c r="L82" s="127"/>
      <c r="M82" s="127"/>
      <c r="N82" s="127"/>
      <c r="O82" s="127"/>
      <c r="P82" s="127"/>
      <c r="Q82" s="127"/>
      <c r="R82" s="128"/>
      <c r="S82" s="120"/>
      <c r="T82" s="127"/>
      <c r="U82" s="89"/>
      <c r="V82" s="103"/>
      <c r="W82" s="115"/>
      <c r="X82" s="243" t="str">
        <f t="shared" si="33"/>
        <v>Portsmouth</v>
      </c>
      <c r="Y82" s="244" t="e">
        <f t="shared" si="34"/>
        <v>#N/A</v>
      </c>
      <c r="Z82" s="244" t="e">
        <f t="shared" si="35"/>
        <v>#N/A</v>
      </c>
      <c r="AA82" s="146"/>
      <c r="AB82" s="147"/>
      <c r="AC82" s="147"/>
      <c r="AD82" s="149"/>
      <c r="AE82" s="141"/>
      <c r="AF82" s="141"/>
      <c r="AG82" s="141"/>
      <c r="AH82" s="141"/>
      <c r="AJ82" s="121"/>
    </row>
    <row r="83" spans="1:76" s="61" customFormat="1" ht="12.75" customHeight="1">
      <c r="A83" s="88"/>
      <c r="B83" s="47"/>
      <c r="C83" s="47"/>
      <c r="D83" s="47"/>
      <c r="E83" s="47"/>
      <c r="F83" s="47"/>
      <c r="G83" s="47"/>
      <c r="H83" s="47"/>
      <c r="I83" s="68"/>
      <c r="J83" s="68"/>
      <c r="K83" s="127"/>
      <c r="L83" s="127"/>
      <c r="M83" s="127"/>
      <c r="N83" s="127"/>
      <c r="O83" s="127"/>
      <c r="P83" s="127"/>
      <c r="Q83" s="127"/>
      <c r="R83" s="128"/>
      <c r="S83" s="120"/>
      <c r="T83" s="127"/>
      <c r="U83" s="89"/>
      <c r="V83" s="103"/>
      <c r="W83" s="115"/>
      <c r="X83" s="243" t="str">
        <f t="shared" si="33"/>
        <v>Reading</v>
      </c>
      <c r="Y83" s="244" t="e">
        <f t="shared" si="34"/>
        <v>#N/A</v>
      </c>
      <c r="Z83" s="244" t="e">
        <f t="shared" si="35"/>
        <v>#N/A</v>
      </c>
      <c r="AA83" s="146"/>
      <c r="AB83" s="147"/>
      <c r="AC83" s="147"/>
      <c r="AD83" s="149"/>
      <c r="AE83" s="141"/>
      <c r="AF83" s="141"/>
      <c r="AG83" s="141"/>
      <c r="AH83" s="141"/>
      <c r="AJ83" s="121"/>
    </row>
    <row r="84" spans="1:76" s="61" customFormat="1" ht="12.75" customHeight="1">
      <c r="A84" s="88"/>
      <c r="B84" s="47"/>
      <c r="C84" s="47"/>
      <c r="D84" s="47"/>
      <c r="E84" s="47"/>
      <c r="F84" s="47"/>
      <c r="G84" s="47"/>
      <c r="H84" s="47"/>
      <c r="I84" s="68"/>
      <c r="J84" s="68"/>
      <c r="K84" s="127"/>
      <c r="L84" s="127"/>
      <c r="M84" s="127"/>
      <c r="N84" s="127"/>
      <c r="O84" s="127"/>
      <c r="P84" s="127"/>
      <c r="Q84" s="127"/>
      <c r="R84" s="128"/>
      <c r="S84" s="120"/>
      <c r="T84" s="127"/>
      <c r="U84" s="89"/>
      <c r="V84" s="103"/>
      <c r="W84" s="115"/>
      <c r="X84" s="243" t="str">
        <f t="shared" si="33"/>
        <v>Slough</v>
      </c>
      <c r="Y84" s="244" t="e">
        <f t="shared" si="34"/>
        <v>#N/A</v>
      </c>
      <c r="Z84" s="244" t="e">
        <f t="shared" si="35"/>
        <v>#N/A</v>
      </c>
      <c r="AA84" s="146"/>
      <c r="AB84" s="147"/>
      <c r="AC84" s="147"/>
      <c r="AD84" s="149"/>
      <c r="AE84" s="141"/>
      <c r="AF84" s="141"/>
      <c r="AG84" s="141"/>
      <c r="AH84" s="141"/>
      <c r="AJ84" s="121"/>
    </row>
    <row r="85" spans="1:76" s="61" customFormat="1" ht="12.75" customHeight="1">
      <c r="A85" s="88"/>
      <c r="B85" s="47"/>
      <c r="C85" s="47"/>
      <c r="D85" s="47"/>
      <c r="E85" s="47"/>
      <c r="F85" s="47"/>
      <c r="G85" s="47"/>
      <c r="H85" s="47"/>
      <c r="I85" s="68"/>
      <c r="J85" s="68"/>
      <c r="K85" s="127"/>
      <c r="L85" s="127"/>
      <c r="M85" s="127"/>
      <c r="N85" s="127"/>
      <c r="O85" s="127"/>
      <c r="P85" s="127"/>
      <c r="Q85" s="127"/>
      <c r="R85" s="128"/>
      <c r="S85" s="120"/>
      <c r="T85" s="127"/>
      <c r="U85" s="89"/>
      <c r="V85" s="103"/>
      <c r="W85" s="115"/>
      <c r="X85" s="243" t="str">
        <f t="shared" si="33"/>
        <v>Southampton</v>
      </c>
      <c r="Y85" s="244" t="e">
        <f t="shared" si="34"/>
        <v>#N/A</v>
      </c>
      <c r="Z85" s="244" t="e">
        <f t="shared" si="35"/>
        <v>#N/A</v>
      </c>
      <c r="AA85" s="146"/>
      <c r="AB85" s="147"/>
      <c r="AC85" s="147"/>
      <c r="AD85" s="149"/>
      <c r="AE85" s="141"/>
      <c r="AF85" s="141"/>
      <c r="AG85" s="141"/>
      <c r="AH85" s="141"/>
      <c r="AJ85" s="121"/>
    </row>
    <row r="86" spans="1:76" s="61" customFormat="1" ht="12.75" customHeight="1">
      <c r="A86" s="88"/>
      <c r="B86" s="47"/>
      <c r="C86" s="47"/>
      <c r="D86" s="47"/>
      <c r="E86" s="47"/>
      <c r="F86" s="47"/>
      <c r="G86" s="47"/>
      <c r="H86" s="47"/>
      <c r="I86" s="68"/>
      <c r="J86" s="68"/>
      <c r="K86" s="127"/>
      <c r="L86" s="127"/>
      <c r="M86" s="127"/>
      <c r="N86" s="127"/>
      <c r="O86" s="127"/>
      <c r="P86" s="127"/>
      <c r="Q86" s="127"/>
      <c r="R86" s="128"/>
      <c r="S86" s="120"/>
      <c r="T86" s="127"/>
      <c r="U86" s="89"/>
      <c r="V86" s="103"/>
      <c r="W86" s="115"/>
      <c r="X86" s="243" t="str">
        <f t="shared" si="33"/>
        <v>Surrey</v>
      </c>
      <c r="Y86" s="244" t="e">
        <f t="shared" si="34"/>
        <v>#N/A</v>
      </c>
      <c r="Z86" s="244" t="e">
        <f t="shared" si="35"/>
        <v>#N/A</v>
      </c>
      <c r="AA86" s="146"/>
      <c r="AB86" s="147"/>
      <c r="AC86" s="147"/>
      <c r="AD86" s="149"/>
      <c r="AE86" s="141"/>
      <c r="AF86" s="141"/>
      <c r="AG86" s="141"/>
      <c r="AH86" s="141"/>
      <c r="AJ86" s="121"/>
    </row>
    <row r="87" spans="1:76" s="61" customFormat="1" ht="12.75" customHeight="1">
      <c r="A87" s="88"/>
      <c r="B87" s="47"/>
      <c r="C87" s="47"/>
      <c r="D87" s="47"/>
      <c r="E87" s="47"/>
      <c r="F87" s="47"/>
      <c r="G87" s="47"/>
      <c r="H87" s="47"/>
      <c r="I87" s="68"/>
      <c r="J87" s="68"/>
      <c r="K87" s="127"/>
      <c r="L87" s="127"/>
      <c r="M87" s="127"/>
      <c r="N87" s="127"/>
      <c r="O87" s="127"/>
      <c r="P87" s="127"/>
      <c r="Q87" s="127"/>
      <c r="R87" s="128"/>
      <c r="S87" s="120"/>
      <c r="T87" s="127"/>
      <c r="U87" s="89"/>
      <c r="V87" s="103"/>
      <c r="W87" s="115"/>
      <c r="X87" s="243" t="str">
        <f t="shared" si="33"/>
        <v>West Berkshire</v>
      </c>
      <c r="Y87" s="244" t="e">
        <f t="shared" si="34"/>
        <v>#N/A</v>
      </c>
      <c r="Z87" s="244" t="e">
        <f t="shared" si="35"/>
        <v>#N/A</v>
      </c>
      <c r="AA87" s="146"/>
      <c r="AB87" s="147"/>
      <c r="AC87" s="147"/>
      <c r="AD87" s="149"/>
      <c r="AE87" s="141"/>
      <c r="AF87" s="141"/>
      <c r="AG87" s="141"/>
      <c r="AH87" s="141"/>
      <c r="AJ87" s="121"/>
    </row>
    <row r="88" spans="1:76" s="61" customFormat="1" ht="12.75" customHeight="1">
      <c r="A88" s="88"/>
      <c r="B88" s="47"/>
      <c r="C88" s="47"/>
      <c r="D88" s="47"/>
      <c r="E88" s="47"/>
      <c r="F88" s="47"/>
      <c r="G88" s="47"/>
      <c r="H88" s="47"/>
      <c r="I88" s="68"/>
      <c r="J88" s="68"/>
      <c r="K88" s="127"/>
      <c r="L88" s="127"/>
      <c r="M88" s="127"/>
      <c r="N88" s="127"/>
      <c r="O88" s="127"/>
      <c r="P88" s="127"/>
      <c r="Q88" s="127"/>
      <c r="R88" s="128"/>
      <c r="S88" s="120"/>
      <c r="T88" s="127"/>
      <c r="U88" s="89"/>
      <c r="V88" s="103"/>
      <c r="W88" s="115"/>
      <c r="X88" s="243" t="str">
        <f t="shared" si="33"/>
        <v>West Sussex</v>
      </c>
      <c r="Y88" s="244" t="e">
        <f t="shared" si="34"/>
        <v>#N/A</v>
      </c>
      <c r="Z88" s="244" t="e">
        <f t="shared" si="35"/>
        <v>#N/A</v>
      </c>
      <c r="AA88" s="146"/>
      <c r="AB88" s="147"/>
      <c r="AC88" s="147"/>
      <c r="AD88" s="149"/>
      <c r="AE88" s="141"/>
      <c r="AF88" s="141"/>
      <c r="AG88" s="141"/>
      <c r="AH88" s="141"/>
      <c r="AJ88" s="121"/>
    </row>
    <row r="89" spans="1:76" s="61" customFormat="1" ht="12.75" customHeight="1">
      <c r="A89" s="217"/>
      <c r="B89" s="47"/>
      <c r="C89" s="47"/>
      <c r="D89" s="47"/>
      <c r="E89" s="47"/>
      <c r="F89" s="47"/>
      <c r="G89" s="47"/>
      <c r="H89" s="47"/>
      <c r="I89" s="68"/>
      <c r="J89" s="68"/>
      <c r="K89" s="127"/>
      <c r="L89" s="127"/>
      <c r="M89" s="127"/>
      <c r="N89" s="127"/>
      <c r="O89" s="127"/>
      <c r="P89" s="127"/>
      <c r="Q89" s="127"/>
      <c r="R89" s="128"/>
      <c r="S89" s="120"/>
      <c r="T89" s="127"/>
      <c r="U89" s="89"/>
      <c r="V89" s="103"/>
      <c r="W89" s="115"/>
      <c r="X89" s="243" t="str">
        <f t="shared" si="33"/>
        <v>Windsor &amp; Maidenhead</v>
      </c>
      <c r="Y89" s="244" t="e">
        <f t="shared" si="34"/>
        <v>#N/A</v>
      </c>
      <c r="Z89" s="244" t="e">
        <f t="shared" si="35"/>
        <v>#N/A</v>
      </c>
      <c r="AA89" s="146"/>
      <c r="AB89" s="147"/>
      <c r="AC89" s="147"/>
      <c r="AD89" s="149"/>
      <c r="AF89" s="141"/>
      <c r="AG89" s="141"/>
      <c r="AH89" s="141"/>
      <c r="AJ89" s="121"/>
    </row>
    <row r="90" spans="1:76" s="61" customFormat="1" ht="12.75" customHeight="1">
      <c r="A90" s="217"/>
      <c r="B90" s="47"/>
      <c r="C90" s="47"/>
      <c r="D90" s="47"/>
      <c r="E90" s="47"/>
      <c r="F90" s="47"/>
      <c r="G90" s="47"/>
      <c r="H90" s="47"/>
      <c r="I90" s="68"/>
      <c r="J90" s="68"/>
      <c r="K90" s="127"/>
      <c r="L90" s="127"/>
      <c r="M90" s="127"/>
      <c r="N90" s="127"/>
      <c r="O90" s="127"/>
      <c r="P90" s="127"/>
      <c r="Q90" s="127"/>
      <c r="R90" s="128"/>
      <c r="S90" s="120"/>
      <c r="T90" s="127"/>
      <c r="U90" s="89"/>
      <c r="V90" s="103"/>
      <c r="W90" s="115"/>
      <c r="X90" s="243" t="str">
        <f t="shared" si="33"/>
        <v>Wokingham</v>
      </c>
      <c r="Y90" s="244" t="e">
        <f t="shared" si="34"/>
        <v>#N/A</v>
      </c>
      <c r="Z90" s="244" t="e">
        <f t="shared" si="35"/>
        <v>#N/A</v>
      </c>
      <c r="AA90" s="146"/>
      <c r="AB90" s="147"/>
      <c r="AC90" s="147"/>
      <c r="AD90" s="149"/>
      <c r="AF90" s="141"/>
      <c r="AG90" s="141"/>
      <c r="AH90" s="141"/>
      <c r="AJ90" s="121"/>
    </row>
    <row r="91" spans="1:76" s="61" customFormat="1" ht="12.75" customHeight="1">
      <c r="A91" s="88"/>
      <c r="B91" s="47"/>
      <c r="C91" s="47"/>
      <c r="D91" s="47"/>
      <c r="E91" s="47"/>
      <c r="F91" s="47"/>
      <c r="G91" s="47"/>
      <c r="H91" s="47"/>
      <c r="I91" s="68"/>
      <c r="J91" s="68"/>
      <c r="K91" s="127"/>
      <c r="L91" s="127"/>
      <c r="M91" s="127"/>
      <c r="N91" s="127"/>
      <c r="O91" s="127"/>
      <c r="P91" s="127"/>
      <c r="Q91" s="127"/>
      <c r="R91" s="128"/>
      <c r="S91" s="120"/>
      <c r="T91" s="127"/>
      <c r="U91" s="89"/>
      <c r="V91" s="103"/>
      <c r="W91" s="115"/>
      <c r="X91" s="243" t="str">
        <f t="shared" si="33"/>
        <v>South East</v>
      </c>
      <c r="Y91" s="244" t="e">
        <f t="shared" si="34"/>
        <v>#N/A</v>
      </c>
      <c r="Z91" s="244" t="e">
        <f t="shared" si="35"/>
        <v>#N/A</v>
      </c>
      <c r="AA91" s="146"/>
      <c r="AB91" s="147"/>
      <c r="AC91" s="147"/>
      <c r="AD91" s="149"/>
      <c r="AH91" s="141"/>
      <c r="AJ91" s="121"/>
    </row>
    <row r="92" spans="1:76" s="61" customFormat="1" ht="12.75" customHeight="1">
      <c r="A92" s="88"/>
      <c r="B92" s="47"/>
      <c r="C92" s="47"/>
      <c r="D92" s="47"/>
      <c r="E92" s="47"/>
      <c r="F92" s="47"/>
      <c r="G92" s="47"/>
      <c r="H92" s="47"/>
      <c r="I92" s="68"/>
      <c r="J92" s="68"/>
      <c r="K92" s="127"/>
      <c r="L92" s="127"/>
      <c r="M92" s="127"/>
      <c r="N92" s="127"/>
      <c r="O92" s="127"/>
      <c r="P92" s="127"/>
      <c r="Q92" s="127"/>
      <c r="R92" s="128"/>
      <c r="S92" s="120"/>
      <c r="T92" s="127"/>
      <c r="U92" s="89"/>
      <c r="V92" s="103"/>
      <c r="W92" s="115"/>
      <c r="X92" s="243" t="str">
        <f t="shared" si="33"/>
        <v>England</v>
      </c>
      <c r="Y92" s="244" t="e">
        <f t="shared" si="34"/>
        <v>#N/A</v>
      </c>
      <c r="Z92" s="244" t="e">
        <f t="shared" si="35"/>
        <v>#N/A</v>
      </c>
      <c r="AA92" s="146"/>
      <c r="AB92" s="147"/>
      <c r="AC92" s="147"/>
      <c r="AD92" s="149"/>
      <c r="AH92" s="141"/>
      <c r="AJ92" s="121"/>
    </row>
    <row r="93" spans="1:76" s="61" customFormat="1" ht="12.75" customHeight="1">
      <c r="A93" s="88"/>
      <c r="B93" s="47"/>
      <c r="C93" s="47"/>
      <c r="D93" s="47"/>
      <c r="E93" s="47"/>
      <c r="F93" s="47"/>
      <c r="G93" s="47"/>
      <c r="H93" s="47"/>
      <c r="I93" s="68"/>
      <c r="J93" s="68"/>
      <c r="K93" s="127"/>
      <c r="L93" s="127"/>
      <c r="M93" s="127"/>
      <c r="N93" s="127"/>
      <c r="O93" s="127"/>
      <c r="P93" s="127"/>
      <c r="Q93" s="127"/>
      <c r="R93" s="128"/>
      <c r="S93" s="120"/>
      <c r="T93" s="127"/>
      <c r="U93" s="89"/>
      <c r="V93" s="103"/>
      <c r="W93" s="115"/>
      <c r="AA93" s="146"/>
      <c r="AB93" s="147"/>
      <c r="AC93" s="147"/>
      <c r="AD93" s="149"/>
      <c r="AH93" s="141"/>
      <c r="AJ93" s="121"/>
    </row>
    <row r="94" spans="1:76" s="61" customFormat="1" ht="12.6" customHeight="1">
      <c r="A94" s="88"/>
      <c r="B94" s="47"/>
      <c r="C94" s="47"/>
      <c r="D94" s="47"/>
      <c r="E94" s="47"/>
      <c r="F94" s="47"/>
      <c r="G94" s="47"/>
      <c r="H94" s="47"/>
      <c r="I94" s="68"/>
      <c r="J94" s="68"/>
      <c r="K94" s="127"/>
      <c r="L94" s="127"/>
      <c r="M94" s="127"/>
      <c r="N94" s="127"/>
      <c r="O94" s="127"/>
      <c r="P94" s="127"/>
      <c r="Q94" s="127"/>
      <c r="R94" s="128"/>
      <c r="S94" s="120"/>
      <c r="T94" s="127"/>
      <c r="U94" s="89"/>
      <c r="V94" s="103"/>
      <c r="W94" s="115"/>
      <c r="AA94" s="146"/>
      <c r="AB94" s="147"/>
      <c r="AC94" s="147"/>
      <c r="AD94" s="149"/>
      <c r="AH94" s="141"/>
      <c r="AJ94" s="121"/>
    </row>
    <row r="95" spans="1:76" s="61" customFormat="1" ht="12.75" customHeight="1">
      <c r="A95" s="88"/>
      <c r="B95" s="47"/>
      <c r="C95" s="47"/>
      <c r="D95" s="47"/>
      <c r="E95" s="47"/>
      <c r="F95" s="47"/>
      <c r="G95" s="47"/>
      <c r="H95" s="47"/>
      <c r="I95" s="68"/>
      <c r="J95" s="68"/>
      <c r="K95" s="129"/>
      <c r="L95" s="129"/>
      <c r="M95" s="129"/>
      <c r="N95" s="129"/>
      <c r="O95" s="129"/>
      <c r="P95" s="129"/>
      <c r="Q95" s="129"/>
      <c r="R95" s="130"/>
      <c r="S95" s="120"/>
      <c r="T95" s="131"/>
      <c r="U95" s="89"/>
      <c r="V95" s="103"/>
      <c r="W95" s="115"/>
      <c r="AA95" s="146"/>
      <c r="AB95" s="147"/>
      <c r="AC95" s="147"/>
      <c r="AD95" s="149"/>
      <c r="AH95" s="141"/>
      <c r="AJ95" s="121"/>
    </row>
    <row r="96" spans="1:76" s="61" customFormat="1" ht="12.6" customHeight="1">
      <c r="A96" s="88"/>
      <c r="B96" s="47"/>
      <c r="C96" s="47"/>
      <c r="D96" s="47"/>
      <c r="E96" s="47"/>
      <c r="F96" s="47"/>
      <c r="G96" s="47"/>
      <c r="H96" s="47"/>
      <c r="I96" s="68"/>
      <c r="J96" s="68"/>
      <c r="K96" s="129"/>
      <c r="L96" s="129"/>
      <c r="M96" s="129"/>
      <c r="N96" s="129"/>
      <c r="O96" s="129"/>
      <c r="P96" s="129"/>
      <c r="Q96" s="129"/>
      <c r="R96" s="130"/>
      <c r="S96" s="120"/>
      <c r="T96" s="131"/>
      <c r="U96" s="89"/>
      <c r="V96" s="103"/>
      <c r="W96" s="114"/>
      <c r="X96" s="56"/>
      <c r="Y96" s="56"/>
      <c r="Z96" s="56"/>
      <c r="AA96" s="56"/>
      <c r="AB96" s="56"/>
      <c r="AC96" s="147"/>
      <c r="AD96" s="149"/>
      <c r="AE96" s="52"/>
      <c r="AF96" s="52"/>
      <c r="AG96" s="52"/>
      <c r="AH96" s="56"/>
      <c r="AI96" s="52"/>
      <c r="AJ96" s="122"/>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s="61" customFormat="1" ht="12" customHeight="1">
      <c r="A97" s="217"/>
      <c r="B97" s="47"/>
      <c r="C97" s="47"/>
      <c r="D97" s="47"/>
      <c r="E97" s="47"/>
      <c r="F97" s="47"/>
      <c r="G97" s="47"/>
      <c r="H97" s="47"/>
      <c r="I97" s="68"/>
      <c r="J97" s="68"/>
      <c r="K97" s="129"/>
      <c r="L97" s="129"/>
      <c r="M97" s="129"/>
      <c r="N97" s="129"/>
      <c r="O97" s="129"/>
      <c r="P97" s="129"/>
      <c r="Q97" s="129"/>
      <c r="R97" s="130"/>
      <c r="S97" s="120"/>
      <c r="T97" s="131"/>
      <c r="U97" s="89"/>
      <c r="V97" s="103"/>
      <c r="W97" s="114"/>
      <c r="X97" s="56"/>
      <c r="Y97" s="141"/>
      <c r="Z97" s="56"/>
      <c r="AA97" s="56"/>
      <c r="AB97" s="56"/>
      <c r="AC97" s="56"/>
      <c r="AD97" s="149"/>
      <c r="AE97" s="52"/>
      <c r="AF97" s="52"/>
      <c r="AG97" s="52"/>
      <c r="AH97" s="56"/>
      <c r="AI97" s="52"/>
      <c r="AJ97" s="122"/>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s="56" customFormat="1" ht="36" customHeight="1">
      <c r="A98" s="166"/>
      <c r="B98" s="47"/>
      <c r="C98" s="47"/>
      <c r="D98" s="47"/>
      <c r="E98" s="47"/>
      <c r="F98" s="47"/>
      <c r="G98" s="47"/>
      <c r="H98" s="47"/>
      <c r="I98" s="171"/>
      <c r="J98" s="133"/>
      <c r="K98" s="133"/>
      <c r="L98" s="133"/>
      <c r="M98" s="133"/>
      <c r="N98" s="133"/>
      <c r="O98" s="133"/>
      <c r="P98" s="133"/>
      <c r="Q98" s="133"/>
      <c r="R98" s="101"/>
      <c r="S98" s="133"/>
      <c r="T98" s="133"/>
      <c r="U98" s="86"/>
      <c r="V98" s="102"/>
      <c r="W98" s="114"/>
      <c r="Y98" s="141"/>
      <c r="AD98" s="149"/>
      <c r="AE98" s="52"/>
      <c r="AF98" s="52"/>
      <c r="AG98" s="52"/>
      <c r="AI98" s="52"/>
      <c r="AJ98" s="122"/>
    </row>
    <row r="99" spans="1:76" s="56" customFormat="1" ht="35.450000000000003" customHeight="1">
      <c r="A99" s="166"/>
      <c r="B99" s="47"/>
      <c r="C99" s="47"/>
      <c r="D99" s="47"/>
      <c r="E99" s="47"/>
      <c r="F99" s="47"/>
      <c r="G99" s="47"/>
      <c r="H99" s="47"/>
      <c r="I99" s="171"/>
      <c r="J99" s="133"/>
      <c r="K99" s="133"/>
      <c r="L99" s="133"/>
      <c r="M99" s="133"/>
      <c r="N99" s="133"/>
      <c r="O99" s="133"/>
      <c r="P99" s="133"/>
      <c r="Q99" s="133"/>
      <c r="R99" s="101"/>
      <c r="S99" s="133"/>
      <c r="T99" s="133"/>
      <c r="U99" s="86"/>
      <c r="V99" s="102"/>
      <c r="W99" s="114"/>
      <c r="Y99" s="141"/>
      <c r="AI99" s="52"/>
      <c r="AJ99" s="119"/>
      <c r="AK99" s="52"/>
      <c r="AL99" s="52"/>
      <c r="AM99" s="52"/>
      <c r="AN99" s="52"/>
      <c r="AO99" s="52"/>
      <c r="AP99" s="52"/>
      <c r="AQ99" s="52"/>
    </row>
    <row r="100" spans="1:76" s="56" customFormat="1" ht="45.75" customHeight="1">
      <c r="A100" s="166"/>
      <c r="B100" s="171"/>
      <c r="C100" s="171"/>
      <c r="D100" s="171"/>
      <c r="E100" s="171"/>
      <c r="F100" s="171"/>
      <c r="G100" s="171"/>
      <c r="H100" s="171"/>
      <c r="I100" s="171"/>
      <c r="J100" s="133"/>
      <c r="K100" s="133"/>
      <c r="L100" s="133"/>
      <c r="M100" s="133"/>
      <c r="N100" s="133"/>
      <c r="O100" s="133"/>
      <c r="P100" s="133"/>
      <c r="Q100" s="133"/>
      <c r="R100" s="101"/>
      <c r="S100" s="133"/>
      <c r="T100" s="133"/>
      <c r="U100" s="86"/>
      <c r="V100" s="121"/>
      <c r="W100" s="114"/>
      <c r="X100" s="52"/>
      <c r="Y100" s="52"/>
      <c r="AJ100" s="122"/>
      <c r="AS100" s="52"/>
    </row>
    <row r="101" spans="1:76" s="56" customFormat="1" ht="7.5" customHeight="1">
      <c r="A101" s="87"/>
      <c r="B101" s="12"/>
      <c r="C101" s="12"/>
      <c r="D101" s="11"/>
      <c r="E101" s="11"/>
      <c r="F101" s="11"/>
      <c r="G101" s="11"/>
      <c r="H101" s="11"/>
      <c r="I101" s="11"/>
      <c r="J101" s="1"/>
      <c r="K101" s="13"/>
      <c r="L101" s="13"/>
      <c r="M101" s="13"/>
      <c r="N101" s="13"/>
      <c r="O101" s="13"/>
      <c r="P101" s="13"/>
      <c r="Q101" s="13"/>
      <c r="R101" s="13"/>
      <c r="S101" s="13"/>
      <c r="T101" s="14"/>
      <c r="U101" s="86"/>
      <c r="V101" s="185"/>
      <c r="W101" s="114"/>
      <c r="X101" s="52"/>
      <c r="Y101" s="52"/>
      <c r="AI101" s="52"/>
      <c r="AJ101" s="121"/>
      <c r="AK101" s="61"/>
      <c r="AS101" s="52"/>
    </row>
    <row r="102" spans="1:76" s="56" customFormat="1" ht="15" customHeight="1">
      <c r="A102" s="1565"/>
      <c r="B102" s="1751"/>
      <c r="C102" s="1751"/>
      <c r="D102" s="1751"/>
      <c r="E102" s="1751"/>
      <c r="F102" s="1751"/>
      <c r="G102" s="1751"/>
      <c r="H102" s="1751"/>
      <c r="I102" s="1751"/>
      <c r="J102" s="1751"/>
      <c r="K102" s="1751"/>
      <c r="L102" s="1751"/>
      <c r="M102" s="1751"/>
      <c r="N102" s="1751"/>
      <c r="O102" s="1751"/>
      <c r="P102" s="1751"/>
      <c r="Q102" s="1751"/>
      <c r="R102" s="1751"/>
      <c r="S102" s="1751"/>
      <c r="T102" s="1751"/>
      <c r="U102" s="1752"/>
      <c r="V102" s="185"/>
      <c r="W102" s="114"/>
      <c r="X102" s="52"/>
      <c r="Y102" s="52"/>
      <c r="AI102" s="52"/>
      <c r="AJ102" s="119"/>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row>
    <row r="103" spans="1:76" s="56" customFormat="1" ht="11.25" customHeight="1">
      <c r="A103" s="1739"/>
      <c r="B103" s="1740"/>
      <c r="C103" s="1740"/>
      <c r="D103" s="1740"/>
      <c r="E103" s="1740"/>
      <c r="F103" s="1740"/>
      <c r="G103" s="1740"/>
      <c r="H103" s="1740"/>
      <c r="I103" s="1741"/>
      <c r="J103" s="1740"/>
      <c r="K103" s="1740"/>
      <c r="L103" s="1740"/>
      <c r="M103" s="1740"/>
      <c r="N103" s="1740"/>
      <c r="O103" s="1740"/>
      <c r="P103" s="1742"/>
      <c r="Q103" s="1740"/>
      <c r="R103" s="1740"/>
      <c r="S103" s="1947"/>
      <c r="T103" s="1740"/>
      <c r="U103" s="1743"/>
      <c r="V103" s="185"/>
      <c r="W103" s="114"/>
      <c r="AH103" s="251"/>
      <c r="AJ103" s="119"/>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row>
    <row r="104" spans="1:76" ht="10.5" hidden="1" customHeight="1">
      <c r="A104" s="268"/>
      <c r="B104" s="167"/>
      <c r="C104" s="167"/>
      <c r="D104" s="167"/>
      <c r="E104" s="167"/>
      <c r="F104" s="167"/>
      <c r="G104" s="167"/>
      <c r="H104" s="167"/>
      <c r="I104" s="167"/>
      <c r="J104" s="83"/>
      <c r="K104" s="82"/>
      <c r="L104" s="82"/>
      <c r="M104" s="82"/>
      <c r="N104" s="82"/>
      <c r="O104" s="82"/>
      <c r="P104" s="82"/>
      <c r="Q104" s="82"/>
      <c r="R104" s="82"/>
      <c r="S104" s="82"/>
      <c r="T104" s="82"/>
      <c r="U104" s="84"/>
      <c r="V104" s="102"/>
      <c r="W104" s="114"/>
      <c r="Y104" s="250"/>
      <c r="AJ104" s="119"/>
    </row>
    <row r="105" spans="1:76" ht="18.75" hidden="1" customHeight="1">
      <c r="A105" s="536"/>
      <c r="B105" s="1903" t="s">
        <v>1062</v>
      </c>
      <c r="C105" s="1903"/>
      <c r="D105" s="1903"/>
      <c r="E105" s="1903"/>
      <c r="F105" s="1903"/>
      <c r="G105" s="1903"/>
      <c r="H105" s="1903"/>
      <c r="I105" s="1203"/>
      <c r="J105" s="50"/>
      <c r="K105" s="50"/>
      <c r="L105" s="50"/>
      <c r="M105" s="50"/>
      <c r="N105" s="224"/>
      <c r="O105" s="50"/>
      <c r="P105" s="50"/>
      <c r="Q105" s="50"/>
      <c r="R105" s="50"/>
      <c r="S105" s="50"/>
      <c r="T105" s="50"/>
      <c r="U105" s="86"/>
      <c r="V105" s="102"/>
      <c r="W105" s="114"/>
      <c r="Y105" s="307" t="str">
        <f>IF(ReportData!$C$3="Annual","",ReportData!$D$28)</f>
        <v/>
      </c>
      <c r="Z105" s="307" t="str">
        <f>IF(ReportData!$C$3="Annual","",ReportData!$E$28)</f>
        <v/>
      </c>
      <c r="AA105" s="307" t="str">
        <f>IF(ReportData!$C$3="Annual","",ReportData!$F$28)</f>
        <v/>
      </c>
      <c r="AB105" s="307" t="str">
        <f>IF(ReportData!$C$3="Annual","",ReportData!$G$28)</f>
        <v/>
      </c>
      <c r="AC105" s="307" t="str">
        <f>IF(ReportData!$C$3="Annual","",ReportData!$H$28)</f>
        <v/>
      </c>
      <c r="AJ105" s="119"/>
    </row>
    <row r="106" spans="1:76" ht="18.75" hidden="1" customHeight="1">
      <c r="A106" s="536"/>
      <c r="B106" s="1903"/>
      <c r="C106" s="1903"/>
      <c r="D106" s="1903"/>
      <c r="E106" s="1903"/>
      <c r="F106" s="1903"/>
      <c r="G106" s="1903"/>
      <c r="H106" s="1903"/>
      <c r="I106" s="1203"/>
      <c r="J106" s="50"/>
      <c r="K106" s="50"/>
      <c r="L106" s="50"/>
      <c r="M106" s="50"/>
      <c r="N106" s="224"/>
      <c r="O106" s="50"/>
      <c r="P106" s="50"/>
      <c r="Q106" s="50"/>
      <c r="R106" s="5"/>
      <c r="S106" s="50"/>
      <c r="T106" s="50"/>
      <c r="U106" s="86"/>
      <c r="V106" s="102"/>
      <c r="W106" s="115"/>
      <c r="X106" s="352"/>
      <c r="Y106" s="307" t="str">
        <f>ReportData!$D$27</f>
        <v>2019/20</v>
      </c>
      <c r="Z106" s="307" t="str">
        <f>ReportData!$E$27</f>
        <v>2020/21</v>
      </c>
      <c r="AA106" s="307" t="str">
        <f>ReportData!$F$27</f>
        <v>2021/22</v>
      </c>
      <c r="AB106" s="307" t="str">
        <f>ReportData!$G$27</f>
        <v>2022/23</v>
      </c>
      <c r="AC106" s="307" t="str">
        <f>ReportData!$H$27</f>
        <v>2023/24</v>
      </c>
      <c r="AJ106" s="12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row>
    <row r="107" spans="1:76" ht="18.75" hidden="1" customHeight="1">
      <c r="A107" s="1116"/>
      <c r="B107" s="1749" t="s">
        <v>177</v>
      </c>
      <c r="C107" s="1175"/>
      <c r="D107" s="1088" t="str">
        <f>ReportData!$D$27</f>
        <v>2019/20</v>
      </c>
      <c r="E107" s="1088" t="str">
        <f>ReportData!$E$27</f>
        <v>2020/21</v>
      </c>
      <c r="F107" s="1088" t="str">
        <f>ReportData!$F$27</f>
        <v>2021/22</v>
      </c>
      <c r="G107" s="1088" t="str">
        <f>ReportData!$G$27</f>
        <v>2022/23</v>
      </c>
      <c r="H107" s="1089" t="str">
        <f>ReportData!$H$27</f>
        <v>2023/24</v>
      </c>
      <c r="I107" s="230"/>
      <c r="J107" s="50"/>
      <c r="K107" s="50"/>
      <c r="L107" s="50"/>
      <c r="M107" s="50"/>
      <c r="N107" s="224"/>
      <c r="O107" s="50"/>
      <c r="P107" s="50"/>
      <c r="Q107" s="50"/>
      <c r="R107" s="5"/>
      <c r="S107" s="50"/>
      <c r="T107" s="50"/>
      <c r="U107" s="86"/>
      <c r="V107" s="102"/>
      <c r="W107" s="115"/>
      <c r="X107" s="352" t="str">
        <f t="shared" ref="X107:X119" si="36">B109</f>
        <v>Bracknell Forest</v>
      </c>
      <c r="Y107" s="355" t="str">
        <f>IF(Year1_Bracknell_Forest Year1_LAC_Start_2nd_time="","",Year1_Bracknell_Forest Year1_LAC_Start_2nd_time)</f>
        <v/>
      </c>
      <c r="Z107" s="248" t="str">
        <f>IF(Year2_Bracknell_Forest Year2_LAC_Start_2nd_time="","",Year2_Bracknell_Forest Year2_LAC_Start_2nd_time)</f>
        <v/>
      </c>
      <c r="AA107" s="248" t="str">
        <f>IF(Year3_Bracknell_Forest Year3_LAC_Start_2nd_time="","",Year3_Bracknell_Forest Year3_LAC_Start_2nd_time)</f>
        <v/>
      </c>
      <c r="AB107" s="248" t="str">
        <f>IF(Year4_Bracknell_Forest Year4_LAC_Start_2nd_time="","",Year4_Bracknell_Forest Year4_LAC_Start_2nd_time)</f>
        <v/>
      </c>
      <c r="AC107" s="352" t="str">
        <f>IF(Year5_Bracknell_Forest Year5_LAC_Start_2nd_time="","",Year5_Bracknell_Forest Year5_LAC_Start_2nd_time)</f>
        <v/>
      </c>
      <c r="AJ107" s="12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row>
    <row r="108" spans="1:76" s="61" customFormat="1" ht="16.5" hidden="1" customHeight="1">
      <c r="A108" s="1148"/>
      <c r="B108" s="1750"/>
      <c r="C108" s="896"/>
      <c r="D108" s="897" t="e">
        <f>ReportData!$D$28</f>
        <v>#N/A</v>
      </c>
      <c r="E108" s="897" t="e">
        <f>ReportData!$E$28</f>
        <v>#N/A</v>
      </c>
      <c r="F108" s="897" t="e">
        <f>ReportData!$F$28</f>
        <v>#N/A</v>
      </c>
      <c r="G108" s="897" t="e">
        <f>ReportData!$G$28</f>
        <v>#N/A</v>
      </c>
      <c r="H108" s="920" t="e">
        <f>ReportData!$H$28</f>
        <v>#N/A</v>
      </c>
      <c r="I108" s="68"/>
      <c r="J108" s="68"/>
      <c r="K108" s="43"/>
      <c r="L108" s="43"/>
      <c r="M108" s="43"/>
      <c r="N108" s="43"/>
      <c r="O108" s="43"/>
      <c r="P108" s="43"/>
      <c r="Q108" s="225"/>
      <c r="R108" s="225"/>
      <c r="S108" s="120"/>
      <c r="T108" s="226"/>
      <c r="U108" s="89"/>
      <c r="V108" s="103"/>
      <c r="W108" s="115"/>
      <c r="X108" s="352" t="str">
        <f t="shared" si="36"/>
        <v>Brighton &amp; Hove</v>
      </c>
      <c r="Y108" s="355" t="str">
        <f>IF(Year1_Brighton_and_Hove Year1_LAC_Start_2nd_time="","",Year1_Brighton_and_Hove Year1_LAC_Start_2nd_time)</f>
        <v/>
      </c>
      <c r="Z108" s="248" t="str">
        <f>IF(Year2_Brighton_and_Hove Year2_LAC_Start_2nd_time="","",Year2_Brighton_and_Hove Year2_LAC_Start_2nd_time)</f>
        <v/>
      </c>
      <c r="AA108" s="248" t="str">
        <f>IF(Year3_Brighton_and_Hove Year3_LAC_Start_2nd_time="","",Year3_Brighton_and_Hove Year3_LAC_Start_2nd_time)</f>
        <v/>
      </c>
      <c r="AB108" s="248" t="str">
        <f>IF(Year4_Brighton_and_Hove Year4_LAC_Start_2nd_time="","",Year4_Brighton_and_Hove Year4_LAC_Start_2nd_time)</f>
        <v/>
      </c>
      <c r="AC108" s="352" t="str">
        <f>IF(Year5_Brighton_and_Hove Year5_LAC_Start_2nd_time="","",Year5_Brighton_and_Hove Year5_LAC_Start_2nd_time)</f>
        <v/>
      </c>
      <c r="AD108" s="251"/>
      <c r="AE108" s="56"/>
      <c r="AF108" s="56"/>
      <c r="AG108" s="56"/>
      <c r="AH108" s="56"/>
      <c r="AI108" s="52"/>
      <c r="AJ108" s="121"/>
    </row>
    <row r="109" spans="1:76" s="61" customFormat="1" ht="13.5" hidden="1" customHeight="1">
      <c r="A109" s="1103">
        <f>VLOOKUP(B109,ReportData!$AQ$4:$AR$25,2,FALSE)</f>
        <v>0</v>
      </c>
      <c r="B109" s="885" t="str">
        <f t="shared" ref="B109:B129" si="37">B11</f>
        <v>Bracknell Forest</v>
      </c>
      <c r="C109" s="896"/>
      <c r="D109" s="922" t="e">
        <f t="shared" ref="D109:D129" si="38">IF(AND(ISNUMBER(D11),ISNUMBER(Y107)),Y107/D11,NA())</f>
        <v>#N/A</v>
      </c>
      <c r="E109" s="922" t="e">
        <f t="shared" ref="E109:E129" si="39">IF(AND(ISNUMBER(E11),ISNUMBER(Z107)),Z107/E11,NA())</f>
        <v>#N/A</v>
      </c>
      <c r="F109" s="922" t="e">
        <f t="shared" ref="F109:F129" si="40">IF(AND(ISNUMBER(F11),ISNUMBER(AA107)),AA107/F11,NA())</f>
        <v>#N/A</v>
      </c>
      <c r="G109" s="922" t="e">
        <f t="shared" ref="G109:G129" si="41">IF(AND(ISNUMBER(G11),ISNUMBER(AB107)),AB107/G11,NA())</f>
        <v>#N/A</v>
      </c>
      <c r="H109" s="923" t="e">
        <f t="shared" ref="H109:H129" si="42">IF(AND(ISNUMBER(H11),ISNUMBER(AC107)),AC107/H11,NA())</f>
        <v>#N/A</v>
      </c>
      <c r="I109" s="68"/>
      <c r="J109" s="68"/>
      <c r="K109" s="127"/>
      <c r="L109" s="127"/>
      <c r="M109" s="127"/>
      <c r="N109" s="127"/>
      <c r="O109" s="127"/>
      <c r="P109" s="127"/>
      <c r="Q109" s="127"/>
      <c r="R109" s="128"/>
      <c r="S109" s="120"/>
      <c r="T109" s="127"/>
      <c r="U109" s="89"/>
      <c r="V109" s="103"/>
      <c r="W109" s="115"/>
      <c r="X109" s="352" t="str">
        <f t="shared" si="36"/>
        <v>Buckinghamshire</v>
      </c>
      <c r="Y109" s="355" t="str">
        <f>IF(Year1_Buckinghamshire Year1_LAC_Start_2nd_time="","",Year1_Buckinghamshire Year1_LAC_Start_2nd_time)</f>
        <v/>
      </c>
      <c r="Z109" s="248" t="str">
        <f>IF(Year2_Buckinghamshire Year2_LAC_Start_2nd_time="","",Year2_Buckinghamshire Year2_LAC_Start_2nd_time)</f>
        <v/>
      </c>
      <c r="AA109" s="248" t="str">
        <f>IF(Year3_Buckinghamshire Year3_LAC_Start_2nd_time="","",Year3_Buckinghamshire Year3_LAC_Start_2nd_time)</f>
        <v/>
      </c>
      <c r="AB109" s="248" t="str">
        <f>IF(Year4_Buckinghamshire Year4_LAC_Start_2nd_time="","",Year4_Buckinghamshire Year4_LAC_Start_2nd_time)</f>
        <v/>
      </c>
      <c r="AC109" s="352" t="str">
        <f>IF(Year5_Buckinghamshire Year5_LAC_Start_2nd_time="","",Year5_Buckinghamshire Year5_LAC_Start_2nd_time)</f>
        <v/>
      </c>
      <c r="AD109" s="251"/>
      <c r="AE109" s="56"/>
      <c r="AF109" s="56"/>
      <c r="AG109" s="56"/>
      <c r="AH109" s="56"/>
      <c r="AI109" s="52"/>
      <c r="AJ109" s="121"/>
    </row>
    <row r="110" spans="1:76" s="61" customFormat="1" ht="13.5" hidden="1" customHeight="1">
      <c r="A110" s="1103">
        <f>VLOOKUP(B110,ReportData!$AQ$4:$AR$25,2,FALSE)</f>
        <v>0</v>
      </c>
      <c r="B110" s="885" t="str">
        <f t="shared" si="37"/>
        <v>Brighton &amp; Hove</v>
      </c>
      <c r="C110" s="896"/>
      <c r="D110" s="922" t="e">
        <f t="shared" si="38"/>
        <v>#N/A</v>
      </c>
      <c r="E110" s="922" t="e">
        <f t="shared" si="39"/>
        <v>#N/A</v>
      </c>
      <c r="F110" s="922" t="e">
        <f t="shared" si="40"/>
        <v>#N/A</v>
      </c>
      <c r="G110" s="922" t="e">
        <f t="shared" si="41"/>
        <v>#N/A</v>
      </c>
      <c r="H110" s="923" t="e">
        <f t="shared" si="42"/>
        <v>#N/A</v>
      </c>
      <c r="I110" s="68"/>
      <c r="J110" s="68"/>
      <c r="K110" s="127"/>
      <c r="L110" s="127"/>
      <c r="M110" s="127"/>
      <c r="N110" s="127"/>
      <c r="O110" s="127"/>
      <c r="P110" s="127"/>
      <c r="Q110" s="127"/>
      <c r="R110" s="128"/>
      <c r="S110" s="120"/>
      <c r="T110" s="127"/>
      <c r="U110" s="89"/>
      <c r="V110" s="103"/>
      <c r="W110" s="115"/>
      <c r="X110" s="352" t="str">
        <f t="shared" si="36"/>
        <v>East Sussex</v>
      </c>
      <c r="Y110" s="355" t="str">
        <f>IF(Year1_East_Sussex Year1_LAC_Start_2nd_time="","",Year1_East_Sussex Year1_LAC_Start_2nd_time)</f>
        <v/>
      </c>
      <c r="Z110" s="248" t="str">
        <f>IF(Year2_East_Sussex Year2_LAC_Start_2nd_time="","",Year2_East_Sussex Year2_LAC_Start_2nd_time)</f>
        <v/>
      </c>
      <c r="AA110" s="248" t="str">
        <f>IF(Year3_East_Sussex Year3_LAC_Start_2nd_time="","",Year3_East_Sussex Year3_LAC_Start_2nd_time)</f>
        <v/>
      </c>
      <c r="AB110" s="248" t="str">
        <f>IF(Year4_East_Sussex Year4_LAC_Start_2nd_time="","",Year4_East_Sussex Year4_LAC_Start_2nd_time)</f>
        <v/>
      </c>
      <c r="AC110" s="352" t="str">
        <f>IF(Year5_East_Sussex Year5_LAC_Start_2nd_time="","",Year5_East_Sussex Year5_LAC_Start_2nd_time)</f>
        <v/>
      </c>
      <c r="AD110" s="251"/>
      <c r="AE110" s="56"/>
      <c r="AF110" s="56"/>
      <c r="AG110" s="56"/>
      <c r="AH110" s="56"/>
      <c r="AI110" s="52"/>
      <c r="AJ110" s="121"/>
    </row>
    <row r="111" spans="1:76" s="61" customFormat="1" ht="13.5" hidden="1" customHeight="1">
      <c r="A111" s="1103">
        <f>VLOOKUP(B111,ReportData!$AQ$4:$AR$25,2,FALSE)</f>
        <v>0</v>
      </c>
      <c r="B111" s="885" t="str">
        <f t="shared" si="37"/>
        <v>Buckinghamshire</v>
      </c>
      <c r="C111" s="896"/>
      <c r="D111" s="922" t="e">
        <f t="shared" si="38"/>
        <v>#N/A</v>
      </c>
      <c r="E111" s="922" t="e">
        <f t="shared" si="39"/>
        <v>#N/A</v>
      </c>
      <c r="F111" s="922" t="e">
        <f t="shared" si="40"/>
        <v>#N/A</v>
      </c>
      <c r="G111" s="922" t="e">
        <f t="shared" si="41"/>
        <v>#N/A</v>
      </c>
      <c r="H111" s="923" t="e">
        <f t="shared" si="42"/>
        <v>#N/A</v>
      </c>
      <c r="I111" s="68"/>
      <c r="J111" s="68"/>
      <c r="K111" s="127"/>
      <c r="L111" s="127"/>
      <c r="M111" s="127"/>
      <c r="N111" s="127"/>
      <c r="O111" s="127"/>
      <c r="P111" s="127"/>
      <c r="Q111" s="127"/>
      <c r="R111" s="128"/>
      <c r="S111" s="120"/>
      <c r="T111" s="127"/>
      <c r="U111" s="89"/>
      <c r="V111" s="103"/>
      <c r="W111" s="115"/>
      <c r="X111" s="352" t="str">
        <f t="shared" si="36"/>
        <v>Hampshire</v>
      </c>
      <c r="Y111" s="355" t="str">
        <f>IF(Year1_Hampshire Year1_LAC_Start_2nd_time="","",Year1_Hampshire Year1_LAC_Start_2nd_time)</f>
        <v/>
      </c>
      <c r="Z111" s="248" t="str">
        <f>IF(Year2_Hampshire Year2_LAC_Start_2nd_time="","",Year2_Hampshire Year2_LAC_Start_2nd_time)</f>
        <v/>
      </c>
      <c r="AA111" s="248" t="str">
        <f>IF(Year3_Hampshire Year3_LAC_Start_2nd_time="","",Year3_Hampshire Year3_LAC_Start_2nd_time)</f>
        <v/>
      </c>
      <c r="AB111" s="248" t="str">
        <f>IF(Year4_Hampshire Year4_LAC_Start_2nd_time="","",Year4_Hampshire Year4_LAC_Start_2nd_time)</f>
        <v/>
      </c>
      <c r="AC111" s="352" t="str">
        <f>IF(Year5_Hampshire Year5_LAC_Start_2nd_time="","",Year5_Hampshire Year5_LAC_Start_2nd_time)</f>
        <v/>
      </c>
      <c r="AD111" s="251"/>
      <c r="AE111" s="56"/>
      <c r="AF111" s="56"/>
      <c r="AG111" s="56"/>
      <c r="AH111" s="56"/>
      <c r="AI111" s="52"/>
      <c r="AJ111" s="121"/>
    </row>
    <row r="112" spans="1:76" s="61" customFormat="1" ht="13.5" hidden="1" customHeight="1">
      <c r="A112" s="1103">
        <f>VLOOKUP(B112,ReportData!$AQ$4:$AR$25,2,FALSE)</f>
        <v>0</v>
      </c>
      <c r="B112" s="885" t="str">
        <f t="shared" si="37"/>
        <v>East Sussex</v>
      </c>
      <c r="C112" s="896"/>
      <c r="D112" s="922" t="e">
        <f t="shared" si="38"/>
        <v>#N/A</v>
      </c>
      <c r="E112" s="922" t="e">
        <f t="shared" si="39"/>
        <v>#N/A</v>
      </c>
      <c r="F112" s="922" t="e">
        <f t="shared" si="40"/>
        <v>#N/A</v>
      </c>
      <c r="G112" s="922" t="e">
        <f t="shared" si="41"/>
        <v>#N/A</v>
      </c>
      <c r="H112" s="923" t="e">
        <f t="shared" si="42"/>
        <v>#N/A</v>
      </c>
      <c r="I112" s="68"/>
      <c r="J112" s="68"/>
      <c r="K112" s="127"/>
      <c r="L112" s="127"/>
      <c r="M112" s="127"/>
      <c r="N112" s="127"/>
      <c r="O112" s="127"/>
      <c r="P112" s="127"/>
      <c r="Q112" s="127"/>
      <c r="R112" s="128"/>
      <c r="S112" s="120"/>
      <c r="T112" s="127"/>
      <c r="U112" s="89"/>
      <c r="V112" s="103"/>
      <c r="W112" s="115"/>
      <c r="X112" s="352" t="str">
        <f t="shared" si="36"/>
        <v>Isle of Wight</v>
      </c>
      <c r="Y112" s="355" t="str">
        <f>IF(Year1_Isle_of_Wight Year1_LAC_Start_2nd_time="","",Year1_Isle_of_Wight Year1_LAC_Start_2nd_time)</f>
        <v/>
      </c>
      <c r="Z112" s="248" t="str">
        <f>IF(Year2_Isle_of_Wight Year2_LAC_Start_2nd_time="","",Year2_Isle_of_Wight Year2_LAC_Start_2nd_time)</f>
        <v/>
      </c>
      <c r="AA112" s="248" t="str">
        <f>IF(Year3_Isle_of_Wight Year3_LAC_Start_2nd_time="","",Year3_Isle_of_Wight Year3_LAC_Start_2nd_time)</f>
        <v/>
      </c>
      <c r="AB112" s="248" t="str">
        <f>IF(Year4_Isle_of_Wight Year4_LAC_Start_2nd_time="","",Year4_Isle_of_Wight Year4_LAC_Start_2nd_time)</f>
        <v/>
      </c>
      <c r="AC112" s="352" t="str">
        <f>IF(Year5_Isle_of_Wight Year5_LAC_Start_2nd_time="","",Year5_Isle_of_Wight Year5_LAC_Start_2nd_time)</f>
        <v/>
      </c>
      <c r="AD112" s="251"/>
      <c r="AE112" s="56"/>
      <c r="AF112" s="56"/>
      <c r="AG112" s="56"/>
      <c r="AH112" s="56"/>
      <c r="AI112" s="52"/>
      <c r="AJ112" s="121"/>
      <c r="AR112" s="61" t="s">
        <v>95</v>
      </c>
    </row>
    <row r="113" spans="1:36" s="61" customFormat="1" ht="13.5" hidden="1" customHeight="1">
      <c r="A113" s="1103">
        <f>VLOOKUP(B113,ReportData!$AQ$4:$AR$25,2,FALSE)</f>
        <v>0</v>
      </c>
      <c r="B113" s="885" t="str">
        <f t="shared" si="37"/>
        <v>Hampshire</v>
      </c>
      <c r="C113" s="896"/>
      <c r="D113" s="922" t="e">
        <f t="shared" si="38"/>
        <v>#N/A</v>
      </c>
      <c r="E113" s="922" t="e">
        <f t="shared" si="39"/>
        <v>#N/A</v>
      </c>
      <c r="F113" s="922" t="e">
        <f t="shared" si="40"/>
        <v>#N/A</v>
      </c>
      <c r="G113" s="922" t="e">
        <f t="shared" si="41"/>
        <v>#N/A</v>
      </c>
      <c r="H113" s="923" t="e">
        <f t="shared" si="42"/>
        <v>#N/A</v>
      </c>
      <c r="I113" s="68"/>
      <c r="J113" s="68"/>
      <c r="K113" s="127"/>
      <c r="L113" s="127"/>
      <c r="M113" s="127"/>
      <c r="N113" s="127"/>
      <c r="O113" s="127"/>
      <c r="P113" s="127"/>
      <c r="Q113" s="127"/>
      <c r="R113" s="128"/>
      <c r="S113" s="120"/>
      <c r="T113" s="127"/>
      <c r="U113" s="89"/>
      <c r="V113" s="103"/>
      <c r="W113" s="115"/>
      <c r="X113" s="352" t="str">
        <f t="shared" si="36"/>
        <v>Kent</v>
      </c>
      <c r="Y113" s="355" t="str">
        <f>IF(Year1_Kent Year1_LAC_Start_2nd_time="","",Year1_Kent Year1_LAC_Start_2nd_time)</f>
        <v/>
      </c>
      <c r="Z113" s="248" t="str">
        <f>IF(Year2_Kent Year2_LAC_Start_2nd_time="","",Year2_Kent Year2_LAC_Start_2nd_time)</f>
        <v/>
      </c>
      <c r="AA113" s="248" t="str">
        <f>IF(Year3_Kent Year3_LAC_Start_2nd_time="","",Year3_Kent Year3_LAC_Start_2nd_time)</f>
        <v/>
      </c>
      <c r="AB113" s="248" t="str">
        <f>IF(Year4_Kent Year4_LAC_Start_2nd_time="","",Year4_Kent Year4_LAC_Start_2nd_time)</f>
        <v/>
      </c>
      <c r="AC113" s="352" t="str">
        <f>IF(Year5_Kent Year5_LAC_Start_2nd_time="","",Year5_Kent Year5_LAC_Start_2nd_time)</f>
        <v/>
      </c>
      <c r="AD113" s="251"/>
      <c r="AE113" s="56"/>
      <c r="AF113" s="56"/>
      <c r="AG113" s="56"/>
      <c r="AH113" s="56"/>
      <c r="AI113" s="52"/>
      <c r="AJ113" s="121"/>
    </row>
    <row r="114" spans="1:36" s="61" customFormat="1" ht="13.5" hidden="1" customHeight="1">
      <c r="A114" s="1103">
        <f>VLOOKUP(B114,ReportData!$AQ$4:$AR$25,2,FALSE)</f>
        <v>0</v>
      </c>
      <c r="B114" s="885" t="str">
        <f t="shared" si="37"/>
        <v>Isle of Wight</v>
      </c>
      <c r="C114" s="896"/>
      <c r="D114" s="922" t="e">
        <f t="shared" si="38"/>
        <v>#N/A</v>
      </c>
      <c r="E114" s="922" t="e">
        <f t="shared" si="39"/>
        <v>#N/A</v>
      </c>
      <c r="F114" s="922" t="e">
        <f t="shared" si="40"/>
        <v>#N/A</v>
      </c>
      <c r="G114" s="922" t="e">
        <f t="shared" si="41"/>
        <v>#N/A</v>
      </c>
      <c r="H114" s="923" t="e">
        <f t="shared" si="42"/>
        <v>#N/A</v>
      </c>
      <c r="I114" s="68"/>
      <c r="J114" s="68"/>
      <c r="K114" s="127"/>
      <c r="L114" s="127"/>
      <c r="M114" s="127"/>
      <c r="N114" s="127"/>
      <c r="O114" s="127"/>
      <c r="P114" s="127"/>
      <c r="Q114" s="127"/>
      <c r="R114" s="128"/>
      <c r="S114" s="120"/>
      <c r="T114" s="127"/>
      <c r="U114" s="89"/>
      <c r="V114" s="103"/>
      <c r="W114" s="115"/>
      <c r="X114" s="352" t="str">
        <f t="shared" si="36"/>
        <v>Medway</v>
      </c>
      <c r="Y114" s="355" t="str">
        <f>IF(Year1_Medway Year1_LAC_Start_2nd_time="","",Year1_Medway Year1_LAC_Start_2nd_time)</f>
        <v/>
      </c>
      <c r="Z114" s="248" t="str">
        <f>IF(Year2_Medway Year2_LAC_Start_2nd_time="","",Year2_Medway Year2_LAC_Start_2nd_time)</f>
        <v/>
      </c>
      <c r="AA114" s="248" t="str">
        <f>IF(Year3_Medway Year3_LAC_Start_2nd_time="","",Year3_Medway Year3_LAC_Start_2nd_time)</f>
        <v/>
      </c>
      <c r="AB114" s="248" t="str">
        <f>IF(Year4_Medway Year4_LAC_Start_2nd_time="","",Year4_Medway Year4_LAC_Start_2nd_time)</f>
        <v/>
      </c>
      <c r="AC114" s="352" t="str">
        <f>IF(Year5_Medway Year5_LAC_Start_2nd_time="","",Year5_Medway Year5_LAC_Start_2nd_time)</f>
        <v/>
      </c>
      <c r="AD114" s="251"/>
      <c r="AE114" s="56"/>
      <c r="AF114" s="56"/>
      <c r="AG114" s="56"/>
      <c r="AH114" s="56"/>
      <c r="AI114" s="52"/>
      <c r="AJ114" s="121"/>
    </row>
    <row r="115" spans="1:36" s="61" customFormat="1" ht="13.5" hidden="1" customHeight="1">
      <c r="A115" s="1103">
        <f>VLOOKUP(B115,ReportData!$AQ$4:$AR$25,2,FALSE)</f>
        <v>0</v>
      </c>
      <c r="B115" s="885" t="str">
        <f t="shared" si="37"/>
        <v>Kent</v>
      </c>
      <c r="C115" s="896"/>
      <c r="D115" s="922" t="e">
        <f t="shared" si="38"/>
        <v>#N/A</v>
      </c>
      <c r="E115" s="922" t="e">
        <f t="shared" si="39"/>
        <v>#N/A</v>
      </c>
      <c r="F115" s="922" t="e">
        <f t="shared" si="40"/>
        <v>#N/A</v>
      </c>
      <c r="G115" s="922" t="e">
        <f t="shared" si="41"/>
        <v>#N/A</v>
      </c>
      <c r="H115" s="923" t="e">
        <f t="shared" si="42"/>
        <v>#N/A</v>
      </c>
      <c r="I115" s="68"/>
      <c r="J115" s="68"/>
      <c r="K115" s="127"/>
      <c r="L115" s="127"/>
      <c r="M115" s="127"/>
      <c r="N115" s="127"/>
      <c r="O115" s="127"/>
      <c r="P115" s="127"/>
      <c r="Q115" s="127"/>
      <c r="R115" s="128"/>
      <c r="S115" s="120"/>
      <c r="T115" s="127"/>
      <c r="U115" s="89"/>
      <c r="V115" s="103"/>
      <c r="W115" s="115"/>
      <c r="X115" s="352" t="str">
        <f t="shared" si="36"/>
        <v>Milton Keynes</v>
      </c>
      <c r="Y115" s="355" t="str">
        <f>IF(Year1_Milton_Keynes Year1_LAC_Start_2nd_time="","",Year1_Milton_Keynes Year1_LAC_Start_2nd_time)</f>
        <v/>
      </c>
      <c r="Z115" s="248" t="str">
        <f>IF(Year2_Milton_Keynes Year2_LAC_Start_2nd_time="","",Year2_Milton_Keynes Year2_LAC_Start_2nd_time)</f>
        <v/>
      </c>
      <c r="AA115" s="248" t="str">
        <f>IF(Year3_Milton_Keynes Year3_LAC_Start_2nd_time="","",Year3_Milton_Keynes Year3_LAC_Start_2nd_time)</f>
        <v/>
      </c>
      <c r="AB115" s="248" t="str">
        <f>IF(Year4_Milton_Keynes Year4_LAC_Start_2nd_time="","",Year4_Milton_Keynes Year4_LAC_Start_2nd_time)</f>
        <v/>
      </c>
      <c r="AC115" s="352" t="str">
        <f>IF(Year5_Milton_Keynes Year5_LAC_Start_2nd_time="","",Year5_Milton_Keynes Year5_LAC_Start_2nd_time)</f>
        <v/>
      </c>
      <c r="AD115" s="251"/>
      <c r="AE115" s="56"/>
      <c r="AF115" s="56"/>
      <c r="AG115" s="56"/>
      <c r="AH115" s="56"/>
      <c r="AI115" s="52"/>
      <c r="AJ115" s="121"/>
    </row>
    <row r="116" spans="1:36" s="61" customFormat="1" ht="13.5" hidden="1" customHeight="1">
      <c r="A116" s="1103">
        <f>VLOOKUP(B116,ReportData!$AQ$4:$AR$25,2,FALSE)</f>
        <v>0</v>
      </c>
      <c r="B116" s="885" t="str">
        <f t="shared" si="37"/>
        <v>Medway</v>
      </c>
      <c r="C116" s="896"/>
      <c r="D116" s="922" t="e">
        <f t="shared" si="38"/>
        <v>#N/A</v>
      </c>
      <c r="E116" s="922" t="e">
        <f t="shared" si="39"/>
        <v>#N/A</v>
      </c>
      <c r="F116" s="922" t="e">
        <f t="shared" si="40"/>
        <v>#N/A</v>
      </c>
      <c r="G116" s="922" t="e">
        <f t="shared" si="41"/>
        <v>#N/A</v>
      </c>
      <c r="H116" s="923" t="e">
        <f t="shared" si="42"/>
        <v>#N/A</v>
      </c>
      <c r="I116" s="68"/>
      <c r="J116" s="68"/>
      <c r="K116" s="127"/>
      <c r="L116" s="127"/>
      <c r="M116" s="127"/>
      <c r="N116" s="127"/>
      <c r="O116" s="127"/>
      <c r="P116" s="127"/>
      <c r="Q116" s="127"/>
      <c r="R116" s="128"/>
      <c r="S116" s="120"/>
      <c r="T116" s="127"/>
      <c r="U116" s="89"/>
      <c r="V116" s="103"/>
      <c r="W116" s="115"/>
      <c r="X116" s="352" t="str">
        <f t="shared" si="36"/>
        <v>Oxfordshire</v>
      </c>
      <c r="Y116" s="355" t="str">
        <f>IF(Year1_Oxfordshire Year1_LAC_Start_2nd_time="","",Year1_Oxfordshire Year1_LAC_Start_2nd_time)</f>
        <v/>
      </c>
      <c r="Z116" s="248" t="str">
        <f>IF(Year2_Oxfordshire Year2_LAC_Start_2nd_time="","",Year2_Oxfordshire Year2_LAC_Start_2nd_time)</f>
        <v/>
      </c>
      <c r="AA116" s="248" t="str">
        <f>IF(Year3_Oxfordshire Year3_LAC_Start_2nd_time="","",Year3_Oxfordshire Year3_LAC_Start_2nd_time)</f>
        <v/>
      </c>
      <c r="AB116" s="248" t="str">
        <f>IF(Year4_Oxfordshire Year4_LAC_Start_2nd_time="","",Year4_Oxfordshire Year4_LAC_Start_2nd_time)</f>
        <v/>
      </c>
      <c r="AC116" s="352" t="str">
        <f>IF(Year5_Oxfordshire Year5_LAC_Start_2nd_time="","",Year5_Oxfordshire Year5_LAC_Start_2nd_time)</f>
        <v/>
      </c>
      <c r="AD116" s="251"/>
      <c r="AE116" s="56"/>
      <c r="AF116" s="56"/>
      <c r="AG116" s="56"/>
      <c r="AH116" s="56"/>
      <c r="AI116" s="52"/>
      <c r="AJ116" s="121"/>
    </row>
    <row r="117" spans="1:36" s="61" customFormat="1" ht="13.5" hidden="1" customHeight="1">
      <c r="A117" s="1103">
        <f>VLOOKUP(B117,ReportData!$AQ$4:$AR$25,2,FALSE)</f>
        <v>0</v>
      </c>
      <c r="B117" s="885" t="str">
        <f t="shared" si="37"/>
        <v>Milton Keynes</v>
      </c>
      <c r="C117" s="896"/>
      <c r="D117" s="922" t="e">
        <f t="shared" si="38"/>
        <v>#N/A</v>
      </c>
      <c r="E117" s="922" t="e">
        <f t="shared" si="39"/>
        <v>#N/A</v>
      </c>
      <c r="F117" s="922" t="e">
        <f t="shared" si="40"/>
        <v>#N/A</v>
      </c>
      <c r="G117" s="922" t="e">
        <f t="shared" si="41"/>
        <v>#N/A</v>
      </c>
      <c r="H117" s="923" t="e">
        <f t="shared" si="42"/>
        <v>#N/A</v>
      </c>
      <c r="I117" s="68"/>
      <c r="J117" s="68"/>
      <c r="K117" s="127"/>
      <c r="L117" s="127"/>
      <c r="M117" s="127"/>
      <c r="N117" s="127"/>
      <c r="O117" s="127"/>
      <c r="P117" s="127"/>
      <c r="Q117" s="127"/>
      <c r="R117" s="128"/>
      <c r="S117" s="120"/>
      <c r="T117" s="127"/>
      <c r="U117" s="89"/>
      <c r="V117" s="103"/>
      <c r="W117" s="115"/>
      <c r="X117" s="352" t="str">
        <f t="shared" si="36"/>
        <v>Portsmouth</v>
      </c>
      <c r="Y117" s="355" t="str">
        <f>IF(Year1_Portsmouth Year1_LAC_Start_2nd_time="","",Year1_Portsmouth Year1_LAC_Start_2nd_time)</f>
        <v/>
      </c>
      <c r="Z117" s="248" t="str">
        <f>IF(Year2_Portsmouth Year2_LAC_Start_2nd_time="","",Year2_Portsmouth Year2_LAC_Start_2nd_time)</f>
        <v/>
      </c>
      <c r="AA117" s="248" t="str">
        <f>IF(Year3_Portsmouth Year3_LAC_Start_2nd_time="","",Year3_Portsmouth Year3_LAC_Start_2nd_time)</f>
        <v/>
      </c>
      <c r="AB117" s="248" t="str">
        <f>IF(Year4_Portsmouth Year4_LAC_Start_2nd_time="","",Year4_Portsmouth Year4_LAC_Start_2nd_time)</f>
        <v/>
      </c>
      <c r="AC117" s="352" t="str">
        <f>IF(Year5_Portsmouth Year5_LAC_Start_2nd_time="","",Year5_Portsmouth Year5_LAC_Start_2nd_time)</f>
        <v/>
      </c>
      <c r="AD117" s="251"/>
      <c r="AE117" s="56"/>
      <c r="AF117" s="56"/>
      <c r="AG117" s="56"/>
      <c r="AH117" s="56"/>
      <c r="AI117" s="52"/>
      <c r="AJ117" s="121"/>
    </row>
    <row r="118" spans="1:36" s="61" customFormat="1" ht="13.5" hidden="1" customHeight="1">
      <c r="A118" s="1103">
        <f>VLOOKUP(B118,ReportData!$AQ$4:$AR$25,2,FALSE)</f>
        <v>0</v>
      </c>
      <c r="B118" s="885" t="str">
        <f t="shared" si="37"/>
        <v>Oxfordshire</v>
      </c>
      <c r="C118" s="896"/>
      <c r="D118" s="922" t="e">
        <f t="shared" si="38"/>
        <v>#N/A</v>
      </c>
      <c r="E118" s="922" t="e">
        <f t="shared" si="39"/>
        <v>#N/A</v>
      </c>
      <c r="F118" s="922" t="e">
        <f t="shared" si="40"/>
        <v>#N/A</v>
      </c>
      <c r="G118" s="922" t="e">
        <f t="shared" si="41"/>
        <v>#N/A</v>
      </c>
      <c r="H118" s="923" t="e">
        <f t="shared" si="42"/>
        <v>#N/A</v>
      </c>
      <c r="I118" s="68"/>
      <c r="J118" s="68"/>
      <c r="K118" s="127"/>
      <c r="L118" s="127"/>
      <c r="M118" s="127"/>
      <c r="N118" s="127"/>
      <c r="O118" s="127"/>
      <c r="P118" s="127"/>
      <c r="Q118" s="127"/>
      <c r="R118" s="128"/>
      <c r="S118" s="120"/>
      <c r="T118" s="127"/>
      <c r="U118" s="89"/>
      <c r="V118" s="103"/>
      <c r="W118" s="115"/>
      <c r="X118" s="352" t="str">
        <f t="shared" si="36"/>
        <v>Reading</v>
      </c>
      <c r="Y118" s="355" t="str">
        <f>IF(Year1_Reading Year1_LAC_Start_2nd_time="","",Year1_Reading Year1_LAC_Start_2nd_time)</f>
        <v/>
      </c>
      <c r="Z118" s="248" t="str">
        <f>IF(Year2_Reading Year2_LAC_Start_2nd_time="","",Year2_Reading Year2_LAC_Start_2nd_time)</f>
        <v/>
      </c>
      <c r="AA118" s="248" t="str">
        <f>IF(Year3_Reading Year3_LAC_Start_2nd_time="","",Year3_Reading Year3_LAC_Start_2nd_time)</f>
        <v/>
      </c>
      <c r="AB118" s="248" t="str">
        <f>IF(Year4_Reading Year4_LAC_Start_2nd_time="","",Year4_Reading Year4_LAC_Start_2nd_time)</f>
        <v/>
      </c>
      <c r="AC118" s="352" t="str">
        <f>IF(Year5_Reading Year5_LAC_Start_2nd_time="","",Year5_Reading Year5_LAC_Start_2nd_time)</f>
        <v/>
      </c>
      <c r="AD118" s="251"/>
      <c r="AE118" s="56"/>
      <c r="AF118" s="56"/>
      <c r="AG118" s="56"/>
      <c r="AH118" s="56"/>
      <c r="AI118" s="52"/>
      <c r="AJ118" s="121"/>
    </row>
    <row r="119" spans="1:36" s="61" customFormat="1" ht="13.5" hidden="1" customHeight="1">
      <c r="A119" s="1103">
        <f>VLOOKUP(B119,ReportData!$AQ$4:$AR$25,2,FALSE)</f>
        <v>0</v>
      </c>
      <c r="B119" s="885" t="str">
        <f t="shared" si="37"/>
        <v>Portsmouth</v>
      </c>
      <c r="C119" s="896"/>
      <c r="D119" s="922" t="e">
        <f t="shared" si="38"/>
        <v>#N/A</v>
      </c>
      <c r="E119" s="922" t="e">
        <f t="shared" si="39"/>
        <v>#N/A</v>
      </c>
      <c r="F119" s="922" t="e">
        <f t="shared" si="40"/>
        <v>#N/A</v>
      </c>
      <c r="G119" s="922" t="e">
        <f t="shared" si="41"/>
        <v>#N/A</v>
      </c>
      <c r="H119" s="923" t="e">
        <f t="shared" si="42"/>
        <v>#N/A</v>
      </c>
      <c r="I119" s="68"/>
      <c r="J119" s="68"/>
      <c r="K119" s="127"/>
      <c r="L119" s="127"/>
      <c r="M119" s="127"/>
      <c r="N119" s="127"/>
      <c r="O119" s="127"/>
      <c r="P119" s="127"/>
      <c r="Q119" s="127"/>
      <c r="R119" s="128"/>
      <c r="S119" s="120"/>
      <c r="T119" s="127"/>
      <c r="U119" s="89"/>
      <c r="V119" s="103"/>
      <c r="W119" s="115"/>
      <c r="X119" s="352" t="str">
        <f t="shared" si="36"/>
        <v>Slough</v>
      </c>
      <c r="Y119" s="355" t="str">
        <f>IF(Year1_Slough Year1_LAC_Start_2nd_time="","",Year1_Slough Year1_LAC_Start_2nd_time)</f>
        <v/>
      </c>
      <c r="Z119" s="248" t="str">
        <f>IF(Year2_Slough Year2_LAC_Start_2nd_time="","",Year2_Slough Year2_LAC_Start_2nd_time)</f>
        <v/>
      </c>
      <c r="AA119" s="248" t="str">
        <f>IF(Year3_Slough Year3_LAC_Start_2nd_time="","",Year3_Slough Year3_LAC_Start_2nd_time)</f>
        <v/>
      </c>
      <c r="AB119" s="248" t="str">
        <f>IF(Year4_Slough Year4_LAC_Start_2nd_time="","",Year4_Slough Year4_LAC_Start_2nd_time)</f>
        <v/>
      </c>
      <c r="AC119" s="352" t="str">
        <f>IF(Year5_Slough Year5_LAC_Start_2nd_time="","",Year5_Slough Year5_LAC_Start_2nd_time)</f>
        <v/>
      </c>
      <c r="AD119" s="251"/>
      <c r="AE119" s="56"/>
      <c r="AF119" s="56"/>
      <c r="AG119" s="56"/>
      <c r="AH119" s="56"/>
      <c r="AI119" s="52"/>
      <c r="AJ119" s="121"/>
    </row>
    <row r="120" spans="1:36" s="61" customFormat="1" ht="13.5" hidden="1" customHeight="1">
      <c r="A120" s="1103">
        <f>VLOOKUP(B120,ReportData!$AQ$4:$AR$25,2,FALSE)</f>
        <v>0</v>
      </c>
      <c r="B120" s="885" t="str">
        <f t="shared" si="37"/>
        <v>Reading</v>
      </c>
      <c r="C120" s="896"/>
      <c r="D120" s="922" t="e">
        <f t="shared" si="38"/>
        <v>#N/A</v>
      </c>
      <c r="E120" s="922" t="e">
        <f t="shared" si="39"/>
        <v>#N/A</v>
      </c>
      <c r="F120" s="922" t="e">
        <f t="shared" si="40"/>
        <v>#N/A</v>
      </c>
      <c r="G120" s="922" t="e">
        <f t="shared" si="41"/>
        <v>#N/A</v>
      </c>
      <c r="H120" s="923" t="e">
        <f t="shared" si="42"/>
        <v>#N/A</v>
      </c>
      <c r="I120" s="68"/>
      <c r="J120" s="68"/>
      <c r="K120" s="127"/>
      <c r="L120" s="127"/>
      <c r="M120" s="127"/>
      <c r="N120" s="127"/>
      <c r="O120" s="127"/>
      <c r="P120" s="127"/>
      <c r="Q120" s="127"/>
      <c r="R120" s="128"/>
      <c r="S120" s="120"/>
      <c r="T120" s="127"/>
      <c r="U120" s="89"/>
      <c r="V120" s="103"/>
      <c r="W120" s="115"/>
      <c r="X120" s="352" t="str">
        <f t="shared" ref="X120:X127" si="43">B122</f>
        <v>Southampton</v>
      </c>
      <c r="Y120" s="355" t="str">
        <f>IF(Year1_Southampton Year1_LAC_Start_2nd_time="","",Year1_Southampton Year1_LAC_Start_2nd_time)</f>
        <v/>
      </c>
      <c r="Z120" s="248" t="str">
        <f>IF(Year2_Southampton Year2_LAC_Start_2nd_time="","",Year2_Southampton Year2_LAC_Start_2nd_time)</f>
        <v/>
      </c>
      <c r="AA120" s="248" t="str">
        <f>IF(Year3_Southampton Year3_LAC_Start_2nd_time="","",Year3_Southampton Year3_LAC_Start_2nd_time)</f>
        <v/>
      </c>
      <c r="AB120" s="248" t="str">
        <f>IF(Year4_Southampton Year4_LAC_Start_2nd_time="","",Year4_Southampton Year4_LAC_Start_2nd_time)</f>
        <v/>
      </c>
      <c r="AC120" s="352" t="str">
        <f>IF(Year5_Southampton Year5_LAC_Start_2nd_time="","",Year5_Southampton Year5_LAC_Start_2nd_time)</f>
        <v/>
      </c>
      <c r="AD120" s="251"/>
      <c r="AE120" s="56"/>
      <c r="AF120" s="56"/>
      <c r="AG120" s="56"/>
      <c r="AH120" s="56"/>
      <c r="AI120" s="52"/>
      <c r="AJ120" s="121"/>
    </row>
    <row r="121" spans="1:36" s="61" customFormat="1" ht="13.5" hidden="1" customHeight="1">
      <c r="A121" s="1103">
        <f>VLOOKUP(B121,ReportData!$AQ$4:$AR$25,2,FALSE)</f>
        <v>0</v>
      </c>
      <c r="B121" s="885" t="str">
        <f t="shared" si="37"/>
        <v>Slough</v>
      </c>
      <c r="C121" s="896"/>
      <c r="D121" s="922" t="e">
        <f t="shared" si="38"/>
        <v>#N/A</v>
      </c>
      <c r="E121" s="922" t="e">
        <f t="shared" si="39"/>
        <v>#N/A</v>
      </c>
      <c r="F121" s="922" t="e">
        <f t="shared" si="40"/>
        <v>#N/A</v>
      </c>
      <c r="G121" s="922" t="e">
        <f t="shared" si="41"/>
        <v>#N/A</v>
      </c>
      <c r="H121" s="923" t="e">
        <f t="shared" si="42"/>
        <v>#N/A</v>
      </c>
      <c r="I121" s="68"/>
      <c r="J121" s="68"/>
      <c r="K121" s="127"/>
      <c r="L121" s="127"/>
      <c r="M121" s="127"/>
      <c r="N121" s="127"/>
      <c r="O121" s="127"/>
      <c r="P121" s="127"/>
      <c r="Q121" s="127"/>
      <c r="R121" s="128"/>
      <c r="S121" s="120"/>
      <c r="T121" s="127"/>
      <c r="U121" s="89"/>
      <c r="V121" s="103"/>
      <c r="W121" s="115"/>
      <c r="X121" s="352" t="str">
        <f t="shared" si="43"/>
        <v>Surrey</v>
      </c>
      <c r="Y121" s="355" t="str">
        <f>IF(Year1_Surrey Year1_LAC_Start_2nd_time="","",Year1_Surrey Year1_LAC_Start_2nd_time)</f>
        <v/>
      </c>
      <c r="Z121" s="248" t="str">
        <f>IF(Year2_Surrey Year2_LAC_Start_2nd_time="","",Year2_Surrey Year2_LAC_Start_2nd_time)</f>
        <v/>
      </c>
      <c r="AA121" s="248" t="str">
        <f>IF(Year3_Surrey Year3_LAC_Start_2nd_time="","",Year3_Surrey Year3_LAC_Start_2nd_time)</f>
        <v/>
      </c>
      <c r="AB121" s="248" t="str">
        <f>IF(Year4_Surrey Year4_LAC_Start_2nd_time="","",Year4_Surrey Year4_LAC_Start_2nd_time)</f>
        <v/>
      </c>
      <c r="AC121" s="352" t="str">
        <f>IF(Year5_Surrey Year5_LAC_Start_2nd_time="","",Year5_Surrey Year5_LAC_Start_2nd_time)</f>
        <v/>
      </c>
      <c r="AD121" s="251"/>
      <c r="AE121" s="56"/>
      <c r="AF121" s="56"/>
      <c r="AG121" s="56"/>
      <c r="AH121" s="56"/>
      <c r="AI121" s="52"/>
      <c r="AJ121" s="121"/>
    </row>
    <row r="122" spans="1:36" s="61" customFormat="1" ht="13.5" hidden="1" customHeight="1">
      <c r="A122" s="1103">
        <f>VLOOKUP(B122,ReportData!$AQ$4:$AR$25,2,FALSE)</f>
        <v>0</v>
      </c>
      <c r="B122" s="885" t="str">
        <f t="shared" si="37"/>
        <v>Southampton</v>
      </c>
      <c r="C122" s="896"/>
      <c r="D122" s="922" t="e">
        <f t="shared" si="38"/>
        <v>#N/A</v>
      </c>
      <c r="E122" s="922" t="e">
        <f t="shared" si="39"/>
        <v>#N/A</v>
      </c>
      <c r="F122" s="922" t="e">
        <f t="shared" si="40"/>
        <v>#N/A</v>
      </c>
      <c r="G122" s="922" t="e">
        <f t="shared" si="41"/>
        <v>#N/A</v>
      </c>
      <c r="H122" s="923" t="e">
        <f t="shared" si="42"/>
        <v>#N/A</v>
      </c>
      <c r="I122" s="68"/>
      <c r="J122" s="68"/>
      <c r="K122" s="127"/>
      <c r="L122" s="127"/>
      <c r="M122" s="127"/>
      <c r="N122" s="127"/>
      <c r="O122" s="127"/>
      <c r="P122" s="127"/>
      <c r="Q122" s="127"/>
      <c r="R122" s="128"/>
      <c r="S122" s="120"/>
      <c r="T122" s="127"/>
      <c r="U122" s="89"/>
      <c r="V122" s="103"/>
      <c r="W122" s="115"/>
      <c r="X122" s="352" t="str">
        <f t="shared" si="43"/>
        <v>West Berkshire</v>
      </c>
      <c r="Y122" s="355" t="str">
        <f>IF(Year1_West_Berkshire Year1_LAC_Start_2nd_time="","",Year1_West_Berkshire Year1_LAC_Start_2nd_time)</f>
        <v/>
      </c>
      <c r="Z122" s="248" t="str">
        <f>IF(Year2_West_Berkshire Year2_LAC_Start_2nd_time="","",Year2_West_Berkshire Year2_LAC_Start_2nd_time)</f>
        <v/>
      </c>
      <c r="AA122" s="248" t="str">
        <f>IF(Year3_West_Berkshire Year3_LAC_Start_2nd_time="","",Year3_West_Berkshire Year3_LAC_Start_2nd_time)</f>
        <v/>
      </c>
      <c r="AB122" s="248" t="str">
        <f>IF(Year4_West_Berkshire Year4_LAC_Start_2nd_time="","",Year4_West_Berkshire Year4_LAC_Start_2nd_time)</f>
        <v/>
      </c>
      <c r="AC122" s="352" t="str">
        <f>IF(Year5_West_Berkshire Year5_LAC_Start_2nd_time="","",Year5_West_Berkshire Year5_LAC_Start_2nd_time)</f>
        <v/>
      </c>
      <c r="AD122" s="251"/>
      <c r="AE122" s="56"/>
      <c r="AF122" s="56"/>
      <c r="AG122" s="56"/>
      <c r="AH122" s="56"/>
      <c r="AI122" s="52"/>
      <c r="AJ122" s="121"/>
    </row>
    <row r="123" spans="1:36" s="61" customFormat="1" ht="13.5" hidden="1" customHeight="1">
      <c r="A123" s="1103">
        <f>VLOOKUP(B123,ReportData!$AQ$4:$AR$25,2,FALSE)</f>
        <v>0</v>
      </c>
      <c r="B123" s="885" t="str">
        <f t="shared" si="37"/>
        <v>Surrey</v>
      </c>
      <c r="C123" s="896"/>
      <c r="D123" s="922" t="e">
        <f t="shared" si="38"/>
        <v>#N/A</v>
      </c>
      <c r="E123" s="922" t="e">
        <f t="shared" si="39"/>
        <v>#N/A</v>
      </c>
      <c r="F123" s="922" t="e">
        <f t="shared" si="40"/>
        <v>#N/A</v>
      </c>
      <c r="G123" s="922" t="e">
        <f t="shared" si="41"/>
        <v>#N/A</v>
      </c>
      <c r="H123" s="923" t="e">
        <f t="shared" si="42"/>
        <v>#N/A</v>
      </c>
      <c r="I123" s="68"/>
      <c r="J123" s="68"/>
      <c r="K123" s="127"/>
      <c r="L123" s="127"/>
      <c r="M123" s="127"/>
      <c r="N123" s="127"/>
      <c r="O123" s="127"/>
      <c r="P123" s="127"/>
      <c r="Q123" s="127"/>
      <c r="R123" s="128"/>
      <c r="S123" s="120"/>
      <c r="T123" s="127"/>
      <c r="U123" s="89"/>
      <c r="V123" s="103"/>
      <c r="W123" s="115"/>
      <c r="X123" s="352" t="str">
        <f t="shared" si="43"/>
        <v>West Sussex</v>
      </c>
      <c r="Y123" s="355" t="str">
        <f>IF(Year1_West_Sussex Year1_LAC_Start_2nd_time="","",Year1_West_Sussex Year1_LAC_Start_2nd_time)</f>
        <v/>
      </c>
      <c r="Z123" s="248" t="str">
        <f>IF(Year2_West_Sussex Year2_LAC_Start_2nd_time="","",Year2_West_Sussex Year2_LAC_Start_2nd_time)</f>
        <v/>
      </c>
      <c r="AA123" s="248" t="str">
        <f>IF(Year3_West_Sussex Year3_LAC_Start_2nd_time="","",Year3_West_Sussex Year3_LAC_Start_2nd_time)</f>
        <v/>
      </c>
      <c r="AB123" s="248" t="str">
        <f>IF(Year4_West_Sussex Year4_LAC_Start_2nd_time="","",Year4_West_Sussex Year4_LAC_Start_2nd_time)</f>
        <v/>
      </c>
      <c r="AC123" s="352" t="str">
        <f>IF(Year5_West_Sussex Year5_LAC_Start_2nd_time="","",Year5_West_Sussex Year5_LAC_Start_2nd_time)</f>
        <v/>
      </c>
      <c r="AD123" s="251"/>
      <c r="AE123" s="56"/>
      <c r="AF123" s="56"/>
      <c r="AG123" s="56"/>
      <c r="AH123" s="56"/>
      <c r="AI123" s="52"/>
      <c r="AJ123" s="121"/>
    </row>
    <row r="124" spans="1:36" s="61" customFormat="1" ht="13.5" hidden="1" customHeight="1">
      <c r="A124" s="1103">
        <f>VLOOKUP(B124,ReportData!$AQ$4:$AR$25,2,FALSE)</f>
        <v>0</v>
      </c>
      <c r="B124" s="885" t="str">
        <f t="shared" si="37"/>
        <v>West Berkshire</v>
      </c>
      <c r="C124" s="896"/>
      <c r="D124" s="922" t="e">
        <f t="shared" si="38"/>
        <v>#N/A</v>
      </c>
      <c r="E124" s="922" t="e">
        <f t="shared" si="39"/>
        <v>#N/A</v>
      </c>
      <c r="F124" s="922" t="e">
        <f t="shared" si="40"/>
        <v>#N/A</v>
      </c>
      <c r="G124" s="922" t="e">
        <f t="shared" si="41"/>
        <v>#N/A</v>
      </c>
      <c r="H124" s="923" t="e">
        <f t="shared" si="42"/>
        <v>#N/A</v>
      </c>
      <c r="I124" s="68"/>
      <c r="J124" s="68"/>
      <c r="K124" s="127"/>
      <c r="L124" s="127"/>
      <c r="M124" s="127"/>
      <c r="N124" s="127"/>
      <c r="O124" s="127"/>
      <c r="P124" s="127"/>
      <c r="Q124" s="127"/>
      <c r="R124" s="128"/>
      <c r="S124" s="120"/>
      <c r="T124" s="127"/>
      <c r="U124" s="89"/>
      <c r="V124" s="103"/>
      <c r="W124" s="115"/>
      <c r="X124" s="352" t="str">
        <f t="shared" si="43"/>
        <v>Windsor &amp; Maidenhead</v>
      </c>
      <c r="Y124" s="355" t="str">
        <f>IF(Year1_Windsor_and_Maidenhead Year1_LAC_Start_2nd_time="","",Year1_Windsor_and_Maidenhead Year1_LAC_Start_2nd_time)</f>
        <v/>
      </c>
      <c r="Z124" s="248" t="str">
        <f>IF(Year2_Windsor_and_Maidenhead Year2_LAC_Start_2nd_time="","",Year2_Windsor_and_Maidenhead Year2_LAC_Start_2nd_time)</f>
        <v/>
      </c>
      <c r="AA124" s="248" t="str">
        <f>IF(Year3_Windsor_and_Maidenhead Year3_LAC_Start_2nd_time="","",Year3_Windsor_and_Maidenhead Year3_LAC_Start_2nd_time)</f>
        <v/>
      </c>
      <c r="AB124" s="248" t="str">
        <f>IF(Year4_Windsor_and_Maidenhead Year4_LAC_Start_2nd_time="","",Year4_Windsor_and_Maidenhead Year4_LAC_Start_2nd_time)</f>
        <v/>
      </c>
      <c r="AC124" s="352" t="str">
        <f>IF(Year5_Windsor_and_Maidenhead Year5_LAC_Start_2nd_time="","",Year5_Windsor_and_Maidenhead Year5_LAC_Start_2nd_time)</f>
        <v/>
      </c>
      <c r="AD124" s="251"/>
      <c r="AE124" s="56"/>
      <c r="AF124" s="56"/>
      <c r="AG124" s="56"/>
      <c r="AH124" s="56"/>
      <c r="AI124" s="52"/>
      <c r="AJ124" s="121"/>
    </row>
    <row r="125" spans="1:36" s="61" customFormat="1" ht="13.5" hidden="1" customHeight="1">
      <c r="A125" s="1103">
        <f>VLOOKUP(B125,ReportData!$AQ$4:$AR$25,2,FALSE)</f>
        <v>0</v>
      </c>
      <c r="B125" s="885" t="str">
        <f t="shared" si="37"/>
        <v>West Sussex</v>
      </c>
      <c r="C125" s="896"/>
      <c r="D125" s="922" t="e">
        <f t="shared" si="38"/>
        <v>#N/A</v>
      </c>
      <c r="E125" s="922" t="e">
        <f t="shared" si="39"/>
        <v>#N/A</v>
      </c>
      <c r="F125" s="922" t="e">
        <f t="shared" si="40"/>
        <v>#N/A</v>
      </c>
      <c r="G125" s="922" t="e">
        <f t="shared" si="41"/>
        <v>#N/A</v>
      </c>
      <c r="H125" s="923" t="e">
        <f t="shared" si="42"/>
        <v>#N/A</v>
      </c>
      <c r="I125" s="68"/>
      <c r="J125" s="68"/>
      <c r="K125" s="127"/>
      <c r="L125" s="127"/>
      <c r="M125" s="127"/>
      <c r="N125" s="127"/>
      <c r="O125" s="127"/>
      <c r="P125" s="127"/>
      <c r="Q125" s="127"/>
      <c r="R125" s="128"/>
      <c r="S125" s="120"/>
      <c r="T125" s="127"/>
      <c r="U125" s="89"/>
      <c r="V125" s="103"/>
      <c r="W125" s="115"/>
      <c r="X125" s="352" t="str">
        <f t="shared" si="43"/>
        <v>Wokingham</v>
      </c>
      <c r="Y125" s="355" t="str">
        <f>IF(Year1_Wokingham Year1_LAC_Start_2nd_time="","",Year1_Wokingham Year1_LAC_Start_2nd_time)</f>
        <v/>
      </c>
      <c r="Z125" s="248" t="str">
        <f>IF(Year2_Wokingham Year2_LAC_Start_2nd_time="","",Year2_Wokingham Year2_LAC_Start_2nd_time)</f>
        <v/>
      </c>
      <c r="AA125" s="248" t="str">
        <f>IF(Year3_Wokingham Year3_LAC_Start_2nd_time="","",Year3_Wokingham Year3_LAC_Start_2nd_time)</f>
        <v/>
      </c>
      <c r="AB125" s="248" t="str">
        <f>IF(Year4_Wokingham Year4_LAC_Start_2nd_time="","",Year4_Wokingham Year4_LAC_Start_2nd_time)</f>
        <v/>
      </c>
      <c r="AC125" s="352" t="str">
        <f>IF(Year5_Wokingham Year5_LAC_Start_2nd_time="","",Year5_Wokingham Year5_LAC_Start_2nd_time)</f>
        <v/>
      </c>
      <c r="AD125" s="251"/>
      <c r="AE125" s="56"/>
      <c r="AF125" s="56"/>
      <c r="AG125" s="56"/>
      <c r="AH125" s="56"/>
      <c r="AI125" s="52"/>
      <c r="AJ125" s="121"/>
    </row>
    <row r="126" spans="1:36" s="61" customFormat="1" ht="13.5" hidden="1" customHeight="1">
      <c r="A126" s="1103">
        <f>VLOOKUP(B126,ReportData!$AQ$4:$AR$25,2,FALSE)</f>
        <v>0</v>
      </c>
      <c r="B126" s="885" t="str">
        <f t="shared" si="37"/>
        <v>Windsor &amp; Maidenhead</v>
      </c>
      <c r="C126" s="896"/>
      <c r="D126" s="922" t="e">
        <f t="shared" si="38"/>
        <v>#N/A</v>
      </c>
      <c r="E126" s="922" t="e">
        <f t="shared" si="39"/>
        <v>#N/A</v>
      </c>
      <c r="F126" s="922" t="e">
        <f t="shared" si="40"/>
        <v>#N/A</v>
      </c>
      <c r="G126" s="922" t="e">
        <f t="shared" si="41"/>
        <v>#N/A</v>
      </c>
      <c r="H126" s="923" t="e">
        <f t="shared" si="42"/>
        <v>#N/A</v>
      </c>
      <c r="I126" s="68"/>
      <c r="J126" s="68"/>
      <c r="K126" s="127"/>
      <c r="L126" s="127"/>
      <c r="M126" s="127"/>
      <c r="N126" s="127"/>
      <c r="O126" s="127"/>
      <c r="P126" s="127"/>
      <c r="Q126" s="127"/>
      <c r="R126" s="128"/>
      <c r="S126" s="120"/>
      <c r="T126" s="127"/>
      <c r="U126" s="89"/>
      <c r="V126" s="103"/>
      <c r="W126" s="115"/>
      <c r="X126" s="352" t="str">
        <f t="shared" si="43"/>
        <v>South East</v>
      </c>
      <c r="Y126" s="252" t="str">
        <f>IF(Year1_South_East Year1_LAC_Start_2nd_time="","",Year1_South_East Year1_LAC_Start_2nd_time)</f>
        <v/>
      </c>
      <c r="Z126" s="248" t="str">
        <f>IF(Year2_South_East Year2_LAC_Start_2nd_time="","",Year2_South_East Year2_LAC_Start_2nd_time)</f>
        <v/>
      </c>
      <c r="AA126" s="248" t="str">
        <f>IF(Year3_South_East Year3_LAC_Start_2nd_time="","",Year3_South_East Year3_LAC_Start_2nd_time)</f>
        <v/>
      </c>
      <c r="AB126" s="248" t="str">
        <f>IF(Year4_South_East Year4_LAC_Start_2nd_time="","",Year4_South_East Year4_LAC_Start_2nd_time)</f>
        <v/>
      </c>
      <c r="AC126" s="352" t="str">
        <f>IF(Year5_South_East Year5_LAC_Start_2nd_time="","",Year5_South_East Year5_LAC_Start_2nd_time)</f>
        <v/>
      </c>
      <c r="AD126" s="251"/>
      <c r="AE126" s="56"/>
      <c r="AF126" s="56"/>
      <c r="AG126" s="56"/>
      <c r="AH126" s="56"/>
      <c r="AI126" s="52"/>
      <c r="AJ126" s="121"/>
    </row>
    <row r="127" spans="1:36" s="61" customFormat="1" ht="13.5" hidden="1" customHeight="1">
      <c r="A127" s="1103">
        <f>VLOOKUP(B127,ReportData!$AQ$4:$AR$25,2,FALSE)</f>
        <v>0</v>
      </c>
      <c r="B127" s="885" t="str">
        <f t="shared" si="37"/>
        <v>Wokingham</v>
      </c>
      <c r="C127" s="896"/>
      <c r="D127" s="922" t="e">
        <f t="shared" si="38"/>
        <v>#N/A</v>
      </c>
      <c r="E127" s="922" t="e">
        <f t="shared" si="39"/>
        <v>#N/A</v>
      </c>
      <c r="F127" s="922" t="e">
        <f t="shared" si="40"/>
        <v>#N/A</v>
      </c>
      <c r="G127" s="922" t="e">
        <f t="shared" si="41"/>
        <v>#N/A</v>
      </c>
      <c r="H127" s="923" t="e">
        <f t="shared" si="42"/>
        <v>#N/A</v>
      </c>
      <c r="I127" s="68"/>
      <c r="J127" s="68"/>
      <c r="K127" s="127"/>
      <c r="L127" s="127"/>
      <c r="M127" s="127"/>
      <c r="N127" s="127"/>
      <c r="O127" s="127"/>
      <c r="P127" s="127"/>
      <c r="Q127" s="127"/>
      <c r="R127" s="128"/>
      <c r="S127" s="120"/>
      <c r="T127" s="127"/>
      <c r="U127" s="89"/>
      <c r="V127" s="103"/>
      <c r="W127" s="115"/>
      <c r="X127" s="352" t="str">
        <f t="shared" si="43"/>
        <v>England</v>
      </c>
      <c r="Y127" s="252" t="str">
        <f>IF(Year1_England Year1_LAC_Start_2nd_time="","",Year1_England Year1_LAC_Start_2nd_time)</f>
        <v/>
      </c>
      <c r="Z127" s="248" t="str">
        <f>IF(Year2_England Year2_LAC_Start_2nd_time="","",Year2_England Year2_LAC_Start_2nd_time)</f>
        <v/>
      </c>
      <c r="AA127" s="248" t="str">
        <f>IF(Year3_England Year3_LAC_Start_2nd_time="","",Year3_England Year3_LAC_Start_2nd_time)</f>
        <v/>
      </c>
      <c r="AB127" s="248" t="str">
        <f>IF(Year4_England Year4_LAC_Start_2nd_time="","",Year4_England Year4_LAC_Start_2nd_time)</f>
        <v/>
      </c>
      <c r="AC127" s="352" t="str">
        <f>IF(Year5_England Year5_LAC_Start_2nd_time="","",Year5_England Year5_LAC_Start_2nd_time)</f>
        <v/>
      </c>
      <c r="AD127" s="251"/>
      <c r="AE127" s="56"/>
      <c r="AF127" s="56"/>
      <c r="AG127" s="56"/>
      <c r="AH127" s="56"/>
      <c r="AI127" s="52"/>
      <c r="AJ127" s="121"/>
    </row>
    <row r="128" spans="1:36" s="61" customFormat="1" ht="13.5" hidden="1" customHeight="1">
      <c r="A128" s="1103"/>
      <c r="B128" s="886" t="str">
        <f t="shared" si="37"/>
        <v>South East</v>
      </c>
      <c r="C128" s="896"/>
      <c r="D128" s="924" t="e">
        <f t="shared" si="38"/>
        <v>#N/A</v>
      </c>
      <c r="E128" s="924" t="e">
        <f t="shared" si="39"/>
        <v>#N/A</v>
      </c>
      <c r="F128" s="924" t="e">
        <f t="shared" si="40"/>
        <v>#N/A</v>
      </c>
      <c r="G128" s="924" t="e">
        <f t="shared" si="41"/>
        <v>#N/A</v>
      </c>
      <c r="H128" s="925" t="e">
        <f t="shared" si="42"/>
        <v>#N/A</v>
      </c>
      <c r="I128" s="68"/>
      <c r="J128" s="68"/>
      <c r="K128" s="129"/>
      <c r="L128" s="129"/>
      <c r="M128" s="129"/>
      <c r="N128" s="129"/>
      <c r="O128" s="129"/>
      <c r="P128" s="129"/>
      <c r="Q128" s="129"/>
      <c r="R128" s="130"/>
      <c r="S128" s="120"/>
      <c r="T128" s="131"/>
      <c r="U128" s="89"/>
      <c r="V128" s="103"/>
      <c r="W128" s="115"/>
      <c r="AD128" s="251"/>
      <c r="AE128" s="56"/>
      <c r="AF128" s="56"/>
      <c r="AG128" s="56"/>
      <c r="AH128" s="56"/>
      <c r="AI128" s="52"/>
      <c r="AJ128" s="121"/>
    </row>
    <row r="129" spans="1:76" s="61" customFormat="1" ht="13.5" hidden="1" customHeight="1">
      <c r="A129" s="1103"/>
      <c r="B129" s="887" t="str">
        <f t="shared" si="37"/>
        <v>England</v>
      </c>
      <c r="C129" s="896"/>
      <c r="D129" s="926" t="e">
        <f t="shared" si="38"/>
        <v>#N/A</v>
      </c>
      <c r="E129" s="926" t="e">
        <f t="shared" si="39"/>
        <v>#N/A</v>
      </c>
      <c r="F129" s="926" t="e">
        <f t="shared" si="40"/>
        <v>#N/A</v>
      </c>
      <c r="G129" s="926" t="e">
        <f t="shared" si="41"/>
        <v>#N/A</v>
      </c>
      <c r="H129" s="927" t="e">
        <f t="shared" si="42"/>
        <v>#N/A</v>
      </c>
      <c r="I129" s="68"/>
      <c r="J129" s="68"/>
      <c r="K129" s="129"/>
      <c r="L129" s="129"/>
      <c r="M129" s="129"/>
      <c r="N129" s="129"/>
      <c r="O129" s="129"/>
      <c r="P129" s="129"/>
      <c r="Q129" s="129"/>
      <c r="R129" s="130"/>
      <c r="S129" s="120"/>
      <c r="T129" s="131"/>
      <c r="U129" s="89"/>
      <c r="V129" s="103"/>
      <c r="W129" s="114"/>
      <c r="AD129" s="584"/>
      <c r="AE129" s="52"/>
      <c r="AF129" s="52"/>
      <c r="AG129" s="52"/>
      <c r="AH129" s="56"/>
      <c r="AI129" s="52"/>
      <c r="AJ129" s="122"/>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row>
    <row r="130" spans="1:76" s="61" customFormat="1" ht="6.75" hidden="1" customHeight="1">
      <c r="A130" s="217"/>
      <c r="B130" s="68"/>
      <c r="C130" s="68"/>
      <c r="D130" s="68"/>
      <c r="E130" s="68"/>
      <c r="F130" s="68"/>
      <c r="G130" s="68"/>
      <c r="H130" s="68"/>
      <c r="I130" s="68"/>
      <c r="J130" s="68"/>
      <c r="K130" s="129"/>
      <c r="L130" s="129"/>
      <c r="M130" s="129"/>
      <c r="N130" s="129"/>
      <c r="O130" s="129"/>
      <c r="P130" s="129"/>
      <c r="Q130" s="129"/>
      <c r="R130" s="130"/>
      <c r="S130" s="120"/>
      <c r="T130" s="131"/>
      <c r="U130" s="89"/>
      <c r="V130" s="103"/>
      <c r="W130" s="114"/>
      <c r="X130" s="251"/>
      <c r="Y130" s="250"/>
      <c r="Z130" s="251"/>
      <c r="AA130" s="251"/>
      <c r="AB130" s="251"/>
      <c r="AC130" s="251"/>
      <c r="AD130" s="584"/>
      <c r="AE130" s="52"/>
      <c r="AF130" s="52"/>
      <c r="AG130" s="52"/>
      <c r="AH130" s="56"/>
      <c r="AI130" s="52"/>
      <c r="AJ130" s="122"/>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row>
    <row r="131" spans="1:76" s="56" customFormat="1" ht="41.25" hidden="1" customHeight="1">
      <c r="A131" s="166"/>
      <c r="B131" s="171"/>
      <c r="C131" s="171"/>
      <c r="D131" s="171"/>
      <c r="E131" s="171"/>
      <c r="F131" s="171"/>
      <c r="G131" s="171"/>
      <c r="H131" s="171"/>
      <c r="I131" s="171"/>
      <c r="J131" s="133"/>
      <c r="K131" s="133"/>
      <c r="L131" s="133"/>
      <c r="M131" s="133"/>
      <c r="N131" s="133"/>
      <c r="O131" s="133"/>
      <c r="P131" s="133"/>
      <c r="Q131" s="133"/>
      <c r="R131" s="101"/>
      <c r="S131" s="133"/>
      <c r="T131" s="133"/>
      <c r="U131" s="86"/>
      <c r="V131" s="102"/>
      <c r="W131" s="114"/>
      <c r="X131" s="251"/>
      <c r="Y131" s="250"/>
      <c r="Z131" s="251"/>
      <c r="AA131" s="251"/>
      <c r="AB131" s="251"/>
      <c r="AC131" s="251"/>
      <c r="AD131" s="584"/>
      <c r="AE131" s="52"/>
      <c r="AF131" s="52"/>
      <c r="AG131" s="52"/>
      <c r="AI131" s="52"/>
      <c r="AJ131" s="122"/>
    </row>
    <row r="132" spans="1:76" s="56" customFormat="1" ht="41.25" hidden="1" customHeight="1">
      <c r="A132" s="166"/>
      <c r="B132" s="171"/>
      <c r="C132" s="171"/>
      <c r="D132" s="171"/>
      <c r="E132" s="171"/>
      <c r="F132" s="171"/>
      <c r="G132" s="171"/>
      <c r="H132" s="171"/>
      <c r="I132" s="171"/>
      <c r="J132" s="133"/>
      <c r="K132" s="133"/>
      <c r="L132" s="133"/>
      <c r="M132" s="133"/>
      <c r="N132" s="133"/>
      <c r="O132" s="133"/>
      <c r="P132" s="133"/>
      <c r="Q132" s="133"/>
      <c r="R132" s="101"/>
      <c r="S132" s="133"/>
      <c r="T132" s="133"/>
      <c r="U132" s="86"/>
      <c r="V132" s="102"/>
      <c r="W132" s="114"/>
      <c r="X132" s="251"/>
      <c r="Y132" s="250"/>
      <c r="Z132" s="251"/>
      <c r="AA132" s="251"/>
      <c r="AB132" s="251"/>
      <c r="AC132" s="251"/>
      <c r="AD132" s="251"/>
      <c r="AI132" s="52"/>
      <c r="AJ132" s="119"/>
      <c r="AK132" s="52"/>
      <c r="AL132" s="52"/>
      <c r="AM132" s="52"/>
      <c r="AN132" s="52"/>
      <c r="AO132" s="52"/>
      <c r="AP132" s="52"/>
      <c r="AQ132" s="52"/>
    </row>
    <row r="133" spans="1:76" s="56" customFormat="1" ht="41.25" hidden="1" customHeight="1">
      <c r="A133" s="166"/>
      <c r="B133" s="171"/>
      <c r="C133" s="171"/>
      <c r="D133" s="171"/>
      <c r="E133" s="171"/>
      <c r="F133" s="171"/>
      <c r="G133" s="171"/>
      <c r="H133" s="171"/>
      <c r="I133" s="171"/>
      <c r="J133" s="133"/>
      <c r="K133" s="133"/>
      <c r="L133" s="133"/>
      <c r="M133" s="133"/>
      <c r="N133" s="133"/>
      <c r="O133" s="133"/>
      <c r="P133" s="133"/>
      <c r="Q133" s="133"/>
      <c r="R133" s="101"/>
      <c r="S133" s="133"/>
      <c r="T133" s="133"/>
      <c r="U133" s="86"/>
      <c r="V133" s="102"/>
      <c r="W133" s="114"/>
      <c r="X133" s="251"/>
      <c r="Y133" s="251"/>
      <c r="Z133" s="251"/>
      <c r="AA133" s="251"/>
      <c r="AB133" s="251"/>
      <c r="AC133" s="251"/>
      <c r="AD133" s="251"/>
      <c r="AJ133" s="122"/>
      <c r="AS133" s="52"/>
    </row>
    <row r="134" spans="1:76" s="56" customFormat="1" ht="7.5" hidden="1" customHeight="1">
      <c r="A134" s="87"/>
      <c r="B134" s="12"/>
      <c r="C134" s="12"/>
      <c r="D134" s="11"/>
      <c r="E134" s="11"/>
      <c r="F134" s="11"/>
      <c r="G134" s="11"/>
      <c r="H134" s="11"/>
      <c r="I134" s="11"/>
      <c r="J134" s="1"/>
      <c r="K134" s="13"/>
      <c r="L134" s="13"/>
      <c r="M134" s="13"/>
      <c r="N134" s="13"/>
      <c r="O134" s="13"/>
      <c r="P134" s="13"/>
      <c r="Q134" s="13"/>
      <c r="R134" s="13"/>
      <c r="S134" s="13"/>
      <c r="T134" s="14"/>
      <c r="U134" s="86"/>
      <c r="V134" s="102"/>
      <c r="W134" s="114"/>
      <c r="X134" s="251"/>
      <c r="Y134" s="251"/>
      <c r="Z134" s="251"/>
      <c r="AA134" s="251"/>
      <c r="AB134" s="251"/>
      <c r="AC134" s="251"/>
      <c r="AD134" s="251"/>
      <c r="AI134" s="52"/>
      <c r="AJ134" s="121"/>
      <c r="AK134" s="61"/>
      <c r="AS134" s="52"/>
    </row>
    <row r="135" spans="1:76" s="56" customFormat="1" ht="15" hidden="1" customHeight="1">
      <c r="A135" s="1565"/>
      <c r="B135" s="1751"/>
      <c r="C135" s="1751"/>
      <c r="D135" s="1751"/>
      <c r="E135" s="1751"/>
      <c r="F135" s="1751"/>
      <c r="G135" s="1751"/>
      <c r="H135" s="1751"/>
      <c r="I135" s="1751"/>
      <c r="J135" s="1751"/>
      <c r="K135" s="1751"/>
      <c r="L135" s="1751"/>
      <c r="M135" s="1751"/>
      <c r="N135" s="1751"/>
      <c r="O135" s="1751"/>
      <c r="P135" s="1751"/>
      <c r="Q135" s="1751"/>
      <c r="R135" s="1751"/>
      <c r="S135" s="1751"/>
      <c r="T135" s="1751"/>
      <c r="U135" s="1752"/>
      <c r="V135" s="102"/>
      <c r="W135" s="114"/>
      <c r="X135" s="537"/>
      <c r="Y135" s="251"/>
      <c r="Z135" s="784"/>
      <c r="AA135" s="251"/>
      <c r="AB135" s="251"/>
      <c r="AC135" s="251"/>
      <c r="AD135" s="251"/>
      <c r="AI135" s="52"/>
      <c r="AJ135" s="12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row>
    <row r="136" spans="1:76" s="56" customFormat="1" ht="11.25" hidden="1" customHeight="1">
      <c r="A136" s="1739"/>
      <c r="B136" s="1740"/>
      <c r="C136" s="1740"/>
      <c r="D136" s="1740"/>
      <c r="E136" s="1740"/>
      <c r="F136" s="1740"/>
      <c r="G136" s="1740"/>
      <c r="H136" s="1740"/>
      <c r="I136" s="1741"/>
      <c r="J136" s="1740"/>
      <c r="K136" s="1740"/>
      <c r="L136" s="1740"/>
      <c r="M136" s="1740"/>
      <c r="N136" s="1740"/>
      <c r="O136" s="1740"/>
      <c r="P136" s="1742"/>
      <c r="Q136" s="1740"/>
      <c r="R136" s="1740"/>
      <c r="S136" s="1741"/>
      <c r="T136" s="1740"/>
      <c r="U136" s="1743"/>
      <c r="V136" s="102"/>
      <c r="W136" s="114"/>
      <c r="X136" s="784" t="s">
        <v>625</v>
      </c>
      <c r="Y136" s="784"/>
      <c r="Z136" s="784"/>
      <c r="AA136" s="784"/>
      <c r="AB136" s="784"/>
      <c r="AC136" s="784"/>
      <c r="AD136" s="249"/>
      <c r="AE136" s="250"/>
      <c r="AF136" s="251"/>
      <c r="AG136" s="251"/>
      <c r="AH136" s="251"/>
      <c r="AJ136" s="121"/>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row>
    <row r="137" spans="1:76" ht="10.5" customHeight="1">
      <c r="A137" s="81"/>
      <c r="B137" s="82"/>
      <c r="C137" s="82"/>
      <c r="D137" s="82"/>
      <c r="E137" s="82"/>
      <c r="F137" s="82"/>
      <c r="G137" s="82"/>
      <c r="H137" s="82"/>
      <c r="I137" s="82"/>
      <c r="J137" s="83"/>
      <c r="K137" s="82"/>
      <c r="L137" s="82"/>
      <c r="M137" s="82"/>
      <c r="N137" s="82"/>
      <c r="O137" s="82"/>
      <c r="P137" s="82"/>
      <c r="Q137" s="82"/>
      <c r="R137" s="82"/>
      <c r="S137" s="82"/>
      <c r="T137" s="82"/>
      <c r="U137" s="84"/>
      <c r="V137" s="102"/>
      <c r="W137" s="114"/>
      <c r="Y137" s="250"/>
      <c r="AD137" s="249"/>
      <c r="AE137" s="250"/>
      <c r="AF137" s="251"/>
      <c r="AG137" s="251"/>
      <c r="AH137" s="251"/>
      <c r="AI137" s="56"/>
      <c r="AJ137" s="122"/>
    </row>
    <row r="138" spans="1:76" ht="18.75" customHeight="1">
      <c r="A138" s="87"/>
      <c r="B138" s="1886" t="s">
        <v>1276</v>
      </c>
      <c r="C138" s="1886"/>
      <c r="D138" s="1886"/>
      <c r="E138" s="1886"/>
      <c r="F138" s="1886"/>
      <c r="G138" s="1886"/>
      <c r="H138" s="1886"/>
      <c r="I138" s="1177"/>
      <c r="J138" s="50"/>
      <c r="K138" s="50"/>
      <c r="L138" s="50"/>
      <c r="M138" s="50"/>
      <c r="N138" s="224"/>
      <c r="O138" s="50"/>
      <c r="P138" s="50"/>
      <c r="Q138" s="50"/>
      <c r="R138" s="50"/>
      <c r="S138" s="50"/>
      <c r="T138" s="50"/>
      <c r="U138" s="86"/>
      <c r="V138" s="102"/>
      <c r="W138" s="114"/>
      <c r="X138" s="52"/>
      <c r="Y138" s="52"/>
      <c r="Z138" s="52"/>
      <c r="AA138" s="52"/>
      <c r="AB138" s="52"/>
      <c r="AC138" s="52"/>
      <c r="AD138" s="249"/>
      <c r="AE138" s="250"/>
      <c r="AF138" s="251"/>
      <c r="AG138" s="251"/>
      <c r="AH138" s="251"/>
      <c r="AI138" s="56"/>
      <c r="AJ138" s="122"/>
    </row>
    <row r="139" spans="1:76" ht="18.75" customHeight="1">
      <c r="A139" s="87"/>
      <c r="B139" s="1886"/>
      <c r="C139" s="1886"/>
      <c r="D139" s="1886"/>
      <c r="E139" s="1886"/>
      <c r="F139" s="1886"/>
      <c r="G139" s="1886"/>
      <c r="H139" s="1886"/>
      <c r="I139" s="1177"/>
      <c r="J139" s="50"/>
      <c r="K139" s="50"/>
      <c r="L139" s="50"/>
      <c r="M139" s="50"/>
      <c r="N139" s="224"/>
      <c r="O139" s="50"/>
      <c r="P139" s="50"/>
      <c r="Q139" s="50"/>
      <c r="R139" s="5"/>
      <c r="S139" s="50"/>
      <c r="T139" s="50"/>
      <c r="U139" s="86"/>
      <c r="V139" s="102"/>
      <c r="W139" s="115"/>
      <c r="X139" s="52"/>
      <c r="Y139" s="52"/>
      <c r="Z139" s="52"/>
      <c r="AA139" s="52"/>
      <c r="AB139" s="52"/>
      <c r="AC139" s="52"/>
      <c r="AD139" s="249"/>
      <c r="AE139" s="250"/>
      <c r="AF139" s="251"/>
      <c r="AG139" s="251"/>
      <c r="AH139" s="251"/>
      <c r="AI139" s="56"/>
      <c r="AJ139" s="12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row>
    <row r="140" spans="1:76" ht="18.75" customHeight="1">
      <c r="A140" s="427"/>
      <c r="B140" s="1749" t="s">
        <v>177</v>
      </c>
      <c r="C140" s="1175"/>
      <c r="D140" s="1088" t="str">
        <f>ReportData!$D$27</f>
        <v>2019/20</v>
      </c>
      <c r="E140" s="1088" t="str">
        <f>ReportData!$E$27</f>
        <v>2020/21</v>
      </c>
      <c r="F140" s="1088" t="str">
        <f>ReportData!$F$27</f>
        <v>2021/22</v>
      </c>
      <c r="G140" s="1088" t="str">
        <f>ReportData!$G$27</f>
        <v>2022/23</v>
      </c>
      <c r="H140" s="1089" t="str">
        <f>ReportData!$H$27</f>
        <v>2023/24</v>
      </c>
      <c r="I140" s="230"/>
      <c r="J140" s="50"/>
      <c r="K140" s="50"/>
      <c r="L140" s="50"/>
      <c r="M140" s="50"/>
      <c r="N140" s="224"/>
      <c r="O140" s="50"/>
      <c r="P140" s="50"/>
      <c r="Q140" s="50"/>
      <c r="R140" s="5"/>
      <c r="S140" s="50"/>
      <c r="T140" s="50"/>
      <c r="U140" s="86"/>
      <c r="V140" s="102"/>
      <c r="W140" s="115"/>
      <c r="Y140" s="307" t="str">
        <f>IF(ReportData!$C$3="Annual","",ReportData!$D$28)</f>
        <v/>
      </c>
      <c r="Z140" s="307" t="str">
        <f>IF(ReportData!$C$3="Annual","",ReportData!$E$28)</f>
        <v/>
      </c>
      <c r="AA140" s="307" t="str">
        <f>IF(ReportData!$C$3="Annual","",ReportData!$F$28)</f>
        <v/>
      </c>
      <c r="AB140" s="307" t="str">
        <f>IF(ReportData!$C$3="Annual","",ReportData!$G$28)</f>
        <v/>
      </c>
      <c r="AC140" s="307" t="str">
        <f>IF(ReportData!$C$3="Annual","",ReportData!$H$28)</f>
        <v/>
      </c>
      <c r="AD140" s="249"/>
      <c r="AE140" s="250"/>
      <c r="AF140" s="251"/>
      <c r="AG140" s="251"/>
      <c r="AH140" s="251"/>
      <c r="AI140" s="56"/>
      <c r="AJ140" s="122"/>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row>
    <row r="141" spans="1:76" s="61" customFormat="1" ht="16.5" customHeight="1">
      <c r="A141" s="1148"/>
      <c r="B141" s="1750"/>
      <c r="C141" s="896"/>
      <c r="D141" s="897" t="e">
        <f>ReportData!$D$28</f>
        <v>#N/A</v>
      </c>
      <c r="E141" s="897" t="e">
        <f>ReportData!$E$28</f>
        <v>#N/A</v>
      </c>
      <c r="F141" s="897" t="e">
        <f>ReportData!$F$28</f>
        <v>#N/A</v>
      </c>
      <c r="G141" s="897" t="e">
        <f>ReportData!$G$28</f>
        <v>#N/A</v>
      </c>
      <c r="H141" s="920" t="e">
        <f>ReportData!$H$28</f>
        <v>#N/A</v>
      </c>
      <c r="I141" s="68"/>
      <c r="J141" s="68"/>
      <c r="K141" s="43"/>
      <c r="L141" s="43"/>
      <c r="M141" s="43"/>
      <c r="N141" s="43"/>
      <c r="O141" s="43"/>
      <c r="P141" s="43"/>
      <c r="Q141" s="225"/>
      <c r="R141" s="225"/>
      <c r="S141" s="120"/>
      <c r="T141" s="226"/>
      <c r="U141" s="89"/>
      <c r="V141" s="103"/>
      <c r="W141" s="115"/>
      <c r="X141" s="352"/>
      <c r="Y141" s="307" t="str">
        <f>ReportData!$D$27</f>
        <v>2019/20</v>
      </c>
      <c r="Z141" s="307" t="str">
        <f>ReportData!$E$27</f>
        <v>2020/21</v>
      </c>
      <c r="AA141" s="307" t="str">
        <f>ReportData!$F$27</f>
        <v>2021/22</v>
      </c>
      <c r="AB141" s="307" t="str">
        <f>ReportData!$G$27</f>
        <v>2022/23</v>
      </c>
      <c r="AC141" s="307" t="str">
        <f>ReportData!$H$27</f>
        <v>2023/24</v>
      </c>
      <c r="AD141" s="249"/>
      <c r="AE141" s="376"/>
      <c r="AF141" s="251"/>
      <c r="AG141" s="251"/>
      <c r="AH141" s="251"/>
      <c r="AI141" s="56"/>
      <c r="AJ141" s="121"/>
    </row>
    <row r="142" spans="1:76" s="61" customFormat="1" ht="13.5" customHeight="1">
      <c r="A142" s="1103">
        <f>VLOOKUP(B142,ReportData!$AQ$4:$AR$25,2,FALSE)</f>
        <v>0</v>
      </c>
      <c r="B142" s="885" t="str">
        <f t="shared" ref="B142:B162" si="44">B11</f>
        <v>Bracknell Forest</v>
      </c>
      <c r="C142" s="896"/>
      <c r="D142" s="922">
        <f t="shared" ref="D142:D162" si="45">IF(AND(ISNUMBER(Y142),ISNUMBER(D11)),Y142/D11,NA())</f>
        <v>0</v>
      </c>
      <c r="E142" s="922">
        <f t="shared" ref="E142:E162" si="46">IF(AND(ISNUMBER(Z142),ISNUMBER(E11)),Z142/E11,NA())</f>
        <v>0</v>
      </c>
      <c r="F142" s="922">
        <f t="shared" ref="F142:F162" si="47">IF(AND(ISNUMBER(AA142),ISNUMBER(F11)),AA142/F11,NA())</f>
        <v>0</v>
      </c>
      <c r="G142" s="922">
        <f t="shared" ref="G142:G162" si="48">IF(AND(ISNUMBER(AB142),ISNUMBER(G11)),AB142/G11,NA())</f>
        <v>0</v>
      </c>
      <c r="H142" s="923">
        <f t="shared" ref="H142:H162" si="49">IF(AND(ISNUMBER(AC142),ISNUMBER(H11)),AC142/H11,NA())</f>
        <v>0</v>
      </c>
      <c r="I142" s="68"/>
      <c r="J142" s="68"/>
      <c r="K142" s="127"/>
      <c r="L142" s="127"/>
      <c r="M142" s="127"/>
      <c r="N142" s="127"/>
      <c r="O142" s="127"/>
      <c r="P142" s="127"/>
      <c r="Q142" s="127"/>
      <c r="R142" s="128"/>
      <c r="S142" s="120"/>
      <c r="T142" s="127"/>
      <c r="U142" s="89"/>
      <c r="V142" s="103"/>
      <c r="W142" s="115"/>
      <c r="X142" s="352" t="str">
        <f t="shared" ref="X142:X162" si="50">B142</f>
        <v>Bracknell Forest</v>
      </c>
      <c r="Y142" s="355">
        <f>IF(Year1_Bracknell_Forest Year1_LAC_Remanded="","",Year1_Bracknell_Forest Year1_LAC_Remanded)</f>
        <v>0</v>
      </c>
      <c r="Z142" s="248">
        <f>IF(Year2_Bracknell_Forest Year2_LAC_Remanded="","",Year2_Bracknell_Forest Year2_LAC_Remanded)</f>
        <v>0</v>
      </c>
      <c r="AA142" s="248">
        <f>IF(Year3_Bracknell_Forest Year3_LAC_Remanded="","",Year3_Bracknell_Forest Year3_LAC_Remanded)</f>
        <v>0</v>
      </c>
      <c r="AB142" s="248">
        <f>IF(Year4_Bracknell_Forest Year4_LAC_Remanded="","",Year4_Bracknell_Forest Year4_LAC_Remanded)</f>
        <v>0</v>
      </c>
      <c r="AC142" s="352">
        <f>IF(Year5_Bracknell_Forest Year5_LAC_Remanded="","",Year5_Bracknell_Forest Year5_LAC_Remanded)</f>
        <v>0</v>
      </c>
      <c r="AD142" s="249"/>
      <c r="AE142" s="376"/>
      <c r="AF142" s="251"/>
      <c r="AG142" s="251"/>
      <c r="AH142" s="251"/>
      <c r="AI142" s="56"/>
      <c r="AJ142" s="122"/>
    </row>
    <row r="143" spans="1:76" s="61" customFormat="1" ht="13.5" customHeight="1">
      <c r="A143" s="1103">
        <f>VLOOKUP(B143,ReportData!$AQ$4:$AR$25,2,FALSE)</f>
        <v>0</v>
      </c>
      <c r="B143" s="885" t="str">
        <f t="shared" si="44"/>
        <v>Brighton &amp; Hove</v>
      </c>
      <c r="C143" s="896"/>
      <c r="D143" s="922" t="e">
        <f t="shared" si="45"/>
        <v>#N/A</v>
      </c>
      <c r="E143" s="922" t="e">
        <f t="shared" si="46"/>
        <v>#N/A</v>
      </c>
      <c r="F143" s="922" t="e">
        <f t="shared" si="47"/>
        <v>#N/A</v>
      </c>
      <c r="G143" s="922">
        <f t="shared" si="48"/>
        <v>0</v>
      </c>
      <c r="H143" s="923" t="e">
        <f t="shared" si="49"/>
        <v>#N/A</v>
      </c>
      <c r="I143" s="68"/>
      <c r="J143" s="68"/>
      <c r="K143" s="127"/>
      <c r="L143" s="127"/>
      <c r="M143" s="127"/>
      <c r="N143" s="127"/>
      <c r="O143" s="127"/>
      <c r="P143" s="127"/>
      <c r="Q143" s="127"/>
      <c r="R143" s="128"/>
      <c r="S143" s="120"/>
      <c r="T143" s="127"/>
      <c r="U143" s="89"/>
      <c r="V143" s="103"/>
      <c r="W143" s="115"/>
      <c r="X143" s="352" t="str">
        <f t="shared" si="50"/>
        <v>Brighton &amp; Hove</v>
      </c>
      <c r="Y143" s="355" t="str">
        <f>IF(Year1_Brighton_and_Hove Year1_LAC_Remanded="","",Year1_Brighton_and_Hove Year1_LAC_Remanded)</f>
        <v>x</v>
      </c>
      <c r="Z143" s="248" t="str">
        <f>IF(Year2_Brighton_and_Hove Year2_LAC_Remanded="","",Year2_Brighton_and_Hove Year2_LAC_Remanded)</f>
        <v>x</v>
      </c>
      <c r="AA143" s="248" t="str">
        <f>IF(Year3_Brighton_and_Hove Year3_LAC_Remanded="","",Year3_Brighton_and_Hove Year3_LAC_Remanded)</f>
        <v>c</v>
      </c>
      <c r="AB143" s="248">
        <f>IF(Year4_Brighton_and_Hove Year4_LAC_Remanded="","",Year4_Brighton_and_Hove Year4_LAC_Remanded)</f>
        <v>0</v>
      </c>
      <c r="AC143" s="352" t="str">
        <f>IF(Year5_Brighton_and_Hove Year5_LAC_Remanded="","",Year5_Brighton_and_Hove Year5_LAC_Remanded)</f>
        <v>c</v>
      </c>
      <c r="AD143" s="249"/>
      <c r="AE143" s="376"/>
      <c r="AF143" s="251"/>
      <c r="AG143" s="251"/>
      <c r="AH143" s="251"/>
      <c r="AI143" s="56"/>
      <c r="AJ143" s="121"/>
    </row>
    <row r="144" spans="1:76" s="61" customFormat="1" ht="13.5" customHeight="1">
      <c r="A144" s="1103">
        <f>VLOOKUP(B144,ReportData!$AQ$4:$AR$25,2,FALSE)</f>
        <v>0</v>
      </c>
      <c r="B144" s="885" t="str">
        <f t="shared" si="44"/>
        <v>Buckinghamshire</v>
      </c>
      <c r="C144" s="896"/>
      <c r="D144" s="922" t="e">
        <f t="shared" si="45"/>
        <v>#N/A</v>
      </c>
      <c r="E144" s="922" t="e">
        <f t="shared" si="46"/>
        <v>#N/A</v>
      </c>
      <c r="F144" s="922">
        <f t="shared" si="47"/>
        <v>0</v>
      </c>
      <c r="G144" s="922" t="e">
        <f t="shared" si="48"/>
        <v>#N/A</v>
      </c>
      <c r="H144" s="923">
        <f t="shared" si="49"/>
        <v>3.0434782608695653E-2</v>
      </c>
      <c r="I144" s="68"/>
      <c r="J144" s="68"/>
      <c r="K144" s="127"/>
      <c r="L144" s="127"/>
      <c r="M144" s="127"/>
      <c r="N144" s="127"/>
      <c r="O144" s="127"/>
      <c r="P144" s="127"/>
      <c r="Q144" s="127"/>
      <c r="R144" s="128"/>
      <c r="S144" s="120"/>
      <c r="T144" s="127"/>
      <c r="U144" s="89"/>
      <c r="V144" s="103"/>
      <c r="W144" s="115"/>
      <c r="X144" s="352" t="str">
        <f t="shared" si="50"/>
        <v>Buckinghamshire</v>
      </c>
      <c r="Y144" s="355" t="str">
        <f>IF(Year1_Buckinghamshire Year1_LAC_Remanded="","",Year1_Buckinghamshire Year1_LAC_Remanded)</f>
        <v>x</v>
      </c>
      <c r="Z144" s="248" t="str">
        <f>IF(Year2_Buckinghamshire Year2_LAC_Remanded="","",Year2_Buckinghamshire Year2_LAC_Remanded)</f>
        <v>x</v>
      </c>
      <c r="AA144" s="248">
        <f>IF(Year3_Buckinghamshire Year3_LAC_Remanded="","",Year3_Buckinghamshire Year3_LAC_Remanded)</f>
        <v>0</v>
      </c>
      <c r="AB144" s="248" t="str">
        <f>IF(Year4_Buckinghamshire Year4_LAC_Remanded="","",Year4_Buckinghamshire Year4_LAC_Remanded)</f>
        <v>c</v>
      </c>
      <c r="AC144" s="352">
        <f>IF(Year5_Buckinghamshire Year5_LAC_Remanded="","",Year5_Buckinghamshire Year5_LAC_Remanded)</f>
        <v>7</v>
      </c>
      <c r="AD144" s="249"/>
      <c r="AE144" s="376"/>
      <c r="AF144" s="251"/>
      <c r="AG144" s="251"/>
      <c r="AH144" s="251"/>
      <c r="AI144" s="56"/>
      <c r="AJ144" s="122"/>
    </row>
    <row r="145" spans="1:44" s="61" customFormat="1" ht="13.5" customHeight="1">
      <c r="A145" s="1103">
        <f>VLOOKUP(B145,ReportData!$AQ$4:$AR$25,2,FALSE)</f>
        <v>0</v>
      </c>
      <c r="B145" s="885" t="str">
        <f t="shared" si="44"/>
        <v>East Sussex</v>
      </c>
      <c r="C145" s="896"/>
      <c r="D145" s="922" t="e">
        <f t="shared" si="45"/>
        <v>#N/A</v>
      </c>
      <c r="E145" s="922" t="e">
        <f t="shared" si="46"/>
        <v>#N/A</v>
      </c>
      <c r="F145" s="922" t="e">
        <f t="shared" si="47"/>
        <v>#N/A</v>
      </c>
      <c r="G145" s="922">
        <f t="shared" si="48"/>
        <v>2.4896265560165973E-2</v>
      </c>
      <c r="H145" s="923" t="e">
        <f t="shared" si="49"/>
        <v>#N/A</v>
      </c>
      <c r="I145" s="68"/>
      <c r="J145" s="68"/>
      <c r="K145" s="127"/>
      <c r="L145" s="127"/>
      <c r="M145" s="127"/>
      <c r="N145" s="127"/>
      <c r="O145" s="127"/>
      <c r="P145" s="127"/>
      <c r="Q145" s="127"/>
      <c r="R145" s="128"/>
      <c r="S145" s="120"/>
      <c r="T145" s="127"/>
      <c r="U145" s="89"/>
      <c r="V145" s="103"/>
      <c r="W145" s="115"/>
      <c r="X145" s="352" t="str">
        <f t="shared" si="50"/>
        <v>East Sussex</v>
      </c>
      <c r="Y145" s="355" t="str">
        <f>IF(Year1_East_Sussex Year1_LAC_Remanded="","",Year1_East_Sussex Year1_LAC_Remanded)</f>
        <v>x</v>
      </c>
      <c r="Z145" s="248" t="str">
        <f>IF(Year2_East_Sussex Year2_LAC_Remanded="","",Year2_East_Sussex Year2_LAC_Remanded)</f>
        <v>x</v>
      </c>
      <c r="AA145" s="248" t="str">
        <f>IF(Year3_East_Sussex Year3_LAC_Remanded="","",Year3_East_Sussex Year3_LAC_Remanded)</f>
        <v>c</v>
      </c>
      <c r="AB145" s="248">
        <f>IF(Year4_East_Sussex Year4_LAC_Remanded="","",Year4_East_Sussex Year4_LAC_Remanded)</f>
        <v>6</v>
      </c>
      <c r="AC145" s="352" t="str">
        <f>IF(Year5_East_Sussex Year5_LAC_Remanded="","",Year5_East_Sussex Year5_LAC_Remanded)</f>
        <v>c</v>
      </c>
      <c r="AD145" s="249"/>
      <c r="AE145" s="376"/>
      <c r="AF145" s="251"/>
      <c r="AG145" s="251"/>
      <c r="AH145" s="251"/>
      <c r="AI145" s="56"/>
      <c r="AJ145" s="121"/>
      <c r="AR145" s="61" t="s">
        <v>95</v>
      </c>
    </row>
    <row r="146" spans="1:44" s="61" customFormat="1" ht="13.5" customHeight="1">
      <c r="A146" s="1103">
        <f>VLOOKUP(B146,ReportData!$AQ$4:$AR$25,2,FALSE)</f>
        <v>0</v>
      </c>
      <c r="B146" s="885" t="str">
        <f t="shared" si="44"/>
        <v>Hampshire</v>
      </c>
      <c r="C146" s="896"/>
      <c r="D146" s="922">
        <f t="shared" si="45"/>
        <v>1.8214936247723135E-2</v>
      </c>
      <c r="E146" s="922">
        <f t="shared" si="46"/>
        <v>9.7719869706840382E-3</v>
      </c>
      <c r="F146" s="922" t="e">
        <f t="shared" si="47"/>
        <v>#N/A</v>
      </c>
      <c r="G146" s="922" t="e">
        <f t="shared" si="48"/>
        <v>#N/A</v>
      </c>
      <c r="H146" s="923" t="e">
        <f t="shared" si="49"/>
        <v>#N/A</v>
      </c>
      <c r="I146" s="68"/>
      <c r="J146" s="68"/>
      <c r="K146" s="127"/>
      <c r="L146" s="127"/>
      <c r="M146" s="127"/>
      <c r="N146" s="127"/>
      <c r="O146" s="127"/>
      <c r="P146" s="127"/>
      <c r="Q146" s="127"/>
      <c r="R146" s="128"/>
      <c r="S146" s="120"/>
      <c r="T146" s="127"/>
      <c r="U146" s="89"/>
      <c r="V146" s="103"/>
      <c r="W146" s="115"/>
      <c r="X146" s="352" t="str">
        <f t="shared" si="50"/>
        <v>Hampshire</v>
      </c>
      <c r="Y146" s="355">
        <f>IF(Year1_Hampshire Year1_LAC_Remanded="","",Year1_Hampshire Year1_LAC_Remanded)</f>
        <v>10</v>
      </c>
      <c r="Z146" s="248">
        <f>IF(Year2_Hampshire Year2_LAC_Remanded="","",Year2_Hampshire Year2_LAC_Remanded)</f>
        <v>6</v>
      </c>
      <c r="AA146" s="248" t="str">
        <f>IF(Year3_Hampshire Year3_LAC_Remanded="","",Year3_Hampshire Year3_LAC_Remanded)</f>
        <v>c</v>
      </c>
      <c r="AB146" s="248" t="str">
        <f>IF(Year4_Hampshire Year4_LAC_Remanded="","",Year4_Hampshire Year4_LAC_Remanded)</f>
        <v>c</v>
      </c>
      <c r="AC146" s="352" t="str">
        <f>IF(Year5_Hampshire Year5_LAC_Remanded="","",Year5_Hampshire Year5_LAC_Remanded)</f>
        <v>c</v>
      </c>
      <c r="AD146" s="249"/>
      <c r="AE146" s="250"/>
      <c r="AF146" s="251"/>
      <c r="AG146" s="251"/>
      <c r="AH146" s="251"/>
      <c r="AI146" s="56"/>
      <c r="AJ146" s="122"/>
    </row>
    <row r="147" spans="1:44" s="61" customFormat="1" ht="13.5" customHeight="1">
      <c r="A147" s="1103">
        <f>VLOOKUP(B147,ReportData!$AQ$4:$AR$25,2,FALSE)</f>
        <v>0</v>
      </c>
      <c r="B147" s="885" t="str">
        <f t="shared" si="44"/>
        <v>Isle of Wight</v>
      </c>
      <c r="C147" s="896"/>
      <c r="D147" s="922" t="e">
        <f t="shared" si="45"/>
        <v>#N/A</v>
      </c>
      <c r="E147" s="922" t="e">
        <f t="shared" si="46"/>
        <v>#N/A</v>
      </c>
      <c r="F147" s="922" t="e">
        <f t="shared" si="47"/>
        <v>#N/A</v>
      </c>
      <c r="G147" s="922" t="e">
        <f t="shared" si="48"/>
        <v>#N/A</v>
      </c>
      <c r="H147" s="923" t="e">
        <f t="shared" si="49"/>
        <v>#N/A</v>
      </c>
      <c r="I147" s="68"/>
      <c r="J147" s="68"/>
      <c r="K147" s="127"/>
      <c r="L147" s="127"/>
      <c r="M147" s="127"/>
      <c r="N147" s="127"/>
      <c r="O147" s="127"/>
      <c r="P147" s="127"/>
      <c r="Q147" s="127"/>
      <c r="R147" s="128"/>
      <c r="S147" s="120"/>
      <c r="T147" s="127"/>
      <c r="U147" s="89"/>
      <c r="V147" s="103"/>
      <c r="W147" s="115"/>
      <c r="X147" s="352" t="str">
        <f t="shared" si="50"/>
        <v>Isle of Wight</v>
      </c>
      <c r="Y147" s="355" t="str">
        <f>IF(Year1_Isle_of_Wight Year1_LAC_Remanded="","",Year1_Isle_of_Wight Year1_LAC_Remanded)</f>
        <v>x</v>
      </c>
      <c r="Z147" s="248" t="str">
        <f>IF(Year2_Isle_of_Wight Year2_LAC_Remanded="","",Year2_Isle_of_Wight Year2_LAC_Remanded)</f>
        <v>x</v>
      </c>
      <c r="AA147" s="248" t="str">
        <f>IF(Year3_Isle_of_Wight Year3_LAC_Remanded="","",Year3_Isle_of_Wight Year3_LAC_Remanded)</f>
        <v>c</v>
      </c>
      <c r="AB147" s="248" t="str">
        <f>IF(Year4_Isle_of_Wight Year4_LAC_Remanded="","",Year4_Isle_of_Wight Year4_LAC_Remanded)</f>
        <v>c</v>
      </c>
      <c r="AC147" s="352" t="str">
        <f>IF(Year5_Isle_of_Wight Year5_LAC_Remanded="","",Year5_Isle_of_Wight Year5_LAC_Remanded)</f>
        <v>c</v>
      </c>
      <c r="AD147" s="249"/>
      <c r="AE147" s="250"/>
      <c r="AF147" s="251"/>
      <c r="AG147" s="251"/>
      <c r="AH147" s="251"/>
      <c r="AI147" s="56"/>
      <c r="AJ147" s="121"/>
    </row>
    <row r="148" spans="1:44" s="61" customFormat="1" ht="13.5" customHeight="1">
      <c r="A148" s="1103">
        <f>VLOOKUP(B148,ReportData!$AQ$4:$AR$25,2,FALSE)</f>
        <v>0</v>
      </c>
      <c r="B148" s="885" t="str">
        <f t="shared" si="44"/>
        <v>Kent</v>
      </c>
      <c r="C148" s="896"/>
      <c r="D148" s="922">
        <f t="shared" si="45"/>
        <v>1.1627906976744186E-2</v>
      </c>
      <c r="E148" s="922">
        <f t="shared" si="46"/>
        <v>9.2213114754098359E-3</v>
      </c>
      <c r="F148" s="922">
        <f t="shared" si="47"/>
        <v>5.3511705685618726E-3</v>
      </c>
      <c r="G148" s="922">
        <f t="shared" si="48"/>
        <v>6.7226890756302525E-3</v>
      </c>
      <c r="H148" s="923">
        <f t="shared" si="49"/>
        <v>6.2021160160525357E-3</v>
      </c>
      <c r="I148" s="68"/>
      <c r="J148" s="68"/>
      <c r="K148" s="127"/>
      <c r="L148" s="127"/>
      <c r="M148" s="127"/>
      <c r="N148" s="127"/>
      <c r="O148" s="127"/>
      <c r="P148" s="127"/>
      <c r="Q148" s="127"/>
      <c r="R148" s="128"/>
      <c r="S148" s="120"/>
      <c r="T148" s="127"/>
      <c r="U148" s="89"/>
      <c r="V148" s="103"/>
      <c r="W148" s="115"/>
      <c r="X148" s="352" t="str">
        <f t="shared" si="50"/>
        <v>Kent</v>
      </c>
      <c r="Y148" s="355">
        <f>IF(Year1_Kent Year1_LAC_Remanded="","",Year1_Kent Year1_LAC_Remanded)</f>
        <v>11</v>
      </c>
      <c r="Z148" s="248">
        <f>IF(Year2_Kent Year2_LAC_Remanded="","",Year2_Kent Year2_LAC_Remanded)</f>
        <v>9</v>
      </c>
      <c r="AA148" s="248">
        <f>IF(Year3_Kent Year3_LAC_Remanded="","",Year3_Kent Year3_LAC_Remanded)</f>
        <v>8</v>
      </c>
      <c r="AB148" s="248">
        <f>IF(Year4_Kent Year4_LAC_Remanded="","",Year4_Kent Year4_LAC_Remanded)</f>
        <v>12</v>
      </c>
      <c r="AC148" s="352">
        <f>IF(Year5_Kent Year5_LAC_Remanded="","",Year5_Kent Year5_LAC_Remanded)</f>
        <v>17</v>
      </c>
      <c r="AD148" s="249"/>
      <c r="AE148" s="250"/>
      <c r="AF148" s="251"/>
      <c r="AG148" s="251"/>
      <c r="AH148" s="251"/>
      <c r="AI148" s="56"/>
      <c r="AJ148" s="122"/>
    </row>
    <row r="149" spans="1:44" s="61" customFormat="1" ht="13.5" customHeight="1">
      <c r="A149" s="1103">
        <f>VLOOKUP(B149,ReportData!$AQ$4:$AR$25,2,FALSE)</f>
        <v>0</v>
      </c>
      <c r="B149" s="885" t="str">
        <f t="shared" si="44"/>
        <v>Medway</v>
      </c>
      <c r="C149" s="896"/>
      <c r="D149" s="922" t="e">
        <f t="shared" si="45"/>
        <v>#N/A</v>
      </c>
      <c r="E149" s="922" t="e">
        <f t="shared" si="46"/>
        <v>#N/A</v>
      </c>
      <c r="F149" s="922">
        <f t="shared" si="47"/>
        <v>0</v>
      </c>
      <c r="G149" s="922" t="e">
        <f t="shared" si="48"/>
        <v>#N/A</v>
      </c>
      <c r="H149" s="923" t="e">
        <f t="shared" si="49"/>
        <v>#N/A</v>
      </c>
      <c r="I149" s="68"/>
      <c r="J149" s="68"/>
      <c r="K149" s="127"/>
      <c r="L149" s="127"/>
      <c r="M149" s="127"/>
      <c r="N149" s="127"/>
      <c r="O149" s="127"/>
      <c r="P149" s="127"/>
      <c r="Q149" s="127"/>
      <c r="R149" s="128"/>
      <c r="S149" s="120"/>
      <c r="T149" s="127"/>
      <c r="U149" s="89"/>
      <c r="V149" s="103"/>
      <c r="W149" s="115"/>
      <c r="X149" s="352" t="str">
        <f t="shared" si="50"/>
        <v>Medway</v>
      </c>
      <c r="Y149" s="355" t="str">
        <f>IF(Year1_Medway Year1_LAC_Remanded="","",Year1_Medway Year1_LAC_Remanded)</f>
        <v>x</v>
      </c>
      <c r="Z149" s="248" t="str">
        <f>IF(Year2_Medway Year2_LAC_Remanded="","",Year2_Medway Year2_LAC_Remanded)</f>
        <v>x</v>
      </c>
      <c r="AA149" s="248">
        <f>IF(Year3_Medway Year3_LAC_Remanded="","",Year3_Medway Year3_LAC_Remanded)</f>
        <v>0</v>
      </c>
      <c r="AB149" s="248" t="str">
        <f>IF(Year4_Medway Year4_LAC_Remanded="","",Year4_Medway Year4_LAC_Remanded)</f>
        <v>c</v>
      </c>
      <c r="AC149" s="352" t="str">
        <f>IF(Year5_Medway Year5_LAC_Remanded="","",Year5_Medway Year5_LAC_Remanded)</f>
        <v>c</v>
      </c>
      <c r="AD149" s="249"/>
      <c r="AE149" s="250"/>
      <c r="AF149" s="251"/>
      <c r="AG149" s="251"/>
      <c r="AH149" s="251"/>
      <c r="AI149" s="56"/>
      <c r="AJ149" s="121"/>
    </row>
    <row r="150" spans="1:44" s="61" customFormat="1" ht="13.5" customHeight="1">
      <c r="A150" s="1103">
        <f>VLOOKUP(B150,ReportData!$AQ$4:$AR$25,2,FALSE)</f>
        <v>0</v>
      </c>
      <c r="B150" s="885" t="str">
        <f t="shared" si="44"/>
        <v>Milton Keynes</v>
      </c>
      <c r="C150" s="896"/>
      <c r="D150" s="922" t="e">
        <f t="shared" si="45"/>
        <v>#N/A</v>
      </c>
      <c r="E150" s="922" t="e">
        <f t="shared" si="46"/>
        <v>#N/A</v>
      </c>
      <c r="F150" s="922" t="e">
        <f t="shared" si="47"/>
        <v>#N/A</v>
      </c>
      <c r="G150" s="922">
        <f t="shared" si="48"/>
        <v>0</v>
      </c>
      <c r="H150" s="923" t="e">
        <f t="shared" si="49"/>
        <v>#N/A</v>
      </c>
      <c r="I150" s="68"/>
      <c r="J150" s="68"/>
      <c r="K150" s="127"/>
      <c r="L150" s="127"/>
      <c r="M150" s="127"/>
      <c r="N150" s="127"/>
      <c r="O150" s="127"/>
      <c r="P150" s="127"/>
      <c r="Q150" s="127"/>
      <c r="R150" s="128"/>
      <c r="S150" s="120"/>
      <c r="T150" s="127"/>
      <c r="U150" s="89"/>
      <c r="V150" s="103"/>
      <c r="W150" s="115"/>
      <c r="X150" s="352" t="str">
        <f t="shared" si="50"/>
        <v>Milton Keynes</v>
      </c>
      <c r="Y150" s="355" t="str">
        <f>IF(Year1_Milton_Keynes Year1_LAC_Remanded="","",Year1_Milton_Keynes Year1_LAC_Remanded)</f>
        <v>x</v>
      </c>
      <c r="Z150" s="248" t="str">
        <f>IF(Year2_Milton_Keynes Year2_LAC_Remanded="","",Year2_Milton_Keynes Year2_LAC_Remanded)</f>
        <v>x</v>
      </c>
      <c r="AA150" s="248" t="str">
        <f>IF(Year3_Milton_Keynes Year3_LAC_Remanded="","",Year3_Milton_Keynes Year3_LAC_Remanded)</f>
        <v>c</v>
      </c>
      <c r="AB150" s="248">
        <f>IF(Year4_Milton_Keynes Year4_LAC_Remanded="","",Year4_Milton_Keynes Year4_LAC_Remanded)</f>
        <v>0</v>
      </c>
      <c r="AC150" s="352" t="str">
        <f>IF(Year5_Milton_Keynes Year5_LAC_Remanded="","",Year5_Milton_Keynes Year5_LAC_Remanded)</f>
        <v>c</v>
      </c>
      <c r="AD150" s="249"/>
      <c r="AE150" s="250"/>
      <c r="AF150" s="251"/>
      <c r="AG150" s="251"/>
      <c r="AH150" s="251"/>
      <c r="AI150" s="56"/>
      <c r="AJ150" s="122"/>
    </row>
    <row r="151" spans="1:44" s="61" customFormat="1" ht="13.5" customHeight="1">
      <c r="A151" s="1103">
        <f>VLOOKUP(B151,ReportData!$AQ$4:$AR$25,2,FALSE)</f>
        <v>0</v>
      </c>
      <c r="B151" s="885" t="str">
        <f t="shared" si="44"/>
        <v>Oxfordshire</v>
      </c>
      <c r="C151" s="896"/>
      <c r="D151" s="922" t="e">
        <f t="shared" si="45"/>
        <v>#N/A</v>
      </c>
      <c r="E151" s="922" t="e">
        <f t="shared" si="46"/>
        <v>#N/A</v>
      </c>
      <c r="F151" s="922" t="e">
        <f t="shared" si="47"/>
        <v>#N/A</v>
      </c>
      <c r="G151" s="922" t="e">
        <f t="shared" si="48"/>
        <v>#N/A</v>
      </c>
      <c r="H151" s="923" t="e">
        <f t="shared" si="49"/>
        <v>#N/A</v>
      </c>
      <c r="I151" s="68"/>
      <c r="J151" s="68"/>
      <c r="K151" s="127"/>
      <c r="L151" s="127"/>
      <c r="M151" s="127"/>
      <c r="N151" s="127"/>
      <c r="O151" s="127"/>
      <c r="P151" s="127"/>
      <c r="Q151" s="127"/>
      <c r="R151" s="128"/>
      <c r="S151" s="120"/>
      <c r="T151" s="127"/>
      <c r="U151" s="89"/>
      <c r="V151" s="103"/>
      <c r="W151" s="115"/>
      <c r="X151" s="352" t="str">
        <f t="shared" si="50"/>
        <v>Oxfordshire</v>
      </c>
      <c r="Y151" s="355" t="str">
        <f>IF(Year1_Oxfordshire Year1_LAC_Remanded="","",Year1_Oxfordshire Year1_LAC_Remanded)</f>
        <v>x</v>
      </c>
      <c r="Z151" s="248" t="str">
        <f>IF(Year2_Oxfordshire Year2_LAC_Remanded="","",Year2_Oxfordshire Year2_LAC_Remanded)</f>
        <v>x</v>
      </c>
      <c r="AA151" s="248" t="str">
        <f>IF(Year3_Oxfordshire Year3_LAC_Remanded="","",Year3_Oxfordshire Year3_LAC_Remanded)</f>
        <v>c</v>
      </c>
      <c r="AB151" s="248" t="str">
        <f>IF(Year4_Oxfordshire Year4_LAC_Remanded="","",Year4_Oxfordshire Year4_LAC_Remanded)</f>
        <v>c</v>
      </c>
      <c r="AC151" s="352" t="str">
        <f>IF(Year5_Oxfordshire Year5_LAC_Remanded="","",Year5_Oxfordshire Year5_LAC_Remanded)</f>
        <v>c</v>
      </c>
      <c r="AD151" s="249"/>
      <c r="AE151" s="250"/>
      <c r="AF151" s="251"/>
      <c r="AG151" s="251"/>
      <c r="AH151" s="251"/>
      <c r="AI151" s="56"/>
      <c r="AJ151" s="121"/>
    </row>
    <row r="152" spans="1:44" s="61" customFormat="1" ht="13.5" customHeight="1">
      <c r="A152" s="1103">
        <f>VLOOKUP(B152,ReportData!$AQ$4:$AR$25,2,FALSE)</f>
        <v>0</v>
      </c>
      <c r="B152" s="885" t="str">
        <f t="shared" si="44"/>
        <v>Portsmouth</v>
      </c>
      <c r="C152" s="896"/>
      <c r="D152" s="922" t="e">
        <f t="shared" si="45"/>
        <v>#N/A</v>
      </c>
      <c r="E152" s="922">
        <f t="shared" si="46"/>
        <v>0</v>
      </c>
      <c r="F152" s="922" t="e">
        <f t="shared" si="47"/>
        <v>#N/A</v>
      </c>
      <c r="G152" s="922" t="e">
        <f t="shared" si="48"/>
        <v>#N/A</v>
      </c>
      <c r="H152" s="923" t="e">
        <f t="shared" si="49"/>
        <v>#N/A</v>
      </c>
      <c r="I152" s="68"/>
      <c r="J152" s="68"/>
      <c r="K152" s="127"/>
      <c r="L152" s="127"/>
      <c r="M152" s="127"/>
      <c r="N152" s="127"/>
      <c r="O152" s="127"/>
      <c r="P152" s="127"/>
      <c r="Q152" s="127"/>
      <c r="R152" s="128"/>
      <c r="S152" s="120"/>
      <c r="T152" s="127"/>
      <c r="U152" s="89"/>
      <c r="V152" s="103"/>
      <c r="W152" s="115"/>
      <c r="X152" s="352" t="str">
        <f t="shared" si="50"/>
        <v>Portsmouth</v>
      </c>
      <c r="Y152" s="355" t="str">
        <f>IF(Year1_Portsmouth Year1_LAC_Remanded="","",Year1_Portsmouth Year1_LAC_Remanded)</f>
        <v>x</v>
      </c>
      <c r="Z152" s="248">
        <f>IF(Year2_Portsmouth Year2_LAC_Remanded="","",Year2_Portsmouth Year2_LAC_Remanded)</f>
        <v>0</v>
      </c>
      <c r="AA152" s="248" t="str">
        <f>IF(Year3_Portsmouth Year3_LAC_Remanded="","",Year3_Portsmouth Year3_LAC_Remanded)</f>
        <v>c</v>
      </c>
      <c r="AB152" s="248" t="str">
        <f>IF(Year4_Portsmouth Year4_LAC_Remanded="","",Year4_Portsmouth Year4_LAC_Remanded)</f>
        <v>c</v>
      </c>
      <c r="AC152" s="352" t="str">
        <f>IF(Year5_Portsmouth Year5_LAC_Remanded="","",Year5_Portsmouth Year5_LAC_Remanded)</f>
        <v>c</v>
      </c>
      <c r="AD152" s="249"/>
      <c r="AE152" s="250"/>
      <c r="AF152" s="251"/>
      <c r="AG152" s="251"/>
      <c r="AH152" s="251"/>
      <c r="AI152" s="56"/>
      <c r="AJ152" s="122"/>
    </row>
    <row r="153" spans="1:44" s="61" customFormat="1" ht="13.5" customHeight="1">
      <c r="A153" s="1103">
        <f>VLOOKUP(B153,ReportData!$AQ$4:$AR$25,2,FALSE)</f>
        <v>0</v>
      </c>
      <c r="B153" s="885" t="str">
        <f t="shared" si="44"/>
        <v>Reading</v>
      </c>
      <c r="C153" s="896"/>
      <c r="D153" s="922" t="e">
        <f t="shared" si="45"/>
        <v>#N/A</v>
      </c>
      <c r="E153" s="922" t="e">
        <f t="shared" si="46"/>
        <v>#N/A</v>
      </c>
      <c r="F153" s="922" t="e">
        <f t="shared" si="47"/>
        <v>#N/A</v>
      </c>
      <c r="G153" s="922" t="e">
        <f t="shared" si="48"/>
        <v>#N/A</v>
      </c>
      <c r="H153" s="923" t="e">
        <f t="shared" si="49"/>
        <v>#N/A</v>
      </c>
      <c r="I153" s="68"/>
      <c r="J153" s="68"/>
      <c r="K153" s="127"/>
      <c r="L153" s="127"/>
      <c r="M153" s="127"/>
      <c r="N153" s="127"/>
      <c r="O153" s="127"/>
      <c r="P153" s="127"/>
      <c r="Q153" s="127"/>
      <c r="R153" s="128"/>
      <c r="S153" s="120"/>
      <c r="T153" s="127"/>
      <c r="U153" s="89"/>
      <c r="V153" s="103"/>
      <c r="W153" s="115"/>
      <c r="X153" s="352" t="str">
        <f t="shared" si="50"/>
        <v>Reading</v>
      </c>
      <c r="Y153" s="355" t="str">
        <f>IF(Year1_Reading Year1_LAC_Remanded="","",Year1_Reading Year1_LAC_Remanded)</f>
        <v>x</v>
      </c>
      <c r="Z153" s="248" t="str">
        <f>IF(Year2_Reading Year2_LAC_Remanded="","",Year2_Reading Year2_LAC_Remanded)</f>
        <v>x</v>
      </c>
      <c r="AA153" s="248" t="str">
        <f>IF(Year3_Reading Year3_LAC_Remanded="","",Year3_Reading Year3_LAC_Remanded)</f>
        <v>c</v>
      </c>
      <c r="AB153" s="248" t="str">
        <f>IF(Year4_Reading Year4_LAC_Remanded="","",Year4_Reading Year4_LAC_Remanded)</f>
        <v>c</v>
      </c>
      <c r="AC153" s="352" t="str">
        <f>IF(Year5_Reading Year5_LAC_Remanded="","",Year5_Reading Year5_LAC_Remanded)</f>
        <v>c</v>
      </c>
      <c r="AD153" s="249"/>
      <c r="AE153" s="250"/>
      <c r="AF153" s="251"/>
      <c r="AG153" s="251"/>
      <c r="AH153" s="251"/>
      <c r="AI153" s="56"/>
      <c r="AJ153" s="121"/>
    </row>
    <row r="154" spans="1:44" s="61" customFormat="1" ht="13.5" customHeight="1">
      <c r="A154" s="1103">
        <f>VLOOKUP(B154,ReportData!$AQ$4:$AR$25,2,FALSE)</f>
        <v>0</v>
      </c>
      <c r="B154" s="885" t="str">
        <f t="shared" si="44"/>
        <v>Slough</v>
      </c>
      <c r="C154" s="896"/>
      <c r="D154" s="922" t="e">
        <f t="shared" si="45"/>
        <v>#N/A</v>
      </c>
      <c r="E154" s="922" t="e">
        <f t="shared" si="46"/>
        <v>#N/A</v>
      </c>
      <c r="F154" s="922" t="e">
        <f t="shared" si="47"/>
        <v>#N/A</v>
      </c>
      <c r="G154" s="922" t="e">
        <f t="shared" si="48"/>
        <v>#N/A</v>
      </c>
      <c r="H154" s="923" t="e">
        <f t="shared" si="49"/>
        <v>#N/A</v>
      </c>
      <c r="I154" s="68"/>
      <c r="J154" s="68"/>
      <c r="K154" s="127"/>
      <c r="L154" s="127"/>
      <c r="M154" s="127"/>
      <c r="N154" s="127"/>
      <c r="O154" s="127"/>
      <c r="P154" s="127"/>
      <c r="Q154" s="127"/>
      <c r="R154" s="128"/>
      <c r="S154" s="120"/>
      <c r="T154" s="127"/>
      <c r="U154" s="89"/>
      <c r="V154" s="103"/>
      <c r="W154" s="115"/>
      <c r="X154" s="352" t="str">
        <f t="shared" si="50"/>
        <v>Slough</v>
      </c>
      <c r="Y154" s="355" t="str">
        <f>IF(Year1_Slough Year1_LAC_Remanded="","",Year1_Slough Year1_LAC_Remanded)</f>
        <v>x</v>
      </c>
      <c r="Z154" s="248" t="str">
        <f>IF(Year2_Slough Year2_LAC_Remanded="","",Year2_Slough Year2_LAC_Remanded)</f>
        <v>x</v>
      </c>
      <c r="AA154" s="248" t="str">
        <f>IF(Year3_Slough Year3_LAC_Remanded="","",Year3_Slough Year3_LAC_Remanded)</f>
        <v>c</v>
      </c>
      <c r="AB154" s="248" t="str">
        <f>IF(Year4_Slough Year4_LAC_Remanded="","",Year4_Slough Year4_LAC_Remanded)</f>
        <v>c</v>
      </c>
      <c r="AC154" s="352" t="str">
        <f>IF(Year5_Slough Year5_LAC_Remanded="","",Year5_Slough Year5_LAC_Remanded)</f>
        <v>c</v>
      </c>
      <c r="AD154" s="249"/>
      <c r="AE154" s="250"/>
      <c r="AF154" s="251"/>
      <c r="AG154" s="251"/>
      <c r="AH154" s="251"/>
      <c r="AI154" s="56"/>
      <c r="AJ154" s="122"/>
    </row>
    <row r="155" spans="1:44" s="61" customFormat="1" ht="13.5" customHeight="1">
      <c r="A155" s="1103">
        <f>VLOOKUP(B155,ReportData!$AQ$4:$AR$25,2,FALSE)</f>
        <v>0</v>
      </c>
      <c r="B155" s="885" t="str">
        <f t="shared" si="44"/>
        <v>Southampton</v>
      </c>
      <c r="C155" s="896"/>
      <c r="D155" s="922" t="e">
        <f t="shared" si="45"/>
        <v>#N/A</v>
      </c>
      <c r="E155" s="922" t="e">
        <f t="shared" si="46"/>
        <v>#N/A</v>
      </c>
      <c r="F155" s="922" t="e">
        <f t="shared" si="47"/>
        <v>#N/A</v>
      </c>
      <c r="G155" s="922">
        <f t="shared" si="48"/>
        <v>3.5897435897435895E-2</v>
      </c>
      <c r="H155" s="923">
        <f t="shared" si="49"/>
        <v>4.9079754601226995E-2</v>
      </c>
      <c r="I155" s="68"/>
      <c r="J155" s="68"/>
      <c r="K155" s="127"/>
      <c r="L155" s="127"/>
      <c r="M155" s="127"/>
      <c r="N155" s="127"/>
      <c r="O155" s="127"/>
      <c r="P155" s="127"/>
      <c r="Q155" s="127"/>
      <c r="R155" s="128"/>
      <c r="S155" s="120"/>
      <c r="T155" s="127"/>
      <c r="U155" s="89"/>
      <c r="V155" s="103"/>
      <c r="W155" s="115"/>
      <c r="X155" s="352" t="str">
        <f t="shared" si="50"/>
        <v>Southampton</v>
      </c>
      <c r="Y155" s="355" t="str">
        <f>IF(Year1_Southampton Year1_LAC_Remanded="","",Year1_Southampton Year1_LAC_Remanded)</f>
        <v>x</v>
      </c>
      <c r="Z155" s="248" t="str">
        <f>IF(Year2_Southampton Year2_LAC_Remanded="","",Year2_Southampton Year2_LAC_Remanded)</f>
        <v>x</v>
      </c>
      <c r="AA155" s="248" t="str">
        <f>IF(Year3_Southampton Year3_LAC_Remanded="","",Year3_Southampton Year3_LAC_Remanded)</f>
        <v>c</v>
      </c>
      <c r="AB155" s="248">
        <f>IF(Year4_Southampton Year4_LAC_Remanded="","",Year4_Southampton Year4_LAC_Remanded)</f>
        <v>7</v>
      </c>
      <c r="AC155" s="352">
        <f>IF(Year5_Southampton Year5_LAC_Remanded="","",Year5_Southampton Year5_LAC_Remanded)</f>
        <v>8</v>
      </c>
      <c r="AD155" s="249"/>
      <c r="AE155" s="250"/>
      <c r="AF155" s="251"/>
      <c r="AG155" s="251"/>
      <c r="AH155" s="251"/>
      <c r="AI155" s="56"/>
      <c r="AJ155" s="122"/>
    </row>
    <row r="156" spans="1:44" s="61" customFormat="1" ht="13.5" customHeight="1">
      <c r="A156" s="1103">
        <f>VLOOKUP(B156,ReportData!$AQ$4:$AR$25,2,FALSE)</f>
        <v>0</v>
      </c>
      <c r="B156" s="885" t="str">
        <f t="shared" si="44"/>
        <v>Surrey</v>
      </c>
      <c r="C156" s="896"/>
      <c r="D156" s="922" t="e">
        <f t="shared" si="45"/>
        <v>#N/A</v>
      </c>
      <c r="E156" s="922" t="e">
        <f t="shared" si="46"/>
        <v>#N/A</v>
      </c>
      <c r="F156" s="922" t="e">
        <f t="shared" si="47"/>
        <v>#N/A</v>
      </c>
      <c r="G156" s="922" t="e">
        <f t="shared" si="48"/>
        <v>#N/A</v>
      </c>
      <c r="H156" s="923" t="e">
        <f t="shared" si="49"/>
        <v>#N/A</v>
      </c>
      <c r="I156" s="68"/>
      <c r="J156" s="68"/>
      <c r="K156" s="127"/>
      <c r="L156" s="127"/>
      <c r="M156" s="127"/>
      <c r="N156" s="127"/>
      <c r="O156" s="127"/>
      <c r="P156" s="127"/>
      <c r="Q156" s="127"/>
      <c r="R156" s="128"/>
      <c r="S156" s="120"/>
      <c r="T156" s="127"/>
      <c r="U156" s="89"/>
      <c r="V156" s="103"/>
      <c r="W156" s="115"/>
      <c r="X156" s="352" t="str">
        <f t="shared" si="50"/>
        <v>Surrey</v>
      </c>
      <c r="Y156" s="355" t="str">
        <f>IF(Year1_Surrey Year1_LAC_Remanded="","",Year1_Surrey Year1_LAC_Remanded)</f>
        <v>x</v>
      </c>
      <c r="Z156" s="248" t="str">
        <f>IF(Year2_Surrey Year2_LAC_Remanded="","",Year2_Surrey Year2_LAC_Remanded)</f>
        <v>x</v>
      </c>
      <c r="AA156" s="248" t="str">
        <f>IF(Year3_Surrey Year3_LAC_Remanded="","",Year3_Surrey Year3_LAC_Remanded)</f>
        <v>c</v>
      </c>
      <c r="AB156" s="248" t="str">
        <f>IF(Year4_Surrey Year4_LAC_Remanded="","",Year4_Surrey Year4_LAC_Remanded)</f>
        <v>c</v>
      </c>
      <c r="AC156" s="352" t="str">
        <f>IF(Year5_Surrey Year5_LAC_Remanded="","",Year5_Surrey Year5_LAC_Remanded)</f>
        <v>c</v>
      </c>
      <c r="AD156" s="249"/>
      <c r="AE156" s="250"/>
      <c r="AF156" s="251"/>
      <c r="AG156" s="251"/>
      <c r="AH156" s="251"/>
      <c r="AI156" s="56"/>
      <c r="AJ156" s="122"/>
    </row>
    <row r="157" spans="1:44" s="61" customFormat="1" ht="13.5" customHeight="1">
      <c r="A157" s="1103">
        <f>VLOOKUP(B157,ReportData!$AQ$4:$AR$25,2,FALSE)</f>
        <v>0</v>
      </c>
      <c r="B157" s="885" t="str">
        <f t="shared" si="44"/>
        <v>West Berkshire</v>
      </c>
      <c r="C157" s="896"/>
      <c r="D157" s="922" t="e">
        <f t="shared" si="45"/>
        <v>#N/A</v>
      </c>
      <c r="E157" s="922">
        <f t="shared" si="46"/>
        <v>0</v>
      </c>
      <c r="F157" s="922">
        <f t="shared" si="47"/>
        <v>0</v>
      </c>
      <c r="G157" s="922">
        <f t="shared" si="48"/>
        <v>0</v>
      </c>
      <c r="H157" s="923" t="e">
        <f t="shared" si="49"/>
        <v>#N/A</v>
      </c>
      <c r="I157" s="68"/>
      <c r="J157" s="68"/>
      <c r="K157" s="127"/>
      <c r="L157" s="127"/>
      <c r="M157" s="127"/>
      <c r="N157" s="127"/>
      <c r="O157" s="127"/>
      <c r="P157" s="127"/>
      <c r="Q157" s="127"/>
      <c r="R157" s="128"/>
      <c r="S157" s="120"/>
      <c r="T157" s="127"/>
      <c r="U157" s="89"/>
      <c r="V157" s="103"/>
      <c r="W157" s="115"/>
      <c r="X157" s="352" t="str">
        <f t="shared" si="50"/>
        <v>West Berkshire</v>
      </c>
      <c r="Y157" s="355" t="str">
        <f>IF(Year1_West_Berkshire Year1_LAC_Remanded="","",Year1_West_Berkshire Year1_LAC_Remanded)</f>
        <v>x</v>
      </c>
      <c r="Z157" s="248">
        <f>IF(Year2_West_Berkshire Year2_LAC_Remanded="","",Year2_West_Berkshire Year2_LAC_Remanded)</f>
        <v>0</v>
      </c>
      <c r="AA157" s="248">
        <f>IF(Year3_West_Berkshire Year3_LAC_Remanded="","",Year3_West_Berkshire Year3_LAC_Remanded)</f>
        <v>0</v>
      </c>
      <c r="AB157" s="248">
        <f>IF(Year4_West_Berkshire Year4_LAC_Remanded="","",Year4_West_Berkshire Year4_LAC_Remanded)</f>
        <v>0</v>
      </c>
      <c r="AC157" s="352" t="str">
        <f>IF(Year5_West_Berkshire Year5_LAC_Remanded="","",Year5_West_Berkshire Year5_LAC_Remanded)</f>
        <v>c</v>
      </c>
      <c r="AD157" s="249"/>
      <c r="AE157" s="250"/>
      <c r="AF157" s="251"/>
      <c r="AG157" s="251"/>
      <c r="AH157" s="251"/>
      <c r="AI157" s="56"/>
      <c r="AJ157" s="122"/>
    </row>
    <row r="158" spans="1:44" s="61" customFormat="1" ht="13.5" customHeight="1">
      <c r="A158" s="1103">
        <f>VLOOKUP(B158,ReportData!$AQ$4:$AR$25,2,FALSE)</f>
        <v>0</v>
      </c>
      <c r="B158" s="885" t="str">
        <f t="shared" si="44"/>
        <v>West Sussex</v>
      </c>
      <c r="C158" s="896"/>
      <c r="D158" s="922" t="e">
        <f t="shared" si="45"/>
        <v>#N/A</v>
      </c>
      <c r="E158" s="922" t="e">
        <f t="shared" si="46"/>
        <v>#N/A</v>
      </c>
      <c r="F158" s="922" t="e">
        <f t="shared" si="47"/>
        <v>#N/A</v>
      </c>
      <c r="G158" s="922" t="e">
        <f t="shared" si="48"/>
        <v>#N/A</v>
      </c>
      <c r="H158" s="923" t="e">
        <f t="shared" si="49"/>
        <v>#N/A</v>
      </c>
      <c r="I158" s="68"/>
      <c r="J158" s="68"/>
      <c r="K158" s="127"/>
      <c r="L158" s="127"/>
      <c r="M158" s="127"/>
      <c r="N158" s="127"/>
      <c r="O158" s="127"/>
      <c r="P158" s="127"/>
      <c r="Q158" s="127"/>
      <c r="R158" s="128"/>
      <c r="S158" s="120"/>
      <c r="T158" s="127"/>
      <c r="U158" s="89"/>
      <c r="V158" s="103"/>
      <c r="W158" s="115"/>
      <c r="X158" s="352" t="str">
        <f t="shared" si="50"/>
        <v>West Sussex</v>
      </c>
      <c r="Y158" s="355" t="str">
        <f>IF(Year1_West_Sussex Year1_LAC_Remanded="","",Year1_West_Sussex Year1_LAC_Remanded)</f>
        <v>x</v>
      </c>
      <c r="Z158" s="248" t="str">
        <f>IF(Year2_West_Sussex Year2_LAC_Remanded="","",Year2_West_Sussex Year2_LAC_Remanded)</f>
        <v>x</v>
      </c>
      <c r="AA158" s="248" t="str">
        <f>IF(Year3_West_Sussex Year3_LAC_Remanded="","",Year3_West_Sussex Year3_LAC_Remanded)</f>
        <v>c</v>
      </c>
      <c r="AB158" s="248" t="str">
        <f>IF(Year4_West_Sussex Year4_LAC_Remanded="","",Year4_West_Sussex Year4_LAC_Remanded)</f>
        <v>c</v>
      </c>
      <c r="AC158" s="352" t="str">
        <f>IF(Year5_West_Sussex Year5_LAC_Remanded="","",Year5_West_Sussex Year5_LAC_Remanded)</f>
        <v>c</v>
      </c>
      <c r="AD158" s="249"/>
      <c r="AE158" s="250"/>
      <c r="AF158" s="251"/>
      <c r="AG158" s="251"/>
      <c r="AH158" s="251"/>
      <c r="AI158" s="56"/>
      <c r="AJ158" s="121"/>
    </row>
    <row r="159" spans="1:44" s="61" customFormat="1" ht="13.5" customHeight="1">
      <c r="A159" s="1103">
        <f>VLOOKUP(B159,ReportData!$AQ$4:$AR$25,2,FALSE)</f>
        <v>0</v>
      </c>
      <c r="B159" s="885" t="str">
        <f t="shared" si="44"/>
        <v>Windsor &amp; Maidenhead</v>
      </c>
      <c r="C159" s="896"/>
      <c r="D159" s="922">
        <f t="shared" si="45"/>
        <v>0</v>
      </c>
      <c r="E159" s="922">
        <f t="shared" si="46"/>
        <v>0</v>
      </c>
      <c r="F159" s="922">
        <f t="shared" si="47"/>
        <v>0</v>
      </c>
      <c r="G159" s="922" t="e">
        <f t="shared" si="48"/>
        <v>#N/A</v>
      </c>
      <c r="H159" s="923">
        <f t="shared" si="49"/>
        <v>0</v>
      </c>
      <c r="I159" s="68"/>
      <c r="J159" s="68"/>
      <c r="K159" s="127"/>
      <c r="L159" s="127"/>
      <c r="M159" s="127"/>
      <c r="N159" s="127"/>
      <c r="O159" s="127"/>
      <c r="P159" s="127"/>
      <c r="Q159" s="127"/>
      <c r="R159" s="128"/>
      <c r="S159" s="120"/>
      <c r="T159" s="127"/>
      <c r="U159" s="89"/>
      <c r="V159" s="103"/>
      <c r="W159" s="115"/>
      <c r="X159" s="352" t="str">
        <f t="shared" si="50"/>
        <v>Windsor &amp; Maidenhead</v>
      </c>
      <c r="Y159" s="355">
        <f>IF(Year1_Windsor_and_Maidenhead Year1_LAC_Remanded="","",Year1_Windsor_and_Maidenhead Year1_LAC_Remanded)</f>
        <v>0</v>
      </c>
      <c r="Z159" s="248">
        <f>IF(Year2_Windsor_and_Maidenhead Year2_LAC_Remanded="","",Year2_Windsor_and_Maidenhead Year2_LAC_Remanded)</f>
        <v>0</v>
      </c>
      <c r="AA159" s="248">
        <f>IF(Year3_Windsor_and_Maidenhead Year3_LAC_Remanded="","",Year3_Windsor_and_Maidenhead Year3_LAC_Remanded)</f>
        <v>0</v>
      </c>
      <c r="AB159" s="248" t="str">
        <f>IF(Year4_Windsor_and_Maidenhead Year4_LAC_Remanded="","",Year4_Windsor_and_Maidenhead Year4_LAC_Remanded)</f>
        <v>c</v>
      </c>
      <c r="AC159" s="352">
        <f>IF(Year5_Windsor_and_Maidenhead Year5_LAC_Remanded="","",Year5_Windsor_and_Maidenhead Year5_LAC_Remanded)</f>
        <v>0</v>
      </c>
      <c r="AD159" s="249"/>
      <c r="AE159" s="250"/>
      <c r="AF159" s="251"/>
      <c r="AG159" s="251"/>
      <c r="AH159" s="251"/>
      <c r="AI159" s="56"/>
      <c r="AJ159" s="122"/>
    </row>
    <row r="160" spans="1:44" s="61" customFormat="1" ht="13.5" customHeight="1">
      <c r="A160" s="1103">
        <f>VLOOKUP(B160,ReportData!$AQ$4:$AR$25,2,FALSE)</f>
        <v>0</v>
      </c>
      <c r="B160" s="885" t="str">
        <f t="shared" si="44"/>
        <v>Wokingham</v>
      </c>
      <c r="C160" s="896"/>
      <c r="D160" s="922">
        <f t="shared" si="45"/>
        <v>0</v>
      </c>
      <c r="E160" s="922" t="e">
        <f t="shared" si="46"/>
        <v>#N/A</v>
      </c>
      <c r="F160" s="922" t="e">
        <f t="shared" si="47"/>
        <v>#N/A</v>
      </c>
      <c r="G160" s="922">
        <f t="shared" si="48"/>
        <v>0</v>
      </c>
      <c r="H160" s="923">
        <f t="shared" si="49"/>
        <v>0</v>
      </c>
      <c r="I160" s="68"/>
      <c r="J160" s="68"/>
      <c r="K160" s="127"/>
      <c r="L160" s="127"/>
      <c r="M160" s="127"/>
      <c r="N160" s="127"/>
      <c r="O160" s="127"/>
      <c r="P160" s="127"/>
      <c r="Q160" s="127"/>
      <c r="R160" s="128"/>
      <c r="S160" s="120"/>
      <c r="T160" s="127"/>
      <c r="U160" s="89"/>
      <c r="V160" s="103"/>
      <c r="W160" s="115"/>
      <c r="X160" s="352" t="str">
        <f t="shared" si="50"/>
        <v>Wokingham</v>
      </c>
      <c r="Y160" s="355">
        <f>IF(Year1_Wokingham Year1_LAC_Remanded="","",Year1_Wokingham Year1_LAC_Remanded)</f>
        <v>0</v>
      </c>
      <c r="Z160" s="248" t="str">
        <f>IF(Year2_Wokingham Year2_LAC_Remanded="","",Year2_Wokingham Year2_LAC_Remanded)</f>
        <v>x</v>
      </c>
      <c r="AA160" s="248" t="str">
        <f>IF(Year3_Wokingham Year3_LAC_Remanded="","",Year3_Wokingham Year3_LAC_Remanded)</f>
        <v>c</v>
      </c>
      <c r="AB160" s="248">
        <f>IF(Year4_Wokingham Year4_LAC_Remanded="","",Year4_Wokingham Year4_LAC_Remanded)</f>
        <v>0</v>
      </c>
      <c r="AC160" s="352">
        <f>IF(Year5_Wokingham Year5_LAC_Remanded="","",Year5_Wokingham Year5_LAC_Remanded)</f>
        <v>0</v>
      </c>
      <c r="AD160" s="249"/>
      <c r="AE160" s="250"/>
      <c r="AF160" s="251"/>
      <c r="AG160" s="251"/>
      <c r="AH160" s="251"/>
      <c r="AI160" s="56"/>
      <c r="AJ160" s="121"/>
    </row>
    <row r="161" spans="1:76" s="61" customFormat="1" ht="13.5" customHeight="1">
      <c r="A161" s="1103"/>
      <c r="B161" s="886" t="str">
        <f t="shared" si="44"/>
        <v>South East</v>
      </c>
      <c r="C161" s="896"/>
      <c r="D161" s="924">
        <f t="shared" si="45"/>
        <v>1.3698630136986301E-2</v>
      </c>
      <c r="E161" s="924">
        <f t="shared" si="46"/>
        <v>9.0415913200723331E-3</v>
      </c>
      <c r="F161" s="924">
        <f t="shared" si="47"/>
        <v>7.8339208773991389E-3</v>
      </c>
      <c r="G161" s="924">
        <f t="shared" si="48"/>
        <v>8.9928057553956831E-3</v>
      </c>
      <c r="H161" s="925">
        <f t="shared" si="49"/>
        <v>1.1164274322169059E-2</v>
      </c>
      <c r="I161" s="68"/>
      <c r="J161" s="68"/>
      <c r="K161" s="129"/>
      <c r="L161" s="129"/>
      <c r="M161" s="129"/>
      <c r="N161" s="129"/>
      <c r="O161" s="129"/>
      <c r="P161" s="129"/>
      <c r="Q161" s="129"/>
      <c r="R161" s="130"/>
      <c r="S161" s="120"/>
      <c r="T161" s="131"/>
      <c r="U161" s="89"/>
      <c r="V161" s="103"/>
      <c r="W161" s="115"/>
      <c r="X161" s="352" t="str">
        <f t="shared" si="50"/>
        <v>South East</v>
      </c>
      <c r="Y161" s="252">
        <f>IF(Year1_South_East Year1_LAC_Remanded="","",Year1_South_East Year1_LAC_Remanded)</f>
        <v>60</v>
      </c>
      <c r="Z161" s="248">
        <f>IF(Year2_South_East Year2_LAC_Remanded="","",Year2_South_East Year2_LAC_Remanded)</f>
        <v>40</v>
      </c>
      <c r="AA161" s="248">
        <f>IF(Year3_South_East Year3_LAC_Remanded="","",Year3_South_East Year3_LAC_Remanded)</f>
        <v>40</v>
      </c>
      <c r="AB161" s="248">
        <f>IF(Year4_South_East Year4_LAC_Remanded="","",Year4_South_East Year4_LAC_Remanded)</f>
        <v>50</v>
      </c>
      <c r="AC161" s="352">
        <f>IF(Year5_South_East Year5_LAC_Remanded="","",Year5_South_East Year5_LAC_Remanded)</f>
        <v>70</v>
      </c>
      <c r="AD161" s="584"/>
      <c r="AH161" s="141"/>
      <c r="AJ161" s="121"/>
    </row>
    <row r="162" spans="1:76" s="61" customFormat="1" ht="13.5" customHeight="1">
      <c r="A162" s="1103"/>
      <c r="B162" s="887" t="str">
        <f t="shared" si="44"/>
        <v>England</v>
      </c>
      <c r="C162" s="896"/>
      <c r="D162" s="926">
        <f t="shared" si="45"/>
        <v>2.292541168873103E-2</v>
      </c>
      <c r="E162" s="926">
        <f t="shared" si="46"/>
        <v>1.8635724331926864E-2</v>
      </c>
      <c r="F162" s="926">
        <f t="shared" si="47"/>
        <v>1.5156401160915834E-2</v>
      </c>
      <c r="G162" s="926">
        <f t="shared" si="48"/>
        <v>1.4242424242424242E-2</v>
      </c>
      <c r="H162" s="927">
        <f t="shared" si="49"/>
        <v>1.5128593040847202E-2</v>
      </c>
      <c r="I162" s="68"/>
      <c r="J162" s="68"/>
      <c r="K162" s="129"/>
      <c r="L162" s="129"/>
      <c r="M162" s="129"/>
      <c r="N162" s="129"/>
      <c r="O162" s="129"/>
      <c r="P162" s="129"/>
      <c r="Q162" s="129"/>
      <c r="R162" s="130"/>
      <c r="S162" s="120"/>
      <c r="T162" s="131"/>
      <c r="U162" s="89"/>
      <c r="V162" s="103"/>
      <c r="W162" s="114"/>
      <c r="X162" s="352" t="str">
        <f t="shared" si="50"/>
        <v>England</v>
      </c>
      <c r="Y162" s="252">
        <f>IF(Year1_England Year1_LAC_Remanded="","",Year1_England Year1_LAC_Remanded)</f>
        <v>710</v>
      </c>
      <c r="Z162" s="248">
        <f>IF(Year2_England Year2_LAC_Remanded="","",Year2_England Year2_LAC_Remanded)</f>
        <v>530</v>
      </c>
      <c r="AA162" s="248">
        <f>IF(Year3_England Year3_LAC_Remanded="","",Year3_England Year3_LAC_Remanded)</f>
        <v>470</v>
      </c>
      <c r="AB162" s="248">
        <f>IF(Year4_England Year4_LAC_Remanded="","",Year4_England Year4_LAC_Remanded)</f>
        <v>470</v>
      </c>
      <c r="AC162" s="352">
        <f>IF(Year5_England Year5_LAC_Remanded="","",Year5_England Year5_LAC_Remanded)</f>
        <v>500</v>
      </c>
      <c r="AD162" s="584"/>
      <c r="AE162" s="52"/>
      <c r="AF162" s="52"/>
      <c r="AG162" s="52"/>
      <c r="AH162" s="56"/>
      <c r="AI162" s="52"/>
      <c r="AJ162" s="122"/>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row>
    <row r="163" spans="1:76" s="61" customFormat="1" ht="6.75" customHeight="1">
      <c r="A163" s="217"/>
      <c r="B163" s="68"/>
      <c r="C163" s="68"/>
      <c r="D163" s="68"/>
      <c r="E163" s="68"/>
      <c r="F163" s="68"/>
      <c r="G163" s="68"/>
      <c r="H163" s="68"/>
      <c r="I163" s="68"/>
      <c r="J163" s="68"/>
      <c r="K163" s="129"/>
      <c r="L163" s="129"/>
      <c r="M163" s="129"/>
      <c r="N163" s="129"/>
      <c r="O163" s="129"/>
      <c r="P163" s="129"/>
      <c r="Q163" s="129"/>
      <c r="R163" s="130"/>
      <c r="S163" s="120"/>
      <c r="T163" s="131"/>
      <c r="U163" s="89"/>
      <c r="V163" s="103"/>
      <c r="W163" s="759"/>
      <c r="X163" s="251"/>
      <c r="Y163" s="250"/>
      <c r="Z163" s="251"/>
      <c r="AA163" s="251"/>
      <c r="AB163" s="251"/>
      <c r="AC163" s="251"/>
      <c r="AD163" s="584"/>
      <c r="AE163" s="763"/>
      <c r="AF163" s="763"/>
      <c r="AG163" s="763"/>
      <c r="AH163" s="760"/>
      <c r="AI163" s="763"/>
      <c r="AJ163" s="764"/>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row>
    <row r="164" spans="1:76" s="56" customFormat="1" ht="41.25" customHeight="1">
      <c r="A164" s="166"/>
      <c r="B164" s="171"/>
      <c r="C164" s="171"/>
      <c r="D164" s="171"/>
      <c r="E164" s="171"/>
      <c r="F164" s="171"/>
      <c r="G164" s="171"/>
      <c r="H164" s="171"/>
      <c r="I164" s="171"/>
      <c r="J164" s="133"/>
      <c r="K164" s="133"/>
      <c r="L164" s="133"/>
      <c r="M164" s="133"/>
      <c r="N164" s="133"/>
      <c r="O164" s="133"/>
      <c r="P164" s="133"/>
      <c r="Q164" s="133"/>
      <c r="R164" s="101"/>
      <c r="S164" s="133"/>
      <c r="T164" s="133"/>
      <c r="U164" s="86"/>
      <c r="V164" s="102"/>
      <c r="W164" s="759"/>
      <c r="X164" s="251"/>
      <c r="Y164" s="250"/>
      <c r="Z164" s="251"/>
      <c r="AA164" s="251"/>
      <c r="AB164" s="251"/>
      <c r="AC164" s="251"/>
      <c r="AD164" s="584"/>
      <c r="AE164" s="763"/>
      <c r="AF164" s="763"/>
      <c r="AG164" s="763"/>
      <c r="AH164" s="760"/>
      <c r="AI164" s="763"/>
      <c r="AJ164" s="764"/>
    </row>
    <row r="165" spans="1:76" s="56" customFormat="1" ht="41.25" customHeight="1">
      <c r="A165" s="166"/>
      <c r="B165" s="171"/>
      <c r="C165" s="171"/>
      <c r="D165" s="171"/>
      <c r="E165" s="171"/>
      <c r="F165" s="171"/>
      <c r="G165" s="171"/>
      <c r="H165" s="171"/>
      <c r="I165" s="171"/>
      <c r="J165" s="133"/>
      <c r="K165" s="133"/>
      <c r="L165" s="133"/>
      <c r="M165" s="133"/>
      <c r="N165" s="133"/>
      <c r="O165" s="133"/>
      <c r="P165" s="133"/>
      <c r="Q165" s="133"/>
      <c r="R165" s="101"/>
      <c r="S165" s="133"/>
      <c r="T165" s="133"/>
      <c r="U165" s="86"/>
      <c r="V165" s="102"/>
      <c r="W165" s="759"/>
      <c r="X165" s="251"/>
      <c r="Y165" s="250"/>
      <c r="Z165" s="251"/>
      <c r="AA165" s="251"/>
      <c r="AB165" s="251"/>
      <c r="AC165" s="251"/>
      <c r="AD165" s="251"/>
      <c r="AE165" s="760"/>
      <c r="AF165" s="760"/>
      <c r="AG165" s="760"/>
      <c r="AH165" s="760"/>
      <c r="AI165" s="763"/>
      <c r="AJ165" s="765"/>
      <c r="AK165" s="52"/>
      <c r="AL165" s="52"/>
      <c r="AM165" s="52"/>
      <c r="AN165" s="52"/>
      <c r="AO165" s="52"/>
      <c r="AP165" s="52"/>
      <c r="AQ165" s="52"/>
    </row>
    <row r="166" spans="1:76" s="56" customFormat="1" ht="41.25" customHeight="1">
      <c r="A166" s="166"/>
      <c r="B166" s="171"/>
      <c r="C166" s="171"/>
      <c r="D166" s="171"/>
      <c r="E166" s="171"/>
      <c r="F166" s="171"/>
      <c r="G166" s="171"/>
      <c r="H166" s="171"/>
      <c r="I166" s="171"/>
      <c r="J166" s="133"/>
      <c r="K166" s="133"/>
      <c r="L166" s="133"/>
      <c r="M166" s="133"/>
      <c r="N166" s="133"/>
      <c r="O166" s="133"/>
      <c r="P166" s="133"/>
      <c r="Q166" s="133"/>
      <c r="R166" s="101"/>
      <c r="S166" s="133"/>
      <c r="T166" s="133"/>
      <c r="U166" s="86"/>
      <c r="V166" s="121"/>
      <c r="W166" s="759"/>
      <c r="X166" s="251"/>
      <c r="Y166" s="250"/>
      <c r="Z166" s="251"/>
      <c r="AA166" s="251"/>
      <c r="AB166" s="251"/>
      <c r="AC166" s="251"/>
      <c r="AD166" s="251"/>
      <c r="AE166" s="760"/>
      <c r="AF166" s="760"/>
      <c r="AG166" s="760"/>
      <c r="AH166" s="760"/>
      <c r="AI166" s="760"/>
      <c r="AJ166" s="764"/>
      <c r="AS166" s="52"/>
    </row>
    <row r="167" spans="1:76" s="56" customFormat="1" ht="7.5" customHeight="1">
      <c r="A167" s="87"/>
      <c r="B167" s="12"/>
      <c r="C167" s="12"/>
      <c r="D167" s="11"/>
      <c r="E167" s="11"/>
      <c r="F167" s="11"/>
      <c r="G167" s="11"/>
      <c r="H167" s="11"/>
      <c r="I167" s="11"/>
      <c r="J167" s="1"/>
      <c r="K167" s="13"/>
      <c r="L167" s="13"/>
      <c r="M167" s="13"/>
      <c r="N167" s="13"/>
      <c r="O167" s="13"/>
      <c r="P167" s="13"/>
      <c r="Q167" s="13"/>
      <c r="R167" s="13"/>
      <c r="S167" s="13"/>
      <c r="T167" s="14"/>
      <c r="U167" s="86"/>
      <c r="V167" s="185"/>
      <c r="W167" s="759"/>
      <c r="X167" s="251"/>
      <c r="Y167" s="250"/>
      <c r="Z167" s="251"/>
      <c r="AA167" s="251"/>
      <c r="AB167" s="251"/>
      <c r="AC167" s="251"/>
      <c r="AD167" s="251"/>
      <c r="AE167" s="760"/>
      <c r="AF167" s="760"/>
      <c r="AG167" s="760"/>
      <c r="AH167" s="760"/>
      <c r="AI167" s="763"/>
      <c r="AJ167" s="766"/>
      <c r="AK167" s="52"/>
      <c r="AL167" s="52"/>
      <c r="AM167" s="52"/>
      <c r="AN167" s="52"/>
      <c r="AO167" s="52"/>
      <c r="AP167" s="52"/>
      <c r="AQ167" s="52">
        <v>0</v>
      </c>
      <c r="AR167" s="52"/>
      <c r="AS167" s="52"/>
      <c r="AT167" s="52"/>
      <c r="AU167" s="52"/>
      <c r="AV167" s="52"/>
      <c r="AW167" s="52"/>
    </row>
    <row r="168" spans="1:76" s="56" customFormat="1" ht="15" customHeight="1">
      <c r="A168" s="1565"/>
      <c r="B168" s="1751"/>
      <c r="C168" s="1751"/>
      <c r="D168" s="1751"/>
      <c r="E168" s="1751"/>
      <c r="F168" s="1751"/>
      <c r="G168" s="1751"/>
      <c r="H168" s="1751"/>
      <c r="I168" s="1751"/>
      <c r="J168" s="1751"/>
      <c r="K168" s="1751"/>
      <c r="L168" s="1751"/>
      <c r="M168" s="1751"/>
      <c r="N168" s="1751"/>
      <c r="O168" s="1751"/>
      <c r="P168" s="1751"/>
      <c r="Q168" s="1751"/>
      <c r="R168" s="1751"/>
      <c r="S168" s="1751"/>
      <c r="T168" s="1751"/>
      <c r="U168" s="1752"/>
      <c r="V168" s="185"/>
      <c r="W168" s="759"/>
      <c r="X168" s="251"/>
      <c r="Y168" s="250"/>
      <c r="Z168" s="251"/>
      <c r="AA168" s="251"/>
      <c r="AB168" s="251"/>
      <c r="AC168" s="251"/>
      <c r="AD168" s="251"/>
      <c r="AE168" s="760"/>
      <c r="AF168" s="760"/>
      <c r="AG168" s="760"/>
      <c r="AH168" s="760"/>
      <c r="AI168" s="763"/>
      <c r="AJ168" s="765"/>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row>
    <row r="169" spans="1:76" s="56" customFormat="1" ht="11.25" customHeight="1">
      <c r="A169" s="1739"/>
      <c r="B169" s="1740"/>
      <c r="C169" s="1740"/>
      <c r="D169" s="1740"/>
      <c r="E169" s="1740"/>
      <c r="F169" s="1740"/>
      <c r="G169" s="1740"/>
      <c r="H169" s="1740"/>
      <c r="I169" s="1741"/>
      <c r="J169" s="1740"/>
      <c r="K169" s="1740"/>
      <c r="L169" s="1740"/>
      <c r="M169" s="1740"/>
      <c r="N169" s="1740"/>
      <c r="O169" s="1740"/>
      <c r="P169" s="1742"/>
      <c r="Q169" s="1740"/>
      <c r="R169" s="1740"/>
      <c r="S169" s="1741"/>
      <c r="T169" s="1740"/>
      <c r="U169" s="1743"/>
      <c r="V169" s="185"/>
      <c r="W169" s="759"/>
      <c r="X169" s="251"/>
      <c r="Y169" s="250"/>
      <c r="Z169" s="251"/>
      <c r="AA169" s="251"/>
      <c r="AB169" s="251"/>
      <c r="AC169" s="251"/>
      <c r="AD169" s="251"/>
      <c r="AE169" s="760"/>
      <c r="AF169" s="760"/>
      <c r="AG169" s="760"/>
      <c r="AH169" s="760"/>
      <c r="AI169" s="763"/>
      <c r="AJ169" s="765"/>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row>
    <row r="170" spans="1:76" ht="18.75" customHeight="1">
      <c r="A170" s="81"/>
      <c r="B170" s="82"/>
      <c r="C170" s="82"/>
      <c r="D170" s="82"/>
      <c r="E170" s="82"/>
      <c r="F170" s="82"/>
      <c r="G170" s="82"/>
      <c r="H170" s="82"/>
      <c r="I170" s="82"/>
      <c r="J170" s="83"/>
      <c r="K170" s="82"/>
      <c r="L170" s="82"/>
      <c r="M170" s="82"/>
      <c r="N170" s="82"/>
      <c r="O170" s="82"/>
      <c r="P170" s="82"/>
      <c r="Q170" s="82"/>
      <c r="R170" s="82"/>
      <c r="S170" s="82"/>
      <c r="T170" s="82"/>
      <c r="U170" s="84"/>
      <c r="V170" s="185"/>
      <c r="W170" s="759"/>
      <c r="Y170" s="250"/>
      <c r="AE170" s="760"/>
      <c r="AF170" s="760"/>
      <c r="AG170" s="760"/>
      <c r="AH170" s="760"/>
      <c r="AI170" s="763"/>
      <c r="AJ170" s="765"/>
      <c r="AQ170" s="52">
        <v>0</v>
      </c>
    </row>
    <row r="171" spans="1:76" ht="18.75" customHeight="1">
      <c r="A171" s="208"/>
      <c r="B171" s="95" t="s">
        <v>647</v>
      </c>
      <c r="C171" s="5"/>
      <c r="D171" s="5"/>
      <c r="E171" s="5"/>
      <c r="F171" s="5"/>
      <c r="G171" s="5"/>
      <c r="H171" s="5"/>
      <c r="I171" s="5"/>
      <c r="J171" s="1"/>
      <c r="K171" s="5"/>
      <c r="L171" s="5"/>
      <c r="M171" s="5"/>
      <c r="N171" s="5"/>
      <c r="O171" s="5"/>
      <c r="P171" s="5"/>
      <c r="Q171" s="5"/>
      <c r="R171" s="5"/>
      <c r="S171" s="5"/>
      <c r="T171" s="5"/>
      <c r="U171" s="86"/>
      <c r="V171" s="185"/>
      <c r="W171" s="759"/>
      <c r="AE171" s="760"/>
      <c r="AF171" s="760"/>
      <c r="AG171" s="760"/>
      <c r="AH171" s="760"/>
      <c r="AI171" s="763"/>
      <c r="AJ171" s="765"/>
    </row>
    <row r="172" spans="1:76" ht="18.75" customHeight="1">
      <c r="A172" s="1258"/>
      <c r="B172" s="1252"/>
      <c r="C172" s="1252"/>
      <c r="D172" s="1252"/>
      <c r="E172" s="1252"/>
      <c r="F172" s="1252"/>
      <c r="G172" s="1252"/>
      <c r="H172" s="1252"/>
      <c r="I172" s="1252"/>
      <c r="J172" s="1259"/>
      <c r="K172" s="1252"/>
      <c r="L172" s="1252"/>
      <c r="M172" s="1252"/>
      <c r="N172" s="1252"/>
      <c r="O172" s="1252"/>
      <c r="P172" s="1252"/>
      <c r="Q172" s="1252"/>
      <c r="R172" s="1252"/>
      <c r="S172" s="1252"/>
      <c r="T172" s="1252"/>
      <c r="U172" s="1260"/>
      <c r="V172" s="185"/>
      <c r="W172" s="759"/>
      <c r="AB172" s="784"/>
      <c r="AC172" s="784"/>
      <c r="AD172" s="784"/>
      <c r="AE172" s="763"/>
      <c r="AF172" s="763"/>
      <c r="AG172" s="763"/>
      <c r="AH172" s="763"/>
      <c r="AI172" s="763"/>
      <c r="AJ172" s="765"/>
    </row>
    <row r="173" spans="1:76" ht="11.25" customHeight="1">
      <c r="A173" s="81"/>
      <c r="B173" s="82"/>
      <c r="C173" s="82"/>
      <c r="D173" s="82"/>
      <c r="E173" s="82"/>
      <c r="F173" s="82"/>
      <c r="G173" s="82"/>
      <c r="H173" s="82"/>
      <c r="I173" s="82"/>
      <c r="J173" s="83"/>
      <c r="K173" s="82"/>
      <c r="L173" s="82"/>
      <c r="M173" s="82"/>
      <c r="N173" s="82"/>
      <c r="O173" s="82"/>
      <c r="P173" s="82"/>
      <c r="Q173" s="82"/>
      <c r="R173" s="82"/>
      <c r="S173" s="82"/>
      <c r="T173" s="82"/>
      <c r="U173" s="84"/>
      <c r="V173" s="102"/>
      <c r="W173" s="759"/>
      <c r="Y173" s="250"/>
      <c r="AE173" s="760"/>
      <c r="AF173" s="760"/>
      <c r="AG173" s="760"/>
      <c r="AH173" s="760"/>
      <c r="AI173" s="763"/>
      <c r="AJ173" s="765"/>
    </row>
    <row r="174" spans="1:76" ht="18.75" customHeight="1">
      <c r="A174" s="208"/>
      <c r="B174" s="1900" t="str">
        <f>"Number of Children who Ceased to be Looked After in"&amp;$Y1&amp;" [RIIA218]"</f>
        <v>Number of Children who Ceased to be Looked After in the year ending 31st March [RIIA218]</v>
      </c>
      <c r="C174" s="1900"/>
      <c r="D174" s="1900"/>
      <c r="E174" s="1900"/>
      <c r="F174" s="1900"/>
      <c r="G174" s="1900"/>
      <c r="H174" s="1900"/>
      <c r="I174" s="1900"/>
      <c r="J174" s="1900"/>
      <c r="K174" s="1900"/>
      <c r="L174" s="1900"/>
      <c r="M174" s="1900"/>
      <c r="N174" s="1900"/>
      <c r="O174" s="1900"/>
      <c r="P174" s="1900"/>
      <c r="Q174" s="1900"/>
      <c r="R174" s="1900"/>
      <c r="S174" s="1900"/>
      <c r="T174" s="1900"/>
      <c r="U174" s="86"/>
      <c r="V174" s="102"/>
      <c r="W174" s="767"/>
      <c r="AI174" s="768"/>
      <c r="AJ174" s="766"/>
      <c r="AK174" s="52" t="str">
        <f>CONCATENATE($I$7,"in Number of "&amp;$B174)</f>
        <v>Average Annual Change in Number of Number of Children who Ceased to be Looked After in the year ending 31st March [RIIA218]</v>
      </c>
      <c r="AQ174" s="530" t="s">
        <v>604</v>
      </c>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row>
    <row r="175" spans="1:76" ht="18.75" customHeight="1">
      <c r="A175" s="208"/>
      <c r="B175" s="1900"/>
      <c r="C175" s="1900"/>
      <c r="D175" s="1900"/>
      <c r="E175" s="1900"/>
      <c r="F175" s="1900"/>
      <c r="G175" s="1900"/>
      <c r="H175" s="1900"/>
      <c r="I175" s="1900"/>
      <c r="J175" s="1900"/>
      <c r="K175" s="1900"/>
      <c r="L175" s="1900"/>
      <c r="M175" s="1900"/>
      <c r="N175" s="1900"/>
      <c r="O175" s="1900"/>
      <c r="P175" s="1900"/>
      <c r="Q175" s="1900"/>
      <c r="R175" s="1900"/>
      <c r="S175" s="1900"/>
      <c r="T175" s="1900"/>
      <c r="U175" s="86"/>
      <c r="V175" s="102"/>
      <c r="W175" s="767"/>
      <c r="X175" s="585"/>
      <c r="Y175" s="585"/>
      <c r="Z175" s="585"/>
      <c r="AA175" s="376" t="s">
        <v>76</v>
      </c>
      <c r="AB175" s="250"/>
      <c r="AC175" s="250"/>
      <c r="AD175" s="584"/>
      <c r="AE175" s="762"/>
      <c r="AF175" s="769" t="s">
        <v>88</v>
      </c>
      <c r="AG175" s="761"/>
      <c r="AH175" s="761"/>
      <c r="AI175" s="768"/>
      <c r="AJ175" s="766"/>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row>
    <row r="176" spans="1:76" s="61" customFormat="1" ht="13.5" customHeight="1">
      <c r="A176" s="1097"/>
      <c r="B176" s="1749" t="s">
        <v>177</v>
      </c>
      <c r="C176" s="896"/>
      <c r="D176" s="1777" t="s">
        <v>84</v>
      </c>
      <c r="E176" s="1777"/>
      <c r="F176" s="1777"/>
      <c r="G176" s="1777"/>
      <c r="H176" s="1778"/>
      <c r="I176" s="1761" t="str">
        <f>"Average "&amp;ReportData!C130&amp;" Change "</f>
        <v xml:space="preserve">Average England Change </v>
      </c>
      <c r="J176" s="896"/>
      <c r="K176" s="1765" t="s">
        <v>85</v>
      </c>
      <c r="L176" s="1766"/>
      <c r="M176" s="1766"/>
      <c r="N176" s="1766"/>
      <c r="O176" s="1766"/>
      <c r="P176" s="1767"/>
      <c r="Q176" s="1761" t="str">
        <f>IF(ISNA(O177),"Rank "&amp;O179,"Rank "&amp;LEFT(O177,5)&amp;" "&amp;RIGHT(O177,2))</f>
        <v>Rank 2023/ 24</v>
      </c>
      <c r="R176" s="64"/>
      <c r="S176" s="1783" t="str">
        <f>"Distance from "&amp;ReportData!$B$8&amp;" Expected Rate based on IDACI"</f>
        <v>Distance from 2024 Expected Rate based on IDACI</v>
      </c>
      <c r="T176" s="1784"/>
      <c r="U176" s="89"/>
      <c r="V176" s="103"/>
      <c r="W176" s="767"/>
      <c r="X176" s="585"/>
      <c r="Y176" s="1187" t="s">
        <v>73</v>
      </c>
      <c r="Z176" s="1187" t="s">
        <v>74</v>
      </c>
      <c r="AA176" s="307" t="str">
        <f>IF(ReportData!$C$3="Annual","",ReportData!$D$28)</f>
        <v/>
      </c>
      <c r="AB176" s="307" t="str">
        <f>IF(ReportData!$C$3="Annual","",ReportData!$E$28)</f>
        <v/>
      </c>
      <c r="AC176" s="307" t="str">
        <f>IF(ReportData!$C$3="Annual","",ReportData!$F$28)</f>
        <v/>
      </c>
      <c r="AD176" s="307" t="str">
        <f>IF(ReportData!$C$3="Annual","",ReportData!$G$28)</f>
        <v/>
      </c>
      <c r="AE176" s="354" t="str">
        <f>IF(ReportData!$C$3="Annual","",ReportData!$H$28)</f>
        <v/>
      </c>
      <c r="AF176" s="810"/>
      <c r="AG176" s="811"/>
      <c r="AH176" s="811"/>
      <c r="AI176" s="768"/>
      <c r="AJ176" s="766"/>
      <c r="AK176" s="350"/>
      <c r="AL176" s="350"/>
      <c r="AM176" s="350"/>
      <c r="AN176" s="350"/>
      <c r="AO176" s="350"/>
      <c r="AP176" s="52"/>
    </row>
    <row r="177" spans="1:49" s="61" customFormat="1" ht="13.5" customHeight="1">
      <c r="A177" s="1097"/>
      <c r="B177" s="1749"/>
      <c r="C177" s="896"/>
      <c r="D177" s="1770" t="str">
        <f>ReportData!$D$27</f>
        <v>2019/20</v>
      </c>
      <c r="E177" s="1770" t="str">
        <f>ReportData!$E$27</f>
        <v>2020/21</v>
      </c>
      <c r="F177" s="1770" t="str">
        <f>ReportData!$F$27</f>
        <v>2021/22</v>
      </c>
      <c r="G177" s="1770" t="str">
        <f>ReportData!$G$27</f>
        <v>2022/23</v>
      </c>
      <c r="H177" s="1781" t="str">
        <f>ReportData!$H$27</f>
        <v>2023/24</v>
      </c>
      <c r="I177" s="1762"/>
      <c r="J177" s="896"/>
      <c r="K177" s="1770" t="str">
        <f>ReportData!$D$27</f>
        <v>2019/20</v>
      </c>
      <c r="L177" s="1770" t="str">
        <f>ReportData!$E$27</f>
        <v>2020/21</v>
      </c>
      <c r="M177" s="1770" t="str">
        <f>ReportData!$F$27</f>
        <v>2021/22</v>
      </c>
      <c r="N177" s="1770" t="str">
        <f>ReportData!$G$27</f>
        <v>2022/23</v>
      </c>
      <c r="O177" s="1789" t="str">
        <f>ReportData!$H$27</f>
        <v>2023/24</v>
      </c>
      <c r="P177" s="1790"/>
      <c r="Q177" s="1762"/>
      <c r="R177" s="64"/>
      <c r="S177" s="1785"/>
      <c r="T177" s="1786"/>
      <c r="U177" s="89"/>
      <c r="V177" s="103"/>
      <c r="W177" s="767"/>
      <c r="X177" s="585"/>
      <c r="Y177" s="1188"/>
      <c r="Z177" s="1188"/>
      <c r="AA177" s="307" t="str">
        <f>ReportData!$D$27</f>
        <v>2019/20</v>
      </c>
      <c r="AB177" s="307" t="str">
        <f>ReportData!$E$27</f>
        <v>2020/21</v>
      </c>
      <c r="AC177" s="307" t="str">
        <f>ReportData!$F$27</f>
        <v>2021/22</v>
      </c>
      <c r="AD177" s="307" t="str">
        <f>ReportData!$G$27</f>
        <v>2022/23</v>
      </c>
      <c r="AE177" s="354" t="str">
        <f>ReportData!$H$27</f>
        <v>2023/24</v>
      </c>
      <c r="AF177" s="811"/>
      <c r="AG177" s="811">
        <f>COLUMNS($B$4:O$4)</f>
        <v>14</v>
      </c>
      <c r="AH177" s="811"/>
      <c r="AI177" s="768"/>
      <c r="AJ177" s="766"/>
      <c r="AK177" s="109"/>
      <c r="AL177" s="109"/>
      <c r="AM177" s="109"/>
      <c r="AN177" s="109"/>
      <c r="AO177" s="109"/>
    </row>
    <row r="178" spans="1:49" s="61" customFormat="1" ht="9" customHeight="1">
      <c r="A178" s="1097"/>
      <c r="B178" s="1749"/>
      <c r="C178" s="896"/>
      <c r="D178" s="1771"/>
      <c r="E178" s="1771"/>
      <c r="F178" s="1771"/>
      <c r="G178" s="1771"/>
      <c r="H178" s="1782"/>
      <c r="I178" s="1762"/>
      <c r="J178" s="896"/>
      <c r="K178" s="1771"/>
      <c r="L178" s="1771"/>
      <c r="M178" s="1771"/>
      <c r="N178" s="1771"/>
      <c r="O178" s="1791"/>
      <c r="P178" s="1792"/>
      <c r="Q178" s="1762"/>
      <c r="R178" s="64"/>
      <c r="S178" s="1953"/>
      <c r="T178" s="1954"/>
      <c r="U178" s="89"/>
      <c r="V178" s="103"/>
      <c r="W178" s="767"/>
      <c r="X178" s="786" t="str">
        <f>B180</f>
        <v>Bracknell Forest</v>
      </c>
      <c r="Y178" s="370">
        <f>IF(ISNUMBER(H180),IDACI!D9,0)</f>
        <v>24849</v>
      </c>
      <c r="Z178" s="370">
        <f>IF(ISNUMBER(H180),IDACI!E9,0)</f>
        <v>2211.5610000000001</v>
      </c>
      <c r="AA178" s="369">
        <f>IF(ISNUMBER(D180),Population!D11,"")</f>
        <v>27298</v>
      </c>
      <c r="AB178" s="369">
        <f>IF(ISNUMBER(E180),Population!E11,"")</f>
        <v>27594</v>
      </c>
      <c r="AC178" s="369">
        <f>IF(ISNUMBER(F180),Population!F11,"")</f>
        <v>27823</v>
      </c>
      <c r="AD178" s="369">
        <f>IF(ISNUMBER(G180),Population!G11,"")</f>
        <v>28330</v>
      </c>
      <c r="AE178" s="72">
        <f>IF(ISNUMBER(H180),Population!H11,"")</f>
        <v>28647</v>
      </c>
      <c r="AF178" s="65" t="str">
        <f>B180</f>
        <v>Bracknell Forest</v>
      </c>
      <c r="AG178" s="70">
        <f>IFERROR(VLOOKUP(AF178,$B$180:$O$200,$AG$177,FALSE),"")</f>
        <v>19.897371452508114</v>
      </c>
      <c r="AH178" s="747">
        <f>RANK(AG178,$AG$178:$AG$196,1)</f>
        <v>4</v>
      </c>
      <c r="AI178" s="768"/>
      <c r="AJ178" s="766"/>
      <c r="AK178" s="479" t="s">
        <v>598</v>
      </c>
      <c r="AL178" s="479" t="s">
        <v>599</v>
      </c>
      <c r="AM178" s="479" t="s">
        <v>600</v>
      </c>
      <c r="AN178" s="479" t="s">
        <v>601</v>
      </c>
      <c r="AO178" s="479" t="s">
        <v>602</v>
      </c>
      <c r="AQ178" s="532" t="s">
        <v>605</v>
      </c>
      <c r="AR178" s="532" t="s">
        <v>606</v>
      </c>
      <c r="AS178" s="532" t="s">
        <v>607</v>
      </c>
      <c r="AT178" s="532" t="s">
        <v>608</v>
      </c>
      <c r="AU178" s="533" t="s">
        <v>609</v>
      </c>
      <c r="AV178" s="533" t="s">
        <v>610</v>
      </c>
      <c r="AW178" s="533" t="s">
        <v>611</v>
      </c>
    </row>
    <row r="179" spans="1:49" s="61" customFormat="1" ht="13.5" customHeight="1">
      <c r="A179" s="1097"/>
      <c r="B179" s="1764"/>
      <c r="C179" s="896"/>
      <c r="D179" s="897" t="e">
        <f>ReportData!$D$28</f>
        <v>#N/A</v>
      </c>
      <c r="E179" s="897" t="e">
        <f>ReportData!$E$28</f>
        <v>#N/A</v>
      </c>
      <c r="F179" s="897" t="e">
        <f>ReportData!$F$28</f>
        <v>#N/A</v>
      </c>
      <c r="G179" s="897" t="e">
        <f>ReportData!$G$28</f>
        <v>#N/A</v>
      </c>
      <c r="H179" s="920" t="e">
        <f>ReportData!$H$28</f>
        <v>#N/A</v>
      </c>
      <c r="I179" s="1763"/>
      <c r="J179" s="896"/>
      <c r="K179" s="897" t="e">
        <f>ReportData!$D$28</f>
        <v>#N/A</v>
      </c>
      <c r="L179" s="897" t="e">
        <f>ReportData!$E$28</f>
        <v>#N/A</v>
      </c>
      <c r="M179" s="897" t="e">
        <f>ReportData!$F$28</f>
        <v>#N/A</v>
      </c>
      <c r="N179" s="897" t="e">
        <f>ReportData!$G$28</f>
        <v>#N/A</v>
      </c>
      <c r="O179" s="1949" t="e">
        <f>ReportData!$H$28</f>
        <v>#N/A</v>
      </c>
      <c r="P179" s="1780"/>
      <c r="Q179" s="1763"/>
      <c r="R179" s="64"/>
      <c r="S179" s="898" t="s">
        <v>110</v>
      </c>
      <c r="T179" s="899" t="s">
        <v>111</v>
      </c>
      <c r="U179" s="89"/>
      <c r="V179" s="103"/>
      <c r="W179" s="767"/>
      <c r="X179" s="786" t="str">
        <f t="shared" ref="X179:X190" si="51">B181</f>
        <v>Brighton &amp; Hove</v>
      </c>
      <c r="Y179" s="370">
        <f>IF(ISNUMBER(H181),IDACI!D10,0)</f>
        <v>45576</v>
      </c>
      <c r="Z179" s="370">
        <f>IF(ISNUMBER(H181),IDACI!E10,0)</f>
        <v>6973.1279999999997</v>
      </c>
      <c r="AA179" s="369">
        <f>IF(ISNUMBER(D181),Population!D12,"")</f>
        <v>48402</v>
      </c>
      <c r="AB179" s="369">
        <f>IF(ISNUMBER(E181),Population!E12,"")</f>
        <v>47964</v>
      </c>
      <c r="AC179" s="369">
        <f>IF(ISNUMBER(F181),Population!F12,"")</f>
        <v>47125</v>
      </c>
      <c r="AD179" s="369">
        <f>IF(ISNUMBER(G181),Population!G12,"")</f>
        <v>47140</v>
      </c>
      <c r="AE179" s="72">
        <f>IF(ISNUMBER(H181),Population!H12,"")</f>
        <v>46666</v>
      </c>
      <c r="AF179" s="65" t="s">
        <v>28</v>
      </c>
      <c r="AG179" s="70">
        <f t="shared" ref="AG179:AG196" si="52">IFERROR(VLOOKUP(AF179,$B$180:$O$200,$AG$177,FALSE),"")</f>
        <v>28.928984699781424</v>
      </c>
      <c r="AH179" s="747">
        <f t="shared" ref="AH179:AH196" si="53">RANK(AG179,$AG$178:$AG$196,1)</f>
        <v>15</v>
      </c>
      <c r="AI179" s="768"/>
      <c r="AJ179" s="766"/>
      <c r="AK179" s="480">
        <f>IF(ISERROR((E180-D180)/D180),"x",(E180-D180)/D180)</f>
        <v>-0.40322580645161288</v>
      </c>
      <c r="AL179" s="480">
        <f>IF(ISERROR((F180-E180)/E180),"x",(F180-E180)/E180)</f>
        <v>0.45945945945945948</v>
      </c>
      <c r="AM179" s="480">
        <f>IF(ISERROR((G180-F180)/F180),"x",(G180-F180)/F180)</f>
        <v>0.25925925925925924</v>
      </c>
      <c r="AN179" s="480">
        <f>IF(ISERROR((H180-G180)/G180),"x",(H180-G180)/G180)</f>
        <v>-0.16176470588235295</v>
      </c>
      <c r="AO179" s="480">
        <f>AVERAGE(AK179:AN179)</f>
        <v>3.8432051596188226E-2</v>
      </c>
      <c r="AQ179" s="531">
        <f>IF(ISNUMBER(L180),L180,"")</f>
        <v>13.408712038849025</v>
      </c>
      <c r="AR179" s="531">
        <f>IF(ISNUMBER(M180),M180,"")</f>
        <v>19.408403119721093</v>
      </c>
      <c r="AS179" s="531">
        <f>IF(ISNUMBER(N180),N180,"")</f>
        <v>24.00282386163078</v>
      </c>
      <c r="AT179" s="531">
        <f>IF(ISNUMBER(O180),O180,"")</f>
        <v>19.897371452508114</v>
      </c>
      <c r="AU179" s="531">
        <f t="shared" ref="AU179:AU192" si="54">SUM(AQ179:AT179)</f>
        <v>76.717310472709016</v>
      </c>
      <c r="AV179" s="350">
        <f t="shared" ref="AV179:AV192" si="55">COUNTBLANK(AQ179:AT179)</f>
        <v>0</v>
      </c>
      <c r="AW179" s="531">
        <f>AU179/(4-AV179)*4</f>
        <v>76.717310472709016</v>
      </c>
    </row>
    <row r="180" spans="1:49" s="61" customFormat="1" ht="15.75" customHeight="1">
      <c r="A180" s="1103">
        <f>VLOOKUP(B180,ReportData!$AQ$4:$AR$25,2,FALSE)</f>
        <v>0</v>
      </c>
      <c r="B180" s="885" t="str">
        <f>ReportData!$K$4</f>
        <v>Bracknell Forest</v>
      </c>
      <c r="C180" s="896"/>
      <c r="D180" s="889">
        <f>IF(Year1_Bracknell_Forest Year1_Adoption_ceased_LAC="","",Year1_Bracknell_Forest Year1_Adoption_ceased_LAC)</f>
        <v>62</v>
      </c>
      <c r="E180" s="889">
        <f>IF(Year2_Bracknell_Forest Year2_Adoption_ceased_LAC="","",Year2_Bracknell_Forest Year2_Adoption_ceased_LAC)</f>
        <v>37</v>
      </c>
      <c r="F180" s="889">
        <f>IF(Year3_Bracknell_Forest Year3_Adoption_ceased_LAC="","",Year3_Bracknell_Forest Year3_Adoption_ceased_LAC)</f>
        <v>54</v>
      </c>
      <c r="G180" s="889">
        <f>IF(Year4_Bracknell_Forest Year4_Adoption_ceased_LAC="","",Year4_Bracknell_Forest Year4_Adoption_ceased_LAC)</f>
        <v>68</v>
      </c>
      <c r="H180" s="890">
        <f>IF(Year5_Bracknell_Forest Year5_Adoption_ceased_LAC="","",Year5_Bracknell_Forest Year5_Adoption_ceased_LAC)</f>
        <v>57</v>
      </c>
      <c r="I180" s="900">
        <f>AO179</f>
        <v>3.8432051596188226E-2</v>
      </c>
      <c r="J180" s="896"/>
      <c r="K180" s="901">
        <f>IF(ISNUMBER(D180),D180/Population!D11*10000,NA())</f>
        <v>22.712286614403986</v>
      </c>
      <c r="L180" s="901">
        <f>IF(ISNUMBER(E180),E180/Population!E11*10000,NA())</f>
        <v>13.408712038849025</v>
      </c>
      <c r="M180" s="901">
        <f>IF(ISNUMBER(F180),F180/Population!F11*10000,NA())</f>
        <v>19.408403119721093</v>
      </c>
      <c r="N180" s="901">
        <f>IF(ISNUMBER(G180),G180/Population!G11*10000,NA())</f>
        <v>24.00282386163078</v>
      </c>
      <c r="O180" s="902">
        <f>IF(ISNUMBER(H180),H180/Population!H11*10000,NA())</f>
        <v>19.897371452508114</v>
      </c>
      <c r="P180" s="903">
        <f>IF(ISNUMBER(O180),O180,"")</f>
        <v>19.897371452508114</v>
      </c>
      <c r="Q180" s="1190">
        <f>IF(ISNA(VLOOKUP(B180,$AF$178:$AH$196,3,FALSE)),"--",IF(ISNUMBER(H180),VLOOKUP(B180,$AF$178:$AH$196,3,FALSE),NA()))</f>
        <v>4</v>
      </c>
      <c r="R180" s="64"/>
      <c r="S180" s="905">
        <f>((AQ205*$Y$233)+$Z$233)/$X$2</f>
        <v>24.693536934550806</v>
      </c>
      <c r="T180" s="906">
        <f t="shared" ref="T180:T200" si="56">O180-S180</f>
        <v>-4.7961654820426922</v>
      </c>
      <c r="U180" s="89"/>
      <c r="V180" s="103"/>
      <c r="W180" s="767"/>
      <c r="X180" s="786" t="str">
        <f t="shared" si="51"/>
        <v>Buckinghamshire</v>
      </c>
      <c r="Y180" s="370">
        <f>IF(ISNUMBER(H182),IDACI!D11,0)</f>
        <v>107385</v>
      </c>
      <c r="Z180" s="370">
        <f>IF(ISNUMBER(H182),IDACI!E11,0)</f>
        <v>9127.7250000000004</v>
      </c>
      <c r="AA180" s="369">
        <f>IF(ISNUMBER(D182),Population!D13,"")</f>
        <v>122137</v>
      </c>
      <c r="AB180" s="369">
        <f>IF(ISNUMBER(E182),Population!E13,"")</f>
        <v>122495</v>
      </c>
      <c r="AC180" s="369">
        <f>IF(ISNUMBER(F182),Population!F13,"")</f>
        <v>123510</v>
      </c>
      <c r="AD180" s="369">
        <f>IF(ISNUMBER(G182),Population!G13,"")</f>
        <v>125915</v>
      </c>
      <c r="AE180" s="72">
        <f>IF(ISNUMBER(H182),Population!H13,"")</f>
        <v>127616</v>
      </c>
      <c r="AF180" s="65" t="s">
        <v>8</v>
      </c>
      <c r="AG180" s="70">
        <f t="shared" si="52"/>
        <v>15.985456369107322</v>
      </c>
      <c r="AH180" s="747">
        <f t="shared" si="53"/>
        <v>3</v>
      </c>
      <c r="AI180" s="768"/>
      <c r="AJ180" s="766"/>
      <c r="AK180" s="480"/>
      <c r="AL180" s="480"/>
      <c r="AM180" s="480"/>
      <c r="AN180" s="480"/>
      <c r="AO180" s="480"/>
      <c r="AQ180" s="531"/>
      <c r="AR180" s="531"/>
      <c r="AS180" s="531"/>
      <c r="AT180" s="531"/>
      <c r="AU180" s="531"/>
      <c r="AV180" s="350"/>
      <c r="AW180" s="531"/>
    </row>
    <row r="181" spans="1:49" s="61" customFormat="1" ht="15.75" customHeight="1">
      <c r="A181" s="1103">
        <f>VLOOKUP(B181,ReportData!$AQ$4:$AR$25,2,FALSE)</f>
        <v>0</v>
      </c>
      <c r="B181" s="885" t="str">
        <f>ReportData!$K$5</f>
        <v>Brighton &amp; Hove</v>
      </c>
      <c r="C181" s="896"/>
      <c r="D181" s="889">
        <f>IF(Year1_Brighton_and_Hove Year1_Adoption_ceased_LAC="","",Year1_Brighton_and_Hove Year1_Adoption_ceased_LAC)</f>
        <v>178</v>
      </c>
      <c r="E181" s="889">
        <f>IF(Year2_Brighton_and_Hove Year2_Adoption_ceased_LAC="","",Year2_Brighton_and_Hove Year2_Adoption_ceased_LAC)</f>
        <v>153</v>
      </c>
      <c r="F181" s="889">
        <f>IF(Year3_Brighton_and_Hove Year3_Adoption_ceased_LAC="","",Year3_Brighton_and_Hove Year3_Adoption_ceased_LAC)</f>
        <v>134</v>
      </c>
      <c r="G181" s="889">
        <f>IF(Year4_Brighton_and_Hove Year4_Adoption_ceased_LAC="","",Year4_Brighton_and_Hove Year4_Adoption_ceased_LAC)</f>
        <v>163</v>
      </c>
      <c r="H181" s="890">
        <f>IF(Year5_Brighton_and_Hove Year5_Adoption_ceased_LAC="","",Year5_Brighton_and_Hove Year5_Adoption_ceased_LAC)</f>
        <v>135</v>
      </c>
      <c r="I181" s="900">
        <f t="shared" ref="I181:I200" si="57">AO181</f>
        <v>-5.4998418848682055E-2</v>
      </c>
      <c r="J181" s="896"/>
      <c r="K181" s="901">
        <f>IF(ISNUMBER(D181),D181/Population!D12*10000,NA())</f>
        <v>36.775339861989174</v>
      </c>
      <c r="L181" s="901">
        <f>IF(ISNUMBER(E181),E181/Population!E12*10000,NA())</f>
        <v>31.898924193144861</v>
      </c>
      <c r="M181" s="901">
        <f>IF(ISNUMBER(F181),F181/Population!F12*10000,NA())</f>
        <v>28.435013262599469</v>
      </c>
      <c r="N181" s="901">
        <f>IF(ISNUMBER(G181),G181/Population!G12*10000,NA())</f>
        <v>34.577853203224436</v>
      </c>
      <c r="O181" s="902">
        <f>IF(ISNUMBER(H181),H181/Population!H12*10000,NA())</f>
        <v>28.928984699781424</v>
      </c>
      <c r="P181" s="903">
        <f t="shared" ref="P181:P194" si="58">IF(ISNUMBER(O181),O181,"")</f>
        <v>28.928984699781424</v>
      </c>
      <c r="Q181" s="1190">
        <f t="shared" ref="Q181:Q198" si="59">IF(ISNA(VLOOKUP(B181,$AF$178:$AH$196,3,FALSE)),"--",IF(ISNUMBER(H181),VLOOKUP(B181,$AF$178:$AH$196,3,FALSE),NA()))</f>
        <v>15</v>
      </c>
      <c r="R181" s="64"/>
      <c r="S181" s="905">
        <f t="shared" ref="S181:S200" si="60">((AQ206*$Y$233)+$Z$233)/$X$2</f>
        <v>29.354198798411485</v>
      </c>
      <c r="T181" s="906">
        <f t="shared" si="56"/>
        <v>-0.42521409863006099</v>
      </c>
      <c r="U181" s="89"/>
      <c r="V181" s="103"/>
      <c r="W181" s="767"/>
      <c r="X181" s="786" t="str">
        <f t="shared" si="51"/>
        <v>East Sussex</v>
      </c>
      <c r="Y181" s="370">
        <f>IF(ISNUMBER(H183),IDACI!D12,0)</f>
        <v>93130</v>
      </c>
      <c r="Z181" s="370">
        <f>IF(ISNUMBER(H183),IDACI!E12,0)</f>
        <v>14993.93</v>
      </c>
      <c r="AA181" s="369">
        <f>IF(ISNUMBER(D183),Population!D14,"")</f>
        <v>102921</v>
      </c>
      <c r="AB181" s="369">
        <f>IF(ISNUMBER(E183),Population!E14,"")</f>
        <v>102419</v>
      </c>
      <c r="AC181" s="369">
        <f>IF(ISNUMBER(F183),Population!F14,"")</f>
        <v>101959</v>
      </c>
      <c r="AD181" s="369">
        <f>IF(ISNUMBER(G183),Population!G14,"")</f>
        <v>102825</v>
      </c>
      <c r="AE181" s="72">
        <f>IF(ISNUMBER(H183),Population!H14,"")</f>
        <v>103606</v>
      </c>
      <c r="AF181" s="65" t="s">
        <v>4</v>
      </c>
      <c r="AG181" s="70">
        <f t="shared" si="52"/>
        <v>22.68208404918634</v>
      </c>
      <c r="AH181" s="747">
        <f t="shared" si="53"/>
        <v>9</v>
      </c>
      <c r="AI181" s="768"/>
      <c r="AJ181" s="766"/>
      <c r="AK181" s="480">
        <f t="shared" ref="AK181:AK200" si="61">IF(ISERROR((E181-D181)/D181),"x",(E181-D181)/D181)</f>
        <v>-0.1404494382022472</v>
      </c>
      <c r="AL181" s="480">
        <f t="shared" ref="AL181:AL200" si="62">IF(ISERROR((F181-E181)/E181),"x",(F181-E181)/E181)</f>
        <v>-0.12418300653594772</v>
      </c>
      <c r="AM181" s="480">
        <f t="shared" ref="AM181:AM200" si="63">IF(ISERROR((G181-F181)/F181),"x",(G181-F181)/F181)</f>
        <v>0.21641791044776118</v>
      </c>
      <c r="AN181" s="480">
        <f t="shared" ref="AN181:AN200" si="64">IF(ISERROR((H181-G181)/G181),"x",(H181-G181)/G181)</f>
        <v>-0.17177914110429449</v>
      </c>
      <c r="AO181" s="480">
        <f t="shared" ref="AO181:AO194" si="65">AVERAGE(AK181:AN181)</f>
        <v>-5.4998418848682055E-2</v>
      </c>
      <c r="AQ181" s="531">
        <f t="shared" ref="AQ181:AQ200" si="66">IF(ISNUMBER(L181),L181,"")</f>
        <v>31.898924193144861</v>
      </c>
      <c r="AR181" s="531">
        <f t="shared" ref="AR181:AR200" si="67">IF(ISNUMBER(M181),M181,"")</f>
        <v>28.435013262599469</v>
      </c>
      <c r="AS181" s="531">
        <f t="shared" ref="AS181:AS200" si="68">IF(ISNUMBER(N181),N181,"")</f>
        <v>34.577853203224436</v>
      </c>
      <c r="AT181" s="531">
        <f t="shared" ref="AT181:AT200" si="69">IF(ISNUMBER(O181),O181,"")</f>
        <v>28.928984699781424</v>
      </c>
      <c r="AU181" s="531">
        <f t="shared" si="54"/>
        <v>123.84077535875019</v>
      </c>
      <c r="AV181" s="350">
        <f t="shared" si="55"/>
        <v>0</v>
      </c>
      <c r="AW181" s="531">
        <f t="shared" ref="AW181:AW192" si="70">AU181/(4-AV181)*4</f>
        <v>123.84077535875019</v>
      </c>
    </row>
    <row r="182" spans="1:49" s="61" customFormat="1" ht="15.75" customHeight="1">
      <c r="A182" s="1103">
        <f>VLOOKUP(B182,ReportData!$AQ$4:$AR$25,2,FALSE)</f>
        <v>0</v>
      </c>
      <c r="B182" s="885" t="str">
        <f>ReportData!$K$6</f>
        <v>Buckinghamshire</v>
      </c>
      <c r="C182" s="896"/>
      <c r="D182" s="889">
        <f>IF(Year1_Buckinghamshire Year1_Adoption_ceased_LAC="","",Year1_Buckinghamshire Year1_Adoption_ceased_LAC)</f>
        <v>235</v>
      </c>
      <c r="E182" s="889">
        <f>IF(Year2_Buckinghamshire Year2_Adoption_ceased_LAC="","",Year2_Buckinghamshire Year2_Adoption_ceased_LAC)</f>
        <v>184</v>
      </c>
      <c r="F182" s="889">
        <f>IF(Year3_Buckinghamshire Year3_Adoption_ceased_LAC="","",Year3_Buckinghamshire Year3_Adoption_ceased_LAC)</f>
        <v>206</v>
      </c>
      <c r="G182" s="889">
        <f>IF(Year4_Buckinghamshire Year4_Adoption_ceased_LAC="","",Year4_Buckinghamshire Year4_Adoption_ceased_LAC)</f>
        <v>199</v>
      </c>
      <c r="H182" s="890">
        <f>IF(Year5_Buckinghamshire Year5_Adoption_ceased_LAC="","",Year5_Buckinghamshire Year5_Adoption_ceased_LAC)</f>
        <v>204</v>
      </c>
      <c r="I182" s="900">
        <f t="shared" si="57"/>
        <v>-2.6577753397002163E-2</v>
      </c>
      <c r="J182" s="896"/>
      <c r="K182" s="901">
        <f>IF(ISNUMBER(D182),D182/Population!D13*10000,NA())</f>
        <v>19.240688734781436</v>
      </c>
      <c r="L182" s="901">
        <f>IF(ISNUMBER(E182),E182/Population!E13*10000,NA())</f>
        <v>15.021021266174129</v>
      </c>
      <c r="M182" s="901">
        <f>IF(ISNUMBER(F182),F182/Population!F13*10000,NA())</f>
        <v>16.678811432272688</v>
      </c>
      <c r="N182" s="901">
        <f>IF(ISNUMBER(G182),G182/Population!G13*10000,NA())</f>
        <v>15.80431243299051</v>
      </c>
      <c r="O182" s="902">
        <f>IF(ISNUMBER(H182),H182/Population!H13*10000,NA())</f>
        <v>15.985456369107322</v>
      </c>
      <c r="P182" s="903">
        <f t="shared" si="58"/>
        <v>15.985456369107322</v>
      </c>
      <c r="Q182" s="1190">
        <f t="shared" si="59"/>
        <v>3</v>
      </c>
      <c r="R182" s="64"/>
      <c r="S182" s="905">
        <f t="shared" si="60"/>
        <v>24.402245568059513</v>
      </c>
      <c r="T182" s="906">
        <f t="shared" si="56"/>
        <v>-8.4167891989521912</v>
      </c>
      <c r="U182" s="89"/>
      <c r="V182" s="103"/>
      <c r="W182" s="767"/>
      <c r="X182" s="786" t="str">
        <f t="shared" si="51"/>
        <v>Hampshire</v>
      </c>
      <c r="Y182" s="370">
        <f>IF(ISNUMBER(H184),IDACI!D13,0)</f>
        <v>249483</v>
      </c>
      <c r="Z182" s="370">
        <f>IF(ISNUMBER(H184),IDACI!E13,0)</f>
        <v>25197.783000000007</v>
      </c>
      <c r="AA182" s="369">
        <f>IF(ISNUMBER(D184),Population!D15,"")</f>
        <v>279340</v>
      </c>
      <c r="AB182" s="369">
        <f>IF(ISNUMBER(E184),Population!E15,"")</f>
        <v>279476</v>
      </c>
      <c r="AC182" s="369">
        <f>IF(ISNUMBER(F184),Population!F15,"")</f>
        <v>280929</v>
      </c>
      <c r="AD182" s="369">
        <f>IF(ISNUMBER(G184),Population!G15,"")</f>
        <v>283487</v>
      </c>
      <c r="AE182" s="72">
        <f>IF(ISNUMBER(H184),Population!H15,"")</f>
        <v>285610</v>
      </c>
      <c r="AF182" s="65" t="s">
        <v>6</v>
      </c>
      <c r="AG182" s="70">
        <f t="shared" si="52"/>
        <v>22.443191764994221</v>
      </c>
      <c r="AH182" s="747">
        <f t="shared" si="53"/>
        <v>8</v>
      </c>
      <c r="AI182" s="768"/>
      <c r="AJ182" s="766"/>
      <c r="AK182" s="480">
        <f t="shared" si="61"/>
        <v>-0.21702127659574469</v>
      </c>
      <c r="AL182" s="480">
        <f t="shared" si="62"/>
        <v>0.11956521739130435</v>
      </c>
      <c r="AM182" s="480">
        <f t="shared" si="63"/>
        <v>-3.3980582524271843E-2</v>
      </c>
      <c r="AN182" s="480">
        <f t="shared" si="64"/>
        <v>2.5125628140703519E-2</v>
      </c>
      <c r="AO182" s="480">
        <f t="shared" si="65"/>
        <v>-2.6577753397002163E-2</v>
      </c>
      <c r="AQ182" s="531">
        <f t="shared" si="66"/>
        <v>15.021021266174129</v>
      </c>
      <c r="AR182" s="531">
        <f t="shared" si="67"/>
        <v>16.678811432272688</v>
      </c>
      <c r="AS182" s="531">
        <f t="shared" si="68"/>
        <v>15.80431243299051</v>
      </c>
      <c r="AT182" s="531">
        <f t="shared" si="69"/>
        <v>15.985456369107322</v>
      </c>
      <c r="AU182" s="531">
        <f t="shared" si="54"/>
        <v>63.489601500544651</v>
      </c>
      <c r="AV182" s="350">
        <f t="shared" si="55"/>
        <v>0</v>
      </c>
      <c r="AW182" s="531">
        <f t="shared" si="70"/>
        <v>63.489601500544651</v>
      </c>
    </row>
    <row r="183" spans="1:49" s="61" customFormat="1" ht="15.75" customHeight="1">
      <c r="A183" s="1103">
        <f>VLOOKUP(B183,ReportData!$AQ$4:$AR$25,2,FALSE)</f>
        <v>0</v>
      </c>
      <c r="B183" s="885" t="str">
        <f>ReportData!$K$7</f>
        <v>East Sussex</v>
      </c>
      <c r="C183" s="896"/>
      <c r="D183" s="889">
        <f>IF(Year1_East_Sussex Year1_Adoption_ceased_LAC="","",Year1_East_Sussex Year1_Adoption_ceased_LAC)</f>
        <v>176</v>
      </c>
      <c r="E183" s="889">
        <f>IF(Year2_East_Sussex Year2_Adoption_ceased_LAC="","",Year2_East_Sussex Year2_Adoption_ceased_LAC)</f>
        <v>176</v>
      </c>
      <c r="F183" s="889">
        <f>IF(Year3_East_Sussex Year3_Adoption_ceased_LAC="","",Year3_East_Sussex Year3_Adoption_ceased_LAC)</f>
        <v>224</v>
      </c>
      <c r="G183" s="889">
        <f>IF(Year4_East_Sussex Year4_Adoption_ceased_LAC="","",Year4_East_Sussex Year4_Adoption_ceased_LAC)</f>
        <v>213</v>
      </c>
      <c r="H183" s="890">
        <f>IF(Year5_East_Sussex Year5_Adoption_ceased_LAC="","",Year5_East_Sussex Year5_Adoption_ceased_LAC)</f>
        <v>235</v>
      </c>
      <c r="I183" s="900">
        <f t="shared" si="57"/>
        <v>8.1726628711663918E-2</v>
      </c>
      <c r="J183" s="896"/>
      <c r="K183" s="901">
        <f>IF(ISNUMBER(D183),D183/Population!D14*10000,NA())</f>
        <v>17.100494554075457</v>
      </c>
      <c r="L183" s="901">
        <f>IF(ISNUMBER(E183),E183/Population!E14*10000,NA())</f>
        <v>17.184311504701274</v>
      </c>
      <c r="M183" s="901">
        <f>IF(ISNUMBER(F183),F183/Population!F14*10000,NA())</f>
        <v>21.969615237497425</v>
      </c>
      <c r="N183" s="901">
        <f>IF(ISNUMBER(G183),G183/Population!G14*10000,NA())</f>
        <v>20.714806710430341</v>
      </c>
      <c r="O183" s="902">
        <f>IF(ISNUMBER(H183),H183/Population!H14*10000,NA())</f>
        <v>22.68208404918634</v>
      </c>
      <c r="P183" s="903">
        <f t="shared" si="58"/>
        <v>22.68208404918634</v>
      </c>
      <c r="Q183" s="1190">
        <f t="shared" si="59"/>
        <v>9</v>
      </c>
      <c r="R183" s="64"/>
      <c r="S183" s="905">
        <f t="shared" si="60"/>
        <v>29.936781531394068</v>
      </c>
      <c r="T183" s="906">
        <f t="shared" si="56"/>
        <v>-7.2546974822077281</v>
      </c>
      <c r="U183" s="89"/>
      <c r="V183" s="103"/>
      <c r="W183" s="767"/>
      <c r="X183" s="786" t="str">
        <f t="shared" si="51"/>
        <v>Isle of Wight</v>
      </c>
      <c r="Y183" s="370">
        <f>IF(ISNUMBER(H185),IDACI!D14,0)</f>
        <v>22123</v>
      </c>
      <c r="Z183" s="370">
        <f>IF(ISNUMBER(H185),IDACI!E14,0)</f>
        <v>3982.14</v>
      </c>
      <c r="AA183" s="369">
        <f>IF(ISNUMBER(D185),Population!D16,"")</f>
        <v>24301</v>
      </c>
      <c r="AB183" s="369">
        <f>IF(ISNUMBER(E185),Population!E16,"")</f>
        <v>23892</v>
      </c>
      <c r="AC183" s="369">
        <f>IF(ISNUMBER(F185),Population!F16,"")</f>
        <v>23636</v>
      </c>
      <c r="AD183" s="369">
        <f>IF(ISNUMBER(G185),Population!G16,"")</f>
        <v>23534</v>
      </c>
      <c r="AE183" s="72">
        <f>IF(ISNUMBER(H185),Population!H16,"")</f>
        <v>23438</v>
      </c>
      <c r="AF183" s="65" t="s">
        <v>1</v>
      </c>
      <c r="AG183" s="70">
        <f t="shared" si="52"/>
        <v>35.83923542964417</v>
      </c>
      <c r="AH183" s="747">
        <f t="shared" si="53"/>
        <v>16</v>
      </c>
      <c r="AI183" s="768"/>
      <c r="AJ183" s="766"/>
      <c r="AK183" s="480">
        <f t="shared" si="61"/>
        <v>0</v>
      </c>
      <c r="AL183" s="480">
        <f t="shared" si="62"/>
        <v>0.27272727272727271</v>
      </c>
      <c r="AM183" s="480">
        <f t="shared" si="63"/>
        <v>-4.9107142857142856E-2</v>
      </c>
      <c r="AN183" s="480">
        <f t="shared" si="64"/>
        <v>0.10328638497652583</v>
      </c>
      <c r="AO183" s="480">
        <f t="shared" si="65"/>
        <v>8.1726628711663918E-2</v>
      </c>
      <c r="AQ183" s="531">
        <f t="shared" si="66"/>
        <v>17.184311504701274</v>
      </c>
      <c r="AR183" s="531">
        <f t="shared" si="67"/>
        <v>21.969615237497425</v>
      </c>
      <c r="AS183" s="531">
        <f t="shared" si="68"/>
        <v>20.714806710430341</v>
      </c>
      <c r="AT183" s="531">
        <f t="shared" si="69"/>
        <v>22.68208404918634</v>
      </c>
      <c r="AU183" s="531">
        <f t="shared" si="54"/>
        <v>82.550817501815388</v>
      </c>
      <c r="AV183" s="350">
        <f t="shared" si="55"/>
        <v>0</v>
      </c>
      <c r="AW183" s="531">
        <f t="shared" si="70"/>
        <v>82.550817501815388</v>
      </c>
    </row>
    <row r="184" spans="1:49" s="61" customFormat="1" ht="15.75" customHeight="1">
      <c r="A184" s="1103">
        <f>VLOOKUP(B184,ReportData!$AQ$4:$AR$25,2,FALSE)</f>
        <v>0</v>
      </c>
      <c r="B184" s="885" t="str">
        <f>ReportData!$K$8</f>
        <v>Hampshire</v>
      </c>
      <c r="C184" s="896"/>
      <c r="D184" s="889">
        <f>IF(Year1_Hampshire Year1_Adoption_ceased_LAC="","",Year1_Hampshire Year1_Adoption_ceased_LAC)</f>
        <v>624</v>
      </c>
      <c r="E184" s="889">
        <f>IF(Year2_Hampshire Year2_Adoption_ceased_LAC="","",Year2_Hampshire Year2_Adoption_ceased_LAC)</f>
        <v>573</v>
      </c>
      <c r="F184" s="891">
        <f>IF(Year3_Hampshire Year3_Adoption_ceased_LAC="","",Year3_Hampshire Year3_Adoption_ceased_LAC)</f>
        <v>556</v>
      </c>
      <c r="G184" s="891">
        <f>IF(Year4_Hampshire Year4_Adoption_ceased_LAC="","",Year4_Hampshire Year4_Adoption_ceased_LAC)</f>
        <v>612</v>
      </c>
      <c r="H184" s="890">
        <f>IF(Year5_Hampshire Year5_Adoption_ceased_LAC="","",Year5_Hampshire Year5_Adoption_ceased_LAC)</f>
        <v>641</v>
      </c>
      <c r="I184" s="900">
        <f t="shared" si="57"/>
        <v>9.176466069332586E-3</v>
      </c>
      <c r="J184" s="896"/>
      <c r="K184" s="901">
        <f>IF(ISNUMBER(D184),D184/Population!D15*10000,NA())</f>
        <v>22.338369012672729</v>
      </c>
      <c r="L184" s="901">
        <f>IF(ISNUMBER(E184),E184/Population!E15*10000,NA())</f>
        <v>20.502654968584064</v>
      </c>
      <c r="M184" s="901">
        <f>IF(ISNUMBER(F184),F184/Population!F15*10000,NA())</f>
        <v>19.791477561946255</v>
      </c>
      <c r="N184" s="901">
        <f>IF(ISNUMBER(G184),G184/Population!G15*10000,NA())</f>
        <v>21.588291526595576</v>
      </c>
      <c r="O184" s="902">
        <f>IF(ISNUMBER(H184),H184/Population!H15*10000,NA())</f>
        <v>22.443191764994221</v>
      </c>
      <c r="P184" s="903">
        <f t="shared" si="58"/>
        <v>22.443191764994221</v>
      </c>
      <c r="Q184" s="1190">
        <f t="shared" si="59"/>
        <v>8</v>
      </c>
      <c r="R184" s="64"/>
      <c r="S184" s="905">
        <f t="shared" si="60"/>
        <v>25.567411034024683</v>
      </c>
      <c r="T184" s="906">
        <f t="shared" si="56"/>
        <v>-3.124219269030462</v>
      </c>
      <c r="U184" s="89"/>
      <c r="V184" s="103"/>
      <c r="W184" s="767"/>
      <c r="X184" s="786" t="str">
        <f t="shared" si="51"/>
        <v>Kent</v>
      </c>
      <c r="Y184" s="370">
        <f>IF(ISNUMBER(H186),IDACI!D15,0)</f>
        <v>291866</v>
      </c>
      <c r="Z184" s="370">
        <f>IF(ISNUMBER(H186),IDACI!E15,0)</f>
        <v>46114.828000000001</v>
      </c>
      <c r="AA184" s="369">
        <f>IF(ISNUMBER(D186),Population!D17,"")</f>
        <v>333343</v>
      </c>
      <c r="AB184" s="369">
        <f>IF(ISNUMBER(E186),Population!E17,"")</f>
        <v>334424</v>
      </c>
      <c r="AC184" s="369">
        <f>IF(ISNUMBER(F186),Population!F17,"")</f>
        <v>336091</v>
      </c>
      <c r="AD184" s="369">
        <f>IF(ISNUMBER(G186),Population!G17,"")</f>
        <v>342858</v>
      </c>
      <c r="AE184" s="72">
        <f>IF(ISNUMBER(H186),Population!H17,"")</f>
        <v>348332</v>
      </c>
      <c r="AF184" s="65" t="s">
        <v>9</v>
      </c>
      <c r="AG184" s="70">
        <f t="shared" si="52"/>
        <v>78.517046955203668</v>
      </c>
      <c r="AH184" s="747">
        <f t="shared" si="53"/>
        <v>19</v>
      </c>
      <c r="AI184" s="768"/>
      <c r="AJ184" s="766"/>
      <c r="AK184" s="480">
        <f t="shared" si="61"/>
        <v>-8.1730769230769232E-2</v>
      </c>
      <c r="AL184" s="480">
        <f t="shared" si="62"/>
        <v>-2.9668411867364748E-2</v>
      </c>
      <c r="AM184" s="480">
        <f t="shared" si="63"/>
        <v>0.10071942446043165</v>
      </c>
      <c r="AN184" s="480">
        <f t="shared" si="64"/>
        <v>4.7385620915032678E-2</v>
      </c>
      <c r="AO184" s="480">
        <f t="shared" si="65"/>
        <v>9.176466069332586E-3</v>
      </c>
      <c r="AQ184" s="531">
        <f t="shared" si="66"/>
        <v>20.502654968584064</v>
      </c>
      <c r="AR184" s="531">
        <f t="shared" si="67"/>
        <v>19.791477561946255</v>
      </c>
      <c r="AS184" s="531">
        <f t="shared" si="68"/>
        <v>21.588291526595576</v>
      </c>
      <c r="AT184" s="531">
        <f t="shared" si="69"/>
        <v>22.443191764994221</v>
      </c>
      <c r="AU184" s="531">
        <f t="shared" si="54"/>
        <v>84.325615822120113</v>
      </c>
      <c r="AV184" s="350">
        <f t="shared" si="55"/>
        <v>0</v>
      </c>
      <c r="AW184" s="531">
        <f t="shared" si="70"/>
        <v>84.325615822120113</v>
      </c>
    </row>
    <row r="185" spans="1:49" s="61" customFormat="1" ht="15.75" customHeight="1">
      <c r="A185" s="1103">
        <f>VLOOKUP(B185,ReportData!$AQ$4:$AR$25,2,FALSE)</f>
        <v>0</v>
      </c>
      <c r="B185" s="885" t="str">
        <f>ReportData!$K$9</f>
        <v>Isle of Wight</v>
      </c>
      <c r="C185" s="896"/>
      <c r="D185" s="889">
        <f>IF(Year1_Isle_of_Wight Year1_Adoption_ceased_LAC="","",Year1_Isle_of_Wight Year1_Adoption_ceased_LAC)</f>
        <v>53</v>
      </c>
      <c r="E185" s="889">
        <f>IF(Year2_Isle_of_Wight Year2_Adoption_ceased_LAC="","",Year2_Isle_of_Wight Year2_Adoption_ceased_LAC)</f>
        <v>65</v>
      </c>
      <c r="F185" s="889">
        <f>IF(Year3_Isle_of_Wight Year3_Adoption_ceased_LAC="","",Year3_Isle_of_Wight Year3_Adoption_ceased_LAC)</f>
        <v>89</v>
      </c>
      <c r="G185" s="889">
        <f>IF(Year4_Isle_of_Wight Year4_Adoption_ceased_LAC="","",Year4_Isle_of_Wight Year4_Adoption_ceased_LAC)</f>
        <v>77</v>
      </c>
      <c r="H185" s="890">
        <f>IF(Year5_Isle_of_Wight Year5_Adoption_ceased_LAC="","",Year5_Isle_of_Wight Year5_Adoption_ceased_LAC)</f>
        <v>84</v>
      </c>
      <c r="I185" s="900">
        <f t="shared" si="57"/>
        <v>0.13793087345133137</v>
      </c>
      <c r="J185" s="896"/>
      <c r="K185" s="901">
        <f>IF(ISNUMBER(D185),D185/Population!D16*10000,NA())</f>
        <v>21.80980206575861</v>
      </c>
      <c r="L185" s="901">
        <f>IF(ISNUMBER(E185),E185/Population!E16*10000,NA())</f>
        <v>27.205759249958145</v>
      </c>
      <c r="M185" s="901">
        <f>IF(ISNUMBER(F185),F185/Population!F16*10000,NA())</f>
        <v>37.654425452699272</v>
      </c>
      <c r="N185" s="901">
        <f>IF(ISNUMBER(G185),G185/Population!G16*10000,NA())</f>
        <v>32.718619869125519</v>
      </c>
      <c r="O185" s="902">
        <f>IF(ISNUMBER(H185),H185/Population!H16*10000,NA())</f>
        <v>35.83923542964417</v>
      </c>
      <c r="P185" s="903">
        <f t="shared" si="58"/>
        <v>35.83923542964417</v>
      </c>
      <c r="Q185" s="1190">
        <f t="shared" si="59"/>
        <v>16</v>
      </c>
      <c r="R185" s="64"/>
      <c r="S185" s="905">
        <f t="shared" si="60"/>
        <v>31.320415522227709</v>
      </c>
      <c r="T185" s="906">
        <f t="shared" si="56"/>
        <v>4.5188199074164608</v>
      </c>
      <c r="U185" s="89"/>
      <c r="V185" s="103"/>
      <c r="W185" s="767"/>
      <c r="X185" s="786" t="str">
        <f t="shared" si="51"/>
        <v>Medway</v>
      </c>
      <c r="Y185" s="370">
        <f>IF(ISNUMBER(H187),IDACI!D16,0)</f>
        <v>55993</v>
      </c>
      <c r="Z185" s="370">
        <f>IF(ISNUMBER(H187),IDACI!E16,0)</f>
        <v>10582.676999999998</v>
      </c>
      <c r="AA185" s="369">
        <f>IF(ISNUMBER(D187),Population!D18,"")</f>
        <v>63672</v>
      </c>
      <c r="AB185" s="369">
        <f>IF(ISNUMBER(E187),Population!E18,"")</f>
        <v>63695</v>
      </c>
      <c r="AC185" s="369">
        <f>IF(ISNUMBER(F187),Population!F18,"")</f>
        <v>63817</v>
      </c>
      <c r="AD185" s="369">
        <f>IF(ISNUMBER(G187),Population!G18,"")</f>
        <v>64955</v>
      </c>
      <c r="AE185" s="72">
        <f>IF(ISNUMBER(H187),Population!H18,"")</f>
        <v>66687</v>
      </c>
      <c r="AF185" s="65" t="s">
        <v>2</v>
      </c>
      <c r="AG185" s="70">
        <f t="shared" si="52"/>
        <v>27.741538830656651</v>
      </c>
      <c r="AH185" s="747">
        <f t="shared" si="53"/>
        <v>14</v>
      </c>
      <c r="AI185" s="768"/>
      <c r="AJ185" s="766"/>
      <c r="AK185" s="480">
        <f t="shared" si="61"/>
        <v>0.22641509433962265</v>
      </c>
      <c r="AL185" s="480">
        <f t="shared" si="62"/>
        <v>0.36923076923076925</v>
      </c>
      <c r="AM185" s="480">
        <f t="shared" si="63"/>
        <v>-0.1348314606741573</v>
      </c>
      <c r="AN185" s="480">
        <f t="shared" si="64"/>
        <v>9.0909090909090912E-2</v>
      </c>
      <c r="AO185" s="480">
        <f t="shared" si="65"/>
        <v>0.13793087345133137</v>
      </c>
      <c r="AQ185" s="531">
        <f t="shared" si="66"/>
        <v>27.205759249958145</v>
      </c>
      <c r="AR185" s="531">
        <f t="shared" si="67"/>
        <v>37.654425452699272</v>
      </c>
      <c r="AS185" s="531">
        <f t="shared" si="68"/>
        <v>32.718619869125519</v>
      </c>
      <c r="AT185" s="531">
        <f t="shared" si="69"/>
        <v>35.83923542964417</v>
      </c>
      <c r="AU185" s="531">
        <f t="shared" si="54"/>
        <v>133.4180400014271</v>
      </c>
      <c r="AV185" s="350">
        <f t="shared" si="55"/>
        <v>0</v>
      </c>
      <c r="AW185" s="531">
        <f t="shared" si="70"/>
        <v>133.4180400014271</v>
      </c>
    </row>
    <row r="186" spans="1:49" s="61" customFormat="1" ht="15.75" customHeight="1">
      <c r="A186" s="1103">
        <f>VLOOKUP(B186,ReportData!$AQ$4:$AR$25,2,FALSE)</f>
        <v>0</v>
      </c>
      <c r="B186" s="885" t="str">
        <f>ReportData!$K$10</f>
        <v>Kent</v>
      </c>
      <c r="C186" s="896"/>
      <c r="D186" s="889">
        <f>IF(Year1_Kent Year1_Adoption_ceased_LAC="","",Year1_Kent Year1_Adoption_ceased_LAC)</f>
        <v>738</v>
      </c>
      <c r="E186" s="889">
        <f>IF(Year2_Kent Year2_Adoption_ceased_LAC="","",Year2_Kent Year2_Adoption_ceased_LAC)</f>
        <v>1137</v>
      </c>
      <c r="F186" s="889">
        <f>IF(Year3_Kent Year3_Adoption_ceased_LAC="","",Year3_Kent Year3_Adoption_ceased_LAC)</f>
        <v>1394</v>
      </c>
      <c r="G186" s="889">
        <f>IF(Year4_Kent Year4_Adoption_ceased_LAC="","",Year4_Kent Year4_Adoption_ceased_LAC)</f>
        <v>1631</v>
      </c>
      <c r="H186" s="890">
        <f>IF(Year5_Kent Year5_Adoption_ceased_LAC="","",Year5_Kent Year5_Adoption_ceased_LAC)</f>
        <v>2735</v>
      </c>
      <c r="I186" s="900">
        <f t="shared" si="57"/>
        <v>0.40339588035092122</v>
      </c>
      <c r="J186" s="896"/>
      <c r="K186" s="901">
        <f>IF(ISNUMBER(D186),D186/Population!D17*10000,NA())</f>
        <v>22.1393579586192</v>
      </c>
      <c r="L186" s="901">
        <f>IF(ISNUMBER(E186),E186/Population!E17*10000,NA())</f>
        <v>33.998756070138505</v>
      </c>
      <c r="M186" s="901">
        <f>IF(ISNUMBER(F186),F186/Population!F17*10000,NA())</f>
        <v>41.476861921324883</v>
      </c>
      <c r="N186" s="901">
        <f>IF(ISNUMBER(G186),G186/Population!G17*10000,NA())</f>
        <v>47.57071440654731</v>
      </c>
      <c r="O186" s="902">
        <f>IF(ISNUMBER(H186),H186/Population!H17*10000,NA())</f>
        <v>78.517046955203668</v>
      </c>
      <c r="P186" s="903">
        <f t="shared" si="58"/>
        <v>78.517046955203668</v>
      </c>
      <c r="Q186" s="1190">
        <f t="shared" si="59"/>
        <v>19</v>
      </c>
      <c r="R186" s="64"/>
      <c r="S186" s="905">
        <f t="shared" si="60"/>
        <v>29.718313006525602</v>
      </c>
      <c r="T186" s="906">
        <f t="shared" si="56"/>
        <v>48.798733948678063</v>
      </c>
      <c r="U186" s="89"/>
      <c r="V186" s="103"/>
      <c r="W186" s="767"/>
      <c r="X186" s="786" t="str">
        <f t="shared" si="51"/>
        <v>Milton Keynes</v>
      </c>
      <c r="Y186" s="370">
        <f>IF(ISNUMBER(H188),IDACI!D17,0)</f>
        <v>59903</v>
      </c>
      <c r="Z186" s="370">
        <f>IF(ISNUMBER(H188),IDACI!E17,0)</f>
        <v>8985.4499999999989</v>
      </c>
      <c r="AA186" s="369">
        <f>IF(ISNUMBER(D188),Population!D19,"")</f>
        <v>69037</v>
      </c>
      <c r="AB186" s="369">
        <f>IF(ISNUMBER(E188),Population!E19,"")</f>
        <v>69305</v>
      </c>
      <c r="AC186" s="369">
        <f>IF(ISNUMBER(F188),Population!F19,"")</f>
        <v>69635</v>
      </c>
      <c r="AD186" s="369">
        <f>IF(ISNUMBER(G188),Population!G19,"")</f>
        <v>70951</v>
      </c>
      <c r="AE186" s="72">
        <f>IF(ISNUMBER(H188),Population!H19,"")</f>
        <v>72797</v>
      </c>
      <c r="AF186" s="65" t="s">
        <v>10</v>
      </c>
      <c r="AG186" s="70">
        <f t="shared" si="52"/>
        <v>24.863661964091925</v>
      </c>
      <c r="AH186" s="747">
        <f t="shared" si="53"/>
        <v>11</v>
      </c>
      <c r="AI186" s="768"/>
      <c r="AJ186" s="766"/>
      <c r="AK186" s="480">
        <f t="shared" si="61"/>
        <v>0.54065040650406504</v>
      </c>
      <c r="AL186" s="480">
        <f t="shared" si="62"/>
        <v>0.22603342128408091</v>
      </c>
      <c r="AM186" s="480">
        <f t="shared" si="63"/>
        <v>0.17001434720229555</v>
      </c>
      <c r="AN186" s="480">
        <f t="shared" si="64"/>
        <v>0.67688534641324338</v>
      </c>
      <c r="AO186" s="480">
        <f t="shared" si="65"/>
        <v>0.40339588035092122</v>
      </c>
      <c r="AQ186" s="531">
        <f t="shared" si="66"/>
        <v>33.998756070138505</v>
      </c>
      <c r="AR186" s="531">
        <f t="shared" si="67"/>
        <v>41.476861921324883</v>
      </c>
      <c r="AS186" s="531">
        <f t="shared" si="68"/>
        <v>47.57071440654731</v>
      </c>
      <c r="AT186" s="531">
        <f t="shared" si="69"/>
        <v>78.517046955203668</v>
      </c>
      <c r="AU186" s="531">
        <f t="shared" si="54"/>
        <v>201.56337935321437</v>
      </c>
      <c r="AV186" s="350">
        <f t="shared" si="55"/>
        <v>0</v>
      </c>
      <c r="AW186" s="531">
        <f t="shared" si="70"/>
        <v>201.56337935321437</v>
      </c>
    </row>
    <row r="187" spans="1:49" s="61" customFormat="1" ht="15.75" customHeight="1">
      <c r="A187" s="1103">
        <f>VLOOKUP(B187,ReportData!$AQ$4:$AR$25,2,FALSE)</f>
        <v>0</v>
      </c>
      <c r="B187" s="885" t="str">
        <f>ReportData!$K$11</f>
        <v>Medway</v>
      </c>
      <c r="C187" s="896"/>
      <c r="D187" s="889">
        <f>IF(Year1_Medway Year1_Adoption_ceased_LAC="","",Year1_Medway Year1_Adoption_ceased_LAC)</f>
        <v>180</v>
      </c>
      <c r="E187" s="1173">
        <f>IF(Year2_Medway Year2_Adoption_ceased_LAC="","",Year2_Medway Year2_Adoption_ceased_LAC)</f>
        <v>135</v>
      </c>
      <c r="F187" s="1173">
        <f>IF(Year3_Medway Year3_Adoption_ceased_LAC="","",Year3_Medway Year3_Adoption_ceased_LAC)</f>
        <v>124</v>
      </c>
      <c r="G187" s="1173">
        <f>IF(Year4_Medway Year4_Adoption_ceased_LAC="","",Year4_Medway Year4_Adoption_ceased_LAC)</f>
        <v>147</v>
      </c>
      <c r="H187" s="1174">
        <f>IF(Year5_Medway Year5_Adoption_ceased_LAC="","",Year5_Medway Year5_Adoption_ceased_LAC)</f>
        <v>185</v>
      </c>
      <c r="I187" s="900">
        <f t="shared" si="57"/>
        <v>2.8126447711701169E-2</v>
      </c>
      <c r="J187" s="896"/>
      <c r="K187" s="901">
        <f>IF(ISNUMBER(D187),D187/Population!D18*10000,NA())</f>
        <v>28.269883151149642</v>
      </c>
      <c r="L187" s="901">
        <f>IF(ISNUMBER(E187),E187/Population!E18*10000,NA())</f>
        <v>21.194756260303006</v>
      </c>
      <c r="M187" s="901">
        <f>IF(ISNUMBER(F187),F187/Population!F18*10000,NA())</f>
        <v>19.430559255370827</v>
      </c>
      <c r="N187" s="901">
        <f>IF(ISNUMBER(G187),G187/Population!G18*10000,NA())</f>
        <v>22.631052266954047</v>
      </c>
      <c r="O187" s="902">
        <f>IF(ISNUMBER(H187),H187/Population!H18*10000,NA())</f>
        <v>27.741538830656651</v>
      </c>
      <c r="P187" s="903">
        <f t="shared" si="58"/>
        <v>27.741538830656651</v>
      </c>
      <c r="Q187" s="1190">
        <f t="shared" si="59"/>
        <v>14</v>
      </c>
      <c r="R187" s="64"/>
      <c r="S187" s="905">
        <f t="shared" si="60"/>
        <v>31.975821096833116</v>
      </c>
      <c r="T187" s="906">
        <f t="shared" si="56"/>
        <v>-4.2342822661764643</v>
      </c>
      <c r="U187" s="89"/>
      <c r="V187" s="103"/>
      <c r="W187" s="767"/>
      <c r="X187" s="786" t="str">
        <f t="shared" si="51"/>
        <v>Oxfordshire</v>
      </c>
      <c r="Y187" s="370">
        <f>IF(ISNUMBER(H189),IDACI!D18,0)</f>
        <v>126119</v>
      </c>
      <c r="Z187" s="370">
        <f>IF(ISNUMBER(H189),IDACI!E18,0)</f>
        <v>12738.019000000002</v>
      </c>
      <c r="AA187" s="369">
        <f>IF(ISNUMBER(D189),Population!D20,"")</f>
        <v>144429</v>
      </c>
      <c r="AB187" s="369">
        <f>IF(ISNUMBER(E189),Population!E20,"")</f>
        <v>145219</v>
      </c>
      <c r="AC187" s="369">
        <f>IF(ISNUMBER(F189),Population!F20,"")</f>
        <v>146343</v>
      </c>
      <c r="AD187" s="369">
        <f>IF(ISNUMBER(G189),Population!G20,"")</f>
        <v>149538</v>
      </c>
      <c r="AE187" s="72">
        <f>IF(ISNUMBER(H189),Population!H20,"")</f>
        <v>152505</v>
      </c>
      <c r="AF187" s="65" t="s">
        <v>11</v>
      </c>
      <c r="AG187" s="70">
        <f t="shared" si="52"/>
        <v>21.966492901872069</v>
      </c>
      <c r="AH187" s="747">
        <f t="shared" si="53"/>
        <v>6</v>
      </c>
      <c r="AI187" s="768"/>
      <c r="AJ187" s="766"/>
      <c r="AK187" s="480">
        <f t="shared" si="61"/>
        <v>-0.25</v>
      </c>
      <c r="AL187" s="480">
        <f t="shared" si="62"/>
        <v>-8.1481481481481488E-2</v>
      </c>
      <c r="AM187" s="480">
        <f t="shared" si="63"/>
        <v>0.18548387096774194</v>
      </c>
      <c r="AN187" s="480">
        <f t="shared" si="64"/>
        <v>0.25850340136054423</v>
      </c>
      <c r="AO187" s="480">
        <f t="shared" si="65"/>
        <v>2.8126447711701169E-2</v>
      </c>
      <c r="AQ187" s="531">
        <f t="shared" si="66"/>
        <v>21.194756260303006</v>
      </c>
      <c r="AR187" s="531">
        <f t="shared" si="67"/>
        <v>19.430559255370827</v>
      </c>
      <c r="AS187" s="531">
        <f t="shared" si="68"/>
        <v>22.631052266954047</v>
      </c>
      <c r="AT187" s="531">
        <f t="shared" si="69"/>
        <v>27.741538830656651</v>
      </c>
      <c r="AU187" s="531">
        <f t="shared" si="54"/>
        <v>90.997906613284528</v>
      </c>
      <c r="AV187" s="350">
        <f t="shared" si="55"/>
        <v>0</v>
      </c>
      <c r="AW187" s="531">
        <f t="shared" si="70"/>
        <v>90.997906613284528</v>
      </c>
    </row>
    <row r="188" spans="1:49" s="61" customFormat="1" ht="15.75" customHeight="1">
      <c r="A188" s="1103">
        <f>VLOOKUP(B188,ReportData!$AQ$4:$AR$25,2,FALSE)</f>
        <v>0</v>
      </c>
      <c r="B188" s="885" t="str">
        <f>ReportData!$K$12</f>
        <v>Milton Keynes</v>
      </c>
      <c r="C188" s="896"/>
      <c r="D188" s="889">
        <f>IF(Year1_Milton_Keynes Year1_Adoption_ceased_LAC="","",Year1_Milton_Keynes Year1_Adoption_ceased_LAC)</f>
        <v>148</v>
      </c>
      <c r="E188" s="889">
        <f>IF(Year2_Milton_Keynes Year2_Adoption_ceased_LAC="","",Year2_Milton_Keynes Year2_Adoption_ceased_LAC)</f>
        <v>168</v>
      </c>
      <c r="F188" s="889">
        <f>IF(Year3_Milton_Keynes Year3_Adoption_ceased_LAC="","",Year3_Milton_Keynes Year3_Adoption_ceased_LAC)</f>
        <v>187</v>
      </c>
      <c r="G188" s="889">
        <f>IF(Year4_Milton_Keynes Year4_Adoption_ceased_LAC="","",Year4_Milton_Keynes Year4_Adoption_ceased_LAC)</f>
        <v>174</v>
      </c>
      <c r="H188" s="890">
        <f>IF(Year5_Milton_Keynes Year5_Adoption_ceased_LAC="","",Year5_Milton_Keynes Year5_Adoption_ceased_LAC)</f>
        <v>181</v>
      </c>
      <c r="I188" s="900">
        <f t="shared" si="57"/>
        <v>5.4735385427576097E-2</v>
      </c>
      <c r="J188" s="896"/>
      <c r="K188" s="901">
        <f>IF(ISNUMBER(D188),D188/Population!D19*10000,NA())</f>
        <v>21.437779741298144</v>
      </c>
      <c r="L188" s="901">
        <f>IF(ISNUMBER(E188),E188/Population!E19*10000,NA())</f>
        <v>24.240675275954118</v>
      </c>
      <c r="M188" s="901">
        <f>IF(ISNUMBER(F188),F188/Population!F19*10000,NA())</f>
        <v>26.854311768507213</v>
      </c>
      <c r="N188" s="901">
        <f>IF(ISNUMBER(G188),G188/Population!G19*10000,NA())</f>
        <v>24.523967245000073</v>
      </c>
      <c r="O188" s="902">
        <f>IF(ISNUMBER(H188),H188/Population!H19*10000,NA())</f>
        <v>24.863661964091925</v>
      </c>
      <c r="P188" s="903">
        <f t="shared" si="58"/>
        <v>24.863661964091925</v>
      </c>
      <c r="Q188" s="1190">
        <f t="shared" si="59"/>
        <v>11</v>
      </c>
      <c r="R188" s="64"/>
      <c r="S188" s="905">
        <f t="shared" si="60"/>
        <v>29.135730273543015</v>
      </c>
      <c r="T188" s="906">
        <f t="shared" si="56"/>
        <v>-4.2720683094510896</v>
      </c>
      <c r="U188" s="89"/>
      <c r="V188" s="103"/>
      <c r="W188" s="767"/>
      <c r="X188" s="786" t="str">
        <f t="shared" si="51"/>
        <v>Portsmouth</v>
      </c>
      <c r="Y188" s="370">
        <f>IF(ISNUMBER(H190),IDACI!D19,0)</f>
        <v>39325</v>
      </c>
      <c r="Z188" s="370">
        <f>IF(ISNUMBER(H190),IDACI!E19,0)</f>
        <v>7943.6500000000015</v>
      </c>
      <c r="AA188" s="369">
        <f>IF(ISNUMBER(D190),Population!D21,"")</f>
        <v>42033</v>
      </c>
      <c r="AB188" s="369">
        <f>IF(ISNUMBER(E190),Population!E21,"")</f>
        <v>41865</v>
      </c>
      <c r="AC188" s="369">
        <f>IF(ISNUMBER(F190),Population!F21,"")</f>
        <v>41447</v>
      </c>
      <c r="AD188" s="369">
        <f>IF(ISNUMBER(G190),Population!G21,"")</f>
        <v>41871</v>
      </c>
      <c r="AE188" s="72">
        <f>IF(ISNUMBER(H190),Population!H21,"")</f>
        <v>42307</v>
      </c>
      <c r="AF188" s="65" t="s">
        <v>12</v>
      </c>
      <c r="AG188" s="70">
        <f t="shared" si="52"/>
        <v>36.873330654501622</v>
      </c>
      <c r="AH188" s="747">
        <f t="shared" si="53"/>
        <v>17</v>
      </c>
      <c r="AI188" s="768"/>
      <c r="AJ188" s="766"/>
      <c r="AK188" s="480">
        <f t="shared" si="61"/>
        <v>0.13513513513513514</v>
      </c>
      <c r="AL188" s="480">
        <f t="shared" si="62"/>
        <v>0.1130952380952381</v>
      </c>
      <c r="AM188" s="480">
        <f t="shared" si="63"/>
        <v>-6.9518716577540107E-2</v>
      </c>
      <c r="AN188" s="480">
        <f t="shared" si="64"/>
        <v>4.0229885057471264E-2</v>
      </c>
      <c r="AO188" s="480">
        <f t="shared" si="65"/>
        <v>5.4735385427576097E-2</v>
      </c>
      <c r="AQ188" s="531">
        <f t="shared" si="66"/>
        <v>24.240675275954118</v>
      </c>
      <c r="AR188" s="531">
        <f t="shared" si="67"/>
        <v>26.854311768507213</v>
      </c>
      <c r="AS188" s="531">
        <f t="shared" si="68"/>
        <v>24.523967245000073</v>
      </c>
      <c r="AT188" s="531">
        <f t="shared" si="69"/>
        <v>24.863661964091925</v>
      </c>
      <c r="AU188" s="531">
        <f t="shared" si="54"/>
        <v>100.48261625355335</v>
      </c>
      <c r="AV188" s="350">
        <f t="shared" si="55"/>
        <v>0</v>
      </c>
      <c r="AW188" s="531">
        <f t="shared" si="70"/>
        <v>100.48261625355335</v>
      </c>
    </row>
    <row r="189" spans="1:49" s="61" customFormat="1" ht="15.75" customHeight="1">
      <c r="A189" s="1103">
        <f>VLOOKUP(B189,ReportData!$AQ$4:$AR$25,2,FALSE)</f>
        <v>0</v>
      </c>
      <c r="B189" s="885" t="str">
        <f>ReportData!$K$13</f>
        <v>Oxfordshire</v>
      </c>
      <c r="C189" s="896"/>
      <c r="D189" s="889">
        <f>IF(Year1_Oxfordshire Year1_Adoption_ceased_LAC="","",Year1_Oxfordshire Year1_Adoption_ceased_LAC)</f>
        <v>322</v>
      </c>
      <c r="E189" s="889">
        <f>IF(Year2_Oxfordshire Year2_Adoption_ceased_LAC="","",Year2_Oxfordshire Year2_Adoption_ceased_LAC)</f>
        <v>278</v>
      </c>
      <c r="F189" s="889">
        <f>IF(Year3_Oxfordshire Year3_Adoption_ceased_LAC="","",Year3_Oxfordshire Year3_Adoption_ceased_LAC)</f>
        <v>299</v>
      </c>
      <c r="G189" s="889">
        <f>IF(Year4_Oxfordshire Year4_Adoption_ceased_LAC="","",Year4_Oxfordshire Year4_Adoption_ceased_LAC)</f>
        <v>347</v>
      </c>
      <c r="H189" s="890">
        <f>IF(Year5_Oxfordshire Year5_Adoption_ceased_LAC="","",Year5_Oxfordshire Year5_Adoption_ceased_LAC)</f>
        <v>335</v>
      </c>
      <c r="I189" s="900">
        <f t="shared" si="57"/>
        <v>1.6211647526104794E-2</v>
      </c>
      <c r="J189" s="896"/>
      <c r="K189" s="901">
        <f>IF(ISNUMBER(D189),D189/Population!D20*10000,NA())</f>
        <v>22.294691509322917</v>
      </c>
      <c r="L189" s="901">
        <f>IF(ISNUMBER(E189),E189/Population!E20*10000,NA())</f>
        <v>19.143500506132117</v>
      </c>
      <c r="M189" s="901">
        <f>IF(ISNUMBER(F189),F189/Population!F20*10000,NA())</f>
        <v>20.431452136419232</v>
      </c>
      <c r="N189" s="901">
        <f>IF(ISNUMBER(G189),G189/Population!G20*10000,NA())</f>
        <v>23.204804130053901</v>
      </c>
      <c r="O189" s="902">
        <f>IF(ISNUMBER(H189),H189/Population!H20*10000,NA())</f>
        <v>21.966492901872069</v>
      </c>
      <c r="P189" s="903">
        <f t="shared" si="58"/>
        <v>21.966492901872069</v>
      </c>
      <c r="Q189" s="1190">
        <f t="shared" si="59"/>
        <v>6</v>
      </c>
      <c r="R189" s="64"/>
      <c r="S189" s="905">
        <f t="shared" si="60"/>
        <v>25.567411034024683</v>
      </c>
      <c r="T189" s="906">
        <f t="shared" si="56"/>
        <v>-3.6009181321526142</v>
      </c>
      <c r="U189" s="89"/>
      <c r="V189" s="103"/>
      <c r="W189" s="767"/>
      <c r="X189" s="786" t="str">
        <f t="shared" si="51"/>
        <v>Reading</v>
      </c>
      <c r="Y189" s="370">
        <f>IF(ISNUMBER(H191),IDACI!D20,0)</f>
        <v>33203</v>
      </c>
      <c r="Z189" s="370">
        <f>IF(ISNUMBER(H191),IDACI!E20,0)</f>
        <v>5312.4800000000005</v>
      </c>
      <c r="AA189" s="369">
        <f>IF(ISNUMBER(D191),Population!D22,"")</f>
        <v>37030</v>
      </c>
      <c r="AB189" s="369">
        <f>IF(ISNUMBER(E191),Population!E22,"")</f>
        <v>36971</v>
      </c>
      <c r="AC189" s="369">
        <f>IF(ISNUMBER(F191),Population!F22,"")</f>
        <v>36334</v>
      </c>
      <c r="AD189" s="369">
        <f>IF(ISNUMBER(G191),Population!G22,"")</f>
        <v>37260</v>
      </c>
      <c r="AE189" s="72">
        <f>IF(ISNUMBER(H191),Population!H22,"")</f>
        <v>37929</v>
      </c>
      <c r="AF189" s="65" t="s">
        <v>3</v>
      </c>
      <c r="AG189" s="70">
        <f t="shared" si="52"/>
        <v>25.574098974399536</v>
      </c>
      <c r="AH189" s="747">
        <f t="shared" si="53"/>
        <v>12</v>
      </c>
      <c r="AI189" s="768"/>
      <c r="AJ189" s="766"/>
      <c r="AK189" s="480">
        <f t="shared" si="61"/>
        <v>-0.13664596273291926</v>
      </c>
      <c r="AL189" s="480">
        <f t="shared" si="62"/>
        <v>7.5539568345323743E-2</v>
      </c>
      <c r="AM189" s="480">
        <f t="shared" si="63"/>
        <v>0.16053511705685619</v>
      </c>
      <c r="AN189" s="480">
        <f t="shared" si="64"/>
        <v>-3.4582132564841501E-2</v>
      </c>
      <c r="AO189" s="480">
        <f t="shared" si="65"/>
        <v>1.6211647526104794E-2</v>
      </c>
      <c r="AQ189" s="531">
        <f t="shared" si="66"/>
        <v>19.143500506132117</v>
      </c>
      <c r="AR189" s="531">
        <f t="shared" si="67"/>
        <v>20.431452136419232</v>
      </c>
      <c r="AS189" s="531">
        <f t="shared" si="68"/>
        <v>23.204804130053901</v>
      </c>
      <c r="AT189" s="531">
        <f t="shared" si="69"/>
        <v>21.966492901872069</v>
      </c>
      <c r="AU189" s="531">
        <f t="shared" si="54"/>
        <v>84.746249674477326</v>
      </c>
      <c r="AV189" s="350">
        <f t="shared" si="55"/>
        <v>0</v>
      </c>
      <c r="AW189" s="531">
        <f t="shared" si="70"/>
        <v>84.746249674477326</v>
      </c>
    </row>
    <row r="190" spans="1:49" s="61" customFormat="1" ht="15.75" customHeight="1">
      <c r="A190" s="1103">
        <f>VLOOKUP(B190,ReportData!$AQ$4:$AR$25,2,FALSE)</f>
        <v>0</v>
      </c>
      <c r="B190" s="885" t="str">
        <f>ReportData!$K$14</f>
        <v>Portsmouth</v>
      </c>
      <c r="C190" s="896"/>
      <c r="D190" s="889">
        <f>IF(Year1_Portsmouth Year1_Adoption_ceased_LAC="","",Year1_Portsmouth Year1_Adoption_ceased_LAC)</f>
        <v>204</v>
      </c>
      <c r="E190" s="889">
        <f>IF(Year2_Portsmouth Year2_Adoption_ceased_LAC="","",Year2_Portsmouth Year2_Adoption_ceased_LAC)</f>
        <v>216</v>
      </c>
      <c r="F190" s="889">
        <f>IF(Year3_Portsmouth Year3_Adoption_ceased_LAC="","",Year3_Portsmouth Year3_Adoption_ceased_LAC)</f>
        <v>128</v>
      </c>
      <c r="G190" s="889">
        <f>IF(Year4_Portsmouth Year4_Adoption_ceased_LAC="","",Year4_Portsmouth Year4_Adoption_ceased_LAC)</f>
        <v>157</v>
      </c>
      <c r="H190" s="890">
        <f>IF(Year5_Portsmouth Year5_Adoption_ceased_LAC="","",Year5_Portsmouth Year5_Adoption_ceased_LAC)</f>
        <v>156</v>
      </c>
      <c r="I190" s="900">
        <f t="shared" si="57"/>
        <v>-3.2097701186808755E-2</v>
      </c>
      <c r="J190" s="896"/>
      <c r="K190" s="901">
        <f>IF(ISNUMBER(D190),D190/Population!D21*10000,NA())</f>
        <v>48.533295268003712</v>
      </c>
      <c r="L190" s="901">
        <f>IF(ISNUMBER(E190),E190/Population!E21*10000,NA())</f>
        <v>51.594410605517737</v>
      </c>
      <c r="M190" s="901">
        <f>IF(ISNUMBER(F190),F190/Population!F21*10000,NA())</f>
        <v>30.882814196443654</v>
      </c>
      <c r="N190" s="901">
        <f>IF(ISNUMBER(G190),G190/Population!G21*10000,NA())</f>
        <v>37.496119032265767</v>
      </c>
      <c r="O190" s="902">
        <f>IF(ISNUMBER(H190),H190/Population!H21*10000,NA())</f>
        <v>36.873330654501622</v>
      </c>
      <c r="P190" s="903">
        <f t="shared" si="58"/>
        <v>36.873330654501622</v>
      </c>
      <c r="Q190" s="1190">
        <f t="shared" si="59"/>
        <v>17</v>
      </c>
      <c r="R190" s="64"/>
      <c r="S190" s="905">
        <f t="shared" si="60"/>
        <v>32.922518037929819</v>
      </c>
      <c r="T190" s="906">
        <f t="shared" si="56"/>
        <v>3.9508126165718025</v>
      </c>
      <c r="U190" s="89"/>
      <c r="V190" s="103"/>
      <c r="W190" s="767"/>
      <c r="X190" s="786" t="str">
        <f t="shared" si="51"/>
        <v>Slough</v>
      </c>
      <c r="Y190" s="370">
        <f>IF(ISNUMBER(H192),IDACI!D21,0)</f>
        <v>37031</v>
      </c>
      <c r="Z190" s="370">
        <f>IF(ISNUMBER(H192),IDACI!E21,0)</f>
        <v>5443.5569999999998</v>
      </c>
      <c r="AA190" s="369">
        <f>IF(ISNUMBER(D192),Population!D23,"")</f>
        <v>43479</v>
      </c>
      <c r="AB190" s="369">
        <f>IF(ISNUMBER(E192),Population!E23,"")</f>
        <v>43900</v>
      </c>
      <c r="AC190" s="369">
        <f>IF(ISNUMBER(F192),Population!F23,"")</f>
        <v>43737</v>
      </c>
      <c r="AD190" s="369">
        <f>IF(ISNUMBER(G192),Population!G23,"")</f>
        <v>44250</v>
      </c>
      <c r="AE190" s="72">
        <f>IF(ISNUMBER(H192),Population!H23,"")</f>
        <v>44849</v>
      </c>
      <c r="AF190" s="65" t="s">
        <v>13</v>
      </c>
      <c r="AG190" s="70">
        <f t="shared" si="52"/>
        <v>27.648331066467478</v>
      </c>
      <c r="AH190" s="747">
        <f t="shared" si="53"/>
        <v>13</v>
      </c>
      <c r="AI190" s="768"/>
      <c r="AJ190" s="766"/>
      <c r="AK190" s="480">
        <f t="shared" si="61"/>
        <v>5.8823529411764705E-2</v>
      </c>
      <c r="AL190" s="480">
        <f t="shared" si="62"/>
        <v>-0.40740740740740738</v>
      </c>
      <c r="AM190" s="480">
        <f t="shared" si="63"/>
        <v>0.2265625</v>
      </c>
      <c r="AN190" s="480">
        <f t="shared" si="64"/>
        <v>-6.369426751592357E-3</v>
      </c>
      <c r="AO190" s="480">
        <f t="shared" si="65"/>
        <v>-3.2097701186808755E-2</v>
      </c>
      <c r="AQ190" s="531">
        <f t="shared" si="66"/>
        <v>51.594410605517737</v>
      </c>
      <c r="AR190" s="531">
        <f t="shared" si="67"/>
        <v>30.882814196443654</v>
      </c>
      <c r="AS190" s="531">
        <f t="shared" si="68"/>
        <v>37.496119032265767</v>
      </c>
      <c r="AT190" s="531">
        <f t="shared" si="69"/>
        <v>36.873330654501622</v>
      </c>
      <c r="AU190" s="531">
        <f t="shared" si="54"/>
        <v>156.84667448872878</v>
      </c>
      <c r="AV190" s="350">
        <f t="shared" si="55"/>
        <v>0</v>
      </c>
      <c r="AW190" s="531">
        <f t="shared" si="70"/>
        <v>156.84667448872878</v>
      </c>
    </row>
    <row r="191" spans="1:49" s="61" customFormat="1" ht="15.75" customHeight="1">
      <c r="A191" s="1103">
        <f>VLOOKUP(B191,ReportData!$AQ$4:$AR$25,2,FALSE)</f>
        <v>0</v>
      </c>
      <c r="B191" s="885" t="str">
        <f>ReportData!$K$15</f>
        <v>Reading</v>
      </c>
      <c r="C191" s="896"/>
      <c r="D191" s="889">
        <f>IF(Year1_Reading Year1_Adoption_ceased_LAC="","",Year1_Reading Year1_Adoption_ceased_LAC)</f>
        <v>109</v>
      </c>
      <c r="E191" s="889">
        <f>IF(Year2_Reading Year2_Adoption_ceased_LAC="","",Year2_Reading Year2_Adoption_ceased_LAC)</f>
        <v>101</v>
      </c>
      <c r="F191" s="889">
        <f>IF(Year3_Reading Year3_Adoption_ceased_LAC="","",Year3_Reading Year3_Adoption_ceased_LAC)</f>
        <v>116</v>
      </c>
      <c r="G191" s="889">
        <f>IF(Year4_Reading Year4_Adoption_ceased_LAC="","",Year4_Reading Year4_Adoption_ceased_LAC)</f>
        <v>82</v>
      </c>
      <c r="H191" s="890">
        <f>IF(Year5_Reading Year5_Adoption_ceased_LAC="","",Year5_Reading Year5_Adoption_ceased_LAC)</f>
        <v>97</v>
      </c>
      <c r="I191" s="900">
        <f t="shared" si="57"/>
        <v>-8.7640657338162245E-3</v>
      </c>
      <c r="J191" s="896"/>
      <c r="K191" s="901">
        <f>IF(ISNUMBER(D191),D191/Population!D22*10000,NA())</f>
        <v>29.4355927626249</v>
      </c>
      <c r="L191" s="901">
        <f>IF(ISNUMBER(E191),E191/Population!E22*10000,NA())</f>
        <v>27.318709258608099</v>
      </c>
      <c r="M191" s="901">
        <f>IF(ISNUMBER(F191),F191/Population!F22*10000,NA())</f>
        <v>31.92601970606044</v>
      </c>
      <c r="N191" s="901">
        <f>IF(ISNUMBER(G191),G191/Population!G22*10000,NA())</f>
        <v>22.007514761137951</v>
      </c>
      <c r="O191" s="902">
        <f>IF(ISNUMBER(H191),H191/Population!H22*10000,NA())</f>
        <v>25.574098974399536</v>
      </c>
      <c r="P191" s="903">
        <f t="shared" si="58"/>
        <v>25.574098974399536</v>
      </c>
      <c r="Q191" s="1190">
        <f t="shared" si="59"/>
        <v>12</v>
      </c>
      <c r="R191" s="64"/>
      <c r="S191" s="905">
        <f t="shared" si="60"/>
        <v>29.863958689771245</v>
      </c>
      <c r="T191" s="906">
        <f t="shared" ref="T191:T198" si="71">O191-S191</f>
        <v>-4.2898597153717084</v>
      </c>
      <c r="U191" s="89"/>
      <c r="V191" s="103"/>
      <c r="W191" s="767"/>
      <c r="X191" s="786" t="str">
        <f t="shared" ref="X191:X198" si="72">B193</f>
        <v>Southampton</v>
      </c>
      <c r="Y191" s="370">
        <f>IF(ISNUMBER(H193),IDACI!D22,0)</f>
        <v>44295</v>
      </c>
      <c r="Z191" s="370">
        <f>IF(ISNUMBER(H193),IDACI!E22,0)</f>
        <v>9080.4750000000004</v>
      </c>
      <c r="AA191" s="369">
        <f>IF(ISNUMBER(D193),Population!D24,"")</f>
        <v>49588</v>
      </c>
      <c r="AB191" s="369">
        <f>IF(ISNUMBER(E193),Population!E24,"")</f>
        <v>49737</v>
      </c>
      <c r="AC191" s="369">
        <f>IF(ISNUMBER(F193),Population!F24,"")</f>
        <v>49388</v>
      </c>
      <c r="AD191" s="369">
        <f>IF(ISNUMBER(G193),Population!G24,"")</f>
        <v>49871</v>
      </c>
      <c r="AE191" s="72">
        <f>IF(ISNUMBER(H193),Population!H24,"")</f>
        <v>50373</v>
      </c>
      <c r="AF191" s="65" t="s">
        <v>14</v>
      </c>
      <c r="AG191" s="70">
        <f t="shared" si="52"/>
        <v>42.483076251166302</v>
      </c>
      <c r="AH191" s="747">
        <f t="shared" si="53"/>
        <v>18</v>
      </c>
      <c r="AI191" s="768"/>
      <c r="AJ191" s="766"/>
      <c r="AK191" s="480">
        <f t="shared" si="61"/>
        <v>-7.3394495412844041E-2</v>
      </c>
      <c r="AL191" s="480">
        <f t="shared" si="62"/>
        <v>0.14851485148514851</v>
      </c>
      <c r="AM191" s="480">
        <f t="shared" si="63"/>
        <v>-0.29310344827586204</v>
      </c>
      <c r="AN191" s="480">
        <f t="shared" si="64"/>
        <v>0.18292682926829268</v>
      </c>
      <c r="AO191" s="480">
        <f t="shared" si="65"/>
        <v>-8.7640657338162245E-3</v>
      </c>
      <c r="AQ191" s="531">
        <f t="shared" si="66"/>
        <v>27.318709258608099</v>
      </c>
      <c r="AR191" s="531">
        <f t="shared" si="67"/>
        <v>31.92601970606044</v>
      </c>
      <c r="AS191" s="531">
        <f t="shared" si="68"/>
        <v>22.007514761137951</v>
      </c>
      <c r="AT191" s="531">
        <f t="shared" si="69"/>
        <v>25.574098974399536</v>
      </c>
      <c r="AU191" s="531">
        <f t="shared" si="54"/>
        <v>106.82634270020603</v>
      </c>
      <c r="AV191" s="350">
        <f t="shared" si="55"/>
        <v>0</v>
      </c>
      <c r="AW191" s="531">
        <f t="shared" si="70"/>
        <v>106.82634270020603</v>
      </c>
    </row>
    <row r="192" spans="1:49" s="61" customFormat="1" ht="15.75" customHeight="1">
      <c r="A192" s="1103">
        <f>VLOOKUP(B192,ReportData!$AQ$4:$AR$25,2,FALSE)</f>
        <v>0</v>
      </c>
      <c r="B192" s="885" t="str">
        <f>ReportData!$K$16</f>
        <v>Slough</v>
      </c>
      <c r="C192" s="896"/>
      <c r="D192" s="889">
        <f>IF(Year1_Slough Year1_Adoption_ceased_LAC="","",Year1_Slough Year1_Adoption_ceased_LAC)</f>
        <v>125</v>
      </c>
      <c r="E192" s="889">
        <f>IF(Year2_Slough Year2_Adoption_ceased_LAC="","",Year2_Slough Year2_Adoption_ceased_LAC)</f>
        <v>103</v>
      </c>
      <c r="F192" s="889">
        <f>IF(Year3_Slough Year3_Adoption_ceased_LAC="","",Year3_Slough Year3_Adoption_ceased_LAC)</f>
        <v>112</v>
      </c>
      <c r="G192" s="889">
        <f>IF(Year4_Slough Year4_Adoption_ceased_LAC="","",Year4_Slough Year4_Adoption_ceased_LAC)</f>
        <v>121</v>
      </c>
      <c r="H192" s="890">
        <f>IF(Year5_Slough Year5_Adoption_ceased_LAC="","",Year5_Slough Year5_Adoption_ceased_LAC)</f>
        <v>124</v>
      </c>
      <c r="I192" s="900">
        <f t="shared" si="57"/>
        <v>4.132293015898493E-3</v>
      </c>
      <c r="J192" s="896"/>
      <c r="K192" s="901">
        <f>IF(ISNUMBER(D192),D192/Population!D23*10000,NA())</f>
        <v>28.749511258308612</v>
      </c>
      <c r="L192" s="901">
        <f>IF(ISNUMBER(E192),E192/Population!E23*10000,NA())</f>
        <v>23.462414578587698</v>
      </c>
      <c r="M192" s="901">
        <f>IF(ISNUMBER(F192),F192/Population!F23*10000,NA())</f>
        <v>25.607609118137958</v>
      </c>
      <c r="N192" s="901">
        <f>IF(ISNUMBER(G192),G192/Population!G23*10000,NA())</f>
        <v>27.344632768361581</v>
      </c>
      <c r="O192" s="902">
        <f>IF(ISNUMBER(H192),H192/Population!H23*10000,NA())</f>
        <v>27.648331066467478</v>
      </c>
      <c r="P192" s="903">
        <f t="shared" si="58"/>
        <v>27.648331066467478</v>
      </c>
      <c r="Q192" s="1190">
        <f t="shared" si="59"/>
        <v>13</v>
      </c>
      <c r="R192" s="64"/>
      <c r="S192" s="905">
        <f t="shared" si="60"/>
        <v>28.917261748674548</v>
      </c>
      <c r="T192" s="906">
        <f t="shared" si="71"/>
        <v>-1.2689306822070705</v>
      </c>
      <c r="U192" s="89"/>
      <c r="V192" s="103"/>
      <c r="W192" s="767"/>
      <c r="X192" s="786" t="str">
        <f t="shared" si="72"/>
        <v>Surrey</v>
      </c>
      <c r="Y192" s="370">
        <f>IF(ISNUMBER(H194),IDACI!D23,0)</f>
        <v>228466</v>
      </c>
      <c r="Z192" s="370">
        <f>IF(ISNUMBER(H194),IDACI!E23,0)</f>
        <v>18962.678</v>
      </c>
      <c r="AA192" s="369">
        <f>IF(ISNUMBER(D194),Population!D25,"")</f>
        <v>258045</v>
      </c>
      <c r="AB192" s="369">
        <f>IF(ISNUMBER(E194),Population!E25,"")</f>
        <v>258519</v>
      </c>
      <c r="AC192" s="369">
        <f>IF(ISNUMBER(F194),Population!F25,"")</f>
        <v>259488</v>
      </c>
      <c r="AD192" s="369">
        <f>IF(ISNUMBER(G194),Population!G25,"")</f>
        <v>263534</v>
      </c>
      <c r="AE192" s="72">
        <f>IF(ISNUMBER(H194),Population!H25,"")</f>
        <v>265672</v>
      </c>
      <c r="AF192" s="65" t="s">
        <v>7</v>
      </c>
      <c r="AG192" s="70">
        <f t="shared" si="52"/>
        <v>15.771327049896112</v>
      </c>
      <c r="AH192" s="747">
        <f t="shared" si="53"/>
        <v>2</v>
      </c>
      <c r="AI192" s="768"/>
      <c r="AJ192" s="766"/>
      <c r="AK192" s="480">
        <f t="shared" si="61"/>
        <v>-0.17599999999999999</v>
      </c>
      <c r="AL192" s="480">
        <f t="shared" si="62"/>
        <v>8.7378640776699032E-2</v>
      </c>
      <c r="AM192" s="480">
        <f t="shared" si="63"/>
        <v>8.0357142857142863E-2</v>
      </c>
      <c r="AN192" s="480">
        <f t="shared" si="64"/>
        <v>2.4793388429752067E-2</v>
      </c>
      <c r="AO192" s="480">
        <f t="shared" si="65"/>
        <v>4.132293015898493E-3</v>
      </c>
      <c r="AQ192" s="531">
        <f t="shared" si="66"/>
        <v>23.462414578587698</v>
      </c>
      <c r="AR192" s="531">
        <f t="shared" si="67"/>
        <v>25.607609118137958</v>
      </c>
      <c r="AS192" s="531">
        <f t="shared" si="68"/>
        <v>27.344632768361581</v>
      </c>
      <c r="AT192" s="531">
        <f t="shared" si="69"/>
        <v>27.648331066467478</v>
      </c>
      <c r="AU192" s="531">
        <f t="shared" si="54"/>
        <v>104.06298753155471</v>
      </c>
      <c r="AV192" s="350">
        <f t="shared" si="55"/>
        <v>0</v>
      </c>
      <c r="AW192" s="531">
        <f t="shared" si="70"/>
        <v>104.06298753155471</v>
      </c>
    </row>
    <row r="193" spans="1:76" s="61" customFormat="1" ht="15.75" customHeight="1">
      <c r="A193" s="1103">
        <f>VLOOKUP(B193,ReportData!$AQ$4:$AR$25,2,FALSE)</f>
        <v>0</v>
      </c>
      <c r="B193" s="885" t="str">
        <f>ReportData!$K$17</f>
        <v>Southampton</v>
      </c>
      <c r="C193" s="896"/>
      <c r="D193" s="889">
        <f>IF(Year1_Southampton Year1_Adoption_ceased_LAC="","",Year1_Southampton Year1_Adoption_ceased_LAC)</f>
        <v>199</v>
      </c>
      <c r="E193" s="889">
        <f>IF(Year2_Southampton Year2_Adoption_ceased_LAC="","",Year2_Southampton Year2_Adoption_ceased_LAC)</f>
        <v>183</v>
      </c>
      <c r="F193" s="889">
        <f>IF(Year3_Southampton Year3_Adoption_ceased_LAC="","",Year3_Southampton Year3_Adoption_ceased_LAC)</f>
        <v>167</v>
      </c>
      <c r="G193" s="889">
        <f>IF(Year4_Southampton Year4_Adoption_ceased_LAC="","",Year4_Southampton Year4_Adoption_ceased_LAC)</f>
        <v>218</v>
      </c>
      <c r="H193" s="890">
        <f>IF(Year5_Southampton Year5_Adoption_ceased_LAC="","",Year5_Southampton Year5_Adoption_ceased_LAC)</f>
        <v>214</v>
      </c>
      <c r="I193" s="900">
        <f t="shared" si="57"/>
        <v>2.9801723416088235E-2</v>
      </c>
      <c r="J193" s="896"/>
      <c r="K193" s="901">
        <f>IF(ISNUMBER(D193),D193/Population!D24*10000,NA())</f>
        <v>40.130676776639511</v>
      </c>
      <c r="L193" s="901">
        <f>IF(ISNUMBER(E193),E193/Population!E24*10000,NA())</f>
        <v>36.793533988780986</v>
      </c>
      <c r="M193" s="901">
        <f>IF(ISNUMBER(F193),F193/Population!F24*10000,NA())</f>
        <v>33.813881914635132</v>
      </c>
      <c r="N193" s="901">
        <f>IF(ISNUMBER(G193),G193/Population!G24*10000,NA())</f>
        <v>43.712778969741933</v>
      </c>
      <c r="O193" s="902">
        <f>IF(ISNUMBER(H193),H193/Population!H24*10000,NA())</f>
        <v>42.483076251166302</v>
      </c>
      <c r="P193" s="903">
        <f t="shared" si="58"/>
        <v>42.483076251166302</v>
      </c>
      <c r="Q193" s="1190">
        <f t="shared" si="59"/>
        <v>18</v>
      </c>
      <c r="R193" s="64"/>
      <c r="S193" s="905">
        <f t="shared" si="60"/>
        <v>33.14098656279829</v>
      </c>
      <c r="T193" s="906">
        <f t="shared" si="71"/>
        <v>9.3420896883680129</v>
      </c>
      <c r="U193" s="89"/>
      <c r="V193" s="103"/>
      <c r="W193" s="767"/>
      <c r="X193" s="786" t="str">
        <f t="shared" si="72"/>
        <v>West Berkshire</v>
      </c>
      <c r="Y193" s="370">
        <f>IF(ISNUMBER(H195),IDACI!D24,0)</f>
        <v>31625</v>
      </c>
      <c r="Z193" s="370">
        <f>IF(ISNUMBER(H195),IDACI!E24,0)</f>
        <v>2751.375</v>
      </c>
      <c r="AA193" s="369">
        <f>IF(ISNUMBER(D195),Population!D26,"")</f>
        <v>35061</v>
      </c>
      <c r="AB193" s="369">
        <f>IF(ISNUMBER(E195),Population!E26,"")</f>
        <v>34824</v>
      </c>
      <c r="AC193" s="369">
        <f>IF(ISNUMBER(F195),Population!F26,"")</f>
        <v>34595</v>
      </c>
      <c r="AD193" s="369">
        <f>IF(ISNUMBER(G195),Population!G26,"")</f>
        <v>34912</v>
      </c>
      <c r="AE193" s="72">
        <f>IF(ISNUMBER(H195),Population!H26,"")</f>
        <v>35325</v>
      </c>
      <c r="AF193" s="65" t="s">
        <v>15</v>
      </c>
      <c r="AG193" s="70">
        <f t="shared" si="52"/>
        <v>22.929936305732483</v>
      </c>
      <c r="AH193" s="747">
        <f t="shared" si="53"/>
        <v>10</v>
      </c>
      <c r="AI193" s="768"/>
      <c r="AJ193" s="766"/>
      <c r="AK193" s="480">
        <f t="shared" si="61"/>
        <v>-8.0402010050251257E-2</v>
      </c>
      <c r="AL193" s="480">
        <f t="shared" si="62"/>
        <v>-8.7431693989071038E-2</v>
      </c>
      <c r="AM193" s="480">
        <f t="shared" si="63"/>
        <v>0.30538922155688625</v>
      </c>
      <c r="AN193" s="480">
        <f t="shared" si="64"/>
        <v>-1.834862385321101E-2</v>
      </c>
      <c r="AO193" s="480">
        <f t="shared" si="65"/>
        <v>2.9801723416088235E-2</v>
      </c>
      <c r="AQ193" s="531">
        <f t="shared" si="66"/>
        <v>36.793533988780986</v>
      </c>
      <c r="AR193" s="531">
        <f t="shared" si="67"/>
        <v>33.813881914635132</v>
      </c>
      <c r="AS193" s="531">
        <f t="shared" si="68"/>
        <v>43.712778969741933</v>
      </c>
      <c r="AT193" s="531">
        <f t="shared" si="69"/>
        <v>42.483076251166302</v>
      </c>
      <c r="AU193" s="531">
        <f>SUM(AQ193:AT193)</f>
        <v>156.80327112432437</v>
      </c>
      <c r="AV193" s="350">
        <f>COUNTBLANK(AQ193:AT193)</f>
        <v>0</v>
      </c>
      <c r="AW193" s="531">
        <f t="shared" ref="AW193:AW200" si="73">AU193/(4-AV193)*4</f>
        <v>156.80327112432437</v>
      </c>
    </row>
    <row r="194" spans="1:76" s="61" customFormat="1" ht="15.75" customHeight="1">
      <c r="A194" s="1103">
        <f>VLOOKUP(B194,ReportData!$AQ$4:$AR$25,2,FALSE)</f>
        <v>0</v>
      </c>
      <c r="B194" s="885" t="str">
        <f>ReportData!$K$18</f>
        <v>Surrey</v>
      </c>
      <c r="C194" s="896"/>
      <c r="D194" s="889">
        <f>IF(Year1_Surrey Year1_Adoption_ceased_LAC="","",Year1_Surrey Year1_Adoption_ceased_LAC)</f>
        <v>365</v>
      </c>
      <c r="E194" s="889">
        <f>IF(Year2_Surrey Year2_Adoption_ceased_LAC="","",Year2_Surrey Year2_Adoption_ceased_LAC)</f>
        <v>409</v>
      </c>
      <c r="F194" s="889">
        <f>IF(Year3_Surrey Year3_Adoption_ceased_LAC="","",Year3_Surrey Year3_Adoption_ceased_LAC)</f>
        <v>400</v>
      </c>
      <c r="G194" s="889">
        <f>IF(Year4_Surrey Year4_Adoption_ceased_LAC="","",Year4_Surrey Year4_Adoption_ceased_LAC)</f>
        <v>421</v>
      </c>
      <c r="H194" s="890">
        <f>IF(Year5_Surrey Year5_Adoption_ceased_LAC="","",Year5_Surrey Year5_Adoption_ceased_LAC)</f>
        <v>419</v>
      </c>
      <c r="I194" s="900">
        <f t="shared" si="57"/>
        <v>3.657311535142533E-2</v>
      </c>
      <c r="J194" s="896"/>
      <c r="K194" s="901">
        <f>IF(ISNUMBER(D194),D194/Population!D25*10000,NA())</f>
        <v>14.144819701989961</v>
      </c>
      <c r="L194" s="901">
        <f>IF(ISNUMBER(E194),E194/Population!E25*10000,NA())</f>
        <v>15.820887439607921</v>
      </c>
      <c r="M194" s="901">
        <f>IF(ISNUMBER(F194),F194/Population!F25*10000,NA())</f>
        <v>15.414971019854482</v>
      </c>
      <c r="N194" s="901">
        <f>IF(ISNUMBER(G194),G194/Population!G25*10000,NA())</f>
        <v>15.975168289480676</v>
      </c>
      <c r="O194" s="902">
        <f>IF(ISNUMBER(H194),H194/Population!H25*10000,NA())</f>
        <v>15.771327049896112</v>
      </c>
      <c r="P194" s="903">
        <f t="shared" si="58"/>
        <v>15.771327049896112</v>
      </c>
      <c r="Q194" s="1190">
        <f t="shared" si="59"/>
        <v>2</v>
      </c>
      <c r="R194" s="64"/>
      <c r="S194" s="905">
        <f t="shared" si="60"/>
        <v>24.256599884813866</v>
      </c>
      <c r="T194" s="906">
        <f t="shared" si="71"/>
        <v>-8.4852728349177546</v>
      </c>
      <c r="U194" s="89"/>
      <c r="V194" s="103"/>
      <c r="W194" s="767"/>
      <c r="X194" s="786" t="str">
        <f t="shared" si="72"/>
        <v>West Sussex</v>
      </c>
      <c r="Y194" s="370">
        <f>IF(ISNUMBER(H196),IDACI!D25,0)</f>
        <v>151487</v>
      </c>
      <c r="Z194" s="370">
        <f>IF(ISNUMBER(H196),IDACI!E25,0)</f>
        <v>16663.57</v>
      </c>
      <c r="AA194" s="369">
        <f>IF(ISNUMBER(D196),Population!D27,"")</f>
        <v>173551</v>
      </c>
      <c r="AB194" s="369">
        <f>IF(ISNUMBER(E196),Population!E27,"")</f>
        <v>173873</v>
      </c>
      <c r="AC194" s="369">
        <f>IF(ISNUMBER(F196),Population!F27,"")</f>
        <v>174834</v>
      </c>
      <c r="AD194" s="369">
        <f>IF(ISNUMBER(G196),Population!G27,"")</f>
        <v>177349</v>
      </c>
      <c r="AE194" s="72">
        <f>IF(ISNUMBER(H196),Population!H27,"")</f>
        <v>179008</v>
      </c>
      <c r="AF194" s="65" t="s">
        <v>5</v>
      </c>
      <c r="AG194" s="70">
        <f t="shared" si="52"/>
        <v>22.40123346442617</v>
      </c>
      <c r="AH194" s="747">
        <f t="shared" si="53"/>
        <v>7</v>
      </c>
      <c r="AI194" s="768"/>
      <c r="AJ194" s="766"/>
      <c r="AK194" s="480">
        <f t="shared" si="61"/>
        <v>0.12054794520547946</v>
      </c>
      <c r="AL194" s="480">
        <f t="shared" si="62"/>
        <v>-2.2004889975550123E-2</v>
      </c>
      <c r="AM194" s="480">
        <f t="shared" si="63"/>
        <v>5.2499999999999998E-2</v>
      </c>
      <c r="AN194" s="480">
        <f t="shared" si="64"/>
        <v>-4.7505938242280287E-3</v>
      </c>
      <c r="AO194" s="480">
        <f t="shared" si="65"/>
        <v>3.657311535142533E-2</v>
      </c>
      <c r="AQ194" s="531">
        <f t="shared" si="66"/>
        <v>15.820887439607921</v>
      </c>
      <c r="AR194" s="531">
        <f t="shared" si="67"/>
        <v>15.414971019854482</v>
      </c>
      <c r="AS194" s="531">
        <f t="shared" si="68"/>
        <v>15.975168289480676</v>
      </c>
      <c r="AT194" s="531">
        <f t="shared" si="69"/>
        <v>15.771327049896112</v>
      </c>
      <c r="AU194" s="531">
        <f>SUM(AQ194:AT194)</f>
        <v>62.982353798839185</v>
      </c>
      <c r="AV194" s="350">
        <f>COUNTBLANK(AQ194:AT194)</f>
        <v>0</v>
      </c>
      <c r="AW194" s="531">
        <f t="shared" si="73"/>
        <v>62.982353798839185</v>
      </c>
    </row>
    <row r="195" spans="1:76" s="61" customFormat="1" ht="15.75" customHeight="1">
      <c r="A195" s="1103">
        <f>VLOOKUP(B195,ReportData!$AQ$4:$AR$25,2,FALSE)</f>
        <v>0</v>
      </c>
      <c r="B195" s="885" t="str">
        <f>ReportData!$K$19</f>
        <v>West Berkshire</v>
      </c>
      <c r="C195" s="896"/>
      <c r="D195" s="889">
        <f>IF(Year1_West_Berkshire Year1_Adoption_ceased_LAC="","",Year1_West_Berkshire Year1_Adoption_ceased_LAC)</f>
        <v>74</v>
      </c>
      <c r="E195" s="889">
        <f>IF(Year2_West_Berkshire Year2_Adoption_ceased_LAC="","",Year2_West_Berkshire Year2_Adoption_ceased_LAC)</f>
        <v>58</v>
      </c>
      <c r="F195" s="889">
        <f>IF(Year3_West_Berkshire Year3_Adoption_ceased_LAC="","",Year3_West_Berkshire Year3_Adoption_ceased_LAC)</f>
        <v>56</v>
      </c>
      <c r="G195" s="889">
        <f>IF(Year4_West_Berkshire Year4_Adoption_ceased_LAC="","",Year4_West_Berkshire Year4_Adoption_ceased_LAC)</f>
        <v>70</v>
      </c>
      <c r="H195" s="890">
        <f>IF(Year5_West_Berkshire Year5_Adoption_ceased_LAC="","",Year5_West_Berkshire Year5_Adoption_ceased_LAC)</f>
        <v>81</v>
      </c>
      <c r="I195" s="900">
        <f t="shared" si="57"/>
        <v>3.9110970576487811E-2</v>
      </c>
      <c r="J195" s="896"/>
      <c r="K195" s="901">
        <f>IF(ISNUMBER(D195),D195/Population!D26*10000,NA())</f>
        <v>21.106072274036681</v>
      </c>
      <c r="L195" s="901">
        <f>IF(ISNUMBER(E195),E195/Population!E26*10000,NA())</f>
        <v>16.655180335400875</v>
      </c>
      <c r="M195" s="901">
        <f>IF(ISNUMBER(F195),F195/Population!F26*10000,NA())</f>
        <v>16.187310304957364</v>
      </c>
      <c r="N195" s="901">
        <f>IF(ISNUMBER(G195),G195/Population!G26*10000,NA())</f>
        <v>20.050412465627865</v>
      </c>
      <c r="O195" s="902">
        <f>IF(ISNUMBER(H195),H195/Population!H26*10000,NA())</f>
        <v>22.929936305732483</v>
      </c>
      <c r="P195" s="903">
        <f t="shared" ref="P195:P200" si="74">IF(ISNUMBER(O195),O195,"")</f>
        <v>22.929936305732483</v>
      </c>
      <c r="Q195" s="1190">
        <f t="shared" si="59"/>
        <v>10</v>
      </c>
      <c r="R195" s="64"/>
      <c r="S195" s="905">
        <f t="shared" si="60"/>
        <v>24.54789125130516</v>
      </c>
      <c r="T195" s="906">
        <f t="shared" si="71"/>
        <v>-1.6179549455726772</v>
      </c>
      <c r="U195" s="89"/>
      <c r="V195" s="103"/>
      <c r="W195" s="767"/>
      <c r="X195" s="786" t="str">
        <f t="shared" si="72"/>
        <v>Windsor &amp; Maidenhead</v>
      </c>
      <c r="Y195" s="370">
        <f>IF(ISNUMBER(H197),IDACI!D26,0)</f>
        <v>29792</v>
      </c>
      <c r="Z195" s="370">
        <f>IF(ISNUMBER(H197),IDACI!E26,0)</f>
        <v>1996.0640000000001</v>
      </c>
      <c r="AA195" s="369">
        <f>IF(ISNUMBER(D197),Population!D28,"")</f>
        <v>34274</v>
      </c>
      <c r="AB195" s="369">
        <f>IF(ISNUMBER(E197),Population!E28,"")</f>
        <v>34083</v>
      </c>
      <c r="AC195" s="369">
        <f>IF(ISNUMBER(F197),Population!F28,"")</f>
        <v>33876</v>
      </c>
      <c r="AD195" s="369">
        <f>IF(ISNUMBER(G197),Population!G28,"")</f>
        <v>34113</v>
      </c>
      <c r="AE195" s="72">
        <f>IF(ISNUMBER(H197),Population!H28,"")</f>
        <v>34281</v>
      </c>
      <c r="AF195" s="786" t="s">
        <v>27</v>
      </c>
      <c r="AG195" s="70">
        <f t="shared" si="52"/>
        <v>21.878008226131094</v>
      </c>
      <c r="AH195" s="747">
        <f t="shared" si="53"/>
        <v>5</v>
      </c>
      <c r="AI195" s="768"/>
      <c r="AJ195" s="766"/>
      <c r="AK195" s="480">
        <f t="shared" si="61"/>
        <v>-0.21621621621621623</v>
      </c>
      <c r="AL195" s="480">
        <f t="shared" si="62"/>
        <v>-3.4482758620689655E-2</v>
      </c>
      <c r="AM195" s="480">
        <f t="shared" si="63"/>
        <v>0.25</v>
      </c>
      <c r="AN195" s="480">
        <f t="shared" si="64"/>
        <v>0.15714285714285714</v>
      </c>
      <c r="AO195" s="480">
        <f t="shared" ref="AO195:AO200" si="75">AVERAGE(AK195:AN195)</f>
        <v>3.9110970576487811E-2</v>
      </c>
      <c r="AQ195" s="531">
        <f t="shared" si="66"/>
        <v>16.655180335400875</v>
      </c>
      <c r="AR195" s="531">
        <f t="shared" si="67"/>
        <v>16.187310304957364</v>
      </c>
      <c r="AS195" s="531">
        <f t="shared" si="68"/>
        <v>20.050412465627865</v>
      </c>
      <c r="AT195" s="531">
        <f t="shared" si="69"/>
        <v>22.929936305732483</v>
      </c>
      <c r="AU195" s="531">
        <f t="shared" ref="AU195:AU200" si="76">SUM(AQ195:AT195)</f>
        <v>75.822839411718576</v>
      </c>
      <c r="AV195" s="350">
        <f t="shared" ref="AV195:AV200" si="77">COUNTBLANK(AQ195:AT195)</f>
        <v>0</v>
      </c>
      <c r="AW195" s="531">
        <f t="shared" si="73"/>
        <v>75.822839411718576</v>
      </c>
    </row>
    <row r="196" spans="1:76" s="61" customFormat="1" ht="15.75" customHeight="1">
      <c r="A196" s="1103">
        <f>VLOOKUP(B196,ReportData!$AQ$4:$AR$25,2,FALSE)</f>
        <v>0</v>
      </c>
      <c r="B196" s="885" t="str">
        <f>ReportData!$K$20</f>
        <v>West Sussex</v>
      </c>
      <c r="C196" s="896"/>
      <c r="D196" s="889">
        <f>IF(Year1_West_Sussex Year1_Adoption_ceased_LAC="","",Year1_West_Sussex Year1_Adoption_ceased_LAC)</f>
        <v>355</v>
      </c>
      <c r="E196" s="889">
        <f>IF(Year2_West_Sussex Year2_Adoption_ceased_LAC="","",Year2_West_Sussex Year2_Adoption_ceased_LAC)</f>
        <v>386</v>
      </c>
      <c r="F196" s="889">
        <f>IF(Year3_West_Sussex Year3_Adoption_ceased_LAC="","",Year3_West_Sussex Year3_Adoption_ceased_LAC)</f>
        <v>457</v>
      </c>
      <c r="G196" s="889">
        <f>IF(Year4_West_Sussex Year4_Adoption_ceased_LAC="","",Year4_West_Sussex Year4_Adoption_ceased_LAC)</f>
        <v>377</v>
      </c>
      <c r="H196" s="890">
        <f>IF(Year5_West_Sussex Year5_Adoption_ceased_LAC="","",Year5_West_Sussex Year5_Adoption_ceased_LAC)</f>
        <v>401</v>
      </c>
      <c r="I196" s="900">
        <f t="shared" si="57"/>
        <v>3.9966885088640908E-2</v>
      </c>
      <c r="J196" s="896"/>
      <c r="K196" s="901">
        <f>IF(ISNUMBER(D196),D196/Population!D27*10000,NA())</f>
        <v>20.455082367719001</v>
      </c>
      <c r="L196" s="901">
        <f>IF(ISNUMBER(E196),E196/Population!E27*10000,NA())</f>
        <v>22.200111575690304</v>
      </c>
      <c r="M196" s="901">
        <f>IF(ISNUMBER(F196),F196/Population!F27*10000,NA())</f>
        <v>26.139080499216401</v>
      </c>
      <c r="N196" s="901">
        <f>IF(ISNUMBER(G196),G196/Population!G27*10000,NA())</f>
        <v>21.257520482213039</v>
      </c>
      <c r="O196" s="902">
        <f>IF(ISNUMBER(H196),H196/Population!H27*10000,NA())</f>
        <v>22.40123346442617</v>
      </c>
      <c r="P196" s="903">
        <f t="shared" si="74"/>
        <v>22.40123346442617</v>
      </c>
      <c r="Q196" s="1190">
        <f t="shared" si="59"/>
        <v>7</v>
      </c>
      <c r="R196" s="64"/>
      <c r="S196" s="905">
        <f t="shared" si="60"/>
        <v>26.22281660863009</v>
      </c>
      <c r="T196" s="906">
        <f t="shared" si="71"/>
        <v>-3.8215831442039203</v>
      </c>
      <c r="U196" s="89"/>
      <c r="V196" s="103"/>
      <c r="W196" s="767"/>
      <c r="X196" s="786" t="str">
        <f t="shared" si="72"/>
        <v>Wokingham</v>
      </c>
      <c r="Y196" s="370">
        <f>IF(ISNUMBER(H198),IDACI!D27,0)</f>
        <v>33327</v>
      </c>
      <c r="Z196" s="370">
        <f>IF(ISNUMBER(H198),IDACI!E27,0)</f>
        <v>1866.3120000000004</v>
      </c>
      <c r="AA196" s="369">
        <f>IF(ISNUMBER(D198),Population!D29,"")</f>
        <v>39772</v>
      </c>
      <c r="AB196" s="369">
        <f>IF(ISNUMBER(E198),Population!E29,"")</f>
        <v>40476</v>
      </c>
      <c r="AC196" s="369">
        <f>IF(ISNUMBER(F198),Population!F29,"")</f>
        <v>41129</v>
      </c>
      <c r="AD196" s="369">
        <f>IF(ISNUMBER(G198),Population!G29,"")</f>
        <v>42520</v>
      </c>
      <c r="AE196" s="72">
        <f>IF(ISNUMBER(H198),Population!H29,"")</f>
        <v>43314</v>
      </c>
      <c r="AF196" s="65" t="s">
        <v>16</v>
      </c>
      <c r="AG196" s="70">
        <f t="shared" si="52"/>
        <v>12.928845177079005</v>
      </c>
      <c r="AH196" s="747">
        <f t="shared" si="53"/>
        <v>1</v>
      </c>
      <c r="AI196" s="768"/>
      <c r="AJ196" s="766"/>
      <c r="AK196" s="480">
        <f t="shared" si="61"/>
        <v>8.7323943661971826E-2</v>
      </c>
      <c r="AL196" s="480">
        <f t="shared" si="62"/>
        <v>0.18393782383419688</v>
      </c>
      <c r="AM196" s="480">
        <f t="shared" si="63"/>
        <v>-0.17505470459518599</v>
      </c>
      <c r="AN196" s="480">
        <f t="shared" si="64"/>
        <v>6.3660477453580902E-2</v>
      </c>
      <c r="AO196" s="480">
        <f t="shared" si="75"/>
        <v>3.9966885088640908E-2</v>
      </c>
      <c r="AQ196" s="531">
        <f t="shared" si="66"/>
        <v>22.200111575690304</v>
      </c>
      <c r="AR196" s="531">
        <f t="shared" si="67"/>
        <v>26.139080499216401</v>
      </c>
      <c r="AS196" s="531">
        <f t="shared" si="68"/>
        <v>21.257520482213039</v>
      </c>
      <c r="AT196" s="531">
        <f t="shared" si="69"/>
        <v>22.40123346442617</v>
      </c>
      <c r="AU196" s="531">
        <f t="shared" si="76"/>
        <v>91.997946021545914</v>
      </c>
      <c r="AV196" s="350">
        <f t="shared" si="77"/>
        <v>0</v>
      </c>
      <c r="AW196" s="531">
        <f t="shared" si="73"/>
        <v>91.997946021545914</v>
      </c>
    </row>
    <row r="197" spans="1:76" s="61" customFormat="1" ht="15.75" customHeight="1">
      <c r="A197" s="1103">
        <f>VLOOKUP(B197,ReportData!$AQ$4:$AR$25,2,FALSE)</f>
        <v>0</v>
      </c>
      <c r="B197" s="885" t="str">
        <f>ReportData!$K$21</f>
        <v>Windsor &amp; Maidenhead</v>
      </c>
      <c r="C197" s="896"/>
      <c r="D197" s="889">
        <f>IF(Year1_Windsor_and_Maidenhead Year1_Adoption_ceased_LAC="","",Year1_Windsor_and_Maidenhead Year1_Adoption_ceased_LAC)</f>
        <v>62</v>
      </c>
      <c r="E197" s="889">
        <f>IF(Year2_Windsor_and_Maidenhead Year2_Adoption_ceased_LAC="","",Year2_Windsor_and_Maidenhead Year2_Adoption_ceased_LAC)</f>
        <v>39</v>
      </c>
      <c r="F197" s="889">
        <f>IF(Year3_Windsor_and_Maidenhead Year3_Adoption_ceased_LAC="","",Year3_Windsor_and_Maidenhead Year3_Adoption_ceased_LAC)</f>
        <v>49</v>
      </c>
      <c r="G197" s="889">
        <f>IF(Year4_Windsor_and_Maidenhead Year4_Adoption_ceased_LAC="","",Year4_Windsor_and_Maidenhead Year4_Adoption_ceased_LAC)</f>
        <v>73</v>
      </c>
      <c r="H197" s="890">
        <f>IF(Year5_Windsor_and_Maidenhead Year5_Adoption_ceased_LAC="","",Year5_Windsor_and_Maidenhead Year5_Adoption_ceased_LAC)</f>
        <v>75</v>
      </c>
      <c r="I197" s="900">
        <f t="shared" si="57"/>
        <v>0.10065892327902301</v>
      </c>
      <c r="J197" s="896"/>
      <c r="K197" s="901">
        <f>IF(ISNUMBER(D197),D197/Population!D28*10000,NA())</f>
        <v>18.089513917255061</v>
      </c>
      <c r="L197" s="901">
        <f>IF(ISNUMBER(E197),E197/Population!E28*10000,NA())</f>
        <v>11.442654695889445</v>
      </c>
      <c r="M197" s="901">
        <f>IF(ISNUMBER(F197),F197/Population!F28*10000,NA())</f>
        <v>14.464517652615422</v>
      </c>
      <c r="N197" s="901">
        <f>IF(ISNUMBER(G197),G197/Population!G28*10000,NA())</f>
        <v>21.399466479054908</v>
      </c>
      <c r="O197" s="902">
        <f>IF(ISNUMBER(H197),H197/Population!H28*10000,NA())</f>
        <v>21.878008226131094</v>
      </c>
      <c r="P197" s="903">
        <f t="shared" si="74"/>
        <v>21.878008226131094</v>
      </c>
      <c r="Q197" s="1190">
        <f t="shared" si="59"/>
        <v>5</v>
      </c>
      <c r="R197" s="64"/>
      <c r="S197" s="905">
        <f t="shared" si="60"/>
        <v>23.091434418848696</v>
      </c>
      <c r="T197" s="906">
        <f t="shared" si="71"/>
        <v>-1.213426192717602</v>
      </c>
      <c r="U197" s="89"/>
      <c r="V197" s="103"/>
      <c r="W197" s="767"/>
      <c r="X197" s="786" t="str">
        <f t="shared" si="72"/>
        <v>South East</v>
      </c>
      <c r="Y197" s="370">
        <f>SUM(Y191:Y192,Y178:Y190,Y193:Y196)</f>
        <v>1704978</v>
      </c>
      <c r="Z197" s="370">
        <f>SUM(Z191:Z192,Z178:Z190,Z193:Z196)</f>
        <v>210927.40200000003</v>
      </c>
      <c r="AA197" s="369">
        <f>SUM(AA178:AA190,AA191:AA192,AA193:AA196)</f>
        <v>1927713</v>
      </c>
      <c r="AB197" s="369">
        <f>SUM(AB178:AB190,AB191:AB192,AB193:AB196)</f>
        <v>1930731</v>
      </c>
      <c r="AC197" s="369">
        <f>SUM(AC178:AC190,AC191:AC192,AC193:AC196)</f>
        <v>1935696</v>
      </c>
      <c r="AD197" s="369">
        <f>SUM(AD178:AD190,AD191:AD192,AD193:AD196)</f>
        <v>1965213</v>
      </c>
      <c r="AE197" s="72">
        <f>SUM(AE178:AE190,AE191:AE192,AE193:AE196)</f>
        <v>1988962</v>
      </c>
      <c r="AH197" s="811"/>
      <c r="AI197" s="768"/>
      <c r="AJ197" s="766"/>
      <c r="AK197" s="480">
        <f t="shared" si="61"/>
        <v>-0.37096774193548387</v>
      </c>
      <c r="AL197" s="480">
        <f t="shared" si="62"/>
        <v>0.25641025641025639</v>
      </c>
      <c r="AM197" s="480">
        <f t="shared" si="63"/>
        <v>0.48979591836734693</v>
      </c>
      <c r="AN197" s="480">
        <f t="shared" si="64"/>
        <v>2.7397260273972601E-2</v>
      </c>
      <c r="AO197" s="480">
        <f t="shared" si="75"/>
        <v>0.10065892327902301</v>
      </c>
      <c r="AQ197" s="531">
        <f t="shared" si="66"/>
        <v>11.442654695889445</v>
      </c>
      <c r="AR197" s="531">
        <f t="shared" si="67"/>
        <v>14.464517652615422</v>
      </c>
      <c r="AS197" s="531">
        <f t="shared" si="68"/>
        <v>21.399466479054908</v>
      </c>
      <c r="AT197" s="531">
        <f t="shared" si="69"/>
        <v>21.878008226131094</v>
      </c>
      <c r="AU197" s="531">
        <f t="shared" si="76"/>
        <v>69.184647053690867</v>
      </c>
      <c r="AV197" s="350">
        <f t="shared" si="77"/>
        <v>0</v>
      </c>
      <c r="AW197" s="531">
        <f t="shared" si="73"/>
        <v>69.184647053690867</v>
      </c>
    </row>
    <row r="198" spans="1:76" s="61" customFormat="1" ht="15.75" customHeight="1">
      <c r="A198" s="1103">
        <f>VLOOKUP(B198,ReportData!$AQ$4:$AR$25,2,FALSE)</f>
        <v>0</v>
      </c>
      <c r="B198" s="885" t="str">
        <f>ReportData!$K$22</f>
        <v>Wokingham</v>
      </c>
      <c r="C198" s="896"/>
      <c r="D198" s="889">
        <f>IF(Year1_Wokingham Year1_Adoption_ceased_LAC="","",Year1_Wokingham Year1_Adoption_ceased_LAC)</f>
        <v>55</v>
      </c>
      <c r="E198" s="889">
        <f>IF(Year2_Wokingham Year2_Adoption_ceased_LAC="","",Year2_Wokingham Year2_Adoption_ceased_LAC)</f>
        <v>49</v>
      </c>
      <c r="F198" s="889">
        <f>IF(Year3_Wokingham Year3_Adoption_ceased_LAC="","",Year3_Wokingham Year3_Adoption_ceased_LAC)</f>
        <v>58</v>
      </c>
      <c r="G198" s="889">
        <f>IF(Year4_Wokingham Year4_Adoption_ceased_LAC="","",Year4_Wokingham Year4_Adoption_ceased_LAC)</f>
        <v>67</v>
      </c>
      <c r="H198" s="890">
        <f>IF(Year5_Wokingham Year5_Adoption_ceased_LAC="","",Year5_Wokingham Year5_Adoption_ceased_LAC)</f>
        <v>56</v>
      </c>
      <c r="I198" s="900">
        <f t="shared" si="57"/>
        <v>1.6393967403084388E-2</v>
      </c>
      <c r="J198" s="896"/>
      <c r="K198" s="901">
        <f>IF(ISNUMBER(D198),D198/Population!D29*10000,NA())</f>
        <v>13.828824298501459</v>
      </c>
      <c r="L198" s="901">
        <f>IF(ISNUMBER(E198),E198/Population!E29*10000,NA())</f>
        <v>12.105939322067398</v>
      </c>
      <c r="M198" s="901">
        <f>IF(ISNUMBER(F198),F198/Population!F29*10000,NA())</f>
        <v>14.101971844683799</v>
      </c>
      <c r="N198" s="901">
        <f>IF(ISNUMBER(G198),G198/Population!G29*10000,NA())</f>
        <v>15.757290686735654</v>
      </c>
      <c r="O198" s="902">
        <f>IF(ISNUMBER(H198),H198/Population!H29*10000,NA())</f>
        <v>12.928845177079005</v>
      </c>
      <c r="P198" s="903">
        <f t="shared" si="74"/>
        <v>12.928845177079005</v>
      </c>
      <c r="Q198" s="1190">
        <f t="shared" si="59"/>
        <v>1</v>
      </c>
      <c r="R198" s="64"/>
      <c r="S198" s="905">
        <f t="shared" si="60"/>
        <v>22.290383160997642</v>
      </c>
      <c r="T198" s="906">
        <f t="shared" si="71"/>
        <v>-9.3615379839186375</v>
      </c>
      <c r="U198" s="89"/>
      <c r="V198" s="103"/>
      <c r="W198" s="767"/>
      <c r="X198" s="786" t="str">
        <f t="shared" si="72"/>
        <v>England</v>
      </c>
      <c r="Y198" s="370">
        <f>IF(H200&gt;0,IDACI!D172,0)</f>
        <v>0</v>
      </c>
      <c r="Z198" s="370">
        <f>IF(H200&gt;0,IDACI!E172,0)</f>
        <v>0</v>
      </c>
      <c r="AA198" s="369">
        <f>IF(ISNUMBER(D200),Population!D31,"")</f>
        <v>11790492</v>
      </c>
      <c r="AB198" s="369">
        <f>IF(ISNUMBER(E200),Population!E31,"")</f>
        <v>11787794</v>
      </c>
      <c r="AC198" s="369">
        <f>IF(ISNUMBER(F200),Population!F31,"")</f>
        <v>11762878</v>
      </c>
      <c r="AD198" s="369">
        <f>IF(ISNUMBER(G200),Population!G31,"")</f>
        <v>11885789</v>
      </c>
      <c r="AE198" s="72">
        <f>IF(ISNUMBER(H200),Population!H31,"")</f>
        <v>11998646</v>
      </c>
      <c r="AH198" s="811"/>
      <c r="AI198" s="768"/>
      <c r="AJ198" s="766"/>
      <c r="AK198" s="480">
        <f t="shared" si="61"/>
        <v>-0.10909090909090909</v>
      </c>
      <c r="AL198" s="480">
        <f t="shared" si="62"/>
        <v>0.18367346938775511</v>
      </c>
      <c r="AM198" s="480">
        <f t="shared" si="63"/>
        <v>0.15517241379310345</v>
      </c>
      <c r="AN198" s="480">
        <f t="shared" si="64"/>
        <v>-0.16417910447761194</v>
      </c>
      <c r="AO198" s="480">
        <f t="shared" si="75"/>
        <v>1.6393967403084388E-2</v>
      </c>
      <c r="AQ198" s="531">
        <f t="shared" si="66"/>
        <v>12.105939322067398</v>
      </c>
      <c r="AR198" s="531">
        <f t="shared" si="67"/>
        <v>14.101971844683799</v>
      </c>
      <c r="AS198" s="531">
        <f t="shared" si="68"/>
        <v>15.757290686735654</v>
      </c>
      <c r="AT198" s="531">
        <f t="shared" si="69"/>
        <v>12.928845177079005</v>
      </c>
      <c r="AU198" s="531">
        <f t="shared" si="76"/>
        <v>54.894047030565851</v>
      </c>
      <c r="AV198" s="350">
        <f t="shared" si="77"/>
        <v>0</v>
      </c>
      <c r="AW198" s="531">
        <f t="shared" si="73"/>
        <v>54.894047030565851</v>
      </c>
    </row>
    <row r="199" spans="1:76" s="61" customFormat="1" ht="15.75" customHeight="1">
      <c r="A199" s="1103"/>
      <c r="B199" s="886" t="str">
        <f>ReportData!$K$23</f>
        <v>South East</v>
      </c>
      <c r="C199" s="896"/>
      <c r="D199" s="892">
        <f>IF(Year1_South_East Year1_Adoption_ceased_LAC="","",Year1_South_East Year1_Adoption_ceased_LAC)</f>
        <v>4260</v>
      </c>
      <c r="E199" s="892">
        <f>IF(Year2_South_East Year2_Adoption_ceased_LAC="","",Year2_South_East Year2_Adoption_ceased_LAC)</f>
        <v>4450</v>
      </c>
      <c r="F199" s="892">
        <f>IF(Year3_South_East Year3_Adoption_ceased_LAC="","",Year3_South_East Year3_Adoption_ceased_LAC)</f>
        <v>4810</v>
      </c>
      <c r="G199" s="892">
        <f>IF(Year4_South_East Year4_Adoption_ceased_LAC="","",Year4_South_East Year4_Adoption_ceased_LAC)</f>
        <v>5220</v>
      </c>
      <c r="H199" s="893">
        <f>IF(Year5_South_East Year5_Adoption_ceased_LAC="","",Year5_South_East Year5_Adoption_ceased_LAC)</f>
        <v>6420</v>
      </c>
      <c r="I199" s="907">
        <f t="shared" si="57"/>
        <v>0.11015598952049503</v>
      </c>
      <c r="J199" s="896"/>
      <c r="K199" s="908">
        <f>IF(ISNUMBER(D199),D199/Population!D30*10000,NA())</f>
        <v>22.098725277051095</v>
      </c>
      <c r="L199" s="908">
        <f>IF(ISNUMBER(E199),E199/Population!E30*10000,NA())</f>
        <v>23.048265138955141</v>
      </c>
      <c r="M199" s="908">
        <f>IF(ISNUMBER(F199),F199/Population!F30*10000,NA())</f>
        <v>24.848943222489481</v>
      </c>
      <c r="N199" s="908">
        <f>IF(ISNUMBER(G199),G199/Population!G30*10000,NA())</f>
        <v>26.562006255810442</v>
      </c>
      <c r="O199" s="909">
        <f>IF(ISNUMBER(H199),H199/Population!H30*10000,NA())</f>
        <v>32.278143071612227</v>
      </c>
      <c r="P199" s="903">
        <f t="shared" si="74"/>
        <v>32.278143071612227</v>
      </c>
      <c r="Q199" s="1191" t="str">
        <f t="shared" ref="Q199:Q200" si="78">IF(ISNA(VLOOKUP(B199,$AF$11:$AH$29,3,FALSE)),"--",IF(ISNUMBER(H199),VLOOKUP(B199,$AF$11:$AH$29,3,FALSE),NA()))</f>
        <v>--</v>
      </c>
      <c r="R199" s="64"/>
      <c r="S199" s="911">
        <f t="shared" si="60"/>
        <v>27.221413115257036</v>
      </c>
      <c r="T199" s="912">
        <f t="shared" si="56"/>
        <v>5.0567299563551913</v>
      </c>
      <c r="U199" s="89"/>
      <c r="V199" s="103"/>
      <c r="W199" s="759"/>
      <c r="AI199" s="763"/>
      <c r="AJ199" s="764"/>
      <c r="AK199" s="480">
        <f t="shared" si="61"/>
        <v>4.4600938967136149E-2</v>
      </c>
      <c r="AL199" s="480">
        <f t="shared" si="62"/>
        <v>8.0898876404494377E-2</v>
      </c>
      <c r="AM199" s="480">
        <f t="shared" si="63"/>
        <v>8.5239085239085244E-2</v>
      </c>
      <c r="AN199" s="480">
        <f t="shared" si="64"/>
        <v>0.22988505747126436</v>
      </c>
      <c r="AO199" s="480">
        <f t="shared" si="75"/>
        <v>0.11015598952049503</v>
      </c>
      <c r="AQ199" s="531">
        <f t="shared" si="66"/>
        <v>23.048265138955141</v>
      </c>
      <c r="AR199" s="531">
        <f t="shared" si="67"/>
        <v>24.848943222489481</v>
      </c>
      <c r="AS199" s="531">
        <f t="shared" si="68"/>
        <v>26.562006255810442</v>
      </c>
      <c r="AT199" s="531">
        <f t="shared" si="69"/>
        <v>32.278143071612227</v>
      </c>
      <c r="AU199" s="531">
        <f t="shared" si="76"/>
        <v>106.73735768886729</v>
      </c>
      <c r="AV199" s="350">
        <f t="shared" si="77"/>
        <v>0</v>
      </c>
      <c r="AW199" s="531">
        <f t="shared" si="73"/>
        <v>106.73735768886729</v>
      </c>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row>
    <row r="200" spans="1:76" s="61" customFormat="1" ht="15.75" customHeight="1">
      <c r="A200" s="1103"/>
      <c r="B200" s="887" t="str">
        <f>ReportData!$K$24</f>
        <v>England</v>
      </c>
      <c r="C200" s="896"/>
      <c r="D200" s="894">
        <f>IF(Year1_England Year1_Adoption_ceased_LAC="","",Year1_England Year1_Adoption_ceased_LAC)</f>
        <v>29590</v>
      </c>
      <c r="E200" s="894">
        <f>IF(Year2_England Year2_Adoption_ceased_LAC="","",Year2_England Year2_Adoption_ceased_LAC)</f>
        <v>28010</v>
      </c>
      <c r="F200" s="894">
        <f>IF(Year3_England Year3_Adoption_ceased_LAC="","",Year3_England Year3_Adoption_ceased_LAC)</f>
        <v>30070</v>
      </c>
      <c r="G200" s="894">
        <f>IF(Year4_England Year4_Adoption_ceased_LAC="","",Year4_England Year4_Adoption_ceased_LAC)</f>
        <v>31680</v>
      </c>
      <c r="H200" s="895">
        <f>IF(Year5_England Year5_Adoption_ceased_LAC="","",Year5_England Year5_Adoption_ceased_LAC)</f>
        <v>33620</v>
      </c>
      <c r="I200" s="913">
        <f t="shared" si="57"/>
        <v>3.3731963605031161E-2</v>
      </c>
      <c r="J200" s="896"/>
      <c r="K200" s="914">
        <f>IF(ISNUMBER(D200),D200/Population!D31*10000,NA())</f>
        <v>25.096493004702435</v>
      </c>
      <c r="L200" s="914">
        <f>IF(ISNUMBER(E200),E200/Population!E31*10000,NA())</f>
        <v>23.761867572507633</v>
      </c>
      <c r="M200" s="914">
        <f>IF(ISNUMBER(F200),F200/Population!F31*10000,NA())</f>
        <v>25.56347179661304</v>
      </c>
      <c r="N200" s="914">
        <f>IF(ISNUMBER(G200),G200/Population!G31*10000,NA())</f>
        <v>26.653678607284718</v>
      </c>
      <c r="O200" s="1193">
        <f>IF(ISNUMBER(H200),H200/Population!H31*10000,NA())</f>
        <v>28.019828237286106</v>
      </c>
      <c r="P200" s="903">
        <f t="shared" si="74"/>
        <v>28.019828237286106</v>
      </c>
      <c r="Q200" s="1192" t="str">
        <f t="shared" si="78"/>
        <v>--</v>
      </c>
      <c r="R200" s="64"/>
      <c r="S200" s="917">
        <f t="shared" si="60"/>
        <v>30.65365934625245</v>
      </c>
      <c r="T200" s="1087">
        <f t="shared" si="56"/>
        <v>-2.6338311089663442</v>
      </c>
      <c r="U200" s="89"/>
      <c r="V200" s="103"/>
      <c r="W200" s="759"/>
      <c r="AI200" s="763"/>
      <c r="AJ200" s="765"/>
      <c r="AK200" s="480">
        <f t="shared" si="61"/>
        <v>-5.3396417708685369E-2</v>
      </c>
      <c r="AL200" s="480">
        <f t="shared" si="62"/>
        <v>7.3545162441985001E-2</v>
      </c>
      <c r="AM200" s="480">
        <f t="shared" si="63"/>
        <v>5.3541735949451282E-2</v>
      </c>
      <c r="AN200" s="480">
        <f t="shared" si="64"/>
        <v>6.1237373737373736E-2</v>
      </c>
      <c r="AO200" s="480">
        <f t="shared" si="75"/>
        <v>3.3731963605031161E-2</v>
      </c>
      <c r="AQ200" s="531">
        <f t="shared" si="66"/>
        <v>23.761867572507633</v>
      </c>
      <c r="AR200" s="531">
        <f t="shared" si="67"/>
        <v>25.56347179661304</v>
      </c>
      <c r="AS200" s="531">
        <f t="shared" si="68"/>
        <v>26.653678607284718</v>
      </c>
      <c r="AT200" s="531">
        <f t="shared" si="69"/>
        <v>28.019828237286106</v>
      </c>
      <c r="AU200" s="531">
        <f t="shared" si="76"/>
        <v>103.99884621369149</v>
      </c>
      <c r="AV200" s="350">
        <f t="shared" si="77"/>
        <v>0</v>
      </c>
      <c r="AW200" s="531">
        <f t="shared" si="73"/>
        <v>103.99884621369149</v>
      </c>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row>
    <row r="201" spans="1:76" s="56" customFormat="1" ht="12.75" customHeight="1">
      <c r="A201" s="208"/>
      <c r="B201" s="90"/>
      <c r="C201" s="44"/>
      <c r="D201" s="44"/>
      <c r="E201" s="44"/>
      <c r="F201" s="44"/>
      <c r="G201" s="44"/>
      <c r="H201" s="44"/>
      <c r="I201" s="44"/>
      <c r="J201" s="44"/>
      <c r="K201" s="44"/>
      <c r="L201" s="44"/>
      <c r="M201" s="44"/>
      <c r="N201" s="44"/>
      <c r="O201" s="44"/>
      <c r="P201" s="44"/>
      <c r="Q201" s="1091" t="s">
        <v>100</v>
      </c>
      <c r="S201" s="44"/>
      <c r="T201" s="44"/>
      <c r="U201" s="86"/>
      <c r="V201" s="121"/>
      <c r="W201" s="759"/>
      <c r="X201" s="251"/>
      <c r="Y201" s="250"/>
      <c r="Z201" s="251"/>
      <c r="AA201" s="251"/>
      <c r="AB201" s="251"/>
      <c r="AC201" s="251"/>
      <c r="AD201" s="251"/>
      <c r="AE201" s="760"/>
      <c r="AF201" s="760"/>
      <c r="AG201" s="760"/>
      <c r="AH201" s="760"/>
      <c r="AI201" s="763"/>
      <c r="AJ201" s="765"/>
      <c r="AK201" s="52"/>
      <c r="AL201" s="56">
        <f>COLUMNS($B$4:K$4)</f>
        <v>10</v>
      </c>
      <c r="AM201" s="56">
        <f>COLUMNS($B$4:L$4)</f>
        <v>11</v>
      </c>
      <c r="AN201" s="56">
        <f>COLUMNS($B$4:M$4)</f>
        <v>12</v>
      </c>
      <c r="AO201" s="56">
        <f>COLUMNS($B$4:N$4)</f>
        <v>13</v>
      </c>
      <c r="AP201" s="56">
        <f>COLUMNS($B$4:O$4)</f>
        <v>14</v>
      </c>
      <c r="AQ201" s="56">
        <f>COLUMNS($B$4:R$4)</f>
        <v>17</v>
      </c>
      <c r="AR201" s="56">
        <v>3</v>
      </c>
      <c r="AS201" s="17">
        <v>4</v>
      </c>
      <c r="AT201" s="17">
        <v>5</v>
      </c>
      <c r="AU201" s="17">
        <v>6</v>
      </c>
      <c r="AV201" s="16">
        <v>7</v>
      </c>
      <c r="AW201" s="56">
        <v>3</v>
      </c>
      <c r="AX201" s="17">
        <v>4</v>
      </c>
      <c r="AY201" s="17">
        <v>5</v>
      </c>
      <c r="AZ201" s="17">
        <v>6</v>
      </c>
      <c r="BA201" s="16">
        <v>7</v>
      </c>
    </row>
    <row r="202" spans="1:76" s="56" customFormat="1" ht="7.5" customHeight="1">
      <c r="A202" s="208"/>
      <c r="B202" s="12"/>
      <c r="C202" s="12"/>
      <c r="D202" s="11"/>
      <c r="E202" s="11"/>
      <c r="F202" s="11"/>
      <c r="G202" s="11"/>
      <c r="H202" s="11"/>
      <c r="I202" s="11"/>
      <c r="J202" s="1"/>
      <c r="K202" s="13"/>
      <c r="L202" s="13"/>
      <c r="M202" s="13"/>
      <c r="N202" s="13"/>
      <c r="O202" s="13"/>
      <c r="P202" s="13"/>
      <c r="Q202" s="13"/>
      <c r="R202" s="13"/>
      <c r="S202" s="13"/>
      <c r="T202" s="14"/>
      <c r="U202" s="86"/>
      <c r="V202" s="185"/>
      <c r="W202" s="759"/>
      <c r="X202" s="251"/>
      <c r="Y202" s="249" t="s">
        <v>678</v>
      </c>
      <c r="Z202" s="251"/>
      <c r="AA202" s="251"/>
      <c r="AB202" s="251"/>
      <c r="AC202" s="251"/>
      <c r="AD202" s="251"/>
      <c r="AE202" s="760"/>
      <c r="AF202" s="760"/>
      <c r="AG202" s="760"/>
      <c r="AH202" s="760"/>
      <c r="AI202" s="763"/>
      <c r="AJ202" s="766"/>
      <c r="AK202" s="61"/>
      <c r="AL202" s="109" t="s">
        <v>85</v>
      </c>
      <c r="AM202" s="173"/>
      <c r="AN202" s="173"/>
      <c r="AO202" s="173"/>
      <c r="AP202" s="173"/>
      <c r="AQ202" s="109" t="s">
        <v>862</v>
      </c>
      <c r="AR202" s="38" t="s">
        <v>1064</v>
      </c>
      <c r="AS202" s="17"/>
      <c r="AT202" s="17"/>
      <c r="AU202" s="17"/>
      <c r="AV202" s="16"/>
      <c r="AW202" s="38" t="s">
        <v>1065</v>
      </c>
      <c r="AX202" s="17"/>
      <c r="AY202" s="17"/>
      <c r="AZ202" s="17"/>
      <c r="BA202" s="16"/>
    </row>
    <row r="203" spans="1:76" s="56" customFormat="1" ht="15" customHeight="1">
      <c r="A203" s="1261"/>
      <c r="B203" s="46"/>
      <c r="C203" s="46"/>
      <c r="D203" s="46"/>
      <c r="E203" s="46"/>
      <c r="F203" s="46"/>
      <c r="G203" s="46"/>
      <c r="H203" s="46"/>
      <c r="I203" s="46"/>
      <c r="J203" s="46"/>
      <c r="K203" s="46"/>
      <c r="L203" s="46"/>
      <c r="M203" s="46"/>
      <c r="N203" s="46"/>
      <c r="O203" s="46"/>
      <c r="P203" s="46"/>
      <c r="Q203" s="46"/>
      <c r="R203" s="46"/>
      <c r="S203" s="46"/>
      <c r="T203" s="46"/>
      <c r="U203" s="1262"/>
      <c r="V203" s="185"/>
      <c r="W203" s="770"/>
      <c r="X203" s="378"/>
      <c r="Y203" s="307" t="str">
        <f>IF(ReportData!$C$3="Annual","",ReportData!$D$28)</f>
        <v/>
      </c>
      <c r="Z203" s="307" t="str">
        <f>IF(ReportData!$C$3="Annual","",ReportData!$E$28)</f>
        <v/>
      </c>
      <c r="AA203" s="307" t="str">
        <f>IF(ReportData!$C$3="Annual","",ReportData!$F$28)</f>
        <v/>
      </c>
      <c r="AB203" s="307" t="str">
        <f>IF(ReportData!$C$3="Annual","",ReportData!$G$28)</f>
        <v/>
      </c>
      <c r="AC203" s="307" t="str">
        <f>IF(ReportData!$C$3="Annual","",ReportData!$H$28)</f>
        <v/>
      </c>
      <c r="AD203" s="251"/>
      <c r="AE203" s="760"/>
      <c r="AF203" s="760"/>
      <c r="AG203" s="760"/>
      <c r="AH203" s="760"/>
      <c r="AI203" s="52"/>
      <c r="AJ203" s="766"/>
      <c r="AK203" s="61"/>
      <c r="AL203" s="444" t="str">
        <f>IF(ReportData!$C$3="Annual","",ReportData!$D$28)</f>
        <v/>
      </c>
      <c r="AM203" s="444" t="str">
        <f>IF(ReportData!$C$3="Annual","",ReportData!$E$28)</f>
        <v/>
      </c>
      <c r="AN203" s="444" t="str">
        <f>IF(ReportData!$C$3="Annual","",ReportData!$F$28)</f>
        <v/>
      </c>
      <c r="AO203" s="444" t="str">
        <f>IF(ReportData!$C$3="Annual","",ReportData!$G$28)</f>
        <v/>
      </c>
      <c r="AP203" s="444" t="str">
        <f>IF(ReportData!$C$3="Annual","",ReportData!$H$28)</f>
        <v/>
      </c>
      <c r="AQ203" s="173"/>
      <c r="AR203" s="444" t="str">
        <f>IF(ReportData!$C$3="Annual","",ReportData!$D$28)</f>
        <v/>
      </c>
      <c r="AS203" s="444" t="str">
        <f>IF(ReportData!$C$3="Annual","",ReportData!$E$28)</f>
        <v/>
      </c>
      <c r="AT203" s="444" t="str">
        <f>IF(ReportData!$C$3="Annual","",ReportData!$F$28)</f>
        <v/>
      </c>
      <c r="AU203" s="444" t="str">
        <f>IF(ReportData!$C$3="Annual","",ReportData!$G$28)</f>
        <v/>
      </c>
      <c r="AV203" s="444" t="str">
        <f>IF(ReportData!$C$3="Annual","",ReportData!$H$28)</f>
        <v/>
      </c>
      <c r="AW203" s="444" t="str">
        <f>IF(ReportData!$C$3="Annual","",ReportData!$D$28)</f>
        <v/>
      </c>
      <c r="AX203" s="444" t="str">
        <f>IF(ReportData!$C$3="Annual","",ReportData!$E$28)</f>
        <v/>
      </c>
      <c r="AY203" s="444" t="str">
        <f>IF(ReportData!$C$3="Annual","",ReportData!$F$28)</f>
        <v/>
      </c>
      <c r="AZ203" s="444" t="str">
        <f>IF(ReportData!$C$3="Annual","",ReportData!$G$28)</f>
        <v/>
      </c>
      <c r="BA203" s="444" t="str">
        <f>IF(ReportData!$C$3="Annual","",ReportData!$H$28)</f>
        <v/>
      </c>
    </row>
    <row r="204" spans="1:76" s="56" customFormat="1" ht="11.25" customHeight="1">
      <c r="A204" s="1950"/>
      <c r="B204" s="1951"/>
      <c r="C204" s="1951"/>
      <c r="D204" s="1951"/>
      <c r="E204" s="1951"/>
      <c r="F204" s="1951"/>
      <c r="G204" s="1951"/>
      <c r="H204" s="1951"/>
      <c r="I204" s="1951"/>
      <c r="J204" s="1951"/>
      <c r="K204" s="1951"/>
      <c r="L204" s="1951"/>
      <c r="M204" s="1951"/>
      <c r="N204" s="1951"/>
      <c r="O204" s="1951"/>
      <c r="P204" s="1951"/>
      <c r="Q204" s="1951"/>
      <c r="R204" s="1951"/>
      <c r="S204" s="1951"/>
      <c r="T204" s="1951"/>
      <c r="U204" s="1952"/>
      <c r="V204" s="185"/>
      <c r="W204" s="771"/>
      <c r="X204" s="251"/>
      <c r="Y204" s="307" t="str">
        <f>ReportData!$D$27</f>
        <v>2019/20</v>
      </c>
      <c r="Z204" s="307" t="str">
        <f>ReportData!$E$27</f>
        <v>2020/21</v>
      </c>
      <c r="AA204" s="307" t="str">
        <f>ReportData!$F$27</f>
        <v>2021/22</v>
      </c>
      <c r="AB204" s="307" t="str">
        <f>ReportData!$G$27</f>
        <v>2022/23</v>
      </c>
      <c r="AC204" s="307" t="str">
        <f>ReportData!$H$27</f>
        <v>2023/24</v>
      </c>
      <c r="AD204" s="251"/>
      <c r="AE204" s="760"/>
      <c r="AF204" s="760"/>
      <c r="AG204" s="760"/>
      <c r="AH204" s="760"/>
      <c r="AI204" s="812"/>
      <c r="AJ204" s="766"/>
      <c r="AK204" s="61"/>
      <c r="AL204" s="444" t="str">
        <f>ReportData!$D$27</f>
        <v>2019/20</v>
      </c>
      <c r="AM204" s="444" t="str">
        <f>ReportData!$E$27</f>
        <v>2020/21</v>
      </c>
      <c r="AN204" s="444" t="str">
        <f>ReportData!$F$27</f>
        <v>2021/22</v>
      </c>
      <c r="AO204" s="444" t="str">
        <f>ReportData!$G$27</f>
        <v>2022/23</v>
      </c>
      <c r="AP204" s="444" t="str">
        <f>ReportData!$H$27</f>
        <v>2023/24</v>
      </c>
      <c r="AQ204" s="173"/>
      <c r="AR204" s="444" t="str">
        <f>ReportData!$D$27</f>
        <v>2019/20</v>
      </c>
      <c r="AS204" s="444" t="str">
        <f>ReportData!$E$27</f>
        <v>2020/21</v>
      </c>
      <c r="AT204" s="444" t="str">
        <f>ReportData!$F$27</f>
        <v>2021/22</v>
      </c>
      <c r="AU204" s="444" t="str">
        <f>ReportData!$G$27</f>
        <v>2022/23</v>
      </c>
      <c r="AV204" s="444" t="str">
        <f>ReportData!$H$27</f>
        <v>2023/24</v>
      </c>
      <c r="AW204" s="444" t="str">
        <f>ReportData!$D$27</f>
        <v>2019/20</v>
      </c>
      <c r="AX204" s="444" t="str">
        <f>ReportData!$E$27</f>
        <v>2020/21</v>
      </c>
      <c r="AY204" s="444" t="str">
        <f>ReportData!$F$27</f>
        <v>2021/22</v>
      </c>
      <c r="AZ204" s="444" t="str">
        <f>ReportData!$G$27</f>
        <v>2022/23</v>
      </c>
      <c r="BA204" s="444" t="str">
        <f>ReportData!$H$27</f>
        <v>2023/24</v>
      </c>
    </row>
    <row r="205" spans="1:76" s="56" customFormat="1" ht="10.5" customHeight="1">
      <c r="A205" s="81"/>
      <c r="B205" s="82"/>
      <c r="C205" s="82"/>
      <c r="D205" s="82"/>
      <c r="E205" s="82"/>
      <c r="F205" s="82"/>
      <c r="G205" s="82"/>
      <c r="H205" s="82"/>
      <c r="I205" s="82"/>
      <c r="J205" s="83"/>
      <c r="K205" s="82"/>
      <c r="L205" s="82"/>
      <c r="M205" s="82"/>
      <c r="N205" s="82"/>
      <c r="O205" s="82"/>
      <c r="P205" s="82"/>
      <c r="Q205" s="82"/>
      <c r="R205" s="82"/>
      <c r="S205" s="82"/>
      <c r="T205" s="82"/>
      <c r="U205" s="84"/>
      <c r="V205" s="102"/>
      <c r="W205" s="771"/>
      <c r="X205" s="786" t="s">
        <v>0</v>
      </c>
      <c r="Y205" s="244">
        <f t="shared" ref="Y205:Y223" si="79">IF(ISNUMBER(D11),D180,0)</f>
        <v>62</v>
      </c>
      <c r="Z205" s="244">
        <f t="shared" ref="Z205:Z223" si="80">IF(ISNUMBER(E11),E180,0)</f>
        <v>37</v>
      </c>
      <c r="AA205" s="244">
        <f t="shared" ref="AA205:AA223" si="81">IF(ISNUMBER(F11),F180,0)</f>
        <v>54</v>
      </c>
      <c r="AB205" s="244">
        <f t="shared" ref="AB205:AB223" si="82">IF(ISNUMBER(G11),G180,0)</f>
        <v>68</v>
      </c>
      <c r="AC205" s="244">
        <f t="shared" ref="AC205:AC223" si="83">IF(ISNUMBER(H11),H180,0)</f>
        <v>57</v>
      </c>
      <c r="AD205" s="251"/>
      <c r="AE205" s="760"/>
      <c r="AF205" s="760"/>
      <c r="AG205" s="760"/>
      <c r="AH205" s="760"/>
      <c r="AI205" s="361" t="b">
        <f t="shared" ref="AI205:AI225" si="84">AI38</f>
        <v>1</v>
      </c>
      <c r="AJ205" s="766" t="s">
        <v>0</v>
      </c>
      <c r="AK205" s="61" t="str">
        <f t="shared" ref="AK205:AK217" si="85">IF(AI205=TRUE,B180,"")</f>
        <v>Bracknell Forest</v>
      </c>
      <c r="AL205" s="110">
        <f t="shared" ref="AL205:AP214" si="86">VLOOKUP($AK205,$B$180:$O$200,AL$201,FALSE)</f>
        <v>22.712286614403986</v>
      </c>
      <c r="AM205" s="110">
        <f t="shared" si="86"/>
        <v>13.408712038849025</v>
      </c>
      <c r="AN205" s="110">
        <f t="shared" si="86"/>
        <v>19.408403119721093</v>
      </c>
      <c r="AO205" s="110">
        <f t="shared" si="86"/>
        <v>24.00282386163078</v>
      </c>
      <c r="AP205" s="110">
        <f t="shared" si="86"/>
        <v>19.897371452508114</v>
      </c>
      <c r="AQ205" s="111">
        <f>VLOOKUP(AK205,IDACI!$B$9:$C$29,2,FALSE)</f>
        <v>8.9</v>
      </c>
      <c r="AR205" s="237" t="e">
        <f>VLOOKUP($AK205,$B$243:$H$263,AR$201,FALSE)</f>
        <v>#N/A</v>
      </c>
      <c r="AS205" s="237" t="e">
        <f t="shared" ref="AS205:AV220" si="87">VLOOKUP($AK205,$B$243:$H$263,AS$201,FALSE)</f>
        <v>#N/A</v>
      </c>
      <c r="AT205" s="237" t="e">
        <f t="shared" si="87"/>
        <v>#N/A</v>
      </c>
      <c r="AU205" s="237" t="e">
        <f t="shared" si="87"/>
        <v>#N/A</v>
      </c>
      <c r="AV205" s="237" t="e">
        <f t="shared" si="87"/>
        <v>#N/A</v>
      </c>
      <c r="AW205" s="237" t="e">
        <f>VLOOKUP($AK205,$B$276:$H$296,AW$201,FALSE)</f>
        <v>#N/A</v>
      </c>
      <c r="AX205" s="237" t="e">
        <f t="shared" ref="AX205:BA220" si="88">VLOOKUP($AK205,$B$276:$H$296,AX$201,FALSE)</f>
        <v>#N/A</v>
      </c>
      <c r="AY205" s="237" t="e">
        <f t="shared" si="88"/>
        <v>#N/A</v>
      </c>
      <c r="AZ205" s="237" t="e">
        <f t="shared" si="88"/>
        <v>#N/A</v>
      </c>
      <c r="BA205" s="237" t="e">
        <f t="shared" si="88"/>
        <v>#N/A</v>
      </c>
    </row>
    <row r="206" spans="1:76" s="56" customFormat="1" ht="3.75" customHeight="1">
      <c r="A206" s="287"/>
      <c r="B206" s="5"/>
      <c r="C206" s="5"/>
      <c r="D206" s="5"/>
      <c r="E206" s="5"/>
      <c r="F206" s="5"/>
      <c r="G206" s="5"/>
      <c r="H206" s="5"/>
      <c r="I206" s="5"/>
      <c r="J206" s="1"/>
      <c r="K206" s="5"/>
      <c r="L206" s="5"/>
      <c r="M206" s="5"/>
      <c r="N206" s="5"/>
      <c r="O206" s="5"/>
      <c r="P206" s="5"/>
      <c r="Q206" s="5"/>
      <c r="R206" s="5"/>
      <c r="S206" s="5"/>
      <c r="T206" s="5"/>
      <c r="U206" s="86"/>
      <c r="V206" s="102"/>
      <c r="W206" s="771"/>
      <c r="X206" s="786" t="s">
        <v>28</v>
      </c>
      <c r="Y206" s="244">
        <f t="shared" si="79"/>
        <v>178</v>
      </c>
      <c r="Z206" s="244">
        <f t="shared" si="80"/>
        <v>153</v>
      </c>
      <c r="AA206" s="244">
        <f t="shared" si="81"/>
        <v>134</v>
      </c>
      <c r="AB206" s="244">
        <f t="shared" si="82"/>
        <v>163</v>
      </c>
      <c r="AC206" s="244">
        <f t="shared" si="83"/>
        <v>135</v>
      </c>
      <c r="AD206" s="251"/>
      <c r="AE206" s="760"/>
      <c r="AF206" s="760"/>
      <c r="AG206" s="760"/>
      <c r="AH206" s="760"/>
      <c r="AI206" s="361" t="b">
        <f t="shared" si="84"/>
        <v>1</v>
      </c>
      <c r="AJ206" s="766" t="s">
        <v>28</v>
      </c>
      <c r="AK206" s="61" t="str">
        <f t="shared" si="85"/>
        <v>Brighton &amp; Hove</v>
      </c>
      <c r="AL206" s="110">
        <f t="shared" si="86"/>
        <v>36.775339861989174</v>
      </c>
      <c r="AM206" s="110">
        <f t="shared" si="86"/>
        <v>31.898924193144861</v>
      </c>
      <c r="AN206" s="110">
        <f t="shared" si="86"/>
        <v>28.435013262599469</v>
      </c>
      <c r="AO206" s="110">
        <f t="shared" si="86"/>
        <v>34.577853203224436</v>
      </c>
      <c r="AP206" s="110">
        <f t="shared" si="86"/>
        <v>28.928984699781424</v>
      </c>
      <c r="AQ206" s="111">
        <f>VLOOKUP(AK206,IDACI!$B$9:$C$29,2,FALSE)</f>
        <v>15.299999999999999</v>
      </c>
      <c r="AR206" s="237">
        <f t="shared" ref="AR206:AV226" si="89">VLOOKUP($AK206,$B$243:$H$263,AR$201,FALSE)</f>
        <v>3.3707865168539325E-2</v>
      </c>
      <c r="AS206" s="237" t="e">
        <f t="shared" si="87"/>
        <v>#N/A</v>
      </c>
      <c r="AT206" s="237" t="e">
        <f t="shared" si="87"/>
        <v>#N/A</v>
      </c>
      <c r="AU206" s="237">
        <f t="shared" si="87"/>
        <v>5.5214723926380369E-2</v>
      </c>
      <c r="AV206" s="237" t="e">
        <f t="shared" si="87"/>
        <v>#N/A</v>
      </c>
      <c r="AW206" s="237">
        <f t="shared" ref="AW206:BA226" si="90">VLOOKUP($AK206,$B$276:$H$296,AW$201,FALSE)</f>
        <v>0.16292134831460675</v>
      </c>
      <c r="AX206" s="237">
        <f t="shared" si="88"/>
        <v>0.19607843137254902</v>
      </c>
      <c r="AY206" s="237">
        <f t="shared" si="88"/>
        <v>0.11940298507462686</v>
      </c>
      <c r="AZ206" s="237">
        <f t="shared" si="88"/>
        <v>8.5889570552147243E-2</v>
      </c>
      <c r="BA206" s="237">
        <f t="shared" si="88"/>
        <v>0.1037037037037037</v>
      </c>
      <c r="BB206" s="237"/>
      <c r="BC206" s="237"/>
      <c r="BD206" s="237"/>
      <c r="BE206" s="237"/>
      <c r="BF206" s="237"/>
      <c r="BG206" s="237"/>
      <c r="BH206" s="237"/>
      <c r="BI206" s="237"/>
      <c r="BJ206" s="237"/>
      <c r="BK206" s="237"/>
      <c r="BL206" s="237"/>
      <c r="BM206" s="237"/>
      <c r="BN206" s="237"/>
      <c r="BO206" s="237"/>
      <c r="BP206" s="237"/>
    </row>
    <row r="207" spans="1:76" s="56" customFormat="1" ht="14.25" customHeight="1">
      <c r="A207" s="208"/>
      <c r="B207" s="5"/>
      <c r="C207" s="5"/>
      <c r="D207" s="5"/>
      <c r="E207" s="5"/>
      <c r="F207" s="5"/>
      <c r="G207" s="5"/>
      <c r="H207" s="5"/>
      <c r="I207" s="5"/>
      <c r="J207" s="1"/>
      <c r="K207" s="5"/>
      <c r="L207" s="5"/>
      <c r="M207" s="5"/>
      <c r="N207" s="5"/>
      <c r="O207" s="5"/>
      <c r="P207" s="5"/>
      <c r="Q207" s="5"/>
      <c r="R207" s="5"/>
      <c r="S207" s="5"/>
      <c r="T207" s="5"/>
      <c r="U207" s="86"/>
      <c r="V207" s="102"/>
      <c r="W207" s="771"/>
      <c r="X207" s="786" t="s">
        <v>8</v>
      </c>
      <c r="Y207" s="244">
        <f t="shared" si="79"/>
        <v>235</v>
      </c>
      <c r="Z207" s="244">
        <f t="shared" si="80"/>
        <v>184</v>
      </c>
      <c r="AA207" s="244">
        <f t="shared" si="81"/>
        <v>206</v>
      </c>
      <c r="AB207" s="244">
        <f t="shared" si="82"/>
        <v>199</v>
      </c>
      <c r="AC207" s="244">
        <f t="shared" si="83"/>
        <v>204</v>
      </c>
      <c r="AD207" s="251"/>
      <c r="AE207" s="760"/>
      <c r="AF207" s="760"/>
      <c r="AG207" s="760"/>
      <c r="AH207" s="760"/>
      <c r="AI207" s="361" t="b">
        <f t="shared" si="84"/>
        <v>1</v>
      </c>
      <c r="AJ207" s="766" t="s">
        <v>8</v>
      </c>
      <c r="AK207" s="61" t="str">
        <f t="shared" si="85"/>
        <v>Buckinghamshire</v>
      </c>
      <c r="AL207" s="110">
        <f t="shared" si="86"/>
        <v>19.240688734781436</v>
      </c>
      <c r="AM207" s="110">
        <f t="shared" si="86"/>
        <v>15.021021266174129</v>
      </c>
      <c r="AN207" s="110">
        <f t="shared" si="86"/>
        <v>16.678811432272688</v>
      </c>
      <c r="AO207" s="110">
        <f t="shared" si="86"/>
        <v>15.80431243299051</v>
      </c>
      <c r="AP207" s="110">
        <f t="shared" si="86"/>
        <v>15.985456369107322</v>
      </c>
      <c r="AQ207" s="111">
        <f>VLOOKUP(AK207,IDACI!$B$9:$C$29,2,FALSE)</f>
        <v>8.5</v>
      </c>
      <c r="AR207" s="237">
        <f t="shared" si="89"/>
        <v>2.9787234042553193E-2</v>
      </c>
      <c r="AS207" s="237" t="e">
        <f t="shared" si="87"/>
        <v>#N/A</v>
      </c>
      <c r="AT207" s="237" t="e">
        <f t="shared" si="87"/>
        <v>#N/A</v>
      </c>
      <c r="AU207" s="237">
        <f t="shared" si="87"/>
        <v>0</v>
      </c>
      <c r="AV207" s="237" t="e">
        <f t="shared" si="87"/>
        <v>#N/A</v>
      </c>
      <c r="AW207" s="237">
        <f t="shared" si="90"/>
        <v>7.6595744680851063E-2</v>
      </c>
      <c r="AX207" s="237">
        <f t="shared" si="88"/>
        <v>8.6956521739130432E-2</v>
      </c>
      <c r="AY207" s="237">
        <f t="shared" si="88"/>
        <v>0.12621359223300971</v>
      </c>
      <c r="AZ207" s="237">
        <f t="shared" si="88"/>
        <v>7.0351758793969849E-2</v>
      </c>
      <c r="BA207" s="237">
        <f t="shared" si="88"/>
        <v>8.8235294117647065E-2</v>
      </c>
      <c r="BB207" s="237"/>
      <c r="BC207" s="237"/>
      <c r="BD207" s="237"/>
      <c r="BE207" s="237"/>
      <c r="BF207" s="237"/>
      <c r="BG207" s="237"/>
      <c r="BH207" s="237"/>
      <c r="BI207" s="237"/>
      <c r="BJ207" s="237"/>
      <c r="BK207" s="237"/>
      <c r="BL207" s="237"/>
      <c r="BM207" s="237"/>
      <c r="BN207" s="237"/>
      <c r="BO207" s="237"/>
      <c r="BP207" s="237"/>
      <c r="BQ207" s="52"/>
      <c r="BR207" s="52"/>
      <c r="BS207" s="52"/>
      <c r="BT207" s="52"/>
      <c r="BU207" s="52"/>
      <c r="BV207" s="52"/>
      <c r="BW207" s="52"/>
      <c r="BX207" s="52"/>
    </row>
    <row r="208" spans="1:76" s="56" customFormat="1" ht="14.25" customHeight="1">
      <c r="A208" s="208"/>
      <c r="B208" s="5"/>
      <c r="C208" s="5"/>
      <c r="D208" s="5"/>
      <c r="E208" s="5"/>
      <c r="F208" s="5"/>
      <c r="G208" s="5"/>
      <c r="H208" s="5"/>
      <c r="I208" s="5"/>
      <c r="J208" s="1"/>
      <c r="K208" s="5"/>
      <c r="L208" s="5"/>
      <c r="M208" s="5"/>
      <c r="N208" s="5"/>
      <c r="O208" s="5"/>
      <c r="P208" s="5"/>
      <c r="Q208" s="5"/>
      <c r="R208" s="5"/>
      <c r="S208" s="5"/>
      <c r="T208" s="5"/>
      <c r="U208" s="86"/>
      <c r="V208" s="102"/>
      <c r="W208" s="771"/>
      <c r="X208" s="786" t="s">
        <v>4</v>
      </c>
      <c r="Y208" s="244">
        <f t="shared" si="79"/>
        <v>176</v>
      </c>
      <c r="Z208" s="244">
        <f t="shared" si="80"/>
        <v>176</v>
      </c>
      <c r="AA208" s="244">
        <f t="shared" si="81"/>
        <v>224</v>
      </c>
      <c r="AB208" s="244">
        <f t="shared" si="82"/>
        <v>213</v>
      </c>
      <c r="AC208" s="244">
        <f t="shared" si="83"/>
        <v>235</v>
      </c>
      <c r="AD208" s="251"/>
      <c r="AE208" s="760"/>
      <c r="AF208" s="760"/>
      <c r="AG208" s="760"/>
      <c r="AH208" s="760"/>
      <c r="AI208" s="361" t="b">
        <f t="shared" si="84"/>
        <v>1</v>
      </c>
      <c r="AJ208" s="766" t="s">
        <v>4</v>
      </c>
      <c r="AK208" s="61" t="str">
        <f t="shared" si="85"/>
        <v>East Sussex</v>
      </c>
      <c r="AL208" s="110">
        <f t="shared" si="86"/>
        <v>17.100494554075457</v>
      </c>
      <c r="AM208" s="110">
        <f t="shared" si="86"/>
        <v>17.184311504701274</v>
      </c>
      <c r="AN208" s="110">
        <f t="shared" si="86"/>
        <v>21.969615237497425</v>
      </c>
      <c r="AO208" s="110">
        <f t="shared" si="86"/>
        <v>20.714806710430341</v>
      </c>
      <c r="AP208" s="110">
        <f t="shared" si="86"/>
        <v>22.68208404918634</v>
      </c>
      <c r="AQ208" s="111">
        <f>VLOOKUP(AK208,IDACI!$B$9:$C$29,2,FALSE)</f>
        <v>16.100000000000001</v>
      </c>
      <c r="AR208" s="237" t="e">
        <f t="shared" si="89"/>
        <v>#N/A</v>
      </c>
      <c r="AS208" s="237">
        <f t="shared" si="87"/>
        <v>3.9772727272727272E-2</v>
      </c>
      <c r="AT208" s="237" t="e">
        <f t="shared" si="87"/>
        <v>#N/A</v>
      </c>
      <c r="AU208" s="237">
        <f t="shared" si="87"/>
        <v>3.7558685446009391E-2</v>
      </c>
      <c r="AV208" s="237">
        <f t="shared" si="87"/>
        <v>5.106382978723404E-2</v>
      </c>
      <c r="AW208" s="237">
        <f t="shared" si="90"/>
        <v>0.125</v>
      </c>
      <c r="AX208" s="237">
        <f t="shared" si="88"/>
        <v>0.16477272727272727</v>
      </c>
      <c r="AY208" s="237">
        <f t="shared" si="88"/>
        <v>0.16071428571428573</v>
      </c>
      <c r="AZ208" s="237">
        <f t="shared" si="88"/>
        <v>0.18779342723004694</v>
      </c>
      <c r="BA208" s="237">
        <f t="shared" si="88"/>
        <v>0.16170212765957448</v>
      </c>
      <c r="BB208" s="237"/>
      <c r="BC208" s="237"/>
      <c r="BD208" s="237"/>
      <c r="BE208" s="237"/>
      <c r="BF208" s="237"/>
      <c r="BG208" s="237"/>
      <c r="BH208" s="237"/>
      <c r="BI208" s="237"/>
      <c r="BJ208" s="237"/>
      <c r="BK208" s="237"/>
      <c r="BL208" s="237"/>
      <c r="BM208" s="237"/>
      <c r="BN208" s="237"/>
      <c r="BO208" s="237"/>
      <c r="BP208" s="237"/>
      <c r="BQ208" s="52"/>
      <c r="BR208" s="52"/>
      <c r="BS208" s="52"/>
      <c r="BT208" s="52"/>
      <c r="BU208" s="52"/>
      <c r="BV208" s="52"/>
      <c r="BW208" s="52"/>
      <c r="BX208" s="52"/>
    </row>
    <row r="209" spans="1:68" ht="14.25" customHeight="1">
      <c r="A209" s="208"/>
      <c r="B209" s="5"/>
      <c r="C209" s="5"/>
      <c r="D209" s="5"/>
      <c r="E209" s="5"/>
      <c r="F209" s="5"/>
      <c r="G209" s="5"/>
      <c r="H209" s="5"/>
      <c r="I209" s="5"/>
      <c r="J209" s="1"/>
      <c r="K209" s="5"/>
      <c r="L209" s="5"/>
      <c r="M209" s="5"/>
      <c r="N209" s="5"/>
      <c r="O209" s="5"/>
      <c r="P209" s="5"/>
      <c r="Q209" s="5"/>
      <c r="R209" s="5"/>
      <c r="S209" s="5"/>
      <c r="T209" s="5"/>
      <c r="U209" s="86"/>
      <c r="V209" s="102"/>
      <c r="W209" s="771"/>
      <c r="X209" s="786" t="s">
        <v>6</v>
      </c>
      <c r="Y209" s="244">
        <f t="shared" si="79"/>
        <v>624</v>
      </c>
      <c r="Z209" s="244">
        <f t="shared" si="80"/>
        <v>573</v>
      </c>
      <c r="AA209" s="244">
        <f t="shared" si="81"/>
        <v>556</v>
      </c>
      <c r="AB209" s="244">
        <f t="shared" si="82"/>
        <v>612</v>
      </c>
      <c r="AC209" s="244">
        <f t="shared" si="83"/>
        <v>641</v>
      </c>
      <c r="AE209" s="760"/>
      <c r="AF209" s="760"/>
      <c r="AG209" s="760"/>
      <c r="AH209" s="760"/>
      <c r="AI209" s="361" t="b">
        <f t="shared" si="84"/>
        <v>1</v>
      </c>
      <c r="AJ209" s="766" t="s">
        <v>6</v>
      </c>
      <c r="AK209" s="61" t="str">
        <f t="shared" si="85"/>
        <v>Hampshire</v>
      </c>
      <c r="AL209" s="110">
        <f t="shared" si="86"/>
        <v>22.338369012672729</v>
      </c>
      <c r="AM209" s="110">
        <f t="shared" si="86"/>
        <v>20.502654968584064</v>
      </c>
      <c r="AN209" s="110">
        <f t="shared" si="86"/>
        <v>19.791477561946255</v>
      </c>
      <c r="AO209" s="110">
        <f t="shared" si="86"/>
        <v>21.588291526595576</v>
      </c>
      <c r="AP209" s="110">
        <f t="shared" si="86"/>
        <v>22.443191764994221</v>
      </c>
      <c r="AQ209" s="111">
        <f>VLOOKUP(AK209,IDACI!$B$9:$C$29,2,FALSE)</f>
        <v>10.100000000000001</v>
      </c>
      <c r="AR209" s="237">
        <f t="shared" si="89"/>
        <v>4.3269230769230768E-2</v>
      </c>
      <c r="AS209" s="237">
        <f t="shared" si="87"/>
        <v>2.9668411867364748E-2</v>
      </c>
      <c r="AT209" s="237">
        <f t="shared" si="87"/>
        <v>4.1366906474820143E-2</v>
      </c>
      <c r="AU209" s="237">
        <f t="shared" si="87"/>
        <v>1.6339869281045753E-2</v>
      </c>
      <c r="AV209" s="237">
        <f t="shared" si="87"/>
        <v>3.7441497659906398E-2</v>
      </c>
      <c r="AW209" s="237">
        <f t="shared" si="90"/>
        <v>0.14423076923076922</v>
      </c>
      <c r="AX209" s="237">
        <f t="shared" si="88"/>
        <v>0.13438045375218149</v>
      </c>
      <c r="AY209" s="237">
        <f t="shared" si="88"/>
        <v>0.10971223021582734</v>
      </c>
      <c r="AZ209" s="237">
        <f t="shared" si="88"/>
        <v>0.13235294117647059</v>
      </c>
      <c r="BA209" s="237">
        <f t="shared" si="88"/>
        <v>0.11388455538221529</v>
      </c>
      <c r="BB209" s="237"/>
      <c r="BC209" s="237"/>
      <c r="BD209" s="237"/>
      <c r="BE209" s="237"/>
      <c r="BF209" s="237"/>
      <c r="BG209" s="237"/>
      <c r="BH209" s="237"/>
      <c r="BI209" s="237"/>
      <c r="BJ209" s="237"/>
      <c r="BK209" s="237"/>
      <c r="BL209" s="237"/>
      <c r="BM209" s="237"/>
      <c r="BN209" s="237"/>
      <c r="BO209" s="237"/>
      <c r="BP209" s="237"/>
    </row>
    <row r="210" spans="1:68" ht="14.25" customHeight="1">
      <c r="A210" s="208"/>
      <c r="B210" s="5"/>
      <c r="C210" s="5"/>
      <c r="D210" s="5"/>
      <c r="E210" s="5"/>
      <c r="F210" s="5"/>
      <c r="G210" s="5"/>
      <c r="H210" s="5"/>
      <c r="I210" s="5"/>
      <c r="J210" s="1"/>
      <c r="K210" s="10"/>
      <c r="L210" s="10"/>
      <c r="M210" s="10"/>
      <c r="N210" s="10"/>
      <c r="O210" s="5"/>
      <c r="P210" s="5"/>
      <c r="Q210" s="5"/>
      <c r="R210" s="5"/>
      <c r="S210" s="5"/>
      <c r="T210" s="5"/>
      <c r="U210" s="86"/>
      <c r="V210" s="102"/>
      <c r="W210" s="771"/>
      <c r="X210" s="786" t="s">
        <v>1</v>
      </c>
      <c r="Y210" s="244">
        <f t="shared" si="79"/>
        <v>53</v>
      </c>
      <c r="Z210" s="244">
        <f t="shared" si="80"/>
        <v>65</v>
      </c>
      <c r="AA210" s="244">
        <f t="shared" si="81"/>
        <v>89</v>
      </c>
      <c r="AB210" s="244">
        <f t="shared" si="82"/>
        <v>77</v>
      </c>
      <c r="AC210" s="244">
        <f t="shared" si="83"/>
        <v>84</v>
      </c>
      <c r="AE210" s="760"/>
      <c r="AF210" s="760"/>
      <c r="AG210" s="760"/>
      <c r="AH210" s="760"/>
      <c r="AI210" s="361" t="b">
        <f t="shared" si="84"/>
        <v>1</v>
      </c>
      <c r="AJ210" s="766" t="s">
        <v>1</v>
      </c>
      <c r="AK210" s="61" t="str">
        <f t="shared" si="85"/>
        <v>Isle of Wight</v>
      </c>
      <c r="AL210" s="110">
        <f t="shared" si="86"/>
        <v>21.80980206575861</v>
      </c>
      <c r="AM210" s="110">
        <f t="shared" si="86"/>
        <v>27.205759249958145</v>
      </c>
      <c r="AN210" s="110">
        <f t="shared" si="86"/>
        <v>37.654425452699272</v>
      </c>
      <c r="AO210" s="110">
        <f t="shared" si="86"/>
        <v>32.718619869125519</v>
      </c>
      <c r="AP210" s="110">
        <f t="shared" si="86"/>
        <v>35.83923542964417</v>
      </c>
      <c r="AQ210" s="111">
        <f>VLOOKUP(AK210,IDACI!$B$9:$C$29,2,FALSE)</f>
        <v>18</v>
      </c>
      <c r="AR210" s="237" t="e">
        <f t="shared" si="89"/>
        <v>#N/A</v>
      </c>
      <c r="AS210" s="237">
        <f t="shared" si="87"/>
        <v>9.2307692307692313E-2</v>
      </c>
      <c r="AT210" s="237">
        <f t="shared" si="87"/>
        <v>0.10112359550561797</v>
      </c>
      <c r="AU210" s="237" t="e">
        <f t="shared" si="87"/>
        <v>#N/A</v>
      </c>
      <c r="AV210" s="237" t="e">
        <f t="shared" si="87"/>
        <v>#N/A</v>
      </c>
      <c r="AW210" s="237" t="e">
        <f t="shared" si="90"/>
        <v>#N/A</v>
      </c>
      <c r="AX210" s="237" t="e">
        <f t="shared" si="88"/>
        <v>#N/A</v>
      </c>
      <c r="AY210" s="237">
        <f t="shared" si="88"/>
        <v>0.10112359550561797</v>
      </c>
      <c r="AZ210" s="237">
        <f t="shared" si="88"/>
        <v>7.792207792207792E-2</v>
      </c>
      <c r="BA210" s="237" t="e">
        <f t="shared" si="88"/>
        <v>#N/A</v>
      </c>
      <c r="BB210" s="237"/>
      <c r="BC210" s="237"/>
      <c r="BD210" s="237"/>
      <c r="BE210" s="237"/>
      <c r="BF210" s="237"/>
      <c r="BG210" s="237"/>
      <c r="BH210" s="237"/>
      <c r="BI210" s="237"/>
      <c r="BJ210" s="237"/>
      <c r="BK210" s="237"/>
      <c r="BL210" s="237"/>
      <c r="BM210" s="237"/>
      <c r="BN210" s="237"/>
      <c r="BO210" s="237"/>
      <c r="BP210" s="237"/>
    </row>
    <row r="211" spans="1:68" ht="14.25" customHeight="1">
      <c r="A211" s="208"/>
      <c r="B211" s="76"/>
      <c r="C211" s="76"/>
      <c r="D211" s="77"/>
      <c r="E211" s="77"/>
      <c r="F211" s="77"/>
      <c r="G211" s="77"/>
      <c r="H211" s="77"/>
      <c r="I211" s="77"/>
      <c r="J211" s="1"/>
      <c r="K211" s="5"/>
      <c r="L211" s="5"/>
      <c r="M211" s="5"/>
      <c r="N211" s="5"/>
      <c r="O211" s="5"/>
      <c r="P211" s="5"/>
      <c r="Q211" s="5"/>
      <c r="R211" s="5"/>
      <c r="S211" s="5"/>
      <c r="T211" s="5"/>
      <c r="U211" s="86"/>
      <c r="V211" s="102"/>
      <c r="W211" s="771"/>
      <c r="X211" s="786" t="s">
        <v>9</v>
      </c>
      <c r="Y211" s="244">
        <f t="shared" si="79"/>
        <v>738</v>
      </c>
      <c r="Z211" s="244">
        <f t="shared" si="80"/>
        <v>1137</v>
      </c>
      <c r="AA211" s="244">
        <f t="shared" si="81"/>
        <v>1394</v>
      </c>
      <c r="AB211" s="244">
        <f t="shared" si="82"/>
        <v>1631</v>
      </c>
      <c r="AC211" s="244">
        <f t="shared" si="83"/>
        <v>2735</v>
      </c>
      <c r="AE211" s="760"/>
      <c r="AF211" s="760"/>
      <c r="AG211" s="760"/>
      <c r="AH211" s="760"/>
      <c r="AI211" s="361" t="b">
        <f t="shared" si="84"/>
        <v>1</v>
      </c>
      <c r="AJ211" s="766" t="s">
        <v>9</v>
      </c>
      <c r="AK211" s="61" t="str">
        <f t="shared" si="85"/>
        <v>Kent</v>
      </c>
      <c r="AL211" s="110">
        <f t="shared" si="86"/>
        <v>22.1393579586192</v>
      </c>
      <c r="AM211" s="110">
        <f t="shared" si="86"/>
        <v>33.998756070138505</v>
      </c>
      <c r="AN211" s="110">
        <f t="shared" si="86"/>
        <v>41.476861921324883</v>
      </c>
      <c r="AO211" s="110">
        <f t="shared" si="86"/>
        <v>47.57071440654731</v>
      </c>
      <c r="AP211" s="110">
        <f t="shared" si="86"/>
        <v>78.517046955203668</v>
      </c>
      <c r="AQ211" s="111">
        <f>VLOOKUP(AK211,IDACI!$B$9:$C$29,2,FALSE)</f>
        <v>15.8</v>
      </c>
      <c r="AR211" s="237">
        <f t="shared" si="89"/>
        <v>2.4390243902439025E-2</v>
      </c>
      <c r="AS211" s="237" t="e">
        <f t="shared" si="87"/>
        <v>#N/A</v>
      </c>
      <c r="AT211" s="237">
        <f t="shared" si="87"/>
        <v>5.0215208034433282E-3</v>
      </c>
      <c r="AU211" s="237">
        <f t="shared" si="87"/>
        <v>8.5836909871244635E-3</v>
      </c>
      <c r="AV211" s="237">
        <f t="shared" si="87"/>
        <v>1.0968921389396709E-2</v>
      </c>
      <c r="AW211" s="237">
        <f t="shared" si="90"/>
        <v>6.6395663956639567E-2</v>
      </c>
      <c r="AX211" s="237">
        <f t="shared" si="88"/>
        <v>3.1662269129287601E-2</v>
      </c>
      <c r="AY211" s="237">
        <f t="shared" si="88"/>
        <v>2.7977044476327116E-2</v>
      </c>
      <c r="AZ211" s="237">
        <f t="shared" si="88"/>
        <v>2.023298589822195E-2</v>
      </c>
      <c r="BA211" s="237">
        <f t="shared" si="88"/>
        <v>1.4259597806215722E-2</v>
      </c>
      <c r="BB211" s="237"/>
      <c r="BC211" s="237"/>
      <c r="BD211" s="237"/>
      <c r="BE211" s="237"/>
      <c r="BF211" s="237"/>
      <c r="BG211" s="237"/>
      <c r="BH211" s="237"/>
      <c r="BI211" s="237"/>
      <c r="BJ211" s="237"/>
      <c r="BK211" s="237"/>
      <c r="BL211" s="237"/>
      <c r="BM211" s="237"/>
      <c r="BN211" s="237"/>
      <c r="BO211" s="237"/>
      <c r="BP211" s="237"/>
    </row>
    <row r="212" spans="1:68" ht="14.25" customHeight="1">
      <c r="A212" s="208"/>
      <c r="B212" s="77"/>
      <c r="C212" s="77"/>
      <c r="D212" s="77"/>
      <c r="E212" s="77"/>
      <c r="F212" s="77"/>
      <c r="G212" s="77"/>
      <c r="H212" s="77"/>
      <c r="I212" s="77"/>
      <c r="J212" s="1"/>
      <c r="K212" s="5"/>
      <c r="L212" s="5"/>
      <c r="M212" s="5"/>
      <c r="N212" s="5"/>
      <c r="O212" s="5"/>
      <c r="P212" s="5"/>
      <c r="Q212" s="5"/>
      <c r="R212" s="5"/>
      <c r="S212" s="5"/>
      <c r="T212" s="5"/>
      <c r="U212" s="86"/>
      <c r="V212" s="102"/>
      <c r="W212" s="771"/>
      <c r="X212" s="786" t="s">
        <v>2</v>
      </c>
      <c r="Y212" s="244">
        <f t="shared" si="79"/>
        <v>180</v>
      </c>
      <c r="Z212" s="244">
        <f t="shared" si="80"/>
        <v>135</v>
      </c>
      <c r="AA212" s="244">
        <f t="shared" si="81"/>
        <v>124</v>
      </c>
      <c r="AB212" s="244">
        <f t="shared" si="82"/>
        <v>147</v>
      </c>
      <c r="AC212" s="244">
        <f t="shared" si="83"/>
        <v>185</v>
      </c>
      <c r="AE212" s="760"/>
      <c r="AF212" s="760"/>
      <c r="AG212" s="760"/>
      <c r="AH212" s="760"/>
      <c r="AI212" s="361" t="b">
        <f t="shared" si="84"/>
        <v>1</v>
      </c>
      <c r="AJ212" s="766" t="s">
        <v>2</v>
      </c>
      <c r="AK212" s="61" t="str">
        <f t="shared" si="85"/>
        <v>Medway</v>
      </c>
      <c r="AL212" s="110">
        <f t="shared" si="86"/>
        <v>28.269883151149642</v>
      </c>
      <c r="AM212" s="110">
        <f t="shared" si="86"/>
        <v>21.194756260303006</v>
      </c>
      <c r="AN212" s="110">
        <f t="shared" si="86"/>
        <v>19.430559255370827</v>
      </c>
      <c r="AO212" s="110">
        <f t="shared" si="86"/>
        <v>22.631052266954047</v>
      </c>
      <c r="AP212" s="110">
        <f t="shared" si="86"/>
        <v>27.741538830656651</v>
      </c>
      <c r="AQ212" s="111">
        <f>VLOOKUP(AK212,IDACI!$B$9:$C$29,2,FALSE)</f>
        <v>18.899999999999999</v>
      </c>
      <c r="AR212" s="237">
        <f t="shared" si="89"/>
        <v>7.7777777777777779E-2</v>
      </c>
      <c r="AS212" s="237">
        <f t="shared" si="87"/>
        <v>0</v>
      </c>
      <c r="AT212" s="237" t="e">
        <f t="shared" si="87"/>
        <v>#N/A</v>
      </c>
      <c r="AU212" s="237">
        <f t="shared" si="87"/>
        <v>5.4421768707482991E-2</v>
      </c>
      <c r="AV212" s="237">
        <f t="shared" si="87"/>
        <v>3.2432432432432434E-2</v>
      </c>
      <c r="AW212" s="237">
        <f t="shared" si="90"/>
        <v>0.12777777777777777</v>
      </c>
      <c r="AX212" s="237">
        <f t="shared" si="88"/>
        <v>8.8888888888888892E-2</v>
      </c>
      <c r="AY212" s="237">
        <f t="shared" si="88"/>
        <v>0.16129032258064516</v>
      </c>
      <c r="AZ212" s="237">
        <f t="shared" si="88"/>
        <v>7.4829931972789115E-2</v>
      </c>
      <c r="BA212" s="237">
        <f t="shared" si="88"/>
        <v>0.12432432432432433</v>
      </c>
      <c r="BB212" s="237"/>
      <c r="BC212" s="237"/>
      <c r="BD212" s="237"/>
      <c r="BE212" s="237"/>
      <c r="BF212" s="237"/>
      <c r="BG212" s="237"/>
      <c r="BH212" s="237"/>
      <c r="BI212" s="237"/>
      <c r="BJ212" s="237"/>
      <c r="BK212" s="237"/>
      <c r="BL212" s="237"/>
      <c r="BM212" s="237"/>
      <c r="BN212" s="237"/>
      <c r="BO212" s="237"/>
      <c r="BP212" s="237"/>
    </row>
    <row r="213" spans="1:68" ht="14.25" customHeight="1">
      <c r="A213" s="208"/>
      <c r="B213" s="77"/>
      <c r="C213" s="77"/>
      <c r="D213" s="77"/>
      <c r="E213" s="77"/>
      <c r="F213" s="77"/>
      <c r="G213" s="77"/>
      <c r="H213" s="77"/>
      <c r="I213" s="77"/>
      <c r="J213" s="1"/>
      <c r="K213" s="5"/>
      <c r="L213" s="5"/>
      <c r="M213" s="5"/>
      <c r="N213" s="5"/>
      <c r="O213" s="5"/>
      <c r="P213" s="5"/>
      <c r="Q213" s="5"/>
      <c r="R213" s="5"/>
      <c r="S213" s="5"/>
      <c r="T213" s="5"/>
      <c r="U213" s="86"/>
      <c r="V213" s="102"/>
      <c r="W213" s="771"/>
      <c r="X213" s="786" t="s">
        <v>10</v>
      </c>
      <c r="Y213" s="244">
        <f t="shared" si="79"/>
        <v>148</v>
      </c>
      <c r="Z213" s="244">
        <f t="shared" si="80"/>
        <v>168</v>
      </c>
      <c r="AA213" s="244">
        <f t="shared" si="81"/>
        <v>187</v>
      </c>
      <c r="AB213" s="244">
        <f t="shared" si="82"/>
        <v>174</v>
      </c>
      <c r="AC213" s="244">
        <f t="shared" si="83"/>
        <v>181</v>
      </c>
      <c r="AE213" s="760"/>
      <c r="AF213" s="760"/>
      <c r="AG213" s="760"/>
      <c r="AH213" s="760"/>
      <c r="AI213" s="361" t="b">
        <f t="shared" si="84"/>
        <v>1</v>
      </c>
      <c r="AJ213" s="766" t="s">
        <v>10</v>
      </c>
      <c r="AK213" s="61" t="str">
        <f t="shared" si="85"/>
        <v>Milton Keynes</v>
      </c>
      <c r="AL213" s="110">
        <f t="shared" si="86"/>
        <v>21.437779741298144</v>
      </c>
      <c r="AM213" s="110">
        <f t="shared" si="86"/>
        <v>24.240675275954118</v>
      </c>
      <c r="AN213" s="110">
        <f t="shared" si="86"/>
        <v>26.854311768507213</v>
      </c>
      <c r="AO213" s="110">
        <f t="shared" si="86"/>
        <v>24.523967245000073</v>
      </c>
      <c r="AP213" s="110">
        <f t="shared" si="86"/>
        <v>24.863661964091925</v>
      </c>
      <c r="AQ213" s="111">
        <f>VLOOKUP(AK213,IDACI!$B$9:$C$29,2,FALSE)</f>
        <v>15</v>
      </c>
      <c r="AR213" s="237">
        <f t="shared" si="89"/>
        <v>6.0810810810810814E-2</v>
      </c>
      <c r="AS213" s="237" t="e">
        <f t="shared" si="87"/>
        <v>#N/A</v>
      </c>
      <c r="AT213" s="237" t="e">
        <f t="shared" si="87"/>
        <v>#N/A</v>
      </c>
      <c r="AU213" s="237" t="e">
        <f t="shared" si="87"/>
        <v>#N/A</v>
      </c>
      <c r="AV213" s="237" t="e">
        <f t="shared" si="87"/>
        <v>#N/A</v>
      </c>
      <c r="AW213" s="237">
        <f t="shared" si="90"/>
        <v>0.13513513513513514</v>
      </c>
      <c r="AX213" s="237">
        <f t="shared" si="88"/>
        <v>0.25595238095238093</v>
      </c>
      <c r="AY213" s="237">
        <f t="shared" si="88"/>
        <v>0.18716577540106952</v>
      </c>
      <c r="AZ213" s="237">
        <f t="shared" si="88"/>
        <v>0.17816091954022989</v>
      </c>
      <c r="BA213" s="237">
        <f t="shared" si="88"/>
        <v>0.18232044198895028</v>
      </c>
      <c r="BB213" s="237"/>
      <c r="BC213" s="237"/>
      <c r="BD213" s="237"/>
      <c r="BE213" s="237"/>
      <c r="BF213" s="237"/>
      <c r="BG213" s="237"/>
      <c r="BH213" s="237"/>
      <c r="BI213" s="237"/>
      <c r="BJ213" s="237"/>
      <c r="BK213" s="237"/>
      <c r="BL213" s="237"/>
      <c r="BM213" s="237"/>
      <c r="BN213" s="237"/>
      <c r="BO213" s="237"/>
      <c r="BP213" s="237"/>
    </row>
    <row r="214" spans="1:68" ht="14.25" customHeight="1">
      <c r="A214" s="208"/>
      <c r="B214" s="40"/>
      <c r="C214" s="40"/>
      <c r="D214" s="40"/>
      <c r="E214" s="40"/>
      <c r="F214" s="40"/>
      <c r="G214" s="40"/>
      <c r="H214" s="40"/>
      <c r="I214" s="40"/>
      <c r="J214" s="1"/>
      <c r="K214" s="5"/>
      <c r="L214" s="5"/>
      <c r="M214" s="5"/>
      <c r="N214" s="5"/>
      <c r="O214" s="5"/>
      <c r="P214" s="5"/>
      <c r="Q214" s="5"/>
      <c r="R214" s="5"/>
      <c r="S214" s="5"/>
      <c r="T214" s="5"/>
      <c r="U214" s="86"/>
      <c r="V214" s="102"/>
      <c r="W214" s="771"/>
      <c r="X214" s="786" t="s">
        <v>11</v>
      </c>
      <c r="Y214" s="244">
        <f t="shared" si="79"/>
        <v>322</v>
      </c>
      <c r="Z214" s="244">
        <f t="shared" si="80"/>
        <v>278</v>
      </c>
      <c r="AA214" s="244">
        <f t="shared" si="81"/>
        <v>299</v>
      </c>
      <c r="AB214" s="244">
        <f t="shared" si="82"/>
        <v>347</v>
      </c>
      <c r="AC214" s="244">
        <f t="shared" si="83"/>
        <v>335</v>
      </c>
      <c r="AE214" s="760"/>
      <c r="AF214" s="760"/>
      <c r="AG214" s="760"/>
      <c r="AH214" s="760"/>
      <c r="AI214" s="361" t="b">
        <f t="shared" si="84"/>
        <v>1</v>
      </c>
      <c r="AJ214" s="766" t="s">
        <v>11</v>
      </c>
      <c r="AK214" s="61" t="str">
        <f t="shared" si="85"/>
        <v>Oxfordshire</v>
      </c>
      <c r="AL214" s="110">
        <f t="shared" si="86"/>
        <v>22.294691509322917</v>
      </c>
      <c r="AM214" s="110">
        <f t="shared" si="86"/>
        <v>19.143500506132117</v>
      </c>
      <c r="AN214" s="110">
        <f t="shared" si="86"/>
        <v>20.431452136419232</v>
      </c>
      <c r="AO214" s="110">
        <f t="shared" si="86"/>
        <v>23.204804130053901</v>
      </c>
      <c r="AP214" s="110">
        <f t="shared" si="86"/>
        <v>21.966492901872069</v>
      </c>
      <c r="AQ214" s="111">
        <f>VLOOKUP(AK214,IDACI!$B$9:$C$29,2,FALSE)</f>
        <v>10.100000000000001</v>
      </c>
      <c r="AR214" s="237">
        <f t="shared" si="89"/>
        <v>5.2795031055900624E-2</v>
      </c>
      <c r="AS214" s="237">
        <f t="shared" si="87"/>
        <v>0.10071942446043165</v>
      </c>
      <c r="AT214" s="237">
        <f t="shared" si="87"/>
        <v>5.3511705685618728E-2</v>
      </c>
      <c r="AU214" s="237" t="e">
        <f t="shared" si="87"/>
        <v>#N/A</v>
      </c>
      <c r="AV214" s="237">
        <f t="shared" si="87"/>
        <v>6.2686567164179099E-2</v>
      </c>
      <c r="AW214" s="237">
        <f t="shared" si="90"/>
        <v>0.13664596273291926</v>
      </c>
      <c r="AX214" s="237">
        <f t="shared" si="88"/>
        <v>5.3956834532374098E-2</v>
      </c>
      <c r="AY214" s="237">
        <f t="shared" si="88"/>
        <v>0.11371237458193979</v>
      </c>
      <c r="AZ214" s="237">
        <f t="shared" si="88"/>
        <v>0.10086455331412104</v>
      </c>
      <c r="BA214" s="237">
        <f t="shared" si="88"/>
        <v>8.3582089552238809E-2</v>
      </c>
      <c r="BB214" s="237"/>
      <c r="BC214" s="237"/>
      <c r="BD214" s="237"/>
      <c r="BE214" s="237"/>
      <c r="BF214" s="237"/>
      <c r="BG214" s="237"/>
      <c r="BH214" s="237"/>
      <c r="BI214" s="237"/>
      <c r="BJ214" s="237"/>
      <c r="BK214" s="237"/>
      <c r="BL214" s="237"/>
      <c r="BM214" s="237"/>
      <c r="BN214" s="237"/>
      <c r="BO214" s="237"/>
      <c r="BP214" s="237"/>
    </row>
    <row r="215" spans="1:68" ht="14.25" customHeight="1">
      <c r="A215" s="208"/>
      <c r="B215" s="40"/>
      <c r="C215" s="40"/>
      <c r="D215" s="49"/>
      <c r="E215" s="50"/>
      <c r="F215" s="49"/>
      <c r="G215" s="50"/>
      <c r="H215" s="50"/>
      <c r="I215" s="50"/>
      <c r="J215" s="1"/>
      <c r="K215" s="5"/>
      <c r="L215" s="5"/>
      <c r="M215" s="5"/>
      <c r="N215" s="5"/>
      <c r="O215" s="5"/>
      <c r="P215" s="5"/>
      <c r="Q215" s="5"/>
      <c r="R215" s="5"/>
      <c r="S215" s="5"/>
      <c r="T215" s="5"/>
      <c r="U215" s="86"/>
      <c r="V215" s="102"/>
      <c r="W215" s="771"/>
      <c r="X215" s="786" t="s">
        <v>12</v>
      </c>
      <c r="Y215" s="244">
        <f t="shared" si="79"/>
        <v>204</v>
      </c>
      <c r="Z215" s="244">
        <f t="shared" si="80"/>
        <v>216</v>
      </c>
      <c r="AA215" s="244">
        <f t="shared" si="81"/>
        <v>128</v>
      </c>
      <c r="AB215" s="244">
        <f t="shared" si="82"/>
        <v>157</v>
      </c>
      <c r="AC215" s="244">
        <f t="shared" si="83"/>
        <v>156</v>
      </c>
      <c r="AE215" s="760"/>
      <c r="AF215" s="760"/>
      <c r="AG215" s="760"/>
      <c r="AH215" s="760"/>
      <c r="AI215" s="361" t="b">
        <f t="shared" si="84"/>
        <v>1</v>
      </c>
      <c r="AJ215" s="766" t="s">
        <v>12</v>
      </c>
      <c r="AK215" s="61" t="str">
        <f t="shared" si="85"/>
        <v>Portsmouth</v>
      </c>
      <c r="AL215" s="110">
        <f t="shared" ref="AL215:AP217" si="91">VLOOKUP($AK215,$B$180:$O$200,AL$201,FALSE)</f>
        <v>48.533295268003712</v>
      </c>
      <c r="AM215" s="110">
        <f t="shared" si="91"/>
        <v>51.594410605517737</v>
      </c>
      <c r="AN215" s="110">
        <f t="shared" si="91"/>
        <v>30.882814196443654</v>
      </c>
      <c r="AO215" s="110">
        <f t="shared" si="91"/>
        <v>37.496119032265767</v>
      </c>
      <c r="AP215" s="110">
        <f t="shared" si="91"/>
        <v>36.873330654501622</v>
      </c>
      <c r="AQ215" s="111">
        <f>VLOOKUP(AK215,IDACI!$B$9:$C$29,2,FALSE)</f>
        <v>20.200000000000003</v>
      </c>
      <c r="AR215" s="237" t="e">
        <f t="shared" si="89"/>
        <v>#N/A</v>
      </c>
      <c r="AS215" s="237">
        <f t="shared" si="87"/>
        <v>5.5555555555555552E-2</v>
      </c>
      <c r="AT215" s="237" t="e">
        <f t="shared" si="87"/>
        <v>#N/A</v>
      </c>
      <c r="AU215" s="237">
        <f t="shared" si="87"/>
        <v>8.2802547770700632E-2</v>
      </c>
      <c r="AV215" s="237">
        <f t="shared" si="87"/>
        <v>6.4102564102564097E-2</v>
      </c>
      <c r="AW215" s="237">
        <f t="shared" si="90"/>
        <v>3.4313725490196081E-2</v>
      </c>
      <c r="AX215" s="237">
        <f t="shared" si="88"/>
        <v>5.5555555555555552E-2</v>
      </c>
      <c r="AY215" s="237">
        <f t="shared" si="88"/>
        <v>6.25E-2</v>
      </c>
      <c r="AZ215" s="237">
        <f t="shared" si="88"/>
        <v>7.0063694267515922E-2</v>
      </c>
      <c r="BA215" s="237">
        <f t="shared" si="88"/>
        <v>0.10256410256410256</v>
      </c>
      <c r="BB215" s="237"/>
      <c r="BC215" s="237"/>
      <c r="BD215" s="237"/>
      <c r="BE215" s="237"/>
      <c r="BF215" s="237"/>
      <c r="BG215" s="237"/>
      <c r="BH215" s="237"/>
      <c r="BI215" s="237"/>
      <c r="BJ215" s="237"/>
      <c r="BK215" s="237"/>
      <c r="BL215" s="237"/>
      <c r="BM215" s="237"/>
      <c r="BN215" s="237"/>
      <c r="BO215" s="237"/>
      <c r="BP215" s="237"/>
    </row>
    <row r="216" spans="1:68" ht="14.25" customHeight="1">
      <c r="A216" s="208"/>
      <c r="B216" s="40"/>
      <c r="C216" s="40"/>
      <c r="D216" s="43"/>
      <c r="E216" s="43"/>
      <c r="F216" s="43"/>
      <c r="G216" s="43"/>
      <c r="H216" s="43"/>
      <c r="I216" s="43"/>
      <c r="J216" s="1"/>
      <c r="K216" s="5"/>
      <c r="L216" s="5"/>
      <c r="M216" s="5"/>
      <c r="N216" s="5"/>
      <c r="O216" s="5"/>
      <c r="P216" s="5"/>
      <c r="Q216" s="5"/>
      <c r="R216" s="5"/>
      <c r="S216" s="5"/>
      <c r="T216" s="5"/>
      <c r="U216" s="86"/>
      <c r="V216" s="102"/>
      <c r="W216" s="771"/>
      <c r="X216" s="786" t="s">
        <v>3</v>
      </c>
      <c r="Y216" s="244">
        <f t="shared" si="79"/>
        <v>109</v>
      </c>
      <c r="Z216" s="244">
        <f t="shared" si="80"/>
        <v>101</v>
      </c>
      <c r="AA216" s="244">
        <f t="shared" si="81"/>
        <v>116</v>
      </c>
      <c r="AB216" s="244">
        <f t="shared" si="82"/>
        <v>82</v>
      </c>
      <c r="AC216" s="244">
        <f t="shared" si="83"/>
        <v>97</v>
      </c>
      <c r="AE216" s="760"/>
      <c r="AF216" s="760"/>
      <c r="AG216" s="760"/>
      <c r="AH216" s="760"/>
      <c r="AI216" s="361" t="b">
        <f t="shared" si="84"/>
        <v>1</v>
      </c>
      <c r="AJ216" s="766" t="s">
        <v>3</v>
      </c>
      <c r="AK216" s="61" t="str">
        <f t="shared" si="85"/>
        <v>Reading</v>
      </c>
      <c r="AL216" s="110">
        <f t="shared" si="91"/>
        <v>29.4355927626249</v>
      </c>
      <c r="AM216" s="110">
        <f t="shared" si="91"/>
        <v>27.318709258608099</v>
      </c>
      <c r="AN216" s="110">
        <f t="shared" si="91"/>
        <v>31.92601970606044</v>
      </c>
      <c r="AO216" s="110">
        <f t="shared" si="91"/>
        <v>22.007514761137951</v>
      </c>
      <c r="AP216" s="110">
        <f t="shared" si="91"/>
        <v>25.574098974399536</v>
      </c>
      <c r="AQ216" s="111">
        <f>VLOOKUP(AK216,IDACI!$B$9:$C$29,2,FALSE)</f>
        <v>16</v>
      </c>
      <c r="AR216" s="237">
        <f t="shared" si="89"/>
        <v>0</v>
      </c>
      <c r="AS216" s="237">
        <f t="shared" si="87"/>
        <v>0</v>
      </c>
      <c r="AT216" s="237">
        <f t="shared" si="87"/>
        <v>0</v>
      </c>
      <c r="AU216" s="237" t="e">
        <f t="shared" si="87"/>
        <v>#N/A</v>
      </c>
      <c r="AV216" s="237">
        <f t="shared" si="87"/>
        <v>0</v>
      </c>
      <c r="AW216" s="237">
        <f t="shared" si="90"/>
        <v>0.15596330275229359</v>
      </c>
      <c r="AX216" s="237">
        <f t="shared" si="88"/>
        <v>0.22772277227722773</v>
      </c>
      <c r="AY216" s="237">
        <f t="shared" si="88"/>
        <v>9.4827586206896547E-2</v>
      </c>
      <c r="AZ216" s="237" t="e">
        <f t="shared" si="88"/>
        <v>#N/A</v>
      </c>
      <c r="BA216" s="237">
        <f t="shared" si="88"/>
        <v>0.15463917525773196</v>
      </c>
      <c r="BB216" s="237"/>
      <c r="BC216" s="237"/>
      <c r="BD216" s="237"/>
      <c r="BE216" s="237"/>
      <c r="BF216" s="237"/>
      <c r="BG216" s="237"/>
      <c r="BH216" s="237"/>
      <c r="BI216" s="237"/>
      <c r="BJ216" s="237"/>
      <c r="BK216" s="237"/>
      <c r="BL216" s="237"/>
      <c r="BM216" s="237"/>
      <c r="BN216" s="237"/>
      <c r="BO216" s="237"/>
      <c r="BP216" s="237"/>
    </row>
    <row r="217" spans="1:68" ht="14.25" customHeight="1">
      <c r="A217" s="208"/>
      <c r="B217" s="48"/>
      <c r="C217" s="48"/>
      <c r="D217" s="40"/>
      <c r="E217" s="40"/>
      <c r="F217" s="40"/>
      <c r="G217" s="40"/>
      <c r="H217" s="40"/>
      <c r="I217" s="40"/>
      <c r="J217" s="1"/>
      <c r="K217" s="5"/>
      <c r="L217" s="5"/>
      <c r="M217" s="5"/>
      <c r="N217" s="5"/>
      <c r="O217" s="5"/>
      <c r="P217" s="5"/>
      <c r="Q217" s="5"/>
      <c r="R217" s="5"/>
      <c r="S217" s="5"/>
      <c r="T217" s="5"/>
      <c r="U217" s="86"/>
      <c r="V217" s="102"/>
      <c r="W217" s="771"/>
      <c r="X217" s="786" t="s">
        <v>13</v>
      </c>
      <c r="Y217" s="244">
        <f t="shared" si="79"/>
        <v>125</v>
      </c>
      <c r="Z217" s="244">
        <f t="shared" si="80"/>
        <v>103</v>
      </c>
      <c r="AA217" s="244">
        <f t="shared" si="81"/>
        <v>112</v>
      </c>
      <c r="AB217" s="244">
        <f t="shared" si="82"/>
        <v>121</v>
      </c>
      <c r="AC217" s="244">
        <f t="shared" si="83"/>
        <v>124</v>
      </c>
      <c r="AE217" s="760"/>
      <c r="AF217" s="760"/>
      <c r="AG217" s="760"/>
      <c r="AH217" s="760"/>
      <c r="AI217" s="361" t="b">
        <f t="shared" si="84"/>
        <v>1</v>
      </c>
      <c r="AJ217" s="766" t="s">
        <v>13</v>
      </c>
      <c r="AK217" s="61" t="str">
        <f t="shared" si="85"/>
        <v>Slough</v>
      </c>
      <c r="AL217" s="110">
        <f t="shared" si="91"/>
        <v>28.749511258308612</v>
      </c>
      <c r="AM217" s="110">
        <f t="shared" si="91"/>
        <v>23.462414578587698</v>
      </c>
      <c r="AN217" s="110">
        <f t="shared" si="91"/>
        <v>25.607609118137958</v>
      </c>
      <c r="AO217" s="110">
        <f t="shared" si="91"/>
        <v>27.344632768361581</v>
      </c>
      <c r="AP217" s="110">
        <f t="shared" si="91"/>
        <v>27.648331066467478</v>
      </c>
      <c r="AQ217" s="111">
        <f>VLOOKUP(AK217,IDACI!$B$9:$C$29,2,FALSE)</f>
        <v>14.7</v>
      </c>
      <c r="AR217" s="237" t="e">
        <f t="shared" si="89"/>
        <v>#N/A</v>
      </c>
      <c r="AS217" s="237">
        <f t="shared" si="87"/>
        <v>0</v>
      </c>
      <c r="AT217" s="237">
        <f t="shared" si="87"/>
        <v>0</v>
      </c>
      <c r="AU217" s="237" t="e">
        <f t="shared" si="87"/>
        <v>#N/A</v>
      </c>
      <c r="AV217" s="237">
        <f t="shared" si="87"/>
        <v>6.4516129032258063E-2</v>
      </c>
      <c r="AW217" s="237" t="e">
        <f t="shared" si="90"/>
        <v>#N/A</v>
      </c>
      <c r="AX217" s="237">
        <f t="shared" si="88"/>
        <v>0.10679611650485436</v>
      </c>
      <c r="AY217" s="237">
        <f t="shared" si="88"/>
        <v>0.13392857142857142</v>
      </c>
      <c r="AZ217" s="237">
        <f t="shared" si="88"/>
        <v>9.9173553719008267E-2</v>
      </c>
      <c r="BA217" s="237">
        <f t="shared" si="88"/>
        <v>0.10483870967741936</v>
      </c>
      <c r="BB217" s="237"/>
      <c r="BC217" s="237"/>
      <c r="BD217" s="237"/>
      <c r="BE217" s="237"/>
      <c r="BF217" s="237"/>
      <c r="BG217" s="237"/>
      <c r="BH217" s="237"/>
      <c r="BI217" s="237"/>
      <c r="BJ217" s="237"/>
      <c r="BK217" s="237"/>
      <c r="BL217" s="237"/>
      <c r="BM217" s="237"/>
      <c r="BN217" s="237"/>
      <c r="BO217" s="237"/>
      <c r="BP217" s="237"/>
    </row>
    <row r="218" spans="1:68" ht="14.25" customHeight="1">
      <c r="A218" s="208"/>
      <c r="B218" s="48"/>
      <c r="C218" s="48"/>
      <c r="D218" s="40"/>
      <c r="E218" s="40"/>
      <c r="F218" s="40"/>
      <c r="G218" s="40"/>
      <c r="H218" s="40"/>
      <c r="I218" s="40"/>
      <c r="J218" s="1"/>
      <c r="K218" s="5"/>
      <c r="L218" s="5"/>
      <c r="M218" s="5"/>
      <c r="N218" s="5"/>
      <c r="O218" s="5"/>
      <c r="P218" s="5"/>
      <c r="Q218" s="5"/>
      <c r="R218" s="5"/>
      <c r="S218" s="5"/>
      <c r="T218" s="5"/>
      <c r="U218" s="86"/>
      <c r="V218" s="102"/>
      <c r="W218" s="771"/>
      <c r="X218" s="786" t="s">
        <v>14</v>
      </c>
      <c r="Y218" s="244">
        <f t="shared" si="79"/>
        <v>199</v>
      </c>
      <c r="Z218" s="244">
        <f t="shared" si="80"/>
        <v>183</v>
      </c>
      <c r="AA218" s="244">
        <f t="shared" si="81"/>
        <v>167</v>
      </c>
      <c r="AB218" s="244">
        <f t="shared" si="82"/>
        <v>218</v>
      </c>
      <c r="AC218" s="244">
        <f t="shared" si="83"/>
        <v>214</v>
      </c>
      <c r="AE218" s="760"/>
      <c r="AF218" s="760"/>
      <c r="AG218" s="760"/>
      <c r="AH218" s="760"/>
      <c r="AI218" s="361" t="b">
        <f t="shared" si="84"/>
        <v>1</v>
      </c>
      <c r="AJ218" s="766" t="s">
        <v>14</v>
      </c>
      <c r="AK218" s="61" t="str">
        <f t="shared" ref="AK218:AK225" si="92">IF(AI218=TRUE,B193,"")</f>
        <v>Southampton</v>
      </c>
      <c r="AL218" s="110">
        <f t="shared" ref="AL218:AP225" si="93">VLOOKUP($AK218,$B$180:$O$200,AL$201,FALSE)</f>
        <v>40.130676776639511</v>
      </c>
      <c r="AM218" s="110">
        <f t="shared" si="93"/>
        <v>36.793533988780986</v>
      </c>
      <c r="AN218" s="110">
        <f t="shared" si="93"/>
        <v>33.813881914635132</v>
      </c>
      <c r="AO218" s="110">
        <f t="shared" si="93"/>
        <v>43.712778969741933</v>
      </c>
      <c r="AP218" s="110">
        <f t="shared" si="93"/>
        <v>42.483076251166302</v>
      </c>
      <c r="AQ218" s="111">
        <f>VLOOKUP(AK218,IDACI!$B$9:$C$29,2,FALSE)</f>
        <v>20.5</v>
      </c>
      <c r="AR218" s="237">
        <f t="shared" si="89"/>
        <v>0.10552763819095477</v>
      </c>
      <c r="AS218" s="237">
        <f t="shared" si="87"/>
        <v>6.5573770491803282E-2</v>
      </c>
      <c r="AT218" s="237">
        <f t="shared" si="87"/>
        <v>9.580838323353294E-2</v>
      </c>
      <c r="AU218" s="237">
        <f t="shared" si="87"/>
        <v>6.8807339449541288E-2</v>
      </c>
      <c r="AV218" s="237">
        <f t="shared" si="87"/>
        <v>3.2710280373831772E-2</v>
      </c>
      <c r="AW218" s="237">
        <f t="shared" si="90"/>
        <v>8.5427135678391955E-2</v>
      </c>
      <c r="AX218" s="237">
        <f t="shared" si="88"/>
        <v>0.18032786885245902</v>
      </c>
      <c r="AY218" s="237">
        <f t="shared" si="88"/>
        <v>0.1437125748502994</v>
      </c>
      <c r="AZ218" s="237">
        <f t="shared" si="88"/>
        <v>0.13761467889908258</v>
      </c>
      <c r="BA218" s="237">
        <f t="shared" si="88"/>
        <v>0.13084112149532709</v>
      </c>
      <c r="BB218" s="237"/>
      <c r="BC218" s="237"/>
      <c r="BD218" s="237"/>
      <c r="BE218" s="237"/>
      <c r="BF218" s="237"/>
      <c r="BG218" s="237"/>
      <c r="BH218" s="237"/>
      <c r="BI218" s="237"/>
      <c r="BJ218" s="237"/>
      <c r="BK218" s="237"/>
      <c r="BL218" s="237"/>
      <c r="BM218" s="237"/>
      <c r="BN218" s="237"/>
      <c r="BO218" s="237"/>
      <c r="BP218" s="237"/>
    </row>
    <row r="219" spans="1:68" ht="14.25" customHeight="1">
      <c r="A219" s="208"/>
      <c r="B219" s="48"/>
      <c r="C219" s="48"/>
      <c r="D219" s="40"/>
      <c r="E219" s="40"/>
      <c r="F219" s="40"/>
      <c r="G219" s="40"/>
      <c r="H219" s="40"/>
      <c r="I219" s="40"/>
      <c r="J219" s="1"/>
      <c r="K219" s="5"/>
      <c r="L219" s="5"/>
      <c r="M219" s="5"/>
      <c r="N219" s="5"/>
      <c r="O219" s="5"/>
      <c r="P219" s="5"/>
      <c r="Q219" s="5"/>
      <c r="R219" s="5"/>
      <c r="S219" s="5"/>
      <c r="T219" s="5"/>
      <c r="U219" s="86"/>
      <c r="V219" s="102"/>
      <c r="W219" s="771"/>
      <c r="X219" s="786" t="s">
        <v>7</v>
      </c>
      <c r="Y219" s="244">
        <f t="shared" si="79"/>
        <v>365</v>
      </c>
      <c r="Z219" s="244">
        <f t="shared" si="80"/>
        <v>409</v>
      </c>
      <c r="AA219" s="244">
        <f t="shared" si="81"/>
        <v>400</v>
      </c>
      <c r="AB219" s="244">
        <f t="shared" si="82"/>
        <v>421</v>
      </c>
      <c r="AC219" s="244">
        <f t="shared" si="83"/>
        <v>419</v>
      </c>
      <c r="AE219" s="760"/>
      <c r="AF219" s="760"/>
      <c r="AG219" s="760"/>
      <c r="AH219" s="760"/>
      <c r="AI219" s="361" t="b">
        <f t="shared" si="84"/>
        <v>1</v>
      </c>
      <c r="AJ219" s="766" t="s">
        <v>7</v>
      </c>
      <c r="AK219" s="61" t="str">
        <f t="shared" si="92"/>
        <v>Surrey</v>
      </c>
      <c r="AL219" s="110">
        <f t="shared" si="93"/>
        <v>14.144819701989961</v>
      </c>
      <c r="AM219" s="110">
        <f t="shared" si="93"/>
        <v>15.820887439607921</v>
      </c>
      <c r="AN219" s="110">
        <f t="shared" si="93"/>
        <v>15.414971019854482</v>
      </c>
      <c r="AO219" s="110">
        <f t="shared" si="93"/>
        <v>15.975168289480676</v>
      </c>
      <c r="AP219" s="110">
        <f t="shared" si="93"/>
        <v>15.771327049896112</v>
      </c>
      <c r="AQ219" s="111">
        <f>VLOOKUP(AK219,IDACI!$B$9:$C$29,2,FALSE)</f>
        <v>8.3000000000000007</v>
      </c>
      <c r="AR219" s="237">
        <f t="shared" si="89"/>
        <v>2.7397260273972601E-2</v>
      </c>
      <c r="AS219" s="237" t="e">
        <f t="shared" si="87"/>
        <v>#N/A</v>
      </c>
      <c r="AT219" s="237">
        <f t="shared" si="87"/>
        <v>2.75E-2</v>
      </c>
      <c r="AU219" s="237">
        <f t="shared" si="87"/>
        <v>2.1377672209026127E-2</v>
      </c>
      <c r="AV219" s="237">
        <f t="shared" si="87"/>
        <v>1.6706443914081145E-2</v>
      </c>
      <c r="AW219" s="237">
        <f t="shared" si="90"/>
        <v>9.8630136986301367E-2</v>
      </c>
      <c r="AX219" s="237">
        <f t="shared" si="88"/>
        <v>0.10757946210268948</v>
      </c>
      <c r="AY219" s="237">
        <f t="shared" si="88"/>
        <v>0.1075</v>
      </c>
      <c r="AZ219" s="237">
        <f t="shared" si="88"/>
        <v>0.19477434679334918</v>
      </c>
      <c r="BA219" s="237">
        <f t="shared" si="88"/>
        <v>7.1599045346062054E-2</v>
      </c>
      <c r="BB219" s="237"/>
      <c r="BC219" s="237"/>
      <c r="BD219" s="237"/>
      <c r="BE219" s="237"/>
      <c r="BF219" s="237"/>
      <c r="BG219" s="237"/>
      <c r="BH219" s="237"/>
      <c r="BI219" s="237"/>
      <c r="BJ219" s="237"/>
      <c r="BK219" s="237"/>
      <c r="BL219" s="237"/>
      <c r="BM219" s="237"/>
      <c r="BN219" s="237"/>
      <c r="BO219" s="237"/>
      <c r="BP219" s="237"/>
    </row>
    <row r="220" spans="1:68" ht="14.25" customHeight="1">
      <c r="A220" s="208"/>
      <c r="B220" s="48"/>
      <c r="C220" s="48"/>
      <c r="D220" s="40"/>
      <c r="E220" s="40"/>
      <c r="F220" s="40"/>
      <c r="G220" s="40"/>
      <c r="H220" s="40"/>
      <c r="I220" s="40"/>
      <c r="J220" s="1"/>
      <c r="K220" s="5"/>
      <c r="L220" s="5"/>
      <c r="M220" s="5"/>
      <c r="N220" s="5"/>
      <c r="O220" s="5"/>
      <c r="P220" s="5"/>
      <c r="Q220" s="5"/>
      <c r="R220" s="5"/>
      <c r="S220" s="5"/>
      <c r="T220" s="5"/>
      <c r="U220" s="86"/>
      <c r="V220" s="102"/>
      <c r="W220" s="771"/>
      <c r="X220" s="786" t="s">
        <v>15</v>
      </c>
      <c r="Y220" s="244">
        <f t="shared" si="79"/>
        <v>74</v>
      </c>
      <c r="Z220" s="244">
        <f t="shared" si="80"/>
        <v>58</v>
      </c>
      <c r="AA220" s="244">
        <f t="shared" si="81"/>
        <v>56</v>
      </c>
      <c r="AB220" s="244">
        <f t="shared" si="82"/>
        <v>70</v>
      </c>
      <c r="AC220" s="244">
        <f t="shared" si="83"/>
        <v>81</v>
      </c>
      <c r="AE220" s="760"/>
      <c r="AF220" s="760"/>
      <c r="AG220" s="760"/>
      <c r="AH220" s="760"/>
      <c r="AI220" s="361" t="b">
        <f t="shared" si="84"/>
        <v>1</v>
      </c>
      <c r="AJ220" s="766" t="s">
        <v>15</v>
      </c>
      <c r="AK220" s="61" t="str">
        <f t="shared" si="92"/>
        <v>West Berkshire</v>
      </c>
      <c r="AL220" s="110">
        <f t="shared" si="93"/>
        <v>21.106072274036681</v>
      </c>
      <c r="AM220" s="110">
        <f t="shared" si="93"/>
        <v>16.655180335400875</v>
      </c>
      <c r="AN220" s="110">
        <f t="shared" si="93"/>
        <v>16.187310304957364</v>
      </c>
      <c r="AO220" s="110">
        <f t="shared" si="93"/>
        <v>20.050412465627865</v>
      </c>
      <c r="AP220" s="110">
        <f t="shared" si="93"/>
        <v>22.929936305732483</v>
      </c>
      <c r="AQ220" s="111">
        <f>VLOOKUP(AK220,IDACI!$B$9:$C$29,2,FALSE)</f>
        <v>8.6999999999999993</v>
      </c>
      <c r="AR220" s="237" t="e">
        <f t="shared" si="89"/>
        <v>#N/A</v>
      </c>
      <c r="AS220" s="237">
        <f t="shared" si="87"/>
        <v>0</v>
      </c>
      <c r="AT220" s="237">
        <f t="shared" si="87"/>
        <v>0</v>
      </c>
      <c r="AU220" s="237" t="e">
        <f t="shared" si="87"/>
        <v>#N/A</v>
      </c>
      <c r="AV220" s="237" t="e">
        <f t="shared" si="87"/>
        <v>#N/A</v>
      </c>
      <c r="AW220" s="237" t="e">
        <f t="shared" si="90"/>
        <v>#N/A</v>
      </c>
      <c r="AX220" s="237">
        <f t="shared" si="88"/>
        <v>0.13793103448275862</v>
      </c>
      <c r="AY220" s="237">
        <f t="shared" si="88"/>
        <v>0.16071428571428573</v>
      </c>
      <c r="AZ220" s="237" t="e">
        <f t="shared" si="88"/>
        <v>#N/A</v>
      </c>
      <c r="BA220" s="237">
        <f t="shared" si="88"/>
        <v>0.12345679012345678</v>
      </c>
      <c r="BB220" s="237"/>
      <c r="BC220" s="237"/>
      <c r="BD220" s="237"/>
      <c r="BE220" s="237"/>
      <c r="BF220" s="237"/>
      <c r="BG220" s="237"/>
      <c r="BH220" s="237"/>
      <c r="BI220" s="237"/>
      <c r="BJ220" s="237"/>
      <c r="BK220" s="237"/>
      <c r="BL220" s="237"/>
      <c r="BM220" s="237"/>
      <c r="BN220" s="237"/>
      <c r="BO220" s="237"/>
      <c r="BP220" s="237"/>
    </row>
    <row r="221" spans="1:68" ht="14.25" customHeight="1">
      <c r="A221" s="208"/>
      <c r="B221" s="48"/>
      <c r="C221" s="48"/>
      <c r="D221" s="40"/>
      <c r="E221" s="40"/>
      <c r="F221" s="40"/>
      <c r="G221" s="40"/>
      <c r="H221" s="40"/>
      <c r="I221" s="40"/>
      <c r="J221" s="1"/>
      <c r="K221" s="5"/>
      <c r="L221" s="5"/>
      <c r="M221" s="5"/>
      <c r="N221" s="5"/>
      <c r="O221" s="5"/>
      <c r="P221" s="5"/>
      <c r="Q221" s="5"/>
      <c r="R221" s="5"/>
      <c r="S221" s="5"/>
      <c r="T221" s="5"/>
      <c r="U221" s="86"/>
      <c r="V221" s="102"/>
      <c r="W221" s="771"/>
      <c r="X221" s="786" t="s">
        <v>5</v>
      </c>
      <c r="Y221" s="244">
        <f t="shared" si="79"/>
        <v>355</v>
      </c>
      <c r="Z221" s="244">
        <f t="shared" si="80"/>
        <v>386</v>
      </c>
      <c r="AA221" s="244">
        <f t="shared" si="81"/>
        <v>457</v>
      </c>
      <c r="AB221" s="244">
        <f t="shared" si="82"/>
        <v>377</v>
      </c>
      <c r="AC221" s="244">
        <f t="shared" si="83"/>
        <v>401</v>
      </c>
      <c r="AE221" s="760"/>
      <c r="AF221" s="760"/>
      <c r="AG221" s="760"/>
      <c r="AH221" s="760"/>
      <c r="AI221" s="361" t="b">
        <f t="shared" si="84"/>
        <v>1</v>
      </c>
      <c r="AJ221" s="766" t="s">
        <v>5</v>
      </c>
      <c r="AK221" s="61" t="str">
        <f t="shared" si="92"/>
        <v>West Sussex</v>
      </c>
      <c r="AL221" s="110">
        <f t="shared" si="93"/>
        <v>20.455082367719001</v>
      </c>
      <c r="AM221" s="110">
        <f t="shared" si="93"/>
        <v>22.200111575690304</v>
      </c>
      <c r="AN221" s="110">
        <f t="shared" si="93"/>
        <v>26.139080499216401</v>
      </c>
      <c r="AO221" s="110">
        <f t="shared" si="93"/>
        <v>21.257520482213039</v>
      </c>
      <c r="AP221" s="110">
        <f t="shared" si="93"/>
        <v>22.40123346442617</v>
      </c>
      <c r="AQ221" s="111">
        <f>VLOOKUP(AK221,IDACI!$B$9:$C$29,2,FALSE)</f>
        <v>11</v>
      </c>
      <c r="AR221" s="237" t="e">
        <f t="shared" si="89"/>
        <v>#N/A</v>
      </c>
      <c r="AS221" s="237">
        <f t="shared" si="89"/>
        <v>4.4041450777202069E-2</v>
      </c>
      <c r="AT221" s="237">
        <f t="shared" si="89"/>
        <v>8.3150984682713341E-2</v>
      </c>
      <c r="AU221" s="237">
        <f t="shared" si="89"/>
        <v>3.4482758620689655E-2</v>
      </c>
      <c r="AV221" s="237" t="e">
        <f t="shared" si="89"/>
        <v>#N/A</v>
      </c>
      <c r="AW221" s="237">
        <f t="shared" si="90"/>
        <v>6.1971830985915494E-2</v>
      </c>
      <c r="AX221" s="237">
        <f t="shared" si="90"/>
        <v>0.16321243523316062</v>
      </c>
      <c r="AY221" s="237">
        <f t="shared" si="90"/>
        <v>0.12691466083150985</v>
      </c>
      <c r="AZ221" s="237">
        <f t="shared" si="90"/>
        <v>0.13527851458885942</v>
      </c>
      <c r="BA221" s="237">
        <f t="shared" si="90"/>
        <v>0.10224438902743142</v>
      </c>
      <c r="BB221" s="237"/>
      <c r="BC221" s="237"/>
      <c r="BD221" s="237"/>
      <c r="BE221" s="237"/>
      <c r="BF221" s="237"/>
      <c r="BG221" s="237"/>
      <c r="BH221" s="237"/>
      <c r="BI221" s="237"/>
      <c r="BJ221" s="237"/>
      <c r="BK221" s="237"/>
      <c r="BL221" s="237"/>
      <c r="BM221" s="237"/>
      <c r="BN221" s="237"/>
      <c r="BO221" s="237"/>
      <c r="BP221" s="237"/>
    </row>
    <row r="222" spans="1:68" ht="14.25" customHeight="1">
      <c r="A222" s="208"/>
      <c r="B222" s="48"/>
      <c r="C222" s="48"/>
      <c r="D222" s="40"/>
      <c r="E222" s="40"/>
      <c r="F222" s="40"/>
      <c r="G222" s="40"/>
      <c r="H222" s="40"/>
      <c r="I222" s="40"/>
      <c r="J222" s="1"/>
      <c r="K222" s="5"/>
      <c r="L222" s="5"/>
      <c r="M222" s="5"/>
      <c r="N222" s="5"/>
      <c r="O222" s="5"/>
      <c r="P222" s="5"/>
      <c r="Q222" s="5"/>
      <c r="R222" s="5"/>
      <c r="S222" s="5"/>
      <c r="T222" s="5"/>
      <c r="U222" s="86"/>
      <c r="V222" s="102"/>
      <c r="W222" s="771"/>
      <c r="X222" s="786" t="s">
        <v>27</v>
      </c>
      <c r="Y222" s="244">
        <f t="shared" si="79"/>
        <v>62</v>
      </c>
      <c r="Z222" s="244">
        <f t="shared" si="80"/>
        <v>39</v>
      </c>
      <c r="AA222" s="244">
        <f t="shared" si="81"/>
        <v>49</v>
      </c>
      <c r="AB222" s="244">
        <f t="shared" si="82"/>
        <v>73</v>
      </c>
      <c r="AC222" s="244">
        <f t="shared" si="83"/>
        <v>75</v>
      </c>
      <c r="AE222" s="760"/>
      <c r="AF222" s="760"/>
      <c r="AG222" s="760"/>
      <c r="AH222" s="760"/>
      <c r="AI222" s="361" t="b">
        <f t="shared" si="84"/>
        <v>1</v>
      </c>
      <c r="AJ222" s="766" t="s">
        <v>27</v>
      </c>
      <c r="AK222" s="61" t="str">
        <f t="shared" si="92"/>
        <v>Windsor &amp; Maidenhead</v>
      </c>
      <c r="AL222" s="110">
        <f t="shared" si="93"/>
        <v>18.089513917255061</v>
      </c>
      <c r="AM222" s="110">
        <f t="shared" si="93"/>
        <v>11.442654695889445</v>
      </c>
      <c r="AN222" s="110">
        <f t="shared" si="93"/>
        <v>14.464517652615422</v>
      </c>
      <c r="AO222" s="110">
        <f t="shared" si="93"/>
        <v>21.399466479054908</v>
      </c>
      <c r="AP222" s="110">
        <f t="shared" si="93"/>
        <v>21.878008226131094</v>
      </c>
      <c r="AQ222" s="111">
        <f>VLOOKUP(AK222,IDACI!$B$9:$C$29,2,FALSE)</f>
        <v>6.7</v>
      </c>
      <c r="AR222" s="237" t="e">
        <f t="shared" si="89"/>
        <v>#N/A</v>
      </c>
      <c r="AS222" s="237" t="e">
        <f t="shared" si="89"/>
        <v>#N/A</v>
      </c>
      <c r="AT222" s="237">
        <f t="shared" si="89"/>
        <v>0.12244897959183673</v>
      </c>
      <c r="AU222" s="237" t="e">
        <f t="shared" si="89"/>
        <v>#N/A</v>
      </c>
      <c r="AV222" s="237" t="e">
        <f t="shared" si="89"/>
        <v>#N/A</v>
      </c>
      <c r="AW222" s="237">
        <f t="shared" si="90"/>
        <v>9.6774193548387094E-2</v>
      </c>
      <c r="AX222" s="237" t="e">
        <f t="shared" si="90"/>
        <v>#N/A</v>
      </c>
      <c r="AY222" s="237">
        <f t="shared" si="90"/>
        <v>0.14285714285714285</v>
      </c>
      <c r="AZ222" s="237">
        <f t="shared" si="90"/>
        <v>0.13698630136986301</v>
      </c>
      <c r="BA222" s="237" t="e">
        <f t="shared" si="90"/>
        <v>#N/A</v>
      </c>
      <c r="BB222" s="237"/>
      <c r="BC222" s="237"/>
      <c r="BD222" s="237"/>
      <c r="BE222" s="237"/>
      <c r="BF222" s="237"/>
      <c r="BG222" s="237"/>
      <c r="BH222" s="237"/>
      <c r="BI222" s="237"/>
      <c r="BJ222" s="237"/>
      <c r="BK222" s="237"/>
      <c r="BL222" s="237"/>
      <c r="BM222" s="237"/>
      <c r="BN222" s="237"/>
      <c r="BO222" s="237"/>
      <c r="BP222" s="237"/>
    </row>
    <row r="223" spans="1:68" ht="14.25" customHeight="1">
      <c r="A223" s="208"/>
      <c r="B223" s="48"/>
      <c r="C223" s="48"/>
      <c r="D223" s="40"/>
      <c r="E223" s="40"/>
      <c r="F223" s="40"/>
      <c r="G223" s="40"/>
      <c r="H223" s="40"/>
      <c r="I223" s="40"/>
      <c r="J223" s="1"/>
      <c r="K223" s="5"/>
      <c r="L223" s="5"/>
      <c r="M223" s="5"/>
      <c r="N223" s="5"/>
      <c r="O223" s="5"/>
      <c r="P223" s="5"/>
      <c r="Q223" s="5"/>
      <c r="R223" s="5"/>
      <c r="S223" s="5"/>
      <c r="T223" s="5"/>
      <c r="U223" s="86"/>
      <c r="V223" s="102"/>
      <c r="W223" s="771"/>
      <c r="X223" s="786" t="s">
        <v>16</v>
      </c>
      <c r="Y223" s="244">
        <f t="shared" si="79"/>
        <v>55</v>
      </c>
      <c r="Z223" s="244">
        <f t="shared" si="80"/>
        <v>49</v>
      </c>
      <c r="AA223" s="244">
        <f t="shared" si="81"/>
        <v>58</v>
      </c>
      <c r="AB223" s="244">
        <f t="shared" si="82"/>
        <v>67</v>
      </c>
      <c r="AC223" s="244">
        <f t="shared" si="83"/>
        <v>56</v>
      </c>
      <c r="AE223" s="760"/>
      <c r="AF223" s="760"/>
      <c r="AG223" s="760"/>
      <c r="AH223" s="760"/>
      <c r="AI223" s="361" t="b">
        <f t="shared" si="84"/>
        <v>1</v>
      </c>
      <c r="AJ223" s="766" t="s">
        <v>16</v>
      </c>
      <c r="AK223" s="61" t="str">
        <f t="shared" si="92"/>
        <v>Wokingham</v>
      </c>
      <c r="AL223" s="110">
        <f t="shared" si="93"/>
        <v>13.828824298501459</v>
      </c>
      <c r="AM223" s="110">
        <f t="shared" si="93"/>
        <v>12.105939322067398</v>
      </c>
      <c r="AN223" s="110">
        <f t="shared" si="93"/>
        <v>14.101971844683799</v>
      </c>
      <c r="AO223" s="110">
        <f t="shared" si="93"/>
        <v>15.757290686735654</v>
      </c>
      <c r="AP223" s="110">
        <f t="shared" si="93"/>
        <v>12.928845177079005</v>
      </c>
      <c r="AQ223" s="111">
        <f>VLOOKUP(AK223,IDACI!$B$9:$C$29,2,FALSE)</f>
        <v>5.6000000000000005</v>
      </c>
      <c r="AR223" s="237">
        <f t="shared" si="89"/>
        <v>0.10909090909090909</v>
      </c>
      <c r="AS223" s="237" t="e">
        <f t="shared" si="89"/>
        <v>#N/A</v>
      </c>
      <c r="AT223" s="237">
        <f t="shared" si="89"/>
        <v>0.10344827586206896</v>
      </c>
      <c r="AU223" s="237">
        <f t="shared" si="89"/>
        <v>0.14925373134328357</v>
      </c>
      <c r="AV223" s="237" t="e">
        <f t="shared" si="89"/>
        <v>#N/A</v>
      </c>
      <c r="AW223" s="237">
        <f t="shared" si="90"/>
        <v>0.16363636363636364</v>
      </c>
      <c r="AX223" s="237">
        <f t="shared" si="90"/>
        <v>0.18367346938775511</v>
      </c>
      <c r="AY223" s="237">
        <f t="shared" si="90"/>
        <v>0.22413793103448276</v>
      </c>
      <c r="AZ223" s="237">
        <f t="shared" si="90"/>
        <v>8.9552238805970144E-2</v>
      </c>
      <c r="BA223" s="237" t="e">
        <f t="shared" si="90"/>
        <v>#N/A</v>
      </c>
      <c r="BB223" s="237"/>
      <c r="BC223" s="237"/>
      <c r="BD223" s="237"/>
      <c r="BE223" s="237"/>
      <c r="BF223" s="237"/>
      <c r="BG223" s="237"/>
      <c r="BH223" s="237"/>
      <c r="BI223" s="237"/>
      <c r="BJ223" s="237"/>
      <c r="BK223" s="237"/>
      <c r="BL223" s="237"/>
      <c r="BM223" s="237"/>
      <c r="BN223" s="237"/>
      <c r="BO223" s="237"/>
      <c r="BP223" s="237"/>
    </row>
    <row r="224" spans="1:68" ht="14.25" customHeight="1">
      <c r="A224" s="208"/>
      <c r="B224" s="48"/>
      <c r="C224" s="48"/>
      <c r="D224" s="40"/>
      <c r="E224" s="40"/>
      <c r="F224" s="40"/>
      <c r="G224" s="40"/>
      <c r="H224" s="40"/>
      <c r="I224" s="40"/>
      <c r="J224" s="1"/>
      <c r="K224" s="5"/>
      <c r="L224" s="5"/>
      <c r="M224" s="5"/>
      <c r="N224" s="5"/>
      <c r="O224" s="5"/>
      <c r="P224" s="5"/>
      <c r="Q224" s="5"/>
      <c r="R224" s="5"/>
      <c r="S224" s="5"/>
      <c r="T224" s="5"/>
      <c r="U224" s="86"/>
      <c r="V224" s="102"/>
      <c r="W224" s="771"/>
      <c r="X224" s="786" t="s">
        <v>71</v>
      </c>
      <c r="Y224" s="370">
        <f>SUM(Y218:Y219,Y205:Y217,Y220:Y223)</f>
        <v>4264</v>
      </c>
      <c r="Z224" s="370">
        <f>SUM(Z218:Z219,Z205:Z217,Z220:Z223)</f>
        <v>4450</v>
      </c>
      <c r="AA224" s="370">
        <f>SUM(AA218:AA219,AA205:AA217,AA220:AA223)</f>
        <v>4810</v>
      </c>
      <c r="AB224" s="370">
        <f>SUM(AB218:AB219,AB205:AB217,AB220:AB223)</f>
        <v>5217</v>
      </c>
      <c r="AC224" s="370">
        <f>SUM(AC218:AC219,AC205:AC217,AC220:AC223)</f>
        <v>6415</v>
      </c>
      <c r="AE224" s="760"/>
      <c r="AF224" s="760"/>
      <c r="AG224" s="760"/>
      <c r="AH224" s="760"/>
      <c r="AI224" s="361" t="b">
        <f t="shared" si="84"/>
        <v>1</v>
      </c>
      <c r="AJ224" s="766" t="s">
        <v>71</v>
      </c>
      <c r="AK224" s="61" t="str">
        <f t="shared" si="92"/>
        <v>South East</v>
      </c>
      <c r="AL224" s="110">
        <f t="shared" si="93"/>
        <v>22.098725277051095</v>
      </c>
      <c r="AM224" s="110">
        <f t="shared" si="93"/>
        <v>23.048265138955141</v>
      </c>
      <c r="AN224" s="110">
        <f t="shared" si="93"/>
        <v>24.848943222489481</v>
      </c>
      <c r="AO224" s="110">
        <f t="shared" si="93"/>
        <v>26.562006255810442</v>
      </c>
      <c r="AP224" s="110">
        <f t="shared" si="93"/>
        <v>32.278143071612227</v>
      </c>
      <c r="AQ224" s="111">
        <f>Z197/Y197*100</f>
        <v>12.371268250968637</v>
      </c>
      <c r="AR224" s="237">
        <f t="shared" si="89"/>
        <v>3.7558685446009391E-2</v>
      </c>
      <c r="AS224" s="237">
        <f t="shared" si="89"/>
        <v>2.6966292134831461E-2</v>
      </c>
      <c r="AT224" s="237">
        <f t="shared" si="89"/>
        <v>3.1185031185031187E-2</v>
      </c>
      <c r="AU224" s="237">
        <f t="shared" si="89"/>
        <v>2.4904214559386972E-2</v>
      </c>
      <c r="AV224" s="237">
        <f t="shared" si="89"/>
        <v>2.1806853582554516E-2</v>
      </c>
      <c r="AW224" s="237">
        <f t="shared" si="90"/>
        <v>0.11267605633802817</v>
      </c>
      <c r="AX224" s="237">
        <f t="shared" si="90"/>
        <v>0.10561797752808989</v>
      </c>
      <c r="AY224" s="237">
        <f t="shared" si="90"/>
        <v>9.7713097713097719E-2</v>
      </c>
      <c r="AZ224" s="237">
        <f t="shared" si="90"/>
        <v>0.15900383141762453</v>
      </c>
      <c r="BA224" s="237">
        <f t="shared" si="90"/>
        <v>6.6978193146417439E-2</v>
      </c>
      <c r="BB224" s="237"/>
      <c r="BC224" s="237"/>
      <c r="BD224" s="237"/>
      <c r="BE224" s="237"/>
      <c r="BF224" s="237"/>
      <c r="BG224" s="237"/>
      <c r="BH224" s="237"/>
      <c r="BI224" s="237"/>
      <c r="BJ224" s="237"/>
      <c r="BK224" s="237"/>
      <c r="BL224" s="237"/>
      <c r="BM224" s="237"/>
      <c r="BN224" s="237"/>
      <c r="BO224" s="237"/>
      <c r="BP224" s="237"/>
    </row>
    <row r="225" spans="1:76" ht="14.25" customHeight="1">
      <c r="A225" s="208"/>
      <c r="B225" s="48"/>
      <c r="C225" s="48"/>
      <c r="D225" s="40"/>
      <c r="E225" s="40"/>
      <c r="F225" s="40"/>
      <c r="G225" s="40"/>
      <c r="H225" s="40"/>
      <c r="I225" s="40"/>
      <c r="J225" s="1"/>
      <c r="K225" s="5"/>
      <c r="L225" s="5"/>
      <c r="M225" s="5"/>
      <c r="N225" s="5"/>
      <c r="O225" s="5"/>
      <c r="P225" s="5"/>
      <c r="Q225" s="5"/>
      <c r="R225" s="5"/>
      <c r="S225" s="5"/>
      <c r="T225" s="5"/>
      <c r="U225" s="86"/>
      <c r="V225" s="102"/>
      <c r="W225" s="771"/>
      <c r="X225" s="786" t="s">
        <v>109</v>
      </c>
      <c r="Y225" s="244">
        <f>IF(ISNUMBER(D31),D200,0)</f>
        <v>29590</v>
      </c>
      <c r="Z225" s="244">
        <f>IF(ISNUMBER(E31),E200,0)</f>
        <v>28010</v>
      </c>
      <c r="AA225" s="244">
        <f>IF(ISNUMBER(F31),F200,0)</f>
        <v>30070</v>
      </c>
      <c r="AB225" s="244">
        <f>IF(ISNUMBER(G31),G200,0)</f>
        <v>31680</v>
      </c>
      <c r="AC225" s="244">
        <f>IF(ISNUMBER(H31),H200,0)</f>
        <v>33620</v>
      </c>
      <c r="AE225" s="760"/>
      <c r="AF225" s="760"/>
      <c r="AG225" s="760"/>
      <c r="AH225" s="760"/>
      <c r="AI225" s="361" t="b">
        <f t="shared" si="84"/>
        <v>1</v>
      </c>
      <c r="AJ225" s="766" t="s">
        <v>109</v>
      </c>
      <c r="AK225" s="61" t="str">
        <f t="shared" si="92"/>
        <v>England</v>
      </c>
      <c r="AL225" s="110">
        <f t="shared" si="93"/>
        <v>25.096493004702435</v>
      </c>
      <c r="AM225" s="110">
        <f t="shared" si="93"/>
        <v>23.761867572507633</v>
      </c>
      <c r="AN225" s="110">
        <f t="shared" si="93"/>
        <v>25.56347179661304</v>
      </c>
      <c r="AO225" s="110">
        <f t="shared" si="93"/>
        <v>26.653678607284718</v>
      </c>
      <c r="AP225" s="110">
        <f t="shared" si="93"/>
        <v>28.019828237286106</v>
      </c>
      <c r="AQ225" s="111">
        <f>VLOOKUP(AK225,IDACI!$B$9:$C$29,2,FALSE)</f>
        <v>17.084413405029373</v>
      </c>
      <c r="AR225" s="237">
        <f t="shared" si="89"/>
        <v>3.9202433254477864E-2</v>
      </c>
      <c r="AS225" s="237">
        <f t="shared" si="89"/>
        <v>3.7843627275972867E-2</v>
      </c>
      <c r="AT225" s="237">
        <f t="shared" si="89"/>
        <v>3.9241769205187897E-2</v>
      </c>
      <c r="AU225" s="237">
        <f t="shared" si="89"/>
        <v>3.5037878787878785E-2</v>
      </c>
      <c r="AV225" s="237">
        <f t="shared" si="89"/>
        <v>3.4205829863176683E-2</v>
      </c>
      <c r="AW225" s="237">
        <f t="shared" si="90"/>
        <v>0.1250422440013518</v>
      </c>
      <c r="AX225" s="237">
        <f t="shared" si="90"/>
        <v>0.13566583363084614</v>
      </c>
      <c r="AY225" s="237">
        <f t="shared" si="90"/>
        <v>0.12869970069837047</v>
      </c>
      <c r="AZ225" s="237">
        <f t="shared" si="90"/>
        <v>0.24273989898989898</v>
      </c>
      <c r="BA225" s="237">
        <f t="shared" si="90"/>
        <v>0.11481261154074955</v>
      </c>
      <c r="BB225" s="237"/>
      <c r="BC225" s="237"/>
      <c r="BD225" s="237"/>
      <c r="BE225" s="237"/>
      <c r="BF225" s="237"/>
      <c r="BG225" s="237"/>
      <c r="BH225" s="237"/>
      <c r="BI225" s="237"/>
      <c r="BJ225" s="237"/>
      <c r="BK225" s="237"/>
      <c r="BL225" s="237"/>
      <c r="BM225" s="237"/>
      <c r="BN225" s="237"/>
      <c r="BO225" s="237"/>
      <c r="BP225" s="237"/>
      <c r="BQ225" s="56"/>
      <c r="BR225" s="56"/>
      <c r="BS225" s="56"/>
      <c r="BT225" s="56"/>
      <c r="BU225" s="56"/>
      <c r="BV225" s="56"/>
      <c r="BW225" s="56"/>
      <c r="BX225" s="56"/>
    </row>
    <row r="226" spans="1:76" ht="14.25" customHeight="1">
      <c r="A226" s="208"/>
      <c r="B226" s="48"/>
      <c r="C226" s="48"/>
      <c r="D226" s="40"/>
      <c r="E226" s="40"/>
      <c r="F226" s="40"/>
      <c r="G226" s="40"/>
      <c r="H226" s="40"/>
      <c r="I226" s="40"/>
      <c r="J226" s="1"/>
      <c r="K226" s="5"/>
      <c r="L226" s="5"/>
      <c r="M226" s="5"/>
      <c r="N226" s="5"/>
      <c r="O226" s="5"/>
      <c r="P226" s="5"/>
      <c r="Q226" s="5"/>
      <c r="R226" s="5"/>
      <c r="S226" s="5"/>
      <c r="T226" s="5"/>
      <c r="U226" s="86"/>
      <c r="V226" s="102"/>
      <c r="W226" s="771"/>
      <c r="AE226" s="760"/>
      <c r="AF226" s="760"/>
      <c r="AG226" s="760"/>
      <c r="AH226" s="760"/>
      <c r="AI226" s="812"/>
      <c r="AJ226" s="764"/>
      <c r="AK226" s="52" t="str">
        <f>Z4</f>
        <v>Selected LA- (none)</v>
      </c>
      <c r="AL226" s="110" t="e">
        <f>VLOOKUP($Y4,$B$180:$O$200,AL$201,FALSE)</f>
        <v>#N/A</v>
      </c>
      <c r="AM226" s="110" t="e">
        <f>VLOOKUP($Y4,$B$180:$O$200,AM$201,FALSE)</f>
        <v>#N/A</v>
      </c>
      <c r="AN226" s="110" t="e">
        <f>VLOOKUP($Y4,$B$180:$O$200,AN$201,FALSE)</f>
        <v>#N/A</v>
      </c>
      <c r="AO226" s="110" t="e">
        <f>VLOOKUP($Y4,$B$180:$O$200,AO$201,FALSE)</f>
        <v>#N/A</v>
      </c>
      <c r="AP226" s="110" t="e">
        <f>VLOOKUP($Y4,$B$180:$O$200,AP$201,FALSE)</f>
        <v>#N/A</v>
      </c>
      <c r="AQ226" s="111" t="e">
        <f>VLOOKUP(Y4,IDACI!$B$9:$C$29,2,FALSE)</f>
        <v>#N/A</v>
      </c>
      <c r="AR226" s="237" t="e">
        <f>VLOOKUP($Y4,$B$243:$H$263,AR$201,FALSE)</f>
        <v>#N/A</v>
      </c>
      <c r="AS226" s="237" t="e">
        <f t="shared" si="89"/>
        <v>#N/A</v>
      </c>
      <c r="AT226" s="237" t="e">
        <f t="shared" si="89"/>
        <v>#N/A</v>
      </c>
      <c r="AU226" s="237" t="e">
        <f t="shared" si="89"/>
        <v>#N/A</v>
      </c>
      <c r="AV226" s="237" t="e">
        <f t="shared" si="89"/>
        <v>#N/A</v>
      </c>
      <c r="AW226" s="237" t="e">
        <f>VLOOKUP($Y4,$B$276:$H$296,AW$201,FALSE)</f>
        <v>#N/A</v>
      </c>
      <c r="AX226" s="237" t="e">
        <f t="shared" si="90"/>
        <v>#N/A</v>
      </c>
      <c r="AY226" s="237" t="e">
        <f t="shared" si="90"/>
        <v>#N/A</v>
      </c>
      <c r="AZ226" s="237" t="e">
        <f t="shared" si="90"/>
        <v>#N/A</v>
      </c>
      <c r="BA226" s="237" t="e">
        <f t="shared" si="90"/>
        <v>#N/A</v>
      </c>
      <c r="BB226" s="237"/>
      <c r="BC226" s="237"/>
      <c r="BD226" s="237"/>
      <c r="BE226" s="237"/>
      <c r="BF226" s="237"/>
      <c r="BG226" s="237"/>
      <c r="BH226" s="237"/>
      <c r="BI226" s="237"/>
      <c r="BJ226" s="237"/>
      <c r="BK226" s="237"/>
      <c r="BL226" s="237"/>
      <c r="BM226" s="237"/>
      <c r="BN226" s="237"/>
      <c r="BO226" s="237"/>
      <c r="BP226" s="237"/>
      <c r="BQ226" s="56"/>
      <c r="BR226" s="56"/>
      <c r="BS226" s="56"/>
      <c r="BT226" s="56"/>
      <c r="BU226" s="56"/>
      <c r="BV226" s="56"/>
      <c r="BW226" s="56"/>
      <c r="BX226" s="56"/>
    </row>
    <row r="227" spans="1:76" s="56" customFormat="1" ht="14.25" customHeight="1">
      <c r="A227" s="208"/>
      <c r="B227" s="48"/>
      <c r="C227" s="48"/>
      <c r="D227" s="40"/>
      <c r="E227" s="40"/>
      <c r="F227" s="40"/>
      <c r="G227" s="40"/>
      <c r="H227" s="40"/>
      <c r="I227" s="40"/>
      <c r="J227" s="1"/>
      <c r="K227" s="5"/>
      <c r="L227" s="5"/>
      <c r="M227" s="5"/>
      <c r="N227" s="5"/>
      <c r="O227" s="5"/>
      <c r="P227" s="5"/>
      <c r="Q227" s="5"/>
      <c r="R227" s="5"/>
      <c r="S227" s="5"/>
      <c r="T227" s="5"/>
      <c r="U227" s="86"/>
      <c r="V227" s="102"/>
      <c r="W227" s="771"/>
      <c r="AD227" s="251"/>
      <c r="AE227" s="760"/>
      <c r="AF227" s="760"/>
      <c r="AG227" s="760"/>
      <c r="AH227" s="760"/>
      <c r="AJ227" s="764"/>
      <c r="BB227" s="237"/>
      <c r="BC227" s="237"/>
      <c r="BD227" s="237"/>
      <c r="BE227" s="237"/>
      <c r="BF227" s="237"/>
      <c r="BG227" s="237"/>
      <c r="BH227" s="237"/>
      <c r="BI227" s="237"/>
      <c r="BJ227" s="237"/>
      <c r="BK227" s="237"/>
      <c r="BL227" s="237"/>
      <c r="BM227" s="237"/>
      <c r="BN227" s="237"/>
      <c r="BO227" s="237"/>
      <c r="BP227" s="237"/>
    </row>
    <row r="228" spans="1:76" s="56" customFormat="1" ht="14.25" customHeight="1">
      <c r="A228" s="208"/>
      <c r="B228" s="48"/>
      <c r="C228" s="48"/>
      <c r="D228" s="40"/>
      <c r="E228" s="40"/>
      <c r="F228" s="40"/>
      <c r="G228" s="40"/>
      <c r="H228" s="40"/>
      <c r="I228" s="40"/>
      <c r="J228" s="1"/>
      <c r="K228" s="5"/>
      <c r="L228" s="5"/>
      <c r="M228" s="5"/>
      <c r="N228" s="5"/>
      <c r="O228" s="5"/>
      <c r="P228" s="5"/>
      <c r="Q228" s="5"/>
      <c r="R228" s="5"/>
      <c r="S228" s="5"/>
      <c r="T228" s="5"/>
      <c r="U228" s="86"/>
      <c r="V228" s="102"/>
      <c r="W228" s="771"/>
      <c r="AD228" s="251"/>
      <c r="AE228" s="760"/>
      <c r="AF228" s="760"/>
      <c r="AG228" s="760"/>
      <c r="AH228" s="760"/>
      <c r="AJ228" s="764"/>
      <c r="AW228" s="237"/>
      <c r="AX228" s="237"/>
      <c r="AY228" s="237"/>
      <c r="AZ228" s="237"/>
      <c r="BA228" s="237"/>
      <c r="BB228" s="237"/>
      <c r="BC228" s="237"/>
      <c r="BD228" s="237"/>
      <c r="BE228" s="237"/>
      <c r="BF228" s="237"/>
      <c r="BG228" s="237"/>
      <c r="BH228" s="237"/>
      <c r="BI228" s="237"/>
      <c r="BJ228" s="237"/>
      <c r="BK228" s="237"/>
      <c r="BL228" s="237"/>
      <c r="BM228" s="237"/>
      <c r="BN228" s="237"/>
      <c r="BO228" s="237"/>
      <c r="BP228" s="237"/>
    </row>
    <row r="229" spans="1:76" s="56" customFormat="1" ht="2.25" customHeight="1">
      <c r="A229" s="208"/>
      <c r="B229" s="48"/>
      <c r="C229" s="48"/>
      <c r="D229" s="40"/>
      <c r="E229" s="40"/>
      <c r="F229" s="40"/>
      <c r="G229" s="40"/>
      <c r="H229" s="40"/>
      <c r="I229" s="40"/>
      <c r="J229" s="1"/>
      <c r="K229" s="5"/>
      <c r="L229" s="5"/>
      <c r="M229" s="5"/>
      <c r="N229" s="5"/>
      <c r="O229" s="5"/>
      <c r="P229" s="5"/>
      <c r="Q229" s="5"/>
      <c r="R229" s="5"/>
      <c r="S229" s="5"/>
      <c r="T229" s="5"/>
      <c r="U229" s="86"/>
      <c r="V229" s="102"/>
      <c r="W229" s="759"/>
      <c r="X229" s="251"/>
      <c r="Y229" s="251"/>
      <c r="Z229" s="251"/>
      <c r="AA229" s="251"/>
      <c r="AB229" s="251"/>
      <c r="AC229" s="244" t="s">
        <v>762</v>
      </c>
      <c r="AD229" s="251"/>
      <c r="AE229" s="760"/>
      <c r="AF229" s="760"/>
      <c r="AG229" s="760"/>
      <c r="AH229" s="760"/>
      <c r="AJ229" s="764"/>
      <c r="AW229" s="132"/>
      <c r="AX229" s="132"/>
      <c r="AY229" s="132"/>
      <c r="AZ229" s="132"/>
      <c r="BA229" s="132"/>
      <c r="BB229" s="132"/>
      <c r="BC229" s="132"/>
      <c r="BD229" s="132"/>
      <c r="BE229" s="132"/>
      <c r="BF229" s="132"/>
      <c r="BG229" s="237"/>
      <c r="BH229" s="237"/>
      <c r="BI229" s="237"/>
      <c r="BJ229" s="237"/>
      <c r="BK229" s="237"/>
      <c r="BL229" s="237"/>
      <c r="BM229" s="237"/>
      <c r="BN229" s="237"/>
      <c r="BO229" s="237"/>
      <c r="BP229" s="237"/>
    </row>
    <row r="230" spans="1:76" s="56" customFormat="1" ht="14.25" customHeight="1">
      <c r="A230" s="208"/>
      <c r="B230" s="48"/>
      <c r="C230" s="48"/>
      <c r="D230" s="40"/>
      <c r="E230" s="40"/>
      <c r="F230" s="40"/>
      <c r="G230" s="40"/>
      <c r="H230" s="40"/>
      <c r="I230" s="40"/>
      <c r="J230" s="1"/>
      <c r="K230" s="79"/>
      <c r="L230" s="1882" t="s">
        <v>69</v>
      </c>
      <c r="M230" s="1882"/>
      <c r="N230" s="1882"/>
      <c r="O230" s="1882"/>
      <c r="P230" s="80"/>
      <c r="Q230" s="1753" t="s">
        <v>93</v>
      </c>
      <c r="R230" s="1753"/>
      <c r="S230" s="1753"/>
      <c r="T230" s="1753"/>
      <c r="U230" s="86"/>
      <c r="V230" s="102"/>
      <c r="W230" s="759"/>
      <c r="X230" s="787" t="s">
        <v>69</v>
      </c>
      <c r="Y230" s="787" t="s">
        <v>67</v>
      </c>
      <c r="Z230" s="787" t="s">
        <v>68</v>
      </c>
      <c r="AA230" s="788">
        <v>3</v>
      </c>
      <c r="AB230" s="789">
        <f>(AA230*Y231)+Z231</f>
        <v>10.477061446221949</v>
      </c>
      <c r="AC230" s="790">
        <f>ROUND(ChartLabels!$X47,3)</f>
        <v>0.318</v>
      </c>
      <c r="AD230" s="251"/>
      <c r="AE230" s="760"/>
      <c r="AF230" s="760"/>
      <c r="AG230" s="760"/>
      <c r="AH230" s="760"/>
      <c r="AI230" s="812"/>
      <c r="AJ230" s="764"/>
    </row>
    <row r="231" spans="1:76" s="56" customFormat="1" ht="14.25" customHeight="1">
      <c r="A231" s="208"/>
      <c r="B231" s="48"/>
      <c r="C231" s="48"/>
      <c r="D231" s="40"/>
      <c r="E231" s="40"/>
      <c r="F231" s="40"/>
      <c r="G231" s="40"/>
      <c r="H231" s="40"/>
      <c r="I231" s="40"/>
      <c r="J231" s="1"/>
      <c r="K231" s="80"/>
      <c r="L231" s="1753" t="str">
        <f>Z4</f>
        <v>Selected LA- (none)</v>
      </c>
      <c r="M231" s="1753"/>
      <c r="N231" s="1753"/>
      <c r="O231" s="1753"/>
      <c r="P231" s="79"/>
      <c r="Q231" s="1753" t="s">
        <v>167</v>
      </c>
      <c r="R231" s="1753"/>
      <c r="S231" s="1753"/>
      <c r="T231" s="1753"/>
      <c r="U231" s="86"/>
      <c r="V231" s="102"/>
      <c r="W231" s="767"/>
      <c r="X231" s="307" t="str">
        <f>"Y= "&amp;Y231&amp;"x + "&amp;Z231</f>
        <v>Y= 1.71519897653411x + 5.33146451661962</v>
      </c>
      <c r="Y231" s="791">
        <f>ChartLabels!$V47</f>
        <v>1.7151989765341111</v>
      </c>
      <c r="Z231" s="791">
        <f>ChartLabels!$W47</f>
        <v>5.3314645166196151</v>
      </c>
      <c r="AA231" s="790">
        <v>22</v>
      </c>
      <c r="AB231" s="789">
        <f>(AA231*Y231)+Z231</f>
        <v>43.065842000370054</v>
      </c>
      <c r="AC231" s="790" t="str">
        <f>AC229&amp;" = "&amp;AC230</f>
        <v>r² = 0.318</v>
      </c>
      <c r="AD231" s="250"/>
      <c r="AE231" s="761"/>
      <c r="AF231" s="761"/>
      <c r="AG231" s="761"/>
      <c r="AH231" s="761"/>
      <c r="AI231" s="768"/>
      <c r="AJ231" s="766"/>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row>
    <row r="232" spans="1:76" s="56" customFormat="1" ht="46.5" customHeight="1">
      <c r="A232" s="208"/>
      <c r="B232" s="48"/>
      <c r="C232" s="48"/>
      <c r="D232" s="40"/>
      <c r="E232" s="40"/>
      <c r="F232" s="40"/>
      <c r="G232" s="40"/>
      <c r="H232" s="40"/>
      <c r="I232" s="40"/>
      <c r="J232" s="1"/>
      <c r="K232" s="5"/>
      <c r="L232" s="5"/>
      <c r="M232" s="5"/>
      <c r="N232" s="5"/>
      <c r="O232" s="5"/>
      <c r="P232" s="5"/>
      <c r="Q232" s="5"/>
      <c r="R232" s="5"/>
      <c r="S232" s="5"/>
      <c r="T232" s="5"/>
      <c r="U232" s="86"/>
      <c r="V232" s="102"/>
      <c r="W232" s="767"/>
      <c r="X232" s="787" t="str">
        <f>"National Trend "&amp;ReportData!$B$8</f>
        <v>National Trend 2024</v>
      </c>
      <c r="Y232" s="792" t="s">
        <v>67</v>
      </c>
      <c r="Z232" s="787" t="s">
        <v>68</v>
      </c>
      <c r="AA232" s="788">
        <v>3</v>
      </c>
      <c r="AB232" s="793">
        <f>((AA232*Y233)+Z233)/$X$2</f>
        <v>20.396989278804242</v>
      </c>
      <c r="AC232" s="747" t="str">
        <f>$AC$37&amp;" = "&amp;AC233</f>
        <v>r² = 0.035</v>
      </c>
      <c r="AD232" s="250"/>
      <c r="AE232" s="761"/>
      <c r="AF232" s="761"/>
      <c r="AG232" s="761"/>
      <c r="AH232" s="761"/>
      <c r="AI232" s="768"/>
      <c r="AJ232" s="766"/>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row>
    <row r="233" spans="1:76" s="61" customFormat="1" ht="46.5" customHeight="1">
      <c r="A233" s="217"/>
      <c r="B233" s="78"/>
      <c r="C233" s="78"/>
      <c r="D233" s="78"/>
      <c r="E233" s="78"/>
      <c r="F233" s="78"/>
      <c r="G233" s="78"/>
      <c r="H233" s="78"/>
      <c r="I233" s="78"/>
      <c r="J233" s="68"/>
      <c r="K233" s="59"/>
      <c r="L233" s="59"/>
      <c r="M233" s="59"/>
      <c r="N233" s="59"/>
      <c r="O233" s="59"/>
      <c r="P233" s="59"/>
      <c r="Q233" s="59"/>
      <c r="R233" s="59"/>
      <c r="S233" s="59"/>
      <c r="T233" s="59"/>
      <c r="U233" s="89"/>
      <c r="V233" s="103"/>
      <c r="W233" s="759"/>
      <c r="X233" s="307" t="str">
        <f>"Y= "&amp;Y233&amp;"x + "&amp;Z233</f>
        <v>Y= 0.728228416228231x + 18.2123040301195</v>
      </c>
      <c r="Y233" s="794">
        <f>ReportData!$D$15</f>
        <v>0.7282284162282312</v>
      </c>
      <c r="Z233" s="795">
        <f>ReportData!$D$16</f>
        <v>18.212304030119547</v>
      </c>
      <c r="AA233" s="790">
        <v>22</v>
      </c>
      <c r="AB233" s="789">
        <f>((AA233*Y233)+Z233)/$X$2</f>
        <v>34.233329187140633</v>
      </c>
      <c r="AC233" s="694">
        <f>ROUND(ReportData!$D$17,3)</f>
        <v>3.5000000000000003E-2</v>
      </c>
      <c r="AD233" s="251"/>
      <c r="AE233" s="760"/>
      <c r="AF233" s="760"/>
      <c r="AG233" s="760"/>
      <c r="AH233" s="760"/>
      <c r="AI233" s="763"/>
      <c r="AJ233" s="765"/>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row>
    <row r="234" spans="1:76" s="61" customFormat="1" ht="46.5" customHeight="1">
      <c r="A234" s="217"/>
      <c r="B234" s="78"/>
      <c r="C234" s="78"/>
      <c r="D234" s="78"/>
      <c r="E234" s="78"/>
      <c r="F234" s="78"/>
      <c r="G234" s="78"/>
      <c r="H234" s="78"/>
      <c r="I234" s="78"/>
      <c r="J234" s="68"/>
      <c r="K234" s="59"/>
      <c r="L234" s="59"/>
      <c r="M234" s="59"/>
      <c r="N234" s="59"/>
      <c r="O234" s="59"/>
      <c r="P234" s="59"/>
      <c r="Q234" s="59"/>
      <c r="R234" s="59"/>
      <c r="S234" s="59"/>
      <c r="T234" s="59"/>
      <c r="U234" s="89"/>
      <c r="V234" s="121"/>
      <c r="W234" s="759"/>
      <c r="X234" s="537"/>
      <c r="Y234" s="251"/>
      <c r="Z234" s="784"/>
      <c r="AA234" s="251"/>
      <c r="AB234" s="251"/>
      <c r="AC234" s="251"/>
      <c r="AD234" s="251"/>
      <c r="AE234" s="760"/>
      <c r="AF234" s="760"/>
      <c r="AG234" s="760"/>
      <c r="AH234" s="760"/>
      <c r="AI234" s="763"/>
      <c r="AJ234" s="765"/>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row>
    <row r="235" spans="1:76" ht="7.5" customHeight="1">
      <c r="A235" s="208"/>
      <c r="B235" s="12"/>
      <c r="C235" s="12"/>
      <c r="D235" s="11"/>
      <c r="E235" s="11"/>
      <c r="F235" s="11"/>
      <c r="G235" s="11"/>
      <c r="H235" s="11"/>
      <c r="I235" s="11"/>
      <c r="J235" s="1"/>
      <c r="K235" s="13"/>
      <c r="L235" s="13"/>
      <c r="M235" s="13"/>
      <c r="N235" s="13"/>
      <c r="O235" s="13"/>
      <c r="P235" s="13"/>
      <c r="Q235" s="13"/>
      <c r="R235" s="13"/>
      <c r="S235" s="13"/>
      <c r="T235" s="14"/>
      <c r="U235" s="86"/>
      <c r="V235" s="185"/>
      <c r="W235" s="759"/>
      <c r="X235" s="537"/>
      <c r="Z235" s="784"/>
      <c r="AE235" s="760"/>
      <c r="AF235" s="760"/>
      <c r="AG235" s="760"/>
      <c r="AH235" s="760"/>
      <c r="AI235" s="763"/>
      <c r="AJ235" s="765"/>
    </row>
    <row r="236" spans="1:76" ht="15" customHeight="1">
      <c r="A236" s="1758"/>
      <c r="B236" s="1751"/>
      <c r="C236" s="1751"/>
      <c r="D236" s="1751"/>
      <c r="E236" s="1751"/>
      <c r="F236" s="1751"/>
      <c r="G236" s="1751"/>
      <c r="H236" s="1751"/>
      <c r="I236" s="1751"/>
      <c r="J236" s="1751"/>
      <c r="K236" s="1751"/>
      <c r="L236" s="1751"/>
      <c r="M236" s="1751"/>
      <c r="N236" s="1751"/>
      <c r="O236" s="1751"/>
      <c r="P236" s="1751"/>
      <c r="Q236" s="1751"/>
      <c r="R236" s="1751"/>
      <c r="S236" s="1751"/>
      <c r="T236" s="1751"/>
      <c r="U236" s="1752"/>
      <c r="V236" s="185"/>
      <c r="W236" s="114"/>
      <c r="X236" s="56"/>
      <c r="Y236" s="56"/>
      <c r="Z236" s="56"/>
      <c r="AA236" s="56"/>
      <c r="AB236" s="56"/>
      <c r="AC236" s="56"/>
      <c r="AD236" s="56"/>
      <c r="AJ236" s="119"/>
    </row>
    <row r="237" spans="1:76" ht="11.25" customHeight="1">
      <c r="A237" s="1955"/>
      <c r="B237" s="1947"/>
      <c r="C237" s="1947"/>
      <c r="D237" s="1947"/>
      <c r="E237" s="1947"/>
      <c r="F237" s="1947"/>
      <c r="G237" s="1947"/>
      <c r="H237" s="1947"/>
      <c r="I237" s="1947"/>
      <c r="J237" s="1947"/>
      <c r="K237" s="1947"/>
      <c r="L237" s="1947"/>
      <c r="M237" s="1947"/>
      <c r="N237" s="1947"/>
      <c r="O237" s="1947"/>
      <c r="P237" s="1947"/>
      <c r="Q237" s="1947"/>
      <c r="R237" s="1947"/>
      <c r="S237" s="1947"/>
      <c r="T237" s="1947"/>
      <c r="U237" s="1956"/>
      <c r="V237" s="185"/>
      <c r="W237" s="114"/>
      <c r="X237" s="56"/>
      <c r="Y237" s="56"/>
      <c r="Z237" s="56"/>
      <c r="AA237" s="56"/>
      <c r="AB237" s="56"/>
      <c r="AC237" s="56"/>
      <c r="AD237" s="56"/>
      <c r="AJ237" s="119"/>
    </row>
    <row r="238" spans="1:76" ht="10.5" customHeight="1">
      <c r="A238" s="81"/>
      <c r="B238" s="82"/>
      <c r="C238" s="82"/>
      <c r="D238" s="82"/>
      <c r="E238" s="82"/>
      <c r="F238" s="82"/>
      <c r="G238" s="82"/>
      <c r="H238" s="82"/>
      <c r="I238" s="82"/>
      <c r="J238" s="82"/>
      <c r="K238" s="82"/>
      <c r="L238" s="83"/>
      <c r="M238" s="82"/>
      <c r="N238" s="82"/>
      <c r="O238" s="82"/>
      <c r="P238" s="82"/>
      <c r="Q238" s="82"/>
      <c r="R238" s="82"/>
      <c r="S238" s="82"/>
      <c r="T238" s="82"/>
      <c r="U238" s="84"/>
      <c r="V238" s="102"/>
      <c r="W238" s="114"/>
      <c r="X238" s="249" t="s">
        <v>209</v>
      </c>
      <c r="Y238" s="250"/>
      <c r="Z238" s="52"/>
      <c r="AA238" s="52"/>
      <c r="AD238" s="249" t="s">
        <v>1063</v>
      </c>
      <c r="AE238" s="250"/>
      <c r="AF238" s="52"/>
      <c r="AG238" s="52"/>
      <c r="AH238" s="251"/>
      <c r="AI238" s="251"/>
      <c r="AJ238" s="119"/>
    </row>
    <row r="239" spans="1:76" ht="18.75" customHeight="1">
      <c r="A239" s="208"/>
      <c r="B239" s="1919" t="s">
        <v>1277</v>
      </c>
      <c r="C239" s="1919"/>
      <c r="D239" s="1919"/>
      <c r="E239" s="1919"/>
      <c r="F239" s="1919"/>
      <c r="G239" s="1919"/>
      <c r="H239" s="1919"/>
      <c r="I239" s="1177"/>
      <c r="J239" s="1177"/>
      <c r="K239" s="76"/>
      <c r="L239" s="76"/>
      <c r="M239" s="50"/>
      <c r="N239" s="50"/>
      <c r="O239" s="50"/>
      <c r="P239" s="224"/>
      <c r="Q239" s="50"/>
      <c r="R239" s="50"/>
      <c r="S239" s="50"/>
      <c r="T239" s="5"/>
      <c r="U239" s="86"/>
      <c r="V239" s="102"/>
      <c r="W239" s="114"/>
      <c r="X239" s="248"/>
      <c r="Y239" s="307" t="str">
        <f>IF(ReportData!$C$3="Annual","",ReportData!$D$28)</f>
        <v/>
      </c>
      <c r="Z239" s="307" t="str">
        <f>IF(ReportData!$C$3="Annual","",ReportData!$E$28)</f>
        <v/>
      </c>
      <c r="AA239" s="307" t="str">
        <f>IF(ReportData!$C$3="Annual","",ReportData!$F$28)</f>
        <v/>
      </c>
      <c r="AB239" s="307" t="str">
        <f>IF(ReportData!$C$3="Annual","",ReportData!$G$28)</f>
        <v/>
      </c>
      <c r="AC239" s="307" t="str">
        <f>IF(ReportData!$C$3="Annual","",ReportData!$H$28)</f>
        <v/>
      </c>
      <c r="AD239" s="248"/>
      <c r="AE239" s="307" t="str">
        <f>IF(ReportData!$C$3="Annual","",ReportData!$D$28)</f>
        <v/>
      </c>
      <c r="AF239" s="307" t="str">
        <f>IF(ReportData!$C$3="Annual","",ReportData!$E$28)</f>
        <v/>
      </c>
      <c r="AG239" s="307" t="str">
        <f>IF(ReportData!$C$3="Annual","",ReportData!$F$28)</f>
        <v/>
      </c>
      <c r="AH239" s="307" t="str">
        <f>IF(ReportData!$C$3="Annual","",ReportData!$G$28)</f>
        <v/>
      </c>
      <c r="AI239" s="307" t="str">
        <f>IF(ReportData!$C$3="Annual","",ReportData!$H$28)</f>
        <v/>
      </c>
      <c r="AJ239" s="119"/>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row>
    <row r="240" spans="1:76" ht="18.75" customHeight="1">
      <c r="A240" s="208"/>
      <c r="B240" s="1919"/>
      <c r="C240" s="1919"/>
      <c r="D240" s="1919"/>
      <c r="E240" s="1919"/>
      <c r="F240" s="1919"/>
      <c r="G240" s="1919"/>
      <c r="H240" s="1919"/>
      <c r="I240" s="1177"/>
      <c r="J240" s="1177"/>
      <c r="K240" s="76"/>
      <c r="L240" s="76"/>
      <c r="M240" s="50"/>
      <c r="N240" s="50"/>
      <c r="O240" s="50"/>
      <c r="P240" s="224"/>
      <c r="Q240" s="50"/>
      <c r="R240" s="50"/>
      <c r="S240" s="50"/>
      <c r="T240" s="5"/>
      <c r="U240" s="86"/>
      <c r="V240" s="102"/>
      <c r="W240" s="114"/>
      <c r="X240" s="248"/>
      <c r="Y240" s="307" t="str">
        <f>ReportData!$D$27</f>
        <v>2019/20</v>
      </c>
      <c r="Z240" s="307" t="str">
        <f>ReportData!$E$27</f>
        <v>2020/21</v>
      </c>
      <c r="AA240" s="307" t="str">
        <f>ReportData!$F$27</f>
        <v>2021/22</v>
      </c>
      <c r="AB240" s="307" t="str">
        <f>ReportData!$G$27</f>
        <v>2022/23</v>
      </c>
      <c r="AC240" s="307" t="str">
        <f>ReportData!$H$27</f>
        <v>2023/24</v>
      </c>
      <c r="AD240" s="248"/>
      <c r="AE240" s="307" t="str">
        <f>ReportData!$D$27</f>
        <v>2019/20</v>
      </c>
      <c r="AF240" s="307" t="str">
        <f>ReportData!$E$27</f>
        <v>2020/21</v>
      </c>
      <c r="AG240" s="307" t="str">
        <f>ReportData!$F$27</f>
        <v>2021/22</v>
      </c>
      <c r="AH240" s="307" t="str">
        <f>ReportData!$G$27</f>
        <v>2022/23</v>
      </c>
      <c r="AI240" s="307" t="str">
        <f>ReportData!$H$27</f>
        <v>2023/24</v>
      </c>
      <c r="AJ240" s="119"/>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row>
    <row r="241" spans="1:50" s="61" customFormat="1" ht="18.75" customHeight="1">
      <c r="A241" s="1097"/>
      <c r="B241" s="1749" t="s">
        <v>177</v>
      </c>
      <c r="C241" s="1175"/>
      <c r="D241" s="1088" t="str">
        <f>ReportData!$D$27</f>
        <v>2019/20</v>
      </c>
      <c r="E241" s="1088" t="str">
        <f>ReportData!$E$27</f>
        <v>2020/21</v>
      </c>
      <c r="F241" s="1088" t="str">
        <f>ReportData!$F$27</f>
        <v>2021/22</v>
      </c>
      <c r="G241" s="1088" t="str">
        <f>ReportData!$G$27</f>
        <v>2022/23</v>
      </c>
      <c r="H241" s="1089" t="str">
        <f>ReportData!$H$27</f>
        <v>2023/24</v>
      </c>
      <c r="I241" s="43"/>
      <c r="J241" s="68"/>
      <c r="K241" s="68"/>
      <c r="L241" s="68"/>
      <c r="M241" s="43"/>
      <c r="N241" s="43"/>
      <c r="O241" s="43"/>
      <c r="P241" s="43"/>
      <c r="Q241" s="43"/>
      <c r="R241" s="225"/>
      <c r="S241" s="226"/>
      <c r="T241" s="59"/>
      <c r="U241" s="89"/>
      <c r="V241" s="102"/>
      <c r="W241" s="114"/>
      <c r="X241" s="248" t="str">
        <f t="shared" ref="X241:X253" si="94">B243</f>
        <v>Bracknell Forest</v>
      </c>
      <c r="Y241" s="248" t="str">
        <f>IF(Year1_Bracknell_Forest Year1_ROSGO_ceased_LAC_CAO="","",Year1_Bracknell_Forest Year1_ROSGO_ceased_LAC_CAO)</f>
        <v>x</v>
      </c>
      <c r="Z241" s="248" t="str">
        <f>IF(Year1_Bracknell_Forest Year1_ROSGO_ceased_LAC_CAO="","",Year1_Bracknell_Forest Year1_ROSGO_ceased_LAC_CAO)</f>
        <v>x</v>
      </c>
      <c r="AA241" s="248" t="str">
        <f>IF(Year1_Bracknell_Forest Year1_ROSGO_ceased_LAC_CAO="","",Year1_Bracknell_Forest Year1_ROSGO_ceased_LAC_CAO)</f>
        <v>x</v>
      </c>
      <c r="AB241" s="248" t="str">
        <f>IF(Year1_Bracknell_Forest Year1_ROSGO_ceased_LAC_CAO="","",Year1_Bracknell_Forest Year1_ROSGO_ceased_LAC_CAO)</f>
        <v>x</v>
      </c>
      <c r="AC241" s="248" t="str">
        <f>IF(Year1_Bracknell_Forest Year1_ROSGO_ceased_LAC_CAO="","",Year1_Bracknell_Forest Year1_ROSGO_ceased_LAC_CAO)</f>
        <v>x</v>
      </c>
      <c r="AD241" s="248" t="e">
        <f t="shared" ref="AD241:AD261" si="95">H243</f>
        <v>#N/A</v>
      </c>
      <c r="AE241" s="248" t="str">
        <f>IF(Year1_Bracknell_Forest Year1_ROSGO_ceased_LAC_CAO="","",Year1_Bracknell_Forest Year1_ROSGO_ceased_LAC_CAO)</f>
        <v>x</v>
      </c>
      <c r="AF241" s="248" t="str">
        <f>IF(Year1_Bracknell_Forest Year1_ROSGO_ceased_LAC_CAO="","",Year1_Bracknell_Forest Year1_ROSGO_ceased_LAC_CAO)</f>
        <v>x</v>
      </c>
      <c r="AG241" s="248" t="str">
        <f>IF(Year1_Bracknell_Forest Year1_ROSGO_ceased_LAC_CAO="","",Year1_Bracknell_Forest Year1_ROSGO_ceased_LAC_CAO)</f>
        <v>x</v>
      </c>
      <c r="AH241" s="248" t="str">
        <f>IF(Year1_Bracknell_Forest Year1_ROSGO_ceased_LAC_CAO="","",Year1_Bracknell_Forest Year1_ROSGO_ceased_LAC_CAO)</f>
        <v>x</v>
      </c>
      <c r="AI241" s="248" t="str">
        <f>IF(Year1_Bracknell_Forest Year1_ROSGO_ceased_LAC_CAO="","",Year1_Bracknell_Forest Year1_ROSGO_ceased_LAC_CAO)</f>
        <v>x</v>
      </c>
      <c r="AJ241" s="119"/>
      <c r="AK241" s="52"/>
      <c r="AL241" s="52"/>
      <c r="AM241" s="52"/>
      <c r="AN241" s="52"/>
      <c r="AO241" s="52"/>
      <c r="AP241" s="52"/>
      <c r="AQ241" s="52"/>
      <c r="AR241" s="52"/>
      <c r="AS241" s="52"/>
      <c r="AT241" s="52"/>
      <c r="AU241" s="52"/>
      <c r="AV241" s="52"/>
      <c r="AW241" s="52"/>
      <c r="AX241" s="52"/>
    </row>
    <row r="242" spans="1:50" s="61" customFormat="1" ht="16.5" customHeight="1">
      <c r="A242" s="1097"/>
      <c r="B242" s="1957"/>
      <c r="C242" s="896"/>
      <c r="D242" s="897" t="e">
        <f>ReportData!$D$28</f>
        <v>#N/A</v>
      </c>
      <c r="E242" s="897" t="e">
        <f>ReportData!$E$28</f>
        <v>#N/A</v>
      </c>
      <c r="F242" s="897" t="e">
        <f>ReportData!$F$28</f>
        <v>#N/A</v>
      </c>
      <c r="G242" s="897" t="e">
        <f>ReportData!$G$28</f>
        <v>#N/A</v>
      </c>
      <c r="H242" s="920" t="e">
        <f>ReportData!$H$28</f>
        <v>#N/A</v>
      </c>
      <c r="I242" s="43"/>
      <c r="J242" s="68"/>
      <c r="K242" s="68"/>
      <c r="L242" s="68"/>
      <c r="M242" s="43"/>
      <c r="N242" s="43"/>
      <c r="O242" s="43"/>
      <c r="P242" s="43"/>
      <c r="Q242" s="43"/>
      <c r="R242" s="225"/>
      <c r="S242" s="226"/>
      <c r="T242" s="59"/>
      <c r="U242" s="89"/>
      <c r="V242" s="102"/>
      <c r="W242" s="114"/>
      <c r="X242" s="248" t="str">
        <f t="shared" si="94"/>
        <v>Brighton &amp; Hove</v>
      </c>
      <c r="Y242" s="248">
        <f>IF(Year1_Brighton_and_Hove Year1_ROSGO_ceased_LAC_CAO="","",Year1_Brighton_and_Hove Year1_ROSGO_ceased_LAC_CAO)</f>
        <v>6</v>
      </c>
      <c r="Z242" s="248" t="str">
        <f>IF(Year2_Brighton_and_Hove Year2_ROSGO_ceased_LAC_CAO="","",Year2_Brighton_and_Hove Year2_ROSGO_ceased_LAC_CAO)</f>
        <v>x</v>
      </c>
      <c r="AA242" s="248" t="str">
        <f>IF(Year3_Brighton_and_Hove Year3_ROSGO_ceased_LAC_CAO="","",Year3_Brighton_and_Hove Year3_ROSGO_ceased_LAC_CAO)</f>
        <v>c</v>
      </c>
      <c r="AB242" s="248">
        <f>IF(Year4_Brighton_and_Hove Year4_ROSGO_ceased_LAC_CAO="","",Year4_Brighton_and_Hove Year4_ROSGO_ceased_LAC_CAO)</f>
        <v>9</v>
      </c>
      <c r="AC242" s="248" t="str">
        <f>IF(Year5_Brighton_and_Hove Year5_ROSGO_ceased_LAC_CAO="","",Year5_Brighton_and_Hove Year5_ROSGO_ceased_LAC_CAO)</f>
        <v>c</v>
      </c>
      <c r="AD242" s="248" t="e">
        <f t="shared" si="95"/>
        <v>#N/A</v>
      </c>
      <c r="AE242" s="248">
        <f>IF(Year1_Brighton_and_Hove Year1_ROSGO_ceased_LAC_CAO="","",Year1_Brighton_and_Hove Year1_ROSGO_ceased_LAC_CAO)</f>
        <v>6</v>
      </c>
      <c r="AF242" s="248" t="str">
        <f>IF(Year2_Brighton_and_Hove Year2_ROSGO_ceased_LAC_CAO="","",Year2_Brighton_and_Hove Year2_ROSGO_ceased_LAC_CAO)</f>
        <v>x</v>
      </c>
      <c r="AG242" s="248" t="str">
        <f>IF(Year3_Brighton_and_Hove Year3_ROSGO_ceased_LAC_CAO="","",Year3_Brighton_and_Hove Year3_ROSGO_ceased_LAC_CAO)</f>
        <v>c</v>
      </c>
      <c r="AH242" s="248">
        <f>IF(Year4_Brighton_and_Hove Year4_ROSGO_ceased_LAC_CAO="","",Year4_Brighton_and_Hove Year4_ROSGO_ceased_LAC_CAO)</f>
        <v>9</v>
      </c>
      <c r="AI242" s="248" t="str">
        <f>IF(Year5_Brighton_and_Hove Year5_ROSGO_ceased_LAC_CAO="","",Year5_Brighton_and_Hove Year5_ROSGO_ceased_LAC_CAO)</f>
        <v>c</v>
      </c>
      <c r="AJ242" s="119"/>
      <c r="AK242" s="52"/>
      <c r="AL242" s="52"/>
      <c r="AM242" s="52"/>
      <c r="AN242" s="52"/>
      <c r="AO242" s="52"/>
      <c r="AP242" s="52"/>
      <c r="AQ242" s="52"/>
      <c r="AR242" s="52"/>
      <c r="AS242" s="52"/>
      <c r="AT242" s="52"/>
      <c r="AU242" s="52"/>
      <c r="AV242" s="52"/>
      <c r="AW242" s="52"/>
      <c r="AX242" s="52"/>
    </row>
    <row r="243" spans="1:50" s="61" customFormat="1" ht="13.5" customHeight="1">
      <c r="A243" s="1103">
        <f>VLOOKUP(B243,ReportData!$AQ$4:$AR$25,2,FALSE)</f>
        <v>0</v>
      </c>
      <c r="B243" s="885" t="str">
        <f>Permanence!B177</f>
        <v>Bracknell Forest</v>
      </c>
      <c r="C243" s="896"/>
      <c r="D243" s="922" t="e">
        <f>IF(AND(ISNUMBER(D180),ISNUMBER(Y241)),Y241/D180,NA())</f>
        <v>#N/A</v>
      </c>
      <c r="E243" s="922" t="e">
        <f t="shared" ref="E243:H243" si="96">IF(AND(ISNUMBER(E180),ISNUMBER(Z241)),Z241/E180,NA())</f>
        <v>#N/A</v>
      </c>
      <c r="F243" s="922" t="e">
        <f t="shared" si="96"/>
        <v>#N/A</v>
      </c>
      <c r="G243" s="922" t="e">
        <f t="shared" si="96"/>
        <v>#N/A</v>
      </c>
      <c r="H243" s="923" t="e">
        <f t="shared" si="96"/>
        <v>#N/A</v>
      </c>
      <c r="I243" s="274"/>
      <c r="J243" s="68"/>
      <c r="K243" s="68"/>
      <c r="L243" s="68"/>
      <c r="M243" s="127"/>
      <c r="N243" s="127"/>
      <c r="O243" s="127"/>
      <c r="P243" s="127"/>
      <c r="Q243" s="127"/>
      <c r="R243" s="127"/>
      <c r="S243" s="127"/>
      <c r="T243" s="59"/>
      <c r="U243" s="89"/>
      <c r="V243" s="102"/>
      <c r="W243" s="114"/>
      <c r="X243" s="248" t="str">
        <f t="shared" si="94"/>
        <v>Buckinghamshire</v>
      </c>
      <c r="Y243" s="248">
        <f>IF(Year1_Buckinghamshire Year1_ROSGO_ceased_LAC_CAO="","",Year1_Buckinghamshire Year1_ROSGO_ceased_LAC_CAO)</f>
        <v>7</v>
      </c>
      <c r="Z243" s="248" t="str">
        <f>IF(Year2_Buckinghamshire Year2_ROSGO_ceased_LAC_CAO="","",Year2_Buckinghamshire Year2_ROSGO_ceased_LAC_CAO)</f>
        <v>x</v>
      </c>
      <c r="AA243" s="248" t="str">
        <f>IF(Year3_Buckinghamshire Year3_ROSGO_ceased_LAC_CAO="","",Year3_Buckinghamshire Year3_ROSGO_ceased_LAC_CAO)</f>
        <v>c</v>
      </c>
      <c r="AB243" s="248">
        <f>IF(Year4_Buckinghamshire Year4_ROSGO_ceased_LAC_CAO="","",Year4_Buckinghamshire Year4_ROSGO_ceased_LAC_CAO)</f>
        <v>0</v>
      </c>
      <c r="AC243" s="248" t="str">
        <f>IF(Year5_Buckinghamshire Year5_ROSGO_ceased_LAC_CAO="","",Year5_Buckinghamshire Year5_ROSGO_ceased_LAC_CAO)</f>
        <v>c</v>
      </c>
      <c r="AD243" s="248" t="e">
        <f t="shared" si="95"/>
        <v>#N/A</v>
      </c>
      <c r="AE243" s="248">
        <f>IF(Year1_Buckinghamshire Year1_ROSGO_ceased_LAC_CAO="","",Year1_Buckinghamshire Year1_ROSGO_ceased_LAC_CAO)</f>
        <v>7</v>
      </c>
      <c r="AF243" s="248" t="str">
        <f>IF(Year2_Buckinghamshire Year2_ROSGO_ceased_LAC_CAO="","",Year2_Buckinghamshire Year2_ROSGO_ceased_LAC_CAO)</f>
        <v>x</v>
      </c>
      <c r="AG243" s="248" t="str">
        <f>IF(Year3_Buckinghamshire Year3_ROSGO_ceased_LAC_CAO="","",Year3_Buckinghamshire Year3_ROSGO_ceased_LAC_CAO)</f>
        <v>c</v>
      </c>
      <c r="AH243" s="248">
        <f>IF(Year4_Buckinghamshire Year4_ROSGO_ceased_LAC_CAO="","",Year4_Buckinghamshire Year4_ROSGO_ceased_LAC_CAO)</f>
        <v>0</v>
      </c>
      <c r="AI243" s="248" t="str">
        <f>IF(Year5_Buckinghamshire Year5_ROSGO_ceased_LAC_CAO="","",Year5_Buckinghamshire Year5_ROSGO_ceased_LAC_CAO)</f>
        <v>c</v>
      </c>
      <c r="AJ243" s="119"/>
      <c r="AK243" s="52"/>
      <c r="AL243" s="52"/>
      <c r="AM243" s="52"/>
      <c r="AN243" s="52"/>
      <c r="AO243" s="52"/>
      <c r="AP243" s="52"/>
      <c r="AQ243" s="52"/>
      <c r="AR243" s="52"/>
      <c r="AS243" s="52"/>
      <c r="AT243" s="52"/>
      <c r="AU243" s="52"/>
      <c r="AV243" s="52"/>
      <c r="AW243" s="52"/>
      <c r="AX243" s="52"/>
    </row>
    <row r="244" spans="1:50" s="61" customFormat="1" ht="13.5" customHeight="1">
      <c r="A244" s="1103">
        <f>VLOOKUP(B244,ReportData!$AQ$4:$AR$25,2,FALSE)</f>
        <v>0</v>
      </c>
      <c r="B244" s="885" t="str">
        <f>Permanence!B178</f>
        <v>Brighton &amp; Hove</v>
      </c>
      <c r="C244" s="896"/>
      <c r="D244" s="922">
        <f t="shared" ref="D244:D263" si="97">IF(AND(ISNUMBER(D181),ISNUMBER(Y242)),Y242/D181,NA())</f>
        <v>3.3707865168539325E-2</v>
      </c>
      <c r="E244" s="922" t="e">
        <f t="shared" ref="E244:E263" si="98">IF(AND(ISNUMBER(E181),ISNUMBER(Z242)),Z242/E181,NA())</f>
        <v>#N/A</v>
      </c>
      <c r="F244" s="922" t="e">
        <f t="shared" ref="F244:F263" si="99">IF(AND(ISNUMBER(F181),ISNUMBER(AA242)),AA242/F181,NA())</f>
        <v>#N/A</v>
      </c>
      <c r="G244" s="922">
        <f t="shared" ref="G244:G263" si="100">IF(AND(ISNUMBER(G181),ISNUMBER(AB242)),AB242/G181,NA())</f>
        <v>5.5214723926380369E-2</v>
      </c>
      <c r="H244" s="923" t="e">
        <f t="shared" ref="H244:H263" si="101">IF(AND(ISNUMBER(H181),ISNUMBER(AC242)),AC242/H181,NA())</f>
        <v>#N/A</v>
      </c>
      <c r="I244" s="274"/>
      <c r="J244" s="68"/>
      <c r="K244" s="68"/>
      <c r="L244" s="68"/>
      <c r="M244" s="127"/>
      <c r="N244" s="127"/>
      <c r="O244" s="127"/>
      <c r="P244" s="127"/>
      <c r="Q244" s="127"/>
      <c r="R244" s="127"/>
      <c r="S244" s="127"/>
      <c r="T244" s="59"/>
      <c r="U244" s="89"/>
      <c r="V244" s="102"/>
      <c r="W244" s="114"/>
      <c r="X244" s="248" t="str">
        <f t="shared" si="94"/>
        <v>East Sussex</v>
      </c>
      <c r="Y244" s="248" t="str">
        <f>IF(Year1_East_Sussex Year1_ROSGO_ceased_LAC_CAO="","",Year1_East_Sussex Year1_ROSGO_ceased_LAC_CAO)</f>
        <v>x</v>
      </c>
      <c r="Z244" s="248">
        <f>IF(Year2_East_Sussex Year2_ROSGO_ceased_LAC_CAO="","",Year2_East_Sussex Year2_ROSGO_ceased_LAC_CAO)</f>
        <v>7</v>
      </c>
      <c r="AA244" s="248" t="str">
        <f>IF(Year3_East_Sussex Year3_ROSGO_ceased_LAC_CAO="","",Year3_East_Sussex Year3_ROSGO_ceased_LAC_CAO)</f>
        <v>c</v>
      </c>
      <c r="AB244" s="248">
        <f>IF(Year4_East_Sussex Year4_ROSGO_ceased_LAC_CAO="","",Year4_East_Sussex Year4_ROSGO_ceased_LAC_CAO)</f>
        <v>8</v>
      </c>
      <c r="AC244" s="248">
        <f>IF(Year5_East_Sussex Year5_ROSGO_ceased_LAC_CAO="","",Year5_East_Sussex Year5_ROSGO_ceased_LAC_CAO)</f>
        <v>12</v>
      </c>
      <c r="AD244" s="248">
        <f t="shared" si="95"/>
        <v>5.106382978723404E-2</v>
      </c>
      <c r="AE244" s="248" t="str">
        <f>IF(Year1_East_Sussex Year1_ROSGO_ceased_LAC_CAO="","",Year1_East_Sussex Year1_ROSGO_ceased_LAC_CAO)</f>
        <v>x</v>
      </c>
      <c r="AF244" s="248">
        <f>IF(Year2_East_Sussex Year2_ROSGO_ceased_LAC_CAO="","",Year2_East_Sussex Year2_ROSGO_ceased_LAC_CAO)</f>
        <v>7</v>
      </c>
      <c r="AG244" s="248" t="str">
        <f>IF(Year3_East_Sussex Year3_ROSGO_ceased_LAC_CAO="","",Year3_East_Sussex Year3_ROSGO_ceased_LAC_CAO)</f>
        <v>c</v>
      </c>
      <c r="AH244" s="248">
        <f>IF(Year4_East_Sussex Year4_ROSGO_ceased_LAC_CAO="","",Year4_East_Sussex Year4_ROSGO_ceased_LAC_CAO)</f>
        <v>8</v>
      </c>
      <c r="AI244" s="248">
        <f>IF(Year5_East_Sussex Year5_ROSGO_ceased_LAC_CAO="","",Year5_East_Sussex Year5_ROSGO_ceased_LAC_CAO)</f>
        <v>12</v>
      </c>
      <c r="AJ244" s="119"/>
      <c r="AK244" s="52"/>
      <c r="AL244" s="52"/>
      <c r="AM244" s="52"/>
      <c r="AN244" s="52"/>
      <c r="AO244" s="52"/>
      <c r="AP244" s="52"/>
      <c r="AQ244" s="52"/>
      <c r="AR244" s="52"/>
      <c r="AS244" s="52"/>
      <c r="AT244" s="52"/>
      <c r="AU244" s="52"/>
      <c r="AV244" s="52"/>
      <c r="AW244" s="52"/>
      <c r="AX244" s="52"/>
    </row>
    <row r="245" spans="1:50" s="61" customFormat="1" ht="13.5" customHeight="1">
      <c r="A245" s="1103">
        <f>VLOOKUP(B245,ReportData!$AQ$4:$AR$25,2,FALSE)</f>
        <v>0</v>
      </c>
      <c r="B245" s="885" t="str">
        <f>Permanence!B179</f>
        <v>Buckinghamshire</v>
      </c>
      <c r="C245" s="896"/>
      <c r="D245" s="922">
        <f t="shared" si="97"/>
        <v>2.9787234042553193E-2</v>
      </c>
      <c r="E245" s="922" t="e">
        <f t="shared" si="98"/>
        <v>#N/A</v>
      </c>
      <c r="F245" s="922" t="e">
        <f t="shared" si="99"/>
        <v>#N/A</v>
      </c>
      <c r="G245" s="922">
        <f t="shared" si="100"/>
        <v>0</v>
      </c>
      <c r="H245" s="923" t="e">
        <f t="shared" si="101"/>
        <v>#N/A</v>
      </c>
      <c r="I245" s="274"/>
      <c r="J245" s="68"/>
      <c r="K245" s="68"/>
      <c r="L245" s="68"/>
      <c r="M245" s="127"/>
      <c r="N245" s="127"/>
      <c r="O245" s="127"/>
      <c r="P245" s="127"/>
      <c r="Q245" s="127"/>
      <c r="R245" s="127"/>
      <c r="S245" s="127"/>
      <c r="T245" s="59"/>
      <c r="U245" s="89"/>
      <c r="V245" s="102"/>
      <c r="W245" s="114"/>
      <c r="X245" s="248" t="str">
        <f t="shared" si="94"/>
        <v>Hampshire</v>
      </c>
      <c r="Y245" s="248">
        <f>IF(Year1_Hampshire Year1_ROSGO_ceased_LAC_CAO="","",Year1_Hampshire Year1_ROSGO_ceased_LAC_CAO)</f>
        <v>27</v>
      </c>
      <c r="Z245" s="248">
        <f>IF(Year2_Hampshire Year2_ROSGO_ceased_LAC_CAO="","",Year2_Hampshire Year2_ROSGO_ceased_LAC_CAO)</f>
        <v>17</v>
      </c>
      <c r="AA245" s="248">
        <f>IF(Year3_Hampshire Year3_ROSGO_ceased_LAC_CAO="","",Year3_Hampshire Year3_ROSGO_ceased_LAC_CAO)</f>
        <v>23</v>
      </c>
      <c r="AB245" s="248">
        <f>IF(Year4_Hampshire Year4_ROSGO_ceased_LAC_CAO="","",Year4_Hampshire Year4_ROSGO_ceased_LAC_CAO)</f>
        <v>10</v>
      </c>
      <c r="AC245" s="248">
        <f>IF(Year5_Hampshire Year5_ROSGO_ceased_LAC_CAO="","",Year5_Hampshire Year5_ROSGO_ceased_LAC_CAO)</f>
        <v>24</v>
      </c>
      <c r="AD245" s="248">
        <f t="shared" si="95"/>
        <v>3.7441497659906398E-2</v>
      </c>
      <c r="AE245" s="248">
        <f>IF(Year1_Hampshire Year1_ROSGO_ceased_LAC_CAO="","",Year1_Hampshire Year1_ROSGO_ceased_LAC_CAO)</f>
        <v>27</v>
      </c>
      <c r="AF245" s="248">
        <f>IF(Year2_Hampshire Year2_ROSGO_ceased_LAC_CAO="","",Year2_Hampshire Year2_ROSGO_ceased_LAC_CAO)</f>
        <v>17</v>
      </c>
      <c r="AG245" s="248">
        <f>IF(Year3_Hampshire Year3_ROSGO_ceased_LAC_CAO="","",Year3_Hampshire Year3_ROSGO_ceased_LAC_CAO)</f>
        <v>23</v>
      </c>
      <c r="AH245" s="248">
        <f>IF(Year4_Hampshire Year4_ROSGO_ceased_LAC_CAO="","",Year4_Hampshire Year4_ROSGO_ceased_LAC_CAO)</f>
        <v>10</v>
      </c>
      <c r="AI245" s="248">
        <f>IF(Year5_Hampshire Year5_ROSGO_ceased_LAC_CAO="","",Year5_Hampshire Year5_ROSGO_ceased_LAC_CAO)</f>
        <v>24</v>
      </c>
      <c r="AJ245" s="119"/>
      <c r="AK245" s="52"/>
      <c r="AL245" s="52"/>
      <c r="AM245" s="52"/>
      <c r="AN245" s="52"/>
      <c r="AO245" s="52"/>
      <c r="AP245" s="52"/>
      <c r="AQ245" s="52"/>
      <c r="AR245" s="52"/>
      <c r="AS245" s="52"/>
      <c r="AT245" s="52"/>
      <c r="AU245" s="52"/>
      <c r="AV245" s="52"/>
      <c r="AW245" s="52"/>
      <c r="AX245" s="52"/>
    </row>
    <row r="246" spans="1:50" s="61" customFormat="1" ht="13.5" customHeight="1">
      <c r="A246" s="1103">
        <f>VLOOKUP(B246,ReportData!$AQ$4:$AR$25,2,FALSE)</f>
        <v>0</v>
      </c>
      <c r="B246" s="885" t="str">
        <f>Permanence!B180</f>
        <v>East Sussex</v>
      </c>
      <c r="C246" s="896"/>
      <c r="D246" s="922" t="e">
        <f t="shared" si="97"/>
        <v>#N/A</v>
      </c>
      <c r="E246" s="922">
        <f t="shared" si="98"/>
        <v>3.9772727272727272E-2</v>
      </c>
      <c r="F246" s="922" t="e">
        <f t="shared" si="99"/>
        <v>#N/A</v>
      </c>
      <c r="G246" s="922">
        <f t="shared" si="100"/>
        <v>3.7558685446009391E-2</v>
      </c>
      <c r="H246" s="923">
        <f t="shared" si="101"/>
        <v>5.106382978723404E-2</v>
      </c>
      <c r="I246" s="274"/>
      <c r="J246" s="68"/>
      <c r="K246" s="68"/>
      <c r="L246" s="68"/>
      <c r="M246" s="127"/>
      <c r="N246" s="127"/>
      <c r="O246" s="127"/>
      <c r="P246" s="127"/>
      <c r="Q246" s="127"/>
      <c r="R246" s="127"/>
      <c r="S246" s="127"/>
      <c r="T246" s="59"/>
      <c r="U246" s="89"/>
      <c r="V246" s="102"/>
      <c r="W246" s="114"/>
      <c r="X246" s="248" t="str">
        <f t="shared" si="94"/>
        <v>Isle of Wight</v>
      </c>
      <c r="Y246" s="248" t="str">
        <f>IF(Year1_Isle_of_Wight Year1_ROSGO_ceased_LAC_CAO="","",Year1_Isle_of_Wight Year1_ROSGO_ceased_LAC_CAO)</f>
        <v>x</v>
      </c>
      <c r="Z246" s="248">
        <f>IF(Year2_Isle_of_Wight Year2_ROSGO_ceased_LAC_CAO="","",Year2_Isle_of_Wight Year2_ROSGO_ceased_LAC_CAO)</f>
        <v>6</v>
      </c>
      <c r="AA246" s="248">
        <f>IF(Year3_Isle_of_Wight Year3_ROSGO_ceased_LAC_CAO="","",Year3_Isle_of_Wight Year3_ROSGO_ceased_LAC_CAO)</f>
        <v>9</v>
      </c>
      <c r="AB246" s="248" t="str">
        <f>IF(Year4_Isle_of_Wight Year4_ROSGO_ceased_LAC_CAO="","",Year4_Isle_of_Wight Year4_ROSGO_ceased_LAC_CAO)</f>
        <v>c</v>
      </c>
      <c r="AC246" s="248" t="str">
        <f>IF(Year5_Isle_of_Wight Year5_ROSGO_ceased_LAC_CAO="","",Year5_Isle_of_Wight Year5_ROSGO_ceased_LAC_CAO)</f>
        <v>c</v>
      </c>
      <c r="AD246" s="248" t="e">
        <f t="shared" si="95"/>
        <v>#N/A</v>
      </c>
      <c r="AE246" s="248" t="str">
        <f>IF(Year1_Isle_of_Wight Year1_ROSGO_ceased_LAC_CAO="","",Year1_Isle_of_Wight Year1_ROSGO_ceased_LAC_CAO)</f>
        <v>x</v>
      </c>
      <c r="AF246" s="248">
        <f>IF(Year2_Isle_of_Wight Year2_ROSGO_ceased_LAC_CAO="","",Year2_Isle_of_Wight Year2_ROSGO_ceased_LAC_CAO)</f>
        <v>6</v>
      </c>
      <c r="AG246" s="248">
        <f>IF(Year3_Isle_of_Wight Year3_ROSGO_ceased_LAC_CAO="","",Year3_Isle_of_Wight Year3_ROSGO_ceased_LAC_CAO)</f>
        <v>9</v>
      </c>
      <c r="AH246" s="248" t="str">
        <f>IF(Year4_Isle_of_Wight Year4_ROSGO_ceased_LAC_CAO="","",Year4_Isle_of_Wight Year4_ROSGO_ceased_LAC_CAO)</f>
        <v>c</v>
      </c>
      <c r="AI246" s="248" t="str">
        <f>IF(Year5_Isle_of_Wight Year5_ROSGO_ceased_LAC_CAO="","",Year5_Isle_of_Wight Year5_ROSGO_ceased_LAC_CAO)</f>
        <v>c</v>
      </c>
      <c r="AJ246" s="119"/>
      <c r="AK246" s="52"/>
      <c r="AL246" s="52"/>
      <c r="AM246" s="52"/>
      <c r="AN246" s="52"/>
      <c r="AO246" s="52"/>
      <c r="AP246" s="52"/>
      <c r="AQ246" s="52"/>
      <c r="AR246" s="52"/>
      <c r="AS246" s="52"/>
      <c r="AT246" s="52"/>
      <c r="AU246" s="52"/>
      <c r="AV246" s="52"/>
      <c r="AW246" s="52"/>
      <c r="AX246" s="52"/>
    </row>
    <row r="247" spans="1:50" s="61" customFormat="1" ht="13.5" customHeight="1">
      <c r="A247" s="1103">
        <f>VLOOKUP(B247,ReportData!$AQ$4:$AR$25,2,FALSE)</f>
        <v>0</v>
      </c>
      <c r="B247" s="885" t="str">
        <f>Permanence!B181</f>
        <v>Hampshire</v>
      </c>
      <c r="C247" s="896"/>
      <c r="D247" s="922">
        <f t="shared" si="97"/>
        <v>4.3269230769230768E-2</v>
      </c>
      <c r="E247" s="922">
        <f t="shared" si="98"/>
        <v>2.9668411867364748E-2</v>
      </c>
      <c r="F247" s="922">
        <f t="shared" si="99"/>
        <v>4.1366906474820143E-2</v>
      </c>
      <c r="G247" s="922">
        <f t="shared" si="100"/>
        <v>1.6339869281045753E-2</v>
      </c>
      <c r="H247" s="923">
        <f t="shared" si="101"/>
        <v>3.7441497659906398E-2</v>
      </c>
      <c r="I247" s="274"/>
      <c r="J247" s="68"/>
      <c r="K247" s="68"/>
      <c r="L247" s="68"/>
      <c r="M247" s="127"/>
      <c r="N247" s="127"/>
      <c r="O247" s="127"/>
      <c r="P247" s="127"/>
      <c r="Q247" s="127"/>
      <c r="R247" s="127"/>
      <c r="S247" s="127"/>
      <c r="T247" s="59"/>
      <c r="U247" s="89"/>
      <c r="V247" s="102"/>
      <c r="W247" s="114"/>
      <c r="X247" s="248" t="str">
        <f t="shared" si="94"/>
        <v>Kent</v>
      </c>
      <c r="Y247" s="248">
        <f>IF(Year1_Kent Year1_ROSGO_ceased_LAC_CAO="","",Year1_Kent Year1_ROSGO_ceased_LAC_CAO)</f>
        <v>18</v>
      </c>
      <c r="Z247" s="248" t="str">
        <f>IF(Year2_Kent Year2_ROSGO_ceased_LAC_CAO="","",Year2_Kent Year2_ROSGO_ceased_LAC_CAO)</f>
        <v>x</v>
      </c>
      <c r="AA247" s="248">
        <f>IF(Year3_Kent Year3_ROSGO_ceased_LAC_CAO="","",Year3_Kent Year3_ROSGO_ceased_LAC_CAO)</f>
        <v>7</v>
      </c>
      <c r="AB247" s="248">
        <f>IF(Year4_Kent Year4_ROSGO_ceased_LAC_CAO="","",Year4_Kent Year4_ROSGO_ceased_LAC_CAO)</f>
        <v>14</v>
      </c>
      <c r="AC247" s="248">
        <f>IF(Year5_Kent Year5_ROSGO_ceased_LAC_CAO="","",Year5_Kent Year5_ROSGO_ceased_LAC_CAO)</f>
        <v>30</v>
      </c>
      <c r="AD247" s="248">
        <f t="shared" si="95"/>
        <v>1.0968921389396709E-2</v>
      </c>
      <c r="AE247" s="248">
        <f>IF(Year1_Kent Year1_ROSGO_ceased_LAC_CAO="","",Year1_Kent Year1_ROSGO_ceased_LAC_CAO)</f>
        <v>18</v>
      </c>
      <c r="AF247" s="248" t="str">
        <f>IF(Year2_Kent Year2_ROSGO_ceased_LAC_CAO="","",Year2_Kent Year2_ROSGO_ceased_LAC_CAO)</f>
        <v>x</v>
      </c>
      <c r="AG247" s="248">
        <f>IF(Year3_Kent Year3_ROSGO_ceased_LAC_CAO="","",Year3_Kent Year3_ROSGO_ceased_LAC_CAO)</f>
        <v>7</v>
      </c>
      <c r="AH247" s="248">
        <f>IF(Year4_Kent Year4_ROSGO_ceased_LAC_CAO="","",Year4_Kent Year4_ROSGO_ceased_LAC_CAO)</f>
        <v>14</v>
      </c>
      <c r="AI247" s="248">
        <f>IF(Year5_Kent Year5_ROSGO_ceased_LAC_CAO="","",Year5_Kent Year5_ROSGO_ceased_LAC_CAO)</f>
        <v>30</v>
      </c>
      <c r="AJ247" s="119"/>
      <c r="AK247" s="52"/>
      <c r="AL247" s="52"/>
      <c r="AM247" s="52"/>
      <c r="AN247" s="52"/>
      <c r="AO247" s="52"/>
      <c r="AP247" s="52"/>
      <c r="AQ247" s="52"/>
      <c r="AR247" s="52"/>
      <c r="AS247" s="52"/>
      <c r="AT247" s="52"/>
      <c r="AU247" s="52"/>
      <c r="AV247" s="52"/>
      <c r="AW247" s="52"/>
      <c r="AX247" s="52"/>
    </row>
    <row r="248" spans="1:50" s="61" customFormat="1" ht="13.5" customHeight="1">
      <c r="A248" s="1103">
        <f>VLOOKUP(B248,ReportData!$AQ$4:$AR$25,2,FALSE)</f>
        <v>0</v>
      </c>
      <c r="B248" s="885" t="str">
        <f>Permanence!B182</f>
        <v>Isle of Wight</v>
      </c>
      <c r="C248" s="896"/>
      <c r="D248" s="922" t="e">
        <f t="shared" si="97"/>
        <v>#N/A</v>
      </c>
      <c r="E248" s="922">
        <f t="shared" si="98"/>
        <v>9.2307692307692313E-2</v>
      </c>
      <c r="F248" s="922">
        <f t="shared" si="99"/>
        <v>0.10112359550561797</v>
      </c>
      <c r="G248" s="922" t="e">
        <f t="shared" si="100"/>
        <v>#N/A</v>
      </c>
      <c r="H248" s="923" t="e">
        <f t="shared" si="101"/>
        <v>#N/A</v>
      </c>
      <c r="I248" s="274"/>
      <c r="J248" s="68"/>
      <c r="K248" s="68"/>
      <c r="L248" s="68"/>
      <c r="M248" s="127"/>
      <c r="N248" s="127"/>
      <c r="O248" s="127"/>
      <c r="P248" s="127"/>
      <c r="Q248" s="127"/>
      <c r="R248" s="127"/>
      <c r="S248" s="127"/>
      <c r="T248" s="59"/>
      <c r="U248" s="89"/>
      <c r="V248" s="102"/>
      <c r="W248" s="114"/>
      <c r="X248" s="248" t="str">
        <f t="shared" si="94"/>
        <v>Medway</v>
      </c>
      <c r="Y248" s="248">
        <f>IF(Year1_Medway Year1_ROSGO_ceased_LAC_CAO="","",Year1_Medway Year1_ROSGO_ceased_LAC_CAO)</f>
        <v>14</v>
      </c>
      <c r="Z248" s="248">
        <f>IF(Year2_Medway Year2_ROSGO_ceased_LAC_CAO="","",Year2_Medway Year2_ROSGO_ceased_LAC_CAO)</f>
        <v>0</v>
      </c>
      <c r="AA248" s="248" t="str">
        <f>IF(Year3_Medway Year3_ROSGO_ceased_LAC_CAO="","",Year3_Medway Year3_ROSGO_ceased_LAC_CAO)</f>
        <v>c</v>
      </c>
      <c r="AB248" s="248">
        <f>IF(Year4_Medway Year4_ROSGO_ceased_LAC_CAO="","",Year4_Medway Year4_ROSGO_ceased_LAC_CAO)</f>
        <v>8</v>
      </c>
      <c r="AC248" s="248">
        <f>IF(Year5_Medway Year5_ROSGO_ceased_LAC_CAO="","",Year5_Medway Year5_ROSGO_ceased_LAC_CAO)</f>
        <v>6</v>
      </c>
      <c r="AD248" s="248">
        <f t="shared" si="95"/>
        <v>3.2432432432432434E-2</v>
      </c>
      <c r="AE248" s="248">
        <f>IF(Year1_Medway Year1_ROSGO_ceased_LAC_CAO="","",Year1_Medway Year1_ROSGO_ceased_LAC_CAO)</f>
        <v>14</v>
      </c>
      <c r="AF248" s="248">
        <f>IF(Year2_Medway Year2_ROSGO_ceased_LAC_CAO="","",Year2_Medway Year2_ROSGO_ceased_LAC_CAO)</f>
        <v>0</v>
      </c>
      <c r="AG248" s="248" t="str">
        <f>IF(Year3_Medway Year3_ROSGO_ceased_LAC_CAO="","",Year3_Medway Year3_ROSGO_ceased_LAC_CAO)</f>
        <v>c</v>
      </c>
      <c r="AH248" s="248">
        <f>IF(Year4_Medway Year4_ROSGO_ceased_LAC_CAO="","",Year4_Medway Year4_ROSGO_ceased_LAC_CAO)</f>
        <v>8</v>
      </c>
      <c r="AI248" s="248">
        <f>IF(Year5_Medway Year5_ROSGO_ceased_LAC_CAO="","",Year5_Medway Year5_ROSGO_ceased_LAC_CAO)</f>
        <v>6</v>
      </c>
      <c r="AJ248" s="119"/>
      <c r="AK248" s="52"/>
      <c r="AL248" s="52"/>
      <c r="AM248" s="52"/>
      <c r="AN248" s="52"/>
      <c r="AO248" s="52"/>
      <c r="AP248" s="52"/>
      <c r="AQ248" s="52"/>
      <c r="AR248" s="52"/>
      <c r="AS248" s="52"/>
      <c r="AT248" s="52"/>
      <c r="AU248" s="52"/>
      <c r="AV248" s="52"/>
      <c r="AW248" s="52"/>
      <c r="AX248" s="52"/>
    </row>
    <row r="249" spans="1:50" s="61" customFormat="1" ht="13.5" customHeight="1">
      <c r="A249" s="1103">
        <f>VLOOKUP(B249,ReportData!$AQ$4:$AR$25,2,FALSE)</f>
        <v>0</v>
      </c>
      <c r="B249" s="885" t="str">
        <f>Permanence!B183</f>
        <v>Kent</v>
      </c>
      <c r="C249" s="896"/>
      <c r="D249" s="922">
        <f t="shared" si="97"/>
        <v>2.4390243902439025E-2</v>
      </c>
      <c r="E249" s="922" t="e">
        <f t="shared" si="98"/>
        <v>#N/A</v>
      </c>
      <c r="F249" s="922">
        <f t="shared" si="99"/>
        <v>5.0215208034433282E-3</v>
      </c>
      <c r="G249" s="922">
        <f t="shared" si="100"/>
        <v>8.5836909871244635E-3</v>
      </c>
      <c r="H249" s="923">
        <f t="shared" si="101"/>
        <v>1.0968921389396709E-2</v>
      </c>
      <c r="I249" s="274"/>
      <c r="J249" s="68"/>
      <c r="K249" s="68"/>
      <c r="L249" s="68"/>
      <c r="M249" s="127"/>
      <c r="N249" s="127"/>
      <c r="O249" s="127"/>
      <c r="P249" s="127"/>
      <c r="Q249" s="127"/>
      <c r="R249" s="127"/>
      <c r="S249" s="127"/>
      <c r="T249" s="59"/>
      <c r="U249" s="89"/>
      <c r="V249" s="102"/>
      <c r="W249" s="114"/>
      <c r="X249" s="248" t="str">
        <f t="shared" si="94"/>
        <v>Milton Keynes</v>
      </c>
      <c r="Y249" s="248">
        <f>IF(Year1_Milton_Keynes Year1_ROSGO_ceased_LAC_CAO="","",Year1_Milton_Keynes Year1_ROSGO_ceased_LAC_CAO)</f>
        <v>9</v>
      </c>
      <c r="Z249" s="248" t="str">
        <f>IF(Year2_Milton_Keynes Year2_ROSGO_ceased_LAC_CAO="","",Year2_Milton_Keynes Year2_ROSGO_ceased_LAC_CAO)</f>
        <v>x</v>
      </c>
      <c r="AA249" s="248" t="str">
        <f>IF(Year3_Milton_Keynes Year3_ROSGO_ceased_LAC_CAO="","",Year3_Milton_Keynes Year3_ROSGO_ceased_LAC_CAO)</f>
        <v>c</v>
      </c>
      <c r="AB249" s="248" t="str">
        <f>IF(Year4_Milton_Keynes Year4_ROSGO_ceased_LAC_CAO="","",Year4_Milton_Keynes Year4_ROSGO_ceased_LAC_CAO)</f>
        <v>c</v>
      </c>
      <c r="AC249" s="248" t="str">
        <f>IF(Year5_Milton_Keynes Year5_ROSGO_ceased_LAC_CAO="","",Year5_Milton_Keynes Year5_ROSGO_ceased_LAC_CAO)</f>
        <v>c</v>
      </c>
      <c r="AD249" s="248" t="e">
        <f t="shared" si="95"/>
        <v>#N/A</v>
      </c>
      <c r="AE249" s="248">
        <f>IF(Year1_Milton_Keynes Year1_ROSGO_ceased_LAC_CAO="","",Year1_Milton_Keynes Year1_ROSGO_ceased_LAC_CAO)</f>
        <v>9</v>
      </c>
      <c r="AF249" s="248" t="str">
        <f>IF(Year2_Milton_Keynes Year2_ROSGO_ceased_LAC_CAO="","",Year2_Milton_Keynes Year2_ROSGO_ceased_LAC_CAO)</f>
        <v>x</v>
      </c>
      <c r="AG249" s="248" t="str">
        <f>IF(Year3_Milton_Keynes Year3_ROSGO_ceased_LAC_CAO="","",Year3_Milton_Keynes Year3_ROSGO_ceased_LAC_CAO)</f>
        <v>c</v>
      </c>
      <c r="AH249" s="248" t="str">
        <f>IF(Year4_Milton_Keynes Year4_ROSGO_ceased_LAC_CAO="","",Year4_Milton_Keynes Year4_ROSGO_ceased_LAC_CAO)</f>
        <v>c</v>
      </c>
      <c r="AI249" s="248" t="str">
        <f>IF(Year5_Milton_Keynes Year5_ROSGO_ceased_LAC_CAO="","",Year5_Milton_Keynes Year5_ROSGO_ceased_LAC_CAO)</f>
        <v>c</v>
      </c>
      <c r="AJ249" s="119"/>
      <c r="AK249" s="52"/>
      <c r="AL249" s="52"/>
      <c r="AM249" s="52"/>
      <c r="AN249" s="52"/>
      <c r="AO249" s="52"/>
      <c r="AP249" s="52"/>
      <c r="AQ249" s="52"/>
      <c r="AR249" s="52"/>
      <c r="AS249" s="52"/>
      <c r="AT249" s="52"/>
      <c r="AU249" s="52"/>
      <c r="AV249" s="52"/>
      <c r="AW249" s="52"/>
      <c r="AX249" s="52"/>
    </row>
    <row r="250" spans="1:50" s="61" customFormat="1" ht="13.5" customHeight="1">
      <c r="A250" s="1103">
        <f>VLOOKUP(B250,ReportData!$AQ$4:$AR$25,2,FALSE)</f>
        <v>0</v>
      </c>
      <c r="B250" s="885" t="str">
        <f>Permanence!B184</f>
        <v>Medway</v>
      </c>
      <c r="C250" s="896"/>
      <c r="D250" s="922">
        <f t="shared" si="97"/>
        <v>7.7777777777777779E-2</v>
      </c>
      <c r="E250" s="922">
        <f t="shared" si="98"/>
        <v>0</v>
      </c>
      <c r="F250" s="922" t="e">
        <f t="shared" si="99"/>
        <v>#N/A</v>
      </c>
      <c r="G250" s="922">
        <f t="shared" si="100"/>
        <v>5.4421768707482991E-2</v>
      </c>
      <c r="H250" s="923">
        <f t="shared" si="101"/>
        <v>3.2432432432432434E-2</v>
      </c>
      <c r="I250" s="274"/>
      <c r="J250" s="68"/>
      <c r="K250" s="68"/>
      <c r="L250" s="68"/>
      <c r="M250" s="127"/>
      <c r="N250" s="127"/>
      <c r="O250" s="127"/>
      <c r="P250" s="127"/>
      <c r="Q250" s="127"/>
      <c r="R250" s="127"/>
      <c r="S250" s="127"/>
      <c r="T250" s="59"/>
      <c r="U250" s="89"/>
      <c r="V250" s="102"/>
      <c r="W250" s="114"/>
      <c r="X250" s="248" t="str">
        <f t="shared" si="94"/>
        <v>Oxfordshire</v>
      </c>
      <c r="Y250" s="248">
        <f>IF(Year1_Oxfordshire Year1_ROSGO_ceased_LAC_CAO="","",Year1_Oxfordshire Year1_ROSGO_ceased_LAC_CAO)</f>
        <v>17</v>
      </c>
      <c r="Z250" s="248">
        <f>IF(Year2_Oxfordshire Year2_ROSGO_ceased_LAC_CAO="","",Year2_Oxfordshire Year2_ROSGO_ceased_LAC_CAO)</f>
        <v>28</v>
      </c>
      <c r="AA250" s="248">
        <f>IF(Year3_Oxfordshire Year3_ROSGO_ceased_LAC_CAO="","",Year3_Oxfordshire Year3_ROSGO_ceased_LAC_CAO)</f>
        <v>16</v>
      </c>
      <c r="AB250" s="248" t="str">
        <f>IF(Year4_Oxfordshire Year4_ROSGO_ceased_LAC_CAO="","",Year4_Oxfordshire Year4_ROSGO_ceased_LAC_CAO)</f>
        <v>c</v>
      </c>
      <c r="AC250" s="248">
        <f>IF(Year5_Oxfordshire Year5_ROSGO_ceased_LAC_CAO="","",Year5_Oxfordshire Year5_ROSGO_ceased_LAC_CAO)</f>
        <v>21</v>
      </c>
      <c r="AD250" s="248">
        <f t="shared" si="95"/>
        <v>6.2686567164179099E-2</v>
      </c>
      <c r="AE250" s="248">
        <f>IF(Year1_Oxfordshire Year1_ROSGO_ceased_LAC_CAO="","",Year1_Oxfordshire Year1_ROSGO_ceased_LAC_CAO)</f>
        <v>17</v>
      </c>
      <c r="AF250" s="248">
        <f>IF(Year2_Oxfordshire Year2_ROSGO_ceased_LAC_CAO="","",Year2_Oxfordshire Year2_ROSGO_ceased_LAC_CAO)</f>
        <v>28</v>
      </c>
      <c r="AG250" s="248">
        <f>IF(Year3_Oxfordshire Year3_ROSGO_ceased_LAC_CAO="","",Year3_Oxfordshire Year3_ROSGO_ceased_LAC_CAO)</f>
        <v>16</v>
      </c>
      <c r="AH250" s="248" t="str">
        <f>IF(Year4_Oxfordshire Year4_ROSGO_ceased_LAC_CAO="","",Year4_Oxfordshire Year4_ROSGO_ceased_LAC_CAO)</f>
        <v>c</v>
      </c>
      <c r="AI250" s="248">
        <f>IF(Year5_Oxfordshire Year5_ROSGO_ceased_LAC_CAO="","",Year5_Oxfordshire Year5_ROSGO_ceased_LAC_CAO)</f>
        <v>21</v>
      </c>
      <c r="AJ250" s="119"/>
      <c r="AK250" s="52"/>
      <c r="AL250" s="52"/>
      <c r="AM250" s="52"/>
      <c r="AN250" s="52"/>
      <c r="AO250" s="52"/>
      <c r="AP250" s="52"/>
      <c r="AQ250" s="52"/>
      <c r="AR250" s="52"/>
      <c r="AS250" s="52"/>
      <c r="AT250" s="52"/>
      <c r="AU250" s="52"/>
      <c r="AV250" s="52"/>
      <c r="AW250" s="52"/>
      <c r="AX250" s="52"/>
    </row>
    <row r="251" spans="1:50" s="61" customFormat="1" ht="13.5" customHeight="1">
      <c r="A251" s="1103">
        <f>VLOOKUP(B251,ReportData!$AQ$4:$AR$25,2,FALSE)</f>
        <v>0</v>
      </c>
      <c r="B251" s="885" t="str">
        <f>Permanence!B185</f>
        <v>Milton Keynes</v>
      </c>
      <c r="C251" s="896"/>
      <c r="D251" s="922">
        <f t="shared" si="97"/>
        <v>6.0810810810810814E-2</v>
      </c>
      <c r="E251" s="922" t="e">
        <f t="shared" si="98"/>
        <v>#N/A</v>
      </c>
      <c r="F251" s="922" t="e">
        <f t="shared" si="99"/>
        <v>#N/A</v>
      </c>
      <c r="G251" s="922" t="e">
        <f t="shared" si="100"/>
        <v>#N/A</v>
      </c>
      <c r="H251" s="923" t="e">
        <f t="shared" si="101"/>
        <v>#N/A</v>
      </c>
      <c r="I251" s="274"/>
      <c r="J251" s="68"/>
      <c r="K251" s="68"/>
      <c r="L251" s="68"/>
      <c r="M251" s="127"/>
      <c r="N251" s="127"/>
      <c r="O251" s="127"/>
      <c r="P251" s="127"/>
      <c r="Q251" s="127"/>
      <c r="R251" s="127"/>
      <c r="S251" s="127"/>
      <c r="T251" s="59"/>
      <c r="U251" s="89"/>
      <c r="V251" s="102"/>
      <c r="W251" s="114"/>
      <c r="X251" s="248" t="str">
        <f t="shared" si="94"/>
        <v>Portsmouth</v>
      </c>
      <c r="Y251" s="248" t="str">
        <f>IF(Year1_Portsmouth Year1_ROSGO_ceased_LAC_CAO="","",Year1_Portsmouth Year1_ROSGO_ceased_LAC_CAO)</f>
        <v>x</v>
      </c>
      <c r="Z251" s="248">
        <f>IF(Year2_Portsmouth Year2_ROSGO_ceased_LAC_CAO="","",Year2_Portsmouth Year2_ROSGO_ceased_LAC_CAO)</f>
        <v>12</v>
      </c>
      <c r="AA251" s="248" t="str">
        <f>IF(Year3_Portsmouth Year3_ROSGO_ceased_LAC_CAO="","",Year3_Portsmouth Year3_ROSGO_ceased_LAC_CAO)</f>
        <v>c</v>
      </c>
      <c r="AB251" s="248">
        <f>IF(Year4_Portsmouth Year4_ROSGO_ceased_LAC_CAO="","",Year4_Portsmouth Year4_ROSGO_ceased_LAC_CAO)</f>
        <v>13</v>
      </c>
      <c r="AC251" s="248">
        <f>IF(Year5_Portsmouth Year5_ROSGO_ceased_LAC_CAO="","",Year5_Portsmouth Year5_ROSGO_ceased_LAC_CAO)</f>
        <v>10</v>
      </c>
      <c r="AD251" s="248">
        <f t="shared" si="95"/>
        <v>6.4102564102564097E-2</v>
      </c>
      <c r="AE251" s="248" t="str">
        <f>IF(Year1_Portsmouth Year1_ROSGO_ceased_LAC_CAO="","",Year1_Portsmouth Year1_ROSGO_ceased_LAC_CAO)</f>
        <v>x</v>
      </c>
      <c r="AF251" s="248">
        <f>IF(Year2_Portsmouth Year2_ROSGO_ceased_LAC_CAO="","",Year2_Portsmouth Year2_ROSGO_ceased_LAC_CAO)</f>
        <v>12</v>
      </c>
      <c r="AG251" s="248" t="str">
        <f>IF(Year3_Portsmouth Year3_ROSGO_ceased_LAC_CAO="","",Year3_Portsmouth Year3_ROSGO_ceased_LAC_CAO)</f>
        <v>c</v>
      </c>
      <c r="AH251" s="248">
        <f>IF(Year4_Portsmouth Year4_ROSGO_ceased_LAC_CAO="","",Year4_Portsmouth Year4_ROSGO_ceased_LAC_CAO)</f>
        <v>13</v>
      </c>
      <c r="AI251" s="248">
        <f>IF(Year5_Portsmouth Year5_ROSGO_ceased_LAC_CAO="","",Year5_Portsmouth Year5_ROSGO_ceased_LAC_CAO)</f>
        <v>10</v>
      </c>
      <c r="AJ251" s="119"/>
      <c r="AK251" s="52"/>
      <c r="AL251" s="52"/>
      <c r="AM251" s="52"/>
      <c r="AN251" s="52"/>
      <c r="AO251" s="52"/>
      <c r="AP251" s="52"/>
      <c r="AQ251" s="52"/>
      <c r="AR251" s="52"/>
      <c r="AS251" s="52"/>
      <c r="AT251" s="52"/>
      <c r="AU251" s="52"/>
      <c r="AV251" s="52"/>
      <c r="AW251" s="52"/>
      <c r="AX251" s="52"/>
    </row>
    <row r="252" spans="1:50" s="61" customFormat="1" ht="13.5" customHeight="1">
      <c r="A252" s="1103">
        <f>VLOOKUP(B252,ReportData!$AQ$4:$AR$25,2,FALSE)</f>
        <v>0</v>
      </c>
      <c r="B252" s="885" t="str">
        <f>Permanence!B186</f>
        <v>Oxfordshire</v>
      </c>
      <c r="C252" s="896"/>
      <c r="D252" s="922">
        <f t="shared" si="97"/>
        <v>5.2795031055900624E-2</v>
      </c>
      <c r="E252" s="922">
        <f t="shared" si="98"/>
        <v>0.10071942446043165</v>
      </c>
      <c r="F252" s="922">
        <f t="shared" si="99"/>
        <v>5.3511705685618728E-2</v>
      </c>
      <c r="G252" s="922" t="e">
        <f t="shared" si="100"/>
        <v>#N/A</v>
      </c>
      <c r="H252" s="923">
        <f t="shared" si="101"/>
        <v>6.2686567164179099E-2</v>
      </c>
      <c r="I252" s="274"/>
      <c r="J252" s="68"/>
      <c r="K252" s="68"/>
      <c r="L252" s="68"/>
      <c r="M252" s="127"/>
      <c r="N252" s="127"/>
      <c r="O252" s="127"/>
      <c r="P252" s="127"/>
      <c r="Q252" s="127"/>
      <c r="R252" s="127"/>
      <c r="S252" s="127"/>
      <c r="T252" s="59"/>
      <c r="U252" s="89"/>
      <c r="V252" s="102"/>
      <c r="W252" s="114"/>
      <c r="X252" s="248" t="str">
        <f t="shared" si="94"/>
        <v>Reading</v>
      </c>
      <c r="Y252" s="248">
        <f>IF(Year1_Reading Year1_ROSGO_ceased_LAC_CAO="","",Year1_Reading Year1_ROSGO_ceased_LAC_CAO)</f>
        <v>0</v>
      </c>
      <c r="Z252" s="248">
        <f>IF(Year2_Reading Year2_ROSGO_ceased_LAC_CAO="","",Year2_Reading Year2_ROSGO_ceased_LAC_CAO)</f>
        <v>0</v>
      </c>
      <c r="AA252" s="248">
        <f>IF(Year3_Reading Year3_ROSGO_ceased_LAC_CAO="","",Year3_Reading Year3_ROSGO_ceased_LAC_CAO)</f>
        <v>0</v>
      </c>
      <c r="AB252" s="248" t="str">
        <f>IF(Year4_Reading Year4_ROSGO_ceased_LAC_CAO="","",Year4_Reading Year4_ROSGO_ceased_LAC_CAO)</f>
        <v>c</v>
      </c>
      <c r="AC252" s="248">
        <f>IF(Year5_Reading Year5_ROSGO_ceased_LAC_CAO="","",Year5_Reading Year5_ROSGO_ceased_LAC_CAO)</f>
        <v>0</v>
      </c>
      <c r="AD252" s="248">
        <f t="shared" si="95"/>
        <v>0</v>
      </c>
      <c r="AE252" s="248">
        <f>IF(Year1_Reading Year1_ROSGO_ceased_LAC_CAO="","",Year1_Reading Year1_ROSGO_ceased_LAC_CAO)</f>
        <v>0</v>
      </c>
      <c r="AF252" s="248">
        <f>IF(Year2_Reading Year2_ROSGO_ceased_LAC_CAO="","",Year2_Reading Year2_ROSGO_ceased_LAC_CAO)</f>
        <v>0</v>
      </c>
      <c r="AG252" s="248">
        <f>IF(Year3_Reading Year3_ROSGO_ceased_LAC_CAO="","",Year3_Reading Year3_ROSGO_ceased_LAC_CAO)</f>
        <v>0</v>
      </c>
      <c r="AH252" s="248" t="str">
        <f>IF(Year4_Reading Year4_ROSGO_ceased_LAC_CAO="","",Year4_Reading Year4_ROSGO_ceased_LAC_CAO)</f>
        <v>c</v>
      </c>
      <c r="AI252" s="248">
        <f>IF(Year5_Reading Year5_ROSGO_ceased_LAC_CAO="","",Year5_Reading Year5_ROSGO_ceased_LAC_CAO)</f>
        <v>0</v>
      </c>
      <c r="AJ252" s="119"/>
      <c r="AK252" s="52"/>
      <c r="AL252" s="52"/>
      <c r="AM252" s="52"/>
      <c r="AN252" s="52"/>
      <c r="AO252" s="52"/>
      <c r="AP252" s="52"/>
      <c r="AQ252" s="52"/>
      <c r="AR252" s="52"/>
      <c r="AS252" s="52"/>
      <c r="AT252" s="52"/>
      <c r="AU252" s="52"/>
      <c r="AV252" s="52"/>
      <c r="AW252" s="52"/>
      <c r="AX252" s="52"/>
    </row>
    <row r="253" spans="1:50" s="61" customFormat="1" ht="13.5" customHeight="1">
      <c r="A253" s="1103">
        <f>VLOOKUP(B253,ReportData!$AQ$4:$AR$25,2,FALSE)</f>
        <v>0</v>
      </c>
      <c r="B253" s="885" t="str">
        <f>Permanence!B187</f>
        <v>Portsmouth</v>
      </c>
      <c r="C253" s="896"/>
      <c r="D253" s="922" t="e">
        <f t="shared" si="97"/>
        <v>#N/A</v>
      </c>
      <c r="E253" s="922">
        <f t="shared" si="98"/>
        <v>5.5555555555555552E-2</v>
      </c>
      <c r="F253" s="922" t="e">
        <f t="shared" si="99"/>
        <v>#N/A</v>
      </c>
      <c r="G253" s="922">
        <f t="shared" si="100"/>
        <v>8.2802547770700632E-2</v>
      </c>
      <c r="H253" s="923">
        <f t="shared" si="101"/>
        <v>6.4102564102564097E-2</v>
      </c>
      <c r="I253" s="274"/>
      <c r="J253" s="68"/>
      <c r="K253" s="68"/>
      <c r="L253" s="68"/>
      <c r="M253" s="127"/>
      <c r="N253" s="127"/>
      <c r="O253" s="127"/>
      <c r="P253" s="127"/>
      <c r="Q253" s="127"/>
      <c r="R253" s="127"/>
      <c r="S253" s="127"/>
      <c r="T253" s="59"/>
      <c r="U253" s="89"/>
      <c r="V253" s="102"/>
      <c r="W253" s="114"/>
      <c r="X253" s="248" t="str">
        <f t="shared" si="94"/>
        <v>Slough</v>
      </c>
      <c r="Y253" s="248" t="str">
        <f>IF(Year1_Slough Year1_ROSGO_ceased_LAC_CAO="","",Year1_Slough Year1_ROSGO_ceased_LAC_CAO)</f>
        <v>x</v>
      </c>
      <c r="Z253" s="248">
        <f>IF(Year2_Slough Year2_ROSGO_ceased_LAC_CAO="","",Year2_Slough Year2_ROSGO_ceased_LAC_CAO)</f>
        <v>0</v>
      </c>
      <c r="AA253" s="248">
        <f>IF(Year3_Slough Year3_ROSGO_ceased_LAC_CAO="","",Year3_Slough Year3_ROSGO_ceased_LAC_CAO)</f>
        <v>0</v>
      </c>
      <c r="AB253" s="248" t="str">
        <f>IF(Year4_Slough Year4_ROSGO_ceased_LAC_CAO="","",Year4_Slough Year4_ROSGO_ceased_LAC_CAO)</f>
        <v>c</v>
      </c>
      <c r="AC253" s="248">
        <f>IF(Year5_Slough Year5_ROSGO_ceased_LAC_CAO="","",Year5_Slough Year5_ROSGO_ceased_LAC_CAO)</f>
        <v>8</v>
      </c>
      <c r="AD253" s="248">
        <f t="shared" si="95"/>
        <v>6.4516129032258063E-2</v>
      </c>
      <c r="AE253" s="248" t="str">
        <f>IF(Year1_Slough Year1_ROSGO_ceased_LAC_CAO="","",Year1_Slough Year1_ROSGO_ceased_LAC_CAO)</f>
        <v>x</v>
      </c>
      <c r="AF253" s="248">
        <f>IF(Year2_Slough Year2_ROSGO_ceased_LAC_CAO="","",Year2_Slough Year2_ROSGO_ceased_LAC_CAO)</f>
        <v>0</v>
      </c>
      <c r="AG253" s="248">
        <f>IF(Year3_Slough Year3_ROSGO_ceased_LAC_CAO="","",Year3_Slough Year3_ROSGO_ceased_LAC_CAO)</f>
        <v>0</v>
      </c>
      <c r="AH253" s="248" t="str">
        <f>IF(Year4_Slough Year4_ROSGO_ceased_LAC_CAO="","",Year4_Slough Year4_ROSGO_ceased_LAC_CAO)</f>
        <v>c</v>
      </c>
      <c r="AI253" s="248">
        <f>IF(Year5_Slough Year5_ROSGO_ceased_LAC_CAO="","",Year5_Slough Year5_ROSGO_ceased_LAC_CAO)</f>
        <v>8</v>
      </c>
      <c r="AJ253" s="119"/>
      <c r="AK253" s="52"/>
      <c r="AL253" s="52"/>
      <c r="AM253" s="52"/>
      <c r="AN253" s="52"/>
      <c r="AO253" s="52"/>
      <c r="AP253" s="52"/>
      <c r="AQ253" s="52"/>
      <c r="AR253" s="52"/>
      <c r="AS253" s="52"/>
      <c r="AT253" s="52"/>
      <c r="AU253" s="52"/>
      <c r="AV253" s="52"/>
      <c r="AW253" s="52"/>
      <c r="AX253" s="52"/>
    </row>
    <row r="254" spans="1:50" s="61" customFormat="1" ht="13.5" customHeight="1">
      <c r="A254" s="1103">
        <f>VLOOKUP(B254,ReportData!$AQ$4:$AR$25,2,FALSE)</f>
        <v>0</v>
      </c>
      <c r="B254" s="885" t="str">
        <f>Permanence!B188</f>
        <v>Reading</v>
      </c>
      <c r="C254" s="896"/>
      <c r="D254" s="922">
        <f t="shared" si="97"/>
        <v>0</v>
      </c>
      <c r="E254" s="922">
        <f t="shared" si="98"/>
        <v>0</v>
      </c>
      <c r="F254" s="922">
        <f t="shared" si="99"/>
        <v>0</v>
      </c>
      <c r="G254" s="922" t="e">
        <f t="shared" si="100"/>
        <v>#N/A</v>
      </c>
      <c r="H254" s="923">
        <f t="shared" si="101"/>
        <v>0</v>
      </c>
      <c r="I254" s="274"/>
      <c r="J254" s="68"/>
      <c r="K254" s="68"/>
      <c r="L254" s="68"/>
      <c r="M254" s="127"/>
      <c r="N254" s="127"/>
      <c r="O254" s="127"/>
      <c r="P254" s="127"/>
      <c r="Q254" s="127"/>
      <c r="R254" s="127"/>
      <c r="S254" s="127"/>
      <c r="T254" s="59"/>
      <c r="U254" s="89"/>
      <c r="V254" s="102"/>
      <c r="W254" s="114"/>
      <c r="X254" s="248" t="str">
        <f t="shared" ref="X254:X261" si="102">B256</f>
        <v>Southampton</v>
      </c>
      <c r="Y254" s="248">
        <f>IF(Year1_Southampton Year1_ROSGO_ceased_LAC_CAO="","",Year1_Southampton Year1_ROSGO_ceased_LAC_CAO)</f>
        <v>21</v>
      </c>
      <c r="Z254" s="248">
        <f>IF(Year2_Southampton Year2_ROSGO_ceased_LAC_CAO="","",Year2_Southampton Year2_ROSGO_ceased_LAC_CAO)</f>
        <v>12</v>
      </c>
      <c r="AA254" s="248">
        <f>IF(Year3_Southampton Year3_ROSGO_ceased_LAC_CAO="","",Year3_Southampton Year3_ROSGO_ceased_LAC_CAO)</f>
        <v>16</v>
      </c>
      <c r="AB254" s="248">
        <f>IF(Year4_Southampton Year4_ROSGO_ceased_LAC_CAO="","",Year4_Southampton Year4_ROSGO_ceased_LAC_CAO)</f>
        <v>15</v>
      </c>
      <c r="AC254" s="248">
        <f>IF(Year5_Southampton Year5_ROSGO_ceased_LAC_CAO="","",Year5_Southampton Year5_ROSGO_ceased_LAC_CAO)</f>
        <v>7</v>
      </c>
      <c r="AD254" s="248">
        <f t="shared" si="95"/>
        <v>3.2710280373831772E-2</v>
      </c>
      <c r="AE254" s="248">
        <f>IF(Year1_Southampton Year1_ROSGO_ceased_LAC_CAO="","",Year1_Southampton Year1_ROSGO_ceased_LAC_CAO)</f>
        <v>21</v>
      </c>
      <c r="AF254" s="248">
        <f>IF(Year2_Southampton Year2_ROSGO_ceased_LAC_CAO="","",Year2_Southampton Year2_ROSGO_ceased_LAC_CAO)</f>
        <v>12</v>
      </c>
      <c r="AG254" s="248">
        <f>IF(Year3_Southampton Year3_ROSGO_ceased_LAC_CAO="","",Year3_Southampton Year3_ROSGO_ceased_LAC_CAO)</f>
        <v>16</v>
      </c>
      <c r="AH254" s="248">
        <f>IF(Year4_Southampton Year4_ROSGO_ceased_LAC_CAO="","",Year4_Southampton Year4_ROSGO_ceased_LAC_CAO)</f>
        <v>15</v>
      </c>
      <c r="AI254" s="248">
        <f>IF(Year5_Southampton Year5_ROSGO_ceased_LAC_CAO="","",Year5_Southampton Year5_ROSGO_ceased_LAC_CAO)</f>
        <v>7</v>
      </c>
      <c r="AJ254" s="119"/>
      <c r="AK254" s="52"/>
      <c r="AL254" s="52"/>
      <c r="AM254" s="52"/>
      <c r="AN254" s="52"/>
      <c r="AO254" s="52"/>
      <c r="AP254" s="52"/>
      <c r="AQ254" s="52"/>
      <c r="AR254" s="52"/>
      <c r="AS254" s="52"/>
      <c r="AT254" s="52"/>
      <c r="AU254" s="52"/>
      <c r="AV254" s="52"/>
      <c r="AW254" s="52"/>
      <c r="AX254" s="52"/>
    </row>
    <row r="255" spans="1:50" s="61" customFormat="1" ht="13.5" customHeight="1">
      <c r="A255" s="1103">
        <f>VLOOKUP(B255,ReportData!$AQ$4:$AR$25,2,FALSE)</f>
        <v>0</v>
      </c>
      <c r="B255" s="885" t="str">
        <f>Permanence!B189</f>
        <v>Slough</v>
      </c>
      <c r="C255" s="896"/>
      <c r="D255" s="922" t="e">
        <f t="shared" si="97"/>
        <v>#N/A</v>
      </c>
      <c r="E255" s="922">
        <f t="shared" si="98"/>
        <v>0</v>
      </c>
      <c r="F255" s="922">
        <f t="shared" si="99"/>
        <v>0</v>
      </c>
      <c r="G255" s="922" t="e">
        <f t="shared" si="100"/>
        <v>#N/A</v>
      </c>
      <c r="H255" s="923">
        <f t="shared" si="101"/>
        <v>6.4516129032258063E-2</v>
      </c>
      <c r="I255" s="274"/>
      <c r="J255" s="68"/>
      <c r="K255" s="68"/>
      <c r="L255" s="68"/>
      <c r="M255" s="127"/>
      <c r="N255" s="127"/>
      <c r="O255" s="127"/>
      <c r="P255" s="127"/>
      <c r="Q255" s="127"/>
      <c r="R255" s="127"/>
      <c r="S255" s="127"/>
      <c r="T255" s="59"/>
      <c r="U255" s="89"/>
      <c r="V255" s="102"/>
      <c r="W255" s="114"/>
      <c r="X255" s="248" t="str">
        <f t="shared" si="102"/>
        <v>Surrey</v>
      </c>
      <c r="Y255" s="248">
        <f>IF(Year1_Surrey Year1_ROSGO_ceased_LAC_CAO="","",Year1_Surrey Year1_ROSGO_ceased_LAC_CAO)</f>
        <v>10</v>
      </c>
      <c r="Z255" s="248" t="str">
        <f>IF(Year2_Surrey Year2_ROSGO_ceased_LAC_CAO="","",Year2_Surrey Year2_ROSGO_ceased_LAC_CAO)</f>
        <v>x</v>
      </c>
      <c r="AA255" s="248">
        <f>IF(Year3_Surrey Year3_ROSGO_ceased_LAC_CAO="","",Year3_Surrey Year3_ROSGO_ceased_LAC_CAO)</f>
        <v>11</v>
      </c>
      <c r="AB255" s="248">
        <f>IF(Year4_Surrey Year4_ROSGO_ceased_LAC_CAO="","",Year4_Surrey Year4_ROSGO_ceased_LAC_CAO)</f>
        <v>9</v>
      </c>
      <c r="AC255" s="248">
        <f>IF(Year5_Surrey Year5_ROSGO_ceased_LAC_CAO="","",Year5_Surrey Year5_ROSGO_ceased_LAC_CAO)</f>
        <v>7</v>
      </c>
      <c r="AD255" s="248">
        <f t="shared" si="95"/>
        <v>1.6706443914081145E-2</v>
      </c>
      <c r="AE255" s="248">
        <f>IF(Year1_Surrey Year1_ROSGO_ceased_LAC_CAO="","",Year1_Surrey Year1_ROSGO_ceased_LAC_CAO)</f>
        <v>10</v>
      </c>
      <c r="AF255" s="248" t="str">
        <f>IF(Year2_Surrey Year2_ROSGO_ceased_LAC_CAO="","",Year2_Surrey Year2_ROSGO_ceased_LAC_CAO)</f>
        <v>x</v>
      </c>
      <c r="AG255" s="248">
        <f>IF(Year3_Surrey Year3_ROSGO_ceased_LAC_CAO="","",Year3_Surrey Year3_ROSGO_ceased_LAC_CAO)</f>
        <v>11</v>
      </c>
      <c r="AH255" s="248">
        <f>IF(Year4_Surrey Year4_ROSGO_ceased_LAC_CAO="","",Year4_Surrey Year4_ROSGO_ceased_LAC_CAO)</f>
        <v>9</v>
      </c>
      <c r="AI255" s="248">
        <f>IF(Year5_Surrey Year5_ROSGO_ceased_LAC_CAO="","",Year5_Surrey Year5_ROSGO_ceased_LAC_CAO)</f>
        <v>7</v>
      </c>
      <c r="AJ255" s="119"/>
      <c r="AK255" s="52"/>
      <c r="AL255" s="52"/>
      <c r="AM255" s="52"/>
      <c r="AN255" s="52"/>
      <c r="AO255" s="52"/>
      <c r="AP255" s="52"/>
      <c r="AQ255" s="52"/>
      <c r="AR255" s="52"/>
      <c r="AS255" s="52"/>
      <c r="AT255" s="52"/>
      <c r="AU255" s="52"/>
      <c r="AV255" s="52"/>
      <c r="AW255" s="52"/>
      <c r="AX255" s="52"/>
    </row>
    <row r="256" spans="1:50" s="61" customFormat="1" ht="13.5" customHeight="1">
      <c r="A256" s="1103">
        <f>VLOOKUP(B256,ReportData!$AQ$4:$AR$25,2,FALSE)</f>
        <v>0</v>
      </c>
      <c r="B256" s="885" t="str">
        <f>Permanence!B190</f>
        <v>Southampton</v>
      </c>
      <c r="C256" s="896"/>
      <c r="D256" s="922">
        <f t="shared" si="97"/>
        <v>0.10552763819095477</v>
      </c>
      <c r="E256" s="922">
        <f t="shared" si="98"/>
        <v>6.5573770491803282E-2</v>
      </c>
      <c r="F256" s="922">
        <f t="shared" si="99"/>
        <v>9.580838323353294E-2</v>
      </c>
      <c r="G256" s="922">
        <f t="shared" si="100"/>
        <v>6.8807339449541288E-2</v>
      </c>
      <c r="H256" s="923">
        <f t="shared" si="101"/>
        <v>3.2710280373831772E-2</v>
      </c>
      <c r="I256" s="274"/>
      <c r="J256" s="68"/>
      <c r="K256" s="68"/>
      <c r="L256" s="68"/>
      <c r="M256" s="127"/>
      <c r="N256" s="127"/>
      <c r="O256" s="127"/>
      <c r="P256" s="127"/>
      <c r="Q256" s="127"/>
      <c r="R256" s="127"/>
      <c r="S256" s="127"/>
      <c r="T256" s="59"/>
      <c r="U256" s="89"/>
      <c r="V256" s="102"/>
      <c r="W256" s="114"/>
      <c r="X256" s="248" t="str">
        <f t="shared" si="102"/>
        <v>West Berkshire</v>
      </c>
      <c r="Y256" s="248" t="str">
        <f>IF(Year1_West_Berkshire Year1_ROSGO_ceased_LAC_CAO="","",Year1_West_Berkshire Year1_ROSGO_ceased_LAC_CAO)</f>
        <v>x</v>
      </c>
      <c r="Z256" s="248">
        <f>IF(Year2_West_Berkshire Year2_ROSGO_ceased_LAC_CAO="","",Year2_West_Berkshire Year2_ROSGO_ceased_LAC_CAO)</f>
        <v>0</v>
      </c>
      <c r="AA256" s="248">
        <f>IF(Year3_West_Berkshire Year3_ROSGO_ceased_LAC_CAO="","",Year3_West_Berkshire Year3_ROSGO_ceased_LAC_CAO)</f>
        <v>0</v>
      </c>
      <c r="AB256" s="248" t="str">
        <f>IF(Year4_West_Berkshire Year4_ROSGO_ceased_LAC_CAO="","",Year4_West_Berkshire Year4_ROSGO_ceased_LAC_CAO)</f>
        <v>c</v>
      </c>
      <c r="AC256" s="248" t="str">
        <f>IF(Year5_West_Berkshire Year5_ROSGO_ceased_LAC_CAO="","",Year5_West_Berkshire Year5_ROSGO_ceased_LAC_CAO)</f>
        <v>c</v>
      </c>
      <c r="AD256" s="248" t="e">
        <f t="shared" si="95"/>
        <v>#N/A</v>
      </c>
      <c r="AE256" s="248" t="str">
        <f>IF(Year1_West_Berkshire Year1_ROSGO_ceased_LAC_CAO="","",Year1_West_Berkshire Year1_ROSGO_ceased_LAC_CAO)</f>
        <v>x</v>
      </c>
      <c r="AF256" s="248">
        <f>IF(Year2_West_Berkshire Year2_ROSGO_ceased_LAC_CAO="","",Year2_West_Berkshire Year2_ROSGO_ceased_LAC_CAO)</f>
        <v>0</v>
      </c>
      <c r="AG256" s="248">
        <f>IF(Year3_West_Berkshire Year3_ROSGO_ceased_LAC_CAO="","",Year3_West_Berkshire Year3_ROSGO_ceased_LAC_CAO)</f>
        <v>0</v>
      </c>
      <c r="AH256" s="248" t="str">
        <f>IF(Year4_West_Berkshire Year4_ROSGO_ceased_LAC_CAO="","",Year4_West_Berkshire Year4_ROSGO_ceased_LAC_CAO)</f>
        <v>c</v>
      </c>
      <c r="AI256" s="248" t="str">
        <f>IF(Year5_West_Berkshire Year5_ROSGO_ceased_LAC_CAO="","",Year5_West_Berkshire Year5_ROSGO_ceased_LAC_CAO)</f>
        <v>c</v>
      </c>
      <c r="AJ256" s="119"/>
      <c r="AK256" s="52"/>
      <c r="AL256" s="52"/>
      <c r="AM256" s="52"/>
      <c r="AN256" s="52"/>
      <c r="AO256" s="52"/>
      <c r="AP256" s="52"/>
      <c r="AQ256" s="52"/>
      <c r="AR256" s="52"/>
      <c r="AS256" s="52"/>
      <c r="AT256" s="52"/>
      <c r="AU256" s="52"/>
      <c r="AV256" s="52"/>
      <c r="AW256" s="52"/>
      <c r="AX256" s="52"/>
    </row>
    <row r="257" spans="1:76" s="61" customFormat="1" ht="13.5" customHeight="1">
      <c r="A257" s="1103">
        <f>VLOOKUP(B257,ReportData!$AQ$4:$AR$25,2,FALSE)</f>
        <v>0</v>
      </c>
      <c r="B257" s="885" t="str">
        <f>Permanence!B191</f>
        <v>Surrey</v>
      </c>
      <c r="C257" s="896"/>
      <c r="D257" s="922">
        <f t="shared" si="97"/>
        <v>2.7397260273972601E-2</v>
      </c>
      <c r="E257" s="922" t="e">
        <f t="shared" si="98"/>
        <v>#N/A</v>
      </c>
      <c r="F257" s="922">
        <f t="shared" si="99"/>
        <v>2.75E-2</v>
      </c>
      <c r="G257" s="922">
        <f t="shared" si="100"/>
        <v>2.1377672209026127E-2</v>
      </c>
      <c r="H257" s="923">
        <f t="shared" si="101"/>
        <v>1.6706443914081145E-2</v>
      </c>
      <c r="I257" s="274"/>
      <c r="J257" s="68"/>
      <c r="K257" s="68"/>
      <c r="L257" s="68"/>
      <c r="M257" s="127"/>
      <c r="N257" s="127"/>
      <c r="O257" s="127"/>
      <c r="P257" s="127"/>
      <c r="Q257" s="127"/>
      <c r="R257" s="127"/>
      <c r="S257" s="127"/>
      <c r="T257" s="59"/>
      <c r="U257" s="89"/>
      <c r="V257" s="102"/>
      <c r="W257" s="114"/>
      <c r="X257" s="248" t="str">
        <f t="shared" si="102"/>
        <v>West Sussex</v>
      </c>
      <c r="Y257" s="248" t="str">
        <f>IF(Year1_West_Sussex Year1_ROSGO_ceased_LAC_CAO="","",Year1_West_Sussex Year1_ROSGO_ceased_LAC_CAO)</f>
        <v>x</v>
      </c>
      <c r="Z257" s="248">
        <f>IF(Year2_West_Sussex Year2_ROSGO_ceased_LAC_CAO="","",Year2_West_Sussex Year2_ROSGO_ceased_LAC_CAO)</f>
        <v>17</v>
      </c>
      <c r="AA257" s="248">
        <f>IF(Year3_West_Sussex Year3_ROSGO_ceased_LAC_CAO="","",Year3_West_Sussex Year3_ROSGO_ceased_LAC_CAO)</f>
        <v>38</v>
      </c>
      <c r="AB257" s="248">
        <f>IF(Year4_West_Sussex Year4_ROSGO_ceased_LAC_CAO="","",Year4_West_Sussex Year4_ROSGO_ceased_LAC_CAO)</f>
        <v>13</v>
      </c>
      <c r="AC257" s="248" t="str">
        <f>IF(Year5_West_Sussex Year5_ROSGO_ceased_LAC_CAO="","",Year5_West_Sussex Year5_ROSGO_ceased_LAC_CAO)</f>
        <v>c</v>
      </c>
      <c r="AD257" s="248" t="e">
        <f t="shared" si="95"/>
        <v>#N/A</v>
      </c>
      <c r="AE257" s="248" t="str">
        <f>IF(Year1_West_Sussex Year1_ROSGO_ceased_LAC_CAO="","",Year1_West_Sussex Year1_ROSGO_ceased_LAC_CAO)</f>
        <v>x</v>
      </c>
      <c r="AF257" s="248">
        <f>IF(Year2_West_Sussex Year2_ROSGO_ceased_LAC_CAO="","",Year2_West_Sussex Year2_ROSGO_ceased_LAC_CAO)</f>
        <v>17</v>
      </c>
      <c r="AG257" s="248">
        <f>IF(Year3_West_Sussex Year3_ROSGO_ceased_LAC_CAO="","",Year3_West_Sussex Year3_ROSGO_ceased_LAC_CAO)</f>
        <v>38</v>
      </c>
      <c r="AH257" s="248">
        <f>IF(Year4_West_Sussex Year4_ROSGO_ceased_LAC_CAO="","",Year4_West_Sussex Year4_ROSGO_ceased_LAC_CAO)</f>
        <v>13</v>
      </c>
      <c r="AI257" s="248" t="str">
        <f>IF(Year5_West_Sussex Year5_ROSGO_ceased_LAC_CAO="","",Year5_West_Sussex Year5_ROSGO_ceased_LAC_CAO)</f>
        <v>c</v>
      </c>
      <c r="AJ257" s="119"/>
      <c r="AK257" s="52"/>
      <c r="AL257" s="52"/>
      <c r="AM257" s="52"/>
      <c r="AN257" s="52"/>
      <c r="AO257" s="52"/>
      <c r="AP257" s="52"/>
      <c r="AQ257" s="52"/>
      <c r="AR257" s="52"/>
      <c r="AS257" s="52"/>
      <c r="AT257" s="52"/>
      <c r="AU257" s="52"/>
      <c r="AV257" s="52"/>
      <c r="AW257" s="52"/>
      <c r="AX257" s="52"/>
    </row>
    <row r="258" spans="1:76" s="61" customFormat="1" ht="13.5" customHeight="1">
      <c r="A258" s="1103">
        <f>VLOOKUP(B258,ReportData!$AQ$4:$AR$25,2,FALSE)</f>
        <v>0</v>
      </c>
      <c r="B258" s="885" t="str">
        <f>Permanence!B192</f>
        <v>West Berkshire</v>
      </c>
      <c r="C258" s="896"/>
      <c r="D258" s="922" t="e">
        <f t="shared" si="97"/>
        <v>#N/A</v>
      </c>
      <c r="E258" s="922">
        <f t="shared" si="98"/>
        <v>0</v>
      </c>
      <c r="F258" s="922">
        <f t="shared" si="99"/>
        <v>0</v>
      </c>
      <c r="G258" s="922" t="e">
        <f t="shared" si="100"/>
        <v>#N/A</v>
      </c>
      <c r="H258" s="923" t="e">
        <f t="shared" si="101"/>
        <v>#N/A</v>
      </c>
      <c r="I258" s="274"/>
      <c r="J258" s="68"/>
      <c r="K258" s="68"/>
      <c r="L258" s="68"/>
      <c r="M258" s="127"/>
      <c r="N258" s="127"/>
      <c r="O258" s="127"/>
      <c r="P258" s="127"/>
      <c r="Q258" s="127"/>
      <c r="R258" s="127"/>
      <c r="S258" s="127"/>
      <c r="T258" s="59"/>
      <c r="U258" s="89"/>
      <c r="V258" s="102"/>
      <c r="W258" s="114"/>
      <c r="X258" s="248" t="str">
        <f t="shared" si="102"/>
        <v>Windsor &amp; Maidenhead</v>
      </c>
      <c r="Y258" s="248" t="str">
        <f>IF(Year1_Windsor_and_Maidenhead Year1_ROSGO_ceased_LAC_CAO="","",Year1_Windsor_and_Maidenhead Year1_ROSGO_ceased_LAC_CAO)</f>
        <v>x</v>
      </c>
      <c r="Z258" s="248" t="str">
        <f>IF(Year2_Windsor_and_Maidenhead Year2_ROSGO_ceased_LAC_CAO="","",Year2_Windsor_and_Maidenhead Year2_ROSGO_ceased_LAC_CAO)</f>
        <v>x</v>
      </c>
      <c r="AA258" s="248">
        <f>IF(Year3_Windsor_and_Maidenhead Year3_ROSGO_ceased_LAC_CAO="","",Year3_Windsor_and_Maidenhead Year3_ROSGO_ceased_LAC_CAO)</f>
        <v>6</v>
      </c>
      <c r="AB258" s="248" t="str">
        <f>IF(Year4_Windsor_and_Maidenhead Year4_ROSGO_ceased_LAC_CAO="","",Year4_Windsor_and_Maidenhead Year4_ROSGO_ceased_LAC_CAO)</f>
        <v>c</v>
      </c>
      <c r="AC258" s="248" t="str">
        <f>IF(Year5_Windsor_and_Maidenhead Year5_ROSGO_ceased_LAC_CAO="","",Year5_Windsor_and_Maidenhead Year5_ROSGO_ceased_LAC_CAO)</f>
        <v>c</v>
      </c>
      <c r="AD258" s="248" t="e">
        <f t="shared" si="95"/>
        <v>#N/A</v>
      </c>
      <c r="AE258" s="248" t="str">
        <f>IF(Year1_Windsor_and_Maidenhead Year1_ROSGO_ceased_LAC_CAO="","",Year1_Windsor_and_Maidenhead Year1_ROSGO_ceased_LAC_CAO)</f>
        <v>x</v>
      </c>
      <c r="AF258" s="248" t="str">
        <f>IF(Year2_Windsor_and_Maidenhead Year2_ROSGO_ceased_LAC_CAO="","",Year2_Windsor_and_Maidenhead Year2_ROSGO_ceased_LAC_CAO)</f>
        <v>x</v>
      </c>
      <c r="AG258" s="248">
        <f>IF(Year3_Windsor_and_Maidenhead Year3_ROSGO_ceased_LAC_CAO="","",Year3_Windsor_and_Maidenhead Year3_ROSGO_ceased_LAC_CAO)</f>
        <v>6</v>
      </c>
      <c r="AH258" s="248" t="str">
        <f>IF(Year4_Windsor_and_Maidenhead Year4_ROSGO_ceased_LAC_CAO="","",Year4_Windsor_and_Maidenhead Year4_ROSGO_ceased_LAC_CAO)</f>
        <v>c</v>
      </c>
      <c r="AI258" s="248" t="str">
        <f>IF(Year5_Windsor_and_Maidenhead Year5_ROSGO_ceased_LAC_CAO="","",Year5_Windsor_and_Maidenhead Year5_ROSGO_ceased_LAC_CAO)</f>
        <v>c</v>
      </c>
      <c r="AJ258" s="119"/>
      <c r="AK258" s="52"/>
      <c r="AL258" s="52"/>
      <c r="AM258" s="52"/>
      <c r="AN258" s="52"/>
      <c r="AO258" s="52"/>
      <c r="AP258" s="52"/>
      <c r="AQ258" s="52"/>
      <c r="AR258" s="52"/>
      <c r="AS258" s="52"/>
      <c r="AT258" s="52"/>
      <c r="AU258" s="52"/>
      <c r="AV258" s="52"/>
      <c r="AW258" s="52"/>
      <c r="AX258" s="52"/>
    </row>
    <row r="259" spans="1:76" s="61" customFormat="1" ht="13.5" customHeight="1">
      <c r="A259" s="1103">
        <f>VLOOKUP(B259,ReportData!$AQ$4:$AR$25,2,FALSE)</f>
        <v>0</v>
      </c>
      <c r="B259" s="885" t="str">
        <f>Permanence!B193</f>
        <v>West Sussex</v>
      </c>
      <c r="C259" s="896"/>
      <c r="D259" s="922" t="e">
        <f t="shared" si="97"/>
        <v>#N/A</v>
      </c>
      <c r="E259" s="922">
        <f t="shared" si="98"/>
        <v>4.4041450777202069E-2</v>
      </c>
      <c r="F259" s="922">
        <f t="shared" si="99"/>
        <v>8.3150984682713341E-2</v>
      </c>
      <c r="G259" s="922">
        <f t="shared" si="100"/>
        <v>3.4482758620689655E-2</v>
      </c>
      <c r="H259" s="923" t="e">
        <f t="shared" si="101"/>
        <v>#N/A</v>
      </c>
      <c r="I259" s="274"/>
      <c r="J259" s="68"/>
      <c r="K259" s="68"/>
      <c r="L259" s="68"/>
      <c r="M259" s="127"/>
      <c r="N259" s="127"/>
      <c r="O259" s="127"/>
      <c r="P259" s="127"/>
      <c r="Q259" s="127"/>
      <c r="R259" s="127"/>
      <c r="S259" s="127"/>
      <c r="T259" s="59"/>
      <c r="U259" s="89"/>
      <c r="V259" s="102"/>
      <c r="W259" s="114"/>
      <c r="X259" s="248" t="str">
        <f t="shared" si="102"/>
        <v>Wokingham</v>
      </c>
      <c r="Y259" s="248">
        <f>IF(Year1_Wokingham Year1_ROSGO_ceased_LAC_CAO="","",Year1_Wokingham Year1_ROSGO_ceased_LAC_CAO)</f>
        <v>6</v>
      </c>
      <c r="Z259" s="248" t="str">
        <f>IF(Year2_Wokingham Year2_ROSGO_ceased_LAC_CAO="","",Year2_Wokingham Year2_ROSGO_ceased_LAC_CAO)</f>
        <v>x</v>
      </c>
      <c r="AA259" s="248">
        <f>IF(Year3_Wokingham Year3_ROSGO_ceased_LAC_CAO="","",Year3_Wokingham Year3_ROSGO_ceased_LAC_CAO)</f>
        <v>6</v>
      </c>
      <c r="AB259" s="248">
        <f>IF(Year4_Wokingham Year4_ROSGO_ceased_LAC_CAO="","",Year4_Wokingham Year4_ROSGO_ceased_LAC_CAO)</f>
        <v>10</v>
      </c>
      <c r="AC259" s="248" t="str">
        <f>IF(Year5_Wokingham Year5_ROSGO_ceased_LAC_CAO="","",Year5_Wokingham Year5_ROSGO_ceased_LAC_CAO)</f>
        <v>c</v>
      </c>
      <c r="AD259" s="248" t="e">
        <f t="shared" si="95"/>
        <v>#N/A</v>
      </c>
      <c r="AE259" s="248">
        <f>IF(Year1_Wokingham Year1_ROSGO_ceased_LAC_CAO="","",Year1_Wokingham Year1_ROSGO_ceased_LAC_CAO)</f>
        <v>6</v>
      </c>
      <c r="AF259" s="248" t="str">
        <f>IF(Year2_Wokingham Year2_ROSGO_ceased_LAC_CAO="","",Year2_Wokingham Year2_ROSGO_ceased_LAC_CAO)</f>
        <v>x</v>
      </c>
      <c r="AG259" s="248">
        <f>IF(Year3_Wokingham Year3_ROSGO_ceased_LAC_CAO="","",Year3_Wokingham Year3_ROSGO_ceased_LAC_CAO)</f>
        <v>6</v>
      </c>
      <c r="AH259" s="248">
        <f>IF(Year4_Wokingham Year4_ROSGO_ceased_LAC_CAO="","",Year4_Wokingham Year4_ROSGO_ceased_LAC_CAO)</f>
        <v>10</v>
      </c>
      <c r="AI259" s="248" t="str">
        <f>IF(Year5_Wokingham Year5_ROSGO_ceased_LAC_CAO="","",Year5_Wokingham Year5_ROSGO_ceased_LAC_CAO)</f>
        <v>c</v>
      </c>
      <c r="AJ259" s="119"/>
      <c r="AK259" s="52"/>
      <c r="AL259" s="52"/>
      <c r="AM259" s="52"/>
      <c r="AN259" s="52"/>
      <c r="AO259" s="52"/>
      <c r="AP259" s="52"/>
      <c r="AQ259" s="52"/>
      <c r="AR259" s="52"/>
      <c r="AS259" s="52"/>
      <c r="AT259" s="52"/>
      <c r="AU259" s="52"/>
      <c r="AV259" s="52"/>
      <c r="AW259" s="52"/>
      <c r="AX259" s="52"/>
    </row>
    <row r="260" spans="1:76" s="61" customFormat="1" ht="13.5" customHeight="1">
      <c r="A260" s="1103">
        <f>VLOOKUP(B260,ReportData!$AQ$4:$AR$25,2,FALSE)</f>
        <v>0</v>
      </c>
      <c r="B260" s="885" t="str">
        <f>Permanence!B194</f>
        <v>Windsor &amp; Maidenhead</v>
      </c>
      <c r="C260" s="896"/>
      <c r="D260" s="922" t="e">
        <f t="shared" si="97"/>
        <v>#N/A</v>
      </c>
      <c r="E260" s="922" t="e">
        <f t="shared" si="98"/>
        <v>#N/A</v>
      </c>
      <c r="F260" s="922">
        <f t="shared" si="99"/>
        <v>0.12244897959183673</v>
      </c>
      <c r="G260" s="922" t="e">
        <f t="shared" si="100"/>
        <v>#N/A</v>
      </c>
      <c r="H260" s="923" t="e">
        <f t="shared" si="101"/>
        <v>#N/A</v>
      </c>
      <c r="I260" s="274"/>
      <c r="J260" s="68"/>
      <c r="K260" s="68"/>
      <c r="L260" s="68"/>
      <c r="M260" s="127"/>
      <c r="N260" s="127"/>
      <c r="O260" s="127"/>
      <c r="P260" s="127"/>
      <c r="Q260" s="127"/>
      <c r="R260" s="127"/>
      <c r="S260" s="127"/>
      <c r="T260" s="59"/>
      <c r="U260" s="89"/>
      <c r="V260" s="102"/>
      <c r="W260" s="114"/>
      <c r="X260" s="248" t="str">
        <f t="shared" si="102"/>
        <v>South East</v>
      </c>
      <c r="Y260" s="388">
        <f>IF(Year1_South_East Year1_ROSGO_ceased_LAC_CAO=0,NA(),Year1_South_East Year1_ROSGO_ceased_LAC_CAO)</f>
        <v>160</v>
      </c>
      <c r="Z260" s="244">
        <f>IF(Year2_South_East Year2_ROSGO_ceased_LAC_CAO=0,NA(),Year2_South_East Year2_ROSGO_ceased_LAC_CAO)</f>
        <v>120</v>
      </c>
      <c r="AA260" s="244">
        <f>IF(Year3_South_East Year3_ROSGO_ceased_LAC_CAO=0,NA(),Year3_South_East Year3_ROSGO_ceased_LAC_CAO)</f>
        <v>150</v>
      </c>
      <c r="AB260" s="248">
        <f>IF(Year4_South_East Year4_ROSGO_ceased_LAC_CAO=0,NA(),Year4_South_East Year4_ROSGO_ceased_LAC_CAO)</f>
        <v>130</v>
      </c>
      <c r="AC260" s="248">
        <f>IF(Year5_South_East Year5_ROSGO_ceased_LAC_CAO=0,NA(),Year5_South_East Year5_ROSGO_ceased_LAC_CAO)</f>
        <v>140</v>
      </c>
      <c r="AD260" s="248">
        <f t="shared" si="95"/>
        <v>2.1806853582554516E-2</v>
      </c>
      <c r="AE260" s="388">
        <f>IF(Year1_South_East Year1_ROSGO_ceased_LAC_CAO=0,NA(),Year1_South_East Year1_ROSGO_ceased_LAC_CAO)</f>
        <v>160</v>
      </c>
      <c r="AF260" s="244">
        <f>IF(Year2_South_East Year2_ROSGO_ceased_LAC_CAO=0,NA(),Year2_South_East Year2_ROSGO_ceased_LAC_CAO)</f>
        <v>120</v>
      </c>
      <c r="AG260" s="244">
        <f>IF(Year3_South_East Year3_ROSGO_ceased_LAC_CAO=0,NA(),Year3_South_East Year3_ROSGO_ceased_LAC_CAO)</f>
        <v>150</v>
      </c>
      <c r="AH260" s="248">
        <f>IF(Year4_South_East Year4_ROSGO_ceased_LAC_CAO=0,NA(),Year4_South_East Year4_ROSGO_ceased_LAC_CAO)</f>
        <v>130</v>
      </c>
      <c r="AI260" s="248">
        <f>IF(Year5_South_East Year5_ROSGO_ceased_LAC_CAO=0,NA(),Year5_South_East Year5_ROSGO_ceased_LAC_CAO)</f>
        <v>140</v>
      </c>
      <c r="AJ260" s="119"/>
      <c r="AK260" s="52"/>
      <c r="AL260" s="52"/>
      <c r="AM260" s="52"/>
      <c r="AN260" s="52"/>
      <c r="AO260" s="52"/>
      <c r="AP260" s="52"/>
      <c r="AQ260" s="52"/>
      <c r="AR260" s="52"/>
      <c r="AS260" s="52"/>
      <c r="AT260" s="52"/>
      <c r="AU260" s="52"/>
      <c r="AV260" s="52"/>
      <c r="AW260" s="52"/>
      <c r="AX260" s="52"/>
    </row>
    <row r="261" spans="1:76" s="61" customFormat="1" ht="13.5" customHeight="1">
      <c r="A261" s="1103">
        <f>VLOOKUP(B261,ReportData!$AQ$4:$AR$25,2,FALSE)</f>
        <v>0</v>
      </c>
      <c r="B261" s="885" t="str">
        <f>Permanence!B195</f>
        <v>Wokingham</v>
      </c>
      <c r="C261" s="896"/>
      <c r="D261" s="922">
        <f t="shared" si="97"/>
        <v>0.10909090909090909</v>
      </c>
      <c r="E261" s="922" t="e">
        <f t="shared" si="98"/>
        <v>#N/A</v>
      </c>
      <c r="F261" s="922">
        <f t="shared" si="99"/>
        <v>0.10344827586206896</v>
      </c>
      <c r="G261" s="922">
        <f t="shared" si="100"/>
        <v>0.14925373134328357</v>
      </c>
      <c r="H261" s="923" t="e">
        <f t="shared" si="101"/>
        <v>#N/A</v>
      </c>
      <c r="I261" s="274"/>
      <c r="J261" s="68"/>
      <c r="K261" s="68"/>
      <c r="L261" s="68"/>
      <c r="M261" s="127"/>
      <c r="N261" s="127"/>
      <c r="O261" s="127"/>
      <c r="P261" s="127"/>
      <c r="Q261" s="127"/>
      <c r="R261" s="127"/>
      <c r="S261" s="127"/>
      <c r="T261" s="59"/>
      <c r="U261" s="89"/>
      <c r="V261" s="102"/>
      <c r="W261" s="114"/>
      <c r="X261" s="248" t="str">
        <f t="shared" si="102"/>
        <v>England</v>
      </c>
      <c r="Y261" s="388">
        <f>IF(Year1_England Year1_ROSGO_ceased_LAC_CAO=0,NA(),Year1_England Year1_ROSGO_ceased_LAC_CAO)</f>
        <v>1160</v>
      </c>
      <c r="Z261" s="244">
        <f>IF(Year2_England Year2_ROSGO_ceased_LAC_CAO=0,NA(),Year2_England Year2_ROSGO_ceased_LAC_CAO)</f>
        <v>1060</v>
      </c>
      <c r="AA261" s="244">
        <f>IF(Year3_England Year3_ROSGO_ceased_LAC_CAO=0,NA(),Year3_England Year3_ROSGO_ceased_LAC_CAO)</f>
        <v>1180</v>
      </c>
      <c r="AB261" s="248">
        <f>IF(Year4_England Year4_ROSGO_ceased_LAC_CAO=0,NA(),Year4_England Year4_ROSGO_ceased_LAC_CAO)</f>
        <v>1110</v>
      </c>
      <c r="AC261" s="248">
        <f>IF(Year5_England Year5_ROSGO_ceased_LAC_CAO=0,NA(),Year5_England Year5_ROSGO_ceased_LAC_CAO)</f>
        <v>1150</v>
      </c>
      <c r="AD261" s="248">
        <f t="shared" si="95"/>
        <v>3.4205829863176683E-2</v>
      </c>
      <c r="AE261" s="388">
        <f>IF(Year1_England Year1_ROSGO_ceased_LAC_CAO=0,NA(),Year1_England Year1_ROSGO_ceased_LAC_CAO)</f>
        <v>1160</v>
      </c>
      <c r="AF261" s="244">
        <f>IF(Year2_England Year2_ROSGO_ceased_LAC_CAO=0,NA(),Year2_England Year2_ROSGO_ceased_LAC_CAO)</f>
        <v>1060</v>
      </c>
      <c r="AG261" s="244">
        <f>IF(Year3_England Year3_ROSGO_ceased_LAC_CAO=0,NA(),Year3_England Year3_ROSGO_ceased_LAC_CAO)</f>
        <v>1180</v>
      </c>
      <c r="AH261" s="248">
        <f>IF(Year4_England Year4_ROSGO_ceased_LAC_CAO=0,NA(),Year4_England Year4_ROSGO_ceased_LAC_CAO)</f>
        <v>1110</v>
      </c>
      <c r="AI261" s="248">
        <f>IF(Year5_England Year5_ROSGO_ceased_LAC_CAO=0,NA(),Year5_England Year5_ROSGO_ceased_LAC_CAO)</f>
        <v>1150</v>
      </c>
      <c r="AJ261" s="119"/>
      <c r="AK261" s="52"/>
      <c r="AL261" s="52"/>
      <c r="AM261" s="52"/>
      <c r="AN261" s="52"/>
      <c r="AO261" s="52"/>
      <c r="AP261" s="52"/>
      <c r="AQ261" s="52"/>
      <c r="AR261" s="52"/>
      <c r="AS261" s="52"/>
      <c r="AT261" s="52"/>
      <c r="AU261" s="52"/>
      <c r="AV261" s="52"/>
      <c r="AW261" s="52"/>
      <c r="AX261" s="52"/>
    </row>
    <row r="262" spans="1:76" s="61" customFormat="1" ht="13.5" customHeight="1">
      <c r="A262" s="1097"/>
      <c r="B262" s="886" t="str">
        <f>Permanence!B196</f>
        <v>South East</v>
      </c>
      <c r="C262" s="896"/>
      <c r="D262" s="924">
        <f t="shared" si="97"/>
        <v>3.7558685446009391E-2</v>
      </c>
      <c r="E262" s="924">
        <f t="shared" si="98"/>
        <v>2.6966292134831461E-2</v>
      </c>
      <c r="F262" s="924">
        <f t="shared" si="99"/>
        <v>3.1185031185031187E-2</v>
      </c>
      <c r="G262" s="924">
        <f t="shared" si="100"/>
        <v>2.4904214559386972E-2</v>
      </c>
      <c r="H262" s="925">
        <f t="shared" si="101"/>
        <v>2.1806853582554516E-2</v>
      </c>
      <c r="I262" s="274"/>
      <c r="J262" s="68"/>
      <c r="K262" s="68"/>
      <c r="L262" s="68"/>
      <c r="M262" s="129"/>
      <c r="N262" s="129"/>
      <c r="O262" s="129"/>
      <c r="P262" s="129"/>
      <c r="Q262" s="129"/>
      <c r="R262" s="129"/>
      <c r="S262" s="131"/>
      <c r="T262" s="59"/>
      <c r="U262" s="89"/>
      <c r="V262" s="102"/>
      <c r="W262" s="114"/>
      <c r="AD262" s="251"/>
      <c r="AG262" s="56"/>
      <c r="AH262" s="56"/>
      <c r="AI262" s="56"/>
      <c r="AJ262" s="119"/>
      <c r="AK262" s="52"/>
      <c r="AL262" s="52"/>
      <c r="AM262" s="52"/>
      <c r="AN262" s="52"/>
      <c r="AO262" s="52"/>
      <c r="AP262" s="52"/>
      <c r="AQ262" s="52"/>
      <c r="AR262" s="52"/>
      <c r="AS262" s="52"/>
      <c r="AT262" s="52"/>
      <c r="AU262" s="52"/>
      <c r="AV262" s="52"/>
      <c r="AW262" s="52"/>
      <c r="AX262" s="52"/>
    </row>
    <row r="263" spans="1:76" s="61" customFormat="1" ht="13.5" customHeight="1">
      <c r="A263" s="1097"/>
      <c r="B263" s="887" t="str">
        <f>Permanence!B197</f>
        <v>England</v>
      </c>
      <c r="C263" s="896"/>
      <c r="D263" s="926">
        <f t="shared" si="97"/>
        <v>3.9202433254477864E-2</v>
      </c>
      <c r="E263" s="926">
        <f t="shared" si="98"/>
        <v>3.7843627275972867E-2</v>
      </c>
      <c r="F263" s="926">
        <f t="shared" si="99"/>
        <v>3.9241769205187897E-2</v>
      </c>
      <c r="G263" s="926">
        <f t="shared" si="100"/>
        <v>3.5037878787878785E-2</v>
      </c>
      <c r="H263" s="1229">
        <f t="shared" si="101"/>
        <v>3.4205829863176683E-2</v>
      </c>
      <c r="I263" s="587"/>
      <c r="J263" s="68"/>
      <c r="K263" s="68"/>
      <c r="L263" s="68"/>
      <c r="M263" s="129"/>
      <c r="N263" s="129"/>
      <c r="O263" s="129"/>
      <c r="P263" s="129"/>
      <c r="Q263" s="129"/>
      <c r="R263" s="129"/>
      <c r="S263" s="131"/>
      <c r="T263" s="59"/>
      <c r="U263" s="89"/>
      <c r="V263" s="102"/>
      <c r="W263" s="114"/>
      <c r="AD263" s="56"/>
      <c r="AE263" s="56"/>
      <c r="AF263" s="56"/>
      <c r="AG263" s="52"/>
      <c r="AH263" s="52"/>
      <c r="AI263" s="52"/>
      <c r="AJ263" s="119"/>
      <c r="AK263" s="52"/>
      <c r="AL263" s="52"/>
      <c r="AM263" s="52"/>
      <c r="AN263" s="52"/>
      <c r="AO263" s="52"/>
      <c r="AP263" s="52"/>
      <c r="AQ263" s="52"/>
      <c r="AR263" s="52"/>
      <c r="AS263" s="52"/>
      <c r="AT263" s="52"/>
      <c r="AU263" s="52"/>
      <c r="AV263" s="52"/>
      <c r="AW263" s="52"/>
      <c r="AX263" s="52"/>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row>
    <row r="264" spans="1:76" s="61" customFormat="1" ht="6.75" customHeight="1">
      <c r="A264" s="217"/>
      <c r="B264" s="68"/>
      <c r="C264" s="68"/>
      <c r="D264" s="68"/>
      <c r="E264" s="68"/>
      <c r="F264" s="68"/>
      <c r="G264" s="68"/>
      <c r="H264" s="68"/>
      <c r="I264" s="68"/>
      <c r="J264" s="68"/>
      <c r="K264" s="68"/>
      <c r="L264" s="68"/>
      <c r="M264" s="129"/>
      <c r="N264" s="129"/>
      <c r="O264" s="129"/>
      <c r="P264" s="129"/>
      <c r="Q264" s="129"/>
      <c r="R264" s="129"/>
      <c r="S264" s="131"/>
      <c r="T264" s="59"/>
      <c r="U264" s="89"/>
      <c r="V264" s="102"/>
      <c r="W264" s="114"/>
      <c r="X264" s="56"/>
      <c r="Y264" s="52"/>
      <c r="Z264" s="52"/>
      <c r="AA264" s="52"/>
      <c r="AB264" s="56"/>
      <c r="AC264" s="56"/>
      <c r="AD264" s="56"/>
      <c r="AE264" s="56"/>
      <c r="AF264" s="56"/>
      <c r="AG264" s="52"/>
      <c r="AH264" s="52"/>
      <c r="AI264" s="52"/>
      <c r="AJ264" s="119"/>
      <c r="AK264" s="52"/>
      <c r="AL264" s="52"/>
      <c r="AM264" s="52"/>
      <c r="AN264" s="52"/>
      <c r="AO264" s="52"/>
      <c r="AP264" s="52"/>
      <c r="AQ264" s="52"/>
      <c r="AR264" s="52"/>
      <c r="AS264" s="52"/>
      <c r="AT264" s="52"/>
      <c r="AU264" s="52"/>
      <c r="AV264" s="52"/>
      <c r="AW264" s="52"/>
      <c r="AX264" s="52"/>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row>
    <row r="265" spans="1:76" s="56" customFormat="1" ht="41.25" customHeight="1">
      <c r="A265" s="288"/>
      <c r="B265" s="171"/>
      <c r="C265" s="171"/>
      <c r="D265" s="171"/>
      <c r="E265" s="171"/>
      <c r="F265" s="171"/>
      <c r="G265" s="171"/>
      <c r="H265" s="171"/>
      <c r="I265" s="171"/>
      <c r="J265" s="171"/>
      <c r="K265" s="171"/>
      <c r="L265" s="133"/>
      <c r="M265" s="133"/>
      <c r="N265" s="133"/>
      <c r="O265" s="133"/>
      <c r="P265" s="133"/>
      <c r="Q265" s="133"/>
      <c r="R265" s="133"/>
      <c r="S265" s="133"/>
      <c r="T265" s="5"/>
      <c r="U265" s="86"/>
      <c r="V265" s="102"/>
      <c r="W265" s="114"/>
      <c r="Y265" s="52"/>
      <c r="Z265" s="52"/>
      <c r="AA265" s="52"/>
      <c r="AF265" s="149"/>
      <c r="AG265" s="52"/>
      <c r="AH265" s="52"/>
      <c r="AI265" s="52"/>
      <c r="AJ265" s="119"/>
      <c r="AK265" s="52"/>
      <c r="AL265" s="52"/>
      <c r="AM265" s="52"/>
      <c r="AN265" s="52"/>
      <c r="AO265" s="52"/>
      <c r="AP265" s="52"/>
      <c r="AQ265" s="52"/>
      <c r="AR265" s="52"/>
      <c r="AS265" s="52"/>
      <c r="AT265" s="52"/>
      <c r="AU265" s="52"/>
      <c r="AV265" s="52"/>
      <c r="AW265" s="52"/>
      <c r="AX265" s="52"/>
    </row>
    <row r="266" spans="1:76" s="56" customFormat="1" ht="41.25" customHeight="1">
      <c r="A266" s="288"/>
      <c r="B266" s="171"/>
      <c r="C266" s="171"/>
      <c r="D266" s="171"/>
      <c r="E266" s="171"/>
      <c r="F266" s="171"/>
      <c r="G266" s="171"/>
      <c r="H266" s="171"/>
      <c r="I266" s="171"/>
      <c r="J266" s="171"/>
      <c r="K266" s="171"/>
      <c r="L266" s="133"/>
      <c r="M266" s="133"/>
      <c r="N266" s="133"/>
      <c r="O266" s="133"/>
      <c r="P266" s="133"/>
      <c r="Q266" s="133"/>
      <c r="R266" s="133"/>
      <c r="S266" s="133"/>
      <c r="T266" s="5"/>
      <c r="U266" s="86"/>
      <c r="V266" s="102"/>
      <c r="W266" s="114"/>
      <c r="Y266" s="52"/>
      <c r="Z266" s="52"/>
      <c r="AA266" s="52"/>
      <c r="AF266" s="149"/>
      <c r="AG266" s="52"/>
      <c r="AH266" s="52"/>
      <c r="AI266" s="52"/>
      <c r="AJ266" s="119"/>
      <c r="AK266" s="52"/>
      <c r="AL266" s="52"/>
      <c r="AM266" s="52"/>
      <c r="AN266" s="52"/>
      <c r="AO266" s="52"/>
      <c r="AP266" s="52"/>
      <c r="AQ266" s="52"/>
      <c r="AR266" s="52"/>
      <c r="AS266" s="52"/>
      <c r="AT266" s="52"/>
      <c r="AU266" s="52"/>
      <c r="AV266" s="52"/>
      <c r="AW266" s="52"/>
      <c r="AX266" s="52"/>
    </row>
    <row r="267" spans="1:76" s="56" customFormat="1" ht="41.25" customHeight="1">
      <c r="A267" s="288"/>
      <c r="B267" s="171"/>
      <c r="C267" s="171"/>
      <c r="D267" s="171"/>
      <c r="E267" s="171"/>
      <c r="F267" s="171"/>
      <c r="G267" s="171"/>
      <c r="H267" s="171"/>
      <c r="I267" s="171"/>
      <c r="J267" s="171"/>
      <c r="K267" s="171"/>
      <c r="L267" s="133"/>
      <c r="M267" s="133"/>
      <c r="N267" s="133"/>
      <c r="O267" s="133"/>
      <c r="P267" s="133"/>
      <c r="Q267" s="133"/>
      <c r="R267" s="133"/>
      <c r="S267" s="133"/>
      <c r="T267" s="5"/>
      <c r="U267" s="86"/>
      <c r="V267" s="121"/>
      <c r="W267" s="114"/>
      <c r="Y267" s="52"/>
      <c r="Z267" s="52"/>
      <c r="AA267" s="52"/>
      <c r="AB267" s="52"/>
      <c r="AC267" s="52"/>
      <c r="AD267" s="52"/>
      <c r="AF267" s="149"/>
      <c r="AG267" s="52"/>
      <c r="AH267" s="52"/>
      <c r="AI267" s="52"/>
      <c r="AJ267" s="119"/>
      <c r="AK267" s="52"/>
      <c r="AL267" s="52"/>
      <c r="AM267" s="52"/>
      <c r="AN267" s="52"/>
      <c r="AO267" s="52"/>
      <c r="AP267" s="52"/>
      <c r="AQ267" s="52"/>
      <c r="AR267" s="52"/>
      <c r="AS267" s="52"/>
      <c r="AT267" s="52"/>
      <c r="AU267" s="52"/>
      <c r="AV267" s="52"/>
      <c r="AW267" s="52"/>
      <c r="AX267" s="52"/>
    </row>
    <row r="268" spans="1:76" s="56" customFormat="1" ht="7.5" customHeight="1">
      <c r="A268" s="208"/>
      <c r="B268" s="12"/>
      <c r="C268" s="12"/>
      <c r="D268" s="11"/>
      <c r="E268" s="11"/>
      <c r="F268" s="11"/>
      <c r="G268" s="11"/>
      <c r="H268" s="11"/>
      <c r="I268" s="11"/>
      <c r="J268" s="11"/>
      <c r="K268" s="11"/>
      <c r="L268" s="1"/>
      <c r="M268" s="13"/>
      <c r="N268" s="13"/>
      <c r="O268" s="13"/>
      <c r="P268" s="13"/>
      <c r="Q268" s="13"/>
      <c r="R268" s="13"/>
      <c r="S268" s="14"/>
      <c r="T268" s="5"/>
      <c r="U268" s="86"/>
      <c r="V268" s="185"/>
      <c r="W268" s="114"/>
      <c r="Y268" s="52"/>
      <c r="Z268" s="52"/>
      <c r="AA268" s="52"/>
      <c r="AB268" s="52"/>
      <c r="AC268" s="52"/>
      <c r="AD268" s="52"/>
      <c r="AF268" s="149"/>
      <c r="AG268" s="52"/>
      <c r="AH268" s="52"/>
      <c r="AI268" s="52"/>
      <c r="AJ268" s="119"/>
      <c r="AK268" s="52"/>
      <c r="AL268" s="52"/>
      <c r="AM268" s="52"/>
      <c r="AN268" s="52"/>
      <c r="AO268" s="52"/>
      <c r="AP268" s="52"/>
      <c r="AQ268" s="52"/>
      <c r="AR268" s="52"/>
      <c r="AS268" s="52"/>
      <c r="AT268" s="52"/>
      <c r="AU268" s="52"/>
      <c r="AV268" s="52"/>
      <c r="AW268" s="52"/>
      <c r="AX268" s="52"/>
    </row>
    <row r="269" spans="1:76" s="56" customFormat="1" ht="15" customHeight="1">
      <c r="A269" s="327"/>
      <c r="B269" s="47"/>
      <c r="C269" s="47"/>
      <c r="D269" s="47"/>
      <c r="E269" s="47"/>
      <c r="F269" s="47"/>
      <c r="G269" s="47"/>
      <c r="H269" s="47"/>
      <c r="I269" s="47"/>
      <c r="J269" s="47"/>
      <c r="K269" s="47"/>
      <c r="L269" s="47"/>
      <c r="M269" s="47"/>
      <c r="N269" s="47"/>
      <c r="O269" s="47"/>
      <c r="P269" s="47"/>
      <c r="Q269" s="47"/>
      <c r="R269" s="47"/>
      <c r="S269" s="47"/>
      <c r="T269" s="47"/>
      <c r="U269" s="328"/>
      <c r="V269" s="185"/>
      <c r="W269" s="114"/>
      <c r="X269" s="46"/>
      <c r="Y269" s="40"/>
      <c r="Z269" s="40"/>
      <c r="AA269" s="40"/>
      <c r="AB269" s="40"/>
      <c r="AC269" s="40"/>
      <c r="AD269" s="40"/>
      <c r="AF269" s="149"/>
      <c r="AG269" s="52"/>
      <c r="AH269" s="52"/>
      <c r="AI269" s="52"/>
      <c r="AJ269" s="119"/>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c r="BX269" s="52"/>
    </row>
    <row r="270" spans="1:76" s="56" customFormat="1" ht="11.25" customHeight="1">
      <c r="A270" s="1955"/>
      <c r="B270" s="1958"/>
      <c r="C270" s="1958"/>
      <c r="D270" s="1958"/>
      <c r="E270" s="1958"/>
      <c r="F270" s="1958"/>
      <c r="G270" s="1958"/>
      <c r="H270" s="1958"/>
      <c r="I270" s="1958"/>
      <c r="J270" s="1958"/>
      <c r="K270" s="1958"/>
      <c r="L270" s="1958"/>
      <c r="M270" s="1958"/>
      <c r="N270" s="1958"/>
      <c r="O270" s="1958"/>
      <c r="P270" s="1958"/>
      <c r="Q270" s="1958"/>
      <c r="R270" s="1958"/>
      <c r="S270" s="1958"/>
      <c r="T270" s="1958"/>
      <c r="U270" s="1257"/>
      <c r="V270" s="185"/>
      <c r="W270" s="114"/>
      <c r="X270" s="46"/>
      <c r="Y270" s="40"/>
      <c r="Z270" s="40"/>
      <c r="AA270" s="40"/>
      <c r="AB270" s="40"/>
      <c r="AC270" s="40"/>
      <c r="AD270" s="40"/>
      <c r="AF270" s="149"/>
      <c r="AG270" s="52"/>
      <c r="AH270" s="52"/>
      <c r="AI270" s="52"/>
      <c r="AJ270" s="119"/>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c r="BX270" s="52"/>
    </row>
    <row r="271" spans="1:76" ht="10.5" customHeight="1">
      <c r="A271" s="81"/>
      <c r="B271" s="82"/>
      <c r="C271" s="82"/>
      <c r="D271" s="82"/>
      <c r="E271" s="82"/>
      <c r="F271" s="82"/>
      <c r="G271" s="82"/>
      <c r="H271" s="82"/>
      <c r="I271" s="82"/>
      <c r="J271" s="82"/>
      <c r="K271" s="82"/>
      <c r="L271" s="83"/>
      <c r="M271" s="82"/>
      <c r="N271" s="82"/>
      <c r="O271" s="82"/>
      <c r="P271" s="82"/>
      <c r="Q271" s="82"/>
      <c r="R271" s="82"/>
      <c r="S271" s="82"/>
      <c r="T271" s="82"/>
      <c r="U271" s="84"/>
      <c r="V271" s="102"/>
      <c r="W271" s="114"/>
      <c r="X271" s="249" t="s">
        <v>208</v>
      </c>
      <c r="Y271" s="250"/>
      <c r="Z271" s="52"/>
      <c r="AA271" s="52"/>
      <c r="AI271" s="56"/>
      <c r="AJ271" s="119"/>
    </row>
    <row r="272" spans="1:76" ht="18.75" customHeight="1">
      <c r="A272" s="87"/>
      <c r="B272" s="1919" t="s">
        <v>1278</v>
      </c>
      <c r="C272" s="1919"/>
      <c r="D272" s="1919"/>
      <c r="E272" s="1919"/>
      <c r="F272" s="1919"/>
      <c r="G272" s="1919"/>
      <c r="H272" s="1919"/>
      <c r="I272" s="1177"/>
      <c r="J272" s="1177"/>
      <c r="K272" s="76"/>
      <c r="L272" s="76"/>
      <c r="M272" s="50"/>
      <c r="N272" s="50"/>
      <c r="O272" s="50"/>
      <c r="P272" s="224"/>
      <c r="Q272" s="50"/>
      <c r="R272" s="50"/>
      <c r="S272" s="50"/>
      <c r="T272" s="5"/>
      <c r="U272" s="86"/>
      <c r="V272" s="102"/>
      <c r="W272" s="114"/>
      <c r="X272" s="248"/>
      <c r="Y272" s="307" t="str">
        <f>IF(ReportData!$C$3="Annual","",ReportData!$D$28)</f>
        <v/>
      </c>
      <c r="Z272" s="307" t="str">
        <f>IF(ReportData!$C$3="Annual","",ReportData!$E$28)</f>
        <v/>
      </c>
      <c r="AA272" s="307" t="str">
        <f>IF(ReportData!$C$3="Annual","",ReportData!$F$28)</f>
        <v/>
      </c>
      <c r="AB272" s="307" t="str">
        <f>IF(ReportData!$C$3="Annual","",ReportData!$G$28)</f>
        <v/>
      </c>
      <c r="AC272" s="307" t="str">
        <f>IF(ReportData!$C$3="Annual","",ReportData!$H$28)</f>
        <v/>
      </c>
      <c r="AI272" s="56"/>
      <c r="AJ272" s="119"/>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row>
    <row r="273" spans="1:76" ht="18.75" customHeight="1">
      <c r="A273" s="87"/>
      <c r="B273" s="1919"/>
      <c r="C273" s="1919"/>
      <c r="D273" s="1919"/>
      <c r="E273" s="1919"/>
      <c r="F273" s="1919"/>
      <c r="G273" s="1919"/>
      <c r="H273" s="1919"/>
      <c r="I273" s="1177"/>
      <c r="J273" s="1177"/>
      <c r="K273" s="76"/>
      <c r="L273" s="76"/>
      <c r="M273" s="50"/>
      <c r="N273" s="50"/>
      <c r="O273" s="50"/>
      <c r="P273" s="224"/>
      <c r="Q273" s="50"/>
      <c r="R273" s="50"/>
      <c r="S273" s="50"/>
      <c r="T273" s="5"/>
      <c r="U273" s="86"/>
      <c r="V273" s="102"/>
      <c r="W273" s="114"/>
      <c r="X273" s="248"/>
      <c r="Y273" s="307" t="str">
        <f>ReportData!$D$27</f>
        <v>2019/20</v>
      </c>
      <c r="Z273" s="307" t="str">
        <f>ReportData!$E$27</f>
        <v>2020/21</v>
      </c>
      <c r="AA273" s="307" t="str">
        <f>ReportData!$F$27</f>
        <v>2021/22</v>
      </c>
      <c r="AB273" s="307" t="str">
        <f>ReportData!$G$27</f>
        <v>2022/23</v>
      </c>
      <c r="AC273" s="307" t="str">
        <f>ReportData!$H$27</f>
        <v>2023/24</v>
      </c>
      <c r="AI273" s="56"/>
      <c r="AJ273" s="119"/>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row>
    <row r="274" spans="1:76" s="61" customFormat="1" ht="18.75" customHeight="1">
      <c r="A274" s="1148"/>
      <c r="B274" s="1749" t="s">
        <v>177</v>
      </c>
      <c r="C274" s="230"/>
      <c r="D274" s="1088" t="str">
        <f>ReportData!$D$27</f>
        <v>2019/20</v>
      </c>
      <c r="E274" s="1088" t="str">
        <f>ReportData!$E$27</f>
        <v>2020/21</v>
      </c>
      <c r="F274" s="1088" t="str">
        <f>ReportData!$F$27</f>
        <v>2021/22</v>
      </c>
      <c r="G274" s="1088" t="str">
        <f>ReportData!$G$27</f>
        <v>2022/23</v>
      </c>
      <c r="H274" s="1089" t="str">
        <f>ReportData!$H$27</f>
        <v>2023/24</v>
      </c>
      <c r="I274" s="43"/>
      <c r="J274" s="68"/>
      <c r="K274" s="68"/>
      <c r="L274" s="68"/>
      <c r="M274" s="43"/>
      <c r="N274" s="43"/>
      <c r="O274" s="43"/>
      <c r="P274" s="43"/>
      <c r="Q274" s="43"/>
      <c r="R274" s="225"/>
      <c r="S274" s="226"/>
      <c r="T274" s="59"/>
      <c r="U274" s="89"/>
      <c r="V274" s="102"/>
      <c r="W274" s="114"/>
      <c r="X274" s="248" t="str">
        <f t="shared" ref="X274:X286" si="103">B276</f>
        <v>Bracknell Forest</v>
      </c>
      <c r="Y274" s="248" t="str">
        <f>IF(Year1_Bracknell_Forest Year1_ROSGO_ceased_LAC_SGO="","",Year1_Bracknell_Forest Year1_ROSGO_ceased_LAC_SGO)</f>
        <v>x</v>
      </c>
      <c r="Z274" s="248" t="str">
        <f>IF(Year2_Bracknell_Forest Year2_ROSGO_ceased_LAC_SGO="","",Year2_Bracknell_Forest Year2_ROSGO_ceased_LAC_SGO)</f>
        <v>x</v>
      </c>
      <c r="AA274" s="248" t="str">
        <f>IF(Year3_Bracknell_Forest Year3_ROSGO_ceased_LAC_SGO="","",Year3_Bracknell_Forest Year3_ROSGO_ceased_LAC_SGO)</f>
        <v>c</v>
      </c>
      <c r="AB274" s="248" t="str">
        <f>IF(Year4_Bracknell_Forest Year4_ROSGO_ceased_LAC_SGO="","",Year4_Bracknell_Forest Year4_ROSGO_ceased_LAC_SGO)</f>
        <v>c</v>
      </c>
      <c r="AC274" s="248" t="str">
        <f>IF(Year5_Bracknell_Forest Year5_ROSGO_ceased_LAC_SGO="","",Year5_Bracknell_Forest Year5_ROSGO_ceased_LAC_SGO)</f>
        <v>c</v>
      </c>
      <c r="AD274" s="251"/>
      <c r="AE274" s="56"/>
      <c r="AF274" s="56"/>
      <c r="AG274" s="56"/>
      <c r="AH274" s="56"/>
      <c r="AI274" s="56"/>
      <c r="AJ274" s="119"/>
      <c r="AK274" s="52"/>
      <c r="AL274" s="52"/>
      <c r="AM274" s="52"/>
      <c r="AN274" s="52"/>
      <c r="AO274" s="52"/>
      <c r="AP274" s="52"/>
      <c r="AQ274" s="52"/>
      <c r="AR274" s="52"/>
      <c r="AS274" s="52"/>
      <c r="AT274" s="52"/>
      <c r="AU274" s="52"/>
      <c r="AV274" s="52"/>
      <c r="AW274" s="52"/>
      <c r="AX274" s="52"/>
    </row>
    <row r="275" spans="1:76" s="61" customFormat="1" ht="16.5" customHeight="1">
      <c r="A275" s="1097"/>
      <c r="B275" s="1750"/>
      <c r="C275" s="59"/>
      <c r="D275" s="897" t="e">
        <f>ReportData!$D$28</f>
        <v>#N/A</v>
      </c>
      <c r="E275" s="897" t="e">
        <f>ReportData!$E$28</f>
        <v>#N/A</v>
      </c>
      <c r="F275" s="897" t="e">
        <f>ReportData!$F$28</f>
        <v>#N/A</v>
      </c>
      <c r="G275" s="897" t="e">
        <f>ReportData!$G$28</f>
        <v>#N/A</v>
      </c>
      <c r="H275" s="920" t="e">
        <f>ReportData!$H$28</f>
        <v>#N/A</v>
      </c>
      <c r="I275" s="43"/>
      <c r="J275" s="68"/>
      <c r="K275" s="68"/>
      <c r="L275" s="68"/>
      <c r="M275" s="43"/>
      <c r="N275" s="43"/>
      <c r="O275" s="43"/>
      <c r="P275" s="43"/>
      <c r="Q275" s="43"/>
      <c r="R275" s="225"/>
      <c r="S275" s="226"/>
      <c r="T275" s="59"/>
      <c r="U275" s="89"/>
      <c r="V275" s="102"/>
      <c r="W275" s="114"/>
      <c r="X275" s="248" t="str">
        <f t="shared" si="103"/>
        <v>Brighton &amp; Hove</v>
      </c>
      <c r="Y275" s="248">
        <f>IF(Year1_Brighton_and_Hove Year1_ROSGO_ceased_LAC_SGO="","",Year1_Brighton_and_Hove Year1_ROSGO_ceased_LAC_SGO)</f>
        <v>29</v>
      </c>
      <c r="Z275" s="248">
        <f>IF(Year2_Brighton_and_Hove Year2_ROSGO_ceased_LAC_SGO="","",Year2_Brighton_and_Hove Year2_ROSGO_ceased_LAC_SGO)</f>
        <v>30</v>
      </c>
      <c r="AA275" s="248">
        <f>IF(Year3_Brighton_and_Hove Year3_ROSGO_ceased_LAC_SGO="","",Year3_Brighton_and_Hove Year3_ROSGO_ceased_LAC_SGO)</f>
        <v>16</v>
      </c>
      <c r="AB275" s="248">
        <f>IF(Year4_Brighton_and_Hove Year4_ROSGO_ceased_LAC_SGO="","",Year4_Brighton_and_Hove Year4_ROSGO_ceased_LAC_SGO)</f>
        <v>14</v>
      </c>
      <c r="AC275" s="248">
        <f>IF(Year5_Brighton_and_Hove Year5_ROSGO_ceased_LAC_SGO="","",Year5_Brighton_and_Hove Year5_ROSGO_ceased_LAC_SGO)</f>
        <v>14</v>
      </c>
      <c r="AD275" s="251"/>
      <c r="AE275" s="56"/>
      <c r="AF275" s="56"/>
      <c r="AG275" s="56"/>
      <c r="AH275" s="56"/>
      <c r="AI275" s="56"/>
      <c r="AJ275" s="119"/>
      <c r="AK275" s="52"/>
      <c r="AL275" s="52"/>
      <c r="AM275" s="52"/>
      <c r="AN275" s="52"/>
      <c r="AO275" s="52"/>
      <c r="AP275" s="52"/>
      <c r="AQ275" s="52"/>
      <c r="AR275" s="52"/>
      <c r="AS275" s="52"/>
      <c r="AT275" s="52"/>
      <c r="AU275" s="52"/>
      <c r="AV275" s="52"/>
      <c r="AW275" s="52"/>
      <c r="AX275" s="52"/>
    </row>
    <row r="276" spans="1:76" s="61" customFormat="1" ht="13.5" customHeight="1">
      <c r="A276" s="1103">
        <f>VLOOKUP(B276,ReportData!$AQ$4:$AR$25,2,FALSE)</f>
        <v>0</v>
      </c>
      <c r="B276" s="885" t="str">
        <f>Permanence!B142</f>
        <v>Bracknell Forest</v>
      </c>
      <c r="C276" s="59"/>
      <c r="D276" s="922" t="e">
        <f t="shared" ref="D276:D296" si="104">IF(AND(ISNUMBER(D180),ISNUMBER(Y274)),Y274/D180,NA())</f>
        <v>#N/A</v>
      </c>
      <c r="E276" s="922" t="e">
        <f t="shared" ref="E276:E296" si="105">IF(AND(ISNUMBER(E180),ISNUMBER(Z274)),Z274/E180,NA())</f>
        <v>#N/A</v>
      </c>
      <c r="F276" s="922" t="e">
        <f t="shared" ref="F276:F296" si="106">IF(AND(ISNUMBER(F180),ISNUMBER(AA274)),AA274/F180,NA())</f>
        <v>#N/A</v>
      </c>
      <c r="G276" s="922" t="e">
        <f t="shared" ref="G276:G296" si="107">IF(AND(ISNUMBER(G180),ISNUMBER(AB274)),AB274/G180,NA())</f>
        <v>#N/A</v>
      </c>
      <c r="H276" s="923" t="e">
        <f t="shared" ref="H276:H296" si="108">IF(AND(ISNUMBER(H180),ISNUMBER(AC274)),AC274/H180,NA())</f>
        <v>#N/A</v>
      </c>
      <c r="I276" s="274"/>
      <c r="J276" s="68"/>
      <c r="K276" s="68"/>
      <c r="L276" s="68"/>
      <c r="M276" s="127"/>
      <c r="N276" s="127"/>
      <c r="O276" s="127"/>
      <c r="P276" s="127"/>
      <c r="Q276" s="127"/>
      <c r="R276" s="127"/>
      <c r="S276" s="127"/>
      <c r="T276" s="59"/>
      <c r="U276" s="89"/>
      <c r="V276" s="102"/>
      <c r="W276" s="114"/>
      <c r="X276" s="248" t="str">
        <f t="shared" si="103"/>
        <v>Buckinghamshire</v>
      </c>
      <c r="Y276" s="248">
        <f>IF(Year1_Buckinghamshire Year1_ROSGO_ceased_LAC_SGO="","",Year1_Buckinghamshire Year1_ROSGO_ceased_LAC_SGO)</f>
        <v>18</v>
      </c>
      <c r="Z276" s="248">
        <f>IF(Year2_Buckinghamshire Year2_ROSGO_ceased_LAC_SGO="","",Year2_Buckinghamshire Year2_ROSGO_ceased_LAC_SGO)</f>
        <v>16</v>
      </c>
      <c r="AA276" s="248">
        <f>IF(Year3_Buckinghamshire Year3_ROSGO_ceased_LAC_SGO="","",Year3_Buckinghamshire Year3_ROSGO_ceased_LAC_SGO)</f>
        <v>26</v>
      </c>
      <c r="AB276" s="248">
        <f>IF(Year4_Buckinghamshire Year4_ROSGO_ceased_LAC_SGO="","",Year4_Buckinghamshire Year4_ROSGO_ceased_LAC_SGO)</f>
        <v>14</v>
      </c>
      <c r="AC276" s="248">
        <f>IF(Year5_Buckinghamshire Year5_ROSGO_ceased_LAC_SGO="","",Year5_Buckinghamshire Year5_ROSGO_ceased_LAC_SGO)</f>
        <v>18</v>
      </c>
      <c r="AD276" s="251"/>
      <c r="AE276" s="56"/>
      <c r="AF276" s="56"/>
      <c r="AG276" s="56"/>
      <c r="AH276" s="56"/>
      <c r="AI276" s="56"/>
      <c r="AJ276" s="119"/>
      <c r="AK276" s="52"/>
      <c r="AL276" s="52"/>
      <c r="AM276" s="52"/>
      <c r="AN276" s="52"/>
      <c r="AO276" s="52"/>
      <c r="AP276" s="52"/>
      <c r="AQ276" s="52"/>
      <c r="AR276" s="52"/>
      <c r="AS276" s="52"/>
      <c r="AT276" s="52"/>
      <c r="AU276" s="52"/>
      <c r="AV276" s="52"/>
      <c r="AW276" s="52"/>
      <c r="AX276" s="52"/>
    </row>
    <row r="277" spans="1:76" s="61" customFormat="1" ht="13.5" customHeight="1">
      <c r="A277" s="1103">
        <f>VLOOKUP(B277,ReportData!$AQ$4:$AR$25,2,FALSE)</f>
        <v>0</v>
      </c>
      <c r="B277" s="885" t="str">
        <f>Permanence!B143</f>
        <v>Brighton &amp; Hove</v>
      </c>
      <c r="C277" s="59"/>
      <c r="D277" s="922">
        <f t="shared" si="104"/>
        <v>0.16292134831460675</v>
      </c>
      <c r="E277" s="922">
        <f t="shared" si="105"/>
        <v>0.19607843137254902</v>
      </c>
      <c r="F277" s="922">
        <f t="shared" si="106"/>
        <v>0.11940298507462686</v>
      </c>
      <c r="G277" s="922">
        <f t="shared" si="107"/>
        <v>8.5889570552147243E-2</v>
      </c>
      <c r="H277" s="923">
        <f t="shared" si="108"/>
        <v>0.1037037037037037</v>
      </c>
      <c r="I277" s="274"/>
      <c r="J277" s="68"/>
      <c r="K277" s="68"/>
      <c r="L277" s="68"/>
      <c r="M277" s="127"/>
      <c r="N277" s="127"/>
      <c r="O277" s="127"/>
      <c r="P277" s="127"/>
      <c r="Q277" s="127"/>
      <c r="R277" s="127"/>
      <c r="S277" s="127"/>
      <c r="T277" s="59"/>
      <c r="U277" s="89"/>
      <c r="V277" s="102"/>
      <c r="W277" s="114"/>
      <c r="X277" s="248" t="str">
        <f t="shared" si="103"/>
        <v>East Sussex</v>
      </c>
      <c r="Y277" s="248">
        <f>IF(Year1_East_Sussex Year1_ROSGO_ceased_LAC_SGO="","",Year1_East_Sussex Year1_ROSGO_ceased_LAC_SGO)</f>
        <v>22</v>
      </c>
      <c r="Z277" s="248">
        <f>IF(Year2_East_Sussex Year2_ROSGO_ceased_LAC_SGO="","",Year2_East_Sussex Year2_ROSGO_ceased_LAC_SGO)</f>
        <v>29</v>
      </c>
      <c r="AA277" s="248">
        <f>IF(Year3_East_Sussex Year3_ROSGO_ceased_LAC_SGO="","",Year3_East_Sussex Year3_ROSGO_ceased_LAC_SGO)</f>
        <v>36</v>
      </c>
      <c r="AB277" s="248">
        <f>IF(Year4_East_Sussex Year4_ROSGO_ceased_LAC_SGO="","",Year4_East_Sussex Year4_ROSGO_ceased_LAC_SGO)</f>
        <v>40</v>
      </c>
      <c r="AC277" s="248">
        <f>IF(Year5_East_Sussex Year5_ROSGO_ceased_LAC_SGO="","",Year5_East_Sussex Year5_ROSGO_ceased_LAC_SGO)</f>
        <v>38</v>
      </c>
      <c r="AD277" s="251"/>
      <c r="AE277" s="56"/>
      <c r="AF277" s="56"/>
      <c r="AG277" s="56"/>
      <c r="AH277" s="56"/>
      <c r="AI277" s="56"/>
      <c r="AJ277" s="119"/>
      <c r="AK277" s="52"/>
      <c r="AL277" s="52"/>
      <c r="AM277" s="52"/>
      <c r="AN277" s="52"/>
      <c r="AO277" s="52"/>
      <c r="AP277" s="52"/>
      <c r="AQ277" s="52"/>
      <c r="AR277" s="52"/>
      <c r="AS277" s="52"/>
      <c r="AT277" s="52"/>
      <c r="AU277" s="52"/>
      <c r="AV277" s="52"/>
      <c r="AW277" s="52"/>
      <c r="AX277" s="52"/>
    </row>
    <row r="278" spans="1:76" s="61" customFormat="1" ht="13.5" customHeight="1">
      <c r="A278" s="1103">
        <f>VLOOKUP(B278,ReportData!$AQ$4:$AR$25,2,FALSE)</f>
        <v>0</v>
      </c>
      <c r="B278" s="885" t="str">
        <f>Permanence!B144</f>
        <v>Buckinghamshire</v>
      </c>
      <c r="C278" s="59"/>
      <c r="D278" s="922">
        <f t="shared" si="104"/>
        <v>7.6595744680851063E-2</v>
      </c>
      <c r="E278" s="922">
        <f t="shared" si="105"/>
        <v>8.6956521739130432E-2</v>
      </c>
      <c r="F278" s="922">
        <f t="shared" si="106"/>
        <v>0.12621359223300971</v>
      </c>
      <c r="G278" s="922">
        <f t="shared" si="107"/>
        <v>7.0351758793969849E-2</v>
      </c>
      <c r="H278" s="923">
        <f t="shared" si="108"/>
        <v>8.8235294117647065E-2</v>
      </c>
      <c r="I278" s="274"/>
      <c r="J278" s="68"/>
      <c r="K278" s="68"/>
      <c r="L278" s="68"/>
      <c r="M278" s="127"/>
      <c r="N278" s="127"/>
      <c r="O278" s="127"/>
      <c r="P278" s="127"/>
      <c r="Q278" s="127"/>
      <c r="R278" s="127"/>
      <c r="S278" s="127"/>
      <c r="T278" s="59"/>
      <c r="U278" s="89"/>
      <c r="V278" s="102"/>
      <c r="W278" s="114"/>
      <c r="X278" s="248" t="str">
        <f t="shared" si="103"/>
        <v>Hampshire</v>
      </c>
      <c r="Y278" s="248">
        <f>IF(Year1_Hampshire Year1_ROSGO_ceased_LAC_SGO="","",Year1_Hampshire Year1_ROSGO_ceased_LAC_SGO)</f>
        <v>90</v>
      </c>
      <c r="Z278" s="248">
        <f>IF(Year2_Hampshire Year2_ROSGO_ceased_LAC_SGO="","",Year2_Hampshire Year2_ROSGO_ceased_LAC_SGO)</f>
        <v>77</v>
      </c>
      <c r="AA278" s="248">
        <f>IF(Year3_Hampshire Year3_ROSGO_ceased_LAC_SGO="","",Year3_Hampshire Year3_ROSGO_ceased_LAC_SGO)</f>
        <v>61</v>
      </c>
      <c r="AB278" s="248">
        <f>IF(Year4_Hampshire Year4_ROSGO_ceased_LAC_SGO="","",Year4_Hampshire Year4_ROSGO_ceased_LAC_SGO)</f>
        <v>81</v>
      </c>
      <c r="AC278" s="248">
        <f>IF(Year5_Hampshire Year5_ROSGO_ceased_LAC_SGO="","",Year5_Hampshire Year5_ROSGO_ceased_LAC_SGO)</f>
        <v>73</v>
      </c>
      <c r="AD278" s="251"/>
      <c r="AE278" s="56"/>
      <c r="AF278" s="56"/>
      <c r="AG278" s="56"/>
      <c r="AH278" s="56"/>
      <c r="AI278" s="56"/>
      <c r="AJ278" s="119"/>
      <c r="AK278" s="52"/>
      <c r="AL278" s="52"/>
      <c r="AM278" s="52"/>
      <c r="AN278" s="52"/>
      <c r="AO278" s="52"/>
      <c r="AP278" s="52"/>
      <c r="AQ278" s="52"/>
      <c r="AR278" s="52"/>
      <c r="AS278" s="52"/>
      <c r="AT278" s="52"/>
      <c r="AU278" s="52"/>
      <c r="AV278" s="52"/>
      <c r="AW278" s="52"/>
      <c r="AX278" s="52"/>
    </row>
    <row r="279" spans="1:76" s="61" customFormat="1" ht="13.5" customHeight="1">
      <c r="A279" s="1103">
        <f>VLOOKUP(B279,ReportData!$AQ$4:$AR$25,2,FALSE)</f>
        <v>0</v>
      </c>
      <c r="B279" s="885" t="str">
        <f>Permanence!B145</f>
        <v>East Sussex</v>
      </c>
      <c r="C279" s="59"/>
      <c r="D279" s="922">
        <f t="shared" si="104"/>
        <v>0.125</v>
      </c>
      <c r="E279" s="922">
        <f t="shared" si="105"/>
        <v>0.16477272727272727</v>
      </c>
      <c r="F279" s="922">
        <f t="shared" si="106"/>
        <v>0.16071428571428573</v>
      </c>
      <c r="G279" s="922">
        <f t="shared" si="107"/>
        <v>0.18779342723004694</v>
      </c>
      <c r="H279" s="923">
        <f t="shared" si="108"/>
        <v>0.16170212765957448</v>
      </c>
      <c r="I279" s="274"/>
      <c r="J279" s="68"/>
      <c r="K279" s="68"/>
      <c r="L279" s="68"/>
      <c r="M279" s="127"/>
      <c r="N279" s="127"/>
      <c r="O279" s="127"/>
      <c r="P279" s="127"/>
      <c r="Q279" s="127"/>
      <c r="R279" s="127"/>
      <c r="S279" s="127"/>
      <c r="T279" s="59"/>
      <c r="U279" s="89"/>
      <c r="V279" s="102"/>
      <c r="W279" s="114"/>
      <c r="X279" s="248" t="str">
        <f t="shared" si="103"/>
        <v>Isle of Wight</v>
      </c>
      <c r="Y279" s="248" t="str">
        <f>IF(Year1_Isle_of_Wight Year1_ROSGO_ceased_LAC_SGO="","",Year1_Isle_of_Wight Year1_ROSGO_ceased_LAC_SGO)</f>
        <v>x</v>
      </c>
      <c r="Z279" s="248" t="str">
        <f>IF(Year2_Isle_of_Wight Year2_ROSGO_ceased_LAC_SGO="","",Year2_Isle_of_Wight Year2_ROSGO_ceased_LAC_SGO)</f>
        <v>x</v>
      </c>
      <c r="AA279" s="248">
        <f>IF(Year3_Isle_of_Wight Year3_ROSGO_ceased_LAC_SGO="","",Year3_Isle_of_Wight Year3_ROSGO_ceased_LAC_SGO)</f>
        <v>9</v>
      </c>
      <c r="AB279" s="248">
        <f>IF(Year4_Isle_of_Wight Year4_ROSGO_ceased_LAC_SGO="","",Year4_Isle_of_Wight Year4_ROSGO_ceased_LAC_SGO)</f>
        <v>6</v>
      </c>
      <c r="AC279" s="248" t="str">
        <f>IF(Year5_Isle_of_Wight Year5_ROSGO_ceased_LAC_SGO="","",Year5_Isle_of_Wight Year5_ROSGO_ceased_LAC_SGO)</f>
        <v>c</v>
      </c>
      <c r="AD279" s="251"/>
      <c r="AE279" s="56"/>
      <c r="AF279" s="56"/>
      <c r="AG279" s="56"/>
      <c r="AH279" s="56"/>
      <c r="AI279" s="56"/>
      <c r="AJ279" s="119"/>
      <c r="AK279" s="52"/>
      <c r="AL279" s="52"/>
      <c r="AM279" s="52"/>
      <c r="AN279" s="52"/>
      <c r="AO279" s="52"/>
      <c r="AP279" s="52"/>
      <c r="AQ279" s="52"/>
      <c r="AR279" s="52"/>
      <c r="AS279" s="52"/>
      <c r="AT279" s="52"/>
      <c r="AU279" s="52"/>
      <c r="AV279" s="52"/>
      <c r="AW279" s="52"/>
      <c r="AX279" s="52"/>
    </row>
    <row r="280" spans="1:76" s="61" customFormat="1" ht="13.5" customHeight="1">
      <c r="A280" s="1103">
        <f>VLOOKUP(B280,ReportData!$AQ$4:$AR$25,2,FALSE)</f>
        <v>0</v>
      </c>
      <c r="B280" s="885" t="str">
        <f>Permanence!B146</f>
        <v>Hampshire</v>
      </c>
      <c r="C280" s="59"/>
      <c r="D280" s="922">
        <f t="shared" si="104"/>
        <v>0.14423076923076922</v>
      </c>
      <c r="E280" s="922">
        <f t="shared" si="105"/>
        <v>0.13438045375218149</v>
      </c>
      <c r="F280" s="922">
        <f t="shared" si="106"/>
        <v>0.10971223021582734</v>
      </c>
      <c r="G280" s="922">
        <f t="shared" si="107"/>
        <v>0.13235294117647059</v>
      </c>
      <c r="H280" s="923">
        <f t="shared" si="108"/>
        <v>0.11388455538221529</v>
      </c>
      <c r="I280" s="274"/>
      <c r="J280" s="68"/>
      <c r="K280" s="68"/>
      <c r="L280" s="68"/>
      <c r="M280" s="127"/>
      <c r="N280" s="127"/>
      <c r="O280" s="127"/>
      <c r="P280" s="127"/>
      <c r="Q280" s="127"/>
      <c r="R280" s="127"/>
      <c r="S280" s="127"/>
      <c r="T280" s="59"/>
      <c r="U280" s="89"/>
      <c r="V280" s="102"/>
      <c r="W280" s="114"/>
      <c r="X280" s="248" t="str">
        <f t="shared" si="103"/>
        <v>Kent</v>
      </c>
      <c r="Y280" s="248">
        <f>IF(Year1_Kent Year1_ROSGO_ceased_LAC_SGO="","",Year1_Kent Year1_ROSGO_ceased_LAC_SGO)</f>
        <v>49</v>
      </c>
      <c r="Z280" s="248">
        <f>IF(Year2_Kent Year2_ROSGO_ceased_LAC_SGO="","",Year2_Kent Year2_ROSGO_ceased_LAC_SGO)</f>
        <v>36</v>
      </c>
      <c r="AA280" s="248">
        <f>IF(Year3_Kent Year3_ROSGO_ceased_LAC_SGO="","",Year3_Kent Year3_ROSGO_ceased_LAC_SGO)</f>
        <v>39</v>
      </c>
      <c r="AB280" s="248">
        <f>IF(Year4_Kent Year4_ROSGO_ceased_LAC_SGO="","",Year4_Kent Year4_ROSGO_ceased_LAC_SGO)</f>
        <v>33</v>
      </c>
      <c r="AC280" s="248">
        <f>IF(Year5_Kent Year5_ROSGO_ceased_LAC_SGO="","",Year5_Kent Year5_ROSGO_ceased_LAC_SGO)</f>
        <v>39</v>
      </c>
      <c r="AD280" s="251"/>
      <c r="AE280" s="56"/>
      <c r="AF280" s="56"/>
      <c r="AG280" s="56"/>
      <c r="AH280" s="56"/>
      <c r="AI280" s="56"/>
      <c r="AJ280" s="119"/>
      <c r="AK280" s="52"/>
      <c r="AL280" s="52"/>
      <c r="AM280" s="52"/>
      <c r="AN280" s="52"/>
      <c r="AO280" s="52"/>
      <c r="AP280" s="52"/>
      <c r="AQ280" s="52"/>
      <c r="AR280" s="52"/>
      <c r="AS280" s="52"/>
      <c r="AT280" s="52"/>
      <c r="AU280" s="52"/>
      <c r="AV280" s="52"/>
      <c r="AW280" s="52"/>
      <c r="AX280" s="52"/>
    </row>
    <row r="281" spans="1:76" s="61" customFormat="1" ht="13.5" customHeight="1">
      <c r="A281" s="1103">
        <f>VLOOKUP(B281,ReportData!$AQ$4:$AR$25,2,FALSE)</f>
        <v>0</v>
      </c>
      <c r="B281" s="885" t="str">
        <f>Permanence!B147</f>
        <v>Isle of Wight</v>
      </c>
      <c r="C281" s="59"/>
      <c r="D281" s="922" t="e">
        <f t="shared" si="104"/>
        <v>#N/A</v>
      </c>
      <c r="E281" s="922" t="e">
        <f t="shared" si="105"/>
        <v>#N/A</v>
      </c>
      <c r="F281" s="922">
        <f t="shared" si="106"/>
        <v>0.10112359550561797</v>
      </c>
      <c r="G281" s="922">
        <f t="shared" si="107"/>
        <v>7.792207792207792E-2</v>
      </c>
      <c r="H281" s="923" t="e">
        <f t="shared" si="108"/>
        <v>#N/A</v>
      </c>
      <c r="I281" s="274"/>
      <c r="J281" s="68"/>
      <c r="K281" s="68"/>
      <c r="L281" s="68"/>
      <c r="M281" s="127"/>
      <c r="N281" s="127"/>
      <c r="O281" s="127"/>
      <c r="P281" s="127"/>
      <c r="Q281" s="127"/>
      <c r="R281" s="127"/>
      <c r="S281" s="127"/>
      <c r="T281" s="59"/>
      <c r="U281" s="89"/>
      <c r="V281" s="102"/>
      <c r="W281" s="114"/>
      <c r="X281" s="248" t="str">
        <f t="shared" si="103"/>
        <v>Medway</v>
      </c>
      <c r="Y281" s="248">
        <f>IF(Year1_Medway Year1_ROSGO_ceased_LAC_SGO="","",Year1_Medway Year1_ROSGO_ceased_LAC_SGO)</f>
        <v>23</v>
      </c>
      <c r="Z281" s="248">
        <f>IF(Year2_Medway Year2_ROSGO_ceased_LAC_SGO="","",Year2_Medway Year2_ROSGO_ceased_LAC_SGO)</f>
        <v>12</v>
      </c>
      <c r="AA281" s="248">
        <f>IF(Year3_Medway Year3_ROSGO_ceased_LAC_SGO="","",Year3_Medway Year3_ROSGO_ceased_LAC_SGO)</f>
        <v>20</v>
      </c>
      <c r="AB281" s="248">
        <f>IF(Year4_Medway Year4_ROSGO_ceased_LAC_SGO="","",Year4_Medway Year4_ROSGO_ceased_LAC_SGO)</f>
        <v>11</v>
      </c>
      <c r="AC281" s="248">
        <f>IF(Year5_Medway Year5_ROSGO_ceased_LAC_SGO="","",Year5_Medway Year5_ROSGO_ceased_LAC_SGO)</f>
        <v>23</v>
      </c>
      <c r="AD281" s="251"/>
      <c r="AE281" s="56"/>
      <c r="AF281" s="56"/>
      <c r="AG281" s="56"/>
      <c r="AH281" s="56"/>
      <c r="AI281" s="56"/>
      <c r="AJ281" s="119"/>
      <c r="AK281" s="52"/>
      <c r="AL281" s="52"/>
      <c r="AM281" s="52"/>
      <c r="AN281" s="52"/>
      <c r="AO281" s="52"/>
      <c r="AP281" s="52"/>
      <c r="AQ281" s="52"/>
      <c r="AR281" s="52"/>
      <c r="AS281" s="52"/>
      <c r="AT281" s="52"/>
      <c r="AU281" s="52"/>
      <c r="AV281" s="52"/>
      <c r="AW281" s="52"/>
      <c r="AX281" s="52"/>
    </row>
    <row r="282" spans="1:76" s="61" customFormat="1" ht="13.5" customHeight="1">
      <c r="A282" s="1103">
        <f>VLOOKUP(B282,ReportData!$AQ$4:$AR$25,2,FALSE)</f>
        <v>0</v>
      </c>
      <c r="B282" s="885" t="str">
        <f>Permanence!B148</f>
        <v>Kent</v>
      </c>
      <c r="C282" s="59"/>
      <c r="D282" s="922">
        <f t="shared" si="104"/>
        <v>6.6395663956639567E-2</v>
      </c>
      <c r="E282" s="922">
        <f t="shared" si="105"/>
        <v>3.1662269129287601E-2</v>
      </c>
      <c r="F282" s="922">
        <f t="shared" si="106"/>
        <v>2.7977044476327116E-2</v>
      </c>
      <c r="G282" s="922">
        <f t="shared" si="107"/>
        <v>2.023298589822195E-2</v>
      </c>
      <c r="H282" s="923">
        <f t="shared" si="108"/>
        <v>1.4259597806215722E-2</v>
      </c>
      <c r="I282" s="274"/>
      <c r="J282" s="68"/>
      <c r="K282" s="68"/>
      <c r="L282" s="68"/>
      <c r="M282" s="127"/>
      <c r="N282" s="127"/>
      <c r="O282" s="127"/>
      <c r="P282" s="127"/>
      <c r="Q282" s="127"/>
      <c r="R282" s="127"/>
      <c r="S282" s="127"/>
      <c r="T282" s="59"/>
      <c r="U282" s="89"/>
      <c r="V282" s="102"/>
      <c r="W282" s="114"/>
      <c r="X282" s="248" t="str">
        <f t="shared" si="103"/>
        <v>Milton Keynes</v>
      </c>
      <c r="Y282" s="248">
        <f>IF(Year1_Milton_Keynes Year1_ROSGO_ceased_LAC_SGO="","",Year1_Milton_Keynes Year1_ROSGO_ceased_LAC_SGO)</f>
        <v>20</v>
      </c>
      <c r="Z282" s="248">
        <f>IF(Year2_Milton_Keynes Year2_ROSGO_ceased_LAC_SGO="","",Year2_Milton_Keynes Year2_ROSGO_ceased_LAC_SGO)</f>
        <v>43</v>
      </c>
      <c r="AA282" s="248">
        <f>IF(Year3_Milton_Keynes Year3_ROSGO_ceased_LAC_SGO="","",Year3_Milton_Keynes Year3_ROSGO_ceased_LAC_SGO)</f>
        <v>35</v>
      </c>
      <c r="AB282" s="248">
        <f>IF(Year4_Milton_Keynes Year4_ROSGO_ceased_LAC_SGO="","",Year4_Milton_Keynes Year4_ROSGO_ceased_LAC_SGO)</f>
        <v>31</v>
      </c>
      <c r="AC282" s="248">
        <f>IF(Year5_Milton_Keynes Year5_ROSGO_ceased_LAC_SGO="","",Year5_Milton_Keynes Year5_ROSGO_ceased_LAC_SGO)</f>
        <v>33</v>
      </c>
      <c r="AD282" s="251"/>
      <c r="AE282" s="56"/>
      <c r="AF282" s="56"/>
      <c r="AG282" s="56"/>
      <c r="AH282" s="56"/>
      <c r="AI282" s="56"/>
      <c r="AJ282" s="119"/>
      <c r="AK282" s="52"/>
      <c r="AL282" s="52"/>
      <c r="AM282" s="52"/>
      <c r="AN282" s="52"/>
      <c r="AO282" s="52"/>
      <c r="AP282" s="52"/>
      <c r="AQ282" s="52"/>
      <c r="AR282" s="52"/>
      <c r="AS282" s="52"/>
      <c r="AT282" s="52"/>
      <c r="AU282" s="52"/>
      <c r="AV282" s="52"/>
      <c r="AW282" s="52"/>
      <c r="AX282" s="52"/>
    </row>
    <row r="283" spans="1:76" s="61" customFormat="1" ht="13.5" customHeight="1">
      <c r="A283" s="1103">
        <f>VLOOKUP(B283,ReportData!$AQ$4:$AR$25,2,FALSE)</f>
        <v>0</v>
      </c>
      <c r="B283" s="885" t="str">
        <f>Permanence!B149</f>
        <v>Medway</v>
      </c>
      <c r="C283" s="59"/>
      <c r="D283" s="922">
        <f t="shared" si="104"/>
        <v>0.12777777777777777</v>
      </c>
      <c r="E283" s="922">
        <f t="shared" si="105"/>
        <v>8.8888888888888892E-2</v>
      </c>
      <c r="F283" s="922">
        <f t="shared" si="106"/>
        <v>0.16129032258064516</v>
      </c>
      <c r="G283" s="922">
        <f t="shared" si="107"/>
        <v>7.4829931972789115E-2</v>
      </c>
      <c r="H283" s="923">
        <f t="shared" si="108"/>
        <v>0.12432432432432433</v>
      </c>
      <c r="I283" s="274"/>
      <c r="J283" s="68"/>
      <c r="K283" s="68"/>
      <c r="L283" s="68"/>
      <c r="M283" s="127"/>
      <c r="N283" s="127"/>
      <c r="O283" s="127"/>
      <c r="P283" s="127"/>
      <c r="Q283" s="127"/>
      <c r="R283" s="127"/>
      <c r="S283" s="127"/>
      <c r="T283" s="59"/>
      <c r="U283" s="89"/>
      <c r="V283" s="102"/>
      <c r="W283" s="114"/>
      <c r="X283" s="248" t="str">
        <f t="shared" si="103"/>
        <v>Oxfordshire</v>
      </c>
      <c r="Y283" s="248">
        <f>IF(Year1_Oxfordshire Year1_ROSGO_ceased_LAC_SGO="","",Year1_Oxfordshire Year1_ROSGO_ceased_LAC_SGO)</f>
        <v>44</v>
      </c>
      <c r="Z283" s="248">
        <f>IF(Year2_Oxfordshire Year2_ROSGO_ceased_LAC_SGO="","",Year2_Oxfordshire Year2_ROSGO_ceased_LAC_SGO)</f>
        <v>15</v>
      </c>
      <c r="AA283" s="248">
        <f>IF(Year3_Oxfordshire Year3_ROSGO_ceased_LAC_SGO="","",Year3_Oxfordshire Year3_ROSGO_ceased_LAC_SGO)</f>
        <v>34</v>
      </c>
      <c r="AB283" s="248">
        <f>IF(Year4_Oxfordshire Year4_ROSGO_ceased_LAC_SGO="","",Year4_Oxfordshire Year4_ROSGO_ceased_LAC_SGO)</f>
        <v>35</v>
      </c>
      <c r="AC283" s="248">
        <f>IF(Year5_Oxfordshire Year5_ROSGO_ceased_LAC_SGO="","",Year5_Oxfordshire Year5_ROSGO_ceased_LAC_SGO)</f>
        <v>28</v>
      </c>
      <c r="AD283" s="251"/>
      <c r="AE283" s="56"/>
      <c r="AF283" s="56"/>
      <c r="AG283" s="56"/>
      <c r="AH283" s="56"/>
      <c r="AI283" s="56"/>
      <c r="AJ283" s="119"/>
      <c r="AK283" s="52"/>
      <c r="AL283" s="52"/>
      <c r="AM283" s="52"/>
      <c r="AN283" s="52"/>
      <c r="AO283" s="52"/>
      <c r="AP283" s="52"/>
      <c r="AQ283" s="52"/>
      <c r="AR283" s="52"/>
      <c r="AS283" s="52"/>
      <c r="AT283" s="52"/>
      <c r="AU283" s="52"/>
      <c r="AV283" s="52"/>
      <c r="AW283" s="52"/>
      <c r="AX283" s="52"/>
    </row>
    <row r="284" spans="1:76" s="61" customFormat="1" ht="13.5" customHeight="1">
      <c r="A284" s="1103">
        <f>VLOOKUP(B284,ReportData!$AQ$4:$AR$25,2,FALSE)</f>
        <v>0</v>
      </c>
      <c r="B284" s="885" t="str">
        <f>Permanence!B150</f>
        <v>Milton Keynes</v>
      </c>
      <c r="C284" s="59"/>
      <c r="D284" s="922">
        <f t="shared" si="104"/>
        <v>0.13513513513513514</v>
      </c>
      <c r="E284" s="922">
        <f t="shared" si="105"/>
        <v>0.25595238095238093</v>
      </c>
      <c r="F284" s="922">
        <f t="shared" si="106"/>
        <v>0.18716577540106952</v>
      </c>
      <c r="G284" s="922">
        <f t="shared" si="107"/>
        <v>0.17816091954022989</v>
      </c>
      <c r="H284" s="923">
        <f t="shared" si="108"/>
        <v>0.18232044198895028</v>
      </c>
      <c r="I284" s="274"/>
      <c r="J284" s="68"/>
      <c r="K284" s="68"/>
      <c r="L284" s="68"/>
      <c r="M284" s="127"/>
      <c r="N284" s="127"/>
      <c r="O284" s="127"/>
      <c r="P284" s="127"/>
      <c r="Q284" s="127"/>
      <c r="R284" s="127"/>
      <c r="S284" s="127"/>
      <c r="T284" s="59"/>
      <c r="U284" s="89"/>
      <c r="V284" s="102"/>
      <c r="W284" s="114"/>
      <c r="X284" s="248" t="str">
        <f t="shared" si="103"/>
        <v>Portsmouth</v>
      </c>
      <c r="Y284" s="248">
        <f>IF(Year1_Portsmouth Year1_ROSGO_ceased_LAC_SGO="","",Year1_Portsmouth Year1_ROSGO_ceased_LAC_SGO)</f>
        <v>7</v>
      </c>
      <c r="Z284" s="248">
        <f>IF(Year2_Portsmouth Year2_ROSGO_ceased_LAC_SGO="","",Year2_Portsmouth Year2_ROSGO_ceased_LAC_SGO)</f>
        <v>12</v>
      </c>
      <c r="AA284" s="248">
        <f>IF(Year3_Portsmouth Year3_ROSGO_ceased_LAC_SGO="","",Year3_Portsmouth Year3_ROSGO_ceased_LAC_SGO)</f>
        <v>8</v>
      </c>
      <c r="AB284" s="248">
        <f>IF(Year4_Portsmouth Year4_ROSGO_ceased_LAC_SGO="","",Year4_Portsmouth Year4_ROSGO_ceased_LAC_SGO)</f>
        <v>11</v>
      </c>
      <c r="AC284" s="248">
        <f>IF(Year5_Portsmouth Year5_ROSGO_ceased_LAC_SGO="","",Year5_Portsmouth Year5_ROSGO_ceased_LAC_SGO)</f>
        <v>16</v>
      </c>
      <c r="AD284" s="251"/>
      <c r="AE284" s="56"/>
      <c r="AF284" s="56"/>
      <c r="AG284" s="56"/>
      <c r="AH284" s="56"/>
      <c r="AI284" s="56"/>
      <c r="AJ284" s="119"/>
      <c r="AK284" s="52"/>
      <c r="AL284" s="52"/>
      <c r="AM284" s="52"/>
      <c r="AN284" s="52"/>
      <c r="AO284" s="52"/>
      <c r="AP284" s="52"/>
      <c r="AQ284" s="52"/>
      <c r="AR284" s="52"/>
      <c r="AS284" s="52"/>
      <c r="AT284" s="52"/>
      <c r="AU284" s="52"/>
      <c r="AV284" s="52"/>
      <c r="AW284" s="52"/>
      <c r="AX284" s="52"/>
    </row>
    <row r="285" spans="1:76" s="61" customFormat="1" ht="13.5" customHeight="1">
      <c r="A285" s="1103">
        <f>VLOOKUP(B285,ReportData!$AQ$4:$AR$25,2,FALSE)</f>
        <v>0</v>
      </c>
      <c r="B285" s="885" t="str">
        <f>Permanence!B151</f>
        <v>Oxfordshire</v>
      </c>
      <c r="C285" s="59"/>
      <c r="D285" s="922">
        <f t="shared" si="104"/>
        <v>0.13664596273291926</v>
      </c>
      <c r="E285" s="922">
        <f t="shared" si="105"/>
        <v>5.3956834532374098E-2</v>
      </c>
      <c r="F285" s="922">
        <f t="shared" si="106"/>
        <v>0.11371237458193979</v>
      </c>
      <c r="G285" s="922">
        <f t="shared" si="107"/>
        <v>0.10086455331412104</v>
      </c>
      <c r="H285" s="923">
        <f t="shared" si="108"/>
        <v>8.3582089552238809E-2</v>
      </c>
      <c r="I285" s="274"/>
      <c r="J285" s="68"/>
      <c r="K285" s="68"/>
      <c r="L285" s="68"/>
      <c r="M285" s="127"/>
      <c r="N285" s="127"/>
      <c r="O285" s="127"/>
      <c r="P285" s="127"/>
      <c r="Q285" s="127"/>
      <c r="R285" s="127"/>
      <c r="S285" s="127"/>
      <c r="T285" s="59"/>
      <c r="U285" s="89"/>
      <c r="V285" s="102"/>
      <c r="W285" s="114"/>
      <c r="X285" s="248" t="str">
        <f t="shared" si="103"/>
        <v>Reading</v>
      </c>
      <c r="Y285" s="248">
        <f>IF(Year1_Reading Year1_ROSGO_ceased_LAC_SGO="","",Year1_Reading Year1_ROSGO_ceased_LAC_SGO)</f>
        <v>17</v>
      </c>
      <c r="Z285" s="248">
        <f>IF(Year2_Reading Year2_ROSGO_ceased_LAC_SGO="","",Year2_Reading Year2_ROSGO_ceased_LAC_SGO)</f>
        <v>23</v>
      </c>
      <c r="AA285" s="248">
        <f>IF(Year3_Reading Year3_ROSGO_ceased_LAC_SGO="","",Year3_Reading Year3_ROSGO_ceased_LAC_SGO)</f>
        <v>11</v>
      </c>
      <c r="AB285" s="248" t="str">
        <f>IF(Year4_Reading Year4_ROSGO_ceased_LAC_SGO="","",Year4_Reading Year4_ROSGO_ceased_LAC_SGO)</f>
        <v>c</v>
      </c>
      <c r="AC285" s="248">
        <f>IF(Year5_Reading Year5_ROSGO_ceased_LAC_SGO="","",Year5_Reading Year5_ROSGO_ceased_LAC_SGO)</f>
        <v>15</v>
      </c>
      <c r="AD285" s="251"/>
      <c r="AE285" s="56"/>
      <c r="AF285" s="56"/>
      <c r="AG285" s="56"/>
      <c r="AH285" s="56"/>
      <c r="AI285" s="56"/>
      <c r="AJ285" s="119"/>
      <c r="AK285" s="52"/>
      <c r="AL285" s="52"/>
      <c r="AM285" s="52"/>
      <c r="AN285" s="52"/>
      <c r="AO285" s="52"/>
      <c r="AP285" s="52"/>
      <c r="AQ285" s="52"/>
      <c r="AR285" s="52"/>
      <c r="AS285" s="52"/>
      <c r="AT285" s="52"/>
      <c r="AU285" s="52"/>
      <c r="AV285" s="52"/>
      <c r="AW285" s="52"/>
      <c r="AX285" s="52"/>
    </row>
    <row r="286" spans="1:76" s="61" customFormat="1" ht="13.5" customHeight="1">
      <c r="A286" s="1103">
        <f>VLOOKUP(B286,ReportData!$AQ$4:$AR$25,2,FALSE)</f>
        <v>0</v>
      </c>
      <c r="B286" s="885" t="str">
        <f>Permanence!B152</f>
        <v>Portsmouth</v>
      </c>
      <c r="C286" s="59"/>
      <c r="D286" s="922">
        <f t="shared" si="104"/>
        <v>3.4313725490196081E-2</v>
      </c>
      <c r="E286" s="922">
        <f t="shared" si="105"/>
        <v>5.5555555555555552E-2</v>
      </c>
      <c r="F286" s="922">
        <f t="shared" si="106"/>
        <v>6.25E-2</v>
      </c>
      <c r="G286" s="922">
        <f t="shared" si="107"/>
        <v>7.0063694267515922E-2</v>
      </c>
      <c r="H286" s="923">
        <f t="shared" si="108"/>
        <v>0.10256410256410256</v>
      </c>
      <c r="I286" s="274"/>
      <c r="J286" s="68"/>
      <c r="K286" s="68"/>
      <c r="L286" s="68"/>
      <c r="M286" s="127"/>
      <c r="N286" s="127"/>
      <c r="O286" s="127"/>
      <c r="P286" s="127"/>
      <c r="Q286" s="127"/>
      <c r="R286" s="127"/>
      <c r="S286" s="127"/>
      <c r="T286" s="59"/>
      <c r="U286" s="89"/>
      <c r="V286" s="102"/>
      <c r="W286" s="114"/>
      <c r="X286" s="248" t="str">
        <f t="shared" si="103"/>
        <v>Slough</v>
      </c>
      <c r="Y286" s="248" t="str">
        <f>IF(Year1_Slough Year1_ROSGO_ceased_LAC_SGO="","",Year1_Slough Year1_ROSGO_ceased_LAC_SGO)</f>
        <v>x</v>
      </c>
      <c r="Z286" s="248">
        <f>IF(Year2_Slough Year2_ROSGO_ceased_LAC_SGO="","",Year2_Slough Year2_ROSGO_ceased_LAC_SGO)</f>
        <v>11</v>
      </c>
      <c r="AA286" s="248">
        <f>IF(Year3_Slough Year3_ROSGO_ceased_LAC_SGO="","",Year3_Slough Year3_ROSGO_ceased_LAC_SGO)</f>
        <v>15</v>
      </c>
      <c r="AB286" s="248">
        <f>IF(Year4_Slough Year4_ROSGO_ceased_LAC_SGO="","",Year4_Slough Year4_ROSGO_ceased_LAC_SGO)</f>
        <v>12</v>
      </c>
      <c r="AC286" s="248">
        <f>IF(Year5_Slough Year5_ROSGO_ceased_LAC_SGO="","",Year5_Slough Year5_ROSGO_ceased_LAC_SGO)</f>
        <v>13</v>
      </c>
      <c r="AD286" s="251"/>
      <c r="AE286" s="56"/>
      <c r="AF286" s="56"/>
      <c r="AG286" s="56"/>
      <c r="AH286" s="56"/>
      <c r="AI286" s="56"/>
      <c r="AJ286" s="119"/>
      <c r="AK286" s="52"/>
      <c r="AL286" s="52"/>
      <c r="AM286" s="52"/>
      <c r="AN286" s="52"/>
      <c r="AO286" s="52"/>
      <c r="AP286" s="52"/>
      <c r="AQ286" s="52"/>
      <c r="AR286" s="52"/>
      <c r="AS286" s="52"/>
      <c r="AT286" s="52"/>
      <c r="AU286" s="52"/>
      <c r="AV286" s="52"/>
      <c r="AW286" s="52"/>
      <c r="AX286" s="52"/>
    </row>
    <row r="287" spans="1:76" s="61" customFormat="1" ht="13.5" customHeight="1">
      <c r="A287" s="1103">
        <f>VLOOKUP(B287,ReportData!$AQ$4:$AR$25,2,FALSE)</f>
        <v>0</v>
      </c>
      <c r="B287" s="885" t="str">
        <f>Permanence!B153</f>
        <v>Reading</v>
      </c>
      <c r="C287" s="59"/>
      <c r="D287" s="922">
        <f t="shared" si="104"/>
        <v>0.15596330275229359</v>
      </c>
      <c r="E287" s="922">
        <f t="shared" si="105"/>
        <v>0.22772277227722773</v>
      </c>
      <c r="F287" s="922">
        <f t="shared" si="106"/>
        <v>9.4827586206896547E-2</v>
      </c>
      <c r="G287" s="922" t="e">
        <f t="shared" si="107"/>
        <v>#N/A</v>
      </c>
      <c r="H287" s="923">
        <f t="shared" si="108"/>
        <v>0.15463917525773196</v>
      </c>
      <c r="I287" s="274"/>
      <c r="J287" s="68"/>
      <c r="K287" s="68"/>
      <c r="L287" s="68"/>
      <c r="M287" s="127"/>
      <c r="N287" s="127"/>
      <c r="O287" s="127"/>
      <c r="P287" s="127"/>
      <c r="Q287" s="127"/>
      <c r="R287" s="127"/>
      <c r="S287" s="127"/>
      <c r="T287" s="59"/>
      <c r="U287" s="89"/>
      <c r="V287" s="102"/>
      <c r="W287" s="114"/>
      <c r="X287" s="248" t="str">
        <f t="shared" ref="X287:X294" si="109">B289</f>
        <v>Southampton</v>
      </c>
      <c r="Y287" s="248">
        <f>IF(Year1_Southampton Year1_ROSGO_ceased_LAC_SGO="","",Year1_Southampton Year1_ROSGO_ceased_LAC_SGO)</f>
        <v>17</v>
      </c>
      <c r="Z287" s="248">
        <f>IF(Year2_Southampton Year2_ROSGO_ceased_LAC_SGO="","",Year2_Southampton Year2_ROSGO_ceased_LAC_SGO)</f>
        <v>33</v>
      </c>
      <c r="AA287" s="248">
        <f>IF(Year3_Southampton Year3_ROSGO_ceased_LAC_SGO="","",Year3_Southampton Year3_ROSGO_ceased_LAC_SGO)</f>
        <v>24</v>
      </c>
      <c r="AB287" s="248">
        <f>IF(Year4_Southampton Year4_ROSGO_ceased_LAC_SGO="","",Year4_Southampton Year4_ROSGO_ceased_LAC_SGO)</f>
        <v>30</v>
      </c>
      <c r="AC287" s="248">
        <f>IF(Year5_Southampton Year5_ROSGO_ceased_LAC_SGO="","",Year5_Southampton Year5_ROSGO_ceased_LAC_SGO)</f>
        <v>28</v>
      </c>
      <c r="AD287" s="251"/>
      <c r="AE287" s="56"/>
      <c r="AF287" s="56"/>
      <c r="AG287" s="56"/>
      <c r="AH287" s="56"/>
      <c r="AI287" s="56"/>
      <c r="AJ287" s="119"/>
      <c r="AK287" s="52"/>
      <c r="AL287" s="52"/>
      <c r="AM287" s="52"/>
      <c r="AN287" s="52"/>
      <c r="AO287" s="52"/>
      <c r="AP287" s="52"/>
      <c r="AQ287" s="52"/>
      <c r="AR287" s="52"/>
      <c r="AS287" s="52"/>
      <c r="AT287" s="52"/>
      <c r="AU287" s="52"/>
      <c r="AV287" s="52"/>
      <c r="AW287" s="52"/>
      <c r="AX287" s="52"/>
    </row>
    <row r="288" spans="1:76" s="61" customFormat="1" ht="13.5" customHeight="1">
      <c r="A288" s="1103">
        <f>VLOOKUP(B288,ReportData!$AQ$4:$AR$25,2,FALSE)</f>
        <v>0</v>
      </c>
      <c r="B288" s="885" t="str">
        <f>Permanence!B154</f>
        <v>Slough</v>
      </c>
      <c r="C288" s="59"/>
      <c r="D288" s="922" t="e">
        <f t="shared" si="104"/>
        <v>#N/A</v>
      </c>
      <c r="E288" s="922">
        <f t="shared" si="105"/>
        <v>0.10679611650485436</v>
      </c>
      <c r="F288" s="922">
        <f t="shared" si="106"/>
        <v>0.13392857142857142</v>
      </c>
      <c r="G288" s="922">
        <f t="shared" si="107"/>
        <v>9.9173553719008267E-2</v>
      </c>
      <c r="H288" s="923">
        <f t="shared" si="108"/>
        <v>0.10483870967741936</v>
      </c>
      <c r="I288" s="274"/>
      <c r="J288" s="68"/>
      <c r="K288" s="68"/>
      <c r="L288" s="68"/>
      <c r="M288" s="127"/>
      <c r="N288" s="127"/>
      <c r="O288" s="127"/>
      <c r="P288" s="127"/>
      <c r="Q288" s="127"/>
      <c r="R288" s="127"/>
      <c r="S288" s="127"/>
      <c r="T288" s="59"/>
      <c r="U288" s="89"/>
      <c r="V288" s="102"/>
      <c r="W288" s="114"/>
      <c r="X288" s="248" t="str">
        <f t="shared" si="109"/>
        <v>Surrey</v>
      </c>
      <c r="Y288" s="248">
        <f>IF(Year1_Surrey Year1_ROSGO_ceased_LAC_SGO="","",Year1_Surrey Year1_ROSGO_ceased_LAC_SGO)</f>
        <v>36</v>
      </c>
      <c r="Z288" s="248">
        <f>IF(Year2_Surrey Year2_ROSGO_ceased_LAC_SGO="","",Year2_Surrey Year2_ROSGO_ceased_LAC_SGO)</f>
        <v>44</v>
      </c>
      <c r="AA288" s="248">
        <f>IF(Year3_Surrey Year3_ROSGO_ceased_LAC_SGO="","",Year3_Surrey Year3_ROSGO_ceased_LAC_SGO)</f>
        <v>43</v>
      </c>
      <c r="AB288" s="248">
        <f>IF(Year4_Surrey Year4_ROSGO_ceased_LAC_SGO="","",Year4_Surrey Year4_ROSGO_ceased_LAC_SGO)</f>
        <v>82</v>
      </c>
      <c r="AC288" s="248">
        <f>IF(Year5_Surrey Year5_ROSGO_ceased_LAC_SGO="","",Year5_Surrey Year5_ROSGO_ceased_LAC_SGO)</f>
        <v>30</v>
      </c>
      <c r="AD288" s="251"/>
      <c r="AE288" s="56"/>
      <c r="AF288" s="56"/>
      <c r="AG288" s="56"/>
      <c r="AH288" s="56"/>
      <c r="AI288" s="56"/>
      <c r="AJ288" s="119"/>
      <c r="AK288" s="52"/>
      <c r="AL288" s="52"/>
      <c r="AM288" s="52"/>
      <c r="AN288" s="52"/>
      <c r="AO288" s="52"/>
      <c r="AP288" s="52"/>
      <c r="AQ288" s="52"/>
      <c r="AR288" s="52"/>
      <c r="AS288" s="52"/>
      <c r="AT288" s="52"/>
      <c r="AU288" s="52"/>
      <c r="AV288" s="52"/>
      <c r="AW288" s="52"/>
      <c r="AX288" s="52"/>
    </row>
    <row r="289" spans="1:76" s="61" customFormat="1" ht="13.5" customHeight="1">
      <c r="A289" s="1103">
        <f>VLOOKUP(B289,ReportData!$AQ$4:$AR$25,2,FALSE)</f>
        <v>0</v>
      </c>
      <c r="B289" s="885" t="str">
        <f>Permanence!B156</f>
        <v>Southampton</v>
      </c>
      <c r="C289" s="59"/>
      <c r="D289" s="922">
        <f t="shared" si="104"/>
        <v>8.5427135678391955E-2</v>
      </c>
      <c r="E289" s="922">
        <f t="shared" si="105"/>
        <v>0.18032786885245902</v>
      </c>
      <c r="F289" s="922">
        <f t="shared" si="106"/>
        <v>0.1437125748502994</v>
      </c>
      <c r="G289" s="922">
        <f t="shared" si="107"/>
        <v>0.13761467889908258</v>
      </c>
      <c r="H289" s="923">
        <f t="shared" si="108"/>
        <v>0.13084112149532709</v>
      </c>
      <c r="I289" s="274"/>
      <c r="J289" s="68"/>
      <c r="K289" s="68"/>
      <c r="L289" s="68"/>
      <c r="M289" s="127"/>
      <c r="N289" s="127"/>
      <c r="O289" s="127"/>
      <c r="P289" s="127"/>
      <c r="Q289" s="127"/>
      <c r="R289" s="127"/>
      <c r="S289" s="127"/>
      <c r="T289" s="59"/>
      <c r="U289" s="89"/>
      <c r="V289" s="102"/>
      <c r="W289" s="114"/>
      <c r="X289" s="248" t="str">
        <f t="shared" si="109"/>
        <v>West Berkshire</v>
      </c>
      <c r="Y289" s="248" t="str">
        <f>IF(Year1_West_Berkshire Year1_ROSGO_ceased_LAC_SGO="","",Year1_West_Berkshire Year1_ROSGO_ceased_LAC_SGO)</f>
        <v>x</v>
      </c>
      <c r="Z289" s="248">
        <f>IF(Year2_West_Berkshire Year2_ROSGO_ceased_LAC_SGO="","",Year2_West_Berkshire Year2_ROSGO_ceased_LAC_SGO)</f>
        <v>8</v>
      </c>
      <c r="AA289" s="248">
        <f>IF(Year3_West_Berkshire Year3_ROSGO_ceased_LAC_SGO="","",Year3_West_Berkshire Year3_ROSGO_ceased_LAC_SGO)</f>
        <v>9</v>
      </c>
      <c r="AB289" s="248" t="str">
        <f>IF(Year4_West_Berkshire Year4_ROSGO_ceased_LAC_SGO="","",Year4_West_Berkshire Year4_ROSGO_ceased_LAC_SGO)</f>
        <v>c</v>
      </c>
      <c r="AC289" s="248">
        <f>IF(Year5_West_Berkshire Year5_ROSGO_ceased_LAC_SGO="","",Year5_West_Berkshire Year5_ROSGO_ceased_LAC_SGO)</f>
        <v>10</v>
      </c>
      <c r="AD289" s="251"/>
      <c r="AE289" s="56"/>
      <c r="AF289" s="56"/>
      <c r="AG289" s="56"/>
      <c r="AH289" s="56"/>
      <c r="AI289" s="56"/>
      <c r="AJ289" s="119"/>
      <c r="AK289" s="52"/>
      <c r="AL289" s="52"/>
      <c r="AM289" s="52"/>
      <c r="AN289" s="52"/>
      <c r="AO289" s="52"/>
      <c r="AP289" s="52"/>
      <c r="AQ289" s="52"/>
      <c r="AR289" s="52"/>
      <c r="AS289" s="52"/>
      <c r="AT289" s="52"/>
      <c r="AU289" s="52"/>
      <c r="AV289" s="52"/>
      <c r="AW289" s="52"/>
      <c r="AX289" s="52"/>
    </row>
    <row r="290" spans="1:76" s="61" customFormat="1" ht="13.5" customHeight="1">
      <c r="A290" s="1103">
        <f>VLOOKUP(B290,ReportData!$AQ$4:$AR$25,2,FALSE)</f>
        <v>0</v>
      </c>
      <c r="B290" s="885" t="str">
        <f>Permanence!B157</f>
        <v>Surrey</v>
      </c>
      <c r="C290" s="59"/>
      <c r="D290" s="922">
        <f t="shared" si="104"/>
        <v>9.8630136986301367E-2</v>
      </c>
      <c r="E290" s="922">
        <f t="shared" si="105"/>
        <v>0.10757946210268948</v>
      </c>
      <c r="F290" s="922">
        <f t="shared" si="106"/>
        <v>0.1075</v>
      </c>
      <c r="G290" s="922">
        <f t="shared" si="107"/>
        <v>0.19477434679334918</v>
      </c>
      <c r="H290" s="923">
        <f t="shared" si="108"/>
        <v>7.1599045346062054E-2</v>
      </c>
      <c r="I290" s="274"/>
      <c r="J290" s="68"/>
      <c r="K290" s="68"/>
      <c r="L290" s="68"/>
      <c r="M290" s="127"/>
      <c r="N290" s="127"/>
      <c r="O290" s="127"/>
      <c r="P290" s="127"/>
      <c r="Q290" s="127"/>
      <c r="R290" s="127"/>
      <c r="S290" s="127"/>
      <c r="T290" s="59"/>
      <c r="U290" s="89"/>
      <c r="V290" s="102"/>
      <c r="W290" s="114"/>
      <c r="X290" s="248" t="str">
        <f t="shared" si="109"/>
        <v>West Sussex</v>
      </c>
      <c r="Y290" s="248">
        <f>IF(Year1_West_Sussex Year1_ROSGO_ceased_LAC_SGO="","",Year1_West_Sussex Year1_ROSGO_ceased_LAC_SGO)</f>
        <v>22</v>
      </c>
      <c r="Z290" s="248">
        <f>IF(Year2_West_Sussex Year2_ROSGO_ceased_LAC_SGO="","",Year2_West_Sussex Year2_ROSGO_ceased_LAC_SGO)</f>
        <v>63</v>
      </c>
      <c r="AA290" s="248">
        <f>IF(Year3_West_Sussex Year3_ROSGO_ceased_LAC_SGO="","",Year3_West_Sussex Year3_ROSGO_ceased_LAC_SGO)</f>
        <v>58</v>
      </c>
      <c r="AB290" s="248">
        <f>IF(Year4_West_Sussex Year4_ROSGO_ceased_LAC_SGO="","",Year4_West_Sussex Year4_ROSGO_ceased_LAC_SGO)</f>
        <v>51</v>
      </c>
      <c r="AC290" s="248">
        <f>IF(Year5_West_Sussex Year5_ROSGO_ceased_LAC_SGO="","",Year5_West_Sussex Year5_ROSGO_ceased_LAC_SGO)</f>
        <v>41</v>
      </c>
      <c r="AD290" s="251"/>
      <c r="AE290" s="56"/>
      <c r="AF290" s="56"/>
      <c r="AG290" s="56"/>
      <c r="AH290" s="56"/>
      <c r="AI290" s="56"/>
      <c r="AJ290" s="119"/>
      <c r="AK290" s="52"/>
      <c r="AL290" s="52"/>
      <c r="AM290" s="52"/>
      <c r="AN290" s="52"/>
      <c r="AO290" s="52"/>
      <c r="AP290" s="52"/>
      <c r="AQ290" s="52"/>
      <c r="AR290" s="52"/>
      <c r="AS290" s="52"/>
      <c r="AT290" s="52"/>
      <c r="AU290" s="52"/>
      <c r="AV290" s="52"/>
      <c r="AW290" s="52"/>
      <c r="AX290" s="52"/>
    </row>
    <row r="291" spans="1:76" s="61" customFormat="1" ht="13.5" customHeight="1">
      <c r="A291" s="1103">
        <f>VLOOKUP(B291,ReportData!$AQ$4:$AR$25,2,FALSE)</f>
        <v>0</v>
      </c>
      <c r="B291" s="885" t="str">
        <f>Permanence!B159</f>
        <v>West Berkshire</v>
      </c>
      <c r="C291" s="59"/>
      <c r="D291" s="922" t="e">
        <f t="shared" si="104"/>
        <v>#N/A</v>
      </c>
      <c r="E291" s="922">
        <f t="shared" si="105"/>
        <v>0.13793103448275862</v>
      </c>
      <c r="F291" s="922">
        <f t="shared" si="106"/>
        <v>0.16071428571428573</v>
      </c>
      <c r="G291" s="922" t="e">
        <f t="shared" si="107"/>
        <v>#N/A</v>
      </c>
      <c r="H291" s="923">
        <f t="shared" si="108"/>
        <v>0.12345679012345678</v>
      </c>
      <c r="I291" s="274"/>
      <c r="J291" s="68"/>
      <c r="K291" s="68"/>
      <c r="L291" s="68"/>
      <c r="M291" s="127"/>
      <c r="N291" s="127"/>
      <c r="O291" s="127"/>
      <c r="P291" s="127"/>
      <c r="Q291" s="127"/>
      <c r="R291" s="127"/>
      <c r="S291" s="127"/>
      <c r="T291" s="59"/>
      <c r="U291" s="89"/>
      <c r="V291" s="102"/>
      <c r="W291" s="114"/>
      <c r="X291" s="248" t="str">
        <f t="shared" si="109"/>
        <v>Windsor &amp; Maidenhead</v>
      </c>
      <c r="Y291" s="248">
        <f>IF(Year1_Windsor_and_Maidenhead Year1_ROSGO_ceased_LAC_SGO="","",Year1_Windsor_and_Maidenhead Year1_ROSGO_ceased_LAC_SGO)</f>
        <v>6</v>
      </c>
      <c r="Z291" s="248" t="str">
        <f>IF(Year2_Windsor_and_Maidenhead Year2_ROSGO_ceased_LAC_SGO="","",Year2_Windsor_and_Maidenhead Year2_ROSGO_ceased_LAC_SGO)</f>
        <v>x</v>
      </c>
      <c r="AA291" s="248">
        <f>IF(Year3_Windsor_and_Maidenhead Year3_ROSGO_ceased_LAC_SGO="","",Year3_Windsor_and_Maidenhead Year3_ROSGO_ceased_LAC_SGO)</f>
        <v>7</v>
      </c>
      <c r="AB291" s="248">
        <f>IF(Year4_Windsor_and_Maidenhead Year4_ROSGO_ceased_LAC_SGO="","",Year4_Windsor_and_Maidenhead Year4_ROSGO_ceased_LAC_SGO)</f>
        <v>10</v>
      </c>
      <c r="AC291" s="248" t="str">
        <f>IF(Year5_Windsor_and_Maidenhead Year5_ROSGO_ceased_LAC_SGO="","",Year5_Windsor_and_Maidenhead Year5_ROSGO_ceased_LAC_SGO)</f>
        <v>c</v>
      </c>
      <c r="AD291" s="251"/>
      <c r="AE291" s="56"/>
      <c r="AF291" s="56"/>
      <c r="AG291" s="56"/>
      <c r="AH291" s="56"/>
      <c r="AI291" s="56"/>
      <c r="AJ291" s="119"/>
      <c r="AK291" s="52"/>
      <c r="AL291" s="52"/>
      <c r="AM291" s="52"/>
      <c r="AN291" s="52"/>
      <c r="AO291" s="52"/>
      <c r="AP291" s="52"/>
      <c r="AQ291" s="52"/>
      <c r="AR291" s="52"/>
      <c r="AS291" s="52"/>
      <c r="AT291" s="52"/>
      <c r="AU291" s="52"/>
      <c r="AV291" s="52"/>
      <c r="AW291" s="52"/>
      <c r="AX291" s="52"/>
    </row>
    <row r="292" spans="1:76" s="61" customFormat="1" ht="13.5" customHeight="1">
      <c r="A292" s="1103">
        <f>VLOOKUP(B292,ReportData!$AQ$4:$AR$25,2,FALSE)</f>
        <v>0</v>
      </c>
      <c r="B292" s="885" t="str">
        <f>Permanence!B160</f>
        <v>West Sussex</v>
      </c>
      <c r="C292" s="59"/>
      <c r="D292" s="922">
        <f t="shared" si="104"/>
        <v>6.1971830985915494E-2</v>
      </c>
      <c r="E292" s="922">
        <f t="shared" si="105"/>
        <v>0.16321243523316062</v>
      </c>
      <c r="F292" s="922">
        <f t="shared" si="106"/>
        <v>0.12691466083150985</v>
      </c>
      <c r="G292" s="922">
        <f t="shared" si="107"/>
        <v>0.13527851458885942</v>
      </c>
      <c r="H292" s="923">
        <f t="shared" si="108"/>
        <v>0.10224438902743142</v>
      </c>
      <c r="I292" s="274"/>
      <c r="J292" s="68"/>
      <c r="K292" s="68"/>
      <c r="L292" s="68"/>
      <c r="M292" s="127"/>
      <c r="N292" s="127"/>
      <c r="O292" s="127"/>
      <c r="P292" s="127"/>
      <c r="Q292" s="127"/>
      <c r="R292" s="127"/>
      <c r="S292" s="127"/>
      <c r="T292" s="59"/>
      <c r="U292" s="89"/>
      <c r="V292" s="102"/>
      <c r="W292" s="114"/>
      <c r="X292" s="248" t="str">
        <f t="shared" si="109"/>
        <v>Wokingham</v>
      </c>
      <c r="Y292" s="248">
        <f>IF(Year1_Wokingham Year1_ROSGO_ceased_LAC_SGO="","",Year1_Wokingham Year1_ROSGO_ceased_LAC_SGO)</f>
        <v>9</v>
      </c>
      <c r="Z292" s="248">
        <f>IF(Year2_Wokingham Year2_ROSGO_ceased_LAC_SGO="","",Year2_Wokingham Year2_ROSGO_ceased_LAC_SGO)</f>
        <v>9</v>
      </c>
      <c r="AA292" s="248">
        <f>IF(Year3_Wokingham Year3_ROSGO_ceased_LAC_SGO="","",Year3_Wokingham Year3_ROSGO_ceased_LAC_SGO)</f>
        <v>13</v>
      </c>
      <c r="AB292" s="248">
        <f>IF(Year4_Wokingham Year4_ROSGO_ceased_LAC_SGO="","",Year4_Wokingham Year4_ROSGO_ceased_LAC_SGO)</f>
        <v>6</v>
      </c>
      <c r="AC292" s="248" t="str">
        <f>IF(Year5_Wokingham Year5_ROSGO_ceased_LAC_SGO="","",Year5_Wokingham Year5_ROSGO_ceased_LAC_SGO)</f>
        <v>c</v>
      </c>
      <c r="AD292" s="251"/>
      <c r="AE292" s="56"/>
      <c r="AF292" s="56"/>
      <c r="AG292" s="56"/>
      <c r="AH292" s="56"/>
      <c r="AI292" s="56"/>
      <c r="AJ292" s="119"/>
      <c r="AK292" s="52"/>
      <c r="AL292" s="52"/>
      <c r="AM292" s="52"/>
      <c r="AN292" s="52"/>
      <c r="AO292" s="52"/>
      <c r="AP292" s="52"/>
      <c r="AQ292" s="52"/>
      <c r="AR292" s="52"/>
      <c r="AS292" s="52"/>
      <c r="AT292" s="52"/>
      <c r="AU292" s="52"/>
      <c r="AV292" s="52"/>
      <c r="AW292" s="52"/>
      <c r="AX292" s="52"/>
    </row>
    <row r="293" spans="1:76" s="61" customFormat="1" ht="13.5" customHeight="1">
      <c r="A293" s="1103">
        <f>VLOOKUP(B293,ReportData!$AQ$4:$AR$25,2,FALSE)</f>
        <v>0</v>
      </c>
      <c r="B293" s="885" t="str">
        <f>Permanence!B161</f>
        <v>Windsor &amp; Maidenhead</v>
      </c>
      <c r="C293" s="59"/>
      <c r="D293" s="922">
        <f t="shared" si="104"/>
        <v>9.6774193548387094E-2</v>
      </c>
      <c r="E293" s="922" t="e">
        <f t="shared" si="105"/>
        <v>#N/A</v>
      </c>
      <c r="F293" s="922">
        <f t="shared" si="106"/>
        <v>0.14285714285714285</v>
      </c>
      <c r="G293" s="922">
        <f t="shared" si="107"/>
        <v>0.13698630136986301</v>
      </c>
      <c r="H293" s="923" t="e">
        <f t="shared" si="108"/>
        <v>#N/A</v>
      </c>
      <c r="I293" s="274"/>
      <c r="J293" s="68"/>
      <c r="K293" s="68"/>
      <c r="L293" s="68"/>
      <c r="M293" s="127"/>
      <c r="N293" s="127"/>
      <c r="O293" s="127"/>
      <c r="P293" s="127"/>
      <c r="Q293" s="127"/>
      <c r="R293" s="127"/>
      <c r="S293" s="127"/>
      <c r="T293" s="59"/>
      <c r="U293" s="89"/>
      <c r="V293" s="102"/>
      <c r="W293" s="114"/>
      <c r="X293" s="248" t="str">
        <f t="shared" si="109"/>
        <v>South East</v>
      </c>
      <c r="Y293" s="388">
        <f>IF(Year1_South_East Year1_ROSGO_ceased_LAC_SGO=0,NA(),Year1_South_East Year1_ROSGO_ceased_LAC_SGO)</f>
        <v>480</v>
      </c>
      <c r="Z293" s="244">
        <f>IF(Year2_South_East Year2_ROSGO_ceased_LAC_SGO=0,NA(),Year2_South_East Year2_ROSGO_ceased_LAC_SGO)</f>
        <v>470</v>
      </c>
      <c r="AA293" s="244">
        <f>IF(Year3_South_East Year3_ROSGO_ceased_LAC_SGO=0,NA(),Year3_South_East Year3_ROSGO_ceased_LAC_SGO)</f>
        <v>470</v>
      </c>
      <c r="AB293" s="248">
        <f>IF(Year4_South_East Year4_ROSGO_ceased_LAC_SGO=0,NA(),Year4_South_East Year4_ROSGO_ceased_LAC_SGO)</f>
        <v>830</v>
      </c>
      <c r="AC293" s="248">
        <f>IF(Year5_South_East Year5_ROSGO_ceased_LAC_SGO=0,NA(),Year5_South_East Year5_ROSGO_ceased_LAC_SGO)</f>
        <v>430</v>
      </c>
      <c r="AD293" s="251"/>
      <c r="AE293" s="56"/>
      <c r="AF293" s="56"/>
      <c r="AG293" s="56"/>
      <c r="AH293" s="56"/>
      <c r="AI293" s="56"/>
      <c r="AJ293" s="119"/>
      <c r="AK293" s="52"/>
      <c r="AL293" s="52"/>
      <c r="AM293" s="52"/>
      <c r="AN293" s="52"/>
      <c r="AO293" s="52"/>
      <c r="AP293" s="52"/>
      <c r="AQ293" s="52"/>
      <c r="AR293" s="52"/>
      <c r="AS293" s="52"/>
      <c r="AT293" s="52"/>
      <c r="AU293" s="52"/>
      <c r="AV293" s="52"/>
      <c r="AW293" s="52"/>
      <c r="AX293" s="52"/>
    </row>
    <row r="294" spans="1:76" s="61" customFormat="1" ht="13.5" customHeight="1">
      <c r="A294" s="1103">
        <f>VLOOKUP(B294,ReportData!$AQ$4:$AR$25,2,FALSE)</f>
        <v>0</v>
      </c>
      <c r="B294" s="885" t="str">
        <f>Permanence!B162</f>
        <v>Wokingham</v>
      </c>
      <c r="C294" s="59"/>
      <c r="D294" s="922">
        <f t="shared" si="104"/>
        <v>0.16363636363636364</v>
      </c>
      <c r="E294" s="922">
        <f t="shared" si="105"/>
        <v>0.18367346938775511</v>
      </c>
      <c r="F294" s="922">
        <f t="shared" si="106"/>
        <v>0.22413793103448276</v>
      </c>
      <c r="G294" s="922">
        <f t="shared" si="107"/>
        <v>8.9552238805970144E-2</v>
      </c>
      <c r="H294" s="923" t="e">
        <f t="shared" si="108"/>
        <v>#N/A</v>
      </c>
      <c r="I294" s="274"/>
      <c r="J294" s="68"/>
      <c r="K294" s="68"/>
      <c r="L294" s="68"/>
      <c r="M294" s="127"/>
      <c r="N294" s="127"/>
      <c r="O294" s="127"/>
      <c r="P294" s="127"/>
      <c r="Q294" s="127"/>
      <c r="R294" s="127"/>
      <c r="S294" s="127"/>
      <c r="T294" s="59"/>
      <c r="U294" s="89"/>
      <c r="V294" s="102"/>
      <c r="W294" s="114"/>
      <c r="X294" s="248" t="str">
        <f t="shared" si="109"/>
        <v>England</v>
      </c>
      <c r="Y294" s="388">
        <f>IF(Year1_England Year1_ROSGO_ceased_LAC_SGO="","",Year1_England Year1_ROSGO_ceased_LAC_SGO)</f>
        <v>3700</v>
      </c>
      <c r="Z294" s="244">
        <f>IF(Year2_England Year2_ROSGO_ceased_LAC_SGO="","",Year2_England Year2_ROSGO_ceased_LAC_SGO)</f>
        <v>3800</v>
      </c>
      <c r="AA294" s="244">
        <f>IF(Year3_England Year3_ROSGO_ceased_LAC_SGO="","",Year3_England Year3_ROSGO_ceased_LAC_SGO)</f>
        <v>3870</v>
      </c>
      <c r="AB294" s="248">
        <f>IF(Year4_England Year4_ROSGO_ceased_LAC_SGO="","",Year4_England Year4_ROSGO_ceased_LAC_SGO)</f>
        <v>7690</v>
      </c>
      <c r="AC294" s="248">
        <f>IF(Year5_England Year5_ROSGO_ceased_LAC_SGO="","",Year5_England Year5_ROSGO_ceased_LAC_SGO)</f>
        <v>3860</v>
      </c>
      <c r="AD294" s="251"/>
      <c r="AE294" s="56"/>
      <c r="AF294" s="56"/>
      <c r="AG294" s="56"/>
      <c r="AH294" s="56"/>
      <c r="AI294" s="56"/>
      <c r="AJ294" s="119"/>
      <c r="AK294" s="52"/>
      <c r="AL294" s="52"/>
      <c r="AM294" s="52"/>
      <c r="AN294" s="52"/>
      <c r="AO294" s="52"/>
      <c r="AP294" s="52"/>
      <c r="AQ294" s="52"/>
      <c r="AR294" s="52"/>
      <c r="AS294" s="52"/>
      <c r="AT294" s="52"/>
      <c r="AU294" s="52"/>
      <c r="AV294" s="52"/>
      <c r="AW294" s="52"/>
      <c r="AX294" s="52"/>
    </row>
    <row r="295" spans="1:76" s="61" customFormat="1" ht="13.5" customHeight="1">
      <c r="A295" s="1148"/>
      <c r="B295" s="886" t="str">
        <f>Permanence!B163</f>
        <v>South East</v>
      </c>
      <c r="C295" s="59"/>
      <c r="D295" s="924">
        <f t="shared" si="104"/>
        <v>0.11267605633802817</v>
      </c>
      <c r="E295" s="924">
        <f t="shared" si="105"/>
        <v>0.10561797752808989</v>
      </c>
      <c r="F295" s="924">
        <f t="shared" si="106"/>
        <v>9.7713097713097719E-2</v>
      </c>
      <c r="G295" s="924">
        <f t="shared" si="107"/>
        <v>0.15900383141762453</v>
      </c>
      <c r="H295" s="925">
        <f t="shared" si="108"/>
        <v>6.6978193146417439E-2</v>
      </c>
      <c r="I295" s="274"/>
      <c r="J295" s="68"/>
      <c r="K295" s="68"/>
      <c r="L295" s="68"/>
      <c r="M295" s="129"/>
      <c r="N295" s="129"/>
      <c r="O295" s="129"/>
      <c r="P295" s="129"/>
      <c r="Q295" s="129"/>
      <c r="R295" s="129"/>
      <c r="S295" s="131"/>
      <c r="T295" s="59"/>
      <c r="U295" s="89"/>
      <c r="V295" s="102"/>
      <c r="W295" s="114"/>
      <c r="AD295" s="251"/>
      <c r="AE295" s="56"/>
      <c r="AF295" s="56"/>
      <c r="AG295" s="56"/>
      <c r="AH295" s="56"/>
      <c r="AI295" s="56"/>
      <c r="AJ295" s="119"/>
      <c r="AK295" s="52"/>
      <c r="AL295" s="52"/>
      <c r="AM295" s="52"/>
      <c r="AN295" s="52"/>
      <c r="AO295" s="52"/>
      <c r="AP295" s="52"/>
      <c r="AQ295" s="52"/>
      <c r="AR295" s="52"/>
      <c r="AS295" s="52"/>
      <c r="AT295" s="52"/>
      <c r="AU295" s="52"/>
      <c r="AV295" s="52"/>
      <c r="AW295" s="52"/>
      <c r="AX295" s="52"/>
    </row>
    <row r="296" spans="1:76" s="61" customFormat="1" ht="13.5" customHeight="1">
      <c r="A296" s="1148"/>
      <c r="B296" s="887" t="str">
        <f>Permanence!B164</f>
        <v>England</v>
      </c>
      <c r="C296" s="59"/>
      <c r="D296" s="926">
        <f t="shared" si="104"/>
        <v>0.1250422440013518</v>
      </c>
      <c r="E296" s="926">
        <f t="shared" si="105"/>
        <v>0.13566583363084614</v>
      </c>
      <c r="F296" s="926">
        <f t="shared" si="106"/>
        <v>0.12869970069837047</v>
      </c>
      <c r="G296" s="926">
        <f t="shared" si="107"/>
        <v>0.24273989898989898</v>
      </c>
      <c r="H296" s="927">
        <f t="shared" si="108"/>
        <v>0.11481261154074955</v>
      </c>
      <c r="I296" s="587"/>
      <c r="J296" s="68"/>
      <c r="K296" s="68"/>
      <c r="L296" s="68"/>
      <c r="M296" s="129"/>
      <c r="N296" s="129"/>
      <c r="O296" s="129"/>
      <c r="P296" s="129"/>
      <c r="Q296" s="129"/>
      <c r="R296" s="129"/>
      <c r="S296" s="131"/>
      <c r="T296" s="59"/>
      <c r="U296" s="89"/>
      <c r="V296" s="102"/>
      <c r="W296" s="114"/>
      <c r="AD296" s="56"/>
      <c r="AE296" s="147"/>
      <c r="AF296" s="149"/>
      <c r="AG296" s="52"/>
      <c r="AH296" s="52"/>
      <c r="AI296" s="52"/>
      <c r="AJ296" s="119"/>
      <c r="AK296" s="52"/>
      <c r="AL296" s="52"/>
      <c r="AM296" s="52"/>
      <c r="AN296" s="52"/>
      <c r="AO296" s="52"/>
      <c r="AP296" s="52"/>
      <c r="AQ296" s="52"/>
      <c r="AR296" s="52"/>
      <c r="AS296" s="52"/>
      <c r="AT296" s="52"/>
      <c r="AU296" s="52"/>
      <c r="AV296" s="52"/>
      <c r="AW296" s="52"/>
      <c r="AX296" s="52"/>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row>
    <row r="297" spans="1:76" s="61" customFormat="1" ht="4.5" customHeight="1">
      <c r="A297" s="217"/>
      <c r="B297" s="68"/>
      <c r="C297" s="68"/>
      <c r="D297" s="68"/>
      <c r="E297" s="68"/>
      <c r="F297" s="68"/>
      <c r="G297" s="68"/>
      <c r="H297" s="68"/>
      <c r="I297" s="68"/>
      <c r="J297" s="68"/>
      <c r="K297" s="68"/>
      <c r="L297" s="68"/>
      <c r="M297" s="129"/>
      <c r="N297" s="129"/>
      <c r="O297" s="129"/>
      <c r="P297" s="129"/>
      <c r="Q297" s="129"/>
      <c r="R297" s="129"/>
      <c r="S297" s="131"/>
      <c r="T297" s="59"/>
      <c r="U297" s="89"/>
      <c r="V297" s="102"/>
      <c r="W297" s="114"/>
      <c r="X297" s="55"/>
      <c r="Y297" s="55"/>
      <c r="Z297" s="56"/>
      <c r="AA297" s="141"/>
      <c r="AB297" s="56"/>
      <c r="AC297" s="56"/>
      <c r="AD297" s="56"/>
      <c r="AE297" s="56"/>
      <c r="AF297" s="149"/>
      <c r="AG297" s="52"/>
      <c r="AH297" s="52"/>
      <c r="AI297" s="52"/>
      <c r="AJ297" s="119"/>
      <c r="AK297" s="52"/>
      <c r="AL297" s="52"/>
      <c r="AM297" s="52"/>
      <c r="AN297" s="52"/>
      <c r="AO297" s="52"/>
      <c r="AP297" s="52"/>
      <c r="AQ297" s="52"/>
      <c r="AR297" s="52"/>
      <c r="AS297" s="52"/>
      <c r="AT297" s="52"/>
      <c r="AU297" s="52"/>
      <c r="AV297" s="52"/>
      <c r="AW297" s="52"/>
      <c r="AX297" s="52"/>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row>
    <row r="298" spans="1:76" s="56" customFormat="1" ht="42" customHeight="1">
      <c r="A298" s="166"/>
      <c r="B298" s="171"/>
      <c r="C298" s="171"/>
      <c r="D298" s="171"/>
      <c r="E298" s="171"/>
      <c r="F298" s="171"/>
      <c r="G298" s="171"/>
      <c r="H298" s="171"/>
      <c r="I298" s="171"/>
      <c r="J298" s="171"/>
      <c r="K298" s="171"/>
      <c r="L298" s="133"/>
      <c r="M298" s="133"/>
      <c r="N298" s="133"/>
      <c r="O298" s="133"/>
      <c r="P298" s="133"/>
      <c r="Q298" s="133"/>
      <c r="R298" s="133"/>
      <c r="S298" s="133"/>
      <c r="T298" s="5"/>
      <c r="U298" s="86"/>
      <c r="V298" s="102"/>
      <c r="W298" s="114"/>
      <c r="X298" s="55"/>
      <c r="Y298" s="55"/>
      <c r="AA298" s="141"/>
      <c r="AF298" s="149"/>
      <c r="AG298" s="52"/>
      <c r="AH298" s="52"/>
      <c r="AI298" s="52"/>
      <c r="AJ298" s="119"/>
      <c r="AK298" s="52"/>
      <c r="AL298" s="52"/>
      <c r="AM298" s="52"/>
      <c r="AN298" s="52"/>
      <c r="AO298" s="52"/>
      <c r="AP298" s="52"/>
      <c r="AQ298" s="52"/>
      <c r="AR298" s="52"/>
      <c r="AS298" s="52"/>
      <c r="AT298" s="52"/>
      <c r="AU298" s="52"/>
      <c r="AV298" s="52"/>
      <c r="AW298" s="52"/>
      <c r="AX298" s="52"/>
    </row>
    <row r="299" spans="1:76" s="56" customFormat="1" ht="42.75" customHeight="1">
      <c r="A299" s="166"/>
      <c r="B299" s="171"/>
      <c r="C299" s="171"/>
      <c r="D299" s="171"/>
      <c r="E299" s="171"/>
      <c r="F299" s="171"/>
      <c r="G299" s="171"/>
      <c r="H299" s="171"/>
      <c r="I299" s="171"/>
      <c r="J299" s="171"/>
      <c r="K299" s="171"/>
      <c r="L299" s="133"/>
      <c r="M299" s="133"/>
      <c r="N299" s="133"/>
      <c r="O299" s="133"/>
      <c r="P299" s="133"/>
      <c r="Q299" s="133"/>
      <c r="R299" s="133"/>
      <c r="S299" s="133"/>
      <c r="T299" s="5"/>
      <c r="U299" s="86"/>
      <c r="V299" s="102"/>
      <c r="W299" s="114"/>
      <c r="X299" s="55"/>
      <c r="Y299" s="55"/>
      <c r="AA299" s="141"/>
      <c r="AJ299" s="119"/>
      <c r="AK299" s="52"/>
      <c r="AL299" s="52"/>
      <c r="AM299" s="52"/>
      <c r="AN299" s="52"/>
      <c r="AO299" s="52"/>
      <c r="AP299" s="52"/>
      <c r="AQ299" s="52"/>
      <c r="AR299" s="52"/>
      <c r="AS299" s="52"/>
      <c r="AT299" s="52"/>
      <c r="AU299" s="52"/>
      <c r="AV299" s="52"/>
      <c r="AW299" s="52"/>
      <c r="AX299" s="52"/>
    </row>
    <row r="300" spans="1:76" s="56" customFormat="1" ht="42" customHeight="1">
      <c r="A300" s="166"/>
      <c r="B300" s="171"/>
      <c r="C300" s="171"/>
      <c r="D300" s="171"/>
      <c r="E300" s="171"/>
      <c r="F300" s="171"/>
      <c r="G300" s="171"/>
      <c r="H300" s="171"/>
      <c r="I300" s="171"/>
      <c r="J300" s="171"/>
      <c r="K300" s="171"/>
      <c r="L300" s="133"/>
      <c r="M300" s="133"/>
      <c r="N300" s="133"/>
      <c r="O300" s="133"/>
      <c r="P300" s="133"/>
      <c r="Q300" s="133"/>
      <c r="R300" s="133"/>
      <c r="S300" s="133"/>
      <c r="T300" s="5"/>
      <c r="U300" s="86"/>
      <c r="V300" s="121"/>
      <c r="W300" s="114"/>
      <c r="X300" s="55"/>
      <c r="Y300" s="55"/>
      <c r="AJ300" s="119"/>
      <c r="AK300" s="52"/>
      <c r="AL300" s="52"/>
      <c r="AM300" s="52"/>
      <c r="AN300" s="52"/>
      <c r="AO300" s="52"/>
      <c r="AP300" s="52"/>
      <c r="AQ300" s="52"/>
      <c r="AR300" s="52"/>
      <c r="AS300" s="52"/>
      <c r="AT300" s="52"/>
      <c r="AU300" s="52"/>
      <c r="AV300" s="52"/>
      <c r="AW300" s="52"/>
      <c r="AX300" s="52"/>
    </row>
    <row r="301" spans="1:76" s="56" customFormat="1" ht="7.5" customHeight="1">
      <c r="A301" s="87"/>
      <c r="B301" s="12"/>
      <c r="C301" s="12"/>
      <c r="D301" s="11"/>
      <c r="E301" s="11"/>
      <c r="F301" s="11"/>
      <c r="G301" s="11"/>
      <c r="H301" s="11"/>
      <c r="I301" s="11"/>
      <c r="J301" s="11"/>
      <c r="K301" s="11"/>
      <c r="L301" s="1"/>
      <c r="M301" s="13"/>
      <c r="N301" s="13"/>
      <c r="O301" s="13"/>
      <c r="P301" s="13"/>
      <c r="Q301" s="13"/>
      <c r="R301" s="13"/>
      <c r="S301" s="14"/>
      <c r="T301" s="5"/>
      <c r="U301" s="86"/>
      <c r="V301" s="185"/>
      <c r="W301" s="114"/>
      <c r="X301" s="55"/>
      <c r="Y301" s="55"/>
      <c r="AA301" s="141"/>
      <c r="AF301" s="149"/>
      <c r="AG301" s="52"/>
      <c r="AH301" s="52"/>
      <c r="AJ301" s="119"/>
      <c r="AK301" s="52"/>
      <c r="AL301" s="52"/>
      <c r="AM301" s="52"/>
      <c r="AN301" s="52"/>
      <c r="AO301" s="52"/>
      <c r="AP301" s="52"/>
      <c r="AQ301" s="52"/>
      <c r="AR301" s="52"/>
      <c r="AS301" s="52"/>
      <c r="AT301" s="52"/>
      <c r="AU301" s="52"/>
      <c r="AV301" s="52"/>
      <c r="AW301" s="52"/>
      <c r="AX301" s="52"/>
    </row>
    <row r="302" spans="1:76" s="56" customFormat="1" ht="15" customHeight="1">
      <c r="A302" s="327"/>
      <c r="B302" s="47"/>
      <c r="C302" s="47"/>
      <c r="D302" s="47"/>
      <c r="E302" s="47"/>
      <c r="F302" s="47"/>
      <c r="G302" s="47"/>
      <c r="H302" s="47"/>
      <c r="I302" s="47"/>
      <c r="J302" s="47"/>
      <c r="K302" s="47"/>
      <c r="L302" s="47"/>
      <c r="M302" s="47"/>
      <c r="N302" s="47"/>
      <c r="O302" s="47"/>
      <c r="P302" s="47"/>
      <c r="Q302" s="47"/>
      <c r="R302" s="47"/>
      <c r="S302" s="47"/>
      <c r="T302" s="47"/>
      <c r="U302" s="328"/>
      <c r="V302" s="185"/>
      <c r="W302" s="759"/>
      <c r="X302" s="251"/>
      <c r="Y302" s="250"/>
      <c r="Z302" s="251"/>
      <c r="AA302" s="251"/>
      <c r="AB302" s="251"/>
      <c r="AC302" s="251"/>
      <c r="AD302" s="251"/>
      <c r="AE302" s="760"/>
      <c r="AF302" s="760"/>
      <c r="AG302" s="760"/>
      <c r="AH302" s="760"/>
      <c r="AI302" s="760"/>
      <c r="AJ302" s="764"/>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c r="BX302" s="52"/>
    </row>
    <row r="303" spans="1:76" s="56" customFormat="1" ht="11.25" customHeight="1">
      <c r="A303" s="1808"/>
      <c r="B303" s="1745"/>
      <c r="C303" s="1745"/>
      <c r="D303" s="1745"/>
      <c r="E303" s="1745"/>
      <c r="F303" s="1745"/>
      <c r="G303" s="1745"/>
      <c r="H303" s="1745"/>
      <c r="I303" s="1745"/>
      <c r="J303" s="1745"/>
      <c r="K303" s="1745"/>
      <c r="L303" s="1745"/>
      <c r="M303" s="1745"/>
      <c r="N303" s="1745"/>
      <c r="O303" s="1745"/>
      <c r="P303" s="1745"/>
      <c r="Q303" s="1745"/>
      <c r="R303" s="1745"/>
      <c r="S303" s="1745"/>
      <c r="T303" s="1745"/>
      <c r="U303" s="855"/>
      <c r="V303" s="185"/>
      <c r="W303" s="759"/>
      <c r="X303" s="251"/>
      <c r="Y303" s="250"/>
      <c r="Z303" s="251"/>
      <c r="AA303" s="251"/>
      <c r="AB303" s="251"/>
      <c r="AC303" s="251"/>
      <c r="AD303" s="251"/>
      <c r="AE303" s="760"/>
      <c r="AF303" s="760"/>
      <c r="AG303" s="760"/>
      <c r="AH303" s="760"/>
      <c r="AI303" s="763"/>
      <c r="AJ303" s="765"/>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c r="BX303" s="52"/>
    </row>
    <row r="304" spans="1:76" ht="18.75" customHeight="1">
      <c r="A304" s="81"/>
      <c r="B304" s="82"/>
      <c r="C304" s="82"/>
      <c r="D304" s="82"/>
      <c r="E304" s="82"/>
      <c r="F304" s="82"/>
      <c r="G304" s="82"/>
      <c r="H304" s="82"/>
      <c r="I304" s="82"/>
      <c r="J304" s="83"/>
      <c r="K304" s="82"/>
      <c r="L304" s="82"/>
      <c r="M304" s="82"/>
      <c r="N304" s="82"/>
      <c r="O304" s="82"/>
      <c r="P304" s="82"/>
      <c r="Q304" s="82"/>
      <c r="R304" s="82"/>
      <c r="S304" s="82"/>
      <c r="T304" s="82"/>
      <c r="U304" s="84"/>
      <c r="V304" s="102"/>
      <c r="W304" s="759"/>
      <c r="Y304" s="250"/>
      <c r="AE304" s="760"/>
      <c r="AF304" s="760"/>
      <c r="AG304" s="760"/>
      <c r="AH304" s="760"/>
      <c r="AI304" s="763"/>
      <c r="AJ304" s="765"/>
      <c r="AQ304" s="52">
        <v>0</v>
      </c>
    </row>
    <row r="305" spans="1:76" ht="18.75" customHeight="1">
      <c r="A305" s="87"/>
      <c r="B305" s="95" t="s">
        <v>649</v>
      </c>
      <c r="C305" s="5"/>
      <c r="D305" s="5"/>
      <c r="E305" s="5"/>
      <c r="F305" s="5"/>
      <c r="G305" s="5"/>
      <c r="H305" s="5"/>
      <c r="I305" s="5"/>
      <c r="J305" s="1"/>
      <c r="K305" s="5"/>
      <c r="L305" s="5"/>
      <c r="M305" s="5"/>
      <c r="N305" s="5"/>
      <c r="O305" s="5"/>
      <c r="P305" s="5"/>
      <c r="Q305" s="5"/>
      <c r="R305" s="5"/>
      <c r="S305" s="5"/>
      <c r="T305" s="5"/>
      <c r="U305" s="86"/>
      <c r="V305" s="102"/>
      <c r="W305" s="759"/>
      <c r="Y305" s="250"/>
      <c r="AE305" s="760"/>
      <c r="AF305" s="760"/>
      <c r="AG305" s="760"/>
      <c r="AH305" s="760"/>
      <c r="AI305" s="763"/>
      <c r="AJ305" s="765"/>
    </row>
    <row r="306" spans="1:76" ht="18.75" customHeight="1">
      <c r="A306" s="91"/>
      <c r="B306" s="92"/>
      <c r="C306" s="92"/>
      <c r="D306" s="92"/>
      <c r="E306" s="92"/>
      <c r="F306" s="92"/>
      <c r="G306" s="92"/>
      <c r="H306" s="92"/>
      <c r="I306" s="200"/>
      <c r="J306" s="93"/>
      <c r="K306" s="92"/>
      <c r="L306" s="92"/>
      <c r="M306" s="92"/>
      <c r="N306" s="92"/>
      <c r="O306" s="92"/>
      <c r="P306" s="329"/>
      <c r="Q306" s="92"/>
      <c r="R306" s="92"/>
      <c r="S306" s="200"/>
      <c r="T306" s="92"/>
      <c r="U306" s="94"/>
      <c r="V306" s="122"/>
      <c r="W306" s="759"/>
      <c r="Y306" s="250"/>
      <c r="AE306" s="763"/>
      <c r="AF306" s="763"/>
      <c r="AG306" s="763"/>
      <c r="AH306" s="763"/>
      <c r="AI306" s="763"/>
      <c r="AJ306" s="765"/>
      <c r="AK306" s="52" t="str">
        <f>CONCATENATE($I$7,"in Number of "&amp;$B308)</f>
        <v>Average Annual Change in Number of Net Number of Children becoming Looked After in the year ending 31st March [SCB47]</v>
      </c>
      <c r="AQ306" s="530" t="s">
        <v>604</v>
      </c>
    </row>
    <row r="307" spans="1:76" ht="11.25" customHeight="1">
      <c r="A307" s="81"/>
      <c r="B307" s="82"/>
      <c r="C307" s="82"/>
      <c r="D307" s="82"/>
      <c r="E307" s="82"/>
      <c r="F307" s="82"/>
      <c r="G307" s="82"/>
      <c r="H307" s="82"/>
      <c r="I307" s="82"/>
      <c r="J307" s="83"/>
      <c r="K307" s="82"/>
      <c r="L307" s="82"/>
      <c r="M307" s="82"/>
      <c r="N307" s="82"/>
      <c r="O307" s="82"/>
      <c r="P307" s="82"/>
      <c r="Q307" s="82"/>
      <c r="R307" s="82"/>
      <c r="S307" s="82"/>
      <c r="T307" s="82"/>
      <c r="U307" s="84"/>
      <c r="V307" s="102"/>
      <c r="W307" s="759"/>
      <c r="Y307" s="250"/>
      <c r="AE307" s="760"/>
      <c r="AF307" s="760"/>
      <c r="AG307" s="760"/>
      <c r="AH307" s="760"/>
      <c r="AI307" s="763"/>
      <c r="AJ307" s="765"/>
    </row>
    <row r="308" spans="1:76" ht="18.75" customHeight="1">
      <c r="A308" s="87"/>
      <c r="B308" s="1900" t="str">
        <f>"Net Number of Children becoming Looked After in"&amp;$Y1&amp;" [SCB47]"</f>
        <v>Net Number of Children becoming Looked After in the year ending 31st March [SCB47]</v>
      </c>
      <c r="C308" s="1900"/>
      <c r="D308" s="1900"/>
      <c r="E308" s="1900"/>
      <c r="F308" s="1900"/>
      <c r="G308" s="1900"/>
      <c r="H308" s="1900"/>
      <c r="I308" s="1900"/>
      <c r="J308" s="1900"/>
      <c r="K308" s="1900"/>
      <c r="L308" s="1900"/>
      <c r="M308" s="1900"/>
      <c r="N308" s="1900"/>
      <c r="O308" s="1900"/>
      <c r="P308" s="1900"/>
      <c r="Q308" s="1900"/>
      <c r="R308" s="1900"/>
      <c r="S308" s="1900"/>
      <c r="T308" s="1900"/>
      <c r="U308" s="86"/>
      <c r="V308" s="102"/>
      <c r="W308" s="767"/>
      <c r="X308" s="585"/>
      <c r="Y308" s="585"/>
      <c r="Z308" s="585"/>
      <c r="AA308" s="376" t="s">
        <v>76</v>
      </c>
      <c r="AB308" s="250"/>
      <c r="AC308" s="250"/>
      <c r="AD308" s="584"/>
      <c r="AE308" s="762"/>
      <c r="AF308" s="769" t="s">
        <v>88</v>
      </c>
      <c r="AG308" s="761"/>
      <c r="AH308" s="761"/>
      <c r="AI308" s="768"/>
      <c r="AJ308" s="766"/>
      <c r="AK308" s="350"/>
      <c r="AL308" s="350"/>
      <c r="AM308" s="350"/>
      <c r="AN308" s="350"/>
      <c r="AO308" s="350"/>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row>
    <row r="309" spans="1:76" ht="18.75" customHeight="1">
      <c r="A309" s="87"/>
      <c r="B309" s="1900"/>
      <c r="C309" s="1900"/>
      <c r="D309" s="1900"/>
      <c r="E309" s="1900"/>
      <c r="F309" s="1900"/>
      <c r="G309" s="1900"/>
      <c r="H309" s="1900"/>
      <c r="I309" s="1900"/>
      <c r="J309" s="1900"/>
      <c r="K309" s="1900"/>
      <c r="L309" s="1900"/>
      <c r="M309" s="1900"/>
      <c r="N309" s="1900"/>
      <c r="O309" s="1900"/>
      <c r="P309" s="1900"/>
      <c r="Q309" s="1900"/>
      <c r="R309" s="1900"/>
      <c r="S309" s="1900"/>
      <c r="T309" s="1900"/>
      <c r="U309" s="86"/>
      <c r="V309" s="102"/>
      <c r="W309" s="767"/>
      <c r="X309" s="585"/>
      <c r="Y309" s="1939" t="s">
        <v>73</v>
      </c>
      <c r="Z309" s="1939" t="s">
        <v>74</v>
      </c>
      <c r="AA309" s="376" t="str">
        <f>IF(ReportData!$C$3="Annual","",ReportData!AE293)</f>
        <v/>
      </c>
      <c r="AB309" s="250" t="str">
        <f>IF(ReportData!$C$3="Annual","",ReportData!AF293)</f>
        <v/>
      </c>
      <c r="AC309" s="250" t="str">
        <f>IF(ReportData!$C$3="Annual","",ReportData!AG293)</f>
        <v/>
      </c>
      <c r="AD309" s="584" t="str">
        <f>IF(ReportData!$C$3="Annual","",ReportData!AH293)</f>
        <v/>
      </c>
      <c r="AE309" s="762" t="str">
        <f>IF(ReportData!$C$3="Annual","",ReportData!AI293)</f>
        <v/>
      </c>
      <c r="AF309" s="769"/>
      <c r="AG309" s="761"/>
      <c r="AH309" s="761"/>
      <c r="AI309" s="768"/>
      <c r="AJ309" s="766"/>
      <c r="AK309" s="109"/>
      <c r="AL309" s="109"/>
      <c r="AM309" s="109"/>
      <c r="AN309" s="109"/>
      <c r="AO309" s="109"/>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row>
    <row r="310" spans="1:76" s="61" customFormat="1" ht="13.5" customHeight="1">
      <c r="A310" s="88"/>
      <c r="B310" s="1749" t="s">
        <v>177</v>
      </c>
      <c r="C310" s="896"/>
      <c r="D310" s="1777" t="s">
        <v>84</v>
      </c>
      <c r="E310" s="1777"/>
      <c r="F310" s="1777"/>
      <c r="G310" s="1777"/>
      <c r="H310" s="1778"/>
      <c r="I310" s="1761" t="str">
        <f>"Average "&amp;ReportData!C384&amp;" Change "</f>
        <v xml:space="preserve">Average  Change </v>
      </c>
      <c r="J310" s="896"/>
      <c r="K310" s="1765" t="s">
        <v>85</v>
      </c>
      <c r="L310" s="1766"/>
      <c r="M310" s="1766"/>
      <c r="N310" s="1766"/>
      <c r="O310" s="1766"/>
      <c r="P310" s="1767"/>
      <c r="Q310" s="1761" t="str">
        <f>IF(ISNA(O311),"Rank "&amp;O313,"Rank "&amp;LEFT(O311,5)&amp;" "&amp;RIGHT(O311,2))</f>
        <v>Rank 2023/ 24</v>
      </c>
      <c r="R310" s="64"/>
      <c r="S310" s="1783" t="str">
        <f>"Distance from "&amp;ReportData!$B$8&amp;" Expected Rate based on IDACI"</f>
        <v>Distance from 2024 Expected Rate based on IDACI</v>
      </c>
      <c r="T310" s="1784"/>
      <c r="U310" s="89"/>
      <c r="V310" s="103"/>
      <c r="W310" s="767"/>
      <c r="X310" s="585"/>
      <c r="Y310" s="1940"/>
      <c r="Z310" s="1940"/>
      <c r="AA310" s="787" t="str">
        <f>ReportData!$D$27</f>
        <v>2019/20</v>
      </c>
      <c r="AB310" s="787" t="str">
        <f>ReportData!$E$27</f>
        <v>2020/21</v>
      </c>
      <c r="AC310" s="787" t="str">
        <f>ReportData!$F$27</f>
        <v>2021/22</v>
      </c>
      <c r="AD310" s="787" t="str">
        <f>ReportData!$G$27</f>
        <v>2022/23</v>
      </c>
      <c r="AE310" s="533" t="str">
        <f>ReportData!$H$27</f>
        <v>2023/24</v>
      </c>
      <c r="AF310" s="811"/>
      <c r="AG310" s="811">
        <f>COLUMNS($B$4:O$4)</f>
        <v>14</v>
      </c>
      <c r="AH310" s="811"/>
      <c r="AI310" s="768"/>
      <c r="AJ310" s="766"/>
      <c r="AK310" s="479" t="s">
        <v>598</v>
      </c>
      <c r="AL310" s="479" t="s">
        <v>599</v>
      </c>
      <c r="AM310" s="479" t="s">
        <v>600</v>
      </c>
      <c r="AN310" s="479" t="s">
        <v>601</v>
      </c>
      <c r="AO310" s="479" t="s">
        <v>602</v>
      </c>
      <c r="AQ310" s="532" t="s">
        <v>605</v>
      </c>
      <c r="AR310" s="532" t="s">
        <v>606</v>
      </c>
      <c r="AS310" s="532" t="s">
        <v>607</v>
      </c>
      <c r="AT310" s="532" t="s">
        <v>608</v>
      </c>
      <c r="AU310" s="533" t="s">
        <v>609</v>
      </c>
      <c r="AV310" s="533" t="s">
        <v>610</v>
      </c>
      <c r="AW310" s="533" t="s">
        <v>611</v>
      </c>
    </row>
    <row r="311" spans="1:76" s="61" customFormat="1" ht="13.5" customHeight="1">
      <c r="A311" s="217"/>
      <c r="B311" s="1749"/>
      <c r="C311" s="896"/>
      <c r="D311" s="1770" t="str">
        <f>ReportData!$D$27</f>
        <v>2019/20</v>
      </c>
      <c r="E311" s="1770" t="str">
        <f>ReportData!$E$27</f>
        <v>2020/21</v>
      </c>
      <c r="F311" s="1770" t="str">
        <f>ReportData!$F$27</f>
        <v>2021/22</v>
      </c>
      <c r="G311" s="1770" t="str">
        <f>ReportData!$G$27</f>
        <v>2022/23</v>
      </c>
      <c r="H311" s="1781" t="str">
        <f>ReportData!$H$27</f>
        <v>2023/24</v>
      </c>
      <c r="I311" s="1762"/>
      <c r="J311" s="896"/>
      <c r="K311" s="1770" t="str">
        <f>ReportData!$D$27</f>
        <v>2019/20</v>
      </c>
      <c r="L311" s="1770" t="str">
        <f>ReportData!$E$27</f>
        <v>2020/21</v>
      </c>
      <c r="M311" s="1770" t="str">
        <f>ReportData!$F$27</f>
        <v>2021/22</v>
      </c>
      <c r="N311" s="1770" t="str">
        <f>ReportData!$G$27</f>
        <v>2022/23</v>
      </c>
      <c r="O311" s="1789" t="str">
        <f>ReportData!$H$27</f>
        <v>2023/24</v>
      </c>
      <c r="P311" s="1790"/>
      <c r="Q311" s="1762"/>
      <c r="R311" s="64"/>
      <c r="S311" s="1785"/>
      <c r="T311" s="1786"/>
      <c r="U311" s="89"/>
      <c r="V311" s="103"/>
      <c r="W311" s="767"/>
      <c r="X311" s="786" t="str">
        <f t="shared" ref="X311:X331" si="110">B314</f>
        <v>Bracknell Forest</v>
      </c>
      <c r="Y311" s="370">
        <f>IF(AC205&gt;0,IDACI!D9,0)</f>
        <v>24849</v>
      </c>
      <c r="Z311" s="370">
        <f>IF(AC205&gt;0,IDACI!E9,0)</f>
        <v>2211.5610000000001</v>
      </c>
      <c r="AA311" s="369">
        <f>IF(ISNUMBER(D314),Population!D11,0)</f>
        <v>27298</v>
      </c>
      <c r="AB311" s="369">
        <f>IF(ISNUMBER(E314),Population!E11,0)</f>
        <v>27594</v>
      </c>
      <c r="AC311" s="369">
        <f>IF(ISNUMBER(F314),Population!F11,0)</f>
        <v>27823</v>
      </c>
      <c r="AD311" s="369">
        <f>IF(ISNUMBER(G314),Population!G11,0)</f>
        <v>28330</v>
      </c>
      <c r="AE311" s="72">
        <f>IF(ISNUMBER(H314),Population!H11,0)</f>
        <v>28647</v>
      </c>
      <c r="AF311" s="542" t="s">
        <v>0</v>
      </c>
      <c r="AG311" s="1228">
        <f t="shared" ref="AG311:AG329" si="111">IFERROR(VLOOKUP(AF311,$B$314:$O$334,$AG$177,FALSE),"")</f>
        <v>-5.9343037665375089</v>
      </c>
      <c r="AH311" s="747">
        <f t="shared" ref="AH311:AH329" si="112">RANK(AG311,$AG$311:$AG$329,1)</f>
        <v>5</v>
      </c>
      <c r="AI311" s="768"/>
      <c r="AJ311" s="766"/>
      <c r="AK311" s="514">
        <f>IF(ISERROR((E314-D314)),"x",(E314-D314))</f>
        <v>19</v>
      </c>
      <c r="AL311" s="514">
        <f>IF(ISERROR((F314-E314)),"x",(F314-E314))</f>
        <v>-13</v>
      </c>
      <c r="AM311" s="514">
        <f>IF(ISERROR((G314-F314)),"x",(G314-F314))</f>
        <v>25</v>
      </c>
      <c r="AN311" s="514">
        <f>IF(ISERROR((H314-G314)),"x",(H314-G314))</f>
        <v>-33</v>
      </c>
      <c r="AO311" s="514">
        <f>AVERAGE(AK311:AN311)</f>
        <v>-0.5</v>
      </c>
      <c r="AQ311" s="531">
        <f>IF(ISNUMBER(L314),L314,"")</f>
        <v>1.449590490686381</v>
      </c>
      <c r="AR311" s="531">
        <f>IF(ISNUMBER(M314),M314,"")</f>
        <v>-3.2347338532868486</v>
      </c>
      <c r="AS311" s="531">
        <f>IF(ISNUMBER(N314),N314,"")</f>
        <v>5.6477232615601833</v>
      </c>
      <c r="AT311" s="531">
        <f>IF(ISNUMBER(O314),O314,"")</f>
        <v>-5.9343037665375089</v>
      </c>
      <c r="AU311" s="531">
        <f t="shared" ref="AU311:AU324" si="113">SUM(AQ311:AT311)</f>
        <v>-2.0717238675777931</v>
      </c>
      <c r="AV311" s="350">
        <f t="shared" ref="AV311:AV324" si="114">COUNTBLANK(AQ311:AT311)</f>
        <v>0</v>
      </c>
      <c r="AW311" s="531">
        <f>AU311/(4-AV311)*4</f>
        <v>-2.0717238675777931</v>
      </c>
    </row>
    <row r="312" spans="1:76" s="61" customFormat="1" ht="9" customHeight="1">
      <c r="A312" s="217"/>
      <c r="B312" s="1749"/>
      <c r="C312" s="896"/>
      <c r="D312" s="1771"/>
      <c r="E312" s="1771"/>
      <c r="F312" s="1771"/>
      <c r="G312" s="1771"/>
      <c r="H312" s="1782"/>
      <c r="I312" s="1762"/>
      <c r="J312" s="896"/>
      <c r="K312" s="1771"/>
      <c r="L312" s="1771"/>
      <c r="M312" s="1771"/>
      <c r="N312" s="1771"/>
      <c r="O312" s="1791"/>
      <c r="P312" s="1792"/>
      <c r="Q312" s="1762"/>
      <c r="R312" s="64"/>
      <c r="S312" s="1787"/>
      <c r="T312" s="1788"/>
      <c r="U312" s="89"/>
      <c r="V312" s="103"/>
      <c r="W312" s="1230"/>
      <c r="X312" s="786" t="str">
        <f t="shared" si="110"/>
        <v>Brighton &amp; Hove</v>
      </c>
      <c r="Y312" s="370">
        <f>IF(AC206&gt;0,IDACI!D10,0)</f>
        <v>45576</v>
      </c>
      <c r="Z312" s="370">
        <f>IF(AC206&gt;0,IDACI!E10,0)</f>
        <v>6973.1279999999997</v>
      </c>
      <c r="AA312" s="369">
        <f>IF(ISNUMBER(D315),Population!D12,0)</f>
        <v>48402</v>
      </c>
      <c r="AB312" s="369">
        <f>IF(ISNUMBER(E315),Population!E12,0)</f>
        <v>47964</v>
      </c>
      <c r="AC312" s="369">
        <f>IF(ISNUMBER(F315),Population!F12,0)</f>
        <v>47125</v>
      </c>
      <c r="AD312" s="369">
        <f>IF(ISNUMBER(G315),Population!G12,0)</f>
        <v>47140</v>
      </c>
      <c r="AE312" s="72">
        <f>IF(ISNUMBER(H315),Population!H12,0)</f>
        <v>46666</v>
      </c>
      <c r="AF312" s="542" t="s">
        <v>28</v>
      </c>
      <c r="AG312" s="1228">
        <f t="shared" si="111"/>
        <v>1.0714438777696824</v>
      </c>
      <c r="AH312" s="747">
        <f t="shared" si="112"/>
        <v>14</v>
      </c>
      <c r="AI312" s="768"/>
      <c r="AJ312" s="766"/>
      <c r="AK312" s="514"/>
      <c r="AL312" s="514"/>
      <c r="AM312" s="514"/>
      <c r="AN312" s="514"/>
      <c r="AO312" s="514"/>
      <c r="AQ312" s="531"/>
      <c r="AR312" s="531"/>
      <c r="AS312" s="531"/>
      <c r="AT312" s="531"/>
      <c r="AU312" s="531"/>
      <c r="AV312" s="350"/>
      <c r="AW312" s="531"/>
    </row>
    <row r="313" spans="1:76" s="61" customFormat="1" ht="13.5" customHeight="1">
      <c r="A313" s="88"/>
      <c r="B313" s="1764"/>
      <c r="C313" s="896"/>
      <c r="D313" s="897" t="e">
        <f>ReportData!$D$28</f>
        <v>#N/A</v>
      </c>
      <c r="E313" s="897" t="e">
        <f>ReportData!$E$28</f>
        <v>#N/A</v>
      </c>
      <c r="F313" s="897" t="e">
        <f>ReportData!$F$28</f>
        <v>#N/A</v>
      </c>
      <c r="G313" s="897" t="e">
        <f>ReportData!$G$28</f>
        <v>#N/A</v>
      </c>
      <c r="H313" s="920" t="e">
        <f>ReportData!$H$28</f>
        <v>#N/A</v>
      </c>
      <c r="I313" s="1763"/>
      <c r="J313" s="896"/>
      <c r="K313" s="897" t="e">
        <f>ReportData!$D$28</f>
        <v>#N/A</v>
      </c>
      <c r="L313" s="897" t="e">
        <f>ReportData!$E$28</f>
        <v>#N/A</v>
      </c>
      <c r="M313" s="897" t="e">
        <f>ReportData!$F$28</f>
        <v>#N/A</v>
      </c>
      <c r="N313" s="897" t="e">
        <f>ReportData!$G$28</f>
        <v>#N/A</v>
      </c>
      <c r="O313" s="1779" t="e">
        <f>ReportData!$H$28</f>
        <v>#N/A</v>
      </c>
      <c r="P313" s="1780"/>
      <c r="Q313" s="1763"/>
      <c r="R313" s="64"/>
      <c r="S313" s="898" t="s">
        <v>110</v>
      </c>
      <c r="T313" s="899" t="s">
        <v>111</v>
      </c>
      <c r="U313" s="89"/>
      <c r="V313" s="103"/>
      <c r="W313" s="767"/>
      <c r="X313" s="786" t="str">
        <f t="shared" si="110"/>
        <v>Buckinghamshire</v>
      </c>
      <c r="Y313" s="370">
        <f>IF(AC207&gt;0,IDACI!D11,0)</f>
        <v>107385</v>
      </c>
      <c r="Z313" s="370">
        <f>IF(AC207&gt;0,IDACI!E11,0)</f>
        <v>9127.7250000000004</v>
      </c>
      <c r="AA313" s="369">
        <f>IF(ISNUMBER(D316),Population!D13,0)</f>
        <v>122137</v>
      </c>
      <c r="AB313" s="369">
        <f>IF(ISNUMBER(E316),Population!E13,0)</f>
        <v>122495</v>
      </c>
      <c r="AC313" s="369">
        <f>IF(ISNUMBER(F316),Population!F13,0)</f>
        <v>123510</v>
      </c>
      <c r="AD313" s="369">
        <f>IF(ISNUMBER(G316),Population!G13,0)</f>
        <v>125915</v>
      </c>
      <c r="AE313" s="72">
        <f>IF(ISNUMBER(H316),Population!H13,0)</f>
        <v>127616</v>
      </c>
      <c r="AF313" s="542" t="s">
        <v>8</v>
      </c>
      <c r="AG313" s="1228">
        <f t="shared" si="111"/>
        <v>2.0373620862587765</v>
      </c>
      <c r="AH313" s="747">
        <f t="shared" si="112"/>
        <v>16</v>
      </c>
      <c r="AI313" s="768"/>
      <c r="AJ313" s="766"/>
      <c r="AK313" s="514">
        <f t="shared" ref="AK313:AK332" si="115">IF(ISERROR((E315-D315)),"x",(E315-D315))</f>
        <v>22</v>
      </c>
      <c r="AL313" s="514">
        <f t="shared" ref="AL313:AL332" si="116">IF(ISERROR((F315-E315)),"x",(F315-E315))</f>
        <v>13</v>
      </c>
      <c r="AM313" s="514">
        <f t="shared" ref="AM313:AM332" si="117">IF(ISERROR((G315-F315)),"x",(G315-F315))</f>
        <v>-58</v>
      </c>
      <c r="AN313" s="514">
        <f t="shared" ref="AN313:AN332" si="118">IF(ISERROR((H315-G315)),"x",(H315-G315))</f>
        <v>52</v>
      </c>
      <c r="AO313" s="514">
        <f>AVERAGE(AK313:AN313)</f>
        <v>7.25</v>
      </c>
      <c r="AQ313" s="531">
        <f t="shared" ref="AQ313:AQ332" si="119">IF(ISNUMBER(L315),L315,"")</f>
        <v>-0.41697940121757987</v>
      </c>
      <c r="AR313" s="531">
        <f t="shared" ref="AR313:AR332" si="120">IF(ISNUMBER(M315),M315,"")</f>
        <v>2.3342175066312998</v>
      </c>
      <c r="AS313" s="531">
        <f t="shared" ref="AS313:AS332" si="121">IF(ISNUMBER(N315),N315,"")</f>
        <v>-9.9703012303775971</v>
      </c>
      <c r="AT313" s="531">
        <f t="shared" ref="AT313:AT332" si="122">IF(ISNUMBER(O315),O315,"")</f>
        <v>1.0714438777696824</v>
      </c>
      <c r="AU313" s="531">
        <f t="shared" si="113"/>
        <v>-6.9816192471941951</v>
      </c>
      <c r="AV313" s="350">
        <f t="shared" si="114"/>
        <v>0</v>
      </c>
      <c r="AW313" s="531">
        <f t="shared" ref="AW313:AW324" si="123">AU313/(4-AV313)*4</f>
        <v>-6.9816192471941951</v>
      </c>
    </row>
    <row r="314" spans="1:76" s="61" customFormat="1" ht="15.75" customHeight="1">
      <c r="A314" s="1103">
        <f>VLOOKUP(B314,ReportData!$AQ$4:$AR$25,2,FALSE)</f>
        <v>0</v>
      </c>
      <c r="B314" s="885" t="str">
        <f>ReportData!$K$4</f>
        <v>Bracknell Forest</v>
      </c>
      <c r="C314" s="896"/>
      <c r="D314" s="889">
        <f t="shared" ref="D314:H323" si="124">IF(AND(ISNUMBER(D11),ISNUMBER(D180)),D11-D180,NA())</f>
        <v>-15</v>
      </c>
      <c r="E314" s="889">
        <f t="shared" si="124"/>
        <v>4</v>
      </c>
      <c r="F314" s="889">
        <f t="shared" si="124"/>
        <v>-9</v>
      </c>
      <c r="G314" s="889">
        <f t="shared" si="124"/>
        <v>16</v>
      </c>
      <c r="H314" s="890">
        <f t="shared" si="124"/>
        <v>-17</v>
      </c>
      <c r="I314" s="1231">
        <f>AO311</f>
        <v>-0.5</v>
      </c>
      <c r="J314" s="896"/>
      <c r="K314" s="901">
        <f>IF(ISNUMBER(D314),D314/Population!D11*10000,NA())</f>
        <v>-5.4949080518719322</v>
      </c>
      <c r="L314" s="901">
        <f>IF(ISNUMBER(E314),E314/Population!E11*10000,NA())</f>
        <v>1.449590490686381</v>
      </c>
      <c r="M314" s="901">
        <f>IF(ISNUMBER(F314),F314/Population!F11*10000,NA())</f>
        <v>-3.2347338532868486</v>
      </c>
      <c r="N314" s="901">
        <f>IF(ISNUMBER(G314),G314/Population!G11*10000,NA())</f>
        <v>5.6477232615601833</v>
      </c>
      <c r="O314" s="901">
        <f>IF(ISNUMBER(H314),H314/Population!H11*10000,NA())</f>
        <v>-5.9343037665375089</v>
      </c>
      <c r="P314" s="903">
        <f>IF(ISNUMBER(O314),O314,"")</f>
        <v>-5.9343037665375089</v>
      </c>
      <c r="Q314" s="1190">
        <f>IF(ISNA(VLOOKUP(B314,$AF$311:$AH$329,3,FALSE)),"--",IF(ISNUMBER(H314),VLOOKUP(B314,$AF$311:$AH$329,3,FALSE),NA()))</f>
        <v>5</v>
      </c>
      <c r="R314" s="64"/>
      <c r="S314" s="905">
        <f>((AQ205*$Y$345)+$Z$345)/$X$2</f>
        <v>-1.4707602282874153</v>
      </c>
      <c r="T314" s="906">
        <f t="shared" ref="T314:T334" si="125">O314-S314</f>
        <v>-4.4635435382500939</v>
      </c>
      <c r="U314" s="89"/>
      <c r="V314" s="103"/>
      <c r="W314" s="767"/>
      <c r="X314" s="786" t="str">
        <f t="shared" si="110"/>
        <v>East Sussex</v>
      </c>
      <c r="Y314" s="370">
        <f>IF(AC208&gt;0,IDACI!D12,0)</f>
        <v>93130</v>
      </c>
      <c r="Z314" s="370">
        <f>IF(AC208&gt;0,IDACI!E12,0)</f>
        <v>14993.93</v>
      </c>
      <c r="AA314" s="369">
        <f>IF(ISNUMBER(D317),Population!D14,0)</f>
        <v>102921</v>
      </c>
      <c r="AB314" s="369">
        <f>IF(ISNUMBER(E317),Population!E14,0)</f>
        <v>102419</v>
      </c>
      <c r="AC314" s="369">
        <f>IF(ISNUMBER(F317),Population!F14,0)</f>
        <v>101959</v>
      </c>
      <c r="AD314" s="369">
        <f>IF(ISNUMBER(G317),Population!G14,0)</f>
        <v>102825</v>
      </c>
      <c r="AE314" s="72">
        <f>IF(ISNUMBER(H317),Population!H14,0)</f>
        <v>103606</v>
      </c>
      <c r="AF314" s="542" t="s">
        <v>4</v>
      </c>
      <c r="AG314" s="1228">
        <f t="shared" si="111"/>
        <v>0.4825975329614115</v>
      </c>
      <c r="AH314" s="747">
        <f t="shared" si="112"/>
        <v>11</v>
      </c>
      <c r="AI314" s="768"/>
      <c r="AJ314" s="766"/>
      <c r="AK314" s="514">
        <f t="shared" si="115"/>
        <v>53</v>
      </c>
      <c r="AL314" s="514">
        <f t="shared" si="116"/>
        <v>-34</v>
      </c>
      <c r="AM314" s="514">
        <f t="shared" si="117"/>
        <v>7</v>
      </c>
      <c r="AN314" s="514">
        <f t="shared" si="118"/>
        <v>32</v>
      </c>
      <c r="AO314" s="514">
        <f t="shared" ref="AO314:AO324" si="126">AVERAGE(AK314:AN314)</f>
        <v>14.5</v>
      </c>
      <c r="AQ314" s="531">
        <f t="shared" si="119"/>
        <v>1.714355687987265</v>
      </c>
      <c r="AR314" s="531">
        <f t="shared" si="120"/>
        <v>-1.0525463525220631</v>
      </c>
      <c r="AS314" s="531">
        <f t="shared" si="121"/>
        <v>-0.4765119326529802</v>
      </c>
      <c r="AT314" s="531">
        <f t="shared" si="122"/>
        <v>2.0373620862587765</v>
      </c>
      <c r="AU314" s="531">
        <f t="shared" si="113"/>
        <v>2.2226594890709981</v>
      </c>
      <c r="AV314" s="350">
        <f t="shared" si="114"/>
        <v>0</v>
      </c>
      <c r="AW314" s="531">
        <f t="shared" si="123"/>
        <v>2.2226594890709981</v>
      </c>
    </row>
    <row r="315" spans="1:76" s="61" customFormat="1" ht="15.75" customHeight="1">
      <c r="A315" s="1103">
        <f>VLOOKUP(B315,ReportData!$AQ$4:$AR$25,2,FALSE)</f>
        <v>0</v>
      </c>
      <c r="B315" s="885" t="str">
        <f>ReportData!$K$5</f>
        <v>Brighton &amp; Hove</v>
      </c>
      <c r="C315" s="896"/>
      <c r="D315" s="889">
        <f t="shared" si="124"/>
        <v>-24</v>
      </c>
      <c r="E315" s="889">
        <f t="shared" si="124"/>
        <v>-2</v>
      </c>
      <c r="F315" s="889">
        <f t="shared" si="124"/>
        <v>11</v>
      </c>
      <c r="G315" s="889">
        <f t="shared" si="124"/>
        <v>-47</v>
      </c>
      <c r="H315" s="890">
        <f t="shared" si="124"/>
        <v>5</v>
      </c>
      <c r="I315" s="1231">
        <f t="shared" ref="I315:I326" si="127">AO313</f>
        <v>7.25</v>
      </c>
      <c r="J315" s="896"/>
      <c r="K315" s="901">
        <f>IF(ISNUMBER(D315),D315/Population!D12*10000,NA())</f>
        <v>-4.9584727903805632</v>
      </c>
      <c r="L315" s="901">
        <f>IF(ISNUMBER(E315),E315/Population!E12*10000,NA())</f>
        <v>-0.41697940121757987</v>
      </c>
      <c r="M315" s="901">
        <f>IF(ISNUMBER(F315),F315/Population!F12*10000,NA())</f>
        <v>2.3342175066312998</v>
      </c>
      <c r="N315" s="901">
        <f>IF(ISNUMBER(G315),G315/Population!G12*10000,NA())</f>
        <v>-9.9703012303775971</v>
      </c>
      <c r="O315" s="902">
        <f>IF(ISNUMBER(H315),H315/Population!H12*10000,NA())</f>
        <v>1.0714438777696824</v>
      </c>
      <c r="P315" s="903">
        <f t="shared" ref="P315:P328" si="128">IF(ISNUMBER(O315),O315,"")</f>
        <v>1.0714438777696824</v>
      </c>
      <c r="Q315" s="1190">
        <f t="shared" ref="Q315:Q332" si="129">IF(ISNA(VLOOKUP(B315,$AF$311:$AH$329,3,FALSE)),"--",IF(ISNUMBER(H315),VLOOKUP(B315,$AF$311:$AH$329,3,FALSE),NA()))</f>
        <v>14</v>
      </c>
      <c r="R315" s="64"/>
      <c r="S315" s="905">
        <f t="shared" ref="S315:S334" si="130">((AQ206*$Y$345)+$Z$345)/$X$2</f>
        <v>-1.1981159572712263</v>
      </c>
      <c r="T315" s="906">
        <f t="shared" si="125"/>
        <v>2.2695598350409085</v>
      </c>
      <c r="U315" s="89"/>
      <c r="V315" s="103"/>
      <c r="W315" s="767"/>
      <c r="X315" s="786" t="str">
        <f t="shared" si="110"/>
        <v>Hampshire</v>
      </c>
      <c r="Y315" s="370">
        <f>IF(AC209&gt;0,IDACI!D13,0)</f>
        <v>249483</v>
      </c>
      <c r="Z315" s="370">
        <f>IF(AC209&gt;0,IDACI!E13,0)</f>
        <v>25197.783000000007</v>
      </c>
      <c r="AA315" s="369">
        <f>IF(ISNUMBER(D318),Population!D15,0)</f>
        <v>279340</v>
      </c>
      <c r="AB315" s="369">
        <f>IF(ISNUMBER(E318),Population!E15,0)</f>
        <v>279476</v>
      </c>
      <c r="AC315" s="369">
        <f>IF(ISNUMBER(F318),Population!F15,0)</f>
        <v>280929</v>
      </c>
      <c r="AD315" s="369">
        <f>IF(ISNUMBER(G318),Population!G15,0)</f>
        <v>283487</v>
      </c>
      <c r="AE315" s="72">
        <f>IF(ISNUMBER(H318),Population!H15,0)</f>
        <v>285610</v>
      </c>
      <c r="AF315" s="542" t="s">
        <v>6</v>
      </c>
      <c r="AG315" s="1228">
        <f t="shared" si="111"/>
        <v>1.5755750849059906</v>
      </c>
      <c r="AH315" s="747">
        <f t="shared" si="112"/>
        <v>15</v>
      </c>
      <c r="AI315" s="768"/>
      <c r="AJ315" s="766"/>
      <c r="AK315" s="514">
        <f t="shared" si="115"/>
        <v>29</v>
      </c>
      <c r="AL315" s="514">
        <f t="shared" si="116"/>
        <v>-15</v>
      </c>
      <c r="AM315" s="514">
        <f t="shared" si="117"/>
        <v>16</v>
      </c>
      <c r="AN315" s="514">
        <f t="shared" si="118"/>
        <v>-23</v>
      </c>
      <c r="AO315" s="514">
        <f t="shared" si="126"/>
        <v>1.75</v>
      </c>
      <c r="AQ315" s="531">
        <f t="shared" si="119"/>
        <v>2.6362296058348549</v>
      </c>
      <c r="AR315" s="531">
        <f t="shared" si="120"/>
        <v>1.1769436734373619</v>
      </c>
      <c r="AS315" s="531">
        <f t="shared" si="121"/>
        <v>2.7230731825917824</v>
      </c>
      <c r="AT315" s="531">
        <f t="shared" si="122"/>
        <v>0.4825975329614115</v>
      </c>
      <c r="AU315" s="531">
        <f t="shared" si="113"/>
        <v>7.0188439948254109</v>
      </c>
      <c r="AV315" s="350">
        <f t="shared" si="114"/>
        <v>0</v>
      </c>
      <c r="AW315" s="531">
        <f t="shared" si="123"/>
        <v>7.0188439948254109</v>
      </c>
    </row>
    <row r="316" spans="1:76" s="61" customFormat="1" ht="15.75" customHeight="1">
      <c r="A316" s="1103">
        <f>VLOOKUP(B316,ReportData!$AQ$4:$AR$25,2,FALSE)</f>
        <v>0</v>
      </c>
      <c r="B316" s="885" t="str">
        <f>ReportData!$K$6</f>
        <v>Buckinghamshire</v>
      </c>
      <c r="C316" s="896"/>
      <c r="D316" s="889">
        <f t="shared" si="124"/>
        <v>-32</v>
      </c>
      <c r="E316" s="889">
        <f t="shared" si="124"/>
        <v>21</v>
      </c>
      <c r="F316" s="889">
        <f t="shared" si="124"/>
        <v>-13</v>
      </c>
      <c r="G316" s="889">
        <f t="shared" si="124"/>
        <v>-6</v>
      </c>
      <c r="H316" s="890">
        <f t="shared" si="124"/>
        <v>26</v>
      </c>
      <c r="I316" s="1231">
        <f t="shared" si="127"/>
        <v>14.5</v>
      </c>
      <c r="J316" s="896"/>
      <c r="K316" s="901">
        <f>IF(ISNUMBER(D316),D316/Population!D13*10000,NA())</f>
        <v>-2.6200086787787487</v>
      </c>
      <c r="L316" s="901">
        <f>IF(ISNUMBER(E316),E316/Population!E13*10000,NA())</f>
        <v>1.714355687987265</v>
      </c>
      <c r="M316" s="901">
        <f>IF(ISNUMBER(F316),F316/Population!F13*10000,NA())</f>
        <v>-1.0525463525220631</v>
      </c>
      <c r="N316" s="901">
        <f>IF(ISNUMBER(G316),G316/Population!G13*10000,NA())</f>
        <v>-0.4765119326529802</v>
      </c>
      <c r="O316" s="902">
        <f>IF(ISNUMBER(H316),H316/Population!H13*10000,NA())</f>
        <v>2.0373620862587765</v>
      </c>
      <c r="P316" s="903">
        <f t="shared" si="128"/>
        <v>2.0373620862587765</v>
      </c>
      <c r="Q316" s="1190">
        <f t="shared" si="129"/>
        <v>16</v>
      </c>
      <c r="R316" s="64"/>
      <c r="S316" s="905">
        <f t="shared" si="130"/>
        <v>-1.4878004952259272</v>
      </c>
      <c r="T316" s="906">
        <f t="shared" si="125"/>
        <v>3.5251625814847038</v>
      </c>
      <c r="U316" s="89"/>
      <c r="V316" s="103"/>
      <c r="W316" s="767"/>
      <c r="X316" s="786" t="str">
        <f t="shared" si="110"/>
        <v>Isle of Wight</v>
      </c>
      <c r="Y316" s="370">
        <f>IF(AC210&gt;0,IDACI!D14,0)</f>
        <v>22123</v>
      </c>
      <c r="Z316" s="370">
        <f>IF(AC210&gt;0,IDACI!E14,0)</f>
        <v>3982.14</v>
      </c>
      <c r="AA316" s="369">
        <f>IF(ISNUMBER(D319),Population!D16,0)</f>
        <v>24301</v>
      </c>
      <c r="AB316" s="369">
        <f>IF(ISNUMBER(E319),Population!E16,0)</f>
        <v>23892</v>
      </c>
      <c r="AC316" s="369">
        <f>IF(ISNUMBER(F319),Population!F16,0)</f>
        <v>23636</v>
      </c>
      <c r="AD316" s="369">
        <f>IF(ISNUMBER(G319),Population!G16,0)</f>
        <v>23534</v>
      </c>
      <c r="AE316" s="72">
        <f>IF(ISNUMBER(H319),Population!H16,0)</f>
        <v>23438</v>
      </c>
      <c r="AF316" s="542" t="s">
        <v>1</v>
      </c>
      <c r="AG316" s="1228">
        <f t="shared" si="111"/>
        <v>-6.3998634695793166</v>
      </c>
      <c r="AH316" s="747">
        <f t="shared" si="112"/>
        <v>4</v>
      </c>
      <c r="AI316" s="768"/>
      <c r="AJ316" s="766"/>
      <c r="AK316" s="514">
        <f t="shared" si="115"/>
        <v>116</v>
      </c>
      <c r="AL316" s="514">
        <f t="shared" si="116"/>
        <v>12</v>
      </c>
      <c r="AM316" s="514">
        <f t="shared" si="117"/>
        <v>66</v>
      </c>
      <c r="AN316" s="514">
        <f t="shared" si="118"/>
        <v>-74</v>
      </c>
      <c r="AO316" s="514">
        <f t="shared" si="126"/>
        <v>30</v>
      </c>
      <c r="AQ316" s="531">
        <f t="shared" si="119"/>
        <v>1.4670311583105526</v>
      </c>
      <c r="AR316" s="531">
        <f t="shared" si="120"/>
        <v>1.8865976812646612</v>
      </c>
      <c r="AS316" s="531">
        <f t="shared" si="121"/>
        <v>4.1977233523935844</v>
      </c>
      <c r="AT316" s="531">
        <f t="shared" si="122"/>
        <v>1.5755750849059906</v>
      </c>
      <c r="AU316" s="531">
        <f t="shared" si="113"/>
        <v>9.1269272768747882</v>
      </c>
      <c r="AV316" s="350">
        <f t="shared" si="114"/>
        <v>0</v>
      </c>
      <c r="AW316" s="531">
        <f t="shared" si="123"/>
        <v>9.1269272768747882</v>
      </c>
    </row>
    <row r="317" spans="1:76" s="61" customFormat="1" ht="15.75" customHeight="1">
      <c r="A317" s="1103">
        <f>VLOOKUP(B317,ReportData!$AQ$4:$AR$25,2,FALSE)</f>
        <v>0</v>
      </c>
      <c r="B317" s="885" t="str">
        <f>ReportData!$K$7</f>
        <v>East Sussex</v>
      </c>
      <c r="C317" s="896"/>
      <c r="D317" s="889">
        <f t="shared" si="124"/>
        <v>-2</v>
      </c>
      <c r="E317" s="889">
        <f t="shared" si="124"/>
        <v>27</v>
      </c>
      <c r="F317" s="889">
        <f t="shared" si="124"/>
        <v>12</v>
      </c>
      <c r="G317" s="889">
        <f t="shared" si="124"/>
        <v>28</v>
      </c>
      <c r="H317" s="890">
        <f t="shared" si="124"/>
        <v>5</v>
      </c>
      <c r="I317" s="1231">
        <f t="shared" si="127"/>
        <v>1.75</v>
      </c>
      <c r="J317" s="896"/>
      <c r="K317" s="901">
        <f>IF(ISNUMBER(D317),D317/Population!D14*10000,NA())</f>
        <v>-0.19432380175085745</v>
      </c>
      <c r="L317" s="901">
        <f>IF(ISNUMBER(E317),E317/Population!E14*10000,NA())</f>
        <v>2.6362296058348549</v>
      </c>
      <c r="M317" s="901">
        <f>IF(ISNUMBER(F317),F317/Population!F14*10000,NA())</f>
        <v>1.1769436734373619</v>
      </c>
      <c r="N317" s="901">
        <f>IF(ISNUMBER(G317),G317/Population!G14*10000,NA())</f>
        <v>2.7230731825917824</v>
      </c>
      <c r="O317" s="902">
        <f>IF(ISNUMBER(H317),H317/Population!H14*10000,NA())</f>
        <v>0.4825975329614115</v>
      </c>
      <c r="P317" s="903">
        <f t="shared" si="128"/>
        <v>0.4825975329614115</v>
      </c>
      <c r="Q317" s="1190">
        <f t="shared" si="129"/>
        <v>11</v>
      </c>
      <c r="R317" s="64"/>
      <c r="S317" s="905">
        <f t="shared" si="130"/>
        <v>-1.1640354233942025</v>
      </c>
      <c r="T317" s="906">
        <f t="shared" si="125"/>
        <v>1.6466329563556141</v>
      </c>
      <c r="U317" s="89"/>
      <c r="V317" s="103"/>
      <c r="W317" s="767"/>
      <c r="X317" s="786" t="str">
        <f t="shared" si="110"/>
        <v>Kent</v>
      </c>
      <c r="Y317" s="370">
        <f>IF(AC211&gt;0,IDACI!D15,0)</f>
        <v>291866</v>
      </c>
      <c r="Z317" s="370">
        <f>IF(AC211&gt;0,IDACI!E15,0)</f>
        <v>46114.828000000001</v>
      </c>
      <c r="AA317" s="369">
        <f>IF(ISNUMBER(D320),Population!D17,0)</f>
        <v>333343</v>
      </c>
      <c r="AB317" s="369">
        <f>IF(ISNUMBER(E320),Population!E17,0)</f>
        <v>334424</v>
      </c>
      <c r="AC317" s="369">
        <f>IF(ISNUMBER(F320),Population!F17,0)</f>
        <v>336091</v>
      </c>
      <c r="AD317" s="369">
        <f>IF(ISNUMBER(G320),Population!G17,0)</f>
        <v>342858</v>
      </c>
      <c r="AE317" s="72">
        <f>IF(ISNUMBER(H320),Population!H17,0)</f>
        <v>348332</v>
      </c>
      <c r="AF317" s="542" t="s">
        <v>9</v>
      </c>
      <c r="AG317" s="1228">
        <f t="shared" si="111"/>
        <v>0.17224946315583983</v>
      </c>
      <c r="AH317" s="747">
        <f t="shared" si="112"/>
        <v>9</v>
      </c>
      <c r="AI317" s="768"/>
      <c r="AJ317" s="766"/>
      <c r="AK317" s="514">
        <f t="shared" si="115"/>
        <v>-13</v>
      </c>
      <c r="AL317" s="514">
        <f t="shared" si="116"/>
        <v>0</v>
      </c>
      <c r="AM317" s="514">
        <f t="shared" si="117"/>
        <v>1</v>
      </c>
      <c r="AN317" s="514">
        <f t="shared" si="118"/>
        <v>-22</v>
      </c>
      <c r="AO317" s="514">
        <f t="shared" si="126"/>
        <v>-8.5</v>
      </c>
      <c r="AQ317" s="531">
        <f t="shared" si="119"/>
        <v>2.5113008538422905</v>
      </c>
      <c r="AR317" s="531">
        <f t="shared" si="120"/>
        <v>2.5385005923168049</v>
      </c>
      <c r="AS317" s="531">
        <f t="shared" si="121"/>
        <v>2.9744199881023201</v>
      </c>
      <c r="AT317" s="531">
        <f t="shared" si="122"/>
        <v>-6.3998634695793166</v>
      </c>
      <c r="AU317" s="531">
        <f t="shared" si="113"/>
        <v>1.6243579646821003</v>
      </c>
      <c r="AV317" s="350">
        <f t="shared" si="114"/>
        <v>0</v>
      </c>
      <c r="AW317" s="531">
        <f t="shared" si="123"/>
        <v>1.6243579646821003</v>
      </c>
    </row>
    <row r="318" spans="1:76" s="61" customFormat="1" ht="15.75" customHeight="1">
      <c r="A318" s="1103">
        <f>VLOOKUP(B318,ReportData!$AQ$4:$AR$25,2,FALSE)</f>
        <v>0</v>
      </c>
      <c r="B318" s="885" t="str">
        <f>ReportData!$K$8</f>
        <v>Hampshire</v>
      </c>
      <c r="C318" s="896"/>
      <c r="D318" s="889">
        <f t="shared" si="124"/>
        <v>-75</v>
      </c>
      <c r="E318" s="889">
        <f t="shared" si="124"/>
        <v>41</v>
      </c>
      <c r="F318" s="891">
        <f t="shared" si="124"/>
        <v>53</v>
      </c>
      <c r="G318" s="891">
        <f t="shared" si="124"/>
        <v>119</v>
      </c>
      <c r="H318" s="890">
        <f t="shared" si="124"/>
        <v>45</v>
      </c>
      <c r="I318" s="1231">
        <f t="shared" si="127"/>
        <v>30</v>
      </c>
      <c r="J318" s="896"/>
      <c r="K318" s="901">
        <f>IF(ISNUMBER(D318),D318/Population!D15*10000,NA())</f>
        <v>-2.6849001217154722</v>
      </c>
      <c r="L318" s="901">
        <f>IF(ISNUMBER(E318),E318/Population!E15*10000,NA())</f>
        <v>1.4670311583105526</v>
      </c>
      <c r="M318" s="901">
        <f>IF(ISNUMBER(F318),F318/Population!F15*10000,NA())</f>
        <v>1.8865976812646612</v>
      </c>
      <c r="N318" s="901">
        <f>IF(ISNUMBER(G318),G318/Population!G15*10000,NA())</f>
        <v>4.1977233523935844</v>
      </c>
      <c r="O318" s="902">
        <f>IF(ISNUMBER(H318),H318/Population!H15*10000,NA())</f>
        <v>1.5755750849059906</v>
      </c>
      <c r="P318" s="903">
        <f t="shared" si="128"/>
        <v>1.5755750849059906</v>
      </c>
      <c r="Q318" s="1190">
        <f t="shared" si="129"/>
        <v>15</v>
      </c>
      <c r="R318" s="64"/>
      <c r="S318" s="905">
        <f t="shared" si="130"/>
        <v>-1.4196394274718798</v>
      </c>
      <c r="T318" s="906">
        <f t="shared" si="125"/>
        <v>2.9952145123778706</v>
      </c>
      <c r="U318" s="89"/>
      <c r="V318" s="103"/>
      <c r="W318" s="767"/>
      <c r="X318" s="786" t="str">
        <f t="shared" si="110"/>
        <v>Medway</v>
      </c>
      <c r="Y318" s="370">
        <f>IF(AC212&gt;0,IDACI!D16,0)</f>
        <v>55993</v>
      </c>
      <c r="Z318" s="370">
        <f>IF(AC212&gt;0,IDACI!E16,0)</f>
        <v>10582.676999999998</v>
      </c>
      <c r="AA318" s="369">
        <f>IF(ISNUMBER(D321),Population!D18,0)</f>
        <v>63672</v>
      </c>
      <c r="AB318" s="369">
        <f>IF(ISNUMBER(E321),Population!E18,0)</f>
        <v>63695</v>
      </c>
      <c r="AC318" s="369">
        <f>IF(ISNUMBER(F321),Population!F18,0)</f>
        <v>63817</v>
      </c>
      <c r="AD318" s="369">
        <f>IF(ISNUMBER(G321),Population!G18,0)</f>
        <v>64955</v>
      </c>
      <c r="AE318" s="72">
        <f>IF(ISNUMBER(H321),Population!H18,0)</f>
        <v>66687</v>
      </c>
      <c r="AF318" s="542" t="s">
        <v>2</v>
      </c>
      <c r="AG318" s="1228">
        <f t="shared" si="111"/>
        <v>0.74977131974747702</v>
      </c>
      <c r="AH318" s="747">
        <f t="shared" si="112"/>
        <v>13</v>
      </c>
      <c r="AI318" s="768"/>
      <c r="AJ318" s="766"/>
      <c r="AK318" s="514">
        <f t="shared" si="115"/>
        <v>-369</v>
      </c>
      <c r="AL318" s="514">
        <f t="shared" si="116"/>
        <v>262</v>
      </c>
      <c r="AM318" s="514">
        <f t="shared" si="117"/>
        <v>53</v>
      </c>
      <c r="AN318" s="514">
        <f t="shared" si="118"/>
        <v>-148</v>
      </c>
      <c r="AO318" s="514">
        <f t="shared" si="126"/>
        <v>-50.5</v>
      </c>
      <c r="AQ318" s="531">
        <f t="shared" si="119"/>
        <v>-4.8142477812597182</v>
      </c>
      <c r="AR318" s="531">
        <f t="shared" si="120"/>
        <v>3.0051384892782016</v>
      </c>
      <c r="AS318" s="531">
        <f t="shared" si="121"/>
        <v>4.4916554375280731</v>
      </c>
      <c r="AT318" s="531">
        <f t="shared" si="122"/>
        <v>0.17224946315583983</v>
      </c>
      <c r="AU318" s="531">
        <f t="shared" si="113"/>
        <v>2.8547956087023962</v>
      </c>
      <c r="AV318" s="350">
        <f t="shared" si="114"/>
        <v>0</v>
      </c>
      <c r="AW318" s="531">
        <f t="shared" si="123"/>
        <v>2.8547956087023962</v>
      </c>
    </row>
    <row r="319" spans="1:76" s="61" customFormat="1" ht="15.75" customHeight="1">
      <c r="A319" s="1103">
        <f>VLOOKUP(B319,ReportData!$AQ$4:$AR$25,2,FALSE)</f>
        <v>0</v>
      </c>
      <c r="B319" s="885" t="str">
        <f>ReportData!$K$9</f>
        <v>Isle of Wight</v>
      </c>
      <c r="C319" s="896"/>
      <c r="D319" s="889">
        <f t="shared" si="124"/>
        <v>19</v>
      </c>
      <c r="E319" s="889">
        <f t="shared" si="124"/>
        <v>6</v>
      </c>
      <c r="F319" s="889">
        <f t="shared" si="124"/>
        <v>6</v>
      </c>
      <c r="G319" s="889">
        <f t="shared" si="124"/>
        <v>7</v>
      </c>
      <c r="H319" s="890">
        <f t="shared" si="124"/>
        <v>-15</v>
      </c>
      <c r="I319" s="1231">
        <f t="shared" si="127"/>
        <v>-8.5</v>
      </c>
      <c r="J319" s="896"/>
      <c r="K319" s="901">
        <f>IF(ISNUMBER(D319),D319/Population!D16*10000,NA())</f>
        <v>7.8186082877247847</v>
      </c>
      <c r="L319" s="901">
        <f>IF(ISNUMBER(E319),E319/Population!E16*10000,NA())</f>
        <v>2.5113008538422905</v>
      </c>
      <c r="M319" s="901">
        <f>IF(ISNUMBER(F319),F319/Population!F16*10000,NA())</f>
        <v>2.5385005923168049</v>
      </c>
      <c r="N319" s="901">
        <f>IF(ISNUMBER(G319),G319/Population!G16*10000,NA())</f>
        <v>2.9744199881023201</v>
      </c>
      <c r="O319" s="902">
        <f>IF(ISNUMBER(H319),H319/Population!H16*10000,NA())</f>
        <v>-6.3998634695793166</v>
      </c>
      <c r="P319" s="903">
        <f t="shared" si="128"/>
        <v>-6.3998634695793166</v>
      </c>
      <c r="Q319" s="1190">
        <f t="shared" si="129"/>
        <v>4</v>
      </c>
      <c r="R319" s="64"/>
      <c r="S319" s="905">
        <f t="shared" si="130"/>
        <v>-1.0830941554362714</v>
      </c>
      <c r="T319" s="906">
        <f t="shared" si="125"/>
        <v>-5.3167693141430448</v>
      </c>
      <c r="U319" s="89"/>
      <c r="V319" s="103"/>
      <c r="W319" s="767"/>
      <c r="X319" s="786" t="str">
        <f t="shared" si="110"/>
        <v>Milton Keynes</v>
      </c>
      <c r="Y319" s="370">
        <f>IF(AC213&gt;0,IDACI!D17,0)</f>
        <v>59903</v>
      </c>
      <c r="Z319" s="370">
        <f>IF(AC213&gt;0,IDACI!E17,0)</f>
        <v>8985.4499999999989</v>
      </c>
      <c r="AA319" s="369">
        <f>IF(ISNUMBER(D322),Population!D19,0)</f>
        <v>69037</v>
      </c>
      <c r="AB319" s="369">
        <f>IF(ISNUMBER(E322),Population!E19,0)</f>
        <v>69305</v>
      </c>
      <c r="AC319" s="369">
        <f>IF(ISNUMBER(F322),Population!F19,0)</f>
        <v>69635</v>
      </c>
      <c r="AD319" s="369">
        <f>IF(ISNUMBER(G322),Population!G19,0)</f>
        <v>70951</v>
      </c>
      <c r="AE319" s="72">
        <f>IF(ISNUMBER(H322),Population!H19,0)</f>
        <v>72797</v>
      </c>
      <c r="AF319" s="542" t="s">
        <v>10</v>
      </c>
      <c r="AG319" s="1228">
        <f t="shared" si="111"/>
        <v>7.8299929942167941</v>
      </c>
      <c r="AH319" s="747">
        <f t="shared" si="112"/>
        <v>19</v>
      </c>
      <c r="AI319" s="768"/>
      <c r="AJ319" s="766"/>
      <c r="AK319" s="514">
        <f t="shared" si="115"/>
        <v>20</v>
      </c>
      <c r="AL319" s="514">
        <f t="shared" si="116"/>
        <v>-13</v>
      </c>
      <c r="AM319" s="514">
        <f t="shared" si="117"/>
        <v>14</v>
      </c>
      <c r="AN319" s="514">
        <f t="shared" si="118"/>
        <v>-10</v>
      </c>
      <c r="AO319" s="514">
        <f t="shared" si="126"/>
        <v>2.75</v>
      </c>
      <c r="AQ319" s="531">
        <f t="shared" si="119"/>
        <v>2.1979747232906823</v>
      </c>
      <c r="AR319" s="531">
        <f t="shared" si="120"/>
        <v>0.15669805851105506</v>
      </c>
      <c r="AS319" s="531">
        <f t="shared" si="121"/>
        <v>2.3092910476483719</v>
      </c>
      <c r="AT319" s="531">
        <f t="shared" si="122"/>
        <v>0.74977131974747702</v>
      </c>
      <c r="AU319" s="531">
        <f t="shared" si="113"/>
        <v>5.4137351491975867</v>
      </c>
      <c r="AV319" s="350">
        <f t="shared" si="114"/>
        <v>0</v>
      </c>
      <c r="AW319" s="531">
        <f t="shared" si="123"/>
        <v>5.4137351491975867</v>
      </c>
    </row>
    <row r="320" spans="1:76" s="61" customFormat="1" ht="15.75" customHeight="1">
      <c r="A320" s="1103">
        <f>VLOOKUP(B320,ReportData!$AQ$4:$AR$25,2,FALSE)</f>
        <v>0</v>
      </c>
      <c r="B320" s="885" t="str">
        <f>ReportData!$K$10</f>
        <v>Kent</v>
      </c>
      <c r="C320" s="896"/>
      <c r="D320" s="889">
        <f t="shared" si="124"/>
        <v>208</v>
      </c>
      <c r="E320" s="889">
        <f t="shared" si="124"/>
        <v>-161</v>
      </c>
      <c r="F320" s="889">
        <f t="shared" si="124"/>
        <v>101</v>
      </c>
      <c r="G320" s="889">
        <f t="shared" si="124"/>
        <v>154</v>
      </c>
      <c r="H320" s="890">
        <f t="shared" si="124"/>
        <v>6</v>
      </c>
      <c r="I320" s="1231">
        <f t="shared" si="127"/>
        <v>-50.5</v>
      </c>
      <c r="J320" s="896"/>
      <c r="K320" s="901">
        <f>IF(ISNUMBER(D320),D320/Population!D17*10000,NA())</f>
        <v>6.239819045247688</v>
      </c>
      <c r="L320" s="901">
        <f>IF(ISNUMBER(E320),E320/Population!E17*10000,NA())</f>
        <v>-4.8142477812597182</v>
      </c>
      <c r="M320" s="901">
        <f>IF(ISNUMBER(F320),F320/Population!F17*10000,NA())</f>
        <v>3.0051384892782016</v>
      </c>
      <c r="N320" s="901">
        <f>IF(ISNUMBER(G320),G320/Population!G17*10000,NA())</f>
        <v>4.4916554375280731</v>
      </c>
      <c r="O320" s="902">
        <f>IF(ISNUMBER(H320),H320/Population!H17*10000,NA())</f>
        <v>0.17224946315583983</v>
      </c>
      <c r="P320" s="903">
        <f t="shared" si="128"/>
        <v>0.17224946315583983</v>
      </c>
      <c r="Q320" s="1190">
        <f t="shared" si="129"/>
        <v>9</v>
      </c>
      <c r="R320" s="64"/>
      <c r="S320" s="905">
        <f t="shared" si="130"/>
        <v>-1.1768156235980864</v>
      </c>
      <c r="T320" s="906">
        <f t="shared" si="125"/>
        <v>1.3490650867539262</v>
      </c>
      <c r="U320" s="89"/>
      <c r="V320" s="103"/>
      <c r="W320" s="767"/>
      <c r="X320" s="786" t="str">
        <f t="shared" si="110"/>
        <v>Oxfordshire</v>
      </c>
      <c r="Y320" s="370">
        <f>IF(AC214&gt;0,IDACI!D18,0)</f>
        <v>126119</v>
      </c>
      <c r="Z320" s="370">
        <f>IF(AC214&gt;0,IDACI!E18,0)</f>
        <v>12738.019000000002</v>
      </c>
      <c r="AA320" s="369">
        <f>IF(ISNUMBER(D323),Population!D20,0)</f>
        <v>144429</v>
      </c>
      <c r="AB320" s="369">
        <f>IF(ISNUMBER(E323),Population!E20,0)</f>
        <v>145219</v>
      </c>
      <c r="AC320" s="369">
        <f>IF(ISNUMBER(F323),Population!F20,0)</f>
        <v>146343</v>
      </c>
      <c r="AD320" s="369">
        <f>IF(ISNUMBER(G323),Population!G20,0)</f>
        <v>149538</v>
      </c>
      <c r="AE320" s="72">
        <f>IF(ISNUMBER(H323),Population!H20,0)</f>
        <v>152505</v>
      </c>
      <c r="AF320" s="542" t="s">
        <v>11</v>
      </c>
      <c r="AG320" s="1228">
        <f t="shared" si="111"/>
        <v>-7.6063079899019703</v>
      </c>
      <c r="AH320" s="747">
        <f t="shared" si="112"/>
        <v>3</v>
      </c>
      <c r="AI320" s="768"/>
      <c r="AJ320" s="766"/>
      <c r="AK320" s="514">
        <f t="shared" si="115"/>
        <v>-27</v>
      </c>
      <c r="AL320" s="514">
        <f t="shared" si="116"/>
        <v>-30</v>
      </c>
      <c r="AM320" s="514">
        <f t="shared" si="117"/>
        <v>29</v>
      </c>
      <c r="AN320" s="514">
        <f t="shared" si="118"/>
        <v>65</v>
      </c>
      <c r="AO320" s="514">
        <f t="shared" si="126"/>
        <v>9.25</v>
      </c>
      <c r="AQ320" s="531">
        <f t="shared" si="119"/>
        <v>-1.0100281364980881</v>
      </c>
      <c r="AR320" s="531">
        <f t="shared" si="120"/>
        <v>-5.3134199755869886</v>
      </c>
      <c r="AS320" s="531">
        <f t="shared" si="121"/>
        <v>-1.1275387239080492</v>
      </c>
      <c r="AT320" s="531">
        <f t="shared" si="122"/>
        <v>7.8299929942167941</v>
      </c>
      <c r="AU320" s="531">
        <f t="shared" si="113"/>
        <v>0.37900615822366834</v>
      </c>
      <c r="AV320" s="350">
        <f t="shared" si="114"/>
        <v>0</v>
      </c>
      <c r="AW320" s="531">
        <f t="shared" si="123"/>
        <v>0.37900615822366834</v>
      </c>
    </row>
    <row r="321" spans="1:76" s="61" customFormat="1" ht="15.75" customHeight="1">
      <c r="A321" s="1103">
        <f>VLOOKUP(B321,ReportData!$AQ$4:$AR$25,2,FALSE)</f>
        <v>0</v>
      </c>
      <c r="B321" s="885" t="str">
        <f>ReportData!$K$11</f>
        <v>Medway</v>
      </c>
      <c r="C321" s="896"/>
      <c r="D321" s="889">
        <f t="shared" si="124"/>
        <v>-6</v>
      </c>
      <c r="E321" s="1173">
        <f t="shared" si="124"/>
        <v>14</v>
      </c>
      <c r="F321" s="1173">
        <f t="shared" si="124"/>
        <v>1</v>
      </c>
      <c r="G321" s="1173">
        <f t="shared" si="124"/>
        <v>15</v>
      </c>
      <c r="H321" s="1174">
        <f t="shared" si="124"/>
        <v>5</v>
      </c>
      <c r="I321" s="1231">
        <f t="shared" si="127"/>
        <v>2.75</v>
      </c>
      <c r="J321" s="896"/>
      <c r="K321" s="901">
        <f>IF(ISNUMBER(D321),D321/Population!D18*10000,NA())</f>
        <v>-0.94232943837165473</v>
      </c>
      <c r="L321" s="901">
        <f>IF(ISNUMBER(E321),E321/Population!E18*10000,NA())</f>
        <v>2.1979747232906823</v>
      </c>
      <c r="M321" s="901">
        <f>IF(ISNUMBER(F321),F321/Population!F18*10000,NA())</f>
        <v>0.15669805851105506</v>
      </c>
      <c r="N321" s="901">
        <f>IF(ISNUMBER(G321),G321/Population!G18*10000,NA())</f>
        <v>2.3092910476483719</v>
      </c>
      <c r="O321" s="902">
        <f>IF(ISNUMBER(H321),H321/Population!H18*10000,NA())</f>
        <v>0.74977131974747702</v>
      </c>
      <c r="P321" s="903">
        <f t="shared" si="128"/>
        <v>0.74977131974747702</v>
      </c>
      <c r="Q321" s="1190">
        <f t="shared" si="129"/>
        <v>13</v>
      </c>
      <c r="R321" s="64"/>
      <c r="S321" s="905">
        <f t="shared" si="130"/>
        <v>-1.0447535548246201</v>
      </c>
      <c r="T321" s="906">
        <f t="shared" si="125"/>
        <v>1.794524874572097</v>
      </c>
      <c r="U321" s="89"/>
      <c r="V321" s="103"/>
      <c r="W321" s="767"/>
      <c r="X321" s="786" t="str">
        <f t="shared" si="110"/>
        <v>Portsmouth</v>
      </c>
      <c r="Y321" s="370">
        <f>IF(AC215&gt;0,IDACI!D19,0)</f>
        <v>39325</v>
      </c>
      <c r="Z321" s="370">
        <f>IF(AC215&gt;0,IDACI!E19,0)</f>
        <v>7943.6500000000015</v>
      </c>
      <c r="AA321" s="369">
        <f>IF(ISNUMBER(D324),Population!D21,0)</f>
        <v>42033</v>
      </c>
      <c r="AB321" s="369">
        <f>IF(ISNUMBER(E324),Population!E21,0)</f>
        <v>41865</v>
      </c>
      <c r="AC321" s="369">
        <f>IF(ISNUMBER(F324),Population!F21,0)</f>
        <v>41447</v>
      </c>
      <c r="AD321" s="369">
        <f>IF(ISNUMBER(G324),Population!G21,0)</f>
        <v>41871</v>
      </c>
      <c r="AE321" s="72">
        <f>IF(ISNUMBER(H324),Population!H21,0)</f>
        <v>42307</v>
      </c>
      <c r="AF321" s="542" t="s">
        <v>12</v>
      </c>
      <c r="AG321" s="1228">
        <f t="shared" si="111"/>
        <v>2.8364100503462781</v>
      </c>
      <c r="AH321" s="747">
        <f t="shared" si="112"/>
        <v>17</v>
      </c>
      <c r="AI321" s="768"/>
      <c r="AJ321" s="766"/>
      <c r="AK321" s="514">
        <f t="shared" si="115"/>
        <v>23</v>
      </c>
      <c r="AL321" s="514">
        <f t="shared" si="116"/>
        <v>62</v>
      </c>
      <c r="AM321" s="514">
        <f t="shared" si="117"/>
        <v>-51</v>
      </c>
      <c r="AN321" s="514">
        <f t="shared" si="118"/>
        <v>-137</v>
      </c>
      <c r="AO321" s="514">
        <f t="shared" si="126"/>
        <v>-25.75</v>
      </c>
      <c r="AQ321" s="531">
        <f t="shared" si="119"/>
        <v>0.68861512611986042</v>
      </c>
      <c r="AR321" s="531">
        <f t="shared" si="120"/>
        <v>4.9199483405424242</v>
      </c>
      <c r="AS321" s="531">
        <f t="shared" si="121"/>
        <v>1.4043253219917344</v>
      </c>
      <c r="AT321" s="531">
        <f t="shared" si="122"/>
        <v>-7.6063079899019703</v>
      </c>
      <c r="AU321" s="531">
        <f t="shared" si="113"/>
        <v>-0.59341920124795067</v>
      </c>
      <c r="AV321" s="350">
        <f t="shared" si="114"/>
        <v>0</v>
      </c>
      <c r="AW321" s="531">
        <f t="shared" si="123"/>
        <v>-0.59341920124795067</v>
      </c>
    </row>
    <row r="322" spans="1:76" s="61" customFormat="1" ht="15.75" customHeight="1">
      <c r="A322" s="1103">
        <f>VLOOKUP(B322,ReportData!$AQ$4:$AR$25,2,FALSE)</f>
        <v>0</v>
      </c>
      <c r="B322" s="885" t="str">
        <f>ReportData!$K$12</f>
        <v>Milton Keynes</v>
      </c>
      <c r="C322" s="896"/>
      <c r="D322" s="889">
        <f t="shared" si="124"/>
        <v>20</v>
      </c>
      <c r="E322" s="889">
        <f t="shared" si="124"/>
        <v>-7</v>
      </c>
      <c r="F322" s="889">
        <f t="shared" si="124"/>
        <v>-37</v>
      </c>
      <c r="G322" s="889">
        <f t="shared" si="124"/>
        <v>-8</v>
      </c>
      <c r="H322" s="890">
        <f t="shared" si="124"/>
        <v>57</v>
      </c>
      <c r="I322" s="1231">
        <f t="shared" si="127"/>
        <v>9.25</v>
      </c>
      <c r="J322" s="896"/>
      <c r="K322" s="901">
        <f>IF(ISNUMBER(D322),D322/Population!D19*10000,NA())</f>
        <v>2.896997262337587</v>
      </c>
      <c r="L322" s="901">
        <f>IF(ISNUMBER(E322),E322/Population!E19*10000,NA())</f>
        <v>-1.0100281364980881</v>
      </c>
      <c r="M322" s="901">
        <f>IF(ISNUMBER(F322),F322/Population!F19*10000,NA())</f>
        <v>-5.3134199755869886</v>
      </c>
      <c r="N322" s="901">
        <f>IF(ISNUMBER(G322),G322/Population!G19*10000,NA())</f>
        <v>-1.1275387239080492</v>
      </c>
      <c r="O322" s="902">
        <f>IF(ISNUMBER(H322),H322/Population!H19*10000,NA())</f>
        <v>7.8299929942167941</v>
      </c>
      <c r="P322" s="903">
        <f t="shared" si="128"/>
        <v>7.8299929942167941</v>
      </c>
      <c r="Q322" s="1190">
        <f t="shared" si="129"/>
        <v>19</v>
      </c>
      <c r="R322" s="64"/>
      <c r="S322" s="905">
        <f t="shared" si="130"/>
        <v>-1.2108961574751103</v>
      </c>
      <c r="T322" s="906">
        <f t="shared" si="125"/>
        <v>9.0408891516919034</v>
      </c>
      <c r="U322" s="89"/>
      <c r="V322" s="103"/>
      <c r="W322" s="767"/>
      <c r="X322" s="786" t="str">
        <f t="shared" si="110"/>
        <v>Reading</v>
      </c>
      <c r="Y322" s="370">
        <f>IF(AC216&gt;0,IDACI!D20,0)</f>
        <v>33203</v>
      </c>
      <c r="Z322" s="370">
        <f>IF(AC216&gt;0,IDACI!E20,0)</f>
        <v>5312.4800000000005</v>
      </c>
      <c r="AA322" s="369">
        <f>IF(ISNUMBER(D325),Population!D22,0)</f>
        <v>37030</v>
      </c>
      <c r="AB322" s="369">
        <f>IF(ISNUMBER(E325),Population!E22,0)</f>
        <v>36971</v>
      </c>
      <c r="AC322" s="369">
        <f>IF(ISNUMBER(F325),Population!F22,0)</f>
        <v>36334</v>
      </c>
      <c r="AD322" s="369">
        <f>IF(ISNUMBER(G325),Population!G22,0)</f>
        <v>37260</v>
      </c>
      <c r="AE322" s="72">
        <f>IF(ISNUMBER(H325),Population!H22,0)</f>
        <v>37929</v>
      </c>
      <c r="AF322" s="542" t="s">
        <v>3</v>
      </c>
      <c r="AG322" s="1228">
        <f t="shared" si="111"/>
        <v>3.954757573360753</v>
      </c>
      <c r="AH322" s="747">
        <f t="shared" si="112"/>
        <v>18</v>
      </c>
      <c r="AI322" s="768"/>
      <c r="AJ322" s="766"/>
      <c r="AK322" s="514">
        <f t="shared" si="115"/>
        <v>-65</v>
      </c>
      <c r="AL322" s="514">
        <f t="shared" si="116"/>
        <v>94</v>
      </c>
      <c r="AM322" s="514">
        <f t="shared" si="117"/>
        <v>-8</v>
      </c>
      <c r="AN322" s="514">
        <f t="shared" si="118"/>
        <v>16</v>
      </c>
      <c r="AO322" s="514">
        <f t="shared" si="126"/>
        <v>9.25</v>
      </c>
      <c r="AQ322" s="531">
        <f t="shared" si="119"/>
        <v>-21.49767108563239</v>
      </c>
      <c r="AR322" s="531">
        <f t="shared" si="120"/>
        <v>0.96508794363886419</v>
      </c>
      <c r="AS322" s="531">
        <f t="shared" si="121"/>
        <v>-0.9553151345800196</v>
      </c>
      <c r="AT322" s="531">
        <f t="shared" si="122"/>
        <v>2.8364100503462781</v>
      </c>
      <c r="AU322" s="531">
        <f t="shared" si="113"/>
        <v>-18.651488226227269</v>
      </c>
      <c r="AV322" s="350">
        <f t="shared" si="114"/>
        <v>0</v>
      </c>
      <c r="AW322" s="531">
        <f t="shared" si="123"/>
        <v>-18.651488226227269</v>
      </c>
    </row>
    <row r="323" spans="1:76" s="61" customFormat="1" ht="15.75" customHeight="1">
      <c r="A323" s="1103">
        <f>VLOOKUP(B323,ReportData!$AQ$4:$AR$25,2,FALSE)</f>
        <v>0</v>
      </c>
      <c r="B323" s="885" t="str">
        <f>ReportData!$K$13</f>
        <v>Oxfordshire</v>
      </c>
      <c r="C323" s="896"/>
      <c r="D323" s="889">
        <f t="shared" si="124"/>
        <v>-13</v>
      </c>
      <c r="E323" s="889">
        <f t="shared" si="124"/>
        <v>10</v>
      </c>
      <c r="F323" s="889">
        <f t="shared" si="124"/>
        <v>72</v>
      </c>
      <c r="G323" s="889">
        <f t="shared" si="124"/>
        <v>21</v>
      </c>
      <c r="H323" s="890">
        <f t="shared" si="124"/>
        <v>-116</v>
      </c>
      <c r="I323" s="1231">
        <f t="shared" si="127"/>
        <v>-25.75</v>
      </c>
      <c r="J323" s="896"/>
      <c r="K323" s="901">
        <f>IF(ISNUMBER(D323),D323/Population!D20*10000,NA())</f>
        <v>-0.90009624105962094</v>
      </c>
      <c r="L323" s="901">
        <f>IF(ISNUMBER(E323),E323/Population!E20*10000,NA())</f>
        <v>0.68861512611986042</v>
      </c>
      <c r="M323" s="901">
        <f>IF(ISNUMBER(F323),F323/Population!F20*10000,NA())</f>
        <v>4.9199483405424242</v>
      </c>
      <c r="N323" s="901">
        <f>IF(ISNUMBER(G323),G323/Population!G20*10000,NA())</f>
        <v>1.4043253219917344</v>
      </c>
      <c r="O323" s="902">
        <f>IF(ISNUMBER(H323),H323/Population!H20*10000,NA())</f>
        <v>-7.6063079899019703</v>
      </c>
      <c r="P323" s="903">
        <f t="shared" si="128"/>
        <v>-7.6063079899019703</v>
      </c>
      <c r="Q323" s="1190">
        <f t="shared" si="129"/>
        <v>3</v>
      </c>
      <c r="R323" s="64"/>
      <c r="S323" s="905">
        <f t="shared" si="130"/>
        <v>-1.4196394274718798</v>
      </c>
      <c r="T323" s="906">
        <f t="shared" si="125"/>
        <v>-6.186668562430091</v>
      </c>
      <c r="U323" s="89"/>
      <c r="V323" s="103"/>
      <c r="W323" s="767"/>
      <c r="X323" s="786" t="str">
        <f t="shared" si="110"/>
        <v>Slough</v>
      </c>
      <c r="Y323" s="370">
        <f>IF(AC217&gt;0,IDACI!D21,0)</f>
        <v>37031</v>
      </c>
      <c r="Z323" s="370">
        <f>IF(AC217&gt;0,IDACI!E21,0)</f>
        <v>5443.5569999999998</v>
      </c>
      <c r="AA323" s="369">
        <f>IF(ISNUMBER(D326),Population!D23,0)</f>
        <v>43479</v>
      </c>
      <c r="AB323" s="369">
        <f>IF(ISNUMBER(E326),Population!E23,0)</f>
        <v>43900</v>
      </c>
      <c r="AC323" s="369">
        <f>IF(ISNUMBER(F326),Population!F23,0)</f>
        <v>43737</v>
      </c>
      <c r="AD323" s="369">
        <f>IF(ISNUMBER(G326),Population!G23,0)</f>
        <v>44250</v>
      </c>
      <c r="AE323" s="72">
        <f>IF(ISNUMBER(H326),Population!H23,0)</f>
        <v>44849</v>
      </c>
      <c r="AF323" s="542" t="s">
        <v>13</v>
      </c>
      <c r="AG323" s="1228">
        <f t="shared" si="111"/>
        <v>-11.371491003143884</v>
      </c>
      <c r="AH323" s="747">
        <f t="shared" si="112"/>
        <v>1</v>
      </c>
      <c r="AI323" s="768"/>
      <c r="AJ323" s="766"/>
      <c r="AK323" s="514">
        <f t="shared" si="115"/>
        <v>-14</v>
      </c>
      <c r="AL323" s="514">
        <f t="shared" si="116"/>
        <v>-30</v>
      </c>
      <c r="AM323" s="514">
        <f t="shared" si="117"/>
        <v>54</v>
      </c>
      <c r="AN323" s="514">
        <f t="shared" si="118"/>
        <v>-2</v>
      </c>
      <c r="AO323" s="514">
        <f t="shared" si="126"/>
        <v>2</v>
      </c>
      <c r="AQ323" s="531">
        <f t="shared" si="119"/>
        <v>-1.8933758892104622</v>
      </c>
      <c r="AR323" s="531">
        <f t="shared" si="120"/>
        <v>-10.183299389002036</v>
      </c>
      <c r="AS323" s="531">
        <f t="shared" si="121"/>
        <v>4.5625335480407943</v>
      </c>
      <c r="AT323" s="531">
        <f t="shared" si="122"/>
        <v>3.954757573360753</v>
      </c>
      <c r="AU323" s="531">
        <f t="shared" si="113"/>
        <v>-3.559384156810951</v>
      </c>
      <c r="AV323" s="350">
        <f t="shared" si="114"/>
        <v>0</v>
      </c>
      <c r="AW323" s="531">
        <f t="shared" si="123"/>
        <v>-3.559384156810951</v>
      </c>
    </row>
    <row r="324" spans="1:76" s="61" customFormat="1" ht="15.75" customHeight="1">
      <c r="A324" s="1103">
        <f>VLOOKUP(B324,ReportData!$AQ$4:$AR$25,2,FALSE)</f>
        <v>0</v>
      </c>
      <c r="B324" s="885" t="str">
        <f>ReportData!$K$14</f>
        <v>Portsmouth</v>
      </c>
      <c r="C324" s="896"/>
      <c r="D324" s="889">
        <f t="shared" ref="D324:H332" si="131">IF(AND(ISNUMBER(D21),ISNUMBER(D190)),D21-D190,NA())</f>
        <v>-25</v>
      </c>
      <c r="E324" s="889">
        <f t="shared" si="131"/>
        <v>-90</v>
      </c>
      <c r="F324" s="889">
        <f t="shared" si="131"/>
        <v>4</v>
      </c>
      <c r="G324" s="889">
        <f t="shared" si="131"/>
        <v>-4</v>
      </c>
      <c r="H324" s="890">
        <f t="shared" si="131"/>
        <v>12</v>
      </c>
      <c r="I324" s="1231">
        <f t="shared" si="127"/>
        <v>9.25</v>
      </c>
      <c r="J324" s="896"/>
      <c r="K324" s="901">
        <f>IF(ISNUMBER(D324),D324/Population!D21*10000,NA())</f>
        <v>-5.9477077534318274</v>
      </c>
      <c r="L324" s="901">
        <f>IF(ISNUMBER(E324),E324/Population!E21*10000,NA())</f>
        <v>-21.49767108563239</v>
      </c>
      <c r="M324" s="901">
        <f>IF(ISNUMBER(F324),F324/Population!F21*10000,NA())</f>
        <v>0.96508794363886419</v>
      </c>
      <c r="N324" s="901">
        <f>IF(ISNUMBER(G324),G324/Population!G21*10000,NA())</f>
        <v>-0.9553151345800196</v>
      </c>
      <c r="O324" s="902">
        <f>IF(ISNUMBER(H324),H324/Population!H21*10000,NA())</f>
        <v>2.8364100503462781</v>
      </c>
      <c r="P324" s="903">
        <f t="shared" si="128"/>
        <v>2.8364100503462781</v>
      </c>
      <c r="Q324" s="1190">
        <f t="shared" si="129"/>
        <v>17</v>
      </c>
      <c r="R324" s="64"/>
      <c r="S324" s="905">
        <f t="shared" si="130"/>
        <v>-0.98937268727445649</v>
      </c>
      <c r="T324" s="906">
        <f t="shared" si="125"/>
        <v>3.8257827376207345</v>
      </c>
      <c r="U324" s="89"/>
      <c r="V324" s="103"/>
      <c r="W324" s="767"/>
      <c r="X324" s="786" t="str">
        <f t="shared" si="110"/>
        <v>Southampton</v>
      </c>
      <c r="Y324" s="370">
        <f>IF(AC218&gt;0,IDACI!D22,0)</f>
        <v>44295</v>
      </c>
      <c r="Z324" s="370">
        <f>IF(AC218&gt;0,IDACI!E22,0)</f>
        <v>9080.4750000000004</v>
      </c>
      <c r="AA324" s="369">
        <f>IF(ISNUMBER(D327),Population!D24,0)</f>
        <v>49588</v>
      </c>
      <c r="AB324" s="369">
        <f>IF(ISNUMBER(E327),Population!E24,0)</f>
        <v>49737</v>
      </c>
      <c r="AC324" s="369">
        <f>IF(ISNUMBER(F327),Population!F24,0)</f>
        <v>49388</v>
      </c>
      <c r="AD324" s="369">
        <f>IF(ISNUMBER(G327),Population!G24,0)</f>
        <v>49871</v>
      </c>
      <c r="AE324" s="72">
        <f>IF(ISNUMBER(H327),Population!H24,0)</f>
        <v>50373</v>
      </c>
      <c r="AF324" s="542" t="s">
        <v>14</v>
      </c>
      <c r="AG324" s="1228">
        <f t="shared" si="111"/>
        <v>-10.12447144303496</v>
      </c>
      <c r="AH324" s="747">
        <f t="shared" si="112"/>
        <v>2</v>
      </c>
      <c r="AI324" s="768"/>
      <c r="AJ324" s="766"/>
      <c r="AK324" s="514">
        <f t="shared" si="115"/>
        <v>44</v>
      </c>
      <c r="AL324" s="514">
        <f t="shared" si="116"/>
        <v>-15</v>
      </c>
      <c r="AM324" s="514">
        <f t="shared" si="117"/>
        <v>8</v>
      </c>
      <c r="AN324" s="514">
        <f t="shared" si="118"/>
        <v>-70</v>
      </c>
      <c r="AO324" s="514">
        <f t="shared" si="126"/>
        <v>-8.25</v>
      </c>
      <c r="AQ324" s="531">
        <f t="shared" si="119"/>
        <v>5.9225512528473807</v>
      </c>
      <c r="AR324" s="531">
        <f t="shared" si="120"/>
        <v>2.51503303838855</v>
      </c>
      <c r="AS324" s="531">
        <f t="shared" si="121"/>
        <v>4.2937853107344637</v>
      </c>
      <c r="AT324" s="531">
        <f t="shared" si="122"/>
        <v>-11.371491003143884</v>
      </c>
      <c r="AU324" s="531">
        <f t="shared" si="113"/>
        <v>1.3598785988265103</v>
      </c>
      <c r="AV324" s="350">
        <f t="shared" si="114"/>
        <v>0</v>
      </c>
      <c r="AW324" s="531">
        <f t="shared" si="123"/>
        <v>1.3598785988265103</v>
      </c>
    </row>
    <row r="325" spans="1:76" s="61" customFormat="1" ht="15.75" customHeight="1">
      <c r="A325" s="1103">
        <f>VLOOKUP(B325,ReportData!$AQ$4:$AR$25,2,FALSE)</f>
        <v>0</v>
      </c>
      <c r="B325" s="885" t="str">
        <f>ReportData!$K$15</f>
        <v>Reading</v>
      </c>
      <c r="C325" s="896"/>
      <c r="D325" s="889">
        <f t="shared" si="131"/>
        <v>7</v>
      </c>
      <c r="E325" s="889">
        <f t="shared" si="131"/>
        <v>-7</v>
      </c>
      <c r="F325" s="889">
        <f t="shared" si="131"/>
        <v>-37</v>
      </c>
      <c r="G325" s="889">
        <f t="shared" si="131"/>
        <v>17</v>
      </c>
      <c r="H325" s="890">
        <f t="shared" si="131"/>
        <v>15</v>
      </c>
      <c r="I325" s="1231">
        <f t="shared" si="127"/>
        <v>2</v>
      </c>
      <c r="J325" s="896"/>
      <c r="K325" s="901">
        <f>IF(ISNUMBER(D325),D325/Population!D22*10000,NA())</f>
        <v>1.890359168241966</v>
      </c>
      <c r="L325" s="901">
        <f>IF(ISNUMBER(E325),E325/Population!E22*10000,NA())</f>
        <v>-1.8933758892104622</v>
      </c>
      <c r="M325" s="901">
        <f>IF(ISNUMBER(F325),F325/Population!F22*10000,NA())</f>
        <v>-10.183299389002036</v>
      </c>
      <c r="N325" s="901">
        <f>IF(ISNUMBER(G325),G325/Population!G22*10000,NA())</f>
        <v>4.5625335480407943</v>
      </c>
      <c r="O325" s="902">
        <f>IF(ISNUMBER(H325),H325/Population!H22*10000,NA())</f>
        <v>3.954757573360753</v>
      </c>
      <c r="P325" s="903">
        <f t="shared" si="128"/>
        <v>3.954757573360753</v>
      </c>
      <c r="Q325" s="1190">
        <f t="shared" si="129"/>
        <v>18</v>
      </c>
      <c r="R325" s="64"/>
      <c r="S325" s="905">
        <f t="shared" si="130"/>
        <v>-1.1682954901288305</v>
      </c>
      <c r="T325" s="906">
        <f t="shared" si="125"/>
        <v>5.1230530634895839</v>
      </c>
      <c r="U325" s="89"/>
      <c r="V325" s="103"/>
      <c r="W325" s="767"/>
      <c r="X325" s="786" t="str">
        <f t="shared" si="110"/>
        <v>Surrey</v>
      </c>
      <c r="Y325" s="370">
        <f>IF(AC219&gt;0,IDACI!D23,0)</f>
        <v>228466</v>
      </c>
      <c r="Z325" s="370">
        <f>IF(AC219&gt;0,IDACI!E23,0)</f>
        <v>18962.678</v>
      </c>
      <c r="AA325" s="369">
        <f>IF(ISNUMBER(D328),Population!D25,0)</f>
        <v>258045</v>
      </c>
      <c r="AB325" s="369">
        <f>IF(ISNUMBER(E328),Population!E25,0)</f>
        <v>258519</v>
      </c>
      <c r="AC325" s="369">
        <f>IF(ISNUMBER(F328),Population!F25,0)</f>
        <v>259488</v>
      </c>
      <c r="AD325" s="369">
        <f>IF(ISNUMBER(G328),Population!G25,0)</f>
        <v>263534</v>
      </c>
      <c r="AE325" s="72">
        <f>IF(ISNUMBER(H328),Population!H25,0)</f>
        <v>265672</v>
      </c>
      <c r="AF325" s="542" t="s">
        <v>7</v>
      </c>
      <c r="AG325" s="1228">
        <f t="shared" si="111"/>
        <v>-2.2960643199132766</v>
      </c>
      <c r="AH325" s="747">
        <f t="shared" si="112"/>
        <v>8</v>
      </c>
      <c r="AI325" s="768"/>
      <c r="AJ325" s="766"/>
      <c r="AK325" s="514">
        <f t="shared" si="115"/>
        <v>11</v>
      </c>
      <c r="AL325" s="514">
        <f t="shared" si="116"/>
        <v>51</v>
      </c>
      <c r="AM325" s="514">
        <f t="shared" si="117"/>
        <v>-83</v>
      </c>
      <c r="AN325" s="514">
        <f t="shared" si="118"/>
        <v>-28</v>
      </c>
      <c r="AO325" s="514">
        <f>AVERAGE(AK325:AN325)</f>
        <v>-12.25</v>
      </c>
      <c r="AQ325" s="531">
        <f t="shared" si="119"/>
        <v>1.8095180650220157</v>
      </c>
      <c r="AR325" s="531">
        <f t="shared" si="120"/>
        <v>12.148700089090468</v>
      </c>
      <c r="AS325" s="531">
        <f t="shared" si="121"/>
        <v>-4.6118986986424977</v>
      </c>
      <c r="AT325" s="531">
        <f t="shared" si="122"/>
        <v>-10.12447144303496</v>
      </c>
      <c r="AU325" s="531">
        <f>SUM(AQ325:AT325)</f>
        <v>-0.77815198756497495</v>
      </c>
      <c r="AV325" s="350">
        <f>COUNTBLANK(AQ325:AT325)</f>
        <v>0</v>
      </c>
      <c r="AW325" s="531">
        <f t="shared" ref="AW325:AW332" si="132">AU325/(4-AV325)*4</f>
        <v>-0.77815198756497495</v>
      </c>
    </row>
    <row r="326" spans="1:76" s="61" customFormat="1" ht="15.75" customHeight="1">
      <c r="A326" s="1103">
        <f>VLOOKUP(B326,ReportData!$AQ$4:$AR$25,2,FALSE)</f>
        <v>0</v>
      </c>
      <c r="B326" s="885" t="str">
        <f>ReportData!$K$16</f>
        <v>Slough</v>
      </c>
      <c r="C326" s="896"/>
      <c r="D326" s="889">
        <f t="shared" si="131"/>
        <v>-18</v>
      </c>
      <c r="E326" s="889">
        <f t="shared" si="131"/>
        <v>26</v>
      </c>
      <c r="F326" s="889">
        <f t="shared" si="131"/>
        <v>11</v>
      </c>
      <c r="G326" s="889">
        <f t="shared" si="131"/>
        <v>19</v>
      </c>
      <c r="H326" s="890">
        <f t="shared" si="131"/>
        <v>-51</v>
      </c>
      <c r="I326" s="1231">
        <f t="shared" si="127"/>
        <v>-8.25</v>
      </c>
      <c r="J326" s="896"/>
      <c r="K326" s="901">
        <f>IF(ISNUMBER(D326),D326/Population!D23*10000,NA())</f>
        <v>-4.1399296211964396</v>
      </c>
      <c r="L326" s="901">
        <f>IF(ISNUMBER(E326),E326/Population!E23*10000,NA())</f>
        <v>5.9225512528473807</v>
      </c>
      <c r="M326" s="901">
        <f>IF(ISNUMBER(F326),F326/Population!F23*10000,NA())</f>
        <v>2.51503303838855</v>
      </c>
      <c r="N326" s="901">
        <f>IF(ISNUMBER(G326),G326/Population!G23*10000,NA())</f>
        <v>4.2937853107344637</v>
      </c>
      <c r="O326" s="902">
        <f>IF(ISNUMBER(H326),H326/Population!H23*10000,NA())</f>
        <v>-11.371491003143884</v>
      </c>
      <c r="P326" s="903">
        <f t="shared" si="128"/>
        <v>-11.371491003143884</v>
      </c>
      <c r="Q326" s="1190">
        <f t="shared" si="129"/>
        <v>1</v>
      </c>
      <c r="R326" s="64"/>
      <c r="S326" s="905">
        <f t="shared" si="130"/>
        <v>-1.2236763576789942</v>
      </c>
      <c r="T326" s="906">
        <f t="shared" si="125"/>
        <v>-10.147814645464891</v>
      </c>
      <c r="U326" s="89"/>
      <c r="V326" s="103"/>
      <c r="W326" s="767"/>
      <c r="X326" s="786" t="str">
        <f t="shared" si="110"/>
        <v>West Berkshire</v>
      </c>
      <c r="Y326" s="370">
        <f>IF(AC220&gt;0,IDACI!D24,0)</f>
        <v>31625</v>
      </c>
      <c r="Z326" s="370">
        <f>IF(AC220&gt;0,IDACI!E24,0)</f>
        <v>2751.375</v>
      </c>
      <c r="AA326" s="369">
        <f>IF(ISNUMBER(D329),Population!D26,0)</f>
        <v>35061</v>
      </c>
      <c r="AB326" s="369">
        <f>IF(ISNUMBER(E329),Population!E26,0)</f>
        <v>34824</v>
      </c>
      <c r="AC326" s="369">
        <f>IF(ISNUMBER(F329),Population!F26,0)</f>
        <v>34595</v>
      </c>
      <c r="AD326" s="369">
        <f>IF(ISNUMBER(G329),Population!G26,0)</f>
        <v>34912</v>
      </c>
      <c r="AE326" s="72">
        <f>IF(ISNUMBER(H329),Population!H26,0)</f>
        <v>35325</v>
      </c>
      <c r="AF326" s="542" t="s">
        <v>15</v>
      </c>
      <c r="AG326" s="1228">
        <f t="shared" si="111"/>
        <v>-3.1139419674451521</v>
      </c>
      <c r="AH326" s="747">
        <f t="shared" si="112"/>
        <v>7</v>
      </c>
      <c r="AI326" s="768"/>
      <c r="AJ326" s="766"/>
      <c r="AK326" s="514">
        <f t="shared" si="115"/>
        <v>2</v>
      </c>
      <c r="AL326" s="514">
        <f t="shared" si="116"/>
        <v>40</v>
      </c>
      <c r="AM326" s="514">
        <f t="shared" si="117"/>
        <v>-92</v>
      </c>
      <c r="AN326" s="514">
        <f t="shared" si="118"/>
        <v>-19</v>
      </c>
      <c r="AO326" s="514">
        <f>AVERAGE(AK326:AN326)</f>
        <v>-17.25</v>
      </c>
      <c r="AQ326" s="531">
        <f t="shared" si="119"/>
        <v>0.38681876380459468</v>
      </c>
      <c r="AR326" s="531">
        <f t="shared" si="120"/>
        <v>1.9268713774818103</v>
      </c>
      <c r="AS326" s="531">
        <f t="shared" si="121"/>
        <v>-1.593722252157217</v>
      </c>
      <c r="AT326" s="531">
        <f t="shared" si="122"/>
        <v>-2.2960643199132766</v>
      </c>
      <c r="AU326" s="531">
        <f>SUM(AQ326:AT326)</f>
        <v>-1.5760964307840886</v>
      </c>
      <c r="AV326" s="350">
        <f>COUNTBLANK(AQ326:AT326)</f>
        <v>0</v>
      </c>
      <c r="AW326" s="531">
        <f t="shared" si="132"/>
        <v>-1.5760964307840886</v>
      </c>
    </row>
    <row r="327" spans="1:76" s="61" customFormat="1" ht="15.75" customHeight="1">
      <c r="A327" s="1103">
        <f>VLOOKUP(B327,ReportData!$AQ$4:$AR$25,2,FALSE)</f>
        <v>0</v>
      </c>
      <c r="B327" s="885" t="str">
        <f>ReportData!$K$17</f>
        <v>Southampton</v>
      </c>
      <c r="C327" s="896"/>
      <c r="D327" s="889">
        <f t="shared" si="131"/>
        <v>-2</v>
      </c>
      <c r="E327" s="889">
        <f t="shared" si="131"/>
        <v>9</v>
      </c>
      <c r="F327" s="889">
        <f t="shared" si="131"/>
        <v>60</v>
      </c>
      <c r="G327" s="889">
        <f t="shared" si="131"/>
        <v>-23</v>
      </c>
      <c r="H327" s="890">
        <f t="shared" si="131"/>
        <v>-51</v>
      </c>
      <c r="I327" s="1231">
        <f t="shared" ref="I327:I334" si="133">AO325</f>
        <v>-12.25</v>
      </c>
      <c r="J327" s="896"/>
      <c r="K327" s="901">
        <f>IF(ISNUMBER(D327),D327/Population!D24*10000,NA())</f>
        <v>-0.40332338468984436</v>
      </c>
      <c r="L327" s="901">
        <f>IF(ISNUMBER(E327),E327/Population!E24*10000,NA())</f>
        <v>1.8095180650220157</v>
      </c>
      <c r="M327" s="901">
        <f>IF(ISNUMBER(F327),F327/Population!F24*10000,NA())</f>
        <v>12.148700089090468</v>
      </c>
      <c r="N327" s="901">
        <f>IF(ISNUMBER(G327),G327/Population!G24*10000,NA())</f>
        <v>-4.6118986986424977</v>
      </c>
      <c r="O327" s="902">
        <f>IF(ISNUMBER(H327),H327/Population!H24*10000,NA())</f>
        <v>-10.12447144303496</v>
      </c>
      <c r="P327" s="903">
        <f t="shared" si="128"/>
        <v>-10.12447144303496</v>
      </c>
      <c r="Q327" s="1190">
        <f t="shared" si="129"/>
        <v>2</v>
      </c>
      <c r="R327" s="64"/>
      <c r="S327" s="905">
        <f t="shared" si="130"/>
        <v>-0.97659248707057267</v>
      </c>
      <c r="T327" s="906">
        <f t="shared" si="125"/>
        <v>-9.1478789559643872</v>
      </c>
      <c r="U327" s="89"/>
      <c r="V327" s="103"/>
      <c r="W327" s="767"/>
      <c r="X327" s="786" t="str">
        <f t="shared" si="110"/>
        <v>West Sussex</v>
      </c>
      <c r="Y327" s="370">
        <f>IF(AC221&gt;0,IDACI!D25,0)</f>
        <v>151487</v>
      </c>
      <c r="Z327" s="370">
        <f>IF(AC221&gt;0,IDACI!E25,0)</f>
        <v>16663.57</v>
      </c>
      <c r="AA327" s="369">
        <f>IF(ISNUMBER(D330),Population!D27,0)</f>
        <v>173551</v>
      </c>
      <c r="AB327" s="369">
        <f>IF(ISNUMBER(E330),Population!E27,0)</f>
        <v>173873</v>
      </c>
      <c r="AC327" s="369">
        <f>IF(ISNUMBER(F330),Population!F27,0)</f>
        <v>174834</v>
      </c>
      <c r="AD327" s="369">
        <f>IF(ISNUMBER(G330),Population!G27,0)</f>
        <v>177349</v>
      </c>
      <c r="AE327" s="72">
        <f>IF(ISNUMBER(H330),Population!H27,0)</f>
        <v>179008</v>
      </c>
      <c r="AF327" s="542" t="s">
        <v>5</v>
      </c>
      <c r="AG327" s="1228">
        <f t="shared" si="111"/>
        <v>0.50277082588487665</v>
      </c>
      <c r="AH327" s="747">
        <f t="shared" si="112"/>
        <v>12</v>
      </c>
      <c r="AI327" s="768"/>
      <c r="AJ327" s="766"/>
      <c r="AK327" s="514">
        <f t="shared" si="115"/>
        <v>5</v>
      </c>
      <c r="AL327" s="514">
        <f t="shared" si="116"/>
        <v>30</v>
      </c>
      <c r="AM327" s="514">
        <f t="shared" si="117"/>
        <v>10</v>
      </c>
      <c r="AN327" s="514">
        <f t="shared" si="118"/>
        <v>-41</v>
      </c>
      <c r="AO327" s="514">
        <f t="shared" ref="AO327:AO332" si="134">AVERAGE(AK327:AN327)</f>
        <v>1</v>
      </c>
      <c r="AQ327" s="531">
        <f t="shared" si="119"/>
        <v>-2.8715828164484263</v>
      </c>
      <c r="AR327" s="531">
        <f t="shared" si="120"/>
        <v>5.7811822517704874</v>
      </c>
      <c r="AS327" s="531">
        <f t="shared" si="121"/>
        <v>8.5930339138405127</v>
      </c>
      <c r="AT327" s="531">
        <f t="shared" si="122"/>
        <v>-3.1139419674451521</v>
      </c>
      <c r="AU327" s="531">
        <f t="shared" ref="AU327:AU332" si="135">SUM(AQ327:AT327)</f>
        <v>8.3886913817174218</v>
      </c>
      <c r="AV327" s="350">
        <f t="shared" ref="AV327:AV332" si="136">COUNTBLANK(AQ327:AT327)</f>
        <v>0</v>
      </c>
      <c r="AW327" s="531">
        <f t="shared" si="132"/>
        <v>8.3886913817174218</v>
      </c>
    </row>
    <row r="328" spans="1:76" s="61" customFormat="1" ht="15.75" customHeight="1">
      <c r="A328" s="1103">
        <f>VLOOKUP(B328,ReportData!$AQ$4:$AR$25,2,FALSE)</f>
        <v>0</v>
      </c>
      <c r="B328" s="885" t="str">
        <f>ReportData!$K$18</f>
        <v>Surrey</v>
      </c>
      <c r="C328" s="896"/>
      <c r="D328" s="889">
        <f t="shared" si="131"/>
        <v>8</v>
      </c>
      <c r="E328" s="889">
        <f t="shared" si="131"/>
        <v>10</v>
      </c>
      <c r="F328" s="889">
        <f t="shared" si="131"/>
        <v>50</v>
      </c>
      <c r="G328" s="889">
        <f t="shared" si="131"/>
        <v>-42</v>
      </c>
      <c r="H328" s="890">
        <f t="shared" si="131"/>
        <v>-61</v>
      </c>
      <c r="I328" s="1231">
        <f t="shared" si="133"/>
        <v>-17.25</v>
      </c>
      <c r="J328" s="896"/>
      <c r="K328" s="901">
        <f>IF(ISNUMBER(D328),D328/Population!D25*10000,NA())</f>
        <v>0.31002344552306771</v>
      </c>
      <c r="L328" s="901">
        <f>IF(ISNUMBER(E328),E328/Population!E25*10000,NA())</f>
        <v>0.38681876380459468</v>
      </c>
      <c r="M328" s="901">
        <f>IF(ISNUMBER(F328),F328/Population!F25*10000,NA())</f>
        <v>1.9268713774818103</v>
      </c>
      <c r="N328" s="901">
        <f>IF(ISNUMBER(G328),G328/Population!G25*10000,NA())</f>
        <v>-1.593722252157217</v>
      </c>
      <c r="O328" s="902">
        <f>IF(ISNUMBER(H328),H328/Population!H25*10000,NA())</f>
        <v>-2.2960643199132766</v>
      </c>
      <c r="P328" s="903">
        <f t="shared" si="128"/>
        <v>-2.2960643199132766</v>
      </c>
      <c r="Q328" s="1190">
        <f t="shared" si="129"/>
        <v>8</v>
      </c>
      <c r="R328" s="64"/>
      <c r="S328" s="905">
        <f t="shared" si="130"/>
        <v>-1.4963206286951829</v>
      </c>
      <c r="T328" s="906">
        <f t="shared" si="125"/>
        <v>-0.79974369121809374</v>
      </c>
      <c r="U328" s="89"/>
      <c r="V328" s="103"/>
      <c r="W328" s="767"/>
      <c r="X328" s="786" t="str">
        <f t="shared" si="110"/>
        <v>Windsor &amp; Maidenhead</v>
      </c>
      <c r="Y328" s="370">
        <f>IF(AC222&gt;0,IDACI!D26,0)</f>
        <v>29792</v>
      </c>
      <c r="Z328" s="370">
        <f>IF(AC222&gt;0,IDACI!E26,0)</f>
        <v>1996.0640000000001</v>
      </c>
      <c r="AA328" s="369">
        <f>IF(ISNUMBER(D331),Population!D28,0)</f>
        <v>34274</v>
      </c>
      <c r="AB328" s="369">
        <f>IF(ISNUMBER(E331),Population!E28,0)</f>
        <v>34083</v>
      </c>
      <c r="AC328" s="369">
        <f>IF(ISNUMBER(F331),Population!F28,0)</f>
        <v>33876</v>
      </c>
      <c r="AD328" s="369">
        <f>IF(ISNUMBER(G331),Population!G28,0)</f>
        <v>34113</v>
      </c>
      <c r="AE328" s="72">
        <f>IF(ISNUMBER(H331),Population!H28,0)</f>
        <v>34281</v>
      </c>
      <c r="AF328" s="350" t="s">
        <v>27</v>
      </c>
      <c r="AG328" s="1228">
        <f t="shared" si="111"/>
        <v>-3.5004813161809749</v>
      </c>
      <c r="AH328" s="747">
        <f t="shared" si="112"/>
        <v>6</v>
      </c>
      <c r="AI328" s="768"/>
      <c r="AJ328" s="766"/>
      <c r="AK328" s="514">
        <f t="shared" si="115"/>
        <v>-33</v>
      </c>
      <c r="AL328" s="514">
        <f t="shared" si="116"/>
        <v>-110</v>
      </c>
      <c r="AM328" s="514">
        <f t="shared" si="117"/>
        <v>62</v>
      </c>
      <c r="AN328" s="514">
        <f t="shared" si="118"/>
        <v>-12</v>
      </c>
      <c r="AO328" s="514">
        <f t="shared" si="134"/>
        <v>-23.25</v>
      </c>
      <c r="AQ328" s="531">
        <f t="shared" si="119"/>
        <v>3.9684137272607014</v>
      </c>
      <c r="AR328" s="531">
        <f t="shared" si="120"/>
        <v>-2.3450816202798084</v>
      </c>
      <c r="AS328" s="531">
        <f t="shared" si="121"/>
        <v>1.1841059154548377</v>
      </c>
      <c r="AT328" s="531">
        <f t="shared" si="122"/>
        <v>0.50277082588487665</v>
      </c>
      <c r="AU328" s="531">
        <f t="shared" si="135"/>
        <v>3.3102088483206078</v>
      </c>
      <c r="AV328" s="350">
        <f t="shared" si="136"/>
        <v>0</v>
      </c>
      <c r="AW328" s="531">
        <f t="shared" si="132"/>
        <v>3.3102088483206078</v>
      </c>
    </row>
    <row r="329" spans="1:76" s="61" customFormat="1" ht="15.75" customHeight="1">
      <c r="A329" s="1103">
        <f>VLOOKUP(B329,ReportData!$AQ$4:$AR$25,2,FALSE)</f>
        <v>0</v>
      </c>
      <c r="B329" s="885" t="str">
        <f>ReportData!$K$19</f>
        <v>West Berkshire</v>
      </c>
      <c r="C329" s="896"/>
      <c r="D329" s="889">
        <f t="shared" si="131"/>
        <v>-15</v>
      </c>
      <c r="E329" s="889">
        <f t="shared" si="131"/>
        <v>-10</v>
      </c>
      <c r="F329" s="889">
        <f t="shared" si="131"/>
        <v>20</v>
      </c>
      <c r="G329" s="889">
        <f t="shared" si="131"/>
        <v>30</v>
      </c>
      <c r="H329" s="890">
        <f t="shared" si="131"/>
        <v>-11</v>
      </c>
      <c r="I329" s="1231">
        <f t="shared" si="133"/>
        <v>1</v>
      </c>
      <c r="J329" s="896"/>
      <c r="K329" s="901">
        <f>IF(ISNUMBER(D329),D329/Population!D26*10000,NA())</f>
        <v>-4.2782578933858133</v>
      </c>
      <c r="L329" s="901">
        <f>IF(ISNUMBER(E329),E329/Population!E26*10000,NA())</f>
        <v>-2.8715828164484263</v>
      </c>
      <c r="M329" s="901">
        <f>IF(ISNUMBER(F329),F329/Population!F26*10000,NA())</f>
        <v>5.7811822517704874</v>
      </c>
      <c r="N329" s="901">
        <f>IF(ISNUMBER(G329),G329/Population!G26*10000,NA())</f>
        <v>8.5930339138405127</v>
      </c>
      <c r="O329" s="902">
        <f>IF(ISNUMBER(H329),H329/Population!H26*10000,NA())</f>
        <v>-3.1139419674451521</v>
      </c>
      <c r="P329" s="903">
        <f t="shared" ref="P329:P334" si="137">IF(ISNUMBER(O329),O329,"")</f>
        <v>-3.1139419674451521</v>
      </c>
      <c r="Q329" s="1190">
        <f t="shared" si="129"/>
        <v>7</v>
      </c>
      <c r="R329" s="64"/>
      <c r="S329" s="905">
        <f t="shared" si="130"/>
        <v>-1.4792803617566712</v>
      </c>
      <c r="T329" s="906">
        <f t="shared" si="125"/>
        <v>-1.6346616056884808</v>
      </c>
      <c r="U329" s="89"/>
      <c r="V329" s="103"/>
      <c r="W329" s="767"/>
      <c r="X329" s="786" t="str">
        <f t="shared" si="110"/>
        <v>Wokingham</v>
      </c>
      <c r="Y329" s="370">
        <f>IF(AC223&gt;0,IDACI!D27,0)</f>
        <v>33327</v>
      </c>
      <c r="Z329" s="370">
        <f>IF(AC223&gt;0,IDACI!E27,0)</f>
        <v>1866.3120000000004</v>
      </c>
      <c r="AA329" s="369">
        <f>IF(ISNUMBER(D332),Population!D29,0)</f>
        <v>39772</v>
      </c>
      <c r="AB329" s="369">
        <f>IF(ISNUMBER(E332),Population!E29,0)</f>
        <v>40476</v>
      </c>
      <c r="AC329" s="369">
        <f>IF(ISNUMBER(F332),Population!F29,0)</f>
        <v>41129</v>
      </c>
      <c r="AD329" s="369">
        <f>IF(ISNUMBER(G332),Population!G29,0)</f>
        <v>42520</v>
      </c>
      <c r="AE329" s="72">
        <f>IF(ISNUMBER(H332),Population!H29,0)</f>
        <v>43314</v>
      </c>
      <c r="AF329" s="350" t="s">
        <v>16</v>
      </c>
      <c r="AG329" s="1228">
        <f t="shared" si="111"/>
        <v>0.46174447060996449</v>
      </c>
      <c r="AH329" s="747">
        <f t="shared" si="112"/>
        <v>10</v>
      </c>
      <c r="AI329" s="768"/>
      <c r="AJ329" s="766"/>
      <c r="AK329" s="514">
        <f t="shared" si="115"/>
        <v>22</v>
      </c>
      <c r="AL329" s="514">
        <f t="shared" si="116"/>
        <v>-15</v>
      </c>
      <c r="AM329" s="514">
        <f t="shared" si="117"/>
        <v>28</v>
      </c>
      <c r="AN329" s="514">
        <f t="shared" si="118"/>
        <v>-37</v>
      </c>
      <c r="AO329" s="514">
        <f t="shared" si="134"/>
        <v>-0.5</v>
      </c>
      <c r="AQ329" s="531">
        <f t="shared" si="119"/>
        <v>3.5208168295044446</v>
      </c>
      <c r="AR329" s="531">
        <f t="shared" si="120"/>
        <v>-0.88558271342543393</v>
      </c>
      <c r="AS329" s="531">
        <f t="shared" si="121"/>
        <v>7.3285844106352425</v>
      </c>
      <c r="AT329" s="531">
        <f t="shared" si="122"/>
        <v>-3.5004813161809749</v>
      </c>
      <c r="AU329" s="531">
        <f t="shared" si="135"/>
        <v>6.4633372105332771</v>
      </c>
      <c r="AV329" s="350">
        <f t="shared" si="136"/>
        <v>0</v>
      </c>
      <c r="AW329" s="531">
        <f t="shared" si="132"/>
        <v>6.4633372105332771</v>
      </c>
    </row>
    <row r="330" spans="1:76" s="61" customFormat="1" ht="15.75" customHeight="1">
      <c r="A330" s="1103">
        <f>VLOOKUP(B330,ReportData!$AQ$4:$AR$25,2,FALSE)</f>
        <v>0</v>
      </c>
      <c r="B330" s="885" t="str">
        <f>ReportData!$K$20</f>
        <v>West Sussex</v>
      </c>
      <c r="C330" s="896"/>
      <c r="D330" s="889">
        <f t="shared" si="131"/>
        <v>102</v>
      </c>
      <c r="E330" s="889">
        <f t="shared" si="131"/>
        <v>69</v>
      </c>
      <c r="F330" s="889">
        <f t="shared" si="131"/>
        <v>-41</v>
      </c>
      <c r="G330" s="889">
        <f t="shared" si="131"/>
        <v>21</v>
      </c>
      <c r="H330" s="890">
        <f t="shared" si="131"/>
        <v>9</v>
      </c>
      <c r="I330" s="1231">
        <f t="shared" si="133"/>
        <v>-23.25</v>
      </c>
      <c r="J330" s="896"/>
      <c r="K330" s="901">
        <f>IF(ISNUMBER(D330),D330/Population!D27*10000,NA())</f>
        <v>5.8772349338234875</v>
      </c>
      <c r="L330" s="901">
        <f>IF(ISNUMBER(E330),E330/Population!E27*10000,NA())</f>
        <v>3.9684137272607014</v>
      </c>
      <c r="M330" s="901">
        <f>IF(ISNUMBER(F330),F330/Population!F27*10000,NA())</f>
        <v>-2.3450816202798084</v>
      </c>
      <c r="N330" s="901">
        <f>IF(ISNUMBER(G330),G330/Population!G27*10000,NA())</f>
        <v>1.1841059154548377</v>
      </c>
      <c r="O330" s="902">
        <f>IF(ISNUMBER(H330),H330/Population!H27*10000,NA())</f>
        <v>0.50277082588487665</v>
      </c>
      <c r="P330" s="903">
        <f t="shared" si="137"/>
        <v>0.50277082588487665</v>
      </c>
      <c r="Q330" s="1190">
        <f t="shared" si="129"/>
        <v>12</v>
      </c>
      <c r="R330" s="64"/>
      <c r="S330" s="905">
        <f t="shared" si="130"/>
        <v>-1.3812988268602282</v>
      </c>
      <c r="T330" s="906">
        <f t="shared" si="125"/>
        <v>1.8840696527451049</v>
      </c>
      <c r="U330" s="89"/>
      <c r="V330" s="103"/>
      <c r="W330" s="767"/>
      <c r="X330" s="786" t="str">
        <f t="shared" si="110"/>
        <v>South East</v>
      </c>
      <c r="Y330" s="370">
        <f>SUM(Y324:Y325,Y311:Y323,Y326:Y329)</f>
        <v>1704978</v>
      </c>
      <c r="Z330" s="370">
        <f>SUM(Z324:Z325,Z311:Z323,Z326:Z329)</f>
        <v>210927.40200000003</v>
      </c>
      <c r="AA330" s="369">
        <f>SUM(AA311:AA323,AA324:AA325,AA326:AA329)</f>
        <v>1927713</v>
      </c>
      <c r="AB330" s="369">
        <f>SUM(AB311:AB323,AB324:AB325,AB326:AB329)</f>
        <v>1930731</v>
      </c>
      <c r="AC330" s="369">
        <f>SUM(AC311:AC323,AC324:AC325,AC326:AC329)</f>
        <v>1935696</v>
      </c>
      <c r="AD330" s="369">
        <f>SUM(AD311:AD323,AD324:AD325,AD326:AD329)</f>
        <v>1965213</v>
      </c>
      <c r="AE330" s="72">
        <f>SUM(AE311:AE323,AE324:AE325,AE326:AE329)</f>
        <v>1988962</v>
      </c>
      <c r="AH330" s="811"/>
      <c r="AI330" s="768"/>
      <c r="AJ330" s="766"/>
      <c r="AK330" s="514">
        <f t="shared" si="115"/>
        <v>13</v>
      </c>
      <c r="AL330" s="514">
        <f t="shared" si="116"/>
        <v>33</v>
      </c>
      <c r="AM330" s="514">
        <f t="shared" si="117"/>
        <v>-35</v>
      </c>
      <c r="AN330" s="514">
        <f t="shared" si="118"/>
        <v>2</v>
      </c>
      <c r="AO330" s="514">
        <f t="shared" si="134"/>
        <v>3.25</v>
      </c>
      <c r="AQ330" s="531">
        <f t="shared" si="119"/>
        <v>0.49411997232928156</v>
      </c>
      <c r="AR330" s="531">
        <f t="shared" si="120"/>
        <v>8.5098105959298795</v>
      </c>
      <c r="AS330" s="531">
        <f t="shared" si="121"/>
        <v>0</v>
      </c>
      <c r="AT330" s="531">
        <f t="shared" si="122"/>
        <v>0.46174447060996449</v>
      </c>
      <c r="AU330" s="531">
        <f t="shared" si="135"/>
        <v>9.4656750388691258</v>
      </c>
      <c r="AV330" s="350">
        <f t="shared" si="136"/>
        <v>0</v>
      </c>
      <c r="AW330" s="531">
        <f t="shared" si="132"/>
        <v>9.4656750388691258</v>
      </c>
    </row>
    <row r="331" spans="1:76" s="61" customFormat="1" ht="15.75" customHeight="1">
      <c r="A331" s="1103">
        <f>VLOOKUP(B331,ReportData!$AQ$4:$AR$25,2,FALSE)</f>
        <v>0</v>
      </c>
      <c r="B331" s="885" t="str">
        <f>ReportData!$K$21</f>
        <v>Windsor &amp; Maidenhead</v>
      </c>
      <c r="C331" s="896"/>
      <c r="D331" s="889">
        <f t="shared" si="131"/>
        <v>-10</v>
      </c>
      <c r="E331" s="889">
        <f t="shared" si="131"/>
        <v>12</v>
      </c>
      <c r="F331" s="889">
        <f t="shared" si="131"/>
        <v>-3</v>
      </c>
      <c r="G331" s="889">
        <f t="shared" si="131"/>
        <v>25</v>
      </c>
      <c r="H331" s="890">
        <f t="shared" si="131"/>
        <v>-12</v>
      </c>
      <c r="I331" s="1231">
        <f t="shared" si="133"/>
        <v>-0.5</v>
      </c>
      <c r="J331" s="896"/>
      <c r="K331" s="901">
        <f>IF(ISNUMBER(D331),D331/Population!D28*10000,NA())</f>
        <v>-2.9176635350411391</v>
      </c>
      <c r="L331" s="901">
        <f>IF(ISNUMBER(E331),E331/Population!E28*10000,NA())</f>
        <v>3.5208168295044446</v>
      </c>
      <c r="M331" s="901">
        <f>IF(ISNUMBER(F331),F331/Population!F28*10000,NA())</f>
        <v>-0.88558271342543393</v>
      </c>
      <c r="N331" s="901">
        <f>IF(ISNUMBER(G331),G331/Population!G28*10000,NA())</f>
        <v>7.3285844106352425</v>
      </c>
      <c r="O331" s="902">
        <f>IF(ISNUMBER(H331),H331/Population!H28*10000,NA())</f>
        <v>-3.5004813161809749</v>
      </c>
      <c r="P331" s="903">
        <f t="shared" si="137"/>
        <v>-3.5004813161809749</v>
      </c>
      <c r="Q331" s="1190">
        <f t="shared" si="129"/>
        <v>6</v>
      </c>
      <c r="R331" s="64"/>
      <c r="S331" s="905">
        <f t="shared" si="130"/>
        <v>-1.5644816964492303</v>
      </c>
      <c r="T331" s="906">
        <f t="shared" si="125"/>
        <v>-1.9359996197317446</v>
      </c>
      <c r="U331" s="89"/>
      <c r="V331" s="103"/>
      <c r="W331" s="767"/>
      <c r="X331" s="786" t="str">
        <f t="shared" si="110"/>
        <v>England</v>
      </c>
      <c r="Y331" s="370"/>
      <c r="Z331" s="370"/>
      <c r="AA331" s="369">
        <f>IF(D334&gt;0,Population!D298,"")</f>
        <v>0</v>
      </c>
      <c r="AB331" s="369">
        <f>IF(E334&gt;0,Population!E298,"")</f>
        <v>0</v>
      </c>
      <c r="AC331" s="369">
        <f>IF(F334&gt;0,Population!F298,"")</f>
        <v>0</v>
      </c>
      <c r="AD331" s="369">
        <f>IF(G334&gt;0,Population!G298,"")</f>
        <v>0</v>
      </c>
      <c r="AE331" s="72" t="str">
        <f>IF(H334&gt;0,Population!H298,"")</f>
        <v/>
      </c>
      <c r="AH331" s="811"/>
      <c r="AI331" s="768"/>
      <c r="AJ331" s="766"/>
      <c r="AK331" s="514">
        <f t="shared" si="115"/>
        <v>-142</v>
      </c>
      <c r="AL331" s="514">
        <f t="shared" si="116"/>
        <v>322</v>
      </c>
      <c r="AM331" s="514">
        <f t="shared" si="117"/>
        <v>47</v>
      </c>
      <c r="AN331" s="514">
        <f t="shared" si="118"/>
        <v>-488</v>
      </c>
      <c r="AO331" s="514">
        <f t="shared" si="134"/>
        <v>-65.25</v>
      </c>
      <c r="AQ331" s="531">
        <f t="shared" si="119"/>
        <v>-0.13466402103659184</v>
      </c>
      <c r="AR331" s="531">
        <f t="shared" si="120"/>
        <v>1.5291657367685836</v>
      </c>
      <c r="AS331" s="531">
        <f t="shared" si="121"/>
        <v>1.7453578823262417</v>
      </c>
      <c r="AT331" s="531">
        <f t="shared" si="122"/>
        <v>-0.72902348058937272</v>
      </c>
      <c r="AU331" s="531">
        <f t="shared" si="135"/>
        <v>2.4108361174688611</v>
      </c>
      <c r="AV331" s="350">
        <f t="shared" si="136"/>
        <v>0</v>
      </c>
      <c r="AW331" s="531">
        <f t="shared" si="132"/>
        <v>2.4108361174688611</v>
      </c>
    </row>
    <row r="332" spans="1:76" s="61" customFormat="1" ht="15.75" customHeight="1">
      <c r="A332" s="1103">
        <f>VLOOKUP(B332,ReportData!$AQ$4:$AR$25,2,FALSE)</f>
        <v>0</v>
      </c>
      <c r="B332" s="885" t="str">
        <f>ReportData!$K$22</f>
        <v>Wokingham</v>
      </c>
      <c r="C332" s="896"/>
      <c r="D332" s="889">
        <f t="shared" si="131"/>
        <v>-11</v>
      </c>
      <c r="E332" s="889">
        <f t="shared" si="131"/>
        <v>2</v>
      </c>
      <c r="F332" s="889">
        <f t="shared" si="131"/>
        <v>35</v>
      </c>
      <c r="G332" s="889">
        <f t="shared" si="131"/>
        <v>0</v>
      </c>
      <c r="H332" s="890">
        <f t="shared" si="131"/>
        <v>2</v>
      </c>
      <c r="I332" s="1231">
        <f t="shared" si="133"/>
        <v>3.25</v>
      </c>
      <c r="J332" s="896"/>
      <c r="K332" s="901">
        <f>IF(ISNUMBER(D332),D332/Population!D29*10000,NA())</f>
        <v>-2.7657648597002913</v>
      </c>
      <c r="L332" s="901">
        <f>IF(ISNUMBER(E332),E332/Population!E29*10000,NA())</f>
        <v>0.49411997232928156</v>
      </c>
      <c r="M332" s="901">
        <f>IF(ISNUMBER(F332),F332/Population!F29*10000,NA())</f>
        <v>8.5098105959298795</v>
      </c>
      <c r="N332" s="901">
        <f>IF(ISNUMBER(G332),G332/Population!G29*10000,NA())</f>
        <v>0</v>
      </c>
      <c r="O332" s="902">
        <f>IF(ISNUMBER(H332),H332/Population!H29*10000,NA())</f>
        <v>0.46174447060996449</v>
      </c>
      <c r="P332" s="903">
        <f t="shared" si="137"/>
        <v>0.46174447060996449</v>
      </c>
      <c r="Q332" s="1190">
        <f t="shared" si="129"/>
        <v>10</v>
      </c>
      <c r="R332" s="64"/>
      <c r="S332" s="905">
        <f t="shared" si="130"/>
        <v>-1.6113424305301378</v>
      </c>
      <c r="T332" s="906">
        <f t="shared" si="125"/>
        <v>2.0730869011401021</v>
      </c>
      <c r="U332" s="89"/>
      <c r="V332" s="103"/>
      <c r="W332" s="767"/>
      <c r="AI332" s="768"/>
      <c r="AJ332" s="766"/>
      <c r="AK332" s="514">
        <f t="shared" si="115"/>
        <v>-950</v>
      </c>
      <c r="AL332" s="514">
        <f t="shared" si="116"/>
        <v>510</v>
      </c>
      <c r="AM332" s="514">
        <f t="shared" si="117"/>
        <v>380</v>
      </c>
      <c r="AN332" s="514">
        <f t="shared" si="118"/>
        <v>-1890</v>
      </c>
      <c r="AO332" s="514">
        <f t="shared" si="134"/>
        <v>-487.5</v>
      </c>
      <c r="AQ332" s="531">
        <f t="shared" si="119"/>
        <v>0.364784114822502</v>
      </c>
      <c r="AR332" s="531">
        <f t="shared" si="120"/>
        <v>0.79912415992072683</v>
      </c>
      <c r="AS332" s="531">
        <f t="shared" si="121"/>
        <v>1.1105699419701964</v>
      </c>
      <c r="AT332" s="531">
        <f t="shared" si="122"/>
        <v>-0.47505360188141227</v>
      </c>
      <c r="AU332" s="531">
        <f t="shared" si="135"/>
        <v>1.799424614832013</v>
      </c>
      <c r="AV332" s="350">
        <f t="shared" si="136"/>
        <v>0</v>
      </c>
      <c r="AW332" s="531">
        <f t="shared" si="132"/>
        <v>1.799424614832013</v>
      </c>
    </row>
    <row r="333" spans="1:76" s="61" customFormat="1" ht="15.75" customHeight="1">
      <c r="A333" s="1103"/>
      <c r="B333" s="886" t="str">
        <f>ReportData!$K$23</f>
        <v>South East</v>
      </c>
      <c r="C333" s="896"/>
      <c r="D333" s="892">
        <f>IF(AND(ISNUMBER(D30),ISNUMBER(Y224)),D30-Y224,NA())</f>
        <v>116</v>
      </c>
      <c r="E333" s="892">
        <f>IF(AND(ISNUMBER(E30),ISNUMBER(Z224)),E30-Z224,NA())</f>
        <v>-26</v>
      </c>
      <c r="F333" s="892">
        <f>IF(AND(ISNUMBER(F30),ISNUMBER(AA224)),F30-AA224,NA())</f>
        <v>296</v>
      </c>
      <c r="G333" s="892">
        <f>IF(AND(ISNUMBER(G30),ISNUMBER(AB224)),G30-AB224,NA())</f>
        <v>343</v>
      </c>
      <c r="H333" s="893">
        <f>IF(AND(ISNUMBER(H30),ISNUMBER(AC224)),H30-AC224,NA())</f>
        <v>-145</v>
      </c>
      <c r="I333" s="1213">
        <f t="shared" si="133"/>
        <v>-65.25</v>
      </c>
      <c r="J333" s="896"/>
      <c r="K333" s="908">
        <f>IF(ISNUMBER(D333),D333/AA330*10000,NA())</f>
        <v>0.60174932679294069</v>
      </c>
      <c r="L333" s="908">
        <f>IF(ISNUMBER(E333),E333/AB330*10000,NA())</f>
        <v>-0.13466402103659184</v>
      </c>
      <c r="M333" s="908">
        <f>IF(ISNUMBER(F333),F333/AC330*10000,NA())</f>
        <v>1.5291657367685836</v>
      </c>
      <c r="N333" s="908">
        <f>IF(ISNUMBER(G333),G333/AD330*10000,NA())</f>
        <v>1.7453578823262417</v>
      </c>
      <c r="O333" s="909">
        <f>IF(ISNUMBER(H333),H333/AE330*10000,NA())</f>
        <v>-0.72902348058937272</v>
      </c>
      <c r="P333" s="903">
        <f t="shared" si="137"/>
        <v>-0.72902348058937272</v>
      </c>
      <c r="Q333" s="1191" t="str">
        <f t="shared" ref="Q333:Q334" si="138">IF(ISNA(VLOOKUP(B333,$AF$11:$AH$29,3,FALSE)),"--",IF(ISNUMBER(H333),VLOOKUP(B333,$AF$11:$AH$29,3,FALSE),NA()))</f>
        <v>--</v>
      </c>
      <c r="R333" s="64"/>
      <c r="S333" s="911">
        <f t="shared" si="130"/>
        <v>-1.3228818842581989</v>
      </c>
      <c r="T333" s="912">
        <f t="shared" si="125"/>
        <v>0.59385840366882614</v>
      </c>
      <c r="U333" s="89"/>
      <c r="V333" s="103"/>
      <c r="W333" s="759"/>
      <c r="AI333" s="763"/>
      <c r="AJ333" s="764"/>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row>
    <row r="334" spans="1:76" s="61" customFormat="1" ht="15.75" customHeight="1">
      <c r="A334" s="1103"/>
      <c r="B334" s="887" t="str">
        <f>ReportData!$K$24</f>
        <v>England</v>
      </c>
      <c r="C334" s="896"/>
      <c r="D334" s="894">
        <f>IF(AND(ISNUMBER(D31),ISNUMBER(D200)),D31-D200,NA())</f>
        <v>1380</v>
      </c>
      <c r="E334" s="894">
        <f>IF(AND(ISNUMBER(E31),ISNUMBER(E200)),E31-E200,NA())</f>
        <v>430</v>
      </c>
      <c r="F334" s="894">
        <f>IF(AND(ISNUMBER(F31),ISNUMBER(F200)),F31-F200,NA())</f>
        <v>940</v>
      </c>
      <c r="G334" s="894">
        <f>IF(AND(ISNUMBER(G31),ISNUMBER(G200)),G31-G200,NA())</f>
        <v>1320</v>
      </c>
      <c r="H334" s="895">
        <f>IF(AND(ISNUMBER(H31),ISNUMBER(H200)),H31-H200,NA())</f>
        <v>-570</v>
      </c>
      <c r="I334" s="1215">
        <f t="shared" si="133"/>
        <v>-487.5</v>
      </c>
      <c r="J334" s="896"/>
      <c r="K334" s="914">
        <f>IF(ISNUMBER(D334),D334/Population!D31*10000,NA())</f>
        <v>1.1704346179955849</v>
      </c>
      <c r="L334" s="914">
        <f>IF(ISNUMBER(E334),E334/Population!E31*10000,NA())</f>
        <v>0.364784114822502</v>
      </c>
      <c r="M334" s="914">
        <f>IF(ISNUMBER(F334),F334/Population!F31*10000,NA())</f>
        <v>0.79912415992072683</v>
      </c>
      <c r="N334" s="914">
        <f>IF(ISNUMBER(G334),G334/Population!G31*10000,NA())</f>
        <v>1.1105699419701964</v>
      </c>
      <c r="O334" s="927">
        <f>IF(ISNUMBER(H334),H334/Population!H31*10000,NA())</f>
        <v>-0.47505360188141227</v>
      </c>
      <c r="P334" s="903">
        <f t="shared" si="137"/>
        <v>-0.47505360188141227</v>
      </c>
      <c r="Q334" s="1192" t="str">
        <f t="shared" si="138"/>
        <v>--</v>
      </c>
      <c r="R334" s="64"/>
      <c r="S334" s="917">
        <f t="shared" si="130"/>
        <v>-1.1220987553953279</v>
      </c>
      <c r="T334" s="1087">
        <f t="shared" si="125"/>
        <v>0.64704515351391567</v>
      </c>
      <c r="U334" s="89"/>
      <c r="V334" s="103"/>
      <c r="W334" s="759"/>
      <c r="AI334" s="52"/>
      <c r="AJ334" s="765"/>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row>
    <row r="335" spans="1:76" s="56" customFormat="1" ht="12.75" customHeight="1">
      <c r="A335" s="1185"/>
      <c r="B335" s="1077"/>
      <c r="C335" s="1184"/>
      <c r="D335" s="1184"/>
      <c r="E335" s="1184"/>
      <c r="F335" s="1184"/>
      <c r="G335" s="1184"/>
      <c r="H335" s="1184"/>
      <c r="I335" s="1184"/>
      <c r="J335" s="1184"/>
      <c r="K335" s="1184"/>
      <c r="L335" s="1184"/>
      <c r="M335" s="1184"/>
      <c r="N335" s="1184"/>
      <c r="O335" s="1184"/>
      <c r="P335" s="1184"/>
      <c r="Q335" s="1091" t="s">
        <v>100</v>
      </c>
      <c r="R335" s="1113"/>
      <c r="S335" s="1184"/>
      <c r="T335" s="1184"/>
      <c r="U335" s="86"/>
      <c r="V335" s="121"/>
      <c r="W335" s="759"/>
      <c r="X335" s="251"/>
      <c r="Y335" s="250"/>
      <c r="Z335" s="251"/>
      <c r="AA335" s="251"/>
      <c r="AB335" s="251"/>
      <c r="AC335" s="251"/>
      <c r="AD335" s="251"/>
      <c r="AE335" s="760"/>
      <c r="AF335" s="760"/>
      <c r="AG335" s="760"/>
      <c r="AH335" s="760"/>
      <c r="AI335" s="52"/>
      <c r="AJ335" s="765"/>
      <c r="AK335" s="52"/>
      <c r="AL335" s="56">
        <f>COLUMNS($B$4:K$4)</f>
        <v>10</v>
      </c>
      <c r="AM335" s="56">
        <f>COLUMNS($B$4:L$4)</f>
        <v>11</v>
      </c>
      <c r="AN335" s="56">
        <f>COLUMNS($B$4:M$4)</f>
        <v>12</v>
      </c>
      <c r="AO335" s="56">
        <f>COLUMNS($B$4:N$4)</f>
        <v>13</v>
      </c>
      <c r="AP335" s="56">
        <f>COLUMNS($B$4:O$4)</f>
        <v>14</v>
      </c>
      <c r="AQ335" s="56">
        <f>COLUMNS($B$4:R$4)</f>
        <v>17</v>
      </c>
    </row>
    <row r="336" spans="1:76" s="56" customFormat="1" ht="7.5" customHeight="1">
      <c r="A336" s="87"/>
      <c r="B336" s="12"/>
      <c r="C336" s="12"/>
      <c r="D336" s="11"/>
      <c r="E336" s="11"/>
      <c r="F336" s="11"/>
      <c r="G336" s="11"/>
      <c r="H336" s="11"/>
      <c r="I336" s="11"/>
      <c r="J336" s="1"/>
      <c r="K336" s="13"/>
      <c r="L336" s="13"/>
      <c r="M336" s="13"/>
      <c r="N336" s="13"/>
      <c r="O336" s="13"/>
      <c r="P336" s="13"/>
      <c r="Q336" s="13"/>
      <c r="R336" s="13"/>
      <c r="S336" s="13"/>
      <c r="T336" s="14"/>
      <c r="U336" s="86"/>
      <c r="V336" s="185"/>
      <c r="W336" s="759"/>
      <c r="X336" s="251"/>
      <c r="Y336" s="250"/>
      <c r="Z336" s="251"/>
      <c r="AA336" s="251"/>
      <c r="AB336" s="251"/>
      <c r="AC336" s="251"/>
      <c r="AD336" s="251"/>
      <c r="AE336" s="760"/>
      <c r="AF336" s="760"/>
      <c r="AG336" s="760"/>
      <c r="AH336" s="760"/>
      <c r="AI336" s="52"/>
      <c r="AJ336" s="766"/>
      <c r="AK336" s="61"/>
      <c r="AL336" s="109" t="s">
        <v>85</v>
      </c>
      <c r="AM336" s="173"/>
      <c r="AN336" s="173"/>
      <c r="AO336" s="173"/>
      <c r="AP336" s="173"/>
      <c r="AQ336" s="109" t="s">
        <v>862</v>
      </c>
    </row>
    <row r="337" spans="1:76" s="56" customFormat="1" ht="15" customHeight="1">
      <c r="A337" s="1565"/>
      <c r="B337" s="1751"/>
      <c r="C337" s="1751"/>
      <c r="D337" s="1751"/>
      <c r="E337" s="1751"/>
      <c r="F337" s="1751"/>
      <c r="G337" s="1751"/>
      <c r="H337" s="1751"/>
      <c r="I337" s="1751"/>
      <c r="J337" s="1751"/>
      <c r="K337" s="1751"/>
      <c r="L337" s="1751"/>
      <c r="M337" s="1751"/>
      <c r="N337" s="1751"/>
      <c r="O337" s="1751"/>
      <c r="P337" s="1751"/>
      <c r="Q337" s="1751"/>
      <c r="R337" s="1751"/>
      <c r="S337" s="1751"/>
      <c r="T337" s="1751"/>
      <c r="U337" s="1752"/>
      <c r="V337" s="185"/>
      <c r="W337" s="770" t="s">
        <v>94</v>
      </c>
      <c r="X337" s="251"/>
      <c r="Y337" s="250"/>
      <c r="Z337" s="251"/>
      <c r="AA337" s="251"/>
      <c r="AB337" s="251"/>
      <c r="AC337" s="251"/>
      <c r="AD337" s="251"/>
      <c r="AE337" s="760"/>
      <c r="AF337" s="760"/>
      <c r="AG337" s="760"/>
      <c r="AH337" s="760"/>
      <c r="AI337" s="52"/>
      <c r="AJ337" s="766"/>
      <c r="AK337" s="61"/>
      <c r="AL337" s="109" t="str">
        <f>IF(ReportData!$C$3="Annual","",ReportData!AQ320)</f>
        <v/>
      </c>
      <c r="AM337" s="109" t="str">
        <f>IF(ReportData!$C$3="Annual","",ReportData!AR320)</f>
        <v/>
      </c>
      <c r="AN337" s="109" t="str">
        <f>IF(ReportData!$C$3="Annual","",ReportData!AS320)</f>
        <v/>
      </c>
      <c r="AO337" s="109" t="str">
        <f>IF(ReportData!$C$3="Annual","",ReportData!AT320)</f>
        <v/>
      </c>
      <c r="AP337" s="109" t="str">
        <f>IF(ReportData!$C$3="Annual","",ReportData!AU320)</f>
        <v/>
      </c>
      <c r="AQ337" s="173"/>
    </row>
    <row r="338" spans="1:76" s="56" customFormat="1" ht="11.25" customHeight="1">
      <c r="A338" s="1739"/>
      <c r="B338" s="1740"/>
      <c r="C338" s="1740"/>
      <c r="D338" s="1740"/>
      <c r="E338" s="1740"/>
      <c r="F338" s="1740"/>
      <c r="G338" s="1740"/>
      <c r="H338" s="1740"/>
      <c r="I338" s="1741"/>
      <c r="J338" s="1740"/>
      <c r="K338" s="1740"/>
      <c r="L338" s="1740"/>
      <c r="M338" s="1740"/>
      <c r="N338" s="1740"/>
      <c r="O338" s="1740"/>
      <c r="P338" s="1742"/>
      <c r="Q338" s="1740"/>
      <c r="R338" s="1740"/>
      <c r="S338" s="1741"/>
      <c r="T338" s="1740"/>
      <c r="U338" s="1743"/>
      <c r="V338" s="185"/>
      <c r="W338" s="771"/>
      <c r="X338" s="251"/>
      <c r="Y338" s="250"/>
      <c r="Z338" s="251"/>
      <c r="AA338" s="251"/>
      <c r="AB338" s="251"/>
      <c r="AC338" s="251"/>
      <c r="AD338" s="251"/>
      <c r="AE338" s="760"/>
      <c r="AF338" s="760"/>
      <c r="AG338" s="760"/>
      <c r="AH338" s="760"/>
      <c r="AI338" s="812"/>
      <c r="AJ338" s="766"/>
      <c r="AK338" s="61"/>
      <c r="AL338" s="109" t="str">
        <f>ReportData!$D$27</f>
        <v>2019/20</v>
      </c>
      <c r="AM338" s="109" t="str">
        <f>ReportData!$E$27</f>
        <v>2020/21</v>
      </c>
      <c r="AN338" s="109" t="str">
        <f>ReportData!$F$27</f>
        <v>2021/22</v>
      </c>
      <c r="AO338" s="109" t="str">
        <f>ReportData!$G$27</f>
        <v>2022/23</v>
      </c>
      <c r="AP338" s="109" t="str">
        <f>ReportData!$H$27</f>
        <v>2023/24</v>
      </c>
      <c r="AQ338" s="173"/>
    </row>
    <row r="339" spans="1:76" s="56" customFormat="1" ht="10.5" customHeight="1">
      <c r="A339" s="81"/>
      <c r="B339" s="82"/>
      <c r="C339" s="82"/>
      <c r="D339" s="82"/>
      <c r="E339" s="82"/>
      <c r="F339" s="82"/>
      <c r="G339" s="82"/>
      <c r="H339" s="82"/>
      <c r="I339" s="82"/>
      <c r="J339" s="83"/>
      <c r="K339" s="82"/>
      <c r="L339" s="82"/>
      <c r="M339" s="82"/>
      <c r="N339" s="82"/>
      <c r="O339" s="82"/>
      <c r="P339" s="82"/>
      <c r="Q339" s="82"/>
      <c r="R339" s="82"/>
      <c r="S339" s="82"/>
      <c r="T339" s="82"/>
      <c r="U339" s="84"/>
      <c r="V339" s="102"/>
      <c r="W339" s="771"/>
      <c r="X339" s="251"/>
      <c r="Y339" s="250"/>
      <c r="Z339" s="251"/>
      <c r="AA339" s="251"/>
      <c r="AB339" s="251"/>
      <c r="AC339" s="251"/>
      <c r="AD339" s="251"/>
      <c r="AE339" s="760"/>
      <c r="AF339" s="760"/>
      <c r="AG339" s="760"/>
      <c r="AH339" s="760"/>
      <c r="AI339" s="361" t="b">
        <f t="shared" ref="AI339:AI359" si="139">AI205</f>
        <v>1</v>
      </c>
      <c r="AJ339" s="766" t="s">
        <v>0</v>
      </c>
      <c r="AK339" s="61" t="str">
        <f t="shared" ref="AK339:AK359" si="140">IF(AI339=TRUE,B314,"")</f>
        <v>Bracknell Forest</v>
      </c>
      <c r="AL339" s="110">
        <f t="shared" ref="AL339:AP348" si="141">VLOOKUP($AK339,$B$314:$R$334,AL$201,FALSE)</f>
        <v>-5.4949080518719322</v>
      </c>
      <c r="AM339" s="110">
        <f t="shared" si="141"/>
        <v>1.449590490686381</v>
      </c>
      <c r="AN339" s="110">
        <f t="shared" si="141"/>
        <v>-3.2347338532868486</v>
      </c>
      <c r="AO339" s="110">
        <f t="shared" si="141"/>
        <v>5.6477232615601833</v>
      </c>
      <c r="AP339" s="110">
        <f t="shared" si="141"/>
        <v>-5.9343037665375089</v>
      </c>
      <c r="AQ339" s="110">
        <f>VLOOKUP($AK339,IDACI!$B$9:$C$29,2,FALSE)</f>
        <v>8.9</v>
      </c>
    </row>
    <row r="340" spans="1:76" s="56" customFormat="1" ht="3.75" customHeight="1">
      <c r="A340" s="85"/>
      <c r="B340" s="5"/>
      <c r="C340" s="5"/>
      <c r="D340" s="5"/>
      <c r="E340" s="5"/>
      <c r="F340" s="5"/>
      <c r="G340" s="5"/>
      <c r="H340" s="5"/>
      <c r="I340" s="5"/>
      <c r="J340" s="1"/>
      <c r="K340" s="5"/>
      <c r="L340" s="5"/>
      <c r="M340" s="5"/>
      <c r="N340" s="5"/>
      <c r="O340" s="5"/>
      <c r="P340" s="5"/>
      <c r="Q340" s="5"/>
      <c r="R340" s="5"/>
      <c r="S340" s="5"/>
      <c r="T340" s="5"/>
      <c r="U340" s="86"/>
      <c r="V340" s="102"/>
      <c r="W340" s="771"/>
      <c r="X340" s="378"/>
      <c r="Y340" s="378"/>
      <c r="Z340" s="378"/>
      <c r="AA340" s="378"/>
      <c r="AB340" s="378"/>
      <c r="AC340" s="251"/>
      <c r="AD340" s="251"/>
      <c r="AE340" s="760"/>
      <c r="AF340" s="760"/>
      <c r="AG340" s="760"/>
      <c r="AH340" s="760"/>
      <c r="AI340" s="361" t="b">
        <f t="shared" si="139"/>
        <v>1</v>
      </c>
      <c r="AJ340" s="766" t="s">
        <v>28</v>
      </c>
      <c r="AK340" s="61" t="str">
        <f t="shared" si="140"/>
        <v>Brighton &amp; Hove</v>
      </c>
      <c r="AL340" s="110">
        <f t="shared" si="141"/>
        <v>-4.9584727903805632</v>
      </c>
      <c r="AM340" s="110">
        <f t="shared" si="141"/>
        <v>-0.41697940121757987</v>
      </c>
      <c r="AN340" s="110">
        <f t="shared" si="141"/>
        <v>2.3342175066312998</v>
      </c>
      <c r="AO340" s="110">
        <f t="shared" si="141"/>
        <v>-9.9703012303775971</v>
      </c>
      <c r="AP340" s="110">
        <f t="shared" si="141"/>
        <v>1.0714438777696824</v>
      </c>
      <c r="AQ340" s="110">
        <f>VLOOKUP($AK340,IDACI!$B$9:$C$29,2,FALSE)</f>
        <v>15.299999999999999</v>
      </c>
      <c r="AX340" s="237"/>
      <c r="AY340" s="237"/>
      <c r="AZ340" s="237"/>
      <c r="BA340" s="237"/>
      <c r="BB340" s="237"/>
      <c r="BC340" s="237"/>
      <c r="BD340" s="237"/>
      <c r="BE340" s="237"/>
      <c r="BF340" s="237"/>
      <c r="BG340" s="237"/>
      <c r="BH340" s="237"/>
      <c r="BI340" s="237"/>
      <c r="BJ340" s="237"/>
      <c r="BK340" s="237"/>
      <c r="BL340" s="237"/>
      <c r="BM340" s="237"/>
      <c r="BN340" s="237"/>
      <c r="BO340" s="237"/>
      <c r="BP340" s="237"/>
    </row>
    <row r="341" spans="1:76" s="56" customFormat="1" ht="14.25" customHeight="1">
      <c r="A341" s="87"/>
      <c r="B341" s="5"/>
      <c r="C341" s="5"/>
      <c r="D341" s="5"/>
      <c r="E341" s="5"/>
      <c r="F341" s="5"/>
      <c r="G341" s="5"/>
      <c r="H341" s="5"/>
      <c r="I341" s="5"/>
      <c r="J341" s="1"/>
      <c r="K341" s="5"/>
      <c r="L341" s="5"/>
      <c r="M341" s="5"/>
      <c r="N341" s="5"/>
      <c r="O341" s="5"/>
      <c r="P341" s="5"/>
      <c r="Q341" s="5"/>
      <c r="R341" s="5"/>
      <c r="S341" s="5"/>
      <c r="T341" s="5"/>
      <c r="U341" s="86"/>
      <c r="V341" s="102"/>
      <c r="W341" s="771"/>
      <c r="X341" s="251"/>
      <c r="Y341" s="251"/>
      <c r="Z341" s="251"/>
      <c r="AA341" s="251"/>
      <c r="AB341" s="251"/>
      <c r="AC341" s="244" t="s">
        <v>762</v>
      </c>
      <c r="AD341" s="251"/>
      <c r="AE341" s="760"/>
      <c r="AF341" s="760"/>
      <c r="AG341" s="760"/>
      <c r="AH341" s="760"/>
      <c r="AI341" s="361" t="b">
        <f t="shared" si="139"/>
        <v>1</v>
      </c>
      <c r="AJ341" s="766" t="s">
        <v>8</v>
      </c>
      <c r="AK341" s="61" t="str">
        <f t="shared" si="140"/>
        <v>Buckinghamshire</v>
      </c>
      <c r="AL341" s="110">
        <f t="shared" si="141"/>
        <v>-2.6200086787787487</v>
      </c>
      <c r="AM341" s="110">
        <f t="shared" si="141"/>
        <v>1.714355687987265</v>
      </c>
      <c r="AN341" s="110">
        <f t="shared" si="141"/>
        <v>-1.0525463525220631</v>
      </c>
      <c r="AO341" s="110">
        <f t="shared" si="141"/>
        <v>-0.4765119326529802</v>
      </c>
      <c r="AP341" s="110">
        <f t="shared" si="141"/>
        <v>2.0373620862587765</v>
      </c>
      <c r="AQ341" s="110">
        <f>VLOOKUP($AK341,IDACI!$B$9:$C$29,2,FALSE)</f>
        <v>8.5</v>
      </c>
      <c r="AX341" s="237"/>
      <c r="AY341" s="237"/>
      <c r="AZ341" s="237"/>
      <c r="BA341" s="237"/>
      <c r="BB341" s="237"/>
      <c r="BC341" s="237"/>
      <c r="BD341" s="237"/>
      <c r="BE341" s="237"/>
      <c r="BF341" s="237"/>
      <c r="BG341" s="237"/>
      <c r="BH341" s="237"/>
      <c r="BI341" s="237"/>
      <c r="BJ341" s="237"/>
      <c r="BK341" s="237"/>
      <c r="BL341" s="237"/>
      <c r="BM341" s="237"/>
      <c r="BN341" s="237"/>
      <c r="BO341" s="237"/>
      <c r="BP341" s="237"/>
      <c r="BQ341" s="52"/>
      <c r="BR341" s="52"/>
      <c r="BS341" s="52"/>
      <c r="BT341" s="52"/>
      <c r="BU341" s="52"/>
      <c r="BV341" s="52"/>
      <c r="BW341" s="52"/>
      <c r="BX341" s="52"/>
    </row>
    <row r="342" spans="1:76" s="56" customFormat="1" ht="14.25" customHeight="1">
      <c r="A342" s="87"/>
      <c r="B342" s="5"/>
      <c r="C342" s="5"/>
      <c r="D342" s="5"/>
      <c r="E342" s="5"/>
      <c r="F342" s="5"/>
      <c r="G342" s="5"/>
      <c r="H342" s="5"/>
      <c r="I342" s="5"/>
      <c r="J342" s="1"/>
      <c r="K342" s="5"/>
      <c r="L342" s="5"/>
      <c r="M342" s="5"/>
      <c r="N342" s="5"/>
      <c r="O342" s="5"/>
      <c r="P342" s="5"/>
      <c r="Q342" s="5"/>
      <c r="R342" s="5"/>
      <c r="S342" s="5"/>
      <c r="T342" s="5"/>
      <c r="U342" s="86"/>
      <c r="V342" s="102"/>
      <c r="W342" s="771"/>
      <c r="X342" s="787" t="s">
        <v>69</v>
      </c>
      <c r="Y342" s="787" t="s">
        <v>67</v>
      </c>
      <c r="Z342" s="787" t="s">
        <v>68</v>
      </c>
      <c r="AA342" s="788">
        <v>3</v>
      </c>
      <c r="AB342" s="789">
        <f>(AA342*Y343)+Z343</f>
        <v>-1.6635680158145603</v>
      </c>
      <c r="AC342" s="790">
        <f>ROUND(ChartLabels!$X48,3)</f>
        <v>0</v>
      </c>
      <c r="AD342" s="251"/>
      <c r="AE342" s="760"/>
      <c r="AF342" s="760"/>
      <c r="AG342" s="760"/>
      <c r="AH342" s="760"/>
      <c r="AI342" s="361" t="b">
        <f t="shared" si="139"/>
        <v>1</v>
      </c>
      <c r="AJ342" s="766" t="s">
        <v>4</v>
      </c>
      <c r="AK342" s="61" t="str">
        <f t="shared" si="140"/>
        <v>East Sussex</v>
      </c>
      <c r="AL342" s="110">
        <f t="shared" si="141"/>
        <v>-0.19432380175085745</v>
      </c>
      <c r="AM342" s="110">
        <f t="shared" si="141"/>
        <v>2.6362296058348549</v>
      </c>
      <c r="AN342" s="110">
        <f t="shared" si="141"/>
        <v>1.1769436734373619</v>
      </c>
      <c r="AO342" s="110">
        <f t="shared" si="141"/>
        <v>2.7230731825917824</v>
      </c>
      <c r="AP342" s="110">
        <f t="shared" si="141"/>
        <v>0.4825975329614115</v>
      </c>
      <c r="AQ342" s="110">
        <f>VLOOKUP($AK342,IDACI!$B$9:$C$29,2,FALSE)</f>
        <v>16.100000000000001</v>
      </c>
      <c r="AX342" s="237"/>
      <c r="AY342" s="237"/>
      <c r="AZ342" s="237"/>
      <c r="BA342" s="237"/>
      <c r="BB342" s="237"/>
      <c r="BC342" s="237"/>
      <c r="BD342" s="237"/>
      <c r="BE342" s="237"/>
      <c r="BF342" s="237"/>
      <c r="BG342" s="237"/>
      <c r="BH342" s="237"/>
      <c r="BI342" s="237"/>
      <c r="BJ342" s="237"/>
      <c r="BK342" s="237"/>
      <c r="BL342" s="237"/>
      <c r="BM342" s="237"/>
      <c r="BN342" s="237"/>
      <c r="BO342" s="237"/>
      <c r="BP342" s="237"/>
      <c r="BQ342" s="52"/>
      <c r="BR342" s="52"/>
      <c r="BS342" s="52"/>
      <c r="BT342" s="52"/>
      <c r="BU342" s="52"/>
      <c r="BV342" s="52"/>
      <c r="BW342" s="52"/>
      <c r="BX342" s="52"/>
    </row>
    <row r="343" spans="1:76" ht="14.25" customHeight="1">
      <c r="A343" s="87"/>
      <c r="B343" s="5"/>
      <c r="C343" s="5"/>
      <c r="D343" s="5"/>
      <c r="E343" s="5"/>
      <c r="F343" s="5"/>
      <c r="G343" s="5"/>
      <c r="H343" s="5"/>
      <c r="I343" s="5"/>
      <c r="J343" s="1"/>
      <c r="K343" s="5"/>
      <c r="L343" s="5"/>
      <c r="M343" s="5"/>
      <c r="N343" s="5"/>
      <c r="O343" s="5"/>
      <c r="P343" s="5"/>
      <c r="Q343" s="5"/>
      <c r="R343" s="5"/>
      <c r="S343" s="5"/>
      <c r="T343" s="5"/>
      <c r="U343" s="86"/>
      <c r="V343" s="102"/>
      <c r="W343" s="771"/>
      <c r="X343" s="307" t="str">
        <f>"Y= "&amp;Y343&amp;"x + "&amp;Z343</f>
        <v>Y= 0.0153372116194224x + -1.70957965067283</v>
      </c>
      <c r="Y343" s="791">
        <f>ChartLabels!$V48</f>
        <v>1.5337211619422426E-2</v>
      </c>
      <c r="Z343" s="791">
        <f>ChartLabels!$W48</f>
        <v>-1.7095796506728276</v>
      </c>
      <c r="AA343" s="790">
        <v>22</v>
      </c>
      <c r="AB343" s="789">
        <f>(AA343*Y343)+Z343</f>
        <v>-1.3721609950455342</v>
      </c>
      <c r="AC343" s="790" t="str">
        <f>AC341&amp;" = "&amp;AC342</f>
        <v>r² = 0</v>
      </c>
      <c r="AE343" s="760"/>
      <c r="AF343" s="760"/>
      <c r="AG343" s="760"/>
      <c r="AH343" s="760"/>
      <c r="AI343" s="361" t="b">
        <f t="shared" si="139"/>
        <v>1</v>
      </c>
      <c r="AJ343" s="766" t="s">
        <v>6</v>
      </c>
      <c r="AK343" s="61" t="str">
        <f t="shared" si="140"/>
        <v>Hampshire</v>
      </c>
      <c r="AL343" s="110">
        <f t="shared" si="141"/>
        <v>-2.6849001217154722</v>
      </c>
      <c r="AM343" s="110">
        <f t="shared" si="141"/>
        <v>1.4670311583105526</v>
      </c>
      <c r="AN343" s="110">
        <f t="shared" si="141"/>
        <v>1.8865976812646612</v>
      </c>
      <c r="AO343" s="110">
        <f t="shared" si="141"/>
        <v>4.1977233523935844</v>
      </c>
      <c r="AP343" s="110">
        <f t="shared" si="141"/>
        <v>1.5755750849059906</v>
      </c>
      <c r="AQ343" s="110">
        <f>VLOOKUP($AK343,IDACI!$B$9:$C$29,2,FALSE)</f>
        <v>10.100000000000001</v>
      </c>
      <c r="AR343" s="56"/>
      <c r="AS343" s="56"/>
      <c r="AT343" s="56"/>
      <c r="AU343" s="56"/>
      <c r="AV343" s="56"/>
      <c r="AW343" s="56"/>
      <c r="AX343" s="237"/>
      <c r="AY343" s="237"/>
      <c r="AZ343" s="237"/>
      <c r="BA343" s="237"/>
      <c r="BB343" s="237"/>
      <c r="BC343" s="237"/>
      <c r="BD343" s="237"/>
      <c r="BE343" s="237"/>
      <c r="BF343" s="237"/>
      <c r="BG343" s="237"/>
      <c r="BH343" s="237"/>
      <c r="BI343" s="237"/>
      <c r="BJ343" s="237"/>
      <c r="BK343" s="237"/>
      <c r="BL343" s="237"/>
      <c r="BM343" s="237"/>
      <c r="BN343" s="237"/>
      <c r="BO343" s="237"/>
      <c r="BP343" s="237"/>
    </row>
    <row r="344" spans="1:76" ht="14.25" customHeight="1">
      <c r="A344" s="87"/>
      <c r="B344" s="5"/>
      <c r="C344" s="5"/>
      <c r="D344" s="5"/>
      <c r="E344" s="5"/>
      <c r="F344" s="5"/>
      <c r="G344" s="5"/>
      <c r="H344" s="5"/>
      <c r="I344" s="5"/>
      <c r="J344" s="1"/>
      <c r="K344" s="10"/>
      <c r="L344" s="10"/>
      <c r="M344" s="10"/>
      <c r="N344" s="10"/>
      <c r="O344" s="5"/>
      <c r="P344" s="5"/>
      <c r="Q344" s="5"/>
      <c r="R344" s="5"/>
      <c r="S344" s="5"/>
      <c r="T344" s="5"/>
      <c r="U344" s="86"/>
      <c r="V344" s="102"/>
      <c r="W344" s="771"/>
      <c r="X344" s="787" t="str">
        <f>"National Trend "&amp;ReportData!$B$8</f>
        <v>National Trend 2024</v>
      </c>
      <c r="Y344" s="792" t="s">
        <v>67</v>
      </c>
      <c r="Z344" s="787" t="s">
        <v>68</v>
      </c>
      <c r="AA344" s="788">
        <v>3</v>
      </c>
      <c r="AB344" s="793">
        <f>(AA344*Y345)+Z345</f>
        <v>-1.7221041656304645</v>
      </c>
      <c r="AC344" s="747" t="str">
        <f>$AC$37&amp;" = "&amp;AC345</f>
        <v>r² = 0.002</v>
      </c>
      <c r="AE344" s="760"/>
      <c r="AF344" s="760"/>
      <c r="AG344" s="760"/>
      <c r="AH344" s="760"/>
      <c r="AI344" s="361" t="b">
        <f t="shared" si="139"/>
        <v>1</v>
      </c>
      <c r="AJ344" s="766" t="s">
        <v>1</v>
      </c>
      <c r="AK344" s="61" t="str">
        <f t="shared" si="140"/>
        <v>Isle of Wight</v>
      </c>
      <c r="AL344" s="110">
        <f t="shared" si="141"/>
        <v>7.8186082877247847</v>
      </c>
      <c r="AM344" s="110">
        <f t="shared" si="141"/>
        <v>2.5113008538422905</v>
      </c>
      <c r="AN344" s="110">
        <f t="shared" si="141"/>
        <v>2.5385005923168049</v>
      </c>
      <c r="AO344" s="110">
        <f t="shared" si="141"/>
        <v>2.9744199881023201</v>
      </c>
      <c r="AP344" s="110">
        <f t="shared" si="141"/>
        <v>-6.3998634695793166</v>
      </c>
      <c r="AQ344" s="110">
        <f>VLOOKUP($AK344,IDACI!$B$9:$C$29,2,FALSE)</f>
        <v>18</v>
      </c>
      <c r="AR344" s="56"/>
      <c r="AS344" s="56"/>
      <c r="AT344" s="56"/>
      <c r="AU344" s="56"/>
      <c r="AV344" s="56"/>
      <c r="AW344" s="56"/>
      <c r="AX344" s="237"/>
      <c r="AY344" s="237"/>
      <c r="AZ344" s="237"/>
      <c r="BA344" s="237"/>
      <c r="BB344" s="237"/>
      <c r="BC344" s="237"/>
      <c r="BD344" s="237"/>
      <c r="BE344" s="237"/>
      <c r="BF344" s="237"/>
      <c r="BG344" s="237"/>
      <c r="BH344" s="237"/>
      <c r="BI344" s="237"/>
      <c r="BJ344" s="237"/>
      <c r="BK344" s="237"/>
      <c r="BL344" s="237"/>
      <c r="BM344" s="237"/>
      <c r="BN344" s="237"/>
      <c r="BO344" s="237"/>
      <c r="BP344" s="237"/>
    </row>
    <row r="345" spans="1:76" ht="14.25" customHeight="1">
      <c r="A345" s="87"/>
      <c r="B345" s="76"/>
      <c r="C345" s="76"/>
      <c r="D345" s="77"/>
      <c r="E345" s="77"/>
      <c r="F345" s="77"/>
      <c r="G345" s="77"/>
      <c r="H345" s="77"/>
      <c r="I345" s="77"/>
      <c r="J345" s="1"/>
      <c r="K345" s="5"/>
      <c r="L345" s="5"/>
      <c r="M345" s="5"/>
      <c r="N345" s="5"/>
      <c r="O345" s="5"/>
      <c r="P345" s="5"/>
      <c r="Q345" s="5"/>
      <c r="R345" s="5"/>
      <c r="S345" s="5"/>
      <c r="T345" s="5"/>
      <c r="U345" s="86"/>
      <c r="V345" s="102"/>
      <c r="W345" s="771"/>
      <c r="X345" s="786" t="str">
        <f>"Y= "&amp;Y345&amp;"x + "&amp;Z345</f>
        <v>Y= 0.0426006673462795x + -1.8499061676693</v>
      </c>
      <c r="Y345" s="794">
        <f>ReportData!$E$15</f>
        <v>4.2600667346279535E-2</v>
      </c>
      <c r="Z345" s="795">
        <f>ReportData!$E$16</f>
        <v>-1.8499061676693032</v>
      </c>
      <c r="AA345" s="790">
        <v>22</v>
      </c>
      <c r="AB345" s="789">
        <f>(AA345*Y345)+Z345</f>
        <v>-0.91269148605115336</v>
      </c>
      <c r="AC345" s="694">
        <f>ROUND(ReportData!$E$17,3)</f>
        <v>2E-3</v>
      </c>
      <c r="AE345" s="760"/>
      <c r="AF345" s="760"/>
      <c r="AG345" s="760"/>
      <c r="AH345" s="760"/>
      <c r="AI345" s="361" t="b">
        <f t="shared" si="139"/>
        <v>1</v>
      </c>
      <c r="AJ345" s="766" t="s">
        <v>9</v>
      </c>
      <c r="AK345" s="61" t="str">
        <f t="shared" si="140"/>
        <v>Kent</v>
      </c>
      <c r="AL345" s="110">
        <f t="shared" si="141"/>
        <v>6.239819045247688</v>
      </c>
      <c r="AM345" s="110">
        <f t="shared" si="141"/>
        <v>-4.8142477812597182</v>
      </c>
      <c r="AN345" s="110">
        <f t="shared" si="141"/>
        <v>3.0051384892782016</v>
      </c>
      <c r="AO345" s="110">
        <f t="shared" si="141"/>
        <v>4.4916554375280731</v>
      </c>
      <c r="AP345" s="110">
        <f t="shared" si="141"/>
        <v>0.17224946315583983</v>
      </c>
      <c r="AQ345" s="110">
        <f>VLOOKUP($AK345,IDACI!$B$9:$C$29,2,FALSE)</f>
        <v>15.8</v>
      </c>
      <c r="AR345" s="56"/>
      <c r="AS345" s="56"/>
      <c r="AT345" s="56"/>
      <c r="AU345" s="56"/>
      <c r="AV345" s="56"/>
      <c r="AW345" s="56"/>
      <c r="AX345" s="237"/>
      <c r="AY345" s="237"/>
      <c r="AZ345" s="237"/>
      <c r="BA345" s="237"/>
      <c r="BB345" s="237"/>
      <c r="BC345" s="237"/>
      <c r="BD345" s="237"/>
      <c r="BE345" s="237"/>
      <c r="BF345" s="237"/>
      <c r="BG345" s="237"/>
      <c r="BH345" s="237"/>
      <c r="BI345" s="237"/>
      <c r="BJ345" s="237"/>
      <c r="BK345" s="237"/>
      <c r="BL345" s="237"/>
      <c r="BM345" s="237"/>
      <c r="BN345" s="237"/>
      <c r="BO345" s="237"/>
      <c r="BP345" s="237"/>
    </row>
    <row r="346" spans="1:76" ht="14.25" customHeight="1">
      <c r="A346" s="87"/>
      <c r="B346" s="77"/>
      <c r="C346" s="77"/>
      <c r="D346" s="77"/>
      <c r="E346" s="77"/>
      <c r="F346" s="77"/>
      <c r="G346" s="77"/>
      <c r="H346" s="77"/>
      <c r="I346" s="77"/>
      <c r="J346" s="1"/>
      <c r="K346" s="5"/>
      <c r="L346" s="5"/>
      <c r="M346" s="5"/>
      <c r="N346" s="5"/>
      <c r="O346" s="5"/>
      <c r="P346" s="5"/>
      <c r="Q346" s="5"/>
      <c r="R346" s="5"/>
      <c r="S346" s="5"/>
      <c r="T346" s="5"/>
      <c r="U346" s="86"/>
      <c r="V346" s="102"/>
      <c r="W346" s="771"/>
      <c r="X346" s="784"/>
      <c r="Y346" s="784"/>
      <c r="Z346" s="784"/>
      <c r="AA346" s="784"/>
      <c r="AB346" s="784"/>
      <c r="AE346" s="760"/>
      <c r="AF346" s="760"/>
      <c r="AG346" s="760"/>
      <c r="AH346" s="760"/>
      <c r="AI346" s="361" t="b">
        <f t="shared" si="139"/>
        <v>1</v>
      </c>
      <c r="AJ346" s="766" t="s">
        <v>2</v>
      </c>
      <c r="AK346" s="61" t="str">
        <f t="shared" si="140"/>
        <v>Medway</v>
      </c>
      <c r="AL346" s="110">
        <f t="shared" si="141"/>
        <v>-0.94232943837165473</v>
      </c>
      <c r="AM346" s="110">
        <f t="shared" si="141"/>
        <v>2.1979747232906823</v>
      </c>
      <c r="AN346" s="110">
        <f t="shared" si="141"/>
        <v>0.15669805851105506</v>
      </c>
      <c r="AO346" s="110">
        <f t="shared" si="141"/>
        <v>2.3092910476483719</v>
      </c>
      <c r="AP346" s="110">
        <f t="shared" si="141"/>
        <v>0.74977131974747702</v>
      </c>
      <c r="AQ346" s="110">
        <f>VLOOKUP($AK346,IDACI!$B$9:$C$29,2,FALSE)</f>
        <v>18.899999999999999</v>
      </c>
      <c r="AR346" s="56"/>
      <c r="AS346" s="56"/>
      <c r="AT346" s="56"/>
      <c r="AU346" s="56"/>
      <c r="AV346" s="56"/>
      <c r="AW346" s="56"/>
      <c r="AX346" s="237"/>
      <c r="AY346" s="237"/>
      <c r="AZ346" s="237"/>
      <c r="BA346" s="237"/>
      <c r="BB346" s="237"/>
      <c r="BC346" s="237"/>
      <c r="BD346" s="237"/>
      <c r="BE346" s="237"/>
      <c r="BF346" s="237"/>
      <c r="BG346" s="237"/>
      <c r="BH346" s="237"/>
      <c r="BI346" s="237"/>
      <c r="BJ346" s="237"/>
      <c r="BK346" s="237"/>
      <c r="BL346" s="237"/>
      <c r="BM346" s="237"/>
      <c r="BN346" s="237"/>
      <c r="BO346" s="237"/>
      <c r="BP346" s="237"/>
    </row>
    <row r="347" spans="1:76" ht="14.25" customHeight="1">
      <c r="A347" s="87"/>
      <c r="B347" s="77"/>
      <c r="C347" s="77"/>
      <c r="D347" s="77"/>
      <c r="E347" s="77"/>
      <c r="F347" s="77"/>
      <c r="G347" s="77"/>
      <c r="H347" s="77"/>
      <c r="I347" s="77"/>
      <c r="J347" s="1"/>
      <c r="K347" s="5"/>
      <c r="L347" s="5"/>
      <c r="M347" s="5"/>
      <c r="N347" s="5"/>
      <c r="O347" s="5"/>
      <c r="P347" s="5"/>
      <c r="Q347" s="5"/>
      <c r="R347" s="5"/>
      <c r="S347" s="5"/>
      <c r="T347" s="5"/>
      <c r="U347" s="86"/>
      <c r="V347" s="102"/>
      <c r="W347" s="771"/>
      <c r="AE347" s="760"/>
      <c r="AF347" s="760"/>
      <c r="AG347" s="760"/>
      <c r="AH347" s="760"/>
      <c r="AI347" s="361" t="b">
        <f t="shared" si="139"/>
        <v>1</v>
      </c>
      <c r="AJ347" s="766" t="s">
        <v>10</v>
      </c>
      <c r="AK347" s="61" t="str">
        <f t="shared" si="140"/>
        <v>Milton Keynes</v>
      </c>
      <c r="AL347" s="110">
        <f t="shared" si="141"/>
        <v>2.896997262337587</v>
      </c>
      <c r="AM347" s="110">
        <f t="shared" si="141"/>
        <v>-1.0100281364980881</v>
      </c>
      <c r="AN347" s="110">
        <f t="shared" si="141"/>
        <v>-5.3134199755869886</v>
      </c>
      <c r="AO347" s="110">
        <f t="shared" si="141"/>
        <v>-1.1275387239080492</v>
      </c>
      <c r="AP347" s="110">
        <f t="shared" si="141"/>
        <v>7.8299929942167941</v>
      </c>
      <c r="AQ347" s="110">
        <f>VLOOKUP($AK347,IDACI!$B$9:$C$29,2,FALSE)</f>
        <v>15</v>
      </c>
      <c r="AR347" s="56"/>
      <c r="AS347" s="56"/>
      <c r="AT347" s="56"/>
      <c r="AU347" s="56"/>
      <c r="AV347" s="56"/>
      <c r="AW347" s="56"/>
      <c r="AX347" s="237"/>
      <c r="AY347" s="237"/>
      <c r="AZ347" s="237"/>
      <c r="BA347" s="237"/>
      <c r="BB347" s="237"/>
      <c r="BC347" s="237"/>
      <c r="BD347" s="237"/>
      <c r="BE347" s="237"/>
      <c r="BF347" s="237"/>
      <c r="BG347" s="237"/>
      <c r="BH347" s="237"/>
      <c r="BI347" s="237"/>
      <c r="BJ347" s="237"/>
      <c r="BK347" s="237"/>
      <c r="BL347" s="237"/>
      <c r="BM347" s="237"/>
      <c r="BN347" s="237"/>
      <c r="BO347" s="237"/>
      <c r="BP347" s="237"/>
    </row>
    <row r="348" spans="1:76" ht="14.25" customHeight="1">
      <c r="A348" s="87"/>
      <c r="B348" s="40"/>
      <c r="C348" s="40"/>
      <c r="D348" s="40"/>
      <c r="E348" s="40"/>
      <c r="F348" s="40"/>
      <c r="G348" s="40"/>
      <c r="H348" s="40"/>
      <c r="I348" s="40"/>
      <c r="J348" s="1"/>
      <c r="K348" s="5"/>
      <c r="L348" s="5"/>
      <c r="M348" s="5"/>
      <c r="N348" s="5"/>
      <c r="O348" s="5"/>
      <c r="P348" s="5"/>
      <c r="Q348" s="5"/>
      <c r="R348" s="5"/>
      <c r="S348" s="5"/>
      <c r="T348" s="5"/>
      <c r="U348" s="86"/>
      <c r="V348" s="102"/>
      <c r="W348" s="771"/>
      <c r="AC348" s="378"/>
      <c r="AE348" s="760"/>
      <c r="AF348" s="760"/>
      <c r="AG348" s="760"/>
      <c r="AH348" s="760"/>
      <c r="AI348" s="361" t="b">
        <f t="shared" si="139"/>
        <v>1</v>
      </c>
      <c r="AJ348" s="766" t="s">
        <v>11</v>
      </c>
      <c r="AK348" s="61" t="str">
        <f t="shared" si="140"/>
        <v>Oxfordshire</v>
      </c>
      <c r="AL348" s="110">
        <f t="shared" si="141"/>
        <v>-0.90009624105962094</v>
      </c>
      <c r="AM348" s="110">
        <f t="shared" si="141"/>
        <v>0.68861512611986042</v>
      </c>
      <c r="AN348" s="110">
        <f t="shared" si="141"/>
        <v>4.9199483405424242</v>
      </c>
      <c r="AO348" s="110">
        <f t="shared" si="141"/>
        <v>1.4043253219917344</v>
      </c>
      <c r="AP348" s="110">
        <f t="shared" si="141"/>
        <v>-7.6063079899019703</v>
      </c>
      <c r="AQ348" s="110">
        <f>VLOOKUP($AK348,IDACI!$B$9:$C$29,2,FALSE)</f>
        <v>10.100000000000001</v>
      </c>
      <c r="AR348" s="56"/>
      <c r="AS348" s="56"/>
      <c r="AT348" s="56"/>
      <c r="AU348" s="56"/>
      <c r="AV348" s="56"/>
      <c r="AW348" s="56"/>
      <c r="AX348" s="237"/>
      <c r="AY348" s="237"/>
      <c r="AZ348" s="237"/>
      <c r="BA348" s="237"/>
      <c r="BB348" s="237"/>
      <c r="BC348" s="237"/>
      <c r="BD348" s="237"/>
      <c r="BE348" s="237"/>
      <c r="BF348" s="237"/>
      <c r="BG348" s="237"/>
      <c r="BH348" s="237"/>
      <c r="BI348" s="237"/>
      <c r="BJ348" s="237"/>
      <c r="BK348" s="237"/>
      <c r="BL348" s="237"/>
      <c r="BM348" s="237"/>
      <c r="BN348" s="237"/>
      <c r="BO348" s="237"/>
      <c r="BP348" s="237"/>
    </row>
    <row r="349" spans="1:76" ht="14.25" customHeight="1">
      <c r="A349" s="87"/>
      <c r="B349" s="40"/>
      <c r="C349" s="40"/>
      <c r="D349" s="49"/>
      <c r="E349" s="50"/>
      <c r="F349" s="49"/>
      <c r="G349" s="50"/>
      <c r="H349" s="50"/>
      <c r="I349" s="50"/>
      <c r="J349" s="1"/>
      <c r="K349" s="5"/>
      <c r="L349" s="5"/>
      <c r="M349" s="5"/>
      <c r="N349" s="5"/>
      <c r="O349" s="5"/>
      <c r="P349" s="5"/>
      <c r="Q349" s="5"/>
      <c r="R349" s="5"/>
      <c r="S349" s="5"/>
      <c r="T349" s="5"/>
      <c r="U349" s="86"/>
      <c r="V349" s="102"/>
      <c r="W349" s="771"/>
      <c r="AC349" s="784"/>
      <c r="AE349" s="760"/>
      <c r="AF349" s="760"/>
      <c r="AG349" s="760"/>
      <c r="AH349" s="760"/>
      <c r="AI349" s="361" t="b">
        <f t="shared" si="139"/>
        <v>1</v>
      </c>
      <c r="AJ349" s="766" t="s">
        <v>12</v>
      </c>
      <c r="AK349" s="61" t="str">
        <f t="shared" si="140"/>
        <v>Portsmouth</v>
      </c>
      <c r="AL349" s="110">
        <f t="shared" ref="AL349:AP359" si="142">VLOOKUP($AK349,$B$314:$R$334,AL$201,FALSE)</f>
        <v>-5.9477077534318274</v>
      </c>
      <c r="AM349" s="110">
        <f t="shared" si="142"/>
        <v>-21.49767108563239</v>
      </c>
      <c r="AN349" s="110">
        <f t="shared" si="142"/>
        <v>0.96508794363886419</v>
      </c>
      <c r="AO349" s="110">
        <f t="shared" si="142"/>
        <v>-0.9553151345800196</v>
      </c>
      <c r="AP349" s="110">
        <f t="shared" si="142"/>
        <v>2.8364100503462781</v>
      </c>
      <c r="AQ349" s="110">
        <f>VLOOKUP($AK349,IDACI!$B$9:$C$29,2,FALSE)</f>
        <v>20.200000000000003</v>
      </c>
      <c r="AR349" s="56"/>
      <c r="AS349" s="56"/>
      <c r="AT349" s="56"/>
      <c r="AU349" s="56"/>
      <c r="AV349" s="56"/>
      <c r="AW349" s="56"/>
      <c r="AX349" s="237"/>
      <c r="AY349" s="237"/>
      <c r="AZ349" s="237"/>
      <c r="BA349" s="237"/>
      <c r="BB349" s="237"/>
      <c r="BC349" s="237"/>
      <c r="BD349" s="237"/>
      <c r="BE349" s="237"/>
      <c r="BF349" s="237"/>
      <c r="BG349" s="237"/>
      <c r="BH349" s="237"/>
      <c r="BI349" s="237"/>
      <c r="BJ349" s="237"/>
      <c r="BK349" s="237"/>
      <c r="BL349" s="237"/>
      <c r="BM349" s="237"/>
      <c r="BN349" s="237"/>
      <c r="BO349" s="237"/>
      <c r="BP349" s="237"/>
    </row>
    <row r="350" spans="1:76" ht="14.25" customHeight="1">
      <c r="A350" s="87"/>
      <c r="B350" s="40"/>
      <c r="C350" s="40"/>
      <c r="D350" s="43"/>
      <c r="E350" s="43"/>
      <c r="F350" s="43"/>
      <c r="G350" s="43"/>
      <c r="H350" s="43"/>
      <c r="I350" s="43"/>
      <c r="J350" s="1"/>
      <c r="K350" s="5"/>
      <c r="L350" s="5"/>
      <c r="M350" s="5"/>
      <c r="N350" s="5"/>
      <c r="O350" s="5"/>
      <c r="P350" s="5"/>
      <c r="Q350" s="5"/>
      <c r="R350" s="5"/>
      <c r="S350" s="5"/>
      <c r="T350" s="5"/>
      <c r="U350" s="86"/>
      <c r="V350" s="102"/>
      <c r="W350" s="771"/>
      <c r="AE350" s="760"/>
      <c r="AF350" s="760"/>
      <c r="AG350" s="760"/>
      <c r="AH350" s="760"/>
      <c r="AI350" s="361" t="b">
        <f t="shared" si="139"/>
        <v>1</v>
      </c>
      <c r="AJ350" s="766" t="s">
        <v>3</v>
      </c>
      <c r="AK350" s="61" t="str">
        <f t="shared" si="140"/>
        <v>Reading</v>
      </c>
      <c r="AL350" s="110">
        <f t="shared" si="142"/>
        <v>1.890359168241966</v>
      </c>
      <c r="AM350" s="110">
        <f t="shared" si="142"/>
        <v>-1.8933758892104622</v>
      </c>
      <c r="AN350" s="110">
        <f t="shared" si="142"/>
        <v>-10.183299389002036</v>
      </c>
      <c r="AO350" s="110">
        <f t="shared" si="142"/>
        <v>4.5625335480407943</v>
      </c>
      <c r="AP350" s="110">
        <f t="shared" si="142"/>
        <v>3.954757573360753</v>
      </c>
      <c r="AQ350" s="110">
        <f>VLOOKUP($AK350,IDACI!$B$9:$C$29,2,FALSE)</f>
        <v>16</v>
      </c>
      <c r="AR350" s="56"/>
      <c r="AS350" s="56"/>
      <c r="AT350" s="56"/>
      <c r="AU350" s="56"/>
      <c r="AV350" s="56"/>
      <c r="AW350" s="56"/>
      <c r="AX350" s="237"/>
      <c r="AY350" s="237"/>
      <c r="AZ350" s="237"/>
      <c r="BA350" s="237"/>
      <c r="BB350" s="237"/>
      <c r="BC350" s="237"/>
      <c r="BD350" s="237"/>
      <c r="BE350" s="237"/>
      <c r="BF350" s="237"/>
      <c r="BG350" s="237"/>
      <c r="BH350" s="237"/>
      <c r="BI350" s="237"/>
      <c r="BJ350" s="237"/>
      <c r="BK350" s="237"/>
      <c r="BL350" s="237"/>
      <c r="BM350" s="237"/>
      <c r="BN350" s="237"/>
      <c r="BO350" s="237"/>
      <c r="BP350" s="237"/>
    </row>
    <row r="351" spans="1:76" ht="14.25" customHeight="1">
      <c r="A351" s="87"/>
      <c r="B351" s="48"/>
      <c r="C351" s="48"/>
      <c r="D351" s="40"/>
      <c r="E351" s="40"/>
      <c r="F351" s="40"/>
      <c r="G351" s="40"/>
      <c r="H351" s="40"/>
      <c r="I351" s="40"/>
      <c r="J351" s="1"/>
      <c r="K351" s="5"/>
      <c r="L351" s="5"/>
      <c r="M351" s="5"/>
      <c r="N351" s="5"/>
      <c r="O351" s="5"/>
      <c r="P351" s="5"/>
      <c r="Q351" s="5"/>
      <c r="R351" s="5"/>
      <c r="S351" s="5"/>
      <c r="T351" s="5"/>
      <c r="U351" s="86"/>
      <c r="V351" s="102"/>
      <c r="W351" s="771"/>
      <c r="AE351" s="760"/>
      <c r="AF351" s="760"/>
      <c r="AG351" s="760"/>
      <c r="AH351" s="760"/>
      <c r="AI351" s="361" t="b">
        <f t="shared" si="139"/>
        <v>1</v>
      </c>
      <c r="AJ351" s="766" t="s">
        <v>13</v>
      </c>
      <c r="AK351" s="61" t="str">
        <f t="shared" si="140"/>
        <v>Slough</v>
      </c>
      <c r="AL351" s="110">
        <f t="shared" si="142"/>
        <v>-4.1399296211964396</v>
      </c>
      <c r="AM351" s="110">
        <f t="shared" si="142"/>
        <v>5.9225512528473807</v>
      </c>
      <c r="AN351" s="110">
        <f t="shared" si="142"/>
        <v>2.51503303838855</v>
      </c>
      <c r="AO351" s="110">
        <f t="shared" si="142"/>
        <v>4.2937853107344637</v>
      </c>
      <c r="AP351" s="110">
        <f t="shared" si="142"/>
        <v>-11.371491003143884</v>
      </c>
      <c r="AQ351" s="110">
        <f>VLOOKUP($AK351,IDACI!$B$9:$C$29,2,FALSE)</f>
        <v>14.7</v>
      </c>
      <c r="AR351" s="56"/>
      <c r="AS351" s="56"/>
      <c r="AT351" s="56"/>
      <c r="AU351" s="56"/>
      <c r="AV351" s="56"/>
      <c r="AW351" s="56"/>
      <c r="AX351" s="237"/>
      <c r="AY351" s="237"/>
      <c r="AZ351" s="237"/>
      <c r="BA351" s="237"/>
      <c r="BB351" s="237"/>
      <c r="BC351" s="237"/>
      <c r="BD351" s="237"/>
      <c r="BE351" s="237"/>
      <c r="BF351" s="237"/>
      <c r="BG351" s="237"/>
      <c r="BH351" s="237"/>
      <c r="BI351" s="237"/>
      <c r="BJ351" s="237"/>
      <c r="BK351" s="237"/>
      <c r="BL351" s="237"/>
      <c r="BM351" s="237"/>
      <c r="BN351" s="237"/>
      <c r="BO351" s="237"/>
      <c r="BP351" s="237"/>
    </row>
    <row r="352" spans="1:76" ht="14.25" customHeight="1">
      <c r="A352" s="87"/>
      <c r="B352" s="48"/>
      <c r="C352" s="48"/>
      <c r="D352" s="40"/>
      <c r="E352" s="40"/>
      <c r="F352" s="40"/>
      <c r="G352" s="40"/>
      <c r="H352" s="40"/>
      <c r="I352" s="40"/>
      <c r="J352" s="1"/>
      <c r="K352" s="5"/>
      <c r="L352" s="5"/>
      <c r="M352" s="5"/>
      <c r="N352" s="5"/>
      <c r="O352" s="5"/>
      <c r="P352" s="5"/>
      <c r="Q352" s="5"/>
      <c r="R352" s="5"/>
      <c r="S352" s="5"/>
      <c r="T352" s="5"/>
      <c r="U352" s="86"/>
      <c r="V352" s="102"/>
      <c r="W352" s="771"/>
      <c r="AE352" s="760"/>
      <c r="AF352" s="760"/>
      <c r="AG352" s="760"/>
      <c r="AH352" s="760"/>
      <c r="AI352" s="361" t="b">
        <f t="shared" si="139"/>
        <v>1</v>
      </c>
      <c r="AJ352" s="766" t="s">
        <v>14</v>
      </c>
      <c r="AK352" s="61" t="str">
        <f t="shared" si="140"/>
        <v>Southampton</v>
      </c>
      <c r="AL352" s="110">
        <f t="shared" si="142"/>
        <v>-0.40332338468984436</v>
      </c>
      <c r="AM352" s="110">
        <f t="shared" si="142"/>
        <v>1.8095180650220157</v>
      </c>
      <c r="AN352" s="110">
        <f t="shared" si="142"/>
        <v>12.148700089090468</v>
      </c>
      <c r="AO352" s="110">
        <f t="shared" si="142"/>
        <v>-4.6118986986424977</v>
      </c>
      <c r="AP352" s="110">
        <f t="shared" si="142"/>
        <v>-10.12447144303496</v>
      </c>
      <c r="AQ352" s="110">
        <f>VLOOKUP($AK352,IDACI!$B$9:$C$29,2,FALSE)</f>
        <v>20.5</v>
      </c>
      <c r="AR352" s="56"/>
      <c r="AS352" s="56"/>
      <c r="AT352" s="56"/>
      <c r="AU352" s="56"/>
      <c r="AV352" s="56"/>
      <c r="AW352" s="56"/>
      <c r="AX352" s="237"/>
      <c r="AY352" s="237"/>
      <c r="AZ352" s="237"/>
      <c r="BA352" s="237"/>
      <c r="BB352" s="237"/>
      <c r="BC352" s="237"/>
      <c r="BD352" s="237"/>
      <c r="BE352" s="237"/>
      <c r="BF352" s="237"/>
      <c r="BG352" s="237"/>
      <c r="BH352" s="237"/>
      <c r="BI352" s="237"/>
      <c r="BJ352" s="237"/>
      <c r="BK352" s="237"/>
      <c r="BL352" s="237"/>
      <c r="BM352" s="237"/>
      <c r="BN352" s="237"/>
      <c r="BO352" s="237"/>
      <c r="BP352" s="237"/>
    </row>
    <row r="353" spans="1:76" ht="14.25" customHeight="1">
      <c r="A353" s="87"/>
      <c r="B353" s="48"/>
      <c r="C353" s="48"/>
      <c r="D353" s="40"/>
      <c r="E353" s="40"/>
      <c r="F353" s="40"/>
      <c r="G353" s="40"/>
      <c r="H353" s="40"/>
      <c r="I353" s="40"/>
      <c r="J353" s="1"/>
      <c r="K353" s="5"/>
      <c r="L353" s="5"/>
      <c r="M353" s="5"/>
      <c r="N353" s="5"/>
      <c r="O353" s="5"/>
      <c r="P353" s="5"/>
      <c r="Q353" s="5"/>
      <c r="R353" s="5"/>
      <c r="S353" s="5"/>
      <c r="T353" s="5"/>
      <c r="U353" s="86"/>
      <c r="V353" s="102"/>
      <c r="W353" s="771"/>
      <c r="AE353" s="760"/>
      <c r="AF353" s="760"/>
      <c r="AG353" s="760"/>
      <c r="AH353" s="760"/>
      <c r="AI353" s="361" t="b">
        <f t="shared" si="139"/>
        <v>1</v>
      </c>
      <c r="AJ353" s="766" t="s">
        <v>7</v>
      </c>
      <c r="AK353" s="61" t="str">
        <f t="shared" si="140"/>
        <v>Surrey</v>
      </c>
      <c r="AL353" s="110">
        <f t="shared" si="142"/>
        <v>0.31002344552306771</v>
      </c>
      <c r="AM353" s="110">
        <f t="shared" si="142"/>
        <v>0.38681876380459468</v>
      </c>
      <c r="AN353" s="110">
        <f t="shared" si="142"/>
        <v>1.9268713774818103</v>
      </c>
      <c r="AO353" s="110">
        <f t="shared" si="142"/>
        <v>-1.593722252157217</v>
      </c>
      <c r="AP353" s="110">
        <f t="shared" si="142"/>
        <v>-2.2960643199132766</v>
      </c>
      <c r="AQ353" s="110">
        <f>VLOOKUP($AK353,IDACI!$B$9:$C$29,2,FALSE)</f>
        <v>8.3000000000000007</v>
      </c>
      <c r="AR353" s="56"/>
      <c r="AS353" s="56"/>
      <c r="AT353" s="56"/>
      <c r="AU353" s="56"/>
      <c r="AV353" s="56"/>
      <c r="AW353" s="56"/>
      <c r="AX353" s="237"/>
      <c r="AY353" s="237"/>
      <c r="AZ353" s="237"/>
      <c r="BA353" s="237"/>
      <c r="BB353" s="237"/>
      <c r="BC353" s="237"/>
      <c r="BD353" s="237"/>
      <c r="BE353" s="237"/>
      <c r="BF353" s="237"/>
      <c r="BG353" s="237"/>
      <c r="BH353" s="237"/>
      <c r="BI353" s="237"/>
      <c r="BJ353" s="237"/>
      <c r="BK353" s="237"/>
      <c r="BL353" s="237"/>
      <c r="BM353" s="237"/>
      <c r="BN353" s="237"/>
      <c r="BO353" s="237"/>
      <c r="BP353" s="237"/>
    </row>
    <row r="354" spans="1:76" ht="14.25" customHeight="1">
      <c r="A354" s="87"/>
      <c r="B354" s="48"/>
      <c r="C354" s="48"/>
      <c r="D354" s="40"/>
      <c r="E354" s="40"/>
      <c r="F354" s="40"/>
      <c r="G354" s="40"/>
      <c r="H354" s="40"/>
      <c r="I354" s="40"/>
      <c r="J354" s="1"/>
      <c r="K354" s="5"/>
      <c r="L354" s="5"/>
      <c r="M354" s="5"/>
      <c r="N354" s="5"/>
      <c r="O354" s="5"/>
      <c r="P354" s="5"/>
      <c r="Q354" s="5"/>
      <c r="R354" s="5"/>
      <c r="S354" s="5"/>
      <c r="T354" s="5"/>
      <c r="U354" s="86"/>
      <c r="V354" s="102"/>
      <c r="W354" s="771"/>
      <c r="AE354" s="760"/>
      <c r="AF354" s="760"/>
      <c r="AG354" s="760"/>
      <c r="AH354" s="760"/>
      <c r="AI354" s="361" t="b">
        <f t="shared" si="139"/>
        <v>1</v>
      </c>
      <c r="AJ354" s="766" t="s">
        <v>15</v>
      </c>
      <c r="AK354" s="61" t="str">
        <f t="shared" si="140"/>
        <v>West Berkshire</v>
      </c>
      <c r="AL354" s="110">
        <f t="shared" si="142"/>
        <v>-4.2782578933858133</v>
      </c>
      <c r="AM354" s="110">
        <f t="shared" si="142"/>
        <v>-2.8715828164484263</v>
      </c>
      <c r="AN354" s="110">
        <f t="shared" si="142"/>
        <v>5.7811822517704874</v>
      </c>
      <c r="AO354" s="110">
        <f t="shared" si="142"/>
        <v>8.5930339138405127</v>
      </c>
      <c r="AP354" s="110">
        <f t="shared" si="142"/>
        <v>-3.1139419674451521</v>
      </c>
      <c r="AQ354" s="110">
        <f>VLOOKUP($AK354,IDACI!$B$9:$C$29,2,FALSE)</f>
        <v>8.6999999999999993</v>
      </c>
      <c r="AR354" s="56"/>
      <c r="AS354" s="56"/>
      <c r="AT354" s="56"/>
      <c r="AU354" s="56"/>
      <c r="AV354" s="56"/>
      <c r="AW354" s="56"/>
      <c r="AX354" s="237"/>
      <c r="AY354" s="237"/>
      <c r="AZ354" s="237"/>
      <c r="BA354" s="237"/>
      <c r="BB354" s="237"/>
      <c r="BC354" s="237"/>
      <c r="BD354" s="237"/>
      <c r="BE354" s="237"/>
      <c r="BF354" s="237"/>
      <c r="BG354" s="237"/>
      <c r="BH354" s="237"/>
      <c r="BI354" s="237"/>
      <c r="BJ354" s="237"/>
      <c r="BK354" s="237"/>
      <c r="BL354" s="237"/>
      <c r="BM354" s="237"/>
      <c r="BN354" s="237"/>
      <c r="BO354" s="237"/>
      <c r="BP354" s="237"/>
    </row>
    <row r="355" spans="1:76" ht="14.25" customHeight="1">
      <c r="A355" s="87"/>
      <c r="B355" s="48"/>
      <c r="C355" s="48"/>
      <c r="D355" s="40"/>
      <c r="E355" s="40"/>
      <c r="F355" s="40"/>
      <c r="G355" s="40"/>
      <c r="H355" s="40"/>
      <c r="I355" s="40"/>
      <c r="J355" s="1"/>
      <c r="K355" s="5"/>
      <c r="L355" s="5"/>
      <c r="M355" s="5"/>
      <c r="N355" s="5"/>
      <c r="O355" s="5"/>
      <c r="P355" s="5"/>
      <c r="Q355" s="5"/>
      <c r="R355" s="5"/>
      <c r="S355" s="5"/>
      <c r="T355" s="5"/>
      <c r="U355" s="86"/>
      <c r="V355" s="102"/>
      <c r="W355" s="771"/>
      <c r="AE355" s="760"/>
      <c r="AF355" s="760"/>
      <c r="AG355" s="760"/>
      <c r="AH355" s="760"/>
      <c r="AI355" s="361" t="b">
        <f t="shared" si="139"/>
        <v>1</v>
      </c>
      <c r="AJ355" s="766" t="s">
        <v>5</v>
      </c>
      <c r="AK355" s="61" t="str">
        <f t="shared" si="140"/>
        <v>West Sussex</v>
      </c>
      <c r="AL355" s="110">
        <f t="shared" si="142"/>
        <v>5.8772349338234875</v>
      </c>
      <c r="AM355" s="110">
        <f t="shared" si="142"/>
        <v>3.9684137272607014</v>
      </c>
      <c r="AN355" s="110">
        <f t="shared" si="142"/>
        <v>-2.3450816202798084</v>
      </c>
      <c r="AO355" s="110">
        <f t="shared" si="142"/>
        <v>1.1841059154548377</v>
      </c>
      <c r="AP355" s="110">
        <f t="shared" si="142"/>
        <v>0.50277082588487665</v>
      </c>
      <c r="AQ355" s="110">
        <f>VLOOKUP($AK355,IDACI!$B$9:$C$29,2,FALSE)</f>
        <v>11</v>
      </c>
      <c r="AR355" s="56"/>
      <c r="AS355" s="56"/>
      <c r="AT355" s="56"/>
      <c r="AU355" s="56"/>
      <c r="AV355" s="56"/>
      <c r="AW355" s="56"/>
      <c r="AX355" s="237"/>
      <c r="AY355" s="237"/>
      <c r="AZ355" s="237"/>
      <c r="BA355" s="237"/>
      <c r="BB355" s="237"/>
      <c r="BC355" s="237"/>
      <c r="BD355" s="237"/>
      <c r="BE355" s="237"/>
      <c r="BF355" s="237"/>
      <c r="BG355" s="237"/>
      <c r="BH355" s="237"/>
      <c r="BI355" s="237"/>
      <c r="BJ355" s="237"/>
      <c r="BK355" s="237"/>
      <c r="BL355" s="237"/>
      <c r="BM355" s="237"/>
      <c r="BN355" s="237"/>
      <c r="BO355" s="237"/>
      <c r="BP355" s="237"/>
    </row>
    <row r="356" spans="1:76" ht="14.25" customHeight="1">
      <c r="A356" s="87"/>
      <c r="B356" s="48"/>
      <c r="C356" s="48"/>
      <c r="D356" s="40"/>
      <c r="E356" s="40"/>
      <c r="F356" s="40"/>
      <c r="G356" s="40"/>
      <c r="H356" s="40"/>
      <c r="I356" s="40"/>
      <c r="J356" s="1"/>
      <c r="K356" s="5"/>
      <c r="L356" s="5"/>
      <c r="M356" s="5"/>
      <c r="N356" s="5"/>
      <c r="O356" s="5"/>
      <c r="P356" s="5"/>
      <c r="Q356" s="5"/>
      <c r="R356" s="5"/>
      <c r="S356" s="5"/>
      <c r="T356" s="5"/>
      <c r="U356" s="86"/>
      <c r="V356" s="102"/>
      <c r="W356" s="771"/>
      <c r="AE356" s="760"/>
      <c r="AF356" s="760"/>
      <c r="AG356" s="760"/>
      <c r="AH356" s="760"/>
      <c r="AI356" s="361" t="b">
        <f t="shared" si="139"/>
        <v>1</v>
      </c>
      <c r="AJ356" s="766" t="s">
        <v>27</v>
      </c>
      <c r="AK356" s="61" t="str">
        <f t="shared" si="140"/>
        <v>Windsor &amp; Maidenhead</v>
      </c>
      <c r="AL356" s="110">
        <f t="shared" si="142"/>
        <v>-2.9176635350411391</v>
      </c>
      <c r="AM356" s="110">
        <f t="shared" si="142"/>
        <v>3.5208168295044446</v>
      </c>
      <c r="AN356" s="110">
        <f t="shared" si="142"/>
        <v>-0.88558271342543393</v>
      </c>
      <c r="AO356" s="110">
        <f t="shared" si="142"/>
        <v>7.3285844106352425</v>
      </c>
      <c r="AP356" s="110">
        <f t="shared" si="142"/>
        <v>-3.5004813161809749</v>
      </c>
      <c r="AQ356" s="110">
        <f>VLOOKUP($AK356,IDACI!$B$9:$C$29,2,FALSE)</f>
        <v>6.7</v>
      </c>
      <c r="AR356" s="56"/>
      <c r="AS356" s="56"/>
      <c r="AT356" s="56"/>
      <c r="AU356" s="56"/>
      <c r="AV356" s="56"/>
      <c r="AW356" s="56"/>
      <c r="AX356" s="237"/>
      <c r="AY356" s="237"/>
      <c r="AZ356" s="237"/>
      <c r="BA356" s="237"/>
      <c r="BB356" s="237"/>
      <c r="BC356" s="237"/>
      <c r="BD356" s="237"/>
      <c r="BE356" s="237"/>
      <c r="BF356" s="237"/>
      <c r="BG356" s="237"/>
      <c r="BH356" s="237"/>
      <c r="BI356" s="237"/>
      <c r="BJ356" s="237"/>
      <c r="BK356" s="237"/>
      <c r="BL356" s="237"/>
      <c r="BM356" s="237"/>
      <c r="BN356" s="237"/>
      <c r="BO356" s="237"/>
      <c r="BP356" s="237"/>
    </row>
    <row r="357" spans="1:76" ht="14.25" customHeight="1">
      <c r="A357" s="208"/>
      <c r="B357" s="48"/>
      <c r="C357" s="48"/>
      <c r="D357" s="40"/>
      <c r="E357" s="40"/>
      <c r="F357" s="40"/>
      <c r="G357" s="40"/>
      <c r="H357" s="40"/>
      <c r="I357" s="40"/>
      <c r="J357" s="1"/>
      <c r="K357" s="5"/>
      <c r="L357" s="5"/>
      <c r="M357" s="5"/>
      <c r="N357" s="5"/>
      <c r="O357" s="5"/>
      <c r="P357" s="5"/>
      <c r="Q357" s="5"/>
      <c r="R357" s="5"/>
      <c r="S357" s="5"/>
      <c r="T357" s="5"/>
      <c r="U357" s="86"/>
      <c r="V357" s="102"/>
      <c r="W357" s="771"/>
      <c r="AE357" s="760"/>
      <c r="AF357" s="760"/>
      <c r="AG357" s="760"/>
      <c r="AH357" s="760"/>
      <c r="AI357" s="361" t="b">
        <f t="shared" si="139"/>
        <v>1</v>
      </c>
      <c r="AJ357" s="766" t="s">
        <v>16</v>
      </c>
      <c r="AK357" s="61" t="str">
        <f t="shared" si="140"/>
        <v>Wokingham</v>
      </c>
      <c r="AL357" s="110">
        <f t="shared" si="142"/>
        <v>-2.7657648597002913</v>
      </c>
      <c r="AM357" s="110">
        <f t="shared" si="142"/>
        <v>0.49411997232928156</v>
      </c>
      <c r="AN357" s="110">
        <f t="shared" si="142"/>
        <v>8.5098105959298795</v>
      </c>
      <c r="AO357" s="110">
        <f t="shared" si="142"/>
        <v>0</v>
      </c>
      <c r="AP357" s="110">
        <f t="shared" si="142"/>
        <v>0.46174447060996449</v>
      </c>
      <c r="AQ357" s="110">
        <f>VLOOKUP($AK357,IDACI!$B$9:$C$29,2,FALSE)</f>
        <v>5.6000000000000005</v>
      </c>
      <c r="AR357" s="56"/>
      <c r="AS357" s="56"/>
      <c r="AT357" s="56"/>
      <c r="AU357" s="56"/>
      <c r="AV357" s="56"/>
      <c r="AW357" s="56"/>
      <c r="AX357" s="237"/>
      <c r="AY357" s="237"/>
      <c r="AZ357" s="237"/>
      <c r="BA357" s="237"/>
      <c r="BB357" s="237"/>
      <c r="BC357" s="237"/>
      <c r="BD357" s="237"/>
      <c r="BE357" s="237"/>
      <c r="BF357" s="237"/>
      <c r="BG357" s="237"/>
      <c r="BH357" s="237"/>
      <c r="BI357" s="237"/>
      <c r="BJ357" s="237"/>
      <c r="BK357" s="237"/>
      <c r="BL357" s="237"/>
      <c r="BM357" s="237"/>
      <c r="BN357" s="237"/>
      <c r="BO357" s="237"/>
      <c r="BP357" s="237"/>
    </row>
    <row r="358" spans="1:76" ht="14.25" customHeight="1">
      <c r="A358" s="208"/>
      <c r="B358" s="48"/>
      <c r="C358" s="48"/>
      <c r="D358" s="40"/>
      <c r="E358" s="40"/>
      <c r="F358" s="40"/>
      <c r="G358" s="40"/>
      <c r="H358" s="40"/>
      <c r="I358" s="40"/>
      <c r="J358" s="1"/>
      <c r="K358" s="5"/>
      <c r="L358" s="5"/>
      <c r="M358" s="5"/>
      <c r="N358" s="5"/>
      <c r="O358" s="5"/>
      <c r="P358" s="5"/>
      <c r="Q358" s="5"/>
      <c r="R358" s="5"/>
      <c r="S358" s="5"/>
      <c r="T358" s="5"/>
      <c r="U358" s="86"/>
      <c r="V358" s="102"/>
      <c r="W358" s="771"/>
      <c r="AE358" s="760"/>
      <c r="AF358" s="760"/>
      <c r="AG358" s="760"/>
      <c r="AH358" s="760"/>
      <c r="AI358" s="361" t="b">
        <f t="shared" si="139"/>
        <v>1</v>
      </c>
      <c r="AJ358" s="766" t="s">
        <v>71</v>
      </c>
      <c r="AK358" s="61" t="str">
        <f t="shared" si="140"/>
        <v>South East</v>
      </c>
      <c r="AL358" s="110">
        <f t="shared" si="142"/>
        <v>0.60174932679294069</v>
      </c>
      <c r="AM358" s="110">
        <f t="shared" si="142"/>
        <v>-0.13466402103659184</v>
      </c>
      <c r="AN358" s="110">
        <f t="shared" si="142"/>
        <v>1.5291657367685836</v>
      </c>
      <c r="AO358" s="110">
        <f t="shared" si="142"/>
        <v>1.7453578823262417</v>
      </c>
      <c r="AP358" s="110">
        <f t="shared" si="142"/>
        <v>-0.72902348058937272</v>
      </c>
      <c r="AQ358" s="110">
        <f>Z197/Y197*100</f>
        <v>12.371268250968637</v>
      </c>
      <c r="AR358" s="56"/>
      <c r="AS358" s="56"/>
      <c r="AT358" s="56"/>
      <c r="AU358" s="56"/>
      <c r="AV358" s="56"/>
      <c r="AW358" s="56"/>
      <c r="AX358" s="237"/>
      <c r="AY358" s="237"/>
      <c r="AZ358" s="237"/>
      <c r="BA358" s="237"/>
      <c r="BB358" s="237"/>
      <c r="BC358" s="237"/>
      <c r="BD358" s="237"/>
      <c r="BE358" s="237"/>
      <c r="BF358" s="237"/>
      <c r="BG358" s="237"/>
      <c r="BH358" s="237"/>
      <c r="BI358" s="237"/>
      <c r="BJ358" s="237"/>
      <c r="BK358" s="237"/>
      <c r="BL358" s="237"/>
      <c r="BM358" s="237"/>
      <c r="BN358" s="237"/>
      <c r="BO358" s="237"/>
      <c r="BP358" s="237"/>
    </row>
    <row r="359" spans="1:76" ht="14.25" customHeight="1">
      <c r="A359" s="87"/>
      <c r="B359" s="48"/>
      <c r="C359" s="48"/>
      <c r="D359" s="40"/>
      <c r="E359" s="40"/>
      <c r="F359" s="40"/>
      <c r="G359" s="40"/>
      <c r="H359" s="40"/>
      <c r="I359" s="40"/>
      <c r="J359" s="1"/>
      <c r="K359" s="5"/>
      <c r="L359" s="5"/>
      <c r="M359" s="5"/>
      <c r="N359" s="5"/>
      <c r="O359" s="5"/>
      <c r="P359" s="5"/>
      <c r="Q359" s="5"/>
      <c r="R359" s="5"/>
      <c r="S359" s="5"/>
      <c r="T359" s="5"/>
      <c r="U359" s="86"/>
      <c r="V359" s="102"/>
      <c r="W359" s="771"/>
      <c r="AE359" s="760"/>
      <c r="AF359" s="760"/>
      <c r="AG359" s="760"/>
      <c r="AH359" s="760"/>
      <c r="AI359" s="361" t="b">
        <f t="shared" si="139"/>
        <v>1</v>
      </c>
      <c r="AJ359" s="766" t="s">
        <v>109</v>
      </c>
      <c r="AK359" s="61" t="str">
        <f t="shared" si="140"/>
        <v>England</v>
      </c>
      <c r="AL359" s="110">
        <f t="shared" si="142"/>
        <v>1.1704346179955849</v>
      </c>
      <c r="AM359" s="110">
        <f t="shared" si="142"/>
        <v>0.364784114822502</v>
      </c>
      <c r="AN359" s="110">
        <f t="shared" si="142"/>
        <v>0.79912415992072683</v>
      </c>
      <c r="AO359" s="110">
        <f t="shared" si="142"/>
        <v>1.1105699419701964</v>
      </c>
      <c r="AP359" s="110">
        <f t="shared" si="142"/>
        <v>-0.47505360188141227</v>
      </c>
      <c r="AQ359" s="110">
        <f>VLOOKUP($AK359,IDACI!$B$9:$C$29,2,FALSE)</f>
        <v>17.084413405029373</v>
      </c>
      <c r="AR359" s="56"/>
      <c r="AS359" s="56"/>
      <c r="AT359" s="56"/>
      <c r="AU359" s="56"/>
      <c r="AV359" s="56"/>
      <c r="AW359" s="56"/>
      <c r="AX359" s="237"/>
      <c r="AY359" s="237"/>
      <c r="AZ359" s="237"/>
      <c r="BA359" s="237"/>
      <c r="BB359" s="237"/>
      <c r="BC359" s="237"/>
      <c r="BD359" s="237"/>
      <c r="BE359" s="237"/>
      <c r="BF359" s="237"/>
      <c r="BG359" s="237"/>
      <c r="BH359" s="237"/>
      <c r="BI359" s="237"/>
      <c r="BJ359" s="237"/>
      <c r="BK359" s="237"/>
      <c r="BL359" s="237"/>
      <c r="BM359" s="237"/>
      <c r="BN359" s="237"/>
      <c r="BO359" s="237"/>
      <c r="BP359" s="237"/>
      <c r="BQ359" s="56"/>
      <c r="BR359" s="56"/>
      <c r="BS359" s="56"/>
      <c r="BT359" s="56"/>
      <c r="BU359" s="56"/>
      <c r="BV359" s="56"/>
      <c r="BW359" s="56"/>
      <c r="BX359" s="56"/>
    </row>
    <row r="360" spans="1:76" ht="14.25" customHeight="1">
      <c r="A360" s="87"/>
      <c r="B360" s="48"/>
      <c r="C360" s="48"/>
      <c r="D360" s="40"/>
      <c r="E360" s="40"/>
      <c r="F360" s="40"/>
      <c r="G360" s="40"/>
      <c r="H360" s="40"/>
      <c r="I360" s="40"/>
      <c r="J360" s="1"/>
      <c r="K360" s="5"/>
      <c r="L360" s="5"/>
      <c r="M360" s="5"/>
      <c r="N360" s="5"/>
      <c r="O360" s="5"/>
      <c r="P360" s="5"/>
      <c r="Q360" s="5"/>
      <c r="R360" s="5"/>
      <c r="S360" s="5"/>
      <c r="T360" s="5"/>
      <c r="U360" s="86"/>
      <c r="V360" s="102"/>
      <c r="W360" s="771"/>
      <c r="AE360" s="760"/>
      <c r="AF360" s="760"/>
      <c r="AG360" s="760"/>
      <c r="AH360" s="760"/>
      <c r="AI360" s="812"/>
      <c r="AJ360" s="122"/>
      <c r="AK360" s="52" t="str">
        <f>Z4</f>
        <v>Selected LA- (none)</v>
      </c>
      <c r="AL360" s="110" t="e">
        <f>VLOOKUP($Y4,$B$314:$R$334,AL$335,FALSE)</f>
        <v>#N/A</v>
      </c>
      <c r="AM360" s="110" t="e">
        <f>VLOOKUP($Y4,$B$314:$R$334,AM$335,FALSE)</f>
        <v>#N/A</v>
      </c>
      <c r="AN360" s="110" t="e">
        <f>VLOOKUP($Y4,$B$314:$R$334,AN$335,FALSE)</f>
        <v>#N/A</v>
      </c>
      <c r="AO360" s="110" t="e">
        <f>VLOOKUP($Y4,$B$314:$R$334,AO$335,FALSE)</f>
        <v>#N/A</v>
      </c>
      <c r="AP360" s="110" t="e">
        <f>VLOOKUP($Y4,$B$314:$R$334,AP$335,FALSE)</f>
        <v>#N/A</v>
      </c>
      <c r="AQ360" s="110" t="e">
        <f>VLOOKUP($Y4,IDACI!$B$9:$C$29,2,FALSE)</f>
        <v>#N/A</v>
      </c>
      <c r="AR360" s="56"/>
      <c r="AS360" s="56"/>
      <c r="AT360" s="56"/>
      <c r="AU360" s="56"/>
      <c r="AV360" s="56"/>
      <c r="AW360" s="56"/>
      <c r="AX360" s="237"/>
      <c r="AY360" s="237"/>
      <c r="AZ360" s="237"/>
      <c r="BA360" s="237"/>
      <c r="BB360" s="237"/>
      <c r="BC360" s="237"/>
      <c r="BD360" s="237"/>
      <c r="BE360" s="237"/>
      <c r="BF360" s="237"/>
      <c r="BG360" s="237"/>
      <c r="BH360" s="237"/>
      <c r="BI360" s="237"/>
      <c r="BJ360" s="237"/>
      <c r="BK360" s="237"/>
      <c r="BL360" s="237"/>
      <c r="BM360" s="237"/>
      <c r="BN360" s="237"/>
      <c r="BO360" s="237"/>
      <c r="BP360" s="237"/>
      <c r="BQ360" s="56"/>
      <c r="BR360" s="56"/>
      <c r="BS360" s="56"/>
      <c r="BT360" s="56"/>
      <c r="BU360" s="56"/>
      <c r="BV360" s="56"/>
      <c r="BW360" s="56"/>
      <c r="BX360" s="56"/>
    </row>
    <row r="361" spans="1:76" s="56" customFormat="1" ht="14.25" customHeight="1">
      <c r="A361" s="87"/>
      <c r="B361" s="48"/>
      <c r="C361" s="48"/>
      <c r="D361" s="40"/>
      <c r="E361" s="40"/>
      <c r="F361" s="40"/>
      <c r="G361" s="40"/>
      <c r="H361" s="40"/>
      <c r="I361" s="40"/>
      <c r="J361" s="1"/>
      <c r="K361" s="5"/>
      <c r="L361" s="5"/>
      <c r="M361" s="5"/>
      <c r="N361" s="5"/>
      <c r="O361" s="5"/>
      <c r="P361" s="5"/>
      <c r="Q361" s="5"/>
      <c r="R361" s="5"/>
      <c r="S361" s="5"/>
      <c r="T361" s="5"/>
      <c r="U361" s="86"/>
      <c r="V361" s="102"/>
      <c r="W361" s="771"/>
      <c r="X361" s="251"/>
      <c r="Y361" s="251"/>
      <c r="Z361" s="251"/>
      <c r="AA361" s="251"/>
      <c r="AB361" s="251"/>
      <c r="AC361" s="251"/>
      <c r="AD361" s="251"/>
      <c r="AE361" s="760"/>
      <c r="AF361" s="760"/>
      <c r="AG361" s="760"/>
      <c r="AH361" s="760"/>
      <c r="AJ361" s="122"/>
      <c r="AK361" s="52"/>
      <c r="AL361" s="110"/>
      <c r="AM361" s="110"/>
      <c r="AN361" s="110"/>
      <c r="AO361" s="110"/>
      <c r="AP361" s="110"/>
      <c r="AQ361" s="110"/>
      <c r="AX361" s="237"/>
      <c r="AY361" s="237"/>
      <c r="AZ361" s="237"/>
      <c r="BA361" s="237"/>
      <c r="BB361" s="237"/>
      <c r="BC361" s="237"/>
      <c r="BD361" s="237"/>
      <c r="BE361" s="237"/>
      <c r="BF361" s="237"/>
      <c r="BG361" s="237"/>
      <c r="BH361" s="237"/>
      <c r="BI361" s="237"/>
      <c r="BJ361" s="237"/>
      <c r="BK361" s="237"/>
      <c r="BL361" s="237"/>
      <c r="BM361" s="237"/>
      <c r="BN361" s="237"/>
      <c r="BO361" s="237"/>
      <c r="BP361" s="237"/>
    </row>
    <row r="362" spans="1:76" s="56" customFormat="1" ht="14.25" customHeight="1">
      <c r="A362" s="87"/>
      <c r="B362" s="48"/>
      <c r="C362" s="48"/>
      <c r="D362" s="40"/>
      <c r="E362" s="40"/>
      <c r="F362" s="40"/>
      <c r="G362" s="40"/>
      <c r="H362" s="40"/>
      <c r="I362" s="40"/>
      <c r="J362" s="1"/>
      <c r="K362" s="5"/>
      <c r="L362" s="5"/>
      <c r="M362" s="5"/>
      <c r="N362" s="5"/>
      <c r="O362" s="5"/>
      <c r="P362" s="5"/>
      <c r="Q362" s="5"/>
      <c r="R362" s="5"/>
      <c r="S362" s="5"/>
      <c r="T362" s="5"/>
      <c r="U362" s="86"/>
      <c r="V362" s="102"/>
      <c r="W362" s="771"/>
      <c r="X362" s="251"/>
      <c r="Y362" s="251"/>
      <c r="Z362" s="251"/>
      <c r="AA362" s="251"/>
      <c r="AB362" s="251"/>
      <c r="AC362" s="251"/>
      <c r="AD362" s="251"/>
      <c r="AE362" s="760"/>
      <c r="AF362" s="760"/>
      <c r="AG362" s="760"/>
      <c r="AH362" s="760"/>
      <c r="AJ362" s="122"/>
      <c r="AX362" s="237"/>
      <c r="AY362" s="237"/>
      <c r="AZ362" s="237"/>
      <c r="BA362" s="237"/>
      <c r="BB362" s="237"/>
      <c r="BC362" s="237"/>
      <c r="BD362" s="237"/>
      <c r="BE362" s="237"/>
      <c r="BF362" s="237"/>
      <c r="BG362" s="237"/>
      <c r="BH362" s="237"/>
      <c r="BI362" s="237"/>
      <c r="BJ362" s="237"/>
      <c r="BK362" s="237"/>
      <c r="BL362" s="237"/>
      <c r="BM362" s="237"/>
      <c r="BN362" s="237"/>
      <c r="BO362" s="237"/>
      <c r="BP362" s="237"/>
    </row>
    <row r="363" spans="1:76" s="56" customFormat="1" ht="1.5" customHeight="1">
      <c r="A363" s="87"/>
      <c r="B363" s="48"/>
      <c r="C363" s="48"/>
      <c r="D363" s="40"/>
      <c r="E363" s="40"/>
      <c r="F363" s="40"/>
      <c r="G363" s="40"/>
      <c r="H363" s="40"/>
      <c r="I363" s="40"/>
      <c r="J363" s="1"/>
      <c r="K363" s="5"/>
      <c r="L363" s="5"/>
      <c r="M363" s="5"/>
      <c r="N363" s="5"/>
      <c r="O363" s="5"/>
      <c r="P363" s="5"/>
      <c r="Q363" s="5"/>
      <c r="R363" s="5"/>
      <c r="S363" s="5"/>
      <c r="T363" s="5"/>
      <c r="U363" s="86"/>
      <c r="V363" s="102"/>
      <c r="W363" s="114"/>
      <c r="X363" s="251"/>
      <c r="Y363" s="251"/>
      <c r="Z363" s="251"/>
      <c r="AA363" s="251"/>
      <c r="AB363" s="251"/>
      <c r="AC363" s="251"/>
      <c r="AD363" s="251"/>
      <c r="AX363" s="237"/>
      <c r="AY363" s="237"/>
      <c r="AZ363" s="237"/>
      <c r="BA363" s="237"/>
      <c r="BB363" s="237"/>
      <c r="BC363" s="237"/>
      <c r="BD363" s="132"/>
      <c r="BE363" s="132"/>
      <c r="BF363" s="132"/>
      <c r="BG363" s="237"/>
      <c r="BH363" s="237"/>
      <c r="BI363" s="237"/>
      <c r="BJ363" s="237"/>
      <c r="BK363" s="237"/>
      <c r="BL363" s="237"/>
      <c r="BM363" s="237"/>
      <c r="BN363" s="237"/>
      <c r="BO363" s="237"/>
      <c r="BP363" s="237"/>
    </row>
    <row r="364" spans="1:76" s="56" customFormat="1" ht="14.25" customHeight="1">
      <c r="A364" s="87"/>
      <c r="B364" s="48"/>
      <c r="C364" s="48"/>
      <c r="D364" s="40"/>
      <c r="E364" s="40"/>
      <c r="F364" s="40"/>
      <c r="G364" s="40"/>
      <c r="H364" s="40"/>
      <c r="I364" s="40"/>
      <c r="J364" s="1"/>
      <c r="K364" s="79"/>
      <c r="L364" s="1882" t="s">
        <v>69</v>
      </c>
      <c r="M364" s="1882"/>
      <c r="N364" s="1882"/>
      <c r="O364" s="1882"/>
      <c r="P364" s="1171"/>
      <c r="Q364" s="1753" t="s">
        <v>93</v>
      </c>
      <c r="R364" s="1753"/>
      <c r="S364" s="1753"/>
      <c r="T364" s="1753"/>
      <c r="U364" s="86"/>
      <c r="V364" s="102"/>
      <c r="W364" s="114"/>
      <c r="X364" s="251"/>
      <c r="Y364" s="251"/>
      <c r="Z364" s="251"/>
      <c r="AA364" s="251"/>
      <c r="AB364" s="251"/>
      <c r="AC364" s="251"/>
      <c r="AD364" s="251"/>
      <c r="AJ364" s="122"/>
    </row>
    <row r="365" spans="1:76" s="56" customFormat="1" ht="14.25" customHeight="1">
      <c r="A365" s="87"/>
      <c r="B365" s="48"/>
      <c r="C365" s="48"/>
      <c r="D365" s="40"/>
      <c r="E365" s="40"/>
      <c r="F365" s="40"/>
      <c r="G365" s="40"/>
      <c r="H365" s="40"/>
      <c r="I365" s="40"/>
      <c r="J365" s="1"/>
      <c r="K365" s="80"/>
      <c r="L365" s="1753" t="str">
        <f>$Z$4</f>
        <v>Selected LA- (none)</v>
      </c>
      <c r="M365" s="1753"/>
      <c r="N365" s="1753"/>
      <c r="O365" s="1753"/>
      <c r="P365" s="1172"/>
      <c r="Q365" s="1753" t="s">
        <v>167</v>
      </c>
      <c r="R365" s="1753"/>
      <c r="S365" s="1753"/>
      <c r="T365" s="1753"/>
      <c r="U365" s="86"/>
      <c r="V365" s="102"/>
      <c r="W365" s="115"/>
      <c r="X365" s="251"/>
      <c r="Y365" s="251"/>
      <c r="Z365" s="251"/>
      <c r="AA365" s="251"/>
      <c r="AB365" s="251"/>
      <c r="AC365" s="251"/>
      <c r="AD365" s="251"/>
      <c r="AE365" s="141"/>
      <c r="AF365" s="141"/>
      <c r="AG365" s="141"/>
      <c r="AH365" s="141"/>
      <c r="AI365" s="61"/>
      <c r="AJ365" s="12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61"/>
      <c r="BT365" s="61"/>
      <c r="BU365" s="61"/>
      <c r="BV365" s="61"/>
      <c r="BW365" s="61"/>
      <c r="BX365" s="61"/>
    </row>
    <row r="366" spans="1:76" s="56" customFormat="1" ht="46.5" customHeight="1">
      <c r="A366" s="87"/>
      <c r="B366" s="48"/>
      <c r="C366" s="48"/>
      <c r="D366" s="40"/>
      <c r="E366" s="40"/>
      <c r="F366" s="40"/>
      <c r="G366" s="40"/>
      <c r="H366" s="40"/>
      <c r="I366" s="40"/>
      <c r="J366" s="1"/>
      <c r="K366" s="5"/>
      <c r="L366" s="5"/>
      <c r="M366" s="5"/>
      <c r="N366" s="5"/>
      <c r="O366" s="5"/>
      <c r="P366" s="5"/>
      <c r="Q366" s="5"/>
      <c r="R366" s="5"/>
      <c r="S366" s="5"/>
      <c r="T366" s="5"/>
      <c r="U366" s="86"/>
      <c r="V366" s="102"/>
      <c r="W366" s="115"/>
      <c r="X366" s="251"/>
      <c r="Y366" s="251"/>
      <c r="Z366" s="251"/>
      <c r="AA366" s="251"/>
      <c r="AB366" s="251"/>
      <c r="AC366" s="251"/>
      <c r="AD366" s="251"/>
      <c r="AE366" s="141"/>
      <c r="AF366" s="141"/>
      <c r="AG366" s="141"/>
      <c r="AH366" s="141"/>
      <c r="AI366" s="61"/>
      <c r="AJ366" s="12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61"/>
      <c r="BT366" s="61"/>
      <c r="BU366" s="61"/>
      <c r="BV366" s="61"/>
      <c r="BW366" s="61"/>
      <c r="BX366" s="61"/>
    </row>
    <row r="367" spans="1:76" s="61" customFormat="1" ht="46.5" customHeight="1">
      <c r="A367" s="88"/>
      <c r="B367" s="78"/>
      <c r="C367" s="78"/>
      <c r="D367" s="78"/>
      <c r="E367" s="78"/>
      <c r="F367" s="78"/>
      <c r="G367" s="78"/>
      <c r="H367" s="78"/>
      <c r="I367" s="78"/>
      <c r="J367" s="68"/>
      <c r="K367" s="59"/>
      <c r="L367" s="59"/>
      <c r="M367" s="59"/>
      <c r="N367" s="59"/>
      <c r="O367" s="59"/>
      <c r="P367" s="59"/>
      <c r="Q367" s="59"/>
      <c r="R367" s="59"/>
      <c r="S367" s="59"/>
      <c r="T367" s="59"/>
      <c r="U367" s="89"/>
      <c r="V367" s="103"/>
      <c r="W367" s="114"/>
      <c r="X367" s="251"/>
      <c r="Y367" s="251"/>
      <c r="Z367" s="251"/>
      <c r="AA367" s="251"/>
      <c r="AB367" s="251"/>
      <c r="AC367" s="251"/>
      <c r="AD367" s="251"/>
      <c r="AE367" s="56"/>
      <c r="AF367" s="56"/>
      <c r="AG367" s="56"/>
      <c r="AH367" s="56"/>
      <c r="AI367" s="52"/>
      <c r="AJ367" s="119"/>
      <c r="AK367" s="52"/>
      <c r="AL367" s="52"/>
      <c r="AM367" s="52"/>
      <c r="AN367" s="52"/>
      <c r="AO367" s="52"/>
      <c r="AP367" s="52"/>
      <c r="AQ367" s="52"/>
      <c r="AR367" s="52"/>
      <c r="AS367" s="52"/>
      <c r="AT367" s="52"/>
      <c r="AU367" s="52"/>
      <c r="AV367" s="52"/>
      <c r="AW367" s="52"/>
      <c r="AX367" s="52"/>
      <c r="AY367" s="52"/>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c r="BX367" s="52"/>
    </row>
    <row r="368" spans="1:76" s="61" customFormat="1" ht="46.5" customHeight="1">
      <c r="A368" s="88"/>
      <c r="B368" s="78"/>
      <c r="C368" s="78"/>
      <c r="D368" s="78"/>
      <c r="E368" s="78"/>
      <c r="F368" s="78"/>
      <c r="G368" s="78"/>
      <c r="H368" s="78"/>
      <c r="I368" s="78"/>
      <c r="J368" s="68"/>
      <c r="K368" s="59"/>
      <c r="L368" s="59"/>
      <c r="M368" s="59"/>
      <c r="N368" s="59"/>
      <c r="O368" s="59"/>
      <c r="P368" s="59"/>
      <c r="Q368" s="59"/>
      <c r="R368" s="59"/>
      <c r="S368" s="59"/>
      <c r="T368" s="59"/>
      <c r="U368" s="89"/>
      <c r="V368" s="121"/>
      <c r="W368" s="114"/>
      <c r="X368" s="585"/>
      <c r="Y368" s="585"/>
      <c r="Z368" s="585"/>
      <c r="AA368" s="585"/>
      <c r="AB368" s="585"/>
      <c r="AC368" s="585"/>
      <c r="AD368" s="250"/>
      <c r="AE368" s="56"/>
      <c r="AF368" s="56"/>
      <c r="AG368" s="56"/>
      <c r="AH368" s="56"/>
      <c r="AI368" s="52"/>
      <c r="AJ368" s="119"/>
      <c r="AK368" s="52"/>
      <c r="AL368" s="52"/>
      <c r="AM368" s="52"/>
      <c r="AN368" s="52"/>
      <c r="AO368" s="52"/>
      <c r="AP368" s="52"/>
      <c r="AQ368" s="52"/>
      <c r="AR368" s="52"/>
      <c r="AS368" s="52"/>
      <c r="AT368" s="52"/>
      <c r="AU368" s="52"/>
      <c r="AV368" s="52"/>
      <c r="AW368" s="52"/>
      <c r="AX368" s="52"/>
      <c r="AY368" s="52"/>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c r="BX368" s="52"/>
    </row>
    <row r="369" spans="1:58" ht="7.5" customHeight="1">
      <c r="A369" s="87"/>
      <c r="B369" s="12"/>
      <c r="C369" s="12"/>
      <c r="D369" s="11"/>
      <c r="E369" s="11"/>
      <c r="F369" s="11"/>
      <c r="G369" s="11"/>
      <c r="H369" s="11"/>
      <c r="I369" s="11"/>
      <c r="J369" s="1"/>
      <c r="K369" s="13"/>
      <c r="L369" s="13"/>
      <c r="M369" s="13"/>
      <c r="N369" s="13"/>
      <c r="O369" s="13"/>
      <c r="P369" s="13"/>
      <c r="Q369" s="13"/>
      <c r="R369" s="13"/>
      <c r="S369" s="13"/>
      <c r="T369" s="14"/>
      <c r="U369" s="86"/>
      <c r="V369" s="185"/>
      <c r="W369" s="114"/>
      <c r="X369" s="585"/>
      <c r="Y369" s="585"/>
      <c r="Z369" s="585"/>
      <c r="AA369" s="585"/>
      <c r="AB369" s="585"/>
      <c r="AC369" s="585"/>
      <c r="AD369" s="250"/>
      <c r="AJ369" s="119"/>
    </row>
    <row r="370" spans="1:58" ht="15" customHeight="1">
      <c r="A370" s="1565"/>
      <c r="B370" s="1751"/>
      <c r="C370" s="1751"/>
      <c r="D370" s="1751"/>
      <c r="E370" s="1751"/>
      <c r="F370" s="1751"/>
      <c r="G370" s="1751"/>
      <c r="H370" s="1751"/>
      <c r="I370" s="1751"/>
      <c r="J370" s="1751"/>
      <c r="K370" s="1751"/>
      <c r="L370" s="1751"/>
      <c r="M370" s="1751"/>
      <c r="N370" s="1751"/>
      <c r="O370" s="1751"/>
      <c r="P370" s="1751"/>
      <c r="Q370" s="1751"/>
      <c r="R370" s="1751"/>
      <c r="S370" s="1751"/>
      <c r="T370" s="1751"/>
      <c r="U370" s="1752"/>
      <c r="V370" s="185"/>
      <c r="W370" s="114"/>
      <c r="AE370" s="57"/>
      <c r="AH370" s="52"/>
      <c r="AJ370" s="119"/>
      <c r="AR370" s="56"/>
      <c r="AS370" s="56"/>
      <c r="AT370" s="56"/>
      <c r="AU370" s="56"/>
      <c r="AV370" s="56"/>
      <c r="AW370" s="56"/>
      <c r="AX370" s="56"/>
      <c r="AY370" s="56"/>
      <c r="AZ370" s="56"/>
      <c r="BA370" s="56"/>
      <c r="BB370" s="56"/>
      <c r="BC370" s="56"/>
      <c r="BD370" s="56"/>
      <c r="BE370" s="56"/>
      <c r="BF370" s="56"/>
    </row>
    <row r="371" spans="1:58" ht="11.25" customHeight="1">
      <c r="A371" s="1739"/>
      <c r="B371" s="1740"/>
      <c r="C371" s="1740"/>
      <c r="D371" s="1740"/>
      <c r="E371" s="1740"/>
      <c r="F371" s="1740"/>
      <c r="G371" s="1740"/>
      <c r="H371" s="1740"/>
      <c r="I371" s="1741"/>
      <c r="J371" s="1740"/>
      <c r="K371" s="1740"/>
      <c r="L371" s="1740"/>
      <c r="M371" s="1740"/>
      <c r="N371" s="1740"/>
      <c r="O371" s="1740"/>
      <c r="P371" s="1742"/>
      <c r="Q371" s="1740"/>
      <c r="R371" s="1740"/>
      <c r="S371" s="1741"/>
      <c r="T371" s="1740"/>
      <c r="U371" s="1743"/>
      <c r="V371" s="185"/>
      <c r="W371" s="114"/>
      <c r="AE371" s="57"/>
      <c r="AH371" s="52"/>
      <c r="AJ371" s="119"/>
      <c r="AL371" s="56"/>
      <c r="AM371" s="56"/>
      <c r="AN371" s="56"/>
      <c r="AO371" s="56"/>
      <c r="AP371" s="56"/>
      <c r="AQ371" s="56"/>
    </row>
    <row r="372" spans="1:58" ht="11.25" customHeight="1">
      <c r="A372" s="106"/>
      <c r="B372" s="705"/>
      <c r="C372" s="5"/>
      <c r="D372" s="5"/>
      <c r="E372" s="9"/>
      <c r="F372" s="5"/>
      <c r="G372" s="40"/>
      <c r="H372" s="554"/>
      <c r="I372" s="40"/>
      <c r="J372" s="40"/>
      <c r="K372" s="40"/>
      <c r="L372" s="40"/>
      <c r="M372" s="40"/>
      <c r="N372" s="40"/>
      <c r="O372" s="40"/>
      <c r="P372" s="40"/>
      <c r="Q372" s="40"/>
      <c r="R372" s="40"/>
      <c r="S372" s="40"/>
      <c r="T372" s="40"/>
      <c r="U372" s="40"/>
      <c r="V372" s="119"/>
      <c r="W372" s="114"/>
      <c r="AE372" s="57"/>
      <c r="AH372" s="52"/>
      <c r="AJ372" s="119"/>
      <c r="AL372" s="56"/>
      <c r="AM372" s="56"/>
      <c r="AN372" s="56"/>
      <c r="AO372" s="56"/>
      <c r="AP372" s="56"/>
      <c r="AQ372" s="56"/>
    </row>
    <row r="373" spans="1:58" ht="11.25" customHeight="1">
      <c r="A373" s="106"/>
      <c r="B373" s="705"/>
      <c r="C373" s="5"/>
      <c r="D373" s="5"/>
      <c r="E373" s="9"/>
      <c r="F373" s="5"/>
      <c r="G373" s="40"/>
      <c r="H373" s="554"/>
      <c r="I373" s="40"/>
      <c r="J373" s="40"/>
      <c r="K373" s="40"/>
      <c r="L373" s="40"/>
      <c r="M373" s="40"/>
      <c r="N373" s="40"/>
      <c r="O373" s="40"/>
      <c r="P373" s="40"/>
      <c r="Q373" s="40"/>
      <c r="R373" s="40"/>
      <c r="S373" s="40"/>
      <c r="T373" s="40"/>
      <c r="U373" s="40"/>
      <c r="V373" s="119"/>
      <c r="W373" s="114"/>
      <c r="AE373" s="57"/>
      <c r="AH373" s="52"/>
      <c r="AJ373" s="119"/>
    </row>
    <row r="374" spans="1:58" ht="11.25" customHeight="1">
      <c r="A374" s="106"/>
      <c r="B374" s="1317"/>
      <c r="C374" s="5"/>
      <c r="D374" s="5"/>
      <c r="E374" s="9"/>
      <c r="F374" s="5"/>
      <c r="G374" s="40"/>
      <c r="H374" s="554"/>
      <c r="I374" s="40"/>
      <c r="J374" s="40"/>
      <c r="K374" s="40"/>
      <c r="L374" s="40"/>
      <c r="M374" s="40"/>
      <c r="N374" s="40"/>
      <c r="O374" s="40"/>
      <c r="P374" s="40"/>
      <c r="Q374" s="40"/>
      <c r="R374" s="40"/>
      <c r="S374" s="40"/>
      <c r="T374" s="40"/>
      <c r="U374" s="40"/>
      <c r="V374" s="119"/>
      <c r="W374" s="114"/>
      <c r="AE374" s="57"/>
      <c r="AH374" s="52"/>
      <c r="AJ374" s="119"/>
    </row>
    <row r="375" spans="1:58" ht="11.25" customHeight="1">
      <c r="A375" s="106"/>
      <c r="B375" s="1318"/>
      <c r="C375" s="5"/>
      <c r="D375" s="5"/>
      <c r="E375" s="9"/>
      <c r="F375" s="2"/>
      <c r="G375" s="554"/>
      <c r="H375" s="554"/>
      <c r="I375" s="40"/>
      <c r="J375" s="40"/>
      <c r="K375" s="40"/>
      <c r="L375" s="40"/>
      <c r="M375" s="40"/>
      <c r="N375" s="40"/>
      <c r="O375" s="40"/>
      <c r="P375" s="40"/>
      <c r="Q375" s="40"/>
      <c r="R375" s="40"/>
      <c r="S375" s="40"/>
      <c r="T375" s="40"/>
      <c r="U375" s="40"/>
      <c r="V375" s="119"/>
      <c r="W375" s="114"/>
      <c r="AE375" s="57"/>
      <c r="AH375" s="52"/>
      <c r="AJ375" s="119"/>
    </row>
    <row r="376" spans="1:58" ht="11.25" customHeight="1">
      <c r="A376" s="106"/>
      <c r="B376" s="420"/>
      <c r="C376" s="420"/>
      <c r="D376" s="420"/>
      <c r="E376" s="420"/>
      <c r="F376" s="420"/>
      <c r="G376" s="420"/>
      <c r="H376" s="554"/>
      <c r="I376" s="40"/>
      <c r="J376" s="40"/>
      <c r="K376" s="40"/>
      <c r="L376" s="40"/>
      <c r="M376" s="40"/>
      <c r="N376" s="40"/>
      <c r="O376" s="40"/>
      <c r="P376" s="40"/>
      <c r="Q376" s="40"/>
      <c r="R376" s="40"/>
      <c r="S376" s="40"/>
      <c r="T376" s="40"/>
      <c r="U376" s="40"/>
      <c r="V376" s="119"/>
      <c r="W376" s="116"/>
      <c r="AE376" s="57"/>
      <c r="AH376" s="52"/>
      <c r="AJ376" s="119"/>
    </row>
    <row r="377" spans="1:58" ht="11.25" customHeight="1">
      <c r="A377" s="106"/>
      <c r="B377" s="420"/>
      <c r="C377" s="420"/>
      <c r="D377" s="420"/>
      <c r="E377" s="420"/>
      <c r="F377" s="420"/>
      <c r="G377" s="420"/>
      <c r="H377" s="554"/>
      <c r="I377" s="40"/>
      <c r="J377" s="40"/>
      <c r="K377" s="40"/>
      <c r="L377" s="40"/>
      <c r="M377" s="40"/>
      <c r="N377" s="40"/>
      <c r="O377" s="40"/>
      <c r="P377" s="40"/>
      <c r="Q377" s="40"/>
      <c r="R377" s="40"/>
      <c r="S377" s="40"/>
      <c r="T377" s="40"/>
      <c r="U377" s="40"/>
      <c r="V377" s="119"/>
      <c r="W377" s="114"/>
      <c r="AE377" s="57"/>
      <c r="AH377" s="52"/>
      <c r="AJ377" s="119"/>
    </row>
    <row r="378" spans="1:58" ht="11.25" customHeight="1">
      <c r="A378" s="106"/>
      <c r="B378" s="420"/>
      <c r="C378" s="420"/>
      <c r="D378" s="420"/>
      <c r="E378" s="420"/>
      <c r="F378" s="420"/>
      <c r="G378" s="420"/>
      <c r="H378" s="554"/>
      <c r="I378" s="40"/>
      <c r="J378" s="40"/>
      <c r="K378" s="40"/>
      <c r="L378" s="40"/>
      <c r="M378" s="40"/>
      <c r="N378" s="40"/>
      <c r="O378" s="40"/>
      <c r="P378" s="40"/>
      <c r="Q378" s="40"/>
      <c r="R378" s="40"/>
      <c r="S378" s="40"/>
      <c r="T378" s="40"/>
      <c r="U378" s="40"/>
      <c r="V378" s="119"/>
      <c r="W378" s="114"/>
      <c r="AE378" s="57"/>
      <c r="AH378" s="52"/>
      <c r="AJ378" s="119"/>
    </row>
    <row r="379" spans="1:58" ht="11.25" customHeight="1">
      <c r="A379" s="106"/>
      <c r="B379" s="420"/>
      <c r="C379" s="420"/>
      <c r="D379" s="420"/>
      <c r="E379" s="420"/>
      <c r="F379" s="420"/>
      <c r="G379" s="420"/>
      <c r="H379" s="554"/>
      <c r="I379" s="40"/>
      <c r="J379" s="40"/>
      <c r="K379" s="40"/>
      <c r="L379" s="40"/>
      <c r="M379" s="40"/>
      <c r="N379" s="40"/>
      <c r="O379" s="40"/>
      <c r="P379" s="40"/>
      <c r="Q379" s="40"/>
      <c r="R379" s="40"/>
      <c r="S379" s="40"/>
      <c r="T379" s="40"/>
      <c r="U379" s="40"/>
      <c r="V379" s="119"/>
      <c r="W379" s="114"/>
      <c r="AE379" s="57"/>
      <c r="AH379" s="52"/>
      <c r="AJ379" s="119"/>
    </row>
    <row r="380" spans="1:58" ht="11.25" customHeight="1">
      <c r="A380" s="106"/>
      <c r="B380" s="420"/>
      <c r="C380" s="420"/>
      <c r="D380" s="420"/>
      <c r="E380" s="420"/>
      <c r="F380" s="420"/>
      <c r="G380" s="420"/>
      <c r="H380" s="554"/>
      <c r="I380" s="40"/>
      <c r="J380" s="40"/>
      <c r="K380" s="40"/>
      <c r="L380" s="40"/>
      <c r="M380" s="40"/>
      <c r="N380" s="40"/>
      <c r="O380" s="40"/>
      <c r="P380" s="40"/>
      <c r="Q380" s="40"/>
      <c r="R380" s="40"/>
      <c r="S380" s="40"/>
      <c r="T380" s="40"/>
      <c r="U380" s="40"/>
      <c r="V380" s="119"/>
      <c r="W380" s="114"/>
      <c r="AE380" s="57"/>
      <c r="AH380" s="52"/>
      <c r="AJ380" s="119"/>
    </row>
    <row r="381" spans="1:58" ht="11.25" customHeight="1">
      <c r="A381" s="106"/>
      <c r="B381" s="420"/>
      <c r="C381" s="420"/>
      <c r="D381" s="420"/>
      <c r="E381" s="420"/>
      <c r="F381" s="420"/>
      <c r="G381" s="420"/>
      <c r="H381" s="554"/>
      <c r="I381" s="40"/>
      <c r="J381" s="40"/>
      <c r="K381" s="40"/>
      <c r="L381" s="40"/>
      <c r="M381" s="40"/>
      <c r="N381" s="40"/>
      <c r="O381" s="40"/>
      <c r="P381" s="40"/>
      <c r="Q381" s="40"/>
      <c r="R381" s="40"/>
      <c r="S381" s="40"/>
      <c r="T381" s="40"/>
      <c r="U381" s="40"/>
      <c r="V381" s="119"/>
      <c r="W381" s="114"/>
      <c r="AE381" s="57"/>
      <c r="AH381" s="52"/>
      <c r="AJ381" s="119"/>
    </row>
    <row r="382" spans="1:58" ht="11.25" customHeight="1">
      <c r="A382" s="106"/>
      <c r="B382" s="420"/>
      <c r="C382" s="420"/>
      <c r="D382" s="420"/>
      <c r="E382" s="420"/>
      <c r="F382" s="420"/>
      <c r="G382" s="420"/>
      <c r="H382" s="554"/>
      <c r="I382" s="40"/>
      <c r="J382" s="40"/>
      <c r="K382" s="40"/>
      <c r="L382" s="40"/>
      <c r="M382" s="40"/>
      <c r="N382" s="40"/>
      <c r="O382" s="40"/>
      <c r="P382" s="40"/>
      <c r="Q382" s="40"/>
      <c r="R382" s="40"/>
      <c r="S382" s="40"/>
      <c r="T382" s="40"/>
      <c r="U382" s="40"/>
      <c r="V382" s="119"/>
      <c r="W382" s="114"/>
      <c r="AE382" s="57"/>
      <c r="AH382" s="52"/>
      <c r="AJ382" s="119"/>
    </row>
    <row r="383" spans="1:58" ht="11.25" customHeight="1">
      <c r="A383" s="106"/>
      <c r="B383" s="420"/>
      <c r="C383" s="420"/>
      <c r="D383" s="420"/>
      <c r="E383" s="420"/>
      <c r="F383" s="420"/>
      <c r="G383" s="420"/>
      <c r="H383" s="554"/>
      <c r="I383" s="40"/>
      <c r="J383" s="40"/>
      <c r="K383" s="40"/>
      <c r="L383" s="40"/>
      <c r="M383" s="40"/>
      <c r="N383" s="40"/>
      <c r="O383" s="40"/>
      <c r="P383" s="40"/>
      <c r="Q383" s="40"/>
      <c r="R383" s="40"/>
      <c r="S383" s="40"/>
      <c r="T383" s="40"/>
      <c r="U383" s="40"/>
      <c r="V383" s="119"/>
      <c r="W383" s="114"/>
      <c r="Z383" s="784"/>
      <c r="AA383" s="784"/>
      <c r="AE383" s="57"/>
      <c r="AH383" s="52"/>
      <c r="AJ383" s="119"/>
    </row>
    <row r="384" spans="1:58" ht="11.25" customHeight="1">
      <c r="A384" s="106"/>
      <c r="B384" s="420"/>
      <c r="C384" s="420"/>
      <c r="D384" s="420"/>
      <c r="E384" s="420"/>
      <c r="F384" s="420"/>
      <c r="G384" s="420"/>
      <c r="H384" s="554"/>
      <c r="I384" s="40"/>
      <c r="J384" s="40"/>
      <c r="K384" s="40"/>
      <c r="L384" s="40"/>
      <c r="M384" s="40"/>
      <c r="N384" s="40"/>
      <c r="O384" s="40"/>
      <c r="P384" s="40"/>
      <c r="Q384" s="40"/>
      <c r="R384" s="40"/>
      <c r="S384" s="40"/>
      <c r="T384" s="40"/>
      <c r="U384" s="40"/>
      <c r="V384" s="119"/>
      <c r="W384" s="114"/>
      <c r="Z384" s="784"/>
      <c r="AA384" s="784"/>
      <c r="AE384" s="57"/>
      <c r="AH384" s="52"/>
      <c r="AJ384" s="119"/>
    </row>
    <row r="385" spans="1:36" ht="11.25" customHeight="1">
      <c r="A385" s="106"/>
      <c r="B385" s="420"/>
      <c r="C385" s="420"/>
      <c r="D385" s="420"/>
      <c r="E385" s="420"/>
      <c r="F385" s="420"/>
      <c r="G385" s="420"/>
      <c r="H385" s="554"/>
      <c r="I385" s="40"/>
      <c r="J385" s="40"/>
      <c r="K385" s="40"/>
      <c r="L385" s="40"/>
      <c r="M385" s="40"/>
      <c r="N385" s="40"/>
      <c r="O385" s="40"/>
      <c r="P385" s="40"/>
      <c r="Q385" s="40"/>
      <c r="R385" s="40"/>
      <c r="S385" s="40"/>
      <c r="T385" s="40"/>
      <c r="U385" s="40"/>
      <c r="V385" s="119"/>
      <c r="W385" s="114"/>
      <c r="Z385" s="784"/>
      <c r="AA385" s="784"/>
      <c r="AE385" s="57"/>
      <c r="AH385" s="52"/>
      <c r="AJ385" s="119"/>
    </row>
    <row r="386" spans="1:36" ht="11.25" customHeight="1">
      <c r="A386" s="106"/>
      <c r="B386" s="420"/>
      <c r="C386" s="420"/>
      <c r="D386" s="420"/>
      <c r="E386" s="420"/>
      <c r="F386" s="420"/>
      <c r="G386" s="420"/>
      <c r="H386" s="554"/>
      <c r="I386" s="40"/>
      <c r="J386" s="40"/>
      <c r="K386" s="40"/>
      <c r="L386" s="40"/>
      <c r="M386" s="40"/>
      <c r="N386" s="40"/>
      <c r="O386" s="40"/>
      <c r="P386" s="40"/>
      <c r="Q386" s="40"/>
      <c r="R386" s="40"/>
      <c r="S386" s="40"/>
      <c r="T386" s="40"/>
      <c r="U386" s="40"/>
      <c r="V386" s="119"/>
      <c r="W386" s="114"/>
      <c r="Z386" s="784"/>
      <c r="AA386" s="784"/>
      <c r="AE386" s="57"/>
      <c r="AH386" s="52"/>
      <c r="AJ386" s="119"/>
    </row>
    <row r="387" spans="1:36" ht="11.25" customHeight="1">
      <c r="A387" s="106"/>
      <c r="B387" s="420"/>
      <c r="C387" s="420"/>
      <c r="D387" s="420"/>
      <c r="E387" s="420"/>
      <c r="F387" s="420"/>
      <c r="G387" s="420"/>
      <c r="H387" s="554"/>
      <c r="I387" s="40"/>
      <c r="J387" s="40"/>
      <c r="K387" s="40"/>
      <c r="L387" s="40"/>
      <c r="M387" s="40"/>
      <c r="N387" s="40"/>
      <c r="O387" s="40"/>
      <c r="P387" s="40"/>
      <c r="Q387" s="40"/>
      <c r="R387" s="40"/>
      <c r="S387" s="40"/>
      <c r="T387" s="40"/>
      <c r="U387" s="40"/>
      <c r="V387" s="119"/>
      <c r="W387" s="114"/>
      <c r="Z387" s="784"/>
      <c r="AA387" s="784"/>
      <c r="AE387" s="57"/>
      <c r="AH387" s="52"/>
      <c r="AJ387" s="119"/>
    </row>
    <row r="388" spans="1:36" ht="11.25" customHeight="1">
      <c r="A388" s="106"/>
      <c r="B388" s="420"/>
      <c r="C388" s="420"/>
      <c r="D388" s="420"/>
      <c r="E388" s="420"/>
      <c r="F388" s="420"/>
      <c r="G388" s="420"/>
      <c r="H388" s="554"/>
      <c r="I388" s="40"/>
      <c r="J388" s="40"/>
      <c r="K388" s="40"/>
      <c r="L388" s="40"/>
      <c r="M388" s="40"/>
      <c r="N388" s="40"/>
      <c r="O388" s="40"/>
      <c r="P388" s="40"/>
      <c r="Q388" s="40"/>
      <c r="R388" s="40"/>
      <c r="S388" s="40"/>
      <c r="T388" s="40"/>
      <c r="U388" s="40"/>
      <c r="V388" s="119"/>
      <c r="W388" s="114"/>
      <c r="Z388" s="784"/>
      <c r="AA388" s="784"/>
      <c r="AE388" s="57"/>
      <c r="AH388" s="52"/>
      <c r="AJ388" s="119"/>
    </row>
    <row r="389" spans="1:36" ht="11.25" customHeight="1">
      <c r="A389" s="106"/>
      <c r="B389" s="420"/>
      <c r="C389" s="420"/>
      <c r="D389" s="420"/>
      <c r="E389" s="420"/>
      <c r="F389" s="420"/>
      <c r="G389" s="420"/>
      <c r="H389" s="554"/>
      <c r="I389" s="40"/>
      <c r="J389" s="40"/>
      <c r="K389" s="40"/>
      <c r="L389" s="40"/>
      <c r="M389" s="40"/>
      <c r="N389" s="40"/>
      <c r="O389" s="40"/>
      <c r="P389" s="40"/>
      <c r="Q389" s="40"/>
      <c r="R389" s="40"/>
      <c r="S389" s="40"/>
      <c r="T389" s="40"/>
      <c r="U389" s="40"/>
      <c r="V389" s="119"/>
      <c r="W389" s="114"/>
      <c r="AE389" s="57"/>
      <c r="AH389" s="52"/>
      <c r="AJ389" s="119"/>
    </row>
    <row r="390" spans="1:36" ht="11.25" customHeight="1">
      <c r="A390" s="106"/>
      <c r="B390" s="420"/>
      <c r="C390" s="420"/>
      <c r="D390" s="420"/>
      <c r="E390" s="420"/>
      <c r="F390" s="420"/>
      <c r="G390" s="420"/>
      <c r="H390" s="554"/>
      <c r="I390" s="40"/>
      <c r="J390" s="40"/>
      <c r="K390" s="40"/>
      <c r="L390" s="40"/>
      <c r="M390" s="40"/>
      <c r="N390" s="40"/>
      <c r="O390" s="40"/>
      <c r="P390" s="40"/>
      <c r="Q390" s="40"/>
      <c r="R390" s="40"/>
      <c r="S390" s="40"/>
      <c r="T390" s="40"/>
      <c r="U390" s="40"/>
      <c r="V390" s="119"/>
      <c r="W390" s="114"/>
      <c r="AE390" s="57"/>
      <c r="AH390" s="52"/>
      <c r="AJ390" s="119"/>
    </row>
    <row r="391" spans="1:36" ht="11.25" customHeight="1">
      <c r="A391" s="106"/>
      <c r="B391" s="420"/>
      <c r="C391" s="420"/>
      <c r="D391" s="420"/>
      <c r="E391" s="420"/>
      <c r="F391" s="420"/>
      <c r="G391" s="420"/>
      <c r="H391" s="554"/>
      <c r="I391" s="40"/>
      <c r="J391" s="40"/>
      <c r="K391" s="40"/>
      <c r="L391" s="40"/>
      <c r="M391" s="40"/>
      <c r="N391" s="40"/>
      <c r="O391" s="40"/>
      <c r="P391" s="40"/>
      <c r="Q391" s="40"/>
      <c r="R391" s="40"/>
      <c r="S391" s="40"/>
      <c r="T391" s="40"/>
      <c r="U391" s="40"/>
      <c r="V391" s="119"/>
      <c r="W391" s="114"/>
      <c r="AE391" s="57"/>
      <c r="AH391" s="52"/>
      <c r="AJ391" s="119"/>
    </row>
    <row r="392" spans="1:36" ht="11.25" customHeight="1">
      <c r="A392" s="106"/>
      <c r="B392" s="420"/>
      <c r="C392" s="420"/>
      <c r="D392" s="420"/>
      <c r="E392" s="420"/>
      <c r="F392" s="420"/>
      <c r="G392" s="420"/>
      <c r="H392" s="554"/>
      <c r="I392" s="40"/>
      <c r="J392" s="40"/>
      <c r="K392" s="40"/>
      <c r="L392" s="40"/>
      <c r="M392" s="40"/>
      <c r="N392" s="40"/>
      <c r="O392" s="40"/>
      <c r="P392" s="40"/>
      <c r="Q392" s="40"/>
      <c r="R392" s="40"/>
      <c r="S392" s="40"/>
      <c r="T392" s="40"/>
      <c r="U392" s="40"/>
      <c r="V392" s="119"/>
      <c r="W392" s="114"/>
      <c r="AE392" s="57"/>
      <c r="AH392" s="52"/>
      <c r="AJ392" s="119"/>
    </row>
    <row r="393" spans="1:36" ht="11.25" customHeight="1">
      <c r="A393" s="106"/>
      <c r="B393" s="420"/>
      <c r="C393" s="420"/>
      <c r="D393" s="420"/>
      <c r="E393" s="420"/>
      <c r="F393" s="420"/>
      <c r="G393" s="420"/>
      <c r="H393" s="554"/>
      <c r="I393" s="40"/>
      <c r="J393" s="40"/>
      <c r="K393" s="40"/>
      <c r="L393" s="40"/>
      <c r="M393" s="40"/>
      <c r="N393" s="40"/>
      <c r="O393" s="40"/>
      <c r="P393" s="40"/>
      <c r="Q393" s="40"/>
      <c r="R393" s="40"/>
      <c r="S393" s="40"/>
      <c r="T393" s="40"/>
      <c r="U393" s="40"/>
      <c r="V393" s="119"/>
      <c r="W393" s="114"/>
      <c r="AE393" s="57"/>
      <c r="AH393" s="52"/>
      <c r="AJ393" s="119"/>
    </row>
    <row r="394" spans="1:36" ht="11.25" customHeight="1">
      <c r="A394" s="106"/>
      <c r="B394" s="420"/>
      <c r="C394" s="420"/>
      <c r="D394" s="420"/>
      <c r="E394" s="420"/>
      <c r="F394" s="420"/>
      <c r="G394" s="420"/>
      <c r="H394" s="554"/>
      <c r="I394" s="40"/>
      <c r="J394" s="40"/>
      <c r="K394" s="40"/>
      <c r="L394" s="40"/>
      <c r="M394" s="40"/>
      <c r="N394" s="40"/>
      <c r="O394" s="40"/>
      <c r="P394" s="40"/>
      <c r="Q394" s="40"/>
      <c r="R394" s="40"/>
      <c r="S394" s="40"/>
      <c r="T394" s="40"/>
      <c r="U394" s="40"/>
      <c r="V394" s="119"/>
      <c r="W394" s="114"/>
      <c r="AE394" s="57"/>
      <c r="AH394" s="52"/>
      <c r="AJ394" s="119"/>
    </row>
    <row r="395" spans="1:36" ht="11.25" customHeight="1">
      <c r="A395" s="106"/>
      <c r="B395" s="420"/>
      <c r="C395" s="420"/>
      <c r="D395" s="420"/>
      <c r="E395" s="420"/>
      <c r="F395" s="420"/>
      <c r="G395" s="420"/>
      <c r="H395" s="554"/>
      <c r="I395" s="40"/>
      <c r="J395" s="40"/>
      <c r="K395" s="40"/>
      <c r="L395" s="40"/>
      <c r="M395" s="40"/>
      <c r="N395" s="40"/>
      <c r="O395" s="40"/>
      <c r="P395" s="40"/>
      <c r="Q395" s="40"/>
      <c r="R395" s="40"/>
      <c r="S395" s="40"/>
      <c r="T395" s="40"/>
      <c r="U395" s="40"/>
      <c r="V395" s="119"/>
      <c r="W395" s="114"/>
      <c r="AE395" s="57"/>
      <c r="AH395" s="52"/>
      <c r="AJ395" s="119"/>
    </row>
    <row r="396" spans="1:36" ht="11.25" customHeight="1">
      <c r="A396" s="106"/>
      <c r="B396" s="420"/>
      <c r="C396" s="420"/>
      <c r="D396" s="420"/>
      <c r="E396" s="420"/>
      <c r="F396" s="420"/>
      <c r="G396" s="420"/>
      <c r="H396" s="554"/>
      <c r="I396" s="40"/>
      <c r="J396" s="40"/>
      <c r="K396" s="40"/>
      <c r="L396" s="40"/>
      <c r="M396" s="40"/>
      <c r="N396" s="40"/>
      <c r="O396" s="40"/>
      <c r="P396" s="40"/>
      <c r="Q396" s="40"/>
      <c r="R396" s="40"/>
      <c r="S396" s="40"/>
      <c r="T396" s="40"/>
      <c r="U396" s="40"/>
      <c r="V396" s="119"/>
      <c r="W396" s="114"/>
      <c r="AE396" s="57"/>
      <c r="AH396" s="52"/>
      <c r="AJ396" s="119"/>
    </row>
    <row r="397" spans="1:36" ht="11.25" customHeight="1">
      <c r="A397" s="106"/>
      <c r="B397" s="420"/>
      <c r="C397" s="420"/>
      <c r="D397" s="420"/>
      <c r="E397" s="420"/>
      <c r="F397" s="420"/>
      <c r="G397" s="420"/>
      <c r="H397" s="554"/>
      <c r="I397" s="40"/>
      <c r="J397" s="40"/>
      <c r="K397" s="40"/>
      <c r="L397" s="40"/>
      <c r="M397" s="40"/>
      <c r="N397" s="40"/>
      <c r="O397" s="40"/>
      <c r="P397" s="40"/>
      <c r="Q397" s="40"/>
      <c r="R397" s="40"/>
      <c r="S397" s="40"/>
      <c r="T397" s="40"/>
      <c r="U397" s="40"/>
      <c r="V397" s="119"/>
      <c r="W397" s="114"/>
      <c r="AE397" s="57"/>
      <c r="AH397" s="52"/>
      <c r="AJ397" s="119"/>
    </row>
    <row r="398" spans="1:36" ht="11.25" customHeight="1">
      <c r="A398" s="106"/>
      <c r="B398" s="420"/>
      <c r="C398" s="420"/>
      <c r="D398" s="420"/>
      <c r="E398" s="420"/>
      <c r="F398" s="420"/>
      <c r="G398" s="420"/>
      <c r="H398" s="554"/>
      <c r="I398" s="40"/>
      <c r="J398" s="40"/>
      <c r="K398" s="40"/>
      <c r="L398" s="40"/>
      <c r="M398" s="40"/>
      <c r="N398" s="40"/>
      <c r="O398" s="40"/>
      <c r="P398" s="40"/>
      <c r="Q398" s="40"/>
      <c r="R398" s="40"/>
      <c r="S398" s="40"/>
      <c r="T398" s="40"/>
      <c r="U398" s="40"/>
      <c r="V398" s="119"/>
      <c r="W398" s="114"/>
      <c r="AE398" s="57"/>
      <c r="AH398" s="52"/>
      <c r="AJ398" s="119"/>
    </row>
    <row r="399" spans="1:36" ht="11.25" customHeight="1">
      <c r="A399" s="106"/>
      <c r="B399" s="420"/>
      <c r="C399" s="420"/>
      <c r="D399" s="420"/>
      <c r="E399" s="420"/>
      <c r="F399" s="420"/>
      <c r="G399" s="420"/>
      <c r="H399" s="554"/>
      <c r="I399" s="40"/>
      <c r="J399" s="40"/>
      <c r="K399" s="40"/>
      <c r="L399" s="40"/>
      <c r="M399" s="40"/>
      <c r="N399" s="40"/>
      <c r="O399" s="40"/>
      <c r="P399" s="40"/>
      <c r="Q399" s="40"/>
      <c r="R399" s="40"/>
      <c r="S399" s="40"/>
      <c r="T399" s="40"/>
      <c r="U399" s="40"/>
      <c r="V399" s="119"/>
      <c r="W399" s="114"/>
      <c r="AE399" s="57"/>
      <c r="AH399" s="52"/>
      <c r="AJ399" s="119"/>
    </row>
    <row r="400" spans="1:36" ht="11.25" customHeight="1">
      <c r="A400" s="106"/>
      <c r="B400" s="420"/>
      <c r="C400" s="420"/>
      <c r="D400" s="420"/>
      <c r="E400" s="420"/>
      <c r="F400" s="420"/>
      <c r="G400" s="420"/>
      <c r="H400" s="554"/>
      <c r="I400" s="40"/>
      <c r="J400" s="40"/>
      <c r="K400" s="40"/>
      <c r="L400" s="40"/>
      <c r="M400" s="40"/>
      <c r="N400" s="40"/>
      <c r="O400" s="40"/>
      <c r="P400" s="40"/>
      <c r="Q400" s="40"/>
      <c r="R400" s="40"/>
      <c r="S400" s="40"/>
      <c r="T400" s="40"/>
      <c r="U400" s="40"/>
      <c r="V400" s="119"/>
      <c r="W400" s="114"/>
      <c r="AE400" s="57"/>
      <c r="AH400" s="52"/>
      <c r="AJ400" s="119"/>
    </row>
    <row r="401" spans="1:76" ht="11.25" customHeight="1">
      <c r="A401" s="106"/>
      <c r="B401" s="420"/>
      <c r="C401" s="420"/>
      <c r="D401" s="420"/>
      <c r="E401" s="420"/>
      <c r="F401" s="420"/>
      <c r="G401" s="420"/>
      <c r="H401" s="554"/>
      <c r="I401" s="40"/>
      <c r="J401" s="40"/>
      <c r="K401" s="40"/>
      <c r="L401" s="40"/>
      <c r="M401" s="40"/>
      <c r="N401" s="40"/>
      <c r="O401" s="40"/>
      <c r="P401" s="40"/>
      <c r="Q401" s="40"/>
      <c r="R401" s="40"/>
      <c r="S401" s="40"/>
      <c r="T401" s="40"/>
      <c r="U401" s="40"/>
      <c r="V401" s="119"/>
      <c r="W401" s="114"/>
      <c r="AE401" s="57"/>
      <c r="AH401" s="52"/>
      <c r="AJ401" s="119"/>
    </row>
    <row r="402" spans="1:76" ht="11.25" customHeight="1">
      <c r="A402" s="106"/>
      <c r="B402" s="420"/>
      <c r="C402" s="420"/>
      <c r="D402" s="420"/>
      <c r="E402" s="420"/>
      <c r="F402" s="420"/>
      <c r="G402" s="420"/>
      <c r="H402" s="554"/>
      <c r="I402" s="40"/>
      <c r="J402" s="40"/>
      <c r="K402" s="40"/>
      <c r="L402" s="40"/>
      <c r="M402" s="40"/>
      <c r="N402" s="40"/>
      <c r="O402" s="40"/>
      <c r="P402" s="40"/>
      <c r="Q402" s="40"/>
      <c r="R402" s="40"/>
      <c r="S402" s="40"/>
      <c r="T402" s="40"/>
      <c r="U402" s="40"/>
      <c r="V402" s="119"/>
      <c r="W402" s="114"/>
      <c r="AE402" s="57"/>
      <c r="AH402" s="52"/>
      <c r="AJ402" s="119"/>
    </row>
    <row r="403" spans="1:76" ht="11.25" customHeight="1">
      <c r="A403" s="106"/>
      <c r="B403" s="420"/>
      <c r="C403" s="420"/>
      <c r="D403" s="420"/>
      <c r="E403" s="420"/>
      <c r="F403" s="420"/>
      <c r="G403" s="420"/>
      <c r="H403" s="554"/>
      <c r="I403" s="40"/>
      <c r="J403" s="40"/>
      <c r="K403" s="40"/>
      <c r="L403" s="40"/>
      <c r="M403" s="40"/>
      <c r="N403" s="40"/>
      <c r="O403" s="40"/>
      <c r="P403" s="40"/>
      <c r="Q403" s="40"/>
      <c r="R403" s="40"/>
      <c r="S403" s="40"/>
      <c r="T403" s="40"/>
      <c r="U403" s="40"/>
      <c r="V403" s="119"/>
      <c r="W403" s="114"/>
      <c r="AE403" s="57"/>
      <c r="AH403" s="52"/>
      <c r="AJ403" s="119"/>
    </row>
    <row r="404" spans="1:76" ht="11.25" customHeight="1">
      <c r="A404" s="106"/>
      <c r="B404" s="420"/>
      <c r="C404" s="420"/>
      <c r="D404" s="420"/>
      <c r="E404" s="420"/>
      <c r="F404" s="420"/>
      <c r="G404" s="420"/>
      <c r="H404" s="554"/>
      <c r="I404" s="40"/>
      <c r="J404" s="40"/>
      <c r="K404" s="40"/>
      <c r="L404" s="40"/>
      <c r="M404" s="40"/>
      <c r="N404" s="40"/>
      <c r="O404" s="40"/>
      <c r="P404" s="40"/>
      <c r="Q404" s="40"/>
      <c r="R404" s="40"/>
      <c r="S404" s="40"/>
      <c r="T404" s="40"/>
      <c r="U404" s="40"/>
      <c r="V404" s="119"/>
      <c r="W404" s="114"/>
      <c r="AE404" s="57"/>
      <c r="AH404" s="52"/>
      <c r="AJ404" s="119"/>
    </row>
    <row r="405" spans="1:76" ht="11.25" customHeight="1">
      <c r="A405" s="106"/>
      <c r="B405" s="420"/>
      <c r="C405" s="420"/>
      <c r="D405" s="420"/>
      <c r="E405" s="420"/>
      <c r="F405" s="420"/>
      <c r="G405" s="420"/>
      <c r="H405" s="554"/>
      <c r="I405" s="40"/>
      <c r="J405" s="40"/>
      <c r="K405" s="40"/>
      <c r="L405" s="40"/>
      <c r="M405" s="40"/>
      <c r="N405" s="40"/>
      <c r="O405" s="40"/>
      <c r="P405" s="40"/>
      <c r="Q405" s="40"/>
      <c r="R405" s="40"/>
      <c r="S405" s="40"/>
      <c r="T405" s="40"/>
      <c r="U405" s="40"/>
      <c r="V405" s="119"/>
      <c r="W405" s="114"/>
      <c r="AE405" s="57"/>
      <c r="AH405" s="52"/>
      <c r="AJ405" s="119"/>
    </row>
    <row r="406" spans="1:76" ht="11.25" customHeight="1">
      <c r="A406" s="106"/>
      <c r="B406" s="420"/>
      <c r="C406" s="420"/>
      <c r="D406" s="420"/>
      <c r="E406" s="420"/>
      <c r="F406" s="420"/>
      <c r="G406" s="420"/>
      <c r="H406" s="554"/>
      <c r="I406" s="40"/>
      <c r="J406" s="40"/>
      <c r="K406" s="40"/>
      <c r="L406" s="40"/>
      <c r="M406" s="40"/>
      <c r="N406" s="40"/>
      <c r="O406" s="40"/>
      <c r="P406" s="40"/>
      <c r="Q406" s="40"/>
      <c r="R406" s="40"/>
      <c r="S406" s="40"/>
      <c r="T406" s="40"/>
      <c r="U406" s="40"/>
      <c r="V406" s="119"/>
      <c r="W406" s="114"/>
      <c r="AE406" s="57"/>
      <c r="AH406" s="52"/>
      <c r="AJ406" s="119"/>
      <c r="BD406" s="55"/>
      <c r="BE406" s="55"/>
      <c r="BF406" s="55"/>
      <c r="BG406" s="55"/>
      <c r="BH406" s="55"/>
      <c r="BI406" s="55"/>
      <c r="BJ406" s="55"/>
      <c r="BK406" s="55"/>
      <c r="BL406" s="55"/>
      <c r="BM406" s="55"/>
      <c r="BN406" s="55"/>
      <c r="BO406" s="55"/>
      <c r="BP406" s="55"/>
      <c r="BQ406" s="55"/>
      <c r="BR406" s="55"/>
      <c r="BS406" s="55"/>
      <c r="BT406" s="55"/>
      <c r="BU406" s="55"/>
      <c r="BV406" s="55"/>
      <c r="BW406" s="55"/>
      <c r="BX406" s="55"/>
    </row>
    <row r="407" spans="1:76" ht="11.25" customHeight="1">
      <c r="A407" s="106"/>
      <c r="B407" s="420"/>
      <c r="C407" s="420"/>
      <c r="D407" s="420"/>
      <c r="E407" s="420"/>
      <c r="F407" s="420"/>
      <c r="G407" s="420"/>
      <c r="H407" s="554"/>
      <c r="I407" s="40"/>
      <c r="J407" s="40"/>
      <c r="K407" s="40"/>
      <c r="L407" s="40"/>
      <c r="M407" s="40"/>
      <c r="N407" s="40"/>
      <c r="O407" s="40"/>
      <c r="P407" s="40"/>
      <c r="Q407" s="40"/>
      <c r="R407" s="40"/>
      <c r="S407" s="40"/>
      <c r="T407" s="40"/>
      <c r="U407" s="40"/>
      <c r="V407" s="119"/>
      <c r="W407" s="114"/>
      <c r="AE407" s="57"/>
      <c r="AH407" s="52"/>
      <c r="AJ407" s="119"/>
    </row>
    <row r="408" spans="1:76" s="55" customFormat="1" ht="11.25" customHeight="1">
      <c r="A408" s="106"/>
      <c r="B408" s="420"/>
      <c r="C408" s="420"/>
      <c r="D408" s="420"/>
      <c r="E408" s="420"/>
      <c r="F408" s="420"/>
      <c r="G408" s="420"/>
      <c r="H408" s="554"/>
      <c r="I408" s="40"/>
      <c r="J408" s="40"/>
      <c r="K408" s="40"/>
      <c r="L408" s="40"/>
      <c r="M408" s="40"/>
      <c r="N408" s="40"/>
      <c r="O408" s="40"/>
      <c r="P408" s="40"/>
      <c r="Q408" s="40"/>
      <c r="R408" s="40"/>
      <c r="S408" s="40"/>
      <c r="T408" s="40"/>
      <c r="U408" s="40"/>
      <c r="V408" s="119"/>
      <c r="W408" s="114"/>
      <c r="X408" s="251"/>
      <c r="Y408" s="251"/>
      <c r="Z408" s="251"/>
      <c r="AA408" s="251"/>
      <c r="AB408" s="251"/>
      <c r="AC408" s="251"/>
      <c r="AD408" s="251"/>
      <c r="AE408" s="57"/>
      <c r="AF408" s="56"/>
      <c r="AG408" s="56"/>
      <c r="AH408" s="52"/>
      <c r="AI408" s="52"/>
      <c r="AJ408" s="119"/>
      <c r="AK408" s="52"/>
      <c r="AL408" s="52"/>
      <c r="AM408" s="52"/>
      <c r="AN408" s="52"/>
      <c r="AO408" s="52"/>
      <c r="AP408" s="52"/>
      <c r="AQ408" s="52"/>
      <c r="AR408" s="52"/>
      <c r="AS408" s="52"/>
      <c r="AT408" s="52"/>
      <c r="AU408" s="52"/>
      <c r="AV408" s="52"/>
      <c r="AW408" s="52"/>
      <c r="AX408" s="52"/>
      <c r="AY408" s="52"/>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c r="BX408" s="52"/>
    </row>
    <row r="409" spans="1:76" ht="11.25" customHeight="1">
      <c r="A409" s="711"/>
      <c r="B409" s="712"/>
      <c r="C409" s="713"/>
      <c r="D409" s="713"/>
      <c r="E409" s="713"/>
      <c r="F409" s="152"/>
      <c r="G409" s="152"/>
      <c r="H409" s="714"/>
      <c r="I409" s="152"/>
      <c r="J409" s="152"/>
      <c r="K409" s="152"/>
      <c r="L409" s="152"/>
      <c r="M409" s="152"/>
      <c r="N409" s="152"/>
      <c r="O409" s="152"/>
      <c r="P409" s="152"/>
      <c r="Q409" s="152"/>
      <c r="R409" s="152"/>
      <c r="S409" s="859"/>
      <c r="T409" s="151"/>
      <c r="U409" s="151"/>
      <c r="V409" s="865"/>
      <c r="W409" s="1232"/>
      <c r="AE409" s="57"/>
      <c r="AH409" s="52"/>
      <c r="AJ409" s="184"/>
    </row>
    <row r="410" spans="1:76" ht="11.25" customHeight="1">
      <c r="J410" s="52"/>
      <c r="V410" s="52"/>
      <c r="AE410" s="57"/>
      <c r="AH410" s="52"/>
    </row>
    <row r="411" spans="1:76" ht="11.25" customHeight="1">
      <c r="J411" s="52"/>
      <c r="V411" s="52"/>
      <c r="AE411" s="57"/>
      <c r="AH411" s="52"/>
    </row>
    <row r="412" spans="1:76" ht="11.25" customHeight="1">
      <c r="J412" s="52"/>
      <c r="V412" s="52"/>
      <c r="AE412" s="57"/>
      <c r="AH412" s="52"/>
    </row>
    <row r="413" spans="1:76" ht="11.25" customHeight="1">
      <c r="J413" s="52"/>
      <c r="V413" s="52"/>
      <c r="AE413" s="57"/>
      <c r="AH413" s="52"/>
    </row>
    <row r="414" spans="1:76" ht="11.25" customHeight="1">
      <c r="J414" s="52"/>
      <c r="V414" s="52"/>
      <c r="AE414" s="57"/>
      <c r="AH414" s="52"/>
    </row>
    <row r="415" spans="1:76" ht="11.25" customHeight="1">
      <c r="J415" s="52"/>
      <c r="V415" s="52"/>
      <c r="AE415" s="57"/>
      <c r="AH415" s="52"/>
    </row>
    <row r="416" spans="1:76" ht="11.25" customHeight="1">
      <c r="J416" s="52"/>
      <c r="V416" s="52"/>
      <c r="AE416" s="57"/>
      <c r="AH416" s="52"/>
    </row>
    <row r="417" spans="10:34" ht="11.25" customHeight="1">
      <c r="J417" s="52"/>
      <c r="V417" s="52"/>
      <c r="AE417" s="57"/>
      <c r="AH417" s="52"/>
    </row>
    <row r="418" spans="10:34" ht="11.25" customHeight="1">
      <c r="J418" s="52"/>
      <c r="V418" s="52"/>
      <c r="AE418" s="57"/>
      <c r="AH418" s="52"/>
    </row>
    <row r="419" spans="10:34" ht="11.25" customHeight="1">
      <c r="J419" s="52"/>
      <c r="V419" s="52"/>
      <c r="AE419" s="57"/>
      <c r="AH419" s="52"/>
    </row>
    <row r="420" spans="10:34" ht="11.25" customHeight="1">
      <c r="J420" s="52"/>
      <c r="V420" s="52"/>
    </row>
    <row r="421" spans="10:34" ht="11.25" customHeight="1">
      <c r="J421" s="52"/>
      <c r="V421" s="52"/>
    </row>
    <row r="530" spans="37:37" ht="11.25" customHeight="1">
      <c r="AK530" s="52" t="b">
        <v>1</v>
      </c>
    </row>
  </sheetData>
  <mergeCells count="99">
    <mergeCell ref="A237:U237"/>
    <mergeCell ref="A303:T303"/>
    <mergeCell ref="B274:B275"/>
    <mergeCell ref="I310:I313"/>
    <mergeCell ref="K310:P310"/>
    <mergeCell ref="Q310:Q313"/>
    <mergeCell ref="O313:P313"/>
    <mergeCell ref="B239:H240"/>
    <mergeCell ref="B241:B242"/>
    <mergeCell ref="A270:T270"/>
    <mergeCell ref="B272:H273"/>
    <mergeCell ref="L311:L312"/>
    <mergeCell ref="M311:M312"/>
    <mergeCell ref="N311:N312"/>
    <mergeCell ref="Q231:T231"/>
    <mergeCell ref="Q230:T230"/>
    <mergeCell ref="L231:O231"/>
    <mergeCell ref="L230:O230"/>
    <mergeCell ref="Q62:T62"/>
    <mergeCell ref="B174:T175"/>
    <mergeCell ref="B176:B179"/>
    <mergeCell ref="D176:H176"/>
    <mergeCell ref="I176:I179"/>
    <mergeCell ref="K176:P176"/>
    <mergeCell ref="O179:P179"/>
    <mergeCell ref="A204:U204"/>
    <mergeCell ref="B105:H106"/>
    <mergeCell ref="S176:T178"/>
    <mergeCell ref="D177:D178"/>
    <mergeCell ref="E177:E178"/>
    <mergeCell ref="F177:F178"/>
    <mergeCell ref="G177:G178"/>
    <mergeCell ref="H177:H178"/>
    <mergeCell ref="K177:K178"/>
    <mergeCell ref="L177:L178"/>
    <mergeCell ref="B5:T6"/>
    <mergeCell ref="B7:B10"/>
    <mergeCell ref="D7:H7"/>
    <mergeCell ref="I7:I10"/>
    <mergeCell ref="Q7:Q10"/>
    <mergeCell ref="K7:P7"/>
    <mergeCell ref="O10:P10"/>
    <mergeCell ref="D8:D9"/>
    <mergeCell ref="E8:E9"/>
    <mergeCell ref="F8:F9"/>
    <mergeCell ref="G8:G9"/>
    <mergeCell ref="H8:H9"/>
    <mergeCell ref="K8:K9"/>
    <mergeCell ref="L8:L9"/>
    <mergeCell ref="M8:M9"/>
    <mergeCell ref="N8:N9"/>
    <mergeCell ref="AA7:AE7"/>
    <mergeCell ref="Y8:Y10"/>
    <mergeCell ref="Z8:Z10"/>
    <mergeCell ref="Y7:Z7"/>
    <mergeCell ref="M177:M178"/>
    <mergeCell ref="N177:N178"/>
    <mergeCell ref="O177:P178"/>
    <mergeCell ref="Q176:Q179"/>
    <mergeCell ref="A34:U34"/>
    <mergeCell ref="A35:U35"/>
    <mergeCell ref="O8:P9"/>
    <mergeCell ref="S7:T9"/>
    <mergeCell ref="A103:U103"/>
    <mergeCell ref="Q61:T61"/>
    <mergeCell ref="L62:O62"/>
    <mergeCell ref="L61:O61"/>
    <mergeCell ref="A371:U371"/>
    <mergeCell ref="A370:U370"/>
    <mergeCell ref="A337:U337"/>
    <mergeCell ref="A338:U338"/>
    <mergeCell ref="Y309:Y310"/>
    <mergeCell ref="L364:O364"/>
    <mergeCell ref="L365:O365"/>
    <mergeCell ref="Q365:T365"/>
    <mergeCell ref="Q364:T364"/>
    <mergeCell ref="S310:T312"/>
    <mergeCell ref="D311:D312"/>
    <mergeCell ref="E311:E312"/>
    <mergeCell ref="F311:F312"/>
    <mergeCell ref="G311:G312"/>
    <mergeCell ref="H311:H312"/>
    <mergeCell ref="K311:K312"/>
    <mergeCell ref="Z309:Z310"/>
    <mergeCell ref="B308:T309"/>
    <mergeCell ref="B310:B313"/>
    <mergeCell ref="D310:H310"/>
    <mergeCell ref="A67:U67"/>
    <mergeCell ref="A68:U68"/>
    <mergeCell ref="A135:U135"/>
    <mergeCell ref="A136:U136"/>
    <mergeCell ref="B138:H139"/>
    <mergeCell ref="A102:U102"/>
    <mergeCell ref="O311:P312"/>
    <mergeCell ref="A168:U168"/>
    <mergeCell ref="A169:U169"/>
    <mergeCell ref="B107:B108"/>
    <mergeCell ref="B140:B141"/>
    <mergeCell ref="A236:U236"/>
  </mergeCells>
  <conditionalFormatting sqref="A1:A202">
    <cfRule type="containsErrors" dxfId="256" priority="2">
      <formula>ISERROR(A1)</formula>
    </cfRule>
  </conditionalFormatting>
  <conditionalFormatting sqref="A11:A31 A109:A129 A142:A162 A180:A200 A243:A263 A276:A296 A314:A334">
    <cfRule type="cellIs" dxfId="255" priority="215" operator="equal">
      <formula>0</formula>
    </cfRule>
  </conditionalFormatting>
  <conditionalFormatting sqref="A35">
    <cfRule type="cellIs" dxfId="254" priority="197" operator="equal">
      <formula>0</formula>
    </cfRule>
  </conditionalFormatting>
  <conditionalFormatting sqref="A68">
    <cfRule type="cellIs" dxfId="253" priority="195" operator="equal">
      <formula>0</formula>
    </cfRule>
  </conditionalFormatting>
  <conditionalFormatting sqref="A103">
    <cfRule type="cellIs" dxfId="252" priority="1" operator="equal">
      <formula>0</formula>
    </cfRule>
  </conditionalFormatting>
  <conditionalFormatting sqref="A136">
    <cfRule type="cellIs" dxfId="251" priority="191" operator="equal">
      <formula>0</formula>
    </cfRule>
  </conditionalFormatting>
  <conditionalFormatting sqref="A169">
    <cfRule type="cellIs" dxfId="250" priority="189" operator="equal">
      <formula>0</formula>
    </cfRule>
  </conditionalFormatting>
  <conditionalFormatting sqref="A204:A237">
    <cfRule type="containsErrors" dxfId="249" priority="165">
      <formula>ISERROR(A204)</formula>
    </cfRule>
  </conditionalFormatting>
  <conditionalFormatting sqref="A237">
    <cfRule type="cellIs" dxfId="248" priority="164" operator="equal">
      <formula>0</formula>
    </cfRule>
  </conditionalFormatting>
  <conditionalFormatting sqref="A304:A371">
    <cfRule type="containsErrors" dxfId="247" priority="74">
      <formula>ISERROR(A304)</formula>
    </cfRule>
  </conditionalFormatting>
  <conditionalFormatting sqref="A338">
    <cfRule type="cellIs" dxfId="246" priority="98" operator="equal">
      <formula>0</formula>
    </cfRule>
  </conditionalFormatting>
  <conditionalFormatting sqref="A371">
    <cfRule type="cellIs" dxfId="245" priority="96" operator="equal">
      <formula>0</formula>
    </cfRule>
  </conditionalFormatting>
  <conditionalFormatting sqref="A422:A1048576">
    <cfRule type="containsErrors" dxfId="244" priority="207">
      <formula>ISERROR(A422)</formula>
    </cfRule>
  </conditionalFormatting>
  <conditionalFormatting sqref="A243:B261">
    <cfRule type="containsErrors" dxfId="243" priority="4">
      <formula>ISERROR(A243)</formula>
    </cfRule>
  </conditionalFormatting>
  <conditionalFormatting sqref="A276:B294">
    <cfRule type="containsErrors" dxfId="242" priority="5">
      <formula>ISERROR(A276)</formula>
    </cfRule>
  </conditionalFormatting>
  <conditionalFormatting sqref="B11:B29 D11:I29 K11:O29 S11:T29 P11:Q30 P31 B48:C63 B142:B160 D142:H160 B180:B198 D180:I198 K180:O198 Q180:Q198 S180:T198 P180:P200 B217:C232 B243:B261 D243:H261 B276:B294 D276:H294 B314:B332 D314:I332 K314:O332 Q314:Q332 S314:T332 P314:P334 B351:C366">
    <cfRule type="expression" dxfId="241" priority="5094">
      <formula>$B11=$Y$4</formula>
    </cfRule>
  </conditionalFormatting>
  <conditionalFormatting sqref="B109:B127 D109:H127">
    <cfRule type="containsErrors" dxfId="240" priority="5091">
      <formula>ISERROR(B109)</formula>
    </cfRule>
    <cfRule type="expression" dxfId="239" priority="5090">
      <formula>$B109=$Y$4</formula>
    </cfRule>
  </conditionalFormatting>
  <conditionalFormatting sqref="B262:B263 D262:H263">
    <cfRule type="expression" dxfId="238" priority="5282">
      <formula>#REF!=$Y$4</formula>
    </cfRule>
  </conditionalFormatting>
  <conditionalFormatting sqref="B295:B296 D295:H296">
    <cfRule type="expression" dxfId="237" priority="5198">
      <formula>$B358=$Y$4</formula>
    </cfRule>
  </conditionalFormatting>
  <conditionalFormatting sqref="B217:C232">
    <cfRule type="containsErrors" dxfId="236" priority="235">
      <formula>ISERROR(B217)</formula>
    </cfRule>
  </conditionalFormatting>
  <conditionalFormatting sqref="B351:C366">
    <cfRule type="containsErrors" dxfId="235" priority="110">
      <formula>ISERROR(B351)</formula>
    </cfRule>
  </conditionalFormatting>
  <conditionalFormatting sqref="D8:H8">
    <cfRule type="containsErrors" dxfId="234" priority="15">
      <formula>ISERROR(D8)</formula>
    </cfRule>
  </conditionalFormatting>
  <conditionalFormatting sqref="D10:H10">
    <cfRule type="containsErrors" dxfId="233" priority="16">
      <formula>ISERROR(D10)</formula>
    </cfRule>
  </conditionalFormatting>
  <conditionalFormatting sqref="D107:H107">
    <cfRule type="containsErrors" dxfId="232" priority="134">
      <formula>ISERROR(D107)</formula>
    </cfRule>
  </conditionalFormatting>
  <conditionalFormatting sqref="D108:H108">
    <cfRule type="containsErrors" dxfId="231" priority="135">
      <formula>ISERROR(D108)</formula>
    </cfRule>
  </conditionalFormatting>
  <conditionalFormatting sqref="D128:H128">
    <cfRule type="containsErrors" dxfId="230" priority="61">
      <formula>ISERROR(D128)</formula>
    </cfRule>
  </conditionalFormatting>
  <conditionalFormatting sqref="D129:H129">
    <cfRule type="containsErrors" dxfId="229" priority="202">
      <formula>ISERROR(D129)</formula>
    </cfRule>
  </conditionalFormatting>
  <conditionalFormatting sqref="D140:H140">
    <cfRule type="containsErrors" dxfId="228" priority="132">
      <formula>ISERROR(D140)</formula>
    </cfRule>
  </conditionalFormatting>
  <conditionalFormatting sqref="D141:H141">
    <cfRule type="containsErrors" dxfId="227" priority="133">
      <formula>ISERROR(D141)</formula>
    </cfRule>
  </conditionalFormatting>
  <conditionalFormatting sqref="D177:H177">
    <cfRule type="containsErrors" dxfId="226" priority="11">
      <formula>ISERROR(D177)</formula>
    </cfRule>
  </conditionalFormatting>
  <conditionalFormatting sqref="D179:H179">
    <cfRule type="containsErrors" dxfId="225" priority="12">
      <formula>ISERROR(D179)</formula>
    </cfRule>
  </conditionalFormatting>
  <conditionalFormatting sqref="D241:H241">
    <cfRule type="containsErrors" dxfId="224" priority="26">
      <formula>ISERROR(D241)</formula>
    </cfRule>
  </conditionalFormatting>
  <conditionalFormatting sqref="D242:H242">
    <cfRule type="containsErrors" dxfId="223" priority="27">
      <formula>ISERROR(D242)</formula>
    </cfRule>
  </conditionalFormatting>
  <conditionalFormatting sqref="D262:H262 D295:H295">
    <cfRule type="containsErrors" dxfId="222" priority="50">
      <formula>ISERROR(D262)</formula>
    </cfRule>
  </conditionalFormatting>
  <conditionalFormatting sqref="D263:H263 D296:H296">
    <cfRule type="containsErrors" dxfId="221" priority="49">
      <formula>ISERROR(D263)</formula>
    </cfRule>
  </conditionalFormatting>
  <conditionalFormatting sqref="D274:H274">
    <cfRule type="containsErrors" dxfId="220" priority="24">
      <formula>ISERROR(D274)</formula>
    </cfRule>
  </conditionalFormatting>
  <conditionalFormatting sqref="D275:H275">
    <cfRule type="containsErrors" dxfId="219" priority="25">
      <formula>ISERROR(D275)</formula>
    </cfRule>
  </conditionalFormatting>
  <conditionalFormatting sqref="D311:H311">
    <cfRule type="containsErrors" dxfId="218" priority="7">
      <formula>ISERROR(D311)</formula>
    </cfRule>
  </conditionalFormatting>
  <conditionalFormatting sqref="D313:H313">
    <cfRule type="containsErrors" dxfId="217" priority="8">
      <formula>ISERROR(D313)</formula>
    </cfRule>
  </conditionalFormatting>
  <conditionalFormatting sqref="D11:I29 D180:I198 Q180:Q198 D314:I332 Q314:Q332 B11:B29 K11:O29 S11:T29 AF11:AG29 B48:C63 B142:B160 D142:H160 AF178:AG194 B180:B198 K180:O198 S180:T198 AG195 AF196:AG196 D243:H261 D276:H294 AF311:AG327 B314:B332 K314:O332 S314:T332 AG328:AG329">
    <cfRule type="containsErrors" dxfId="216" priority="237">
      <formula>ISERROR(B11)</formula>
    </cfRule>
  </conditionalFormatting>
  <conditionalFormatting sqref="D31:O31">
    <cfRule type="containsErrors" dxfId="215" priority="116">
      <formula>ISERROR(D31)</formula>
    </cfRule>
  </conditionalFormatting>
  <conditionalFormatting sqref="D200:O200">
    <cfRule type="containsErrors" dxfId="214" priority="112">
      <formula>ISERROR(D200)</formula>
    </cfRule>
  </conditionalFormatting>
  <conditionalFormatting sqref="D334:O334">
    <cfRule type="containsErrors" dxfId="213" priority="82">
      <formula>ISERROR(D334)</formula>
    </cfRule>
  </conditionalFormatting>
  <conditionalFormatting sqref="I11:I29 Q11:Q29 I180:I198 Q180:Q198 I314:I332 Q314:Q332">
    <cfRule type="containsErrors" dxfId="212" priority="178">
      <formula>ISERROR(I11)</formula>
    </cfRule>
  </conditionalFormatting>
  <conditionalFormatting sqref="K8:O8">
    <cfRule type="containsErrors" dxfId="211" priority="14">
      <formula>ISERROR(K8)</formula>
    </cfRule>
  </conditionalFormatting>
  <conditionalFormatting sqref="K10:O10">
    <cfRule type="containsErrors" dxfId="210" priority="17">
      <formula>ISERROR(K10)</formula>
    </cfRule>
  </conditionalFormatting>
  <conditionalFormatting sqref="K177:O177">
    <cfRule type="containsErrors" dxfId="209" priority="10">
      <formula>ISERROR(K177)</formula>
    </cfRule>
  </conditionalFormatting>
  <conditionalFormatting sqref="K179:O179">
    <cfRule type="containsErrors" dxfId="208" priority="13">
      <formula>ISERROR(K179)</formula>
    </cfRule>
  </conditionalFormatting>
  <conditionalFormatting sqref="K311:O311">
    <cfRule type="containsErrors" dxfId="207" priority="6">
      <formula>ISERROR(K311)</formula>
    </cfRule>
  </conditionalFormatting>
  <conditionalFormatting sqref="K313:O313">
    <cfRule type="containsErrors" dxfId="206" priority="9">
      <formula>ISERROR(K313)</formula>
    </cfRule>
  </conditionalFormatting>
  <conditionalFormatting sqref="P11:P31">
    <cfRule type="dataBar" priority="4550">
      <dataBar showValue="0">
        <cfvo type="min"/>
        <cfvo type="max"/>
        <color theme="9"/>
      </dataBar>
      <extLst>
        <ext xmlns:x14="http://schemas.microsoft.com/office/spreadsheetml/2009/9/main" uri="{B025F937-C7B1-47D3-B67F-A62EFF666E3E}">
          <x14:id>{2403FCE7-E9CA-4BA9-A83D-360576285C10}</x14:id>
        </ext>
      </extLst>
    </cfRule>
    <cfRule type="containsErrors" dxfId="205" priority="4549">
      <formula>ISERROR(P11)</formula>
    </cfRule>
  </conditionalFormatting>
  <conditionalFormatting sqref="P30:P31">
    <cfRule type="containsErrors" dxfId="204" priority="145">
      <formula>ISERROR(P30)</formula>
    </cfRule>
  </conditionalFormatting>
  <conditionalFormatting sqref="P180:P200">
    <cfRule type="containsErrors" dxfId="203" priority="5085">
      <formula>ISERROR(P180)</formula>
    </cfRule>
    <cfRule type="dataBar" priority="5086">
      <dataBar showValue="0">
        <cfvo type="min"/>
        <cfvo type="max"/>
        <color theme="9"/>
      </dataBar>
      <extLst>
        <ext xmlns:x14="http://schemas.microsoft.com/office/spreadsheetml/2009/9/main" uri="{B025F937-C7B1-47D3-B67F-A62EFF666E3E}">
          <x14:id>{9B4FC7F5-DB7A-4987-B350-DE384486D858}</x14:id>
        </ext>
      </extLst>
    </cfRule>
  </conditionalFormatting>
  <conditionalFormatting sqref="P199:P200">
    <cfRule type="containsErrors" dxfId="202" priority="124">
      <formula>ISERROR(P199)</formula>
    </cfRule>
  </conditionalFormatting>
  <conditionalFormatting sqref="P314:P334">
    <cfRule type="containsErrors" dxfId="201" priority="5259">
      <formula>ISERROR(P314)</formula>
    </cfRule>
    <cfRule type="dataBar" priority="5260">
      <dataBar showValue="0">
        <cfvo type="min"/>
        <cfvo type="max"/>
        <color theme="9"/>
      </dataBar>
      <extLst>
        <ext xmlns:x14="http://schemas.microsoft.com/office/spreadsheetml/2009/9/main" uri="{B025F937-C7B1-47D3-B67F-A62EFF666E3E}">
          <x14:id>{3D2247D4-B315-42E3-BD15-069B216CFCBD}</x14:id>
        </ext>
      </extLst>
    </cfRule>
  </conditionalFormatting>
  <conditionalFormatting sqref="P333:P334">
    <cfRule type="containsErrors" dxfId="200" priority="88">
      <formula>ISERROR(P333)</formula>
    </cfRule>
  </conditionalFormatting>
  <conditionalFormatting sqref="Q31:T31 D162:H162 Q200:T200 Q334:T334">
    <cfRule type="containsErrors" dxfId="199" priority="204">
      <formula>ISERROR(D31)</formula>
    </cfRule>
  </conditionalFormatting>
  <conditionalFormatting sqref="T30">
    <cfRule type="containsErrors" dxfId="198" priority="117">
      <formula>ISERROR(T30)</formula>
    </cfRule>
  </conditionalFormatting>
  <conditionalFormatting sqref="T199">
    <cfRule type="containsErrors" dxfId="197" priority="113">
      <formula>ISERROR(T199)</formula>
    </cfRule>
  </conditionalFormatting>
  <conditionalFormatting sqref="T333">
    <cfRule type="containsErrors" dxfId="196" priority="83">
      <formula>ISERROR(T333)</formula>
    </cfRule>
  </conditionalFormatting>
  <conditionalFormatting sqref="X2:AC3">
    <cfRule type="containsErrors" dxfId="195" priority="136">
      <formula>ISERROR(X2)</formula>
    </cfRule>
  </conditionalFormatting>
  <conditionalFormatting sqref="Y106:AC106">
    <cfRule type="cellIs" dxfId="194" priority="69" stopIfTrue="1" operator="equal">
      <formula>0</formula>
    </cfRule>
  </conditionalFormatting>
  <conditionalFormatting sqref="Y141:AC141">
    <cfRule type="cellIs" dxfId="193" priority="68" stopIfTrue="1" operator="equal">
      <formula>0</formula>
    </cfRule>
  </conditionalFormatting>
  <conditionalFormatting sqref="Y204:AC204">
    <cfRule type="cellIs" dxfId="192" priority="62" stopIfTrue="1" operator="equal">
      <formula>0</formula>
    </cfRule>
  </conditionalFormatting>
  <conditionalFormatting sqref="AA10:AE10">
    <cfRule type="cellIs" dxfId="191" priority="81" stopIfTrue="1" operator="equal">
      <formula>0</formula>
    </cfRule>
  </conditionalFormatting>
  <conditionalFormatting sqref="AA177:AE177">
    <cfRule type="cellIs" dxfId="190" priority="67" stopIfTrue="1" operator="equal">
      <formula>0</formula>
    </cfRule>
  </conditionalFormatting>
  <conditionalFormatting sqref="AA310:AE310">
    <cfRule type="cellIs" dxfId="189" priority="106" stopIfTrue="1" operator="equal">
      <formula>0</formula>
    </cfRule>
  </conditionalFormatting>
  <conditionalFormatting sqref="AF11:AG22 AG12:AG23 AG195">
    <cfRule type="expression" dxfId="188" priority="205">
      <formula>$B11=$W$4</formula>
    </cfRule>
  </conditionalFormatting>
  <conditionalFormatting sqref="AF178:AG189 AG179:AG190 AG327:AG329">
    <cfRule type="expression" dxfId="187" priority="4771">
      <formula>$B180=$W$4</formula>
    </cfRule>
  </conditionalFormatting>
  <conditionalFormatting sqref="AF311:AG322 AG312:AG325">
    <cfRule type="expression" dxfId="186" priority="5265">
      <formula>$B314=$W$4</formula>
    </cfRule>
  </conditionalFormatting>
  <conditionalFormatting sqref="AG24">
    <cfRule type="expression" dxfId="185" priority="4527">
      <formula>#REF!=$W$4</formula>
    </cfRule>
  </conditionalFormatting>
  <conditionalFormatting sqref="AG25:AG27 AG196">
    <cfRule type="expression" dxfId="184" priority="2284">
      <formula>$B24=$W$4</formula>
    </cfRule>
  </conditionalFormatting>
  <conditionalFormatting sqref="AG28 AG326">
    <cfRule type="expression" dxfId="183" priority="2285">
      <formula>#REF!=$W$4</formula>
    </cfRule>
  </conditionalFormatting>
  <conditionalFormatting sqref="AG29">
    <cfRule type="expression" dxfId="182" priority="4158">
      <formula>$B26=$W$4</formula>
    </cfRule>
  </conditionalFormatting>
  <conditionalFormatting sqref="AG191">
    <cfRule type="expression" dxfId="181" priority="5061">
      <formula>#REF!=$W$4</formula>
    </cfRule>
  </conditionalFormatting>
  <conditionalFormatting sqref="AG192:AG193">
    <cfRule type="expression" dxfId="180" priority="4797">
      <formula>$B193=$W$4</formula>
    </cfRule>
  </conditionalFormatting>
  <conditionalFormatting sqref="AG194">
    <cfRule type="expression" dxfId="179" priority="5018">
      <formula>#REF!=$W$4</formula>
    </cfRule>
  </conditionalFormatting>
  <conditionalFormatting sqref="AL204:AP204">
    <cfRule type="cellIs" dxfId="178" priority="66" stopIfTrue="1" operator="equal">
      <formula>0</formula>
    </cfRule>
  </conditionalFormatting>
  <conditionalFormatting sqref="AR204:BA204">
    <cfRule type="cellIs" dxfId="177" priority="65" stopIfTrue="1" operator="equal">
      <formula>0</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2" manualBreakCount="2">
    <brk id="35" max="20" man="1"/>
    <brk id="103" max="20" man="1"/>
  </rowBreaks>
  <drawing r:id="rId2"/>
  <legacyDrawing r:id="rId3"/>
  <mc:AlternateContent xmlns:mc="http://schemas.openxmlformats.org/markup-compatibility/2006">
    <mc:Choice Requires="x14">
      <controls>
        <mc:AlternateContent xmlns:mc="http://schemas.openxmlformats.org/markup-compatibility/2006">
          <mc:Choice Requires="x14">
            <control shapeId="167940" r:id="rId4" name="Check Box 4">
              <controlPr defaultSize="0" autoFill="0" autoLine="0" autoPict="0" macro="[0]!CheckBox1_Click" altText="">
                <anchor>
                  <from>
                    <xdr:col>22</xdr:col>
                    <xdr:colOff>85725</xdr:colOff>
                    <xdr:row>39</xdr:row>
                    <xdr:rowOff>152400</xdr:rowOff>
                  </from>
                  <to>
                    <xdr:col>35</xdr:col>
                    <xdr:colOff>57150</xdr:colOff>
                    <xdr:row>41</xdr:row>
                    <xdr:rowOff>9525</xdr:rowOff>
                  </to>
                </anchor>
              </controlPr>
            </control>
          </mc:Choice>
        </mc:AlternateContent>
        <mc:AlternateContent xmlns:mc="http://schemas.openxmlformats.org/markup-compatibility/2006">
          <mc:Choice Requires="x14">
            <control shapeId="167941" r:id="rId5" name="Check Box 5">
              <controlPr defaultSize="0" autoFill="0" autoLine="0" autoPict="0" macro="[0]!CheckBox1_Click" altText="">
                <anchor>
                  <from>
                    <xdr:col>22</xdr:col>
                    <xdr:colOff>85725</xdr:colOff>
                    <xdr:row>40</xdr:row>
                    <xdr:rowOff>152400</xdr:rowOff>
                  </from>
                  <to>
                    <xdr:col>35</xdr:col>
                    <xdr:colOff>57150</xdr:colOff>
                    <xdr:row>42</xdr:row>
                    <xdr:rowOff>9525</xdr:rowOff>
                  </to>
                </anchor>
              </controlPr>
            </control>
          </mc:Choice>
        </mc:AlternateContent>
        <mc:AlternateContent xmlns:mc="http://schemas.openxmlformats.org/markup-compatibility/2006">
          <mc:Choice Requires="x14">
            <control shapeId="167942" r:id="rId6" name="Check Box 6">
              <controlPr defaultSize="0" autoFill="0" autoLine="0" autoPict="0" macro="[0]!CheckBox1_Click" altText="">
                <anchor>
                  <from>
                    <xdr:col>22</xdr:col>
                    <xdr:colOff>85725</xdr:colOff>
                    <xdr:row>41</xdr:row>
                    <xdr:rowOff>152400</xdr:rowOff>
                  </from>
                  <to>
                    <xdr:col>35</xdr:col>
                    <xdr:colOff>57150</xdr:colOff>
                    <xdr:row>43</xdr:row>
                    <xdr:rowOff>9525</xdr:rowOff>
                  </to>
                </anchor>
              </controlPr>
            </control>
          </mc:Choice>
        </mc:AlternateContent>
        <mc:AlternateContent xmlns:mc="http://schemas.openxmlformats.org/markup-compatibility/2006">
          <mc:Choice Requires="x14">
            <control shapeId="167943" r:id="rId7" name="Check Box 7">
              <controlPr defaultSize="0" autoFill="0" autoLine="0" autoPict="0" macro="[0]!CheckBox1_Click" altText="">
                <anchor>
                  <from>
                    <xdr:col>22</xdr:col>
                    <xdr:colOff>85725</xdr:colOff>
                    <xdr:row>42</xdr:row>
                    <xdr:rowOff>152400</xdr:rowOff>
                  </from>
                  <to>
                    <xdr:col>35</xdr:col>
                    <xdr:colOff>57150</xdr:colOff>
                    <xdr:row>44</xdr:row>
                    <xdr:rowOff>9525</xdr:rowOff>
                  </to>
                </anchor>
              </controlPr>
            </control>
          </mc:Choice>
        </mc:AlternateContent>
        <mc:AlternateContent xmlns:mc="http://schemas.openxmlformats.org/markup-compatibility/2006">
          <mc:Choice Requires="x14">
            <control shapeId="167944" r:id="rId8" name="Check Box 8">
              <controlPr defaultSize="0" autoFill="0" autoLine="0" autoPict="0" macro="[0]!CheckBox1_Click" altText="">
                <anchor>
                  <from>
                    <xdr:col>22</xdr:col>
                    <xdr:colOff>85725</xdr:colOff>
                    <xdr:row>43</xdr:row>
                    <xdr:rowOff>152400</xdr:rowOff>
                  </from>
                  <to>
                    <xdr:col>35</xdr:col>
                    <xdr:colOff>57150</xdr:colOff>
                    <xdr:row>45</xdr:row>
                    <xdr:rowOff>9525</xdr:rowOff>
                  </to>
                </anchor>
              </controlPr>
            </control>
          </mc:Choice>
        </mc:AlternateContent>
        <mc:AlternateContent xmlns:mc="http://schemas.openxmlformats.org/markup-compatibility/2006">
          <mc:Choice Requires="x14">
            <control shapeId="167945" r:id="rId9" name="Check Box 9">
              <controlPr defaultSize="0" autoFill="0" autoLine="0" autoPict="0" macro="[0]!CheckBox1_Click" altText="">
                <anchor>
                  <from>
                    <xdr:col>22</xdr:col>
                    <xdr:colOff>85725</xdr:colOff>
                    <xdr:row>44</xdr:row>
                    <xdr:rowOff>152400</xdr:rowOff>
                  </from>
                  <to>
                    <xdr:col>35</xdr:col>
                    <xdr:colOff>57150</xdr:colOff>
                    <xdr:row>46</xdr:row>
                    <xdr:rowOff>9525</xdr:rowOff>
                  </to>
                </anchor>
              </controlPr>
            </control>
          </mc:Choice>
        </mc:AlternateContent>
        <mc:AlternateContent xmlns:mc="http://schemas.openxmlformats.org/markup-compatibility/2006">
          <mc:Choice Requires="x14">
            <control shapeId="167946" r:id="rId10" name="Check Box 10">
              <controlPr defaultSize="0" autoFill="0" autoLine="0" autoPict="0" macro="[0]!CheckBox1_Click" altText="">
                <anchor>
                  <from>
                    <xdr:col>22</xdr:col>
                    <xdr:colOff>85725</xdr:colOff>
                    <xdr:row>45</xdr:row>
                    <xdr:rowOff>152400</xdr:rowOff>
                  </from>
                  <to>
                    <xdr:col>35</xdr:col>
                    <xdr:colOff>57150</xdr:colOff>
                    <xdr:row>47</xdr:row>
                    <xdr:rowOff>9525</xdr:rowOff>
                  </to>
                </anchor>
              </controlPr>
            </control>
          </mc:Choice>
        </mc:AlternateContent>
        <mc:AlternateContent xmlns:mc="http://schemas.openxmlformats.org/markup-compatibility/2006">
          <mc:Choice Requires="x14">
            <control shapeId="167947" r:id="rId11" name="Check Box 11">
              <controlPr defaultSize="0" autoFill="0" autoLine="0" autoPict="0" macro="[0]!CheckBox1_Click" altText="">
                <anchor>
                  <from>
                    <xdr:col>22</xdr:col>
                    <xdr:colOff>85725</xdr:colOff>
                    <xdr:row>46</xdr:row>
                    <xdr:rowOff>152400</xdr:rowOff>
                  </from>
                  <to>
                    <xdr:col>35</xdr:col>
                    <xdr:colOff>57150</xdr:colOff>
                    <xdr:row>48</xdr:row>
                    <xdr:rowOff>9525</xdr:rowOff>
                  </to>
                </anchor>
              </controlPr>
            </control>
          </mc:Choice>
        </mc:AlternateContent>
        <mc:AlternateContent xmlns:mc="http://schemas.openxmlformats.org/markup-compatibility/2006">
          <mc:Choice Requires="x14">
            <control shapeId="167948" r:id="rId12" name="Check Box 12">
              <controlPr defaultSize="0" autoFill="0" autoLine="0" autoPict="0" macro="[0]!CheckBox1_Click" altText="">
                <anchor>
                  <from>
                    <xdr:col>22</xdr:col>
                    <xdr:colOff>85725</xdr:colOff>
                    <xdr:row>47</xdr:row>
                    <xdr:rowOff>152400</xdr:rowOff>
                  </from>
                  <to>
                    <xdr:col>35</xdr:col>
                    <xdr:colOff>57150</xdr:colOff>
                    <xdr:row>49</xdr:row>
                    <xdr:rowOff>9525</xdr:rowOff>
                  </to>
                </anchor>
              </controlPr>
            </control>
          </mc:Choice>
        </mc:AlternateContent>
        <mc:AlternateContent xmlns:mc="http://schemas.openxmlformats.org/markup-compatibility/2006">
          <mc:Choice Requires="x14">
            <control shapeId="167949" r:id="rId13" name="Check Box 13">
              <controlPr defaultSize="0" autoFill="0" autoLine="0" autoPict="0" macro="[0]!CheckBox1_Click" altText="">
                <anchor>
                  <from>
                    <xdr:col>22</xdr:col>
                    <xdr:colOff>85725</xdr:colOff>
                    <xdr:row>48</xdr:row>
                    <xdr:rowOff>152400</xdr:rowOff>
                  </from>
                  <to>
                    <xdr:col>35</xdr:col>
                    <xdr:colOff>57150</xdr:colOff>
                    <xdr:row>50</xdr:row>
                    <xdr:rowOff>9525</xdr:rowOff>
                  </to>
                </anchor>
              </controlPr>
            </control>
          </mc:Choice>
        </mc:AlternateContent>
        <mc:AlternateContent xmlns:mc="http://schemas.openxmlformats.org/markup-compatibility/2006">
          <mc:Choice Requires="x14">
            <control shapeId="167951" r:id="rId14" name="Check Box 15">
              <controlPr defaultSize="0" autoFill="0" autoLine="0" autoPict="0" macro="[0]!CheckBox1_Click" altText="">
                <anchor>
                  <from>
                    <xdr:col>22</xdr:col>
                    <xdr:colOff>85725</xdr:colOff>
                    <xdr:row>49</xdr:row>
                    <xdr:rowOff>161925</xdr:rowOff>
                  </from>
                  <to>
                    <xdr:col>35</xdr:col>
                    <xdr:colOff>57150</xdr:colOff>
                    <xdr:row>51</xdr:row>
                    <xdr:rowOff>19050</xdr:rowOff>
                  </to>
                </anchor>
              </controlPr>
            </control>
          </mc:Choice>
        </mc:AlternateContent>
        <mc:AlternateContent xmlns:mc="http://schemas.openxmlformats.org/markup-compatibility/2006">
          <mc:Choice Requires="x14">
            <control shapeId="167952" r:id="rId15" name="Check Box 16">
              <controlPr defaultSize="0" autoFill="0" autoLine="0" autoPict="0" macro="[0]!CheckBox1_Click" altText="">
                <anchor>
                  <from>
                    <xdr:col>22</xdr:col>
                    <xdr:colOff>85725</xdr:colOff>
                    <xdr:row>50</xdr:row>
                    <xdr:rowOff>161925</xdr:rowOff>
                  </from>
                  <to>
                    <xdr:col>35</xdr:col>
                    <xdr:colOff>57150</xdr:colOff>
                    <xdr:row>52</xdr:row>
                    <xdr:rowOff>19050</xdr:rowOff>
                  </to>
                </anchor>
              </controlPr>
            </control>
          </mc:Choice>
        </mc:AlternateContent>
        <mc:AlternateContent xmlns:mc="http://schemas.openxmlformats.org/markup-compatibility/2006">
          <mc:Choice Requires="x14">
            <control shapeId="167953" r:id="rId16" name="Check Box 17">
              <controlPr defaultSize="0" autoFill="0" autoLine="0" autoPict="0" macro="[0]!CheckBox1_Click" altText="">
                <anchor>
                  <from>
                    <xdr:col>22</xdr:col>
                    <xdr:colOff>85725</xdr:colOff>
                    <xdr:row>51</xdr:row>
                    <xdr:rowOff>171450</xdr:rowOff>
                  </from>
                  <to>
                    <xdr:col>35</xdr:col>
                    <xdr:colOff>57150</xdr:colOff>
                    <xdr:row>53</xdr:row>
                    <xdr:rowOff>28575</xdr:rowOff>
                  </to>
                </anchor>
              </controlPr>
            </control>
          </mc:Choice>
        </mc:AlternateContent>
        <mc:AlternateContent xmlns:mc="http://schemas.openxmlformats.org/markup-compatibility/2006">
          <mc:Choice Requires="x14">
            <control shapeId="167954" r:id="rId17" name="Check Box 18">
              <controlPr defaultSize="0" autoFill="0" autoLine="0" autoPict="0" macro="[0]!CheckBox1_Click" altText="">
                <anchor>
                  <from>
                    <xdr:col>22</xdr:col>
                    <xdr:colOff>85725</xdr:colOff>
                    <xdr:row>52</xdr:row>
                    <xdr:rowOff>171450</xdr:rowOff>
                  </from>
                  <to>
                    <xdr:col>35</xdr:col>
                    <xdr:colOff>57150</xdr:colOff>
                    <xdr:row>54</xdr:row>
                    <xdr:rowOff>28575</xdr:rowOff>
                  </to>
                </anchor>
              </controlPr>
            </control>
          </mc:Choice>
        </mc:AlternateContent>
        <mc:AlternateContent xmlns:mc="http://schemas.openxmlformats.org/markup-compatibility/2006">
          <mc:Choice Requires="x14">
            <control shapeId="167955" r:id="rId18" name="Check Box 19">
              <controlPr defaultSize="0" autoFill="0" autoLine="0" autoPict="0" macro="[0]!CheckBox1_Click" altText="">
                <anchor>
                  <from>
                    <xdr:col>22</xdr:col>
                    <xdr:colOff>85725</xdr:colOff>
                    <xdr:row>53</xdr:row>
                    <xdr:rowOff>171450</xdr:rowOff>
                  </from>
                  <to>
                    <xdr:col>35</xdr:col>
                    <xdr:colOff>57150</xdr:colOff>
                    <xdr:row>55</xdr:row>
                    <xdr:rowOff>28575</xdr:rowOff>
                  </to>
                </anchor>
              </controlPr>
            </control>
          </mc:Choice>
        </mc:AlternateContent>
        <mc:AlternateContent xmlns:mc="http://schemas.openxmlformats.org/markup-compatibility/2006">
          <mc:Choice Requires="x14">
            <control shapeId="167956" r:id="rId19" name="Check Box 20">
              <controlPr defaultSize="0" autoFill="0" autoLine="0" autoPict="0" macro="[0]!CheckBox1_Click" altText="">
                <anchor>
                  <from>
                    <xdr:col>22</xdr:col>
                    <xdr:colOff>85725</xdr:colOff>
                    <xdr:row>54</xdr:row>
                    <xdr:rowOff>171450</xdr:rowOff>
                  </from>
                  <to>
                    <xdr:col>35</xdr:col>
                    <xdr:colOff>57150</xdr:colOff>
                    <xdr:row>56</xdr:row>
                    <xdr:rowOff>28575</xdr:rowOff>
                  </to>
                </anchor>
              </controlPr>
            </control>
          </mc:Choice>
        </mc:AlternateContent>
        <mc:AlternateContent xmlns:mc="http://schemas.openxmlformats.org/markup-compatibility/2006">
          <mc:Choice Requires="x14">
            <control shapeId="167957" r:id="rId20" name="Check Box 21">
              <controlPr defaultSize="0" autoFill="0" autoLine="0" autoPict="0" macro="[0]!CheckBox1_Click" altText="">
                <anchor>
                  <from>
                    <xdr:col>22</xdr:col>
                    <xdr:colOff>85725</xdr:colOff>
                    <xdr:row>55</xdr:row>
                    <xdr:rowOff>171450</xdr:rowOff>
                  </from>
                  <to>
                    <xdr:col>35</xdr:col>
                    <xdr:colOff>57150</xdr:colOff>
                    <xdr:row>57</xdr:row>
                    <xdr:rowOff>28575</xdr:rowOff>
                  </to>
                </anchor>
              </controlPr>
            </control>
          </mc:Choice>
        </mc:AlternateContent>
        <mc:AlternateContent xmlns:mc="http://schemas.openxmlformats.org/markup-compatibility/2006">
          <mc:Choice Requires="x14">
            <control shapeId="167960" r:id="rId21" name="Check Box 24">
              <controlPr defaultSize="0" autoFill="0" autoLine="0" autoPict="0" macro="[0]!CheckBox1_Click" altText="">
                <anchor>
                  <from>
                    <xdr:col>22</xdr:col>
                    <xdr:colOff>85725</xdr:colOff>
                    <xdr:row>56</xdr:row>
                    <xdr:rowOff>171450</xdr:rowOff>
                  </from>
                  <to>
                    <xdr:col>35</xdr:col>
                    <xdr:colOff>57150</xdr:colOff>
                    <xdr:row>58</xdr:row>
                    <xdr:rowOff>28575</xdr:rowOff>
                  </to>
                </anchor>
              </controlPr>
            </control>
          </mc:Choice>
        </mc:AlternateContent>
        <mc:AlternateContent xmlns:mc="http://schemas.openxmlformats.org/markup-compatibility/2006">
          <mc:Choice Requires="x14">
            <control shapeId="167937" r:id="rId22" name="Check Box 1">
              <controlPr defaultSize="0" autoFill="0" autoLine="0" autoPict="0" macro="[0]!CheckBox1_Click" altText="">
                <anchor>
                  <from>
                    <xdr:col>22</xdr:col>
                    <xdr:colOff>85725</xdr:colOff>
                    <xdr:row>36</xdr:row>
                    <xdr:rowOff>28575</xdr:rowOff>
                  </from>
                  <to>
                    <xdr:col>35</xdr:col>
                    <xdr:colOff>57150</xdr:colOff>
                    <xdr:row>38</xdr:row>
                    <xdr:rowOff>9525</xdr:rowOff>
                  </to>
                </anchor>
              </controlPr>
            </control>
          </mc:Choice>
        </mc:AlternateContent>
        <mc:AlternateContent xmlns:mc="http://schemas.openxmlformats.org/markup-compatibility/2006">
          <mc:Choice Requires="x14">
            <control shapeId="167938" r:id="rId23" name="Check Box 2">
              <controlPr defaultSize="0" autoFill="0" autoLine="0" autoPict="0" macro="[0]!CheckBox1_Click" altText="">
                <anchor>
                  <from>
                    <xdr:col>22</xdr:col>
                    <xdr:colOff>85725</xdr:colOff>
                    <xdr:row>37</xdr:row>
                    <xdr:rowOff>152400</xdr:rowOff>
                  </from>
                  <to>
                    <xdr:col>35</xdr:col>
                    <xdr:colOff>57150</xdr:colOff>
                    <xdr:row>39</xdr:row>
                    <xdr:rowOff>9525</xdr:rowOff>
                  </to>
                </anchor>
              </controlPr>
            </control>
          </mc:Choice>
        </mc:AlternateContent>
        <mc:AlternateContent xmlns:mc="http://schemas.openxmlformats.org/markup-compatibility/2006">
          <mc:Choice Requires="x14">
            <control shapeId="167939" r:id="rId24" name="Check Box 3">
              <controlPr defaultSize="0" autoFill="0" autoLine="0" autoPict="0" macro="[0]!CheckBox1_Click" altText="">
                <anchor>
                  <from>
                    <xdr:col>22</xdr:col>
                    <xdr:colOff>85725</xdr:colOff>
                    <xdr:row>38</xdr:row>
                    <xdr:rowOff>152400</xdr:rowOff>
                  </from>
                  <to>
                    <xdr:col>35</xdr:col>
                    <xdr:colOff>57150</xdr:colOff>
                    <xdr:row>40</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403FCE7-E9CA-4BA9-A83D-360576285C10}">
            <x14:dataBar minLength="0" maxLength="100" gradient="0" negativeBarColorSameAsPositive="1">
              <x14:cfvo type="autoMin"/>
              <x14:cfvo type="autoMax"/>
              <x14:axisColor rgb="FF000000"/>
            </x14:dataBar>
          </x14:cfRule>
          <xm:sqref>P11:P31</xm:sqref>
        </x14:conditionalFormatting>
        <x14:conditionalFormatting xmlns:xm="http://schemas.microsoft.com/office/excel/2006/main">
          <x14:cfRule type="dataBar" id="{9B4FC7F5-DB7A-4987-B350-DE384486D858}">
            <x14:dataBar minLength="0" maxLength="100" gradient="0" negativeBarColorSameAsPositive="1">
              <x14:cfvo type="autoMin"/>
              <x14:cfvo type="autoMax"/>
              <x14:axisColor rgb="FF000000"/>
            </x14:dataBar>
          </x14:cfRule>
          <xm:sqref>P180:P200</xm:sqref>
        </x14:conditionalFormatting>
        <x14:conditionalFormatting xmlns:xm="http://schemas.microsoft.com/office/excel/2006/main">
          <x14:cfRule type="dataBar" id="{3D2247D4-B315-42E3-BD15-069B216CFCBD}">
            <x14:dataBar minLength="0" maxLength="100" gradient="0">
              <x14:cfvo type="autoMin"/>
              <x14:cfvo type="autoMax"/>
              <x14:negativeFillColor theme="6" tint="-0.249977111117893"/>
              <x14:axisColor rgb="FF000000"/>
            </x14:dataBar>
          </x14:cfRule>
          <xm:sqref>P314:P334</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8">
    <tabColor rgb="FFFFC000"/>
  </sheetPr>
  <dimension ref="A1:BO363"/>
  <sheetViews>
    <sheetView showGridLines="0" showRowColHeaders="0" workbookViewId="0"/>
  </sheetViews>
  <sheetFormatPr defaultColWidth="9.140625" defaultRowHeight="11.25" customHeight="1"/>
  <cols>
    <col min="1" max="1" width="2" style="52" customWidth="1"/>
    <col min="2" max="2" width="19.42578125" style="52" customWidth="1"/>
    <col min="3" max="3" width="1.140625" style="52" customWidth="1"/>
    <col min="4" max="8" width="7.140625" style="52" customWidth="1"/>
    <col min="9" max="9" width="8.5703125" style="52" customWidth="1"/>
    <col min="10" max="10" width="1.140625" style="52" customWidth="1"/>
    <col min="11" max="14" width="7.42578125" style="52" customWidth="1"/>
    <col min="15" max="15" width="7.28515625" style="52" customWidth="1"/>
    <col min="16" max="16" width="6.42578125" style="52" customWidth="1"/>
    <col min="17" max="17" width="7.140625" style="52" customWidth="1"/>
    <col min="18" max="18" width="8.42578125" style="52" customWidth="1"/>
    <col min="19" max="19" width="8.85546875" style="52" customWidth="1"/>
    <col min="20" max="20" width="2" style="52" customWidth="1"/>
    <col min="21" max="21" width="6.42578125" style="55" customWidth="1"/>
    <col min="22" max="22" width="4.85546875" style="55" customWidth="1"/>
    <col min="23" max="23" width="16.85546875" style="56" hidden="1" customWidth="1"/>
    <col min="24" max="24" width="17" style="56" hidden="1" customWidth="1"/>
    <col min="25" max="25" width="21.42578125" style="56" hidden="1" customWidth="1"/>
    <col min="26" max="27" width="16.5703125" style="56" hidden="1" customWidth="1"/>
    <col min="28" max="28" width="8.5703125" style="56" hidden="1" customWidth="1"/>
    <col min="29" max="29" width="17" style="56" hidden="1" customWidth="1"/>
    <col min="30" max="30" width="8.5703125" style="56" hidden="1" customWidth="1"/>
    <col min="31" max="31" width="14.42578125" style="56" hidden="1" customWidth="1"/>
    <col min="32" max="33" width="6.5703125" style="56" hidden="1" customWidth="1"/>
    <col min="34" max="34" width="17" style="56" hidden="1" customWidth="1"/>
    <col min="35" max="35" width="6.5703125" style="56" hidden="1" customWidth="1"/>
    <col min="36" max="36" width="17" style="52" hidden="1" customWidth="1"/>
    <col min="37" max="38" width="6.5703125" style="52" hidden="1" customWidth="1"/>
    <col min="39" max="39" width="31.5703125" style="52" customWidth="1"/>
    <col min="40" max="40" width="17" style="52" hidden="1" customWidth="1"/>
    <col min="41" max="45" width="13.5703125" style="52" hidden="1" customWidth="1"/>
    <col min="46" max="57" width="9.140625" style="52" hidden="1" customWidth="1"/>
    <col min="58" max="68" width="9.140625" style="52" customWidth="1"/>
    <col min="69" max="16384" width="9.140625" style="52"/>
  </cols>
  <sheetData>
    <row r="1" spans="1:47" ht="18.75" customHeight="1" thickBot="1">
      <c r="A1" s="81"/>
      <c r="B1" s="82"/>
      <c r="C1" s="82"/>
      <c r="D1" s="82"/>
      <c r="E1" s="82"/>
      <c r="F1" s="82"/>
      <c r="G1" s="82"/>
      <c r="H1" s="82"/>
      <c r="I1" s="82"/>
      <c r="J1" s="82"/>
      <c r="K1" s="82"/>
      <c r="L1" s="82"/>
      <c r="M1" s="82"/>
      <c r="N1" s="82"/>
      <c r="O1" s="82"/>
      <c r="P1" s="82"/>
      <c r="Q1" s="82"/>
      <c r="R1" s="82"/>
      <c r="S1" s="82"/>
      <c r="T1" s="84"/>
      <c r="U1" s="207"/>
      <c r="V1" s="117"/>
      <c r="W1" s="135"/>
      <c r="X1" s="135"/>
      <c r="Y1" s="534" t="str">
        <f>IF(ReportData!$C$3="Annual"," the year ending 31st March"," the quarter")</f>
        <v xml:space="preserve"> the year ending 31st March</v>
      </c>
      <c r="Z1" s="135"/>
      <c r="AA1" s="135"/>
      <c r="AB1" s="135"/>
      <c r="AC1" s="135"/>
      <c r="AD1" s="135"/>
      <c r="AE1" s="135"/>
      <c r="AF1" s="135"/>
      <c r="AG1" s="135"/>
      <c r="AH1" s="135"/>
      <c r="AI1" s="135"/>
      <c r="AJ1" s="136"/>
      <c r="AK1" s="136"/>
      <c r="AL1" s="136"/>
      <c r="AM1" s="260"/>
    </row>
    <row r="2" spans="1:47" ht="18.75" customHeight="1">
      <c r="A2" s="208"/>
      <c r="B2" s="888" t="s">
        <v>29</v>
      </c>
      <c r="C2" s="5"/>
      <c r="D2" s="5"/>
      <c r="E2" s="5"/>
      <c r="F2" s="5"/>
      <c r="G2" s="5"/>
      <c r="H2" s="5"/>
      <c r="I2" s="5"/>
      <c r="J2" s="5"/>
      <c r="K2" s="5"/>
      <c r="L2" s="5"/>
      <c r="M2" s="5"/>
      <c r="N2" s="5"/>
      <c r="O2" s="5"/>
      <c r="P2" s="5"/>
      <c r="Q2" s="5"/>
      <c r="R2" s="5"/>
      <c r="S2" s="5"/>
      <c r="T2" s="86"/>
      <c r="U2" s="122"/>
      <c r="V2" s="114"/>
      <c r="X2" s="483">
        <f>IF(ReportData!$C$3="Annual",1,4)</f>
        <v>1</v>
      </c>
      <c r="Y2" s="461" t="str">
        <f>IF(ReportData!$C$3="Annual","",ReportData!$D$28)</f>
        <v/>
      </c>
      <c r="Z2" s="462" t="str">
        <f>IF(ReportData!$C$3="Annual","",ReportData!$E$28)</f>
        <v/>
      </c>
      <c r="AA2" s="462" t="str">
        <f>IF(ReportData!$C$3="Annual","",ReportData!$F$28)</f>
        <v/>
      </c>
      <c r="AB2" s="462" t="str">
        <f>IF(ReportData!$C$3="Annual","",ReportData!$G$28)</f>
        <v/>
      </c>
      <c r="AC2" s="463" t="str">
        <f>IF(ReportData!$C$3="Annual","",ReportData!$H$28)</f>
        <v/>
      </c>
      <c r="AM2" s="119"/>
    </row>
    <row r="3" spans="1:47" ht="18.75" customHeight="1" thickBot="1">
      <c r="A3" s="286"/>
      <c r="B3" s="329"/>
      <c r="C3" s="329"/>
      <c r="D3" s="329"/>
      <c r="E3" s="329"/>
      <c r="F3" s="329"/>
      <c r="G3" s="329"/>
      <c r="H3" s="329"/>
      <c r="I3" s="329"/>
      <c r="J3" s="329"/>
      <c r="K3" s="329"/>
      <c r="L3" s="329"/>
      <c r="M3" s="329"/>
      <c r="N3" s="329"/>
      <c r="O3" s="329"/>
      <c r="P3" s="329"/>
      <c r="Q3" s="329"/>
      <c r="R3" s="1252"/>
      <c r="S3" s="329"/>
      <c r="T3" s="599"/>
      <c r="U3" s="122"/>
      <c r="V3" s="114"/>
      <c r="X3" s="464"/>
      <c r="Y3" s="464" t="str">
        <f>ReportData!$D$27</f>
        <v>2019/20</v>
      </c>
      <c r="Z3" s="465" t="str">
        <f>ReportData!$E$27</f>
        <v>2020/21</v>
      </c>
      <c r="AA3" s="465" t="str">
        <f>ReportData!$F$27</f>
        <v>2021/22</v>
      </c>
      <c r="AB3" s="465" t="str">
        <f>ReportData!$G$27</f>
        <v>2022/23</v>
      </c>
      <c r="AC3" s="466" t="str">
        <f>ReportData!$H$27</f>
        <v>2023/24</v>
      </c>
      <c r="AM3" s="119"/>
    </row>
    <row r="4" spans="1:47" ht="11.25" customHeight="1">
      <c r="A4" s="81"/>
      <c r="B4" s="82"/>
      <c r="C4" s="82"/>
      <c r="D4" s="82"/>
      <c r="E4" s="82"/>
      <c r="F4" s="82"/>
      <c r="G4" s="82"/>
      <c r="H4" s="82"/>
      <c r="I4" s="82"/>
      <c r="J4" s="82"/>
      <c r="K4" s="82"/>
      <c r="L4" s="82"/>
      <c r="M4" s="82"/>
      <c r="N4" s="82"/>
      <c r="O4" s="82"/>
      <c r="P4" s="82"/>
      <c r="Q4" s="82"/>
      <c r="R4" s="82"/>
      <c r="S4" s="82"/>
      <c r="T4" s="84"/>
      <c r="U4" s="119"/>
      <c r="V4" s="114"/>
      <c r="X4" s="140" t="str">
        <f>Home!$D$5</f>
        <v>(none)</v>
      </c>
      <c r="Y4" s="25" t="str">
        <f>"Selected LA- "&amp;X4</f>
        <v>Selected LA- (none)</v>
      </c>
      <c r="AM4" s="119"/>
    </row>
    <row r="5" spans="1:47" ht="18.75" customHeight="1">
      <c r="A5" s="208"/>
      <c r="B5" s="1900" t="s">
        <v>1280</v>
      </c>
      <c r="C5" s="1900"/>
      <c r="D5" s="1900"/>
      <c r="E5" s="1900"/>
      <c r="F5" s="1900"/>
      <c r="G5" s="1900"/>
      <c r="H5" s="1900"/>
      <c r="I5" s="1900"/>
      <c r="J5" s="1900"/>
      <c r="K5" s="1900"/>
      <c r="L5" s="1900"/>
      <c r="M5" s="1900"/>
      <c r="N5" s="1900"/>
      <c r="O5" s="1900"/>
      <c r="P5" s="1900"/>
      <c r="Q5" s="1900"/>
      <c r="R5" s="1900"/>
      <c r="S5" s="1900"/>
      <c r="T5" s="604"/>
      <c r="U5" s="119"/>
      <c r="V5" s="114"/>
      <c r="X5" s="52"/>
      <c r="Y5" s="52"/>
      <c r="Z5" s="52"/>
      <c r="AA5" s="52"/>
      <c r="AB5" s="52"/>
      <c r="AC5" s="52"/>
      <c r="AD5" s="52"/>
      <c r="AE5" s="52"/>
      <c r="AF5" s="52"/>
      <c r="AG5" s="52"/>
      <c r="AH5" s="52"/>
      <c r="AI5" s="52"/>
      <c r="AM5" s="119"/>
      <c r="AN5" s="52" t="str">
        <f>CONCATENATE($J$7,"in Number of "&amp;$B2)</f>
        <v>in Number of Adoption</v>
      </c>
    </row>
    <row r="6" spans="1:47" ht="18.75" customHeight="1">
      <c r="A6" s="208"/>
      <c r="B6" s="1900"/>
      <c r="C6" s="1900"/>
      <c r="D6" s="1900"/>
      <c r="E6" s="1900"/>
      <c r="F6" s="1900"/>
      <c r="G6" s="1900"/>
      <c r="H6" s="1900"/>
      <c r="I6" s="1900"/>
      <c r="J6" s="1900"/>
      <c r="K6" s="1900"/>
      <c r="L6" s="1900"/>
      <c r="M6" s="1900"/>
      <c r="N6" s="1900"/>
      <c r="O6" s="1900"/>
      <c r="P6" s="1900"/>
      <c r="Q6" s="1900"/>
      <c r="R6" s="1900"/>
      <c r="S6" s="1900"/>
      <c r="T6" s="604"/>
      <c r="U6" s="119"/>
      <c r="V6" s="114"/>
      <c r="X6" s="141"/>
      <c r="AM6" s="119"/>
    </row>
    <row r="7" spans="1:47" s="61" customFormat="1" ht="13.5" customHeight="1">
      <c r="A7" s="217"/>
      <c r="B7" s="1749" t="s">
        <v>177</v>
      </c>
      <c r="C7" s="896"/>
      <c r="D7" s="1966" t="s">
        <v>84</v>
      </c>
      <c r="E7" s="1967"/>
      <c r="F7" s="1967"/>
      <c r="G7" s="1967"/>
      <c r="H7" s="1968"/>
      <c r="I7" s="1761" t="str">
        <f>"Average "&amp;ReportData!C3&amp;" Change "</f>
        <v xml:space="preserve">Average Annual Change </v>
      </c>
      <c r="J7" s="1184"/>
      <c r="K7" s="1966" t="s">
        <v>85</v>
      </c>
      <c r="L7" s="1967"/>
      <c r="M7" s="1967"/>
      <c r="N7" s="1967"/>
      <c r="O7" s="1967"/>
      <c r="P7" s="1967"/>
      <c r="Q7" s="1968"/>
      <c r="R7" s="896"/>
      <c r="S7" s="896"/>
      <c r="T7" s="605"/>
      <c r="U7" s="186"/>
      <c r="V7" s="115"/>
      <c r="X7" s="1941" t="s">
        <v>671</v>
      </c>
      <c r="Y7" s="1943"/>
      <c r="Z7" s="1941" t="s">
        <v>76</v>
      </c>
      <c r="AA7" s="1942"/>
      <c r="AB7" s="1942"/>
      <c r="AC7" s="1942"/>
      <c r="AD7" s="1943"/>
      <c r="AE7" s="154" t="s">
        <v>88</v>
      </c>
      <c r="AF7" s="141"/>
      <c r="AG7" s="141"/>
      <c r="AH7" s="141"/>
      <c r="AI7" s="141"/>
      <c r="AM7" s="121"/>
      <c r="AN7" s="350"/>
      <c r="AO7" s="350"/>
      <c r="AP7" s="350"/>
      <c r="AQ7" s="350"/>
      <c r="AR7" s="350"/>
    </row>
    <row r="8" spans="1:47" s="61" customFormat="1" ht="13.5" customHeight="1">
      <c r="A8" s="217"/>
      <c r="B8" s="1749"/>
      <c r="C8" s="896"/>
      <c r="D8" s="1770" t="str">
        <f>ReportData!$D$27</f>
        <v>2019/20</v>
      </c>
      <c r="E8" s="1770" t="str">
        <f>ReportData!$E$27</f>
        <v>2020/21</v>
      </c>
      <c r="F8" s="1770" t="str">
        <f>ReportData!$F$27</f>
        <v>2021/22</v>
      </c>
      <c r="G8" s="1770" t="str">
        <f>ReportData!$G$27</f>
        <v>2022/23</v>
      </c>
      <c r="H8" s="1781" t="str">
        <f>ReportData!$H$27</f>
        <v>2023/24</v>
      </c>
      <c r="I8" s="1762"/>
      <c r="J8" s="1184"/>
      <c r="K8" s="1770" t="str">
        <f>ReportData!$D$27</f>
        <v>2019/20</v>
      </c>
      <c r="L8" s="1770" t="str">
        <f>ReportData!$E$27</f>
        <v>2020/21</v>
      </c>
      <c r="M8" s="1770" t="str">
        <f>ReportData!$F$27</f>
        <v>2021/22</v>
      </c>
      <c r="N8" s="1770" t="str">
        <f>ReportData!$G$27</f>
        <v>2022/23</v>
      </c>
      <c r="O8" s="1789" t="str">
        <f>ReportData!$H$27</f>
        <v>2023/24</v>
      </c>
      <c r="P8" s="1790"/>
      <c r="Q8" s="1977" t="str">
        <f>IF(ISNA(O10),"Rank "&amp;O8,"Rank "&amp;O10)</f>
        <v>Rank 2023/24</v>
      </c>
      <c r="R8" s="896"/>
      <c r="S8" s="896"/>
      <c r="T8" s="605"/>
      <c r="U8" s="103"/>
      <c r="V8" s="115"/>
      <c r="X8" s="1960" t="s">
        <v>73</v>
      </c>
      <c r="Y8" s="1963" t="s">
        <v>74</v>
      </c>
      <c r="Z8" s="626" t="str">
        <f>IF(ReportData!$C$3="Annual","",ReportData!$D$28)</f>
        <v/>
      </c>
      <c r="AA8" s="444" t="str">
        <f>IF(ReportData!$C$3="Annual","",ReportData!$E$28)</f>
        <v/>
      </c>
      <c r="AB8" s="444" t="str">
        <f>IF(ReportData!$C$3="Annual","",ReportData!$F$28)</f>
        <v/>
      </c>
      <c r="AC8" s="444" t="str">
        <f>IF(ReportData!$C$3="Annual","",ReportData!$G$28)</f>
        <v/>
      </c>
      <c r="AD8" s="627" t="str">
        <f>IF(ReportData!$C$3="Annual","",ReportData!$H$28)</f>
        <v/>
      </c>
      <c r="AE8" s="154"/>
      <c r="AF8" s="141"/>
      <c r="AG8" s="141"/>
      <c r="AH8" s="141"/>
      <c r="AI8" s="141"/>
      <c r="AM8" s="121"/>
      <c r="AN8" s="109"/>
      <c r="AO8" s="109"/>
      <c r="AP8" s="109"/>
      <c r="AQ8" s="109"/>
      <c r="AR8" s="109"/>
    </row>
    <row r="9" spans="1:47" s="61" customFormat="1" ht="9" customHeight="1">
      <c r="A9" s="217"/>
      <c r="B9" s="1749"/>
      <c r="C9" s="896"/>
      <c r="D9" s="1771"/>
      <c r="E9" s="1771"/>
      <c r="F9" s="1771"/>
      <c r="G9" s="1771"/>
      <c r="H9" s="1782"/>
      <c r="I9" s="1762"/>
      <c r="J9" s="1184"/>
      <c r="K9" s="1771"/>
      <c r="L9" s="1771"/>
      <c r="M9" s="1771"/>
      <c r="N9" s="1771"/>
      <c r="O9" s="1791"/>
      <c r="P9" s="1792"/>
      <c r="Q9" s="1978"/>
      <c r="R9" s="896"/>
      <c r="S9" s="896"/>
      <c r="T9" s="605"/>
      <c r="U9" s="103"/>
      <c r="V9" s="918"/>
      <c r="X9" s="1961"/>
      <c r="Y9" s="1964"/>
      <c r="Z9" s="626"/>
      <c r="AA9" s="444"/>
      <c r="AB9" s="444"/>
      <c r="AC9" s="444"/>
      <c r="AD9" s="627"/>
      <c r="AE9" s="154"/>
      <c r="AF9" s="141"/>
      <c r="AG9" s="141"/>
      <c r="AH9" s="141"/>
      <c r="AI9" s="141"/>
      <c r="AM9" s="121"/>
      <c r="AN9" s="109"/>
      <c r="AO9" s="109"/>
      <c r="AP9" s="109"/>
      <c r="AQ9" s="109"/>
      <c r="AR9" s="109"/>
    </row>
    <row r="10" spans="1:47" s="61" customFormat="1" ht="13.5" customHeight="1">
      <c r="A10" s="217"/>
      <c r="B10" s="1750"/>
      <c r="C10" s="896"/>
      <c r="D10" s="897" t="e">
        <f>ReportData!$D$28</f>
        <v>#N/A</v>
      </c>
      <c r="E10" s="897" t="e">
        <f>ReportData!$E$28</f>
        <v>#N/A</v>
      </c>
      <c r="F10" s="897" t="e">
        <f>ReportData!$F$28</f>
        <v>#N/A</v>
      </c>
      <c r="G10" s="897" t="e">
        <f>ReportData!$G$28</f>
        <v>#N/A</v>
      </c>
      <c r="H10" s="1196" t="e">
        <f>ReportData!$H$28</f>
        <v>#N/A</v>
      </c>
      <c r="I10" s="1973"/>
      <c r="J10" s="1184"/>
      <c r="K10" s="897" t="e">
        <f>ReportData!$D$28</f>
        <v>#N/A</v>
      </c>
      <c r="L10" s="897" t="e">
        <f>ReportData!$E$28</f>
        <v>#N/A</v>
      </c>
      <c r="M10" s="897" t="e">
        <f>ReportData!$F$28</f>
        <v>#N/A</v>
      </c>
      <c r="N10" s="897" t="e">
        <f>ReportData!$G$28</f>
        <v>#N/A</v>
      </c>
      <c r="O10" s="1779" t="e">
        <f>ReportData!$H$28</f>
        <v>#N/A</v>
      </c>
      <c r="P10" s="1980"/>
      <c r="Q10" s="1979"/>
      <c r="R10" s="1233"/>
      <c r="S10" s="1233"/>
      <c r="T10" s="605"/>
      <c r="U10" s="103"/>
      <c r="V10" s="115"/>
      <c r="X10" s="1962"/>
      <c r="Y10" s="1965"/>
      <c r="Z10" s="626" t="str">
        <f>ReportData!$D$27</f>
        <v>2019/20</v>
      </c>
      <c r="AA10" s="444" t="str">
        <f>ReportData!$E$27</f>
        <v>2020/21</v>
      </c>
      <c r="AB10" s="444" t="str">
        <f>ReportData!$F$27</f>
        <v>2021/22</v>
      </c>
      <c r="AC10" s="444" t="str">
        <f>ReportData!$G$27</f>
        <v>2022/23</v>
      </c>
      <c r="AD10" s="627" t="str">
        <f>ReportData!$H$27</f>
        <v>2023/24</v>
      </c>
      <c r="AE10" s="141"/>
      <c r="AF10" s="444">
        <v>14</v>
      </c>
      <c r="AG10" s="141"/>
      <c r="AH10" s="141"/>
      <c r="AI10" s="141"/>
      <c r="AM10" s="121"/>
      <c r="AN10" s="479" t="s">
        <v>598</v>
      </c>
      <c r="AO10" s="479" t="s">
        <v>599</v>
      </c>
      <c r="AP10" s="479" t="s">
        <v>600</v>
      </c>
      <c r="AQ10" s="479" t="s">
        <v>601</v>
      </c>
      <c r="AR10" s="479" t="s">
        <v>602</v>
      </c>
    </row>
    <row r="11" spans="1:47" s="61" customFormat="1" ht="15.75" customHeight="1">
      <c r="A11" s="306">
        <f>VLOOKUP(B11,ReportData!$AQ$4:$AR$25,2,FALSE)</f>
        <v>0</v>
      </c>
      <c r="B11" s="885" t="str">
        <f>ReportData!$K$4</f>
        <v>Bracknell Forest</v>
      </c>
      <c r="C11" s="896"/>
      <c r="D11" s="889">
        <f>IF(Year1_Bracknell_Forest Year1_Adoption_PFA="","",Year1_Bracknell_Forest Year1_Adoption_PFA)</f>
        <v>0</v>
      </c>
      <c r="E11" s="889" t="str">
        <f>IF(Year2_Bracknell_Forest Year2_Adoption_PFA="","",Year2_Bracknell_Forest Year2_Adoption_PFA)</f>
        <v>x</v>
      </c>
      <c r="F11" s="889" t="str">
        <f>IF(Year3_Bracknell_Forest Year3_Adoption_PFA="","",Year3_Bracknell_Forest Year3_Adoption_PFA)</f>
        <v>c</v>
      </c>
      <c r="G11" s="889" t="str">
        <f>IF(Year4_Bracknell_Forest Year4_Adoption_PFA="","",Year4_Bracknell_Forest Year4_Adoption_PFA)</f>
        <v>c</v>
      </c>
      <c r="H11" s="890">
        <f>IF(Year5_Bracknell_Forest Year5_Adoption_PFA="","",Year5_Bracknell_Forest Year5_Adoption_PFA)</f>
        <v>0</v>
      </c>
      <c r="I11" s="1253" t="e">
        <f>AR11</f>
        <v>#DIV/0!</v>
      </c>
      <c r="J11" s="1184"/>
      <c r="K11" s="901">
        <f>IF(ISNUMBER(D11),D11/Population!D11*10000,NA())</f>
        <v>0</v>
      </c>
      <c r="L11" s="901" t="e">
        <f>IF(ISNUMBER(E11),E11/Population!E11*10000,NA())</f>
        <v>#N/A</v>
      </c>
      <c r="M11" s="901" t="e">
        <f>IF(ISNUMBER(F11),F11/Population!F11*10000,NA())</f>
        <v>#N/A</v>
      </c>
      <c r="N11" s="901" t="e">
        <f>IF(ISNUMBER(G11),G11/Population!G11*10000,NA())</f>
        <v>#N/A</v>
      </c>
      <c r="O11" s="902">
        <f>IF(ISNUMBER(H11),H11/Population!H11*10000,NA())</f>
        <v>0</v>
      </c>
      <c r="P11" s="903">
        <f>IF(ISNUMBER(O11),O11,"")</f>
        <v>0</v>
      </c>
      <c r="Q11" s="1139">
        <f t="shared" ref="Q11:Q31" si="0">IF(ISNA(VLOOKUP(B11,$AE$11:$AG$29,3,FALSE)),"--",IF(ISNUMBER(H11),VLOOKUP(B11,$AE$11:$AG$29,3,FALSE),NA()))</f>
        <v>1</v>
      </c>
      <c r="R11" s="64"/>
      <c r="S11" s="64"/>
      <c r="T11" s="605"/>
      <c r="U11" s="103"/>
      <c r="V11" s="115"/>
      <c r="W11" s="622" t="str">
        <f t="shared" ref="W11:W31" si="1">B11</f>
        <v>Bracknell Forest</v>
      </c>
      <c r="X11" s="27">
        <f>IF(ISNUMBER(H11),IDACI!D9,0)</f>
        <v>24849</v>
      </c>
      <c r="Y11" s="27">
        <f>IF(ISNUMBER(H11),IDACI!E9,0)</f>
        <v>2211.5610000000001</v>
      </c>
      <c r="Z11" s="628">
        <f>IF(ISNUMBER(D11),Population!D11,"")</f>
        <v>27298</v>
      </c>
      <c r="AA11" s="155" t="str">
        <f>IF(ISNUMBER(E11),Population!E11,"")</f>
        <v/>
      </c>
      <c r="AB11" s="155" t="str">
        <f>IF(ISNUMBER(F11),Population!F11,"")</f>
        <v/>
      </c>
      <c r="AC11" s="155" t="str">
        <f>IF(ISNUMBER(G11),Population!G11,"")</f>
        <v/>
      </c>
      <c r="AD11" s="629">
        <f>IF(ISNUMBER(H11),Population!H11,"")</f>
        <v>28647</v>
      </c>
      <c r="AE11" s="623" t="s">
        <v>0</v>
      </c>
      <c r="AF11" s="70">
        <f t="shared" ref="AF11:AF29" si="2">IFERROR(VLOOKUP(AE11,$B$11:$O$29,AF$10,FALSE),"")</f>
        <v>0</v>
      </c>
      <c r="AG11" s="156">
        <f t="shared" ref="AG11:AG29" si="3">RANK(AF11,$AF$11:$AF$29,1)</f>
        <v>1</v>
      </c>
      <c r="AH11" s="141"/>
      <c r="AI11" s="141"/>
      <c r="AM11" s="121"/>
      <c r="AN11" s="480" t="str">
        <f t="shared" ref="AN11:AN29" si="4">IF(ISERROR((E11-D11)/D11),"x",(E11-D11)/D11)</f>
        <v>x</v>
      </c>
      <c r="AO11" s="480" t="str">
        <f t="shared" ref="AO11:AO29" si="5">IF(ISERROR((F11-E11)/E11),"x",(F11-E11)/E11)</f>
        <v>x</v>
      </c>
      <c r="AP11" s="480" t="str">
        <f t="shared" ref="AP11:AP29" si="6">IF(ISERROR((G11-F11)/F11),"x",(G11-F11)/F11)</f>
        <v>x</v>
      </c>
      <c r="AQ11" s="480" t="str">
        <f t="shared" ref="AQ11:AQ29" si="7">IF(ISERROR((H11-G11)/G11),"x",(H11-G11)/G11)</f>
        <v>x</v>
      </c>
      <c r="AR11" s="480" t="e">
        <f>AVERAGE(AN11:AQ11)</f>
        <v>#DIV/0!</v>
      </c>
    </row>
    <row r="12" spans="1:47" s="61" customFormat="1" ht="15.75" customHeight="1">
      <c r="A12" s="306">
        <f>VLOOKUP(B12,ReportData!$AQ$4:$AR$25,2,FALSE)</f>
        <v>0</v>
      </c>
      <c r="B12" s="885" t="str">
        <f>ReportData!$K$5</f>
        <v>Brighton &amp; Hove</v>
      </c>
      <c r="C12" s="896"/>
      <c r="D12" s="889">
        <f>IF(Year1_Brighton_and_Hove Year1_Adoption_PFA="","",Year1_Brighton_and_Hove Year1_Adoption_PFA)</f>
        <v>8</v>
      </c>
      <c r="E12" s="889">
        <f>IF(Year2_Brighton_and_Hove Year2_Adoption_PFA="","",Year2_Brighton_and_Hove Year2_Adoption_PFA)</f>
        <v>7</v>
      </c>
      <c r="F12" s="889">
        <f>IF(Year3_Brighton_and_Hove Year3_Adoption_PFA="","",Year3_Brighton_and_Hove Year3_Adoption_PFA)</f>
        <v>16</v>
      </c>
      <c r="G12" s="889">
        <f>IF(Year4_Brighton_and_Hove Year4_Adoption_PFA="","",Year4_Brighton_and_Hove Year4_Adoption_PFA)</f>
        <v>20</v>
      </c>
      <c r="H12" s="890">
        <f>IF(Year5_Brighton_and_Hove Year5_Adoption_PFA="","",Year5_Brighton_and_Hove Year5_Adoption_PFA)</f>
        <v>10</v>
      </c>
      <c r="I12" s="1205">
        <f t="shared" ref="I12:I25" si="8">AR12</f>
        <v>0.22767857142857145</v>
      </c>
      <c r="J12" s="1184"/>
      <c r="K12" s="901">
        <f>IF(ISNUMBER(D12),D12/Population!D12*10000,NA())</f>
        <v>1.6528242634601875</v>
      </c>
      <c r="L12" s="901">
        <f>IF(ISNUMBER(E12),E12/Population!E12*10000,NA())</f>
        <v>1.4594279042615295</v>
      </c>
      <c r="M12" s="901">
        <f>IF(ISNUMBER(F12),F12/Population!F12*10000,NA())</f>
        <v>3.3952254641909816</v>
      </c>
      <c r="N12" s="901">
        <f>IF(ISNUMBER(G12),G12/Population!G12*10000,NA())</f>
        <v>4.2426813746287655</v>
      </c>
      <c r="O12" s="902">
        <f>IF(ISNUMBER(H12),H12/Population!H12*10000,NA())</f>
        <v>2.1428877555393648</v>
      </c>
      <c r="P12" s="903">
        <f t="shared" ref="P12:P25" si="9">IF(ISNUMBER(O12),O12,"")</f>
        <v>2.1428877555393648</v>
      </c>
      <c r="Q12" s="1139">
        <f t="shared" si="0"/>
        <v>10</v>
      </c>
      <c r="R12" s="64"/>
      <c r="S12" s="64"/>
      <c r="T12" s="605"/>
      <c r="U12" s="103"/>
      <c r="V12" s="115"/>
      <c r="W12" s="622" t="str">
        <f t="shared" si="1"/>
        <v>Brighton &amp; Hove</v>
      </c>
      <c r="X12" s="27">
        <f>IF(ISNUMBER(H12),IDACI!D10,0)</f>
        <v>45576</v>
      </c>
      <c r="Y12" s="27">
        <f>IF(ISNUMBER(H12),IDACI!E10,0)</f>
        <v>6973.1279999999997</v>
      </c>
      <c r="Z12" s="628">
        <f>IF(ISNUMBER(D12),Population!D12,"")</f>
        <v>48402</v>
      </c>
      <c r="AA12" s="155">
        <f>IF(ISNUMBER(E12),Population!E12,"")</f>
        <v>47964</v>
      </c>
      <c r="AB12" s="155">
        <f>IF(ISNUMBER(F12),Population!F12,"")</f>
        <v>47125</v>
      </c>
      <c r="AC12" s="155">
        <f>IF(ISNUMBER(G12),Population!G12,"")</f>
        <v>47140</v>
      </c>
      <c r="AD12" s="629">
        <f>IF(ISNUMBER(H12),Population!H12,"")</f>
        <v>46666</v>
      </c>
      <c r="AE12" s="623" t="s">
        <v>28</v>
      </c>
      <c r="AF12" s="70">
        <f t="shared" si="2"/>
        <v>2.1428877555393648</v>
      </c>
      <c r="AG12" s="156">
        <f t="shared" si="3"/>
        <v>10</v>
      </c>
      <c r="AH12" s="141"/>
      <c r="AI12" s="141"/>
      <c r="AM12" s="121"/>
      <c r="AN12" s="480">
        <f t="shared" si="4"/>
        <v>-0.125</v>
      </c>
      <c r="AO12" s="480">
        <f t="shared" si="5"/>
        <v>1.2857142857142858</v>
      </c>
      <c r="AP12" s="480">
        <f t="shared" si="6"/>
        <v>0.25</v>
      </c>
      <c r="AQ12" s="480">
        <f t="shared" si="7"/>
        <v>-0.5</v>
      </c>
      <c r="AR12" s="480">
        <f t="shared" ref="AR12:AR25" si="10">AVERAGE(AN12:AQ12)</f>
        <v>0.22767857142857145</v>
      </c>
    </row>
    <row r="13" spans="1:47" s="61" customFormat="1" ht="15.75" customHeight="1">
      <c r="A13" s="306">
        <f>VLOOKUP(B13,ReportData!$AQ$4:$AR$25,2,FALSE)</f>
        <v>0</v>
      </c>
      <c r="B13" s="885" t="str">
        <f>ReportData!$K$6</f>
        <v>Buckinghamshire</v>
      </c>
      <c r="C13" s="896"/>
      <c r="D13" s="889">
        <f>IF(Year1_Buckinghamshire Year1_Adoption_PFA="","",Year1_Buckinghamshire Year1_Adoption_PFA)</f>
        <v>8</v>
      </c>
      <c r="E13" s="889">
        <f>IF(Year2_Buckinghamshire Year2_Adoption_PFA="","",Year2_Buckinghamshire Year2_Adoption_PFA)</f>
        <v>13</v>
      </c>
      <c r="F13" s="889">
        <f>IF(Year3_Buckinghamshire Year3_Adoption_PFA="","",Year3_Buckinghamshire Year3_Adoption_PFA)</f>
        <v>11</v>
      </c>
      <c r="G13" s="889" t="str">
        <f>IF(Year4_Buckinghamshire Year4_Adoption_PFA="","",Year4_Buckinghamshire Year4_Adoption_PFA)</f>
        <v>c</v>
      </c>
      <c r="H13" s="890" t="str">
        <f>IF(Year5_Buckinghamshire Year5_Adoption_PFA="","",Year5_Buckinghamshire Year5_Adoption_PFA)</f>
        <v>c</v>
      </c>
      <c r="I13" s="1205">
        <f t="shared" si="8"/>
        <v>0.23557692307692307</v>
      </c>
      <c r="J13" s="1184"/>
      <c r="K13" s="901">
        <f>IF(ISNUMBER(D13),D13/Population!D13*10000,NA())</f>
        <v>0.65500216969468716</v>
      </c>
      <c r="L13" s="901">
        <f>IF(ISNUMBER(E13),E13/Population!E13*10000,NA())</f>
        <v>1.0612678068492591</v>
      </c>
      <c r="M13" s="901">
        <f>IF(ISNUMBER(F13),F13/Population!F13*10000,NA())</f>
        <v>0.89061614444174553</v>
      </c>
      <c r="N13" s="901" t="e">
        <f>IF(ISNUMBER(G13),G13/Population!G13*10000,NA())</f>
        <v>#N/A</v>
      </c>
      <c r="O13" s="902" t="e">
        <f>IF(ISNUMBER(H13),H13/Population!H13*10000,NA())</f>
        <v>#N/A</v>
      </c>
      <c r="P13" s="903" t="str">
        <f t="shared" si="9"/>
        <v/>
      </c>
      <c r="Q13" s="1139" t="e">
        <f t="shared" si="0"/>
        <v>#N/A</v>
      </c>
      <c r="R13" s="64"/>
      <c r="S13" s="64"/>
      <c r="T13" s="605"/>
      <c r="U13" s="103"/>
      <c r="V13" s="115"/>
      <c r="W13" s="622" t="str">
        <f t="shared" si="1"/>
        <v>Buckinghamshire</v>
      </c>
      <c r="X13" s="27">
        <f>IF(ISNUMBER(H13),IDACI!D11,0)</f>
        <v>0</v>
      </c>
      <c r="Y13" s="27">
        <f>IF(ISNUMBER(H13),IDACI!E11,0)</f>
        <v>0</v>
      </c>
      <c r="Z13" s="628">
        <f>IF(ISNUMBER(D13),Population!D13,"")</f>
        <v>122137</v>
      </c>
      <c r="AA13" s="155">
        <f>IF(ISNUMBER(E13),Population!E13,"")</f>
        <v>122495</v>
      </c>
      <c r="AB13" s="155">
        <f>IF(ISNUMBER(F13),Population!F13,"")</f>
        <v>123510</v>
      </c>
      <c r="AC13" s="155" t="str">
        <f>IF(ISNUMBER(G13),Population!G13,"")</f>
        <v/>
      </c>
      <c r="AD13" s="629" t="str">
        <f>IF(ISNUMBER(H13),Population!H13,"")</f>
        <v/>
      </c>
      <c r="AE13" s="623" t="s">
        <v>8</v>
      </c>
      <c r="AF13" s="70" t="str">
        <f t="shared" si="2"/>
        <v/>
      </c>
      <c r="AG13" s="156" t="e">
        <f t="shared" si="3"/>
        <v>#VALUE!</v>
      </c>
      <c r="AH13" s="141"/>
      <c r="AI13" s="141"/>
      <c r="AM13" s="121"/>
      <c r="AN13" s="480">
        <f t="shared" si="4"/>
        <v>0.625</v>
      </c>
      <c r="AO13" s="480">
        <f t="shared" si="5"/>
        <v>-0.15384615384615385</v>
      </c>
      <c r="AP13" s="480" t="str">
        <f t="shared" si="6"/>
        <v>x</v>
      </c>
      <c r="AQ13" s="480" t="str">
        <f t="shared" si="7"/>
        <v>x</v>
      </c>
      <c r="AR13" s="480">
        <f t="shared" si="10"/>
        <v>0.23557692307692307</v>
      </c>
    </row>
    <row r="14" spans="1:47" s="61" customFormat="1" ht="15.75" customHeight="1">
      <c r="A14" s="306">
        <f>VLOOKUP(B14,ReportData!$AQ$4:$AR$25,2,FALSE)</f>
        <v>0</v>
      </c>
      <c r="B14" s="885" t="str">
        <f>ReportData!$K$7</f>
        <v>East Sussex</v>
      </c>
      <c r="C14" s="896"/>
      <c r="D14" s="889">
        <f>IF(Year1_East_Sussex Year1_Adoption_PFA="","",Year1_East_Sussex Year1_Adoption_PFA)</f>
        <v>30</v>
      </c>
      <c r="E14" s="889">
        <f>IF(Year2_East_Sussex Year2_Adoption_PFA="","",Year2_East_Sussex Year2_Adoption_PFA)</f>
        <v>23</v>
      </c>
      <c r="F14" s="889">
        <f>IF(Year3_East_Sussex Year3_Adoption_PFA="","",Year3_East_Sussex Year3_Adoption_PFA)</f>
        <v>14</v>
      </c>
      <c r="G14" s="889">
        <f>IF(Year4_East_Sussex Year4_Adoption_PFA="","",Year4_East_Sussex Year4_Adoption_PFA)</f>
        <v>16</v>
      </c>
      <c r="H14" s="890">
        <f>IF(Year5_East_Sussex Year5_Adoption_PFA="","",Year5_East_Sussex Year5_Adoption_PFA)</f>
        <v>14</v>
      </c>
      <c r="I14" s="1205">
        <f t="shared" si="8"/>
        <v>-0.15169513457556938</v>
      </c>
      <c r="J14" s="1184"/>
      <c r="K14" s="901">
        <f>IF(ISNUMBER(D14),D14/Population!D14*10000,NA())</f>
        <v>2.9148570262628617</v>
      </c>
      <c r="L14" s="901">
        <f>IF(ISNUMBER(E14),E14/Population!E14*10000,NA())</f>
        <v>2.2456770716370986</v>
      </c>
      <c r="M14" s="901">
        <f>IF(ISNUMBER(F14),F14/Population!F14*10000,NA())</f>
        <v>1.3731009523435891</v>
      </c>
      <c r="N14" s="901">
        <f>IF(ISNUMBER(G14),G14/Population!G14*10000,NA())</f>
        <v>1.5560418186238756</v>
      </c>
      <c r="O14" s="902">
        <f>IF(ISNUMBER(H14),H14/Population!H14*10000,NA())</f>
        <v>1.3512730922919522</v>
      </c>
      <c r="P14" s="903">
        <f t="shared" si="9"/>
        <v>1.3512730922919522</v>
      </c>
      <c r="Q14" s="1139">
        <f t="shared" si="0"/>
        <v>5</v>
      </c>
      <c r="R14" s="64"/>
      <c r="S14" s="64"/>
      <c r="T14" s="605"/>
      <c r="U14" s="103"/>
      <c r="V14" s="115"/>
      <c r="W14" s="622" t="str">
        <f t="shared" si="1"/>
        <v>East Sussex</v>
      </c>
      <c r="X14" s="27">
        <f>IF(ISNUMBER(H14),IDACI!D12,0)</f>
        <v>93130</v>
      </c>
      <c r="Y14" s="27">
        <f>IF(ISNUMBER(H14),IDACI!E12,0)</f>
        <v>14993.93</v>
      </c>
      <c r="Z14" s="628">
        <f>IF(ISNUMBER(D14),Population!D14,"")</f>
        <v>102921</v>
      </c>
      <c r="AA14" s="155">
        <f>IF(ISNUMBER(E14),Population!E14,"")</f>
        <v>102419</v>
      </c>
      <c r="AB14" s="155">
        <f>IF(ISNUMBER(F14),Population!F14,"")</f>
        <v>101959</v>
      </c>
      <c r="AC14" s="155">
        <f>IF(ISNUMBER(G14),Population!G14,"")</f>
        <v>102825</v>
      </c>
      <c r="AD14" s="629">
        <f>IF(ISNUMBER(H14),Population!H14,"")</f>
        <v>103606</v>
      </c>
      <c r="AE14" s="623" t="s">
        <v>4</v>
      </c>
      <c r="AF14" s="70">
        <f t="shared" si="2"/>
        <v>1.3512730922919522</v>
      </c>
      <c r="AG14" s="156">
        <f t="shared" si="3"/>
        <v>5</v>
      </c>
      <c r="AH14" s="141"/>
      <c r="AI14" s="141"/>
      <c r="AM14" s="121"/>
      <c r="AN14" s="480">
        <f t="shared" si="4"/>
        <v>-0.23333333333333334</v>
      </c>
      <c r="AO14" s="480">
        <f t="shared" si="5"/>
        <v>-0.39130434782608697</v>
      </c>
      <c r="AP14" s="480">
        <f t="shared" si="6"/>
        <v>0.14285714285714285</v>
      </c>
      <c r="AQ14" s="480">
        <f t="shared" si="7"/>
        <v>-0.125</v>
      </c>
      <c r="AR14" s="480">
        <f t="shared" si="10"/>
        <v>-0.15169513457556938</v>
      </c>
    </row>
    <row r="15" spans="1:47" s="61" customFormat="1" ht="15.75" customHeight="1">
      <c r="A15" s="306">
        <f>VLOOKUP(B15,ReportData!$AQ$4:$AR$25,2,FALSE)</f>
        <v>0</v>
      </c>
      <c r="B15" s="885" t="str">
        <f>ReportData!$K$8</f>
        <v>Hampshire</v>
      </c>
      <c r="C15" s="896"/>
      <c r="D15" s="889">
        <f>IF(Year1_Hampshire Year1_Adoption_PFA="","",Year1_Hampshire Year1_Adoption_PFA)</f>
        <v>38</v>
      </c>
      <c r="E15" s="889">
        <f>IF(Year2_Hampshire Year2_Adoption_PFA="","",Year2_Hampshire Year2_Adoption_PFA)</f>
        <v>36</v>
      </c>
      <c r="F15" s="891">
        <f>IF(Year3_Hampshire Year3_Adoption_PFA="","",Year3_Hampshire Year3_Adoption_PFA)</f>
        <v>33</v>
      </c>
      <c r="G15" s="891">
        <f>IF(Year4_Hampshire Year4_Adoption_PFA="","",Year4_Hampshire Year4_Adoption_PFA)</f>
        <v>37</v>
      </c>
      <c r="H15" s="890">
        <f>IF(Year5_Hampshire Year5_Adoption_PFA="","",Year5_Hampshire Year5_Adoption_PFA)</f>
        <v>26</v>
      </c>
      <c r="I15" s="1205">
        <f t="shared" si="8"/>
        <v>-7.8012522091469458E-2</v>
      </c>
      <c r="J15" s="1184"/>
      <c r="K15" s="901">
        <f>IF(ISNUMBER(D15),D15/Population!D15*10000,NA())</f>
        <v>1.3603493950025058</v>
      </c>
      <c r="L15" s="901">
        <f>IF(ISNUMBER(E15),E15/Population!E15*10000,NA())</f>
        <v>1.2881249194921924</v>
      </c>
      <c r="M15" s="901">
        <f>IF(ISNUMBER(F15),F15/Population!F15*10000,NA())</f>
        <v>1.1746740279572419</v>
      </c>
      <c r="N15" s="901">
        <f>IF(ISNUMBER(G15),G15/Population!G15*10000,NA())</f>
        <v>1.3051744877190137</v>
      </c>
      <c r="O15" s="902">
        <f>IF(ISNUMBER(H15),H15/Population!H15*10000,NA())</f>
        <v>0.91033227127901684</v>
      </c>
      <c r="P15" s="903">
        <f t="shared" si="9"/>
        <v>0.91033227127901684</v>
      </c>
      <c r="Q15" s="1139">
        <f t="shared" si="0"/>
        <v>3</v>
      </c>
      <c r="R15" s="64"/>
      <c r="S15" s="64"/>
      <c r="T15" s="605"/>
      <c r="U15" s="814"/>
      <c r="V15" s="115"/>
      <c r="W15" s="622" t="str">
        <f t="shared" si="1"/>
        <v>Hampshire</v>
      </c>
      <c r="X15" s="27">
        <f>IF(ISNUMBER(H15),IDACI!D13,0)</f>
        <v>249483</v>
      </c>
      <c r="Y15" s="27">
        <f>IF(ISNUMBER(H15),IDACI!E13,0)</f>
        <v>25197.783000000007</v>
      </c>
      <c r="Z15" s="628">
        <f>IF(ISNUMBER(D15),Population!D15,"")</f>
        <v>279340</v>
      </c>
      <c r="AA15" s="155">
        <f>IF(ISNUMBER(E15),Population!E15,"")</f>
        <v>279476</v>
      </c>
      <c r="AB15" s="155">
        <f>IF(ISNUMBER(F15),Population!F15,"")</f>
        <v>280929</v>
      </c>
      <c r="AC15" s="155">
        <f>IF(ISNUMBER(G15),Population!G15,"")</f>
        <v>283487</v>
      </c>
      <c r="AD15" s="629">
        <f>IF(ISNUMBER(H15),Population!H15,"")</f>
        <v>285610</v>
      </c>
      <c r="AE15" s="623" t="s">
        <v>6</v>
      </c>
      <c r="AF15" s="70">
        <f t="shared" si="2"/>
        <v>0.91033227127901684</v>
      </c>
      <c r="AG15" s="156">
        <f t="shared" si="3"/>
        <v>3</v>
      </c>
      <c r="AH15" s="141"/>
      <c r="AI15" s="141"/>
      <c r="AM15" s="121"/>
      <c r="AN15" s="480">
        <f t="shared" si="4"/>
        <v>-5.2631578947368418E-2</v>
      </c>
      <c r="AO15" s="480">
        <f t="shared" si="5"/>
        <v>-8.3333333333333329E-2</v>
      </c>
      <c r="AP15" s="480">
        <f t="shared" si="6"/>
        <v>0.12121212121212122</v>
      </c>
      <c r="AQ15" s="480">
        <f t="shared" si="7"/>
        <v>-0.29729729729729731</v>
      </c>
      <c r="AR15" s="480">
        <f t="shared" si="10"/>
        <v>-7.8012522091469458E-2</v>
      </c>
    </row>
    <row r="16" spans="1:47" s="61" customFormat="1" ht="15.75" customHeight="1">
      <c r="A16" s="306">
        <f>VLOOKUP(B16,ReportData!$AQ$4:$AR$25,2,FALSE)</f>
        <v>0</v>
      </c>
      <c r="B16" s="885" t="str">
        <f>ReportData!$K$9</f>
        <v>Isle of Wight</v>
      </c>
      <c r="C16" s="896"/>
      <c r="D16" s="889">
        <f>IF(Year1_Isle_of_Wight Year1_Adoption_PFA="","",Year1_Isle_of_Wight Year1_Adoption_PFA)</f>
        <v>2</v>
      </c>
      <c r="E16" s="889">
        <f>IF(Year2_Isle_of_Wight Year2_Adoption_PFA="","",Year2_Isle_of_Wight Year2_Adoption_PFA)</f>
        <v>8</v>
      </c>
      <c r="F16" s="889" t="str">
        <f>IF(Year3_Isle_of_Wight Year3_Adoption_PFA="","",Year3_Isle_of_Wight Year3_Adoption_PFA)</f>
        <v>c</v>
      </c>
      <c r="G16" s="889" t="str">
        <f>IF(Year4_Isle_of_Wight Year4_Adoption_PFA="","",Year4_Isle_of_Wight Year4_Adoption_PFA)</f>
        <v>c</v>
      </c>
      <c r="H16" s="890" t="str">
        <f>IF(Year5_Isle_of_Wight Year5_Adoption_PFA="","",Year5_Isle_of_Wight Year5_Adoption_PFA)</f>
        <v>c</v>
      </c>
      <c r="I16" s="1205">
        <f t="shared" si="8"/>
        <v>3</v>
      </c>
      <c r="J16" s="1184"/>
      <c r="K16" s="901">
        <f>IF(ISNUMBER(D16),D16/Population!D16*10000,NA())</f>
        <v>0.82301139870787199</v>
      </c>
      <c r="L16" s="901">
        <f>IF(ISNUMBER(E16),E16/Population!E16*10000,NA())</f>
        <v>3.3484011384563868</v>
      </c>
      <c r="M16" s="901" t="e">
        <f>IF(ISNUMBER(F16),F16/Population!F16*10000,NA())</f>
        <v>#N/A</v>
      </c>
      <c r="N16" s="901" t="e">
        <f>IF(ISNUMBER(G16),G16/Population!G16*10000,NA())</f>
        <v>#N/A</v>
      </c>
      <c r="O16" s="902" t="e">
        <f>IF(ISNUMBER(H16),H16/Population!H16*10000,NA())</f>
        <v>#N/A</v>
      </c>
      <c r="P16" s="903" t="str">
        <f t="shared" si="9"/>
        <v/>
      </c>
      <c r="Q16" s="1139" t="e">
        <f t="shared" si="0"/>
        <v>#N/A</v>
      </c>
      <c r="R16" s="64"/>
      <c r="S16" s="64"/>
      <c r="T16" s="605"/>
      <c r="U16" s="813"/>
      <c r="V16" s="115"/>
      <c r="W16" s="622" t="str">
        <f t="shared" si="1"/>
        <v>Isle of Wight</v>
      </c>
      <c r="X16" s="27">
        <f>IF(ISNUMBER(H16),IDACI!D14,0)</f>
        <v>0</v>
      </c>
      <c r="Y16" s="27">
        <f>IF(ISNUMBER(H16),IDACI!E14,0)</f>
        <v>0</v>
      </c>
      <c r="Z16" s="628">
        <f>IF(ISNUMBER(D16),Population!D16,"")</f>
        <v>24301</v>
      </c>
      <c r="AA16" s="155">
        <f>IF(ISNUMBER(E16),Population!E16,"")</f>
        <v>23892</v>
      </c>
      <c r="AB16" s="155" t="str">
        <f>IF(ISNUMBER(F16),Population!F16,"")</f>
        <v/>
      </c>
      <c r="AC16" s="155" t="str">
        <f>IF(ISNUMBER(G16),Population!G16,"")</f>
        <v/>
      </c>
      <c r="AD16" s="629" t="str">
        <f>IF(ISNUMBER(H16),Population!H16,"")</f>
        <v/>
      </c>
      <c r="AE16" s="623" t="s">
        <v>1</v>
      </c>
      <c r="AF16" s="70" t="str">
        <f t="shared" si="2"/>
        <v/>
      </c>
      <c r="AG16" s="156" t="e">
        <f t="shared" si="3"/>
        <v>#VALUE!</v>
      </c>
      <c r="AH16" s="141"/>
      <c r="AI16" s="141"/>
      <c r="AM16" s="121"/>
      <c r="AN16" s="480">
        <f t="shared" si="4"/>
        <v>3</v>
      </c>
      <c r="AO16" s="480" t="str">
        <f t="shared" si="5"/>
        <v>x</v>
      </c>
      <c r="AP16" s="480" t="str">
        <f t="shared" si="6"/>
        <v>x</v>
      </c>
      <c r="AQ16" s="480" t="str">
        <f t="shared" si="7"/>
        <v>x</v>
      </c>
      <c r="AR16" s="480">
        <f t="shared" si="10"/>
        <v>3</v>
      </c>
      <c r="AU16" s="61" t="s">
        <v>95</v>
      </c>
    </row>
    <row r="17" spans="1:44" s="61" customFormat="1" ht="15.75" customHeight="1">
      <c r="A17" s="306">
        <f>VLOOKUP(B17,ReportData!$AQ$4:$AR$25,2,FALSE)</f>
        <v>0</v>
      </c>
      <c r="B17" s="885" t="str">
        <f>ReportData!$K$10</f>
        <v>Kent</v>
      </c>
      <c r="C17" s="896"/>
      <c r="D17" s="889">
        <f>IF(Year1_Kent Year1_Adoption_PFA="","",Year1_Kent Year1_Adoption_PFA)</f>
        <v>36</v>
      </c>
      <c r="E17" s="889">
        <f>IF(Year2_Kent Year2_Adoption_PFA="","",Year2_Kent Year2_Adoption_PFA)</f>
        <v>55</v>
      </c>
      <c r="F17" s="889">
        <f>IF(Year3_Kent Year3_Adoption_PFA="","",Year3_Kent Year3_Adoption_PFA)</f>
        <v>57</v>
      </c>
      <c r="G17" s="889">
        <f>IF(Year4_Kent Year4_Adoption_PFA="","",Year4_Kent Year4_Adoption_PFA)</f>
        <v>46</v>
      </c>
      <c r="H17" s="890">
        <f>IF(Year5_Kent Year5_Adoption_PFA="","",Year5_Kent Year5_Adoption_PFA)</f>
        <v>48</v>
      </c>
      <c r="I17" s="1205">
        <f t="shared" si="8"/>
        <v>0.10365930471765714</v>
      </c>
      <c r="J17" s="1184"/>
      <c r="K17" s="901">
        <f>IF(ISNUMBER(D17),D17/Population!D17*10000,NA())</f>
        <v>1.0799686809082536</v>
      </c>
      <c r="L17" s="901">
        <f>IF(ISNUMBER(E17),E17/Population!E17*10000,NA())</f>
        <v>1.6446188072626367</v>
      </c>
      <c r="M17" s="901">
        <f>IF(ISNUMBER(F17),F17/Population!F17*10000,NA())</f>
        <v>1.6959692464243314</v>
      </c>
      <c r="N17" s="901">
        <f>IF(ISNUMBER(G17),G17/Population!G17*10000,NA())</f>
        <v>1.3416633125083854</v>
      </c>
      <c r="O17" s="902">
        <f>IF(ISNUMBER(H17),H17/Population!H17*10000,NA())</f>
        <v>1.3779957052467187</v>
      </c>
      <c r="P17" s="903">
        <f t="shared" si="9"/>
        <v>1.3779957052467187</v>
      </c>
      <c r="Q17" s="1139">
        <f t="shared" si="0"/>
        <v>6</v>
      </c>
      <c r="R17" s="64"/>
      <c r="S17" s="64"/>
      <c r="T17" s="605"/>
      <c r="U17" s="103"/>
      <c r="V17" s="115"/>
      <c r="W17" s="622" t="str">
        <f t="shared" si="1"/>
        <v>Kent</v>
      </c>
      <c r="X17" s="27">
        <f>IF(ISNUMBER(H17),IDACI!D15,0)</f>
        <v>291866</v>
      </c>
      <c r="Y17" s="27">
        <f>IF(ISNUMBER(H17),IDACI!E15,0)</f>
        <v>46114.828000000001</v>
      </c>
      <c r="Z17" s="628">
        <f>IF(ISNUMBER(D17),Population!D17,"")</f>
        <v>333343</v>
      </c>
      <c r="AA17" s="155">
        <f>IF(ISNUMBER(E17),Population!E17,"")</f>
        <v>334424</v>
      </c>
      <c r="AB17" s="155">
        <f>IF(ISNUMBER(F17),Population!F17,"")</f>
        <v>336091</v>
      </c>
      <c r="AC17" s="155">
        <f>IF(ISNUMBER(G17),Population!G17,"")</f>
        <v>342858</v>
      </c>
      <c r="AD17" s="629">
        <f>IF(ISNUMBER(H17),Population!H17,"")</f>
        <v>348332</v>
      </c>
      <c r="AE17" s="623" t="s">
        <v>9</v>
      </c>
      <c r="AF17" s="70">
        <f t="shared" si="2"/>
        <v>1.3779957052467187</v>
      </c>
      <c r="AG17" s="156">
        <f t="shared" si="3"/>
        <v>6</v>
      </c>
      <c r="AH17" s="141"/>
      <c r="AI17" s="141"/>
      <c r="AM17" s="121"/>
      <c r="AN17" s="480">
        <f t="shared" si="4"/>
        <v>0.52777777777777779</v>
      </c>
      <c r="AO17" s="480">
        <f t="shared" si="5"/>
        <v>3.6363636363636362E-2</v>
      </c>
      <c r="AP17" s="480">
        <f t="shared" si="6"/>
        <v>-0.19298245614035087</v>
      </c>
      <c r="AQ17" s="480">
        <f t="shared" si="7"/>
        <v>4.3478260869565216E-2</v>
      </c>
      <c r="AR17" s="480">
        <f t="shared" si="10"/>
        <v>0.10365930471765714</v>
      </c>
    </row>
    <row r="18" spans="1:44" s="61" customFormat="1" ht="15.75" customHeight="1">
      <c r="A18" s="306">
        <f>VLOOKUP(B18,ReportData!$AQ$4:$AR$25,2,FALSE)</f>
        <v>0</v>
      </c>
      <c r="B18" s="885" t="str">
        <f>ReportData!$K$11</f>
        <v>Medway</v>
      </c>
      <c r="C18" s="896"/>
      <c r="D18" s="889">
        <f>IF(Year1_Medway Year1_Adoption_PFA="","",Year1_Medway Year1_Adoption_PFA)</f>
        <v>14</v>
      </c>
      <c r="E18" s="889">
        <f>IF(Year2_Medway Year2_Adoption_PFA="","",Year2_Medway Year2_Adoption_PFA)</f>
        <v>17</v>
      </c>
      <c r="F18" s="889">
        <f>IF(Year3_Medway Year3_Adoption_PFA="","",Year3_Medway Year3_Adoption_PFA)</f>
        <v>21</v>
      </c>
      <c r="G18" s="889">
        <f>IF(Year4_Medway Year4_Adoption_PFA="","",Year4_Medway Year4_Adoption_PFA)</f>
        <v>10</v>
      </c>
      <c r="H18" s="890">
        <f>IF(Year5_Medway Year5_Adoption_PFA="","",Year5_Medway Year5_Adoption_PFA)</f>
        <v>8</v>
      </c>
      <c r="I18" s="1205">
        <f t="shared" si="8"/>
        <v>-6.8557422969187695E-2</v>
      </c>
      <c r="J18" s="1184"/>
      <c r="K18" s="901">
        <f>IF(ISNUMBER(D18),D18/Population!D18*10000,NA())</f>
        <v>2.198768689533861</v>
      </c>
      <c r="L18" s="901">
        <f>IF(ISNUMBER(E18),E18/Population!E18*10000,NA())</f>
        <v>2.6689693068529716</v>
      </c>
      <c r="M18" s="901">
        <f>IF(ISNUMBER(F18),F18/Population!F18*10000,NA())</f>
        <v>3.2906592287321557</v>
      </c>
      <c r="N18" s="901">
        <f>IF(ISNUMBER(G18),G18/Population!G18*10000,NA())</f>
        <v>1.5395273650989147</v>
      </c>
      <c r="O18" s="902">
        <f>IF(ISNUMBER(H18),H18/Population!H18*10000,NA())</f>
        <v>1.1996341115959632</v>
      </c>
      <c r="P18" s="903">
        <f t="shared" si="9"/>
        <v>1.1996341115959632</v>
      </c>
      <c r="Q18" s="1139">
        <f t="shared" si="0"/>
        <v>4</v>
      </c>
      <c r="R18" s="64"/>
      <c r="S18" s="64"/>
      <c r="T18" s="605"/>
      <c r="U18" s="103"/>
      <c r="V18" s="115"/>
      <c r="W18" s="622" t="str">
        <f t="shared" si="1"/>
        <v>Medway</v>
      </c>
      <c r="X18" s="27">
        <f>IF(ISNUMBER(H18),IDACI!D16,0)</f>
        <v>55993</v>
      </c>
      <c r="Y18" s="27">
        <f>IF(ISNUMBER(H18),IDACI!E16,0)</f>
        <v>10582.676999999998</v>
      </c>
      <c r="Z18" s="628">
        <f>IF(ISNUMBER(D18),Population!D18,"")</f>
        <v>63672</v>
      </c>
      <c r="AA18" s="155">
        <f>IF(ISNUMBER(E18),Population!E18,"")</f>
        <v>63695</v>
      </c>
      <c r="AB18" s="155">
        <f>IF(ISNUMBER(F18),Population!F18,"")</f>
        <v>63817</v>
      </c>
      <c r="AC18" s="155">
        <f>IF(ISNUMBER(G18),Population!G18,"")</f>
        <v>64955</v>
      </c>
      <c r="AD18" s="629">
        <f>IF(ISNUMBER(H18),Population!H18,"")</f>
        <v>66687</v>
      </c>
      <c r="AE18" s="623" t="s">
        <v>2</v>
      </c>
      <c r="AF18" s="70">
        <f t="shared" si="2"/>
        <v>1.1996341115959632</v>
      </c>
      <c r="AG18" s="156">
        <f t="shared" si="3"/>
        <v>4</v>
      </c>
      <c r="AH18" s="141"/>
      <c r="AI18" s="141"/>
      <c r="AM18" s="121"/>
      <c r="AN18" s="480">
        <f t="shared" si="4"/>
        <v>0.21428571428571427</v>
      </c>
      <c r="AO18" s="480">
        <f t="shared" si="5"/>
        <v>0.23529411764705882</v>
      </c>
      <c r="AP18" s="480">
        <f t="shared" si="6"/>
        <v>-0.52380952380952384</v>
      </c>
      <c r="AQ18" s="480">
        <f t="shared" si="7"/>
        <v>-0.2</v>
      </c>
      <c r="AR18" s="480">
        <f t="shared" si="10"/>
        <v>-6.8557422969187695E-2</v>
      </c>
    </row>
    <row r="19" spans="1:44" s="61" customFormat="1" ht="15.75" customHeight="1">
      <c r="A19" s="306">
        <f>VLOOKUP(B19,ReportData!$AQ$4:$AR$25,2,FALSE)</f>
        <v>0</v>
      </c>
      <c r="B19" s="885" t="str">
        <f>ReportData!$K$12</f>
        <v>Milton Keynes</v>
      </c>
      <c r="C19" s="896"/>
      <c r="D19" s="889">
        <f>IF(Year1_Milton_Keynes Year1_Adoption_PFA="","",Year1_Milton_Keynes Year1_Adoption_PFA)</f>
        <v>16</v>
      </c>
      <c r="E19" s="889">
        <f>IF(Year2_Milton_Keynes Year2_Adoption_PFA="","",Year2_Milton_Keynes Year2_Adoption_PFA)</f>
        <v>20</v>
      </c>
      <c r="F19" s="889">
        <f>IF(Year3_Milton_Keynes Year3_Adoption_PFA="","",Year3_Milton_Keynes Year3_Adoption_PFA)</f>
        <v>11</v>
      </c>
      <c r="G19" s="889">
        <f>IF(Year4_Milton_Keynes Year4_Adoption_PFA="","",Year4_Milton_Keynes Year4_Adoption_PFA)</f>
        <v>9</v>
      </c>
      <c r="H19" s="890">
        <f>IF(Year5_Milton_Keynes Year5_Adoption_PFA="","",Year5_Milton_Keynes Year5_Adoption_PFA)</f>
        <v>11</v>
      </c>
      <c r="I19" s="1205">
        <f t="shared" si="8"/>
        <v>-3.9898989898989906E-2</v>
      </c>
      <c r="J19" s="1184"/>
      <c r="K19" s="901">
        <f>IF(ISNUMBER(D19),D19/Population!D19*10000,NA())</f>
        <v>2.3175978098700698</v>
      </c>
      <c r="L19" s="901">
        <f>IF(ISNUMBER(E19),E19/Population!E19*10000,NA())</f>
        <v>2.8857946757088233</v>
      </c>
      <c r="M19" s="901">
        <f>IF(ISNUMBER(F19),F19/Population!F19*10000,NA())</f>
        <v>1.5796653981474833</v>
      </c>
      <c r="N19" s="901">
        <f>IF(ISNUMBER(G19),G19/Population!G19*10000,NA())</f>
        <v>1.2684810643965552</v>
      </c>
      <c r="O19" s="902">
        <f>IF(ISNUMBER(H19),H19/Population!H19*10000,NA())</f>
        <v>1.5110512795856972</v>
      </c>
      <c r="P19" s="903">
        <f t="shared" si="9"/>
        <v>1.5110512795856972</v>
      </c>
      <c r="Q19" s="1139">
        <f t="shared" si="0"/>
        <v>7</v>
      </c>
      <c r="R19" s="64"/>
      <c r="S19" s="64"/>
      <c r="T19" s="605"/>
      <c r="U19" s="103"/>
      <c r="V19" s="115"/>
      <c r="W19" s="622" t="str">
        <f t="shared" si="1"/>
        <v>Milton Keynes</v>
      </c>
      <c r="X19" s="27">
        <f>IF(ISNUMBER(H19),IDACI!D17,0)</f>
        <v>59903</v>
      </c>
      <c r="Y19" s="27">
        <f>IF(ISNUMBER(H19),IDACI!E17,0)</f>
        <v>8985.4499999999989</v>
      </c>
      <c r="Z19" s="628">
        <f>IF(ISNUMBER(D19),Population!D19,"")</f>
        <v>69037</v>
      </c>
      <c r="AA19" s="155">
        <f>IF(ISNUMBER(E19),Population!E19,"")</f>
        <v>69305</v>
      </c>
      <c r="AB19" s="155">
        <f>IF(ISNUMBER(F19),Population!F19,"")</f>
        <v>69635</v>
      </c>
      <c r="AC19" s="155">
        <f>IF(ISNUMBER(G19),Population!G19,"")</f>
        <v>70951</v>
      </c>
      <c r="AD19" s="629">
        <f>IF(ISNUMBER(H19),Population!H19,"")</f>
        <v>72797</v>
      </c>
      <c r="AE19" s="623" t="s">
        <v>10</v>
      </c>
      <c r="AF19" s="70">
        <f t="shared" si="2"/>
        <v>1.5110512795856972</v>
      </c>
      <c r="AG19" s="156">
        <f t="shared" si="3"/>
        <v>7</v>
      </c>
      <c r="AH19" s="141"/>
      <c r="AI19" s="141"/>
      <c r="AM19" s="121"/>
      <c r="AN19" s="480">
        <f t="shared" si="4"/>
        <v>0.25</v>
      </c>
      <c r="AO19" s="480">
        <f t="shared" si="5"/>
        <v>-0.45</v>
      </c>
      <c r="AP19" s="480">
        <f t="shared" si="6"/>
        <v>-0.18181818181818182</v>
      </c>
      <c r="AQ19" s="480">
        <f t="shared" si="7"/>
        <v>0.22222222222222221</v>
      </c>
      <c r="AR19" s="480">
        <f t="shared" si="10"/>
        <v>-3.9898989898989906E-2</v>
      </c>
    </row>
    <row r="20" spans="1:44" s="61" customFormat="1" ht="15.75" customHeight="1">
      <c r="A20" s="306">
        <f>VLOOKUP(B20,ReportData!$AQ$4:$AR$25,2,FALSE)</f>
        <v>0</v>
      </c>
      <c r="B20" s="885" t="str">
        <f>ReportData!$K$13</f>
        <v>Oxfordshire</v>
      </c>
      <c r="C20" s="896"/>
      <c r="D20" s="889">
        <f>IF(Year1_Oxfordshire Year1_Adoption_PFA="","",Year1_Oxfordshire Year1_Adoption_PFA)</f>
        <v>17</v>
      </c>
      <c r="E20" s="889">
        <f>IF(Year2_Oxfordshire Year2_Adoption_PFA="","",Year2_Oxfordshire Year2_Adoption_PFA)</f>
        <v>30</v>
      </c>
      <c r="F20" s="889">
        <f>IF(Year3_Oxfordshire Year3_Adoption_PFA="","",Year3_Oxfordshire Year3_Adoption_PFA)</f>
        <v>23</v>
      </c>
      <c r="G20" s="889">
        <f>IF(Year4_Oxfordshire Year4_Adoption_PFA="","",Year4_Oxfordshire Year4_Adoption_PFA)</f>
        <v>16</v>
      </c>
      <c r="H20" s="890" t="str">
        <f>IF(Year5_Oxfordshire Year5_Adoption_PFA="","",Year5_Oxfordshire Year5_Adoption_PFA)</f>
        <v>c</v>
      </c>
      <c r="I20" s="1205">
        <f t="shared" si="8"/>
        <v>7.5674907644217068E-2</v>
      </c>
      <c r="J20" s="1184"/>
      <c r="K20" s="901">
        <f>IF(ISNUMBER(D20),D20/Population!D20*10000,NA())</f>
        <v>1.1770489306164273</v>
      </c>
      <c r="L20" s="901">
        <f>IF(ISNUMBER(E20),E20/Population!E20*10000,NA())</f>
        <v>2.0658453783595809</v>
      </c>
      <c r="M20" s="901">
        <f>IF(ISNUMBER(F20),F20/Population!F20*10000,NA())</f>
        <v>1.571650164339941</v>
      </c>
      <c r="N20" s="901">
        <f>IF(ISNUMBER(G20),G20/Population!G20*10000,NA())</f>
        <v>1.0699621500889407</v>
      </c>
      <c r="O20" s="902" t="e">
        <f>IF(ISNUMBER(H20),H20/Population!H20*10000,NA())</f>
        <v>#N/A</v>
      </c>
      <c r="P20" s="903" t="str">
        <f t="shared" si="9"/>
        <v/>
      </c>
      <c r="Q20" s="1139" t="e">
        <f t="shared" si="0"/>
        <v>#N/A</v>
      </c>
      <c r="R20" s="64"/>
      <c r="S20" s="64"/>
      <c r="T20" s="605"/>
      <c r="U20" s="103"/>
      <c r="V20" s="115"/>
      <c r="W20" s="622" t="str">
        <f t="shared" si="1"/>
        <v>Oxfordshire</v>
      </c>
      <c r="X20" s="27">
        <f>IF(ISNUMBER(H20),IDACI!D18,0)</f>
        <v>0</v>
      </c>
      <c r="Y20" s="27">
        <f>IF(ISNUMBER(H20),IDACI!E18,0)</f>
        <v>0</v>
      </c>
      <c r="Z20" s="628">
        <f>IF(ISNUMBER(D20),Population!D20,"")</f>
        <v>144429</v>
      </c>
      <c r="AA20" s="155">
        <f>IF(ISNUMBER(E20),Population!E20,"")</f>
        <v>145219</v>
      </c>
      <c r="AB20" s="155">
        <f>IF(ISNUMBER(F20),Population!F20,"")</f>
        <v>146343</v>
      </c>
      <c r="AC20" s="155">
        <f>IF(ISNUMBER(G20),Population!G20,"")</f>
        <v>149538</v>
      </c>
      <c r="AD20" s="629" t="str">
        <f>IF(ISNUMBER(H20),Population!H20,"")</f>
        <v/>
      </c>
      <c r="AE20" s="623" t="s">
        <v>11</v>
      </c>
      <c r="AF20" s="70" t="str">
        <f t="shared" si="2"/>
        <v/>
      </c>
      <c r="AG20" s="156" t="e">
        <f t="shared" si="3"/>
        <v>#VALUE!</v>
      </c>
      <c r="AH20" s="141"/>
      <c r="AI20" s="141"/>
      <c r="AM20" s="121"/>
      <c r="AN20" s="480">
        <f t="shared" si="4"/>
        <v>0.76470588235294112</v>
      </c>
      <c r="AO20" s="480">
        <f t="shared" si="5"/>
        <v>-0.23333333333333334</v>
      </c>
      <c r="AP20" s="480">
        <f t="shared" si="6"/>
        <v>-0.30434782608695654</v>
      </c>
      <c r="AQ20" s="480" t="str">
        <f t="shared" si="7"/>
        <v>x</v>
      </c>
      <c r="AR20" s="480">
        <f t="shared" si="10"/>
        <v>7.5674907644217068E-2</v>
      </c>
    </row>
    <row r="21" spans="1:44" s="61" customFormat="1" ht="15.75" customHeight="1">
      <c r="A21" s="306">
        <f>VLOOKUP(B21,ReportData!$AQ$4:$AR$25,2,FALSE)</f>
        <v>0</v>
      </c>
      <c r="B21" s="885" t="str">
        <f>ReportData!$K$14</f>
        <v>Portsmouth</v>
      </c>
      <c r="C21" s="896"/>
      <c r="D21" s="889">
        <f>IF(Year1_Portsmouth Year1_Adoption_PFA="","",Year1_Portsmouth Year1_Adoption_PFA)</f>
        <v>7</v>
      </c>
      <c r="E21" s="889">
        <f>IF(Year2_Portsmouth Year2_Adoption_PFA="","",Year2_Portsmouth Year2_Adoption_PFA)</f>
        <v>10</v>
      </c>
      <c r="F21" s="889" t="str">
        <f>IF(Year3_Portsmouth Year3_Adoption_PFA="","",Year3_Portsmouth Year3_Adoption_PFA)</f>
        <v>c</v>
      </c>
      <c r="G21" s="889">
        <f>IF(Year4_Portsmouth Year4_Adoption_PFA="","",Year4_Portsmouth Year4_Adoption_PFA)</f>
        <v>6</v>
      </c>
      <c r="H21" s="890">
        <f>IF(Year5_Portsmouth Year5_Adoption_PFA="","",Year5_Portsmouth Year5_Adoption_PFA)</f>
        <v>10</v>
      </c>
      <c r="I21" s="1205">
        <f t="shared" si="8"/>
        <v>0.54761904761904756</v>
      </c>
      <c r="J21" s="1184"/>
      <c r="K21" s="901">
        <f>IF(ISNUMBER(D21),D21/Population!D21*10000,NA())</f>
        <v>1.6653581709609115</v>
      </c>
      <c r="L21" s="901">
        <f>IF(ISNUMBER(E21),E21/Population!E21*10000,NA())</f>
        <v>2.3886301206258209</v>
      </c>
      <c r="M21" s="901" t="e">
        <f>IF(ISNUMBER(F21),F21/Population!F21*10000,NA())</f>
        <v>#N/A</v>
      </c>
      <c r="N21" s="901">
        <f>IF(ISNUMBER(G21),G21/Population!G21*10000,NA())</f>
        <v>1.4329727018700296</v>
      </c>
      <c r="O21" s="902">
        <f>IF(ISNUMBER(H21),H21/Population!H21*10000,NA())</f>
        <v>2.3636750419552319</v>
      </c>
      <c r="P21" s="903">
        <f t="shared" si="9"/>
        <v>2.3636750419552319</v>
      </c>
      <c r="Q21" s="1139">
        <f t="shared" si="0"/>
        <v>12</v>
      </c>
      <c r="R21" s="64"/>
      <c r="S21" s="64"/>
      <c r="T21" s="605"/>
      <c r="U21" s="103"/>
      <c r="V21" s="115"/>
      <c r="W21" s="622" t="str">
        <f t="shared" si="1"/>
        <v>Portsmouth</v>
      </c>
      <c r="X21" s="27">
        <f>IF(ISNUMBER(H21),IDACI!D19,0)</f>
        <v>39325</v>
      </c>
      <c r="Y21" s="27">
        <f>IF(ISNUMBER(H21),IDACI!E19,0)</f>
        <v>7943.6500000000015</v>
      </c>
      <c r="Z21" s="628">
        <f>IF(ISNUMBER(D21),Population!D21,"")</f>
        <v>42033</v>
      </c>
      <c r="AA21" s="155">
        <f>IF(ISNUMBER(E21),Population!E21,"")</f>
        <v>41865</v>
      </c>
      <c r="AB21" s="155" t="str">
        <f>IF(ISNUMBER(F21),Population!F21,"")</f>
        <v/>
      </c>
      <c r="AC21" s="155">
        <f>IF(ISNUMBER(G21),Population!G21,"")</f>
        <v>41871</v>
      </c>
      <c r="AD21" s="629">
        <f>IF(ISNUMBER(H21),Population!H21,"")</f>
        <v>42307</v>
      </c>
      <c r="AE21" s="623" t="s">
        <v>12</v>
      </c>
      <c r="AF21" s="70">
        <f t="shared" si="2"/>
        <v>2.3636750419552319</v>
      </c>
      <c r="AG21" s="156">
        <f t="shared" si="3"/>
        <v>12</v>
      </c>
      <c r="AH21" s="141"/>
      <c r="AI21" s="141"/>
      <c r="AM21" s="121"/>
      <c r="AN21" s="480">
        <f t="shared" si="4"/>
        <v>0.42857142857142855</v>
      </c>
      <c r="AO21" s="480" t="str">
        <f t="shared" si="5"/>
        <v>x</v>
      </c>
      <c r="AP21" s="480" t="str">
        <f t="shared" si="6"/>
        <v>x</v>
      </c>
      <c r="AQ21" s="480">
        <f t="shared" si="7"/>
        <v>0.66666666666666663</v>
      </c>
      <c r="AR21" s="480">
        <f t="shared" si="10"/>
        <v>0.54761904761904756</v>
      </c>
    </row>
    <row r="22" spans="1:44" s="61" customFormat="1" ht="15.75" customHeight="1">
      <c r="A22" s="306">
        <f>VLOOKUP(B22,ReportData!$AQ$4:$AR$25,2,FALSE)</f>
        <v>0</v>
      </c>
      <c r="B22" s="885" t="str">
        <f>ReportData!$K$15</f>
        <v>Reading</v>
      </c>
      <c r="C22" s="896"/>
      <c r="D22" s="889">
        <f>IF(Year1_Reading Year1_Adoption_PFA="","",Year1_Reading Year1_Adoption_PFA)</f>
        <v>10</v>
      </c>
      <c r="E22" s="889">
        <f>IF(Year2_Reading Year2_Adoption_PFA="","",Year2_Reading Year2_Adoption_PFA)</f>
        <v>9</v>
      </c>
      <c r="F22" s="889">
        <f>IF(Year3_Reading Year3_Adoption_PFA="","",Year3_Reading Year3_Adoption_PFA)</f>
        <v>11</v>
      </c>
      <c r="G22" s="889" t="str">
        <f>IF(Year4_Reading Year4_Adoption_PFA="","",Year4_Reading Year4_Adoption_PFA)</f>
        <v>c</v>
      </c>
      <c r="H22" s="890" t="str">
        <f>IF(Year5_Reading Year5_Adoption_PFA="","",Year5_Reading Year5_Adoption_PFA)</f>
        <v>c</v>
      </c>
      <c r="I22" s="1205">
        <f t="shared" si="8"/>
        <v>6.1111111111111102E-2</v>
      </c>
      <c r="J22" s="1184"/>
      <c r="K22" s="901">
        <f>IF(ISNUMBER(D22),D22/Population!D22*10000,NA())</f>
        <v>2.7005130974885225</v>
      </c>
      <c r="L22" s="901">
        <f>IF(ISNUMBER(E22),E22/Population!E22*10000,NA())</f>
        <v>2.4343404289848802</v>
      </c>
      <c r="M22" s="901">
        <f>IF(ISNUMBER(F22),F22/Population!F22*10000,NA())</f>
        <v>3.027467385919524</v>
      </c>
      <c r="N22" s="901" t="e">
        <f>IF(ISNUMBER(G22),G22/Population!G22*10000,NA())</f>
        <v>#N/A</v>
      </c>
      <c r="O22" s="902" t="e">
        <f>IF(ISNUMBER(H22),H22/Population!H22*10000,NA())</f>
        <v>#N/A</v>
      </c>
      <c r="P22" s="903" t="str">
        <f t="shared" si="9"/>
        <v/>
      </c>
      <c r="Q22" s="1139" t="e">
        <f t="shared" si="0"/>
        <v>#N/A</v>
      </c>
      <c r="R22" s="64"/>
      <c r="S22" s="64"/>
      <c r="T22" s="605"/>
      <c r="U22" s="103"/>
      <c r="V22" s="115"/>
      <c r="W22" s="622" t="str">
        <f t="shared" si="1"/>
        <v>Reading</v>
      </c>
      <c r="X22" s="27">
        <f>IF(ISNUMBER(H22),IDACI!D20,0)</f>
        <v>0</v>
      </c>
      <c r="Y22" s="27">
        <f>IF(ISNUMBER(H22),IDACI!E20,0)</f>
        <v>0</v>
      </c>
      <c r="Z22" s="628">
        <f>IF(ISNUMBER(D22),Population!D22,"")</f>
        <v>37030</v>
      </c>
      <c r="AA22" s="155">
        <f>IF(ISNUMBER(E22),Population!E22,"")</f>
        <v>36971</v>
      </c>
      <c r="AB22" s="155">
        <f>IF(ISNUMBER(F22),Population!F22,"")</f>
        <v>36334</v>
      </c>
      <c r="AC22" s="155" t="str">
        <f>IF(ISNUMBER(G22),Population!G22,"")</f>
        <v/>
      </c>
      <c r="AD22" s="629" t="str">
        <f>IF(ISNUMBER(H22),Population!H22,"")</f>
        <v/>
      </c>
      <c r="AE22" s="623" t="s">
        <v>3</v>
      </c>
      <c r="AF22" s="70" t="str">
        <f t="shared" si="2"/>
        <v/>
      </c>
      <c r="AG22" s="156" t="e">
        <f t="shared" si="3"/>
        <v>#VALUE!</v>
      </c>
      <c r="AH22" s="141"/>
      <c r="AI22" s="141"/>
      <c r="AM22" s="121"/>
      <c r="AN22" s="480">
        <f t="shared" si="4"/>
        <v>-0.1</v>
      </c>
      <c r="AO22" s="480">
        <f t="shared" si="5"/>
        <v>0.22222222222222221</v>
      </c>
      <c r="AP22" s="480" t="str">
        <f t="shared" si="6"/>
        <v>x</v>
      </c>
      <c r="AQ22" s="480" t="str">
        <f t="shared" si="7"/>
        <v>x</v>
      </c>
      <c r="AR22" s="480">
        <f t="shared" si="10"/>
        <v>6.1111111111111102E-2</v>
      </c>
    </row>
    <row r="23" spans="1:44" s="61" customFormat="1" ht="15.75" customHeight="1">
      <c r="A23" s="306">
        <f>VLOOKUP(B23,ReportData!$AQ$4:$AR$25,2,FALSE)</f>
        <v>0</v>
      </c>
      <c r="B23" s="885" t="str">
        <f>ReportData!$K$16</f>
        <v>Slough</v>
      </c>
      <c r="C23" s="896"/>
      <c r="D23" s="889">
        <f>IF(Year1_Slough Year1_Adoption_PFA="","",Year1_Slough Year1_Adoption_PFA)</f>
        <v>8</v>
      </c>
      <c r="E23" s="889">
        <f>IF(Year2_Slough Year2_Adoption_PFA="","",Year2_Slough Year2_Adoption_PFA)</f>
        <v>8</v>
      </c>
      <c r="F23" s="889">
        <f>IF(Year3_Slough Year3_Adoption_PFA="","",Year3_Slough Year3_Adoption_PFA)</f>
        <v>8</v>
      </c>
      <c r="G23" s="889" t="str">
        <f>IF(Year4_Slough Year4_Adoption_PFA="","",Year4_Slough Year4_Adoption_PFA)</f>
        <v>c</v>
      </c>
      <c r="H23" s="890">
        <f>IF(Year5_Slough Year5_Adoption_PFA="","",Year5_Slough Year5_Adoption_PFA)</f>
        <v>10</v>
      </c>
      <c r="I23" s="1205">
        <f t="shared" si="8"/>
        <v>0</v>
      </c>
      <c r="J23" s="1184"/>
      <c r="K23" s="901">
        <f>IF(ISNUMBER(D23),D23/Population!D23*10000,NA())</f>
        <v>1.839968720531751</v>
      </c>
      <c r="L23" s="901">
        <f>IF(ISNUMBER(E23),E23/Population!E23*10000,NA())</f>
        <v>1.8223234624145788</v>
      </c>
      <c r="M23" s="901">
        <f>IF(ISNUMBER(F23),F23/Population!F23*10000,NA())</f>
        <v>1.8291149370098543</v>
      </c>
      <c r="N23" s="901" t="e">
        <f>IF(ISNUMBER(G23),G23/Population!G23*10000,NA())</f>
        <v>#N/A</v>
      </c>
      <c r="O23" s="902">
        <f>IF(ISNUMBER(H23),H23/Population!H23*10000,NA())</f>
        <v>2.2297041182635065</v>
      </c>
      <c r="P23" s="903">
        <f t="shared" si="9"/>
        <v>2.2297041182635065</v>
      </c>
      <c r="Q23" s="1139">
        <f t="shared" si="0"/>
        <v>11</v>
      </c>
      <c r="R23" s="64"/>
      <c r="S23" s="64"/>
      <c r="T23" s="605"/>
      <c r="U23" s="103"/>
      <c r="V23" s="115"/>
      <c r="W23" s="622" t="str">
        <f t="shared" si="1"/>
        <v>Slough</v>
      </c>
      <c r="X23" s="27">
        <f>IF(ISNUMBER(H23),IDACI!D21,0)</f>
        <v>37031</v>
      </c>
      <c r="Y23" s="27">
        <f>IF(ISNUMBER(H23),IDACI!E21,0)</f>
        <v>5443.5569999999998</v>
      </c>
      <c r="Z23" s="628">
        <f>IF(ISNUMBER(D23),Population!D23,"")</f>
        <v>43479</v>
      </c>
      <c r="AA23" s="155">
        <f>IF(ISNUMBER(E23),Population!E23,"")</f>
        <v>43900</v>
      </c>
      <c r="AB23" s="155">
        <f>IF(ISNUMBER(F23),Population!F23,"")</f>
        <v>43737</v>
      </c>
      <c r="AC23" s="155" t="str">
        <f>IF(ISNUMBER(G23),Population!G23,"")</f>
        <v/>
      </c>
      <c r="AD23" s="629">
        <f>IF(ISNUMBER(H23),Population!H23,"")</f>
        <v>44849</v>
      </c>
      <c r="AE23" s="623" t="s">
        <v>13</v>
      </c>
      <c r="AF23" s="70">
        <f t="shared" si="2"/>
        <v>2.2297041182635065</v>
      </c>
      <c r="AG23" s="156">
        <f t="shared" si="3"/>
        <v>11</v>
      </c>
      <c r="AH23" s="141"/>
      <c r="AI23" s="141"/>
      <c r="AM23" s="121"/>
      <c r="AN23" s="480">
        <f t="shared" si="4"/>
        <v>0</v>
      </c>
      <c r="AO23" s="480">
        <f t="shared" si="5"/>
        <v>0</v>
      </c>
      <c r="AP23" s="480" t="str">
        <f t="shared" si="6"/>
        <v>x</v>
      </c>
      <c r="AQ23" s="480" t="str">
        <f t="shared" si="7"/>
        <v>x</v>
      </c>
      <c r="AR23" s="480">
        <f t="shared" si="10"/>
        <v>0</v>
      </c>
    </row>
    <row r="24" spans="1:44" s="61" customFormat="1" ht="15.75" customHeight="1">
      <c r="A24" s="306">
        <f>VLOOKUP(B24,ReportData!$AQ$4:$AR$25,2,FALSE)</f>
        <v>0</v>
      </c>
      <c r="B24" s="885" t="str">
        <f>ReportData!$K$17</f>
        <v>Southampton</v>
      </c>
      <c r="C24" s="896"/>
      <c r="D24" s="889">
        <f>IF(Year1_Southampton Year1_Adoption_PFA="","",Year1_Southampton Year1_Adoption_PFA)</f>
        <v>14</v>
      </c>
      <c r="E24" s="889">
        <f>IF(Year2_Southampton Year2_Adoption_PFA="","",Year2_Southampton Year2_Adoption_PFA)</f>
        <v>11</v>
      </c>
      <c r="F24" s="889">
        <f>IF(Year3_Southampton Year3_Adoption_PFA="","",Year3_Southampton Year3_Adoption_PFA)</f>
        <v>17</v>
      </c>
      <c r="G24" s="889">
        <f>IF(Year4_Southampton Year4_Adoption_PFA="","",Year4_Southampton Year4_Adoption_PFA)</f>
        <v>16</v>
      </c>
      <c r="H24" s="890">
        <f>IF(Year5_Southampton Year5_Adoption_PFA="","",Year5_Southampton Year5_Adoption_PFA)</f>
        <v>15</v>
      </c>
      <c r="I24" s="1205">
        <f t="shared" si="8"/>
        <v>5.2461325439266598E-2</v>
      </c>
      <c r="J24" s="1184"/>
      <c r="K24" s="901">
        <f>IF(ISNUMBER(D24),D24/Population!D24*10000,NA())</f>
        <v>2.8232636928289101</v>
      </c>
      <c r="L24" s="901">
        <f>IF(ISNUMBER(E24),E24/Population!E24*10000,NA())</f>
        <v>2.2116331905824635</v>
      </c>
      <c r="M24" s="901">
        <f>IF(ISNUMBER(F24),F24/Population!F24*10000,NA())</f>
        <v>3.442131691908966</v>
      </c>
      <c r="N24" s="901">
        <f>IF(ISNUMBER(G24),G24/Population!G24*10000,NA())</f>
        <v>3.2082773555773896</v>
      </c>
      <c r="O24" s="902">
        <f>IF(ISNUMBER(H24),H24/Population!H24*10000,NA())</f>
        <v>2.9777857185396939</v>
      </c>
      <c r="P24" s="903">
        <f t="shared" si="9"/>
        <v>2.9777857185396939</v>
      </c>
      <c r="Q24" s="1139">
        <f t="shared" si="0"/>
        <v>13</v>
      </c>
      <c r="R24" s="64"/>
      <c r="S24" s="64"/>
      <c r="T24" s="605"/>
      <c r="U24" s="103"/>
      <c r="V24" s="115"/>
      <c r="W24" s="622" t="str">
        <f t="shared" si="1"/>
        <v>Southampton</v>
      </c>
      <c r="X24" s="27">
        <f>IF(ISNUMBER(H24),IDACI!D22,0)</f>
        <v>44295</v>
      </c>
      <c r="Y24" s="27">
        <f>IF(ISNUMBER(H24),IDACI!E22,0)</f>
        <v>9080.4750000000004</v>
      </c>
      <c r="Z24" s="628">
        <f>IF(ISNUMBER(D24),Population!D24,"")</f>
        <v>49588</v>
      </c>
      <c r="AA24" s="155">
        <f>IF(ISNUMBER(E24),Population!E24,"")</f>
        <v>49737</v>
      </c>
      <c r="AB24" s="155">
        <f>IF(ISNUMBER(F24),Population!F24,"")</f>
        <v>49388</v>
      </c>
      <c r="AC24" s="155">
        <f>IF(ISNUMBER(G24),Population!G24,"")</f>
        <v>49871</v>
      </c>
      <c r="AD24" s="629">
        <f>IF(ISNUMBER(H24),Population!H24,"")</f>
        <v>50373</v>
      </c>
      <c r="AE24" s="623" t="s">
        <v>14</v>
      </c>
      <c r="AF24" s="70">
        <f t="shared" si="2"/>
        <v>2.9777857185396939</v>
      </c>
      <c r="AG24" s="156">
        <f t="shared" si="3"/>
        <v>13</v>
      </c>
      <c r="AH24" s="141"/>
      <c r="AI24" s="141"/>
      <c r="AM24" s="121"/>
      <c r="AN24" s="480">
        <f t="shared" si="4"/>
        <v>-0.21428571428571427</v>
      </c>
      <c r="AO24" s="480">
        <f t="shared" si="5"/>
        <v>0.54545454545454541</v>
      </c>
      <c r="AP24" s="480">
        <f t="shared" si="6"/>
        <v>-5.8823529411764705E-2</v>
      </c>
      <c r="AQ24" s="480">
        <f t="shared" si="7"/>
        <v>-6.25E-2</v>
      </c>
      <c r="AR24" s="480">
        <f t="shared" si="10"/>
        <v>5.2461325439266598E-2</v>
      </c>
    </row>
    <row r="25" spans="1:44" s="61" customFormat="1" ht="15.75" customHeight="1">
      <c r="A25" s="306">
        <f>VLOOKUP(B25,ReportData!$AQ$4:$AR$25,2,FALSE)</f>
        <v>0</v>
      </c>
      <c r="B25" s="885" t="str">
        <f>ReportData!$K$18</f>
        <v>Surrey</v>
      </c>
      <c r="C25" s="896"/>
      <c r="D25" s="889">
        <f>IF(Year1_Surrey Year1_Adoption_PFA="","",Year1_Surrey Year1_Adoption_PFA)</f>
        <v>22</v>
      </c>
      <c r="E25" s="889">
        <f>IF(Year2_Surrey Year2_Adoption_PFA="","",Year2_Surrey Year2_Adoption_PFA)</f>
        <v>10</v>
      </c>
      <c r="F25" s="889">
        <f>IF(Year3_Surrey Year3_Adoption_PFA="","",Year3_Surrey Year3_Adoption_PFA)</f>
        <v>6</v>
      </c>
      <c r="G25" s="889">
        <f>IF(Year4_Surrey Year4_Adoption_PFA="","",Year4_Surrey Year4_Adoption_PFA)</f>
        <v>10</v>
      </c>
      <c r="H25" s="890">
        <f>IF(Year5_Surrey Year5_Adoption_PFA="","",Year5_Surrey Year5_Adoption_PFA)</f>
        <v>15</v>
      </c>
      <c r="I25" s="1205">
        <f t="shared" si="8"/>
        <v>5.5303030303030298E-2</v>
      </c>
      <c r="J25" s="1184"/>
      <c r="K25" s="901">
        <f>IF(ISNUMBER(D25),D25/Population!D25*10000,NA())</f>
        <v>0.85256447518843614</v>
      </c>
      <c r="L25" s="901">
        <f>IF(ISNUMBER(E25),E25/Population!E25*10000,NA())</f>
        <v>0.38681876380459468</v>
      </c>
      <c r="M25" s="901">
        <f>IF(ISNUMBER(F25),F25/Population!F25*10000,NA())</f>
        <v>0.23122456529781724</v>
      </c>
      <c r="N25" s="901">
        <f>IF(ISNUMBER(G25),G25/Population!G25*10000,NA())</f>
        <v>0.37945767908505168</v>
      </c>
      <c r="O25" s="902">
        <f>IF(ISNUMBER(H25),H25/Population!H25*10000,NA())</f>
        <v>0.56460598030654341</v>
      </c>
      <c r="P25" s="903">
        <f t="shared" si="9"/>
        <v>0.56460598030654341</v>
      </c>
      <c r="Q25" s="1139">
        <f t="shared" si="0"/>
        <v>2</v>
      </c>
      <c r="R25" s="64"/>
      <c r="S25" s="64"/>
      <c r="T25" s="605"/>
      <c r="U25" s="103"/>
      <c r="V25" s="115"/>
      <c r="W25" s="622" t="str">
        <f t="shared" si="1"/>
        <v>Surrey</v>
      </c>
      <c r="X25" s="27">
        <f>IF(ISNUMBER(H25),IDACI!D23,0)</f>
        <v>228466</v>
      </c>
      <c r="Y25" s="27">
        <f>IF(ISNUMBER(H25),IDACI!E23,0)</f>
        <v>18962.678</v>
      </c>
      <c r="Z25" s="628">
        <f>IF(ISNUMBER(D25),Population!D25,"")</f>
        <v>258045</v>
      </c>
      <c r="AA25" s="155">
        <f>IF(ISNUMBER(E25),Population!E25,"")</f>
        <v>258519</v>
      </c>
      <c r="AB25" s="155">
        <f>IF(ISNUMBER(F25),Population!F25,"")</f>
        <v>259488</v>
      </c>
      <c r="AC25" s="155">
        <f>IF(ISNUMBER(G25),Population!G25,"")</f>
        <v>263534</v>
      </c>
      <c r="AD25" s="629">
        <f>IF(ISNUMBER(H25),Population!H25,"")</f>
        <v>265672</v>
      </c>
      <c r="AE25" s="623" t="s">
        <v>7</v>
      </c>
      <c r="AF25" s="70">
        <f t="shared" si="2"/>
        <v>0.56460598030654341</v>
      </c>
      <c r="AG25" s="156">
        <f t="shared" si="3"/>
        <v>2</v>
      </c>
      <c r="AH25" s="141"/>
      <c r="AI25" s="141"/>
      <c r="AM25" s="121"/>
      <c r="AN25" s="480">
        <f t="shared" si="4"/>
        <v>-0.54545454545454541</v>
      </c>
      <c r="AO25" s="480">
        <f t="shared" si="5"/>
        <v>-0.4</v>
      </c>
      <c r="AP25" s="480">
        <f t="shared" si="6"/>
        <v>0.66666666666666663</v>
      </c>
      <c r="AQ25" s="480">
        <f t="shared" si="7"/>
        <v>0.5</v>
      </c>
      <c r="AR25" s="480">
        <f t="shared" si="10"/>
        <v>5.5303030303030298E-2</v>
      </c>
    </row>
    <row r="26" spans="1:44" s="61" customFormat="1" ht="15.75" customHeight="1">
      <c r="A26" s="306" t="e">
        <f>VLOOKUP(#REF!,ReportData!$AQ$4:$AR$25,2,FALSE)</f>
        <v>#REF!</v>
      </c>
      <c r="B26" s="885" t="str">
        <f>ReportData!$K$19</f>
        <v>West Berkshire</v>
      </c>
      <c r="C26" s="896"/>
      <c r="D26" s="889">
        <f>IF(Year1_West_Berkshire Year1_Adoption_PFA="","",Year1_West_Berkshire Year1_Adoption_PFA)</f>
        <v>1</v>
      </c>
      <c r="E26" s="889" t="str">
        <f>IF(Year2_West_Berkshire Year2_Adoption_PFA="","",Year2_West_Berkshire Year2_Adoption_PFA)</f>
        <v>x</v>
      </c>
      <c r="F26" s="889" t="str">
        <f>IF(Year3_West_Berkshire Year3_Adoption_PFA="","",Year3_West_Berkshire Year3_Adoption_PFA)</f>
        <v>c</v>
      </c>
      <c r="G26" s="889" t="str">
        <f>IF(Year4_West_Berkshire Year4_Adoption_PFA="","",Year4_West_Berkshire Year4_Adoption_PFA)</f>
        <v>c</v>
      </c>
      <c r="H26" s="890">
        <f>IF(Year5_West_Berkshire Year5_Adoption_PFA="","",Year5_West_Berkshire Year5_Adoption_PFA)</f>
        <v>7</v>
      </c>
      <c r="I26" s="1205" t="e">
        <f t="shared" ref="I26:I31" si="11">AR26</f>
        <v>#DIV/0!</v>
      </c>
      <c r="J26" s="1184"/>
      <c r="K26" s="901">
        <f>IF(ISNUMBER(D26),D26/Population!D26*10000,NA())</f>
        <v>0.28521719289238756</v>
      </c>
      <c r="L26" s="901" t="e">
        <f>IF(ISNUMBER(E26),E26/Population!E26*10000,NA())</f>
        <v>#N/A</v>
      </c>
      <c r="M26" s="901" t="e">
        <f>IF(ISNUMBER(F26),F26/Population!F26*10000,NA())</f>
        <v>#N/A</v>
      </c>
      <c r="N26" s="901" t="e">
        <f>IF(ISNUMBER(G26),G26/Population!G26*10000,NA())</f>
        <v>#N/A</v>
      </c>
      <c r="O26" s="902">
        <f>IF(ISNUMBER(H26),H26/Population!H26*10000,NA())</f>
        <v>1.981599433828733</v>
      </c>
      <c r="P26" s="903">
        <f t="shared" ref="P26:P31" si="12">IF(ISNUMBER(O26),O26,"")</f>
        <v>1.981599433828733</v>
      </c>
      <c r="Q26" s="1139">
        <f t="shared" si="0"/>
        <v>9</v>
      </c>
      <c r="R26" s="64"/>
      <c r="S26" s="64"/>
      <c r="T26" s="605"/>
      <c r="U26" s="103"/>
      <c r="V26" s="115"/>
      <c r="W26" s="622" t="str">
        <f t="shared" si="1"/>
        <v>West Berkshire</v>
      </c>
      <c r="X26" s="27">
        <f>IF(ISNUMBER(H26),IDACI!D24,0)</f>
        <v>31625</v>
      </c>
      <c r="Y26" s="27">
        <f>IF(ISNUMBER(H26),IDACI!E24,0)</f>
        <v>2751.375</v>
      </c>
      <c r="Z26" s="628">
        <f>IF(ISNUMBER(D26),Population!D26,"")</f>
        <v>35061</v>
      </c>
      <c r="AA26" s="155" t="str">
        <f>IF(ISNUMBER(E26),Population!E26,"")</f>
        <v/>
      </c>
      <c r="AB26" s="155" t="str">
        <f>IF(ISNUMBER(F26),Population!F26,"")</f>
        <v/>
      </c>
      <c r="AC26" s="155" t="str">
        <f>IF(ISNUMBER(G26),Population!G26,"")</f>
        <v/>
      </c>
      <c r="AD26" s="629">
        <f>IF(ISNUMBER(H26),Population!H26,"")</f>
        <v>35325</v>
      </c>
      <c r="AE26" s="623" t="s">
        <v>15</v>
      </c>
      <c r="AF26" s="70">
        <f t="shared" si="2"/>
        <v>1.981599433828733</v>
      </c>
      <c r="AG26" s="156">
        <f t="shared" si="3"/>
        <v>9</v>
      </c>
      <c r="AH26" s="141"/>
      <c r="AI26" s="141"/>
      <c r="AM26" s="121"/>
      <c r="AN26" s="480" t="str">
        <f t="shared" si="4"/>
        <v>x</v>
      </c>
      <c r="AO26" s="480" t="str">
        <f t="shared" si="5"/>
        <v>x</v>
      </c>
      <c r="AP26" s="480" t="str">
        <f t="shared" si="6"/>
        <v>x</v>
      </c>
      <c r="AQ26" s="480" t="str">
        <f t="shared" si="7"/>
        <v>x</v>
      </c>
      <c r="AR26" s="480" t="e">
        <f t="shared" ref="AR26:AR31" si="13">AVERAGE(AN26:AQ26)</f>
        <v>#DIV/0!</v>
      </c>
    </row>
    <row r="27" spans="1:44" s="61" customFormat="1" ht="15.75" customHeight="1">
      <c r="A27" s="306">
        <f>VLOOKUP(B26,ReportData!$AQ$4:$AR$25,2,FALSE)</f>
        <v>0</v>
      </c>
      <c r="B27" s="885" t="str">
        <f>ReportData!$K$20</f>
        <v>West Sussex</v>
      </c>
      <c r="C27" s="896"/>
      <c r="D27" s="889">
        <f>IF(Year1_West_Sussex Year1_Adoption_PFA="","",Year1_West_Sussex Year1_Adoption_PFA)</f>
        <v>32</v>
      </c>
      <c r="E27" s="889">
        <f>IF(Year2_West_Sussex Year2_Adoption_PFA="","",Year2_West_Sussex Year2_Adoption_PFA)</f>
        <v>26</v>
      </c>
      <c r="F27" s="889">
        <f>IF(Year3_West_Sussex Year3_Adoption_PFA="","",Year3_West_Sussex Year3_Adoption_PFA)</f>
        <v>23</v>
      </c>
      <c r="G27" s="889">
        <f>IF(Year4_West_Sussex Year4_Adoption_PFA="","",Year4_West_Sussex Year4_Adoption_PFA)</f>
        <v>20</v>
      </c>
      <c r="H27" s="890">
        <f>IF(Year5_West_Sussex Year5_Adoption_PFA="","",Year5_West_Sussex Year5_Adoption_PFA)</f>
        <v>29</v>
      </c>
      <c r="I27" s="1205">
        <f t="shared" si="11"/>
        <v>4.170150501672229E-3</v>
      </c>
      <c r="J27" s="1184"/>
      <c r="K27" s="901">
        <f>IF(ISNUMBER(D27),D27/Population!D27*10000,NA())</f>
        <v>1.8438384106112902</v>
      </c>
      <c r="L27" s="901">
        <f>IF(ISNUMBER(E27),E27/Population!E27*10000,NA())</f>
        <v>1.4953443030257718</v>
      </c>
      <c r="M27" s="901">
        <f>IF(ISNUMBER(F27),F27/Population!F27*10000,NA())</f>
        <v>1.3155335918642825</v>
      </c>
      <c r="N27" s="901">
        <f>IF(ISNUMBER(G27),G27/Population!G27*10000,NA())</f>
        <v>1.1277199194807976</v>
      </c>
      <c r="O27" s="902">
        <f>IF(ISNUMBER(H27),H27/Population!H27*10000,NA())</f>
        <v>1.6200393278512693</v>
      </c>
      <c r="P27" s="903">
        <f t="shared" si="12"/>
        <v>1.6200393278512693</v>
      </c>
      <c r="Q27" s="1139">
        <f t="shared" si="0"/>
        <v>8</v>
      </c>
      <c r="R27" s="64"/>
      <c r="S27" s="64"/>
      <c r="T27" s="605"/>
      <c r="U27" s="103"/>
      <c r="V27" s="115"/>
      <c r="W27" s="622" t="str">
        <f t="shared" si="1"/>
        <v>West Sussex</v>
      </c>
      <c r="X27" s="27">
        <f>IF(ISNUMBER(H27),IDACI!D25,0)</f>
        <v>151487</v>
      </c>
      <c r="Y27" s="27">
        <f>IF(ISNUMBER(H27),IDACI!E25,0)</f>
        <v>16663.57</v>
      </c>
      <c r="Z27" s="628">
        <f>IF(ISNUMBER(D27),Population!D27,"")</f>
        <v>173551</v>
      </c>
      <c r="AA27" s="155">
        <f>IF(ISNUMBER(E27),Population!E27,"")</f>
        <v>173873</v>
      </c>
      <c r="AB27" s="155">
        <f>IF(ISNUMBER(F27),Population!F27,"")</f>
        <v>174834</v>
      </c>
      <c r="AC27" s="155">
        <f>IF(ISNUMBER(G27),Population!G27,"")</f>
        <v>177349</v>
      </c>
      <c r="AD27" s="629">
        <f>IF(ISNUMBER(H27),Population!H27,"")</f>
        <v>179008</v>
      </c>
      <c r="AE27" s="623" t="s">
        <v>5</v>
      </c>
      <c r="AF27" s="70">
        <f t="shared" si="2"/>
        <v>1.6200393278512693</v>
      </c>
      <c r="AG27" s="156">
        <f t="shared" si="3"/>
        <v>8</v>
      </c>
      <c r="AH27" s="141"/>
      <c r="AI27" s="141"/>
      <c r="AM27" s="121"/>
      <c r="AN27" s="480">
        <f t="shared" si="4"/>
        <v>-0.1875</v>
      </c>
      <c r="AO27" s="480">
        <f t="shared" si="5"/>
        <v>-0.11538461538461539</v>
      </c>
      <c r="AP27" s="480">
        <f t="shared" si="6"/>
        <v>-0.13043478260869565</v>
      </c>
      <c r="AQ27" s="480">
        <f t="shared" si="7"/>
        <v>0.45</v>
      </c>
      <c r="AR27" s="480">
        <f t="shared" si="13"/>
        <v>4.170150501672229E-3</v>
      </c>
    </row>
    <row r="28" spans="1:44" s="61" customFormat="1" ht="15.75" customHeight="1">
      <c r="A28" s="306">
        <f>VLOOKUP(B27,ReportData!$AQ$4:$AR$25,2,FALSE)</f>
        <v>0</v>
      </c>
      <c r="B28" s="885" t="str">
        <f>ReportData!$K$21</f>
        <v>Windsor &amp; Maidenhead</v>
      </c>
      <c r="C28" s="896"/>
      <c r="D28" s="889">
        <f>IF(Year1_Windsor_and_Maidenhead Year1_Adoption_PFA="","",Year1_Windsor_and_Maidenhead Year1_Adoption_PFA)</f>
        <v>3</v>
      </c>
      <c r="E28" s="889" t="str">
        <f>IF(Year2_Windsor_and_Maidenhead Year2_Adoption_PFA="","",Year2_Windsor_and_Maidenhead Year2_Adoption_PFA)</f>
        <v>x</v>
      </c>
      <c r="F28" s="889" t="str">
        <f>IF(Year3_Windsor_and_Maidenhead Year3_Adoption_PFA="","",Year3_Windsor_and_Maidenhead Year3_Adoption_PFA)</f>
        <v>c</v>
      </c>
      <c r="G28" s="889" t="str">
        <f>IF(Year4_Windsor_and_Maidenhead Year4_Adoption_PFA="","",Year4_Windsor_and_Maidenhead Year4_Adoption_PFA)</f>
        <v>c</v>
      </c>
      <c r="H28" s="890" t="str">
        <f>IF(Year5_Windsor_and_Maidenhead Year5_Adoption_PFA="","",Year5_Windsor_and_Maidenhead Year5_Adoption_PFA)</f>
        <v>c</v>
      </c>
      <c r="I28" s="1205" t="e">
        <f t="shared" si="11"/>
        <v>#DIV/0!</v>
      </c>
      <c r="J28" s="1184"/>
      <c r="K28" s="901">
        <f>IF(ISNUMBER(D28),D28/Population!D28*10000,NA())</f>
        <v>0.87529906051234174</v>
      </c>
      <c r="L28" s="901" t="e">
        <f>IF(ISNUMBER(E28),E28/Population!E28*10000,NA())</f>
        <v>#N/A</v>
      </c>
      <c r="M28" s="901" t="e">
        <f>IF(ISNUMBER(F28),F28/Population!F28*10000,NA())</f>
        <v>#N/A</v>
      </c>
      <c r="N28" s="901" t="e">
        <f>IF(ISNUMBER(G28),G28/Population!G28*10000,NA())</f>
        <v>#N/A</v>
      </c>
      <c r="O28" s="902" t="e">
        <f>IF(ISNUMBER(H28),H28/Population!H28*10000,NA())</f>
        <v>#N/A</v>
      </c>
      <c r="P28" s="903" t="str">
        <f t="shared" si="12"/>
        <v/>
      </c>
      <c r="Q28" s="1139" t="e">
        <f t="shared" si="0"/>
        <v>#N/A</v>
      </c>
      <c r="R28" s="64"/>
      <c r="S28" s="64"/>
      <c r="T28" s="605"/>
      <c r="U28" s="103"/>
      <c r="V28" s="115"/>
      <c r="W28" s="622" t="str">
        <f t="shared" si="1"/>
        <v>Windsor &amp; Maidenhead</v>
      </c>
      <c r="X28" s="27">
        <f>IF(ISNUMBER(H28),IDACI!D26,0)</f>
        <v>0</v>
      </c>
      <c r="Y28" s="27">
        <f>IF(ISNUMBER(H28),IDACI!E26,0)</f>
        <v>0</v>
      </c>
      <c r="Z28" s="628">
        <f>IF(ISNUMBER(D28),Population!D28,"")</f>
        <v>34274</v>
      </c>
      <c r="AA28" s="155" t="str">
        <f>IF(ISNUMBER(E28),Population!E28,"")</f>
        <v/>
      </c>
      <c r="AB28" s="155" t="str">
        <f>IF(ISNUMBER(F28),Population!F28,"")</f>
        <v/>
      </c>
      <c r="AC28" s="155" t="str">
        <f>IF(ISNUMBER(G28),Population!G28,"")</f>
        <v/>
      </c>
      <c r="AD28" s="629" t="str">
        <f>IF(ISNUMBER(H28),Population!H28,"")</f>
        <v/>
      </c>
      <c r="AE28" s="623" t="s">
        <v>27</v>
      </c>
      <c r="AF28" s="70" t="str">
        <f t="shared" si="2"/>
        <v/>
      </c>
      <c r="AG28" s="156" t="e">
        <f t="shared" si="3"/>
        <v>#VALUE!</v>
      </c>
      <c r="AH28" s="141"/>
      <c r="AI28" s="141"/>
      <c r="AM28" s="121"/>
      <c r="AN28" s="480" t="str">
        <f t="shared" si="4"/>
        <v>x</v>
      </c>
      <c r="AO28" s="480" t="str">
        <f t="shared" si="5"/>
        <v>x</v>
      </c>
      <c r="AP28" s="480" t="str">
        <f t="shared" si="6"/>
        <v>x</v>
      </c>
      <c r="AQ28" s="480" t="str">
        <f t="shared" si="7"/>
        <v>x</v>
      </c>
      <c r="AR28" s="480" t="e">
        <f t="shared" si="13"/>
        <v>#DIV/0!</v>
      </c>
    </row>
    <row r="29" spans="1:44" s="61" customFormat="1" ht="15.75" customHeight="1">
      <c r="A29" s="306">
        <f>VLOOKUP(B28,ReportData!$AQ$4:$AR$25,2,FALSE)</f>
        <v>0</v>
      </c>
      <c r="B29" s="885" t="str">
        <f>ReportData!$K$22</f>
        <v>Wokingham</v>
      </c>
      <c r="C29" s="896"/>
      <c r="D29" s="889">
        <f>IF(Year1_Wokingham Year1_Adoption_PFA="","",Year1_Wokingham Year1_Adoption_PFA)</f>
        <v>5</v>
      </c>
      <c r="E29" s="889" t="str">
        <f>IF(Year2_Wokingham Year2_Adoption_PFA="","",Year2_Wokingham Year2_Adoption_PFA)</f>
        <v>x</v>
      </c>
      <c r="F29" s="889" t="str">
        <f>IF(Year3_Wokingham Year3_Adoption_PFA="","",Year3_Wokingham Year3_Adoption_PFA)</f>
        <v>c</v>
      </c>
      <c r="G29" s="889">
        <f>IF(Year4_Wokingham Year4_Adoption_PFA="","",Year4_Wokingham Year4_Adoption_PFA)</f>
        <v>6</v>
      </c>
      <c r="H29" s="890" t="str">
        <f>IF(Year5_Wokingham Year5_Adoption_PFA="","",Year5_Wokingham Year5_Adoption_PFA)</f>
        <v>c</v>
      </c>
      <c r="I29" s="1205" t="e">
        <f t="shared" si="11"/>
        <v>#DIV/0!</v>
      </c>
      <c r="J29" s="1184"/>
      <c r="K29" s="901">
        <f>IF(ISNUMBER(D29),D29/Population!D29*10000,NA())</f>
        <v>1.2571658453183143</v>
      </c>
      <c r="L29" s="901" t="e">
        <f>IF(ISNUMBER(E29),E29/Population!E29*10000,NA())</f>
        <v>#N/A</v>
      </c>
      <c r="M29" s="901" t="e">
        <f>IF(ISNUMBER(F29),F29/Population!F29*10000,NA())</f>
        <v>#N/A</v>
      </c>
      <c r="N29" s="901">
        <f>IF(ISNUMBER(G29),G29/Population!G29*10000,NA())</f>
        <v>1.4111006585136405</v>
      </c>
      <c r="O29" s="902" t="e">
        <f>IF(ISNUMBER(H29),H29/Population!H29*10000,NA())</f>
        <v>#N/A</v>
      </c>
      <c r="P29" s="903" t="str">
        <f t="shared" si="12"/>
        <v/>
      </c>
      <c r="Q29" s="1139" t="e">
        <f t="shared" si="0"/>
        <v>#N/A</v>
      </c>
      <c r="R29" s="64"/>
      <c r="S29" s="64"/>
      <c r="T29" s="605"/>
      <c r="U29" s="103"/>
      <c r="V29" s="115"/>
      <c r="W29" s="622" t="str">
        <f t="shared" si="1"/>
        <v>Wokingham</v>
      </c>
      <c r="X29" s="27">
        <f>IF(ISNUMBER(H29),IDACI!D27,0)</f>
        <v>0</v>
      </c>
      <c r="Y29" s="27">
        <f>IF(ISNUMBER(H29),IDACI!E27,0)</f>
        <v>0</v>
      </c>
      <c r="Z29" s="628">
        <f>IF(ISNUMBER(D29),Population!D29,"")</f>
        <v>39772</v>
      </c>
      <c r="AA29" s="155" t="str">
        <f>IF(ISNUMBER(E29),Population!E29,"")</f>
        <v/>
      </c>
      <c r="AB29" s="155" t="str">
        <f>IF(ISNUMBER(F29),Population!F29,"")</f>
        <v/>
      </c>
      <c r="AC29" s="155">
        <f>IF(ISNUMBER(G29),Population!G29,"")</f>
        <v>42520</v>
      </c>
      <c r="AD29" s="629" t="str">
        <f>IF(ISNUMBER(H29),Population!H29,"")</f>
        <v/>
      </c>
      <c r="AE29" s="623" t="s">
        <v>16</v>
      </c>
      <c r="AF29" s="70" t="str">
        <f t="shared" si="2"/>
        <v/>
      </c>
      <c r="AG29" s="156" t="e">
        <f t="shared" si="3"/>
        <v>#VALUE!</v>
      </c>
      <c r="AH29" s="141"/>
      <c r="AI29" s="141"/>
      <c r="AM29" s="121"/>
      <c r="AN29" s="480" t="str">
        <f t="shared" si="4"/>
        <v>x</v>
      </c>
      <c r="AO29" s="480" t="str">
        <f t="shared" si="5"/>
        <v>x</v>
      </c>
      <c r="AP29" s="480" t="str">
        <f t="shared" si="6"/>
        <v>x</v>
      </c>
      <c r="AQ29" s="480" t="str">
        <f t="shared" si="7"/>
        <v>x</v>
      </c>
      <c r="AR29" s="480" t="e">
        <f t="shared" si="13"/>
        <v>#DIV/0!</v>
      </c>
    </row>
    <row r="30" spans="1:44" s="61" customFormat="1" ht="15.75" customHeight="1">
      <c r="A30" s="306">
        <f>VLOOKUP(B29,ReportData!$AQ$4:$AR$25,2,FALSE)</f>
        <v>0</v>
      </c>
      <c r="B30" s="886" t="str">
        <f>ReportData!$K$23</f>
        <v>South East</v>
      </c>
      <c r="C30" s="896"/>
      <c r="D30" s="892">
        <f>IF(Year1_South_East Year1_Adoption_PFA="","",Year1_South_East Year1_Adoption_PFA)</f>
        <v>271</v>
      </c>
      <c r="E30" s="892">
        <f>IF(Year2_South_East Year2_Adoption_PFA="","",Year2_South_East Year2_Adoption_PFA)</f>
        <v>300</v>
      </c>
      <c r="F30" s="892">
        <f>IF(Year3_South_East Year3_Adoption_PFA="","",Year3_South_East Year3_Adoption_PFA)</f>
        <v>270</v>
      </c>
      <c r="G30" s="892">
        <f>IF(Year4_South_East Year4_Adoption_PFA="","",Year4_South_East Year4_Adoption_PFA)</f>
        <v>230</v>
      </c>
      <c r="H30" s="893">
        <f>IF(Year5_South_East Year5_Adoption_PFA="","",Year5_South_East Year5_Adoption_PFA)</f>
        <v>230</v>
      </c>
      <c r="I30" s="1206">
        <f t="shared" si="11"/>
        <v>1.6446571849924475E-2</v>
      </c>
      <c r="J30" s="1184"/>
      <c r="K30" s="908">
        <f>IF(ISNUMBER(D30),D30/Z30*10000,NA())</f>
        <v>1.4058109272490251</v>
      </c>
      <c r="L30" s="908">
        <f>IF(ISNUMBER(E30),E30/AA30*10000,NA())</f>
        <v>1.6724701380456852</v>
      </c>
      <c r="M30" s="908">
        <f>IF(ISNUMBER(F30),F30/AB30*10000,NA())</f>
        <v>1.5578211275163139</v>
      </c>
      <c r="N30" s="908">
        <f>IF(ISNUMBER(G30),G30/AC30*10000,NA())</f>
        <v>1.4050958550283188</v>
      </c>
      <c r="O30" s="909">
        <f>IF(ISNUMBER(H30),H30/AD30*10000,NA())</f>
        <v>1.4650810667573742</v>
      </c>
      <c r="P30" s="903">
        <f t="shared" si="12"/>
        <v>1.4650810667573742</v>
      </c>
      <c r="Q30" s="1140" t="str">
        <f t="shared" si="0"/>
        <v>--</v>
      </c>
      <c r="R30" s="64"/>
      <c r="S30" s="64"/>
      <c r="T30" s="605"/>
      <c r="U30" s="103"/>
      <c r="V30" s="115"/>
      <c r="W30" s="622" t="str">
        <f t="shared" si="1"/>
        <v>South East</v>
      </c>
      <c r="X30" s="620">
        <f>SUM(X24:X25,X11:X23,X26:X29)</f>
        <v>1353029</v>
      </c>
      <c r="Y30" s="621">
        <f>SUM(Y24:Y25,Y11:Y23,Y26:Y29)</f>
        <v>175904.66200000001</v>
      </c>
      <c r="Z30" s="628">
        <f>SUM(Z11:Z23,Z24:Z25,Z26:Z29)</f>
        <v>1927713</v>
      </c>
      <c r="AA30" s="155">
        <f>SUM(AA11:AA23,AA24:AA25,AA26:AA29)</f>
        <v>1793754</v>
      </c>
      <c r="AB30" s="155">
        <f>SUM(AB11:AB23,AB24:AB25,AB26:AB29)</f>
        <v>1733190</v>
      </c>
      <c r="AC30" s="155">
        <f>SUM(AC11:AC23,AC24:AC25,AC26:AC29)</f>
        <v>1636899</v>
      </c>
      <c r="AD30" s="629">
        <f>SUM(AD11:AD23,AD24:AD25,AD26:AD29)</f>
        <v>1569879</v>
      </c>
      <c r="AG30" s="141"/>
      <c r="AH30" s="141"/>
      <c r="AI30" s="141"/>
      <c r="AM30" s="121"/>
      <c r="AN30" s="581">
        <f t="shared" ref="AN30:AQ31" si="14">IF(ISERROR((L30-K30)/K30),"x",(L30-K30)/K30)</f>
        <v>0.1896835524806133</v>
      </c>
      <c r="AO30" s="581">
        <f t="shared" si="14"/>
        <v>-6.8550707077700668E-2</v>
      </c>
      <c r="AP30" s="581">
        <f t="shared" si="14"/>
        <v>-9.803774630498821E-2</v>
      </c>
      <c r="AQ30" s="581">
        <f t="shared" si="14"/>
        <v>4.2691188301773472E-2</v>
      </c>
      <c r="AR30" s="480">
        <f t="shared" si="13"/>
        <v>1.6446571849924475E-2</v>
      </c>
    </row>
    <row r="31" spans="1:44" s="61" customFormat="1" ht="15.75" customHeight="1">
      <c r="A31" s="217"/>
      <c r="B31" s="887" t="str">
        <f>ReportData!$K$24</f>
        <v>England</v>
      </c>
      <c r="C31" s="896"/>
      <c r="D31" s="894">
        <f>IF(Year1_England Year1_Adoption_PFA="","",Year1_England Year1_Adoption_PFA)</f>
        <v>2060</v>
      </c>
      <c r="E31" s="894">
        <f>IF(Year2_England Year2_Adoption_PFA="","",Year2_England Year2_Adoption_PFA)</f>
        <v>2270</v>
      </c>
      <c r="F31" s="894">
        <f>IF(Year3_England Year3_Adoption_PFA="","",Year3_England Year3_Adoption_PFA)</f>
        <v>2140</v>
      </c>
      <c r="G31" s="894">
        <f>IF(Year4_England Year4_Adoption_PFA="","",Year4_England Year4_Adoption_PFA)</f>
        <v>1990</v>
      </c>
      <c r="H31" s="895">
        <f>IF(Year5_England Year5_Adoption_PFA="","",Year5_England Year5_Adoption_PFA)</f>
        <v>1910</v>
      </c>
      <c r="I31" s="1207">
        <f t="shared" si="11"/>
        <v>-2.0504049390045378E-2</v>
      </c>
      <c r="J31" s="1184"/>
      <c r="K31" s="914">
        <f>IF(ISNUMBER(D31),D31/Population!D31*10000,NA())</f>
        <v>1.7471705167180471</v>
      </c>
      <c r="L31" s="914">
        <f>IF(ISNUMBER(E31),E31/Population!E31*10000,NA())</f>
        <v>1.9257207922025106</v>
      </c>
      <c r="M31" s="914">
        <f>IF(ISNUMBER(F31),F31/Population!F31*10000,NA())</f>
        <v>1.8192826619471867</v>
      </c>
      <c r="N31" s="914">
        <f>IF(ISNUMBER(G31),G31/Population!G31*10000,NA())</f>
        <v>1.6742683216065841</v>
      </c>
      <c r="O31" s="915">
        <f>IF(ISNUMBER(H31),H31/Population!H31*10000,NA())</f>
        <v>1.591846279988592</v>
      </c>
      <c r="P31" s="1234">
        <f t="shared" si="12"/>
        <v>1.591846279988592</v>
      </c>
      <c r="Q31" s="1141" t="str">
        <f t="shared" si="0"/>
        <v>--</v>
      </c>
      <c r="R31" s="64"/>
      <c r="S31" s="64"/>
      <c r="T31" s="605"/>
      <c r="U31" s="103"/>
      <c r="V31" s="115"/>
      <c r="W31" s="622" t="str">
        <f t="shared" si="1"/>
        <v>England</v>
      </c>
      <c r="X31" s="27">
        <f>IF(ISNUMBER(H31),IDACI!D29,0)</f>
        <v>10405050</v>
      </c>
      <c r="Y31" s="27">
        <f>IF(ISNUMBER(H31),IDACI!E29,0)</f>
        <v>1777641.7570000088</v>
      </c>
      <c r="Z31" s="628">
        <f>IF(D31&gt;0,Population!D31,"")</f>
        <v>11790492</v>
      </c>
      <c r="AA31" s="155">
        <f>IF(E31&gt;0,Population!E31,"")</f>
        <v>11787794</v>
      </c>
      <c r="AB31" s="155">
        <f>IF(F31&gt;0,Population!F31,"")</f>
        <v>11762878</v>
      </c>
      <c r="AC31" s="155">
        <f>IF(G31&gt;0,Population!G31,"")</f>
        <v>11885789</v>
      </c>
      <c r="AD31" s="629">
        <f>IF(H31&gt;0,Population!H31,"")</f>
        <v>11998646</v>
      </c>
      <c r="AG31" s="141"/>
      <c r="AH31" s="141"/>
      <c r="AI31" s="141"/>
      <c r="AM31" s="121"/>
      <c r="AN31" s="581">
        <f t="shared" si="14"/>
        <v>0.10219396090763895</v>
      </c>
      <c r="AO31" s="581">
        <f t="shared" si="14"/>
        <v>-5.5271839347794068E-2</v>
      </c>
      <c r="AP31" s="581">
        <f t="shared" si="14"/>
        <v>-7.9709625872756373E-2</v>
      </c>
      <c r="AQ31" s="581">
        <f t="shared" si="14"/>
        <v>-4.9228693247270021E-2</v>
      </c>
      <c r="AR31" s="480">
        <f t="shared" si="13"/>
        <v>-2.0504049390045378E-2</v>
      </c>
    </row>
    <row r="32" spans="1:44" s="56" customFormat="1" ht="12.75" customHeight="1">
      <c r="A32" s="208"/>
      <c r="B32" s="1077"/>
      <c r="C32" s="1184"/>
      <c r="D32" s="1113"/>
      <c r="E32" s="1184"/>
      <c r="F32" s="1113"/>
      <c r="G32" s="1184"/>
      <c r="H32" s="1184"/>
      <c r="I32" s="1184"/>
      <c r="J32" s="1184"/>
      <c r="K32" s="1184"/>
      <c r="L32" s="1184"/>
      <c r="M32" s="1184"/>
      <c r="N32" s="1184"/>
      <c r="O32" s="1184"/>
      <c r="P32" s="1184"/>
      <c r="Q32" s="1091" t="s">
        <v>100</v>
      </c>
      <c r="R32" s="1113"/>
      <c r="S32" s="1184"/>
      <c r="T32" s="605"/>
      <c r="U32" s="121"/>
      <c r="V32" s="114"/>
      <c r="W32" s="55"/>
      <c r="X32" s="52"/>
      <c r="Y32" s="52"/>
      <c r="Z32" s="52"/>
      <c r="AA32" s="52"/>
      <c r="AB32" s="52"/>
      <c r="AC32" s="52"/>
      <c r="AD32" s="52"/>
      <c r="AE32" s="52"/>
      <c r="AF32" s="52"/>
      <c r="AJ32" s="52"/>
      <c r="AK32" s="52"/>
      <c r="AL32" s="52"/>
      <c r="AM32" s="122"/>
    </row>
    <row r="33" spans="1:67" s="56" customFormat="1" ht="7.5" customHeight="1">
      <c r="A33" s="208"/>
      <c r="B33" s="12"/>
      <c r="C33" s="12"/>
      <c r="D33" s="11"/>
      <c r="E33" s="11"/>
      <c r="F33" s="11"/>
      <c r="G33" s="11"/>
      <c r="H33" s="11"/>
      <c r="I33" s="11"/>
      <c r="J33" s="11"/>
      <c r="K33" s="13"/>
      <c r="L33" s="13"/>
      <c r="M33" s="13"/>
      <c r="N33" s="13"/>
      <c r="O33" s="13"/>
      <c r="P33" s="13"/>
      <c r="Q33" s="13"/>
      <c r="R33" s="13"/>
      <c r="S33" s="13"/>
      <c r="T33" s="606"/>
      <c r="U33" s="185"/>
      <c r="V33" s="114"/>
      <c r="X33" s="141"/>
      <c r="AJ33" s="52"/>
      <c r="AK33" s="52"/>
      <c r="AL33" s="52"/>
      <c r="AM33" s="119"/>
      <c r="AN33" s="52"/>
      <c r="AO33" s="52"/>
      <c r="AP33" s="52"/>
      <c r="AQ33" s="52"/>
      <c r="AR33" s="52"/>
      <c r="AS33" s="52"/>
      <c r="AT33" s="52"/>
    </row>
    <row r="34" spans="1:67" s="56" customFormat="1" ht="15" customHeight="1">
      <c r="A34" s="1758"/>
      <c r="B34" s="1751"/>
      <c r="C34" s="1751"/>
      <c r="D34" s="1751"/>
      <c r="E34" s="1751"/>
      <c r="F34" s="1751"/>
      <c r="G34" s="1751"/>
      <c r="H34" s="1751"/>
      <c r="I34" s="1751"/>
      <c r="J34" s="1751"/>
      <c r="K34" s="1751"/>
      <c r="L34" s="1751"/>
      <c r="M34" s="1751"/>
      <c r="N34" s="1751"/>
      <c r="O34" s="1751"/>
      <c r="P34" s="1751"/>
      <c r="Q34" s="1751"/>
      <c r="R34" s="1751"/>
      <c r="S34" s="1751"/>
      <c r="T34" s="1752"/>
      <c r="U34" s="185"/>
      <c r="V34" s="114"/>
      <c r="X34" s="141"/>
      <c r="AM34" s="122"/>
      <c r="AN34" s="56">
        <v>10</v>
      </c>
      <c r="AO34" s="56">
        <v>10</v>
      </c>
      <c r="AP34" s="56">
        <v>11</v>
      </c>
      <c r="AQ34" s="56">
        <v>12</v>
      </c>
      <c r="AR34" s="56">
        <v>13</v>
      </c>
      <c r="AS34" s="56">
        <v>14</v>
      </c>
      <c r="AT34" s="56">
        <v>19</v>
      </c>
      <c r="AU34" s="56">
        <v>3</v>
      </c>
      <c r="AV34" s="17">
        <v>4</v>
      </c>
      <c r="AW34" s="17">
        <v>5</v>
      </c>
      <c r="AX34" s="17">
        <v>6</v>
      </c>
      <c r="AY34" s="16">
        <v>7</v>
      </c>
      <c r="AZ34" s="56">
        <v>3</v>
      </c>
      <c r="BA34" s="17">
        <v>4</v>
      </c>
      <c r="BB34" s="17">
        <v>5</v>
      </c>
      <c r="BC34" s="17">
        <v>6</v>
      </c>
      <c r="BD34" s="16">
        <v>7</v>
      </c>
    </row>
    <row r="35" spans="1:67" s="56" customFormat="1" ht="11.25" customHeight="1">
      <c r="A35" s="1744"/>
      <c r="B35" s="1742"/>
      <c r="C35" s="1742"/>
      <c r="D35" s="1742"/>
      <c r="E35" s="1742"/>
      <c r="F35" s="1742"/>
      <c r="G35" s="1742"/>
      <c r="H35" s="1742"/>
      <c r="I35" s="1742"/>
      <c r="J35" s="1742"/>
      <c r="K35" s="1742"/>
      <c r="L35" s="1742"/>
      <c r="M35" s="1742"/>
      <c r="N35" s="1742"/>
      <c r="O35" s="1742"/>
      <c r="P35" s="1742"/>
      <c r="Q35" s="1742"/>
      <c r="R35" s="1947"/>
      <c r="S35" s="1742"/>
      <c r="T35" s="1810"/>
      <c r="U35" s="185"/>
      <c r="V35" s="114"/>
      <c r="X35" s="141"/>
      <c r="AJ35" s="52"/>
      <c r="AK35" s="52"/>
      <c r="AL35" s="52"/>
      <c r="AM35" s="121"/>
      <c r="AN35" s="61"/>
      <c r="AO35" s="1897" t="s">
        <v>85</v>
      </c>
      <c r="AP35" s="1898"/>
      <c r="AQ35" s="1898"/>
      <c r="AR35" s="1898"/>
      <c r="AS35" s="1898"/>
      <c r="AT35" s="1894" t="s">
        <v>862</v>
      </c>
      <c r="AU35" s="1969" t="s">
        <v>155</v>
      </c>
      <c r="AV35" s="1970"/>
      <c r="AW35" s="1970"/>
      <c r="AX35" s="1970"/>
      <c r="AY35" s="1971"/>
      <c r="AZ35" s="1969" t="s">
        <v>156</v>
      </c>
      <c r="BA35" s="1970"/>
      <c r="BB35" s="1970"/>
      <c r="BC35" s="1970"/>
      <c r="BD35" s="1971"/>
    </row>
    <row r="36" spans="1:67" s="56" customFormat="1" ht="11.25" customHeight="1">
      <c r="A36" s="81"/>
      <c r="B36" s="82"/>
      <c r="C36" s="82"/>
      <c r="D36" s="82"/>
      <c r="E36" s="82"/>
      <c r="F36" s="82"/>
      <c r="G36" s="82"/>
      <c r="H36" s="82"/>
      <c r="I36" s="82"/>
      <c r="J36" s="82"/>
      <c r="K36" s="82"/>
      <c r="L36" s="82"/>
      <c r="M36" s="82"/>
      <c r="N36" s="82"/>
      <c r="O36" s="82"/>
      <c r="P36" s="82"/>
      <c r="Q36" s="82"/>
      <c r="R36" s="82"/>
      <c r="S36" s="82"/>
      <c r="T36" s="84"/>
      <c r="U36" s="102"/>
      <c r="V36" s="1093" t="s">
        <v>94</v>
      </c>
      <c r="W36" s="1152"/>
      <c r="X36" s="1152"/>
      <c r="Y36" s="1152"/>
      <c r="Z36" s="1152"/>
      <c r="AA36" s="1152"/>
      <c r="AB36" s="1113"/>
      <c r="AC36" s="1113"/>
      <c r="AD36" s="1113"/>
      <c r="AE36" s="1113"/>
      <c r="AF36" s="1113"/>
      <c r="AG36" s="1113"/>
      <c r="AH36" s="1113"/>
      <c r="AI36" s="1113"/>
      <c r="AJ36" s="360"/>
      <c r="AK36" s="360"/>
      <c r="AL36" s="360"/>
      <c r="AM36" s="921"/>
      <c r="AN36" s="61"/>
      <c r="AO36" s="307" t="str">
        <f>ReportData!$D$27</f>
        <v>2019/20</v>
      </c>
      <c r="AP36" s="307" t="str">
        <f>ReportData!$E$27</f>
        <v>2020/21</v>
      </c>
      <c r="AQ36" s="307" t="str">
        <f>ReportData!$F$27</f>
        <v>2021/22</v>
      </c>
      <c r="AR36" s="307" t="str">
        <f>ReportData!$G$27</f>
        <v>2022/23</v>
      </c>
      <c r="AS36" s="577" t="str">
        <f>ReportData!$H$27</f>
        <v>2023/24</v>
      </c>
      <c r="AT36" s="1895"/>
      <c r="AU36" s="444" t="str">
        <f>ReportData!$D$27</f>
        <v>2019/20</v>
      </c>
      <c r="AV36" s="444" t="str">
        <f>ReportData!$E$27</f>
        <v>2020/21</v>
      </c>
      <c r="AW36" s="444" t="str">
        <f>ReportData!$F$27</f>
        <v>2021/22</v>
      </c>
      <c r="AX36" s="444" t="str">
        <f>ReportData!$G$27</f>
        <v>2022/23</v>
      </c>
      <c r="AY36" s="444" t="str">
        <f>ReportData!$H$27</f>
        <v>2023/24</v>
      </c>
      <c r="AZ36" s="444" t="str">
        <f>ReportData!$D$27</f>
        <v>2019/20</v>
      </c>
      <c r="BA36" s="444" t="str">
        <f>ReportData!$E$27</f>
        <v>2020/21</v>
      </c>
      <c r="BB36" s="444" t="str">
        <f>ReportData!$F$27</f>
        <v>2021/22</v>
      </c>
      <c r="BC36" s="444" t="str">
        <f>ReportData!$G$27</f>
        <v>2022/23</v>
      </c>
      <c r="BD36" s="444" t="str">
        <f>ReportData!$H$27</f>
        <v>2023/24</v>
      </c>
    </row>
    <row r="37" spans="1:67" s="56" customFormat="1" ht="3.75" customHeight="1">
      <c r="A37" s="287"/>
      <c r="B37" s="5"/>
      <c r="C37" s="5"/>
      <c r="D37" s="5"/>
      <c r="E37" s="5"/>
      <c r="F37" s="5"/>
      <c r="G37" s="5"/>
      <c r="H37" s="5"/>
      <c r="I37" s="5"/>
      <c r="J37" s="5"/>
      <c r="K37" s="5"/>
      <c r="L37" s="5"/>
      <c r="M37" s="5"/>
      <c r="N37" s="5"/>
      <c r="O37" s="5"/>
      <c r="P37" s="5"/>
      <c r="Q37" s="5"/>
      <c r="R37" s="5"/>
      <c r="S37" s="5"/>
      <c r="T37" s="86"/>
      <c r="U37" s="102"/>
      <c r="V37" s="1155"/>
      <c r="W37" s="1113"/>
      <c r="X37" s="1113"/>
      <c r="Y37" s="1113"/>
      <c r="Z37" s="1113"/>
      <c r="AA37" s="1113"/>
      <c r="AB37" s="1156" t="s">
        <v>762</v>
      </c>
      <c r="AC37" s="1113"/>
      <c r="AD37" s="1113"/>
      <c r="AE37" s="1113"/>
      <c r="AF37" s="1113"/>
      <c r="AG37" s="1113"/>
      <c r="AH37" s="1113"/>
      <c r="AI37" s="1113"/>
      <c r="AJ37" s="1113"/>
      <c r="AK37" s="1113"/>
      <c r="AL37" s="1113"/>
      <c r="AM37" s="921"/>
      <c r="AN37" s="61"/>
      <c r="AO37" s="307" t="e">
        <f>ReportData!$D$28</f>
        <v>#N/A</v>
      </c>
      <c r="AP37" s="307" t="e">
        <f>ReportData!$E$28</f>
        <v>#N/A</v>
      </c>
      <c r="AQ37" s="307" t="e">
        <f>ReportData!$F$28</f>
        <v>#N/A</v>
      </c>
      <c r="AR37" s="307" t="e">
        <f>ReportData!$G$28</f>
        <v>#N/A</v>
      </c>
      <c r="AS37" s="577" t="e">
        <f>ReportData!$H$28</f>
        <v>#N/A</v>
      </c>
      <c r="AT37" s="1896"/>
      <c r="AU37" s="444" t="e">
        <f>ReportData!$D$28</f>
        <v>#N/A</v>
      </c>
      <c r="AV37" s="444" t="e">
        <f>ReportData!$E$28</f>
        <v>#N/A</v>
      </c>
      <c r="AW37" s="444" t="e">
        <f>ReportData!$F$28</f>
        <v>#N/A</v>
      </c>
      <c r="AX37" s="444" t="e">
        <f>ReportData!$G$28</f>
        <v>#N/A</v>
      </c>
      <c r="AY37" s="444" t="e">
        <f>ReportData!$H$28</f>
        <v>#N/A</v>
      </c>
      <c r="AZ37" s="444" t="e">
        <f>ReportData!$D$28</f>
        <v>#N/A</v>
      </c>
      <c r="BA37" s="444" t="e">
        <f>ReportData!$E$28</f>
        <v>#N/A</v>
      </c>
      <c r="BB37" s="444" t="e">
        <f>ReportData!$F$28</f>
        <v>#N/A</v>
      </c>
      <c r="BC37" s="444" t="e">
        <f>ReportData!$G$28</f>
        <v>#N/A</v>
      </c>
      <c r="BD37" s="444" t="e">
        <f>ReportData!$H$28</f>
        <v>#N/A</v>
      </c>
    </row>
    <row r="38" spans="1:67" s="56" customFormat="1" ht="14.25" customHeight="1">
      <c r="A38" s="208"/>
      <c r="B38" s="5"/>
      <c r="C38" s="5"/>
      <c r="D38" s="5"/>
      <c r="E38" s="5"/>
      <c r="F38" s="5"/>
      <c r="G38" s="5"/>
      <c r="H38" s="5"/>
      <c r="I38" s="5"/>
      <c r="J38" s="5"/>
      <c r="K38" s="5"/>
      <c r="L38" s="5"/>
      <c r="M38" s="5"/>
      <c r="N38" s="5"/>
      <c r="O38" s="5"/>
      <c r="P38" s="5"/>
      <c r="Q38" s="5"/>
      <c r="R38" s="5"/>
      <c r="S38" s="5"/>
      <c r="T38" s="86"/>
      <c r="U38" s="102"/>
      <c r="V38" s="1155"/>
      <c r="W38" s="1157" t="s">
        <v>69</v>
      </c>
      <c r="X38" s="1157" t="s">
        <v>67</v>
      </c>
      <c r="Y38" s="1157" t="s">
        <v>68</v>
      </c>
      <c r="Z38" s="1158">
        <v>3</v>
      </c>
      <c r="AA38" s="1159">
        <f>(Z38*X39)+Y39</f>
        <v>0.24889356167669896</v>
      </c>
      <c r="AB38" s="1160">
        <f>ROUND(ChartLabels!$X56,3)</f>
        <v>0.40699999999999997</v>
      </c>
      <c r="AC38" s="1113"/>
      <c r="AD38" s="1113"/>
      <c r="AE38" s="1113"/>
      <c r="AF38" s="1113"/>
      <c r="AG38" s="1113"/>
      <c r="AH38" s="1113"/>
      <c r="AI38" s="1113"/>
      <c r="AJ38" s="1161" t="b">
        <v>1</v>
      </c>
      <c r="AK38" s="1161"/>
      <c r="AL38" s="1161"/>
      <c r="AM38" s="921" t="s">
        <v>0</v>
      </c>
      <c r="AN38" s="683" t="str">
        <f t="shared" ref="AN38:AN58" si="15">IF(AJ38=TRUE,B11,"")</f>
        <v>Bracknell Forest</v>
      </c>
      <c r="AO38" s="678">
        <f t="shared" ref="AO38:AS47" si="16">VLOOKUP($AN38,$B$11:$O$31,AO$34,FALSE)</f>
        <v>0</v>
      </c>
      <c r="AP38" s="679" t="e">
        <f t="shared" si="16"/>
        <v>#N/A</v>
      </c>
      <c r="AQ38" s="679" t="e">
        <f t="shared" si="16"/>
        <v>#N/A</v>
      </c>
      <c r="AR38" s="679" t="e">
        <f t="shared" si="16"/>
        <v>#N/A</v>
      </c>
      <c r="AS38" s="679">
        <f t="shared" si="16"/>
        <v>0</v>
      </c>
      <c r="AT38" s="686">
        <f>VLOOKUP(AN38,IDACI!$B$9:$C$29,2,FALSE)</f>
        <v>8.9</v>
      </c>
      <c r="AU38" s="662" t="e">
        <f t="shared" ref="AU38:AY47" si="17">VLOOKUP($AN38,$B$142:$H$164,AU$34,FALSE)</f>
        <v>#N/A</v>
      </c>
      <c r="AV38" s="649" t="e">
        <f t="shared" si="17"/>
        <v>#N/A</v>
      </c>
      <c r="AW38" s="649" t="e">
        <f t="shared" si="17"/>
        <v>#N/A</v>
      </c>
      <c r="AX38" s="649" t="e">
        <f t="shared" si="17"/>
        <v>#N/A</v>
      </c>
      <c r="AY38" s="659" t="e">
        <f t="shared" si="17"/>
        <v>#N/A</v>
      </c>
      <c r="AZ38" s="662">
        <f t="shared" ref="AZ38:BD47" si="18">VLOOKUP($AN38,$B$177:$H$197,AZ$34,FALSE)</f>
        <v>9.6774193548387094E-2</v>
      </c>
      <c r="BA38" s="649" t="e">
        <f t="shared" si="18"/>
        <v>#N/A</v>
      </c>
      <c r="BB38" s="649" t="e">
        <f t="shared" si="18"/>
        <v>#N/A</v>
      </c>
      <c r="BC38" s="649">
        <f t="shared" si="18"/>
        <v>8.8235294117647065E-2</v>
      </c>
      <c r="BD38" s="659" t="e">
        <f t="shared" si="18"/>
        <v>#N/A</v>
      </c>
    </row>
    <row r="39" spans="1:67" s="56" customFormat="1" ht="14.25" customHeight="1">
      <c r="A39" s="208"/>
      <c r="B39" s="5"/>
      <c r="C39" s="5"/>
      <c r="D39" s="5"/>
      <c r="E39" s="5"/>
      <c r="F39" s="5"/>
      <c r="G39" s="5"/>
      <c r="H39" s="5"/>
      <c r="I39" s="5"/>
      <c r="J39" s="5"/>
      <c r="K39" s="5"/>
      <c r="L39" s="5"/>
      <c r="M39" s="5"/>
      <c r="N39" s="5"/>
      <c r="O39" s="5"/>
      <c r="P39" s="5"/>
      <c r="Q39" s="5"/>
      <c r="R39" s="5"/>
      <c r="S39" s="5"/>
      <c r="T39" s="86"/>
      <c r="U39" s="102"/>
      <c r="V39" s="1155"/>
      <c r="W39" s="1162" t="str">
        <f>"Y= "&amp;X39&amp;"x + "&amp;Y39</f>
        <v>Y= 0.117612232072572x + -0.103943134541016</v>
      </c>
      <c r="X39" s="1163">
        <f>ChartLabels!$V56</f>
        <v>0.11761223207257165</v>
      </c>
      <c r="Y39" s="1163">
        <f>ChartLabels!$W56</f>
        <v>-0.103943134541016</v>
      </c>
      <c r="Z39" s="1164">
        <v>22</v>
      </c>
      <c r="AA39" s="1159">
        <f>(Z39*X39)+Y39</f>
        <v>2.4835259710555606</v>
      </c>
      <c r="AB39" s="1165" t="str">
        <f>AB37&amp;" = "&amp;AB38</f>
        <v>r² = 0.407</v>
      </c>
      <c r="AC39" s="1113"/>
      <c r="AD39" s="1113"/>
      <c r="AE39" s="1113"/>
      <c r="AF39" s="1113"/>
      <c r="AG39" s="1113"/>
      <c r="AH39" s="1113"/>
      <c r="AI39" s="1113"/>
      <c r="AJ39" s="1161" t="b">
        <v>1</v>
      </c>
      <c r="AK39" s="1161"/>
      <c r="AL39" s="1161"/>
      <c r="AM39" s="921" t="s">
        <v>28</v>
      </c>
      <c r="AN39" s="684" t="str">
        <f t="shared" si="15"/>
        <v>Brighton &amp; Hove</v>
      </c>
      <c r="AO39" s="680">
        <f t="shared" si="16"/>
        <v>1.6528242634601875</v>
      </c>
      <c r="AP39" s="110">
        <f t="shared" si="16"/>
        <v>1.4594279042615295</v>
      </c>
      <c r="AQ39" s="110">
        <f t="shared" si="16"/>
        <v>3.3952254641909816</v>
      </c>
      <c r="AR39" s="110">
        <f t="shared" si="16"/>
        <v>4.2426813746287655</v>
      </c>
      <c r="AS39" s="110">
        <f t="shared" si="16"/>
        <v>2.1428877555393648</v>
      </c>
      <c r="AT39" s="686">
        <f>VLOOKUP(AN39,IDACI!$B$9:$C$29,2,FALSE)</f>
        <v>15.299999999999999</v>
      </c>
      <c r="AU39" s="662" t="e">
        <f t="shared" si="17"/>
        <v>#N/A</v>
      </c>
      <c r="AV39" s="649" t="e">
        <f t="shared" si="17"/>
        <v>#N/A</v>
      </c>
      <c r="AW39" s="649" t="e">
        <f t="shared" si="17"/>
        <v>#N/A</v>
      </c>
      <c r="AX39" s="649" t="e">
        <f t="shared" si="17"/>
        <v>#N/A</v>
      </c>
      <c r="AY39" s="659" t="e">
        <f t="shared" si="17"/>
        <v>#N/A</v>
      </c>
      <c r="AZ39" s="662">
        <f t="shared" si="18"/>
        <v>0.10112359550561797</v>
      </c>
      <c r="BA39" s="649">
        <f t="shared" si="18"/>
        <v>7.1895424836601302E-2</v>
      </c>
      <c r="BB39" s="649">
        <f t="shared" si="18"/>
        <v>5.9701492537313432E-2</v>
      </c>
      <c r="BC39" s="649">
        <f t="shared" si="18"/>
        <v>6.7484662576687116E-2</v>
      </c>
      <c r="BD39" s="659">
        <f t="shared" si="18"/>
        <v>0.16296296296296298</v>
      </c>
    </row>
    <row r="40" spans="1:67" ht="14.25" customHeight="1">
      <c r="A40" s="208"/>
      <c r="B40" s="5"/>
      <c r="C40" s="5"/>
      <c r="D40" s="5"/>
      <c r="E40" s="5"/>
      <c r="F40" s="5"/>
      <c r="G40" s="5"/>
      <c r="H40" s="5"/>
      <c r="I40" s="5"/>
      <c r="J40" s="5"/>
      <c r="K40" s="5"/>
      <c r="L40" s="5"/>
      <c r="M40" s="5"/>
      <c r="N40" s="5"/>
      <c r="O40" s="5"/>
      <c r="P40" s="5"/>
      <c r="Q40" s="5"/>
      <c r="R40" s="5"/>
      <c r="S40" s="5"/>
      <c r="T40" s="86"/>
      <c r="U40" s="102"/>
      <c r="V40" s="1155"/>
      <c r="W40" s="1263" t="str">
        <f>"National Trend "&amp;ReportData!$B$8</f>
        <v>National Trend 2024</v>
      </c>
      <c r="X40" s="1264" t="s">
        <v>67</v>
      </c>
      <c r="Y40" s="1263" t="s">
        <v>68</v>
      </c>
      <c r="Z40" s="1265">
        <v>7</v>
      </c>
      <c r="AA40" s="1266">
        <f>((Z40*X41)+Y41)</f>
        <v>0</v>
      </c>
      <c r="AB40" s="1113"/>
      <c r="AC40" s="1113"/>
      <c r="AD40" s="1113"/>
      <c r="AE40" s="1113"/>
      <c r="AF40" s="1113"/>
      <c r="AG40" s="1113"/>
      <c r="AH40" s="1113"/>
      <c r="AI40" s="1113"/>
      <c r="AJ40" s="1161" t="b">
        <v>1</v>
      </c>
      <c r="AK40" s="1161"/>
      <c r="AL40" s="1161"/>
      <c r="AM40" s="921" t="s">
        <v>8</v>
      </c>
      <c r="AN40" s="684" t="str">
        <f t="shared" si="15"/>
        <v>Buckinghamshire</v>
      </c>
      <c r="AO40" s="680">
        <f t="shared" si="16"/>
        <v>0.65500216969468716</v>
      </c>
      <c r="AP40" s="110">
        <f t="shared" si="16"/>
        <v>1.0612678068492591</v>
      </c>
      <c r="AQ40" s="110">
        <f t="shared" si="16"/>
        <v>0.89061614444174553</v>
      </c>
      <c r="AR40" s="110" t="e">
        <f t="shared" si="16"/>
        <v>#N/A</v>
      </c>
      <c r="AS40" s="110" t="e">
        <f t="shared" si="16"/>
        <v>#N/A</v>
      </c>
      <c r="AT40" s="686">
        <f>VLOOKUP(AN40,IDACI!$B$9:$C$29,2,FALSE)</f>
        <v>8.5</v>
      </c>
      <c r="AU40" s="662" t="e">
        <f t="shared" si="17"/>
        <v>#N/A</v>
      </c>
      <c r="AV40" s="649" t="e">
        <f t="shared" si="17"/>
        <v>#N/A</v>
      </c>
      <c r="AW40" s="649" t="e">
        <f t="shared" si="17"/>
        <v>#N/A</v>
      </c>
      <c r="AX40" s="649" t="e">
        <f t="shared" si="17"/>
        <v>#N/A</v>
      </c>
      <c r="AY40" s="659" t="e">
        <f t="shared" si="17"/>
        <v>#N/A</v>
      </c>
      <c r="AZ40" s="662">
        <f t="shared" si="18"/>
        <v>9.7872340425531917E-2</v>
      </c>
      <c r="BA40" s="649">
        <f t="shared" si="18"/>
        <v>0.14130434782608695</v>
      </c>
      <c r="BB40" s="649">
        <f t="shared" si="18"/>
        <v>0.11165048543689321</v>
      </c>
      <c r="BC40" s="649">
        <f t="shared" si="18"/>
        <v>8.0402010050251257E-2</v>
      </c>
      <c r="BD40" s="659">
        <f t="shared" si="18"/>
        <v>5.8823529411764705E-2</v>
      </c>
      <c r="BE40" s="56"/>
      <c r="BF40" s="56"/>
      <c r="BG40" s="56"/>
      <c r="BH40" s="56"/>
      <c r="BI40" s="56"/>
      <c r="BJ40" s="56"/>
      <c r="BK40" s="56"/>
      <c r="BL40" s="56"/>
      <c r="BM40" s="56"/>
      <c r="BN40" s="56"/>
      <c r="BO40" s="56"/>
    </row>
    <row r="41" spans="1:67" ht="14.25" customHeight="1">
      <c r="A41" s="208"/>
      <c r="B41" s="5"/>
      <c r="C41" s="5"/>
      <c r="D41" s="5"/>
      <c r="E41" s="5"/>
      <c r="F41" s="5"/>
      <c r="G41" s="5"/>
      <c r="H41" s="5"/>
      <c r="I41" s="5"/>
      <c r="J41" s="5"/>
      <c r="K41" s="10"/>
      <c r="L41" s="10"/>
      <c r="M41" s="10"/>
      <c r="N41" s="10"/>
      <c r="O41" s="5"/>
      <c r="P41" s="5"/>
      <c r="Q41" s="5"/>
      <c r="R41" s="5"/>
      <c r="S41" s="5"/>
      <c r="T41" s="86"/>
      <c r="U41" s="102"/>
      <c r="V41" s="1155"/>
      <c r="W41" s="1268" t="str">
        <f>"Y= "&amp;X41&amp;"x + "&amp;Y41</f>
        <v xml:space="preserve">Y= x + </v>
      </c>
      <c r="X41" s="1269"/>
      <c r="Y41" s="1306"/>
      <c r="Z41" s="1270">
        <v>25</v>
      </c>
      <c r="AA41" s="1271">
        <f>((Z41*X41)+Y41)</f>
        <v>0</v>
      </c>
      <c r="AB41" s="1113"/>
      <c r="AC41" s="1113"/>
      <c r="AD41" s="1113"/>
      <c r="AE41" s="1113"/>
      <c r="AF41" s="1113"/>
      <c r="AG41" s="1113"/>
      <c r="AH41" s="1113"/>
      <c r="AI41" s="1113"/>
      <c r="AJ41" s="1161" t="b">
        <v>1</v>
      </c>
      <c r="AK41" s="1161"/>
      <c r="AL41" s="1161"/>
      <c r="AM41" s="921" t="s">
        <v>4</v>
      </c>
      <c r="AN41" s="684" t="str">
        <f t="shared" si="15"/>
        <v>East Sussex</v>
      </c>
      <c r="AO41" s="680">
        <f t="shared" si="16"/>
        <v>2.9148570262628617</v>
      </c>
      <c r="AP41" s="110">
        <f t="shared" si="16"/>
        <v>2.2456770716370986</v>
      </c>
      <c r="AQ41" s="110">
        <f t="shared" si="16"/>
        <v>1.3731009523435891</v>
      </c>
      <c r="AR41" s="110">
        <f t="shared" si="16"/>
        <v>1.5560418186238756</v>
      </c>
      <c r="AS41" s="110">
        <f t="shared" si="16"/>
        <v>1.3512730922919522</v>
      </c>
      <c r="AT41" s="686">
        <f>VLOOKUP(AN41,IDACI!$B$9:$C$29,2,FALSE)</f>
        <v>16.100000000000001</v>
      </c>
      <c r="AU41" s="662" t="e">
        <f t="shared" si="17"/>
        <v>#N/A</v>
      </c>
      <c r="AV41" s="649" t="e">
        <f t="shared" si="17"/>
        <v>#N/A</v>
      </c>
      <c r="AW41" s="649" t="e">
        <f t="shared" si="17"/>
        <v>#N/A</v>
      </c>
      <c r="AX41" s="649" t="e">
        <f t="shared" si="17"/>
        <v>#N/A</v>
      </c>
      <c r="AY41" s="659" t="e">
        <f t="shared" si="17"/>
        <v>#N/A</v>
      </c>
      <c r="AZ41" s="662">
        <f t="shared" si="18"/>
        <v>0.15340909090909091</v>
      </c>
      <c r="BA41" s="649">
        <f t="shared" si="18"/>
        <v>0.15340909090909091</v>
      </c>
      <c r="BB41" s="649">
        <f t="shared" si="18"/>
        <v>8.4821428571428575E-2</v>
      </c>
      <c r="BC41" s="649">
        <f t="shared" si="18"/>
        <v>7.0422535211267609E-2</v>
      </c>
      <c r="BD41" s="659">
        <f t="shared" si="18"/>
        <v>8.085106382978724E-2</v>
      </c>
      <c r="BE41" s="56"/>
      <c r="BF41" s="56"/>
      <c r="BG41" s="56"/>
      <c r="BH41" s="56"/>
      <c r="BI41" s="56"/>
      <c r="BJ41" s="56"/>
      <c r="BK41" s="56"/>
      <c r="BL41" s="56"/>
      <c r="BM41" s="56"/>
      <c r="BN41" s="56"/>
      <c r="BO41" s="56"/>
    </row>
    <row r="42" spans="1:67" ht="14.25" customHeight="1">
      <c r="A42" s="208"/>
      <c r="B42" s="76"/>
      <c r="C42" s="76"/>
      <c r="D42" s="77"/>
      <c r="E42" s="77"/>
      <c r="F42" s="77"/>
      <c r="G42" s="77"/>
      <c r="H42" s="77"/>
      <c r="I42" s="77"/>
      <c r="J42" s="77"/>
      <c r="K42" s="5"/>
      <c r="L42" s="5"/>
      <c r="M42" s="5"/>
      <c r="N42" s="5"/>
      <c r="O42" s="5"/>
      <c r="P42" s="5"/>
      <c r="Q42" s="5"/>
      <c r="R42" s="5"/>
      <c r="S42" s="5"/>
      <c r="T42" s="86"/>
      <c r="U42" s="102"/>
      <c r="V42" s="1155"/>
      <c r="W42" s="360"/>
      <c r="X42" s="360"/>
      <c r="Y42" s="360"/>
      <c r="Z42" s="360"/>
      <c r="AA42" s="360"/>
      <c r="AB42" s="1113"/>
      <c r="AC42" s="1113"/>
      <c r="AD42" s="1113"/>
      <c r="AE42" s="1113"/>
      <c r="AF42" s="1113"/>
      <c r="AG42" s="1113"/>
      <c r="AH42" s="1113"/>
      <c r="AI42" s="1113"/>
      <c r="AJ42" s="1161" t="b">
        <v>1</v>
      </c>
      <c r="AK42" s="1161"/>
      <c r="AL42" s="1161"/>
      <c r="AM42" s="921" t="s">
        <v>6</v>
      </c>
      <c r="AN42" s="684" t="str">
        <f t="shared" si="15"/>
        <v>Hampshire</v>
      </c>
      <c r="AO42" s="680">
        <f t="shared" si="16"/>
        <v>1.3603493950025058</v>
      </c>
      <c r="AP42" s="110">
        <f t="shared" si="16"/>
        <v>1.2881249194921924</v>
      </c>
      <c r="AQ42" s="110">
        <f t="shared" si="16"/>
        <v>1.1746740279572419</v>
      </c>
      <c r="AR42" s="110">
        <f t="shared" si="16"/>
        <v>1.3051744877190137</v>
      </c>
      <c r="AS42" s="110">
        <f t="shared" si="16"/>
        <v>0.91033227127901684</v>
      </c>
      <c r="AT42" s="686">
        <f>VLOOKUP(AN42,IDACI!$B$9:$C$29,2,FALSE)</f>
        <v>10.100000000000001</v>
      </c>
      <c r="AU42" s="662" t="e">
        <f t="shared" si="17"/>
        <v>#N/A</v>
      </c>
      <c r="AV42" s="649" t="e">
        <f t="shared" si="17"/>
        <v>#N/A</v>
      </c>
      <c r="AW42" s="649" t="e">
        <f t="shared" si="17"/>
        <v>#N/A</v>
      </c>
      <c r="AX42" s="649" t="e">
        <f t="shared" si="17"/>
        <v>#N/A</v>
      </c>
      <c r="AY42" s="659" t="e">
        <f t="shared" si="17"/>
        <v>#N/A</v>
      </c>
      <c r="AZ42" s="662">
        <f t="shared" si="18"/>
        <v>0.11217948717948718</v>
      </c>
      <c r="BA42" s="649">
        <f t="shared" si="18"/>
        <v>8.9005235602094238E-2</v>
      </c>
      <c r="BB42" s="649">
        <f t="shared" si="18"/>
        <v>7.7338129496402883E-2</v>
      </c>
      <c r="BC42" s="649">
        <f t="shared" si="18"/>
        <v>9.3137254901960786E-2</v>
      </c>
      <c r="BD42" s="659">
        <f t="shared" si="18"/>
        <v>0.10920436817472699</v>
      </c>
      <c r="BE42" s="56"/>
      <c r="BF42" s="56"/>
      <c r="BG42" s="56"/>
      <c r="BH42" s="56"/>
      <c r="BI42" s="56"/>
      <c r="BJ42" s="56"/>
      <c r="BK42" s="56"/>
      <c r="BL42" s="56"/>
      <c r="BM42" s="56"/>
      <c r="BN42" s="56"/>
      <c r="BO42" s="56"/>
    </row>
    <row r="43" spans="1:67" ht="14.25" customHeight="1">
      <c r="A43" s="208"/>
      <c r="B43" s="77"/>
      <c r="C43" s="77"/>
      <c r="D43" s="77"/>
      <c r="E43" s="77"/>
      <c r="F43" s="77"/>
      <c r="G43" s="77"/>
      <c r="H43" s="77"/>
      <c r="I43" s="77"/>
      <c r="J43" s="77"/>
      <c r="K43" s="5"/>
      <c r="L43" s="5"/>
      <c r="M43" s="5"/>
      <c r="N43" s="5"/>
      <c r="O43" s="5"/>
      <c r="P43" s="5"/>
      <c r="Q43" s="5"/>
      <c r="R43" s="5"/>
      <c r="S43" s="5"/>
      <c r="T43" s="86"/>
      <c r="U43" s="102"/>
      <c r="V43" s="1155"/>
      <c r="W43" s="1113"/>
      <c r="X43" s="1113"/>
      <c r="Y43" s="1113"/>
      <c r="Z43" s="1113"/>
      <c r="AA43" s="1113"/>
      <c r="AB43" s="1113"/>
      <c r="AC43" s="1113"/>
      <c r="AD43" s="1113"/>
      <c r="AE43" s="1113"/>
      <c r="AF43" s="1113"/>
      <c r="AG43" s="1113"/>
      <c r="AH43" s="1113"/>
      <c r="AI43" s="1113"/>
      <c r="AJ43" s="1161" t="b">
        <v>1</v>
      </c>
      <c r="AK43" s="1161"/>
      <c r="AL43" s="1161"/>
      <c r="AM43" s="921" t="s">
        <v>1</v>
      </c>
      <c r="AN43" s="684" t="str">
        <f t="shared" si="15"/>
        <v>Isle of Wight</v>
      </c>
      <c r="AO43" s="680">
        <f t="shared" si="16"/>
        <v>0.82301139870787199</v>
      </c>
      <c r="AP43" s="110">
        <f t="shared" si="16"/>
        <v>3.3484011384563868</v>
      </c>
      <c r="AQ43" s="110" t="e">
        <f t="shared" si="16"/>
        <v>#N/A</v>
      </c>
      <c r="AR43" s="110" t="e">
        <f t="shared" si="16"/>
        <v>#N/A</v>
      </c>
      <c r="AS43" s="110" t="e">
        <f t="shared" si="16"/>
        <v>#N/A</v>
      </c>
      <c r="AT43" s="686">
        <f>VLOOKUP(AN43,IDACI!$B$9:$C$29,2,FALSE)</f>
        <v>18</v>
      </c>
      <c r="AU43" s="662" t="e">
        <f t="shared" si="17"/>
        <v>#N/A</v>
      </c>
      <c r="AV43" s="649" t="e">
        <f t="shared" si="17"/>
        <v>#N/A</v>
      </c>
      <c r="AW43" s="649" t="e">
        <f t="shared" si="17"/>
        <v>#N/A</v>
      </c>
      <c r="AX43" s="649" t="e">
        <f t="shared" si="17"/>
        <v>#N/A</v>
      </c>
      <c r="AY43" s="659" t="e">
        <f t="shared" si="17"/>
        <v>#N/A</v>
      </c>
      <c r="AZ43" s="662">
        <f t="shared" si="18"/>
        <v>0.16981132075471697</v>
      </c>
      <c r="BA43" s="649" t="e">
        <f t="shared" si="18"/>
        <v>#N/A</v>
      </c>
      <c r="BB43" s="649">
        <f t="shared" si="18"/>
        <v>0.15730337078651685</v>
      </c>
      <c r="BC43" s="649" t="e">
        <f t="shared" si="18"/>
        <v>#N/A</v>
      </c>
      <c r="BD43" s="659">
        <f t="shared" si="18"/>
        <v>8.3333333333333329E-2</v>
      </c>
      <c r="BE43" s="56"/>
      <c r="BF43" s="56"/>
      <c r="BG43" s="56"/>
      <c r="BH43" s="56"/>
      <c r="BI43" s="56"/>
      <c r="BJ43" s="56"/>
      <c r="BK43" s="56"/>
      <c r="BL43" s="56"/>
      <c r="BM43" s="56"/>
      <c r="BN43" s="56"/>
      <c r="BO43" s="56"/>
    </row>
    <row r="44" spans="1:67" ht="14.25" customHeight="1">
      <c r="A44" s="208"/>
      <c r="B44" s="77"/>
      <c r="C44" s="77"/>
      <c r="D44" s="77"/>
      <c r="E44" s="77"/>
      <c r="F44" s="77"/>
      <c r="G44" s="77"/>
      <c r="H44" s="77"/>
      <c r="I44" s="77"/>
      <c r="J44" s="77"/>
      <c r="K44" s="5"/>
      <c r="L44" s="5"/>
      <c r="M44" s="5"/>
      <c r="N44" s="5"/>
      <c r="O44" s="5"/>
      <c r="P44" s="5"/>
      <c r="Q44" s="5"/>
      <c r="R44" s="5"/>
      <c r="S44" s="5"/>
      <c r="T44" s="86"/>
      <c r="U44" s="102"/>
      <c r="V44" s="1155"/>
      <c r="W44" s="1113"/>
      <c r="X44" s="1113"/>
      <c r="Y44" s="1113"/>
      <c r="Z44" s="1113"/>
      <c r="AA44" s="1113"/>
      <c r="AB44" s="1170"/>
      <c r="AC44" s="1113"/>
      <c r="AD44" s="1113"/>
      <c r="AE44" s="1113"/>
      <c r="AF44" s="1113"/>
      <c r="AG44" s="1113"/>
      <c r="AH44" s="1113"/>
      <c r="AI44" s="1113"/>
      <c r="AJ44" s="1161" t="b">
        <v>1</v>
      </c>
      <c r="AK44" s="1161"/>
      <c r="AL44" s="1161"/>
      <c r="AM44" s="921" t="s">
        <v>9</v>
      </c>
      <c r="AN44" s="684" t="str">
        <f t="shared" si="15"/>
        <v>Kent</v>
      </c>
      <c r="AO44" s="680">
        <f t="shared" si="16"/>
        <v>1.0799686809082536</v>
      </c>
      <c r="AP44" s="110">
        <f t="shared" si="16"/>
        <v>1.6446188072626367</v>
      </c>
      <c r="AQ44" s="110">
        <f t="shared" si="16"/>
        <v>1.6959692464243314</v>
      </c>
      <c r="AR44" s="110">
        <f t="shared" si="16"/>
        <v>1.3416633125083854</v>
      </c>
      <c r="AS44" s="110">
        <f t="shared" si="16"/>
        <v>1.3779957052467187</v>
      </c>
      <c r="AT44" s="686">
        <f>VLOOKUP(AN44,IDACI!$B$9:$C$29,2,FALSE)</f>
        <v>15.8</v>
      </c>
      <c r="AU44" s="662" t="e">
        <f t="shared" si="17"/>
        <v>#N/A</v>
      </c>
      <c r="AV44" s="649" t="e">
        <f t="shared" si="17"/>
        <v>#N/A</v>
      </c>
      <c r="AW44" s="649" t="e">
        <f t="shared" si="17"/>
        <v>#N/A</v>
      </c>
      <c r="AX44" s="649" t="e">
        <f t="shared" si="17"/>
        <v>#N/A</v>
      </c>
      <c r="AY44" s="659" t="e">
        <f t="shared" si="17"/>
        <v>#N/A</v>
      </c>
      <c r="AZ44" s="662">
        <f t="shared" si="18"/>
        <v>8.5365853658536592E-2</v>
      </c>
      <c r="BA44" s="649">
        <f t="shared" si="18"/>
        <v>3.8698328935795952E-2</v>
      </c>
      <c r="BB44" s="649">
        <f t="shared" si="18"/>
        <v>3.443328550932568E-2</v>
      </c>
      <c r="BC44" s="649">
        <f t="shared" si="18"/>
        <v>3.4334763948497854E-2</v>
      </c>
      <c r="BD44" s="659">
        <f t="shared" si="18"/>
        <v>2.4862888482632541E-2</v>
      </c>
      <c r="BE44" s="56"/>
      <c r="BF44" s="56"/>
      <c r="BG44" s="56"/>
      <c r="BH44" s="56"/>
      <c r="BI44" s="56"/>
      <c r="BJ44" s="56"/>
      <c r="BK44" s="56"/>
      <c r="BL44" s="56"/>
      <c r="BM44" s="56"/>
      <c r="BN44" s="56"/>
      <c r="BO44" s="56"/>
    </row>
    <row r="45" spans="1:67" ht="14.25" customHeight="1">
      <c r="A45" s="208"/>
      <c r="B45" s="40"/>
      <c r="C45" s="40"/>
      <c r="D45" s="40"/>
      <c r="E45" s="40"/>
      <c r="F45" s="40"/>
      <c r="G45" s="40"/>
      <c r="H45" s="40"/>
      <c r="I45" s="40"/>
      <c r="J45" s="40"/>
      <c r="K45" s="5"/>
      <c r="L45" s="5"/>
      <c r="M45" s="5"/>
      <c r="N45" s="5"/>
      <c r="O45" s="5"/>
      <c r="P45" s="5"/>
      <c r="Q45" s="5"/>
      <c r="R45" s="5"/>
      <c r="S45" s="5"/>
      <c r="T45" s="86"/>
      <c r="U45" s="102"/>
      <c r="V45" s="1155"/>
      <c r="W45" s="1113"/>
      <c r="X45" s="1113"/>
      <c r="Y45" s="1113"/>
      <c r="Z45" s="1113"/>
      <c r="AA45" s="1113"/>
      <c r="AB45" s="360"/>
      <c r="AC45" s="1113"/>
      <c r="AD45" s="1113"/>
      <c r="AE45" s="1113"/>
      <c r="AF45" s="1113"/>
      <c r="AG45" s="1113"/>
      <c r="AH45" s="1113"/>
      <c r="AI45" s="1113"/>
      <c r="AJ45" s="1161" t="b">
        <v>1</v>
      </c>
      <c r="AK45" s="1161"/>
      <c r="AL45" s="1161"/>
      <c r="AM45" s="921" t="s">
        <v>2</v>
      </c>
      <c r="AN45" s="684" t="str">
        <f t="shared" si="15"/>
        <v>Medway</v>
      </c>
      <c r="AO45" s="680">
        <f t="shared" si="16"/>
        <v>2.198768689533861</v>
      </c>
      <c r="AP45" s="110">
        <f t="shared" si="16"/>
        <v>2.6689693068529716</v>
      </c>
      <c r="AQ45" s="110">
        <f t="shared" si="16"/>
        <v>3.2906592287321557</v>
      </c>
      <c r="AR45" s="110">
        <f t="shared" si="16"/>
        <v>1.5395273650989147</v>
      </c>
      <c r="AS45" s="110">
        <f t="shared" si="16"/>
        <v>1.1996341115959632</v>
      </c>
      <c r="AT45" s="686">
        <f>VLOOKUP(AN45,IDACI!$B$9:$C$29,2,FALSE)</f>
        <v>18.899999999999999</v>
      </c>
      <c r="AU45" s="662" t="e">
        <f t="shared" si="17"/>
        <v>#N/A</v>
      </c>
      <c r="AV45" s="649" t="e">
        <f t="shared" si="17"/>
        <v>#N/A</v>
      </c>
      <c r="AW45" s="649" t="e">
        <f t="shared" si="17"/>
        <v>#N/A</v>
      </c>
      <c r="AX45" s="649" t="e">
        <f t="shared" si="17"/>
        <v>#N/A</v>
      </c>
      <c r="AY45" s="659" t="e">
        <f t="shared" si="17"/>
        <v>#N/A</v>
      </c>
      <c r="AZ45" s="662">
        <f t="shared" si="18"/>
        <v>0.12777777777777777</v>
      </c>
      <c r="BA45" s="649">
        <f t="shared" si="18"/>
        <v>0.1037037037037037</v>
      </c>
      <c r="BB45" s="649">
        <f t="shared" si="18"/>
        <v>0.17741935483870969</v>
      </c>
      <c r="BC45" s="649">
        <f t="shared" si="18"/>
        <v>0.14285714285714285</v>
      </c>
      <c r="BD45" s="659">
        <f t="shared" si="18"/>
        <v>9.7297297297297303E-2</v>
      </c>
      <c r="BE45" s="56"/>
      <c r="BF45" s="56"/>
      <c r="BG45" s="56"/>
      <c r="BH45" s="56"/>
      <c r="BI45" s="56"/>
      <c r="BJ45" s="56"/>
      <c r="BK45" s="56"/>
      <c r="BL45" s="56"/>
      <c r="BM45" s="56"/>
      <c r="BN45" s="56"/>
      <c r="BO45" s="56"/>
    </row>
    <row r="46" spans="1:67" ht="14.25" customHeight="1">
      <c r="A46" s="208"/>
      <c r="B46" s="40"/>
      <c r="C46" s="40"/>
      <c r="D46" s="49"/>
      <c r="E46" s="50"/>
      <c r="F46" s="49"/>
      <c r="G46" s="50"/>
      <c r="H46" s="50"/>
      <c r="I46" s="50"/>
      <c r="J46" s="50"/>
      <c r="K46" s="5"/>
      <c r="L46" s="5"/>
      <c r="M46" s="5"/>
      <c r="N46" s="5"/>
      <c r="O46" s="5"/>
      <c r="P46" s="5"/>
      <c r="Q46" s="5"/>
      <c r="R46" s="5"/>
      <c r="S46" s="5"/>
      <c r="T46" s="86"/>
      <c r="U46" s="102"/>
      <c r="V46" s="1155"/>
      <c r="W46" s="1113"/>
      <c r="X46" s="1113"/>
      <c r="Y46" s="1113"/>
      <c r="Z46" s="1113"/>
      <c r="AA46" s="1113"/>
      <c r="AB46" s="1113"/>
      <c r="AC46" s="1113"/>
      <c r="AD46" s="1113"/>
      <c r="AE46" s="1113"/>
      <c r="AF46" s="1113"/>
      <c r="AG46" s="1113"/>
      <c r="AH46" s="1113"/>
      <c r="AI46" s="1113"/>
      <c r="AJ46" s="1161" t="b">
        <v>1</v>
      </c>
      <c r="AK46" s="1161"/>
      <c r="AL46" s="1161"/>
      <c r="AM46" s="921" t="s">
        <v>10</v>
      </c>
      <c r="AN46" s="684" t="str">
        <f t="shared" si="15"/>
        <v>Milton Keynes</v>
      </c>
      <c r="AO46" s="680">
        <f t="shared" si="16"/>
        <v>2.3175978098700698</v>
      </c>
      <c r="AP46" s="110">
        <f t="shared" si="16"/>
        <v>2.8857946757088233</v>
      </c>
      <c r="AQ46" s="110">
        <f t="shared" si="16"/>
        <v>1.5796653981474833</v>
      </c>
      <c r="AR46" s="110">
        <f t="shared" si="16"/>
        <v>1.2684810643965552</v>
      </c>
      <c r="AS46" s="110">
        <f t="shared" si="16"/>
        <v>1.5110512795856972</v>
      </c>
      <c r="AT46" s="686">
        <f>VLOOKUP(AN46,IDACI!$B$9:$C$29,2,FALSE)</f>
        <v>15</v>
      </c>
      <c r="AU46" s="662" t="e">
        <f t="shared" si="17"/>
        <v>#N/A</v>
      </c>
      <c r="AV46" s="649" t="e">
        <f t="shared" si="17"/>
        <v>#N/A</v>
      </c>
      <c r="AW46" s="649" t="e">
        <f t="shared" si="17"/>
        <v>#N/A</v>
      </c>
      <c r="AX46" s="649" t="e">
        <f t="shared" si="17"/>
        <v>#N/A</v>
      </c>
      <c r="AY46" s="659" t="e">
        <f t="shared" si="17"/>
        <v>#N/A</v>
      </c>
      <c r="AZ46" s="662">
        <f t="shared" si="18"/>
        <v>0.12837837837837837</v>
      </c>
      <c r="BA46" s="649">
        <f t="shared" si="18"/>
        <v>0.11904761904761904</v>
      </c>
      <c r="BB46" s="649">
        <f t="shared" si="18"/>
        <v>0.1497326203208556</v>
      </c>
      <c r="BC46" s="649">
        <f t="shared" si="18"/>
        <v>0.10919540229885058</v>
      </c>
      <c r="BD46" s="659">
        <f t="shared" si="18"/>
        <v>0.10497237569060773</v>
      </c>
      <c r="BE46" s="56"/>
      <c r="BF46" s="56"/>
      <c r="BG46" s="56"/>
      <c r="BH46" s="56"/>
      <c r="BI46" s="56"/>
      <c r="BJ46" s="56"/>
      <c r="BK46" s="56"/>
      <c r="BL46" s="56"/>
      <c r="BM46" s="56"/>
      <c r="BN46" s="56"/>
      <c r="BO46" s="56"/>
    </row>
    <row r="47" spans="1:67" ht="14.25" customHeight="1">
      <c r="A47" s="208"/>
      <c r="B47" s="40"/>
      <c r="C47" s="40"/>
      <c r="D47" s="43"/>
      <c r="E47" s="43"/>
      <c r="F47" s="43"/>
      <c r="G47" s="43"/>
      <c r="H47" s="43"/>
      <c r="I47" s="43"/>
      <c r="J47" s="43"/>
      <c r="K47" s="5"/>
      <c r="L47" s="5"/>
      <c r="M47" s="5"/>
      <c r="N47" s="5"/>
      <c r="O47" s="5"/>
      <c r="P47" s="5"/>
      <c r="Q47" s="5"/>
      <c r="R47" s="5"/>
      <c r="S47" s="5"/>
      <c r="T47" s="86"/>
      <c r="U47" s="102"/>
      <c r="V47" s="1155"/>
      <c r="W47" s="1113"/>
      <c r="X47" s="1113"/>
      <c r="Y47" s="1113"/>
      <c r="Z47" s="1113"/>
      <c r="AA47" s="1113"/>
      <c r="AB47" s="1113"/>
      <c r="AC47" s="1113"/>
      <c r="AD47" s="1113"/>
      <c r="AE47" s="1113"/>
      <c r="AF47" s="1113"/>
      <c r="AG47" s="1113"/>
      <c r="AH47" s="1113"/>
      <c r="AI47" s="1113"/>
      <c r="AJ47" s="1161" t="b">
        <v>1</v>
      </c>
      <c r="AK47" s="1161"/>
      <c r="AL47" s="1161"/>
      <c r="AM47" s="921" t="s">
        <v>11</v>
      </c>
      <c r="AN47" s="684" t="str">
        <f t="shared" si="15"/>
        <v>Oxfordshire</v>
      </c>
      <c r="AO47" s="680">
        <f t="shared" si="16"/>
        <v>1.1770489306164273</v>
      </c>
      <c r="AP47" s="110">
        <f t="shared" si="16"/>
        <v>2.0658453783595809</v>
      </c>
      <c r="AQ47" s="110">
        <f t="shared" si="16"/>
        <v>1.571650164339941</v>
      </c>
      <c r="AR47" s="110">
        <f t="shared" si="16"/>
        <v>1.0699621500889407</v>
      </c>
      <c r="AS47" s="110" t="e">
        <f t="shared" si="16"/>
        <v>#N/A</v>
      </c>
      <c r="AT47" s="686">
        <f>VLOOKUP(AN47,IDACI!$B$9:$C$29,2,FALSE)</f>
        <v>10.100000000000001</v>
      </c>
      <c r="AU47" s="662" t="e">
        <f t="shared" si="17"/>
        <v>#N/A</v>
      </c>
      <c r="AV47" s="649" t="e">
        <f t="shared" si="17"/>
        <v>#N/A</v>
      </c>
      <c r="AW47" s="649" t="e">
        <f t="shared" si="17"/>
        <v>#N/A</v>
      </c>
      <c r="AX47" s="649" t="e">
        <f t="shared" si="17"/>
        <v>#N/A</v>
      </c>
      <c r="AY47" s="659" t="e">
        <f t="shared" si="17"/>
        <v>#N/A</v>
      </c>
      <c r="AZ47" s="662">
        <f t="shared" si="18"/>
        <v>0.10869565217391304</v>
      </c>
      <c r="BA47" s="649">
        <f t="shared" si="18"/>
        <v>9.3525179856115109E-2</v>
      </c>
      <c r="BB47" s="649">
        <f t="shared" si="18"/>
        <v>9.3645484949832769E-2</v>
      </c>
      <c r="BC47" s="649">
        <f t="shared" si="18"/>
        <v>6.9164265129683003E-2</v>
      </c>
      <c r="BD47" s="659">
        <f t="shared" si="18"/>
        <v>7.4626865671641784E-2</v>
      </c>
      <c r="BE47" s="56"/>
      <c r="BF47" s="56"/>
      <c r="BG47" s="56"/>
      <c r="BH47" s="56"/>
      <c r="BI47" s="56"/>
      <c r="BJ47" s="56"/>
      <c r="BK47" s="56"/>
      <c r="BL47" s="56"/>
      <c r="BM47" s="56"/>
      <c r="BN47" s="56"/>
      <c r="BO47" s="56"/>
    </row>
    <row r="48" spans="1:67" ht="14.25" customHeight="1">
      <c r="A48" s="208"/>
      <c r="B48" s="48"/>
      <c r="C48" s="48"/>
      <c r="D48" s="40"/>
      <c r="E48" s="40"/>
      <c r="F48" s="40"/>
      <c r="G48" s="40"/>
      <c r="H48" s="40"/>
      <c r="I48" s="40"/>
      <c r="J48" s="40"/>
      <c r="K48" s="5"/>
      <c r="L48" s="5"/>
      <c r="M48" s="5"/>
      <c r="N48" s="5"/>
      <c r="O48" s="5"/>
      <c r="P48" s="5"/>
      <c r="Q48" s="5"/>
      <c r="R48" s="5"/>
      <c r="S48" s="5"/>
      <c r="T48" s="86"/>
      <c r="U48" s="102"/>
      <c r="V48" s="1155"/>
      <c r="W48" s="1113"/>
      <c r="X48" s="1113"/>
      <c r="Y48" s="1113"/>
      <c r="Z48" s="1113"/>
      <c r="AA48" s="1113"/>
      <c r="AB48" s="1113"/>
      <c r="AC48" s="1113"/>
      <c r="AD48" s="1113"/>
      <c r="AE48" s="1113"/>
      <c r="AF48" s="1113"/>
      <c r="AG48" s="1113"/>
      <c r="AH48" s="1113"/>
      <c r="AI48" s="1113"/>
      <c r="AJ48" s="1161" t="b">
        <v>1</v>
      </c>
      <c r="AK48" s="1161"/>
      <c r="AL48" s="1161"/>
      <c r="AM48" s="921" t="s">
        <v>12</v>
      </c>
      <c r="AN48" s="684" t="str">
        <f t="shared" si="15"/>
        <v>Portsmouth</v>
      </c>
      <c r="AO48" s="680">
        <f t="shared" ref="AO48:AS58" si="19">VLOOKUP($AN48,$B$11:$O$31,AO$34,FALSE)</f>
        <v>1.6653581709609115</v>
      </c>
      <c r="AP48" s="110">
        <f t="shared" si="19"/>
        <v>2.3886301206258209</v>
      </c>
      <c r="AQ48" s="110" t="e">
        <f t="shared" si="19"/>
        <v>#N/A</v>
      </c>
      <c r="AR48" s="110">
        <f t="shared" si="19"/>
        <v>1.4329727018700296</v>
      </c>
      <c r="AS48" s="110">
        <f t="shared" si="19"/>
        <v>2.3636750419552319</v>
      </c>
      <c r="AT48" s="686">
        <f>VLOOKUP(AN48,IDACI!$B$9:$C$29,2,FALSE)</f>
        <v>20.200000000000003</v>
      </c>
      <c r="AU48" s="662" t="e">
        <f t="shared" ref="AU48:AY58" si="20">VLOOKUP($AN48,$B$142:$H$164,AU$34,FALSE)</f>
        <v>#N/A</v>
      </c>
      <c r="AV48" s="649" t="e">
        <f t="shared" si="20"/>
        <v>#N/A</v>
      </c>
      <c r="AW48" s="649" t="e">
        <f t="shared" si="20"/>
        <v>#N/A</v>
      </c>
      <c r="AX48" s="649" t="e">
        <f t="shared" si="20"/>
        <v>#N/A</v>
      </c>
      <c r="AY48" s="659" t="e">
        <f t="shared" si="20"/>
        <v>#N/A</v>
      </c>
      <c r="AZ48" s="662">
        <f t="shared" ref="AZ48:BD58" si="21">VLOOKUP($AN48,$B$177:$H$197,AZ$34,FALSE)</f>
        <v>0.11274509803921569</v>
      </c>
      <c r="BA48" s="649">
        <f t="shared" si="21"/>
        <v>7.8703703703703706E-2</v>
      </c>
      <c r="BB48" s="649">
        <f t="shared" si="21"/>
        <v>0.140625</v>
      </c>
      <c r="BC48" s="649">
        <f t="shared" si="21"/>
        <v>8.2802547770700632E-2</v>
      </c>
      <c r="BD48" s="659">
        <f t="shared" si="21"/>
        <v>0.11538461538461539</v>
      </c>
      <c r="BE48" s="56"/>
      <c r="BF48" s="56"/>
      <c r="BG48" s="56"/>
      <c r="BH48" s="56"/>
      <c r="BI48" s="56"/>
      <c r="BJ48" s="56"/>
      <c r="BK48" s="56"/>
      <c r="BL48" s="56"/>
      <c r="BM48" s="56"/>
      <c r="BN48" s="56"/>
      <c r="BO48" s="56"/>
    </row>
    <row r="49" spans="1:67" ht="14.25" customHeight="1">
      <c r="A49" s="208"/>
      <c r="B49" s="48"/>
      <c r="C49" s="48"/>
      <c r="D49" s="40"/>
      <c r="E49" s="40"/>
      <c r="F49" s="40"/>
      <c r="G49" s="40"/>
      <c r="H49" s="40"/>
      <c r="I49" s="40"/>
      <c r="J49" s="40"/>
      <c r="K49" s="5"/>
      <c r="L49" s="5"/>
      <c r="M49" s="5"/>
      <c r="N49" s="5"/>
      <c r="O49" s="5"/>
      <c r="P49" s="5"/>
      <c r="Q49" s="5"/>
      <c r="R49" s="5"/>
      <c r="S49" s="5"/>
      <c r="T49" s="86"/>
      <c r="U49" s="102"/>
      <c r="V49" s="1155"/>
      <c r="W49" s="1113"/>
      <c r="X49" s="1113"/>
      <c r="Y49" s="1113"/>
      <c r="Z49" s="1113"/>
      <c r="AA49" s="1113"/>
      <c r="AB49" s="1113"/>
      <c r="AC49" s="1113"/>
      <c r="AD49" s="1113"/>
      <c r="AE49" s="1113"/>
      <c r="AF49" s="1113"/>
      <c r="AG49" s="1113"/>
      <c r="AH49" s="1113"/>
      <c r="AI49" s="1113"/>
      <c r="AJ49" s="1161" t="b">
        <v>1</v>
      </c>
      <c r="AK49" s="1161"/>
      <c r="AL49" s="1161"/>
      <c r="AM49" s="921" t="s">
        <v>3</v>
      </c>
      <c r="AN49" s="684" t="str">
        <f t="shared" si="15"/>
        <v>Reading</v>
      </c>
      <c r="AO49" s="680">
        <f t="shared" si="19"/>
        <v>2.7005130974885225</v>
      </c>
      <c r="AP49" s="110">
        <f t="shared" si="19"/>
        <v>2.4343404289848802</v>
      </c>
      <c r="AQ49" s="110">
        <f t="shared" si="19"/>
        <v>3.027467385919524</v>
      </c>
      <c r="AR49" s="110" t="e">
        <f t="shared" si="19"/>
        <v>#N/A</v>
      </c>
      <c r="AS49" s="110" t="e">
        <f t="shared" si="19"/>
        <v>#N/A</v>
      </c>
      <c r="AT49" s="686">
        <f>VLOOKUP(AN49,IDACI!$B$9:$C$29,2,FALSE)</f>
        <v>16</v>
      </c>
      <c r="AU49" s="662" t="e">
        <f t="shared" si="20"/>
        <v>#N/A</v>
      </c>
      <c r="AV49" s="649" t="e">
        <f t="shared" si="20"/>
        <v>#N/A</v>
      </c>
      <c r="AW49" s="649" t="e">
        <f t="shared" si="20"/>
        <v>#N/A</v>
      </c>
      <c r="AX49" s="649" t="e">
        <f t="shared" si="20"/>
        <v>#N/A</v>
      </c>
      <c r="AY49" s="659" t="e">
        <f t="shared" si="20"/>
        <v>#N/A</v>
      </c>
      <c r="AZ49" s="662">
        <f t="shared" si="21"/>
        <v>0.14678899082568808</v>
      </c>
      <c r="BA49" s="649">
        <f t="shared" si="21"/>
        <v>0.10891089108910891</v>
      </c>
      <c r="BB49" s="649">
        <f t="shared" si="21"/>
        <v>0.1206896551724138</v>
      </c>
      <c r="BC49" s="649">
        <f t="shared" si="21"/>
        <v>0.17073170731707318</v>
      </c>
      <c r="BD49" s="659" t="e">
        <f t="shared" si="21"/>
        <v>#N/A</v>
      </c>
      <c r="BE49" s="56"/>
      <c r="BF49" s="56"/>
      <c r="BG49" s="56"/>
      <c r="BH49" s="56"/>
      <c r="BI49" s="56"/>
      <c r="BJ49" s="56"/>
      <c r="BK49" s="56"/>
      <c r="BL49" s="56"/>
      <c r="BM49" s="56"/>
      <c r="BN49" s="56"/>
      <c r="BO49" s="56"/>
    </row>
    <row r="50" spans="1:67" ht="14.25" customHeight="1">
      <c r="A50" s="208"/>
      <c r="B50" s="48"/>
      <c r="C50" s="48"/>
      <c r="D50" s="40"/>
      <c r="E50" s="40"/>
      <c r="F50" s="40"/>
      <c r="G50" s="40"/>
      <c r="H50" s="40"/>
      <c r="I50" s="40"/>
      <c r="J50" s="40"/>
      <c r="K50" s="5"/>
      <c r="L50" s="5"/>
      <c r="M50" s="5"/>
      <c r="N50" s="5"/>
      <c r="O50" s="5"/>
      <c r="P50" s="5"/>
      <c r="Q50" s="5"/>
      <c r="R50" s="5"/>
      <c r="S50" s="5"/>
      <c r="T50" s="86"/>
      <c r="U50" s="102"/>
      <c r="V50" s="1155"/>
      <c r="W50" s="1113"/>
      <c r="X50" s="1113"/>
      <c r="Y50" s="1113"/>
      <c r="Z50" s="1113"/>
      <c r="AA50" s="1113"/>
      <c r="AB50" s="1113"/>
      <c r="AC50" s="1113"/>
      <c r="AD50" s="1113"/>
      <c r="AE50" s="1113"/>
      <c r="AF50" s="1113"/>
      <c r="AG50" s="1113"/>
      <c r="AH50" s="1113"/>
      <c r="AI50" s="1113"/>
      <c r="AJ50" s="1161" t="b">
        <v>1</v>
      </c>
      <c r="AK50" s="1161"/>
      <c r="AL50" s="1161"/>
      <c r="AM50" s="921" t="s">
        <v>13</v>
      </c>
      <c r="AN50" s="684" t="str">
        <f t="shared" si="15"/>
        <v>Slough</v>
      </c>
      <c r="AO50" s="680">
        <f t="shared" si="19"/>
        <v>1.839968720531751</v>
      </c>
      <c r="AP50" s="110">
        <f t="shared" si="19"/>
        <v>1.8223234624145788</v>
      </c>
      <c r="AQ50" s="110">
        <f t="shared" si="19"/>
        <v>1.8291149370098543</v>
      </c>
      <c r="AR50" s="110" t="e">
        <f t="shared" si="19"/>
        <v>#N/A</v>
      </c>
      <c r="AS50" s="110">
        <f t="shared" si="19"/>
        <v>2.2297041182635065</v>
      </c>
      <c r="AT50" s="686">
        <f>VLOOKUP(AN50,IDACI!$B$9:$C$29,2,FALSE)</f>
        <v>14.7</v>
      </c>
      <c r="AU50" s="662" t="e">
        <f t="shared" si="20"/>
        <v>#N/A</v>
      </c>
      <c r="AV50" s="649" t="e">
        <f t="shared" si="20"/>
        <v>#N/A</v>
      </c>
      <c r="AW50" s="649" t="e">
        <f t="shared" si="20"/>
        <v>#N/A</v>
      </c>
      <c r="AX50" s="649" t="e">
        <f t="shared" si="20"/>
        <v>#N/A</v>
      </c>
      <c r="AY50" s="659" t="e">
        <f t="shared" si="20"/>
        <v>#N/A</v>
      </c>
      <c r="AZ50" s="662">
        <f t="shared" si="21"/>
        <v>0.12</v>
      </c>
      <c r="BA50" s="649">
        <f t="shared" si="21"/>
        <v>9.7087378640776698E-2</v>
      </c>
      <c r="BB50" s="649">
        <f t="shared" si="21"/>
        <v>8.0357142857142863E-2</v>
      </c>
      <c r="BC50" s="649">
        <f t="shared" si="21"/>
        <v>0.16528925619834711</v>
      </c>
      <c r="BD50" s="659" t="e">
        <f t="shared" si="21"/>
        <v>#N/A</v>
      </c>
      <c r="BE50" s="56"/>
      <c r="BF50" s="56"/>
      <c r="BG50" s="56"/>
      <c r="BH50" s="56"/>
      <c r="BI50" s="56"/>
      <c r="BJ50" s="56"/>
      <c r="BK50" s="56"/>
      <c r="BL50" s="56"/>
      <c r="BM50" s="56"/>
      <c r="BN50" s="56"/>
      <c r="BO50" s="56"/>
    </row>
    <row r="51" spans="1:67" ht="14.25" customHeight="1">
      <c r="A51" s="208"/>
      <c r="B51" s="48"/>
      <c r="C51" s="48"/>
      <c r="D51" s="40"/>
      <c r="E51" s="40"/>
      <c r="F51" s="40"/>
      <c r="G51" s="40"/>
      <c r="H51" s="40"/>
      <c r="I51" s="40"/>
      <c r="J51" s="40"/>
      <c r="K51" s="5"/>
      <c r="L51" s="5"/>
      <c r="M51" s="5"/>
      <c r="N51" s="5"/>
      <c r="O51" s="5"/>
      <c r="P51" s="5"/>
      <c r="Q51" s="5"/>
      <c r="R51" s="5"/>
      <c r="S51" s="5"/>
      <c r="T51" s="86"/>
      <c r="U51" s="102"/>
      <c r="V51" s="1155"/>
      <c r="W51" s="1113"/>
      <c r="X51" s="1113"/>
      <c r="Y51" s="1113"/>
      <c r="Z51" s="1113"/>
      <c r="AA51" s="1113"/>
      <c r="AB51" s="1113"/>
      <c r="AC51" s="1113"/>
      <c r="AD51" s="1113"/>
      <c r="AE51" s="1113"/>
      <c r="AF51" s="1113"/>
      <c r="AG51" s="1113"/>
      <c r="AH51" s="1113"/>
      <c r="AI51" s="1113"/>
      <c r="AJ51" s="1161" t="b">
        <v>1</v>
      </c>
      <c r="AK51" s="1161"/>
      <c r="AL51" s="1161"/>
      <c r="AM51" s="921" t="s">
        <v>14</v>
      </c>
      <c r="AN51" s="684" t="str">
        <f t="shared" si="15"/>
        <v>Southampton</v>
      </c>
      <c r="AO51" s="680">
        <f t="shared" si="19"/>
        <v>2.8232636928289101</v>
      </c>
      <c r="AP51" s="110">
        <f t="shared" si="19"/>
        <v>2.2116331905824635</v>
      </c>
      <c r="AQ51" s="110">
        <f t="shared" si="19"/>
        <v>3.442131691908966</v>
      </c>
      <c r="AR51" s="110">
        <f t="shared" si="19"/>
        <v>3.2082773555773896</v>
      </c>
      <c r="AS51" s="110">
        <f t="shared" si="19"/>
        <v>2.9777857185396939</v>
      </c>
      <c r="AT51" s="686">
        <f>VLOOKUP(AN51,IDACI!$B$9:$C$29,2,FALSE)</f>
        <v>20.5</v>
      </c>
      <c r="AU51" s="662" t="e">
        <f t="shared" si="20"/>
        <v>#N/A</v>
      </c>
      <c r="AV51" s="649" t="e">
        <f t="shared" si="20"/>
        <v>#N/A</v>
      </c>
      <c r="AW51" s="649" t="e">
        <f t="shared" si="20"/>
        <v>#N/A</v>
      </c>
      <c r="AX51" s="649" t="e">
        <f t="shared" si="20"/>
        <v>#N/A</v>
      </c>
      <c r="AY51" s="659" t="e">
        <f t="shared" si="20"/>
        <v>#N/A</v>
      </c>
      <c r="AZ51" s="662">
        <f t="shared" si="21"/>
        <v>0.135678391959799</v>
      </c>
      <c r="BA51" s="649">
        <f t="shared" si="21"/>
        <v>0.17486338797814208</v>
      </c>
      <c r="BB51" s="649">
        <f t="shared" si="21"/>
        <v>9.580838323353294E-2</v>
      </c>
      <c r="BC51" s="649">
        <f t="shared" si="21"/>
        <v>0.14678899082568808</v>
      </c>
      <c r="BD51" s="659">
        <f t="shared" si="21"/>
        <v>0.14018691588785046</v>
      </c>
      <c r="BE51" s="56"/>
      <c r="BF51" s="56"/>
      <c r="BG51" s="56"/>
      <c r="BH51" s="56"/>
      <c r="BI51" s="56"/>
      <c r="BJ51" s="56"/>
      <c r="BK51" s="56"/>
      <c r="BL51" s="56"/>
      <c r="BM51" s="56"/>
      <c r="BN51" s="56"/>
      <c r="BO51" s="56"/>
    </row>
    <row r="52" spans="1:67" ht="14.25" customHeight="1">
      <c r="A52" s="208"/>
      <c r="B52" s="48"/>
      <c r="C52" s="48"/>
      <c r="D52" s="40"/>
      <c r="E52" s="40"/>
      <c r="F52" s="40"/>
      <c r="G52" s="40"/>
      <c r="H52" s="40"/>
      <c r="I52" s="40"/>
      <c r="J52" s="40"/>
      <c r="K52" s="5"/>
      <c r="L52" s="5"/>
      <c r="M52" s="5"/>
      <c r="N52" s="5"/>
      <c r="O52" s="5"/>
      <c r="P52" s="5"/>
      <c r="Q52" s="5"/>
      <c r="R52" s="5"/>
      <c r="S52" s="5"/>
      <c r="T52" s="86"/>
      <c r="U52" s="102"/>
      <c r="V52" s="1155"/>
      <c r="W52" s="1113"/>
      <c r="X52" s="1113"/>
      <c r="Y52" s="1113"/>
      <c r="Z52" s="1113"/>
      <c r="AA52" s="1113"/>
      <c r="AB52" s="1113"/>
      <c r="AC52" s="1113"/>
      <c r="AD52" s="1113"/>
      <c r="AE52" s="1113"/>
      <c r="AF52" s="1113"/>
      <c r="AG52" s="1113"/>
      <c r="AH52" s="1113"/>
      <c r="AI52" s="1113"/>
      <c r="AJ52" s="1161" t="b">
        <v>1</v>
      </c>
      <c r="AK52" s="1161"/>
      <c r="AL52" s="1161"/>
      <c r="AM52" s="921" t="s">
        <v>7</v>
      </c>
      <c r="AN52" s="684" t="str">
        <f t="shared" si="15"/>
        <v>Surrey</v>
      </c>
      <c r="AO52" s="680">
        <f t="shared" si="19"/>
        <v>0.85256447518843614</v>
      </c>
      <c r="AP52" s="110">
        <f t="shared" si="19"/>
        <v>0.38681876380459468</v>
      </c>
      <c r="AQ52" s="110">
        <f t="shared" si="19"/>
        <v>0.23122456529781724</v>
      </c>
      <c r="AR52" s="110">
        <f t="shared" si="19"/>
        <v>0.37945767908505168</v>
      </c>
      <c r="AS52" s="110">
        <f t="shared" si="19"/>
        <v>0.56460598030654341</v>
      </c>
      <c r="AT52" s="686">
        <f>VLOOKUP(AN52,IDACI!$B$9:$C$29,2,FALSE)</f>
        <v>8.3000000000000007</v>
      </c>
      <c r="AU52" s="662" t="e">
        <f t="shared" si="20"/>
        <v>#N/A</v>
      </c>
      <c r="AV52" s="649" t="e">
        <f t="shared" si="20"/>
        <v>#N/A</v>
      </c>
      <c r="AW52" s="649" t="e">
        <f t="shared" si="20"/>
        <v>#N/A</v>
      </c>
      <c r="AX52" s="649" t="e">
        <f t="shared" si="20"/>
        <v>#N/A</v>
      </c>
      <c r="AY52" s="659" t="e">
        <f t="shared" si="20"/>
        <v>#N/A</v>
      </c>
      <c r="AZ52" s="662">
        <f t="shared" si="21"/>
        <v>7.6712328767123292E-2</v>
      </c>
      <c r="BA52" s="649">
        <f t="shared" si="21"/>
        <v>7.3349633251833746E-2</v>
      </c>
      <c r="BB52" s="649">
        <f t="shared" si="21"/>
        <v>5.7500000000000002E-2</v>
      </c>
      <c r="BC52" s="649">
        <f t="shared" si="21"/>
        <v>7.3634204275534437E-2</v>
      </c>
      <c r="BD52" s="659">
        <f t="shared" si="21"/>
        <v>6.205250596658711E-2</v>
      </c>
      <c r="BE52" s="56"/>
      <c r="BF52" s="56"/>
      <c r="BG52" s="56"/>
      <c r="BH52" s="56"/>
      <c r="BI52" s="56"/>
      <c r="BJ52" s="56"/>
      <c r="BK52" s="56"/>
      <c r="BL52" s="56"/>
      <c r="BM52" s="56"/>
      <c r="BN52" s="56"/>
      <c r="BO52" s="56"/>
    </row>
    <row r="53" spans="1:67" ht="14.25" customHeight="1">
      <c r="A53" s="208"/>
      <c r="B53" s="48"/>
      <c r="C53" s="48"/>
      <c r="D53" s="40"/>
      <c r="E53" s="40"/>
      <c r="F53" s="40"/>
      <c r="G53" s="40"/>
      <c r="H53" s="40"/>
      <c r="I53" s="40"/>
      <c r="J53" s="40"/>
      <c r="K53" s="5"/>
      <c r="L53" s="5"/>
      <c r="M53" s="5"/>
      <c r="N53" s="5"/>
      <c r="O53" s="5"/>
      <c r="P53" s="5"/>
      <c r="Q53" s="5"/>
      <c r="R53" s="5"/>
      <c r="S53" s="5"/>
      <c r="T53" s="86"/>
      <c r="U53" s="102"/>
      <c r="V53" s="1155"/>
      <c r="W53" s="1113"/>
      <c r="X53" s="1113"/>
      <c r="Y53" s="1113"/>
      <c r="Z53" s="1113"/>
      <c r="AA53" s="1113"/>
      <c r="AB53" s="1113"/>
      <c r="AC53" s="1113"/>
      <c r="AD53" s="1113"/>
      <c r="AE53" s="1113"/>
      <c r="AF53" s="1113"/>
      <c r="AG53" s="1113"/>
      <c r="AH53" s="1113"/>
      <c r="AI53" s="1113"/>
      <c r="AJ53" s="1161" t="b">
        <v>1</v>
      </c>
      <c r="AK53" s="1161"/>
      <c r="AL53" s="1161"/>
      <c r="AM53" s="921" t="s">
        <v>15</v>
      </c>
      <c r="AN53" s="684" t="str">
        <f t="shared" si="15"/>
        <v>West Berkshire</v>
      </c>
      <c r="AO53" s="680">
        <f t="shared" si="19"/>
        <v>0.28521719289238756</v>
      </c>
      <c r="AP53" s="110" t="e">
        <f t="shared" si="19"/>
        <v>#N/A</v>
      </c>
      <c r="AQ53" s="110" t="e">
        <f t="shared" si="19"/>
        <v>#N/A</v>
      </c>
      <c r="AR53" s="110" t="e">
        <f t="shared" si="19"/>
        <v>#N/A</v>
      </c>
      <c r="AS53" s="110">
        <f t="shared" si="19"/>
        <v>1.981599433828733</v>
      </c>
      <c r="AT53" s="686">
        <f>VLOOKUP(AN53,IDACI!$B$9:$C$29,2,FALSE)</f>
        <v>8.6999999999999993</v>
      </c>
      <c r="AU53" s="662" t="e">
        <f t="shared" si="20"/>
        <v>#N/A</v>
      </c>
      <c r="AV53" s="649" t="e">
        <f t="shared" si="20"/>
        <v>#N/A</v>
      </c>
      <c r="AW53" s="649" t="e">
        <f t="shared" si="20"/>
        <v>#N/A</v>
      </c>
      <c r="AX53" s="649" t="e">
        <f t="shared" si="20"/>
        <v>#N/A</v>
      </c>
      <c r="AY53" s="659" t="e">
        <f t="shared" si="20"/>
        <v>#N/A</v>
      </c>
      <c r="AZ53" s="662">
        <f t="shared" si="21"/>
        <v>8.1081081081081086E-2</v>
      </c>
      <c r="BA53" s="649">
        <f t="shared" si="21"/>
        <v>0.10344827586206896</v>
      </c>
      <c r="BB53" s="649" t="e">
        <f t="shared" si="21"/>
        <v>#N/A</v>
      </c>
      <c r="BC53" s="649" t="e">
        <f t="shared" si="21"/>
        <v>#N/A</v>
      </c>
      <c r="BD53" s="659" t="e">
        <f t="shared" si="21"/>
        <v>#N/A</v>
      </c>
      <c r="BE53" s="56"/>
      <c r="BF53" s="56"/>
      <c r="BG53" s="56"/>
      <c r="BH53" s="56"/>
      <c r="BI53" s="56"/>
      <c r="BJ53" s="56"/>
      <c r="BK53" s="56"/>
      <c r="BL53" s="56"/>
      <c r="BM53" s="56"/>
      <c r="BN53" s="56"/>
      <c r="BO53" s="56"/>
    </row>
    <row r="54" spans="1:67" ht="14.25" customHeight="1">
      <c r="A54" s="208"/>
      <c r="B54" s="48"/>
      <c r="C54" s="48"/>
      <c r="D54" s="40"/>
      <c r="E54" s="40"/>
      <c r="F54" s="40"/>
      <c r="G54" s="40"/>
      <c r="H54" s="40"/>
      <c r="I54" s="40"/>
      <c r="J54" s="40"/>
      <c r="K54" s="5"/>
      <c r="L54" s="5"/>
      <c r="M54" s="5"/>
      <c r="N54" s="5"/>
      <c r="O54" s="5"/>
      <c r="P54" s="5"/>
      <c r="Q54" s="5"/>
      <c r="R54" s="5"/>
      <c r="S54" s="5"/>
      <c r="T54" s="86"/>
      <c r="U54" s="102"/>
      <c r="V54" s="1155"/>
      <c r="W54" s="1113"/>
      <c r="X54" s="1113"/>
      <c r="Y54" s="1113"/>
      <c r="Z54" s="1113"/>
      <c r="AA54" s="1113"/>
      <c r="AB54" s="1113"/>
      <c r="AC54" s="1113"/>
      <c r="AD54" s="1113"/>
      <c r="AE54" s="1113"/>
      <c r="AF54" s="1113"/>
      <c r="AG54" s="1113"/>
      <c r="AH54" s="1113"/>
      <c r="AI54" s="1113"/>
      <c r="AJ54" s="1161" t="b">
        <v>1</v>
      </c>
      <c r="AK54" s="1161"/>
      <c r="AL54" s="1161"/>
      <c r="AM54" s="921" t="s">
        <v>5</v>
      </c>
      <c r="AN54" s="684" t="str">
        <f t="shared" si="15"/>
        <v>West Sussex</v>
      </c>
      <c r="AO54" s="680">
        <f t="shared" si="19"/>
        <v>1.8438384106112902</v>
      </c>
      <c r="AP54" s="110">
        <f t="shared" si="19"/>
        <v>1.4953443030257718</v>
      </c>
      <c r="AQ54" s="110">
        <f t="shared" si="19"/>
        <v>1.3155335918642825</v>
      </c>
      <c r="AR54" s="110">
        <f t="shared" si="19"/>
        <v>1.1277199194807976</v>
      </c>
      <c r="AS54" s="110">
        <f t="shared" si="19"/>
        <v>1.6200393278512693</v>
      </c>
      <c r="AT54" s="686">
        <f>VLOOKUP(AN54,IDACI!$B$9:$C$29,2,FALSE)</f>
        <v>11</v>
      </c>
      <c r="AU54" s="662" t="e">
        <f t="shared" si="20"/>
        <v>#N/A</v>
      </c>
      <c r="AV54" s="649" t="e">
        <f t="shared" si="20"/>
        <v>#N/A</v>
      </c>
      <c r="AW54" s="649" t="e">
        <f t="shared" si="20"/>
        <v>#N/A</v>
      </c>
      <c r="AX54" s="649" t="e">
        <f t="shared" si="20"/>
        <v>#N/A</v>
      </c>
      <c r="AY54" s="659" t="e">
        <f t="shared" si="20"/>
        <v>#N/A</v>
      </c>
      <c r="AZ54" s="662">
        <f t="shared" si="21"/>
        <v>0.10985915492957747</v>
      </c>
      <c r="BA54" s="649">
        <f t="shared" si="21"/>
        <v>9.3264248704663211E-2</v>
      </c>
      <c r="BB54" s="649">
        <f t="shared" si="21"/>
        <v>7.8774617067833702E-2</v>
      </c>
      <c r="BC54" s="649">
        <f t="shared" si="21"/>
        <v>7.6923076923076927E-2</v>
      </c>
      <c r="BD54" s="659">
        <f t="shared" si="21"/>
        <v>7.9800498753117205E-2</v>
      </c>
      <c r="BE54" s="56"/>
      <c r="BF54" s="56"/>
      <c r="BG54" s="56"/>
      <c r="BH54" s="56"/>
      <c r="BI54" s="56"/>
      <c r="BJ54" s="56"/>
      <c r="BK54" s="56"/>
      <c r="BL54" s="56"/>
      <c r="BM54" s="56"/>
      <c r="BN54" s="56"/>
      <c r="BO54" s="56"/>
    </row>
    <row r="55" spans="1:67" ht="14.25" customHeight="1">
      <c r="A55" s="208"/>
      <c r="B55" s="48"/>
      <c r="C55" s="48"/>
      <c r="D55" s="40"/>
      <c r="E55" s="40"/>
      <c r="F55" s="40"/>
      <c r="G55" s="40"/>
      <c r="H55" s="40"/>
      <c r="I55" s="40"/>
      <c r="J55" s="40"/>
      <c r="K55" s="5"/>
      <c r="L55" s="5"/>
      <c r="M55" s="5"/>
      <c r="N55" s="5"/>
      <c r="O55" s="5"/>
      <c r="P55" s="5"/>
      <c r="Q55" s="5"/>
      <c r="R55" s="5"/>
      <c r="S55" s="5"/>
      <c r="T55" s="86"/>
      <c r="U55" s="102"/>
      <c r="V55" s="1155"/>
      <c r="W55" s="1113"/>
      <c r="X55" s="1113"/>
      <c r="Y55" s="1113"/>
      <c r="Z55" s="1113"/>
      <c r="AA55" s="1113"/>
      <c r="AB55" s="1113"/>
      <c r="AC55" s="1113"/>
      <c r="AD55" s="1113"/>
      <c r="AE55" s="1113"/>
      <c r="AF55" s="1113"/>
      <c r="AG55" s="1113"/>
      <c r="AH55" s="1113"/>
      <c r="AI55" s="1113"/>
      <c r="AJ55" s="1161" t="b">
        <v>1</v>
      </c>
      <c r="AK55" s="1161"/>
      <c r="AL55" s="1161"/>
      <c r="AM55" s="921" t="s">
        <v>27</v>
      </c>
      <c r="AN55" s="684" t="str">
        <f t="shared" si="15"/>
        <v>Windsor &amp; Maidenhead</v>
      </c>
      <c r="AO55" s="680">
        <f t="shared" si="19"/>
        <v>0.87529906051234174</v>
      </c>
      <c r="AP55" s="110" t="e">
        <f t="shared" si="19"/>
        <v>#N/A</v>
      </c>
      <c r="AQ55" s="110" t="e">
        <f t="shared" si="19"/>
        <v>#N/A</v>
      </c>
      <c r="AR55" s="110" t="e">
        <f t="shared" si="19"/>
        <v>#N/A</v>
      </c>
      <c r="AS55" s="110" t="e">
        <f t="shared" si="19"/>
        <v>#N/A</v>
      </c>
      <c r="AT55" s="686">
        <f>VLOOKUP(AN55,IDACI!$B$9:$C$29,2,FALSE)</f>
        <v>6.7</v>
      </c>
      <c r="AU55" s="662" t="e">
        <f t="shared" si="20"/>
        <v>#N/A</v>
      </c>
      <c r="AV55" s="649" t="e">
        <f t="shared" si="20"/>
        <v>#N/A</v>
      </c>
      <c r="AW55" s="649" t="e">
        <f t="shared" si="20"/>
        <v>#N/A</v>
      </c>
      <c r="AX55" s="649" t="e">
        <f t="shared" si="20"/>
        <v>#N/A</v>
      </c>
      <c r="AY55" s="659" t="e">
        <f t="shared" si="20"/>
        <v>#N/A</v>
      </c>
      <c r="AZ55" s="662">
        <f t="shared" si="21"/>
        <v>0</v>
      </c>
      <c r="BA55" s="649" t="e">
        <f t="shared" si="21"/>
        <v>#N/A</v>
      </c>
      <c r="BB55" s="649" t="e">
        <f t="shared" si="21"/>
        <v>#N/A</v>
      </c>
      <c r="BC55" s="649">
        <f t="shared" si="21"/>
        <v>8.2191780821917804E-2</v>
      </c>
      <c r="BD55" s="659" t="e">
        <f t="shared" si="21"/>
        <v>#N/A</v>
      </c>
      <c r="BE55" s="56"/>
      <c r="BF55" s="56"/>
      <c r="BG55" s="56"/>
      <c r="BH55" s="56"/>
      <c r="BI55" s="56"/>
      <c r="BJ55" s="56"/>
      <c r="BK55" s="56"/>
      <c r="BL55" s="56"/>
      <c r="BM55" s="56"/>
      <c r="BN55" s="56"/>
      <c r="BO55" s="56"/>
    </row>
    <row r="56" spans="1:67" ht="14.25" customHeight="1">
      <c r="A56" s="208"/>
      <c r="B56" s="48"/>
      <c r="C56" s="48"/>
      <c r="D56" s="40"/>
      <c r="E56" s="40"/>
      <c r="F56" s="40"/>
      <c r="G56" s="40"/>
      <c r="H56" s="40"/>
      <c r="I56" s="40"/>
      <c r="J56" s="40"/>
      <c r="K56" s="5"/>
      <c r="L56" s="5"/>
      <c r="M56" s="5"/>
      <c r="N56" s="5"/>
      <c r="O56" s="5"/>
      <c r="P56" s="5"/>
      <c r="Q56" s="5"/>
      <c r="R56" s="5"/>
      <c r="S56" s="5"/>
      <c r="T56" s="86"/>
      <c r="U56" s="102"/>
      <c r="V56" s="1155"/>
      <c r="W56" s="1113"/>
      <c r="X56" s="1113"/>
      <c r="Y56" s="1113"/>
      <c r="Z56" s="1113"/>
      <c r="AA56" s="1113"/>
      <c r="AB56" s="1113"/>
      <c r="AC56" s="1113"/>
      <c r="AD56" s="1113"/>
      <c r="AE56" s="1113"/>
      <c r="AF56" s="1113"/>
      <c r="AG56" s="1113"/>
      <c r="AH56" s="1113"/>
      <c r="AI56" s="1113"/>
      <c r="AJ56" s="1161" t="b">
        <v>1</v>
      </c>
      <c r="AK56" s="1161"/>
      <c r="AL56" s="1161"/>
      <c r="AM56" s="921" t="s">
        <v>16</v>
      </c>
      <c r="AN56" s="684" t="str">
        <f t="shared" si="15"/>
        <v>Wokingham</v>
      </c>
      <c r="AO56" s="680">
        <f t="shared" si="19"/>
        <v>1.2571658453183143</v>
      </c>
      <c r="AP56" s="110" t="e">
        <f t="shared" si="19"/>
        <v>#N/A</v>
      </c>
      <c r="AQ56" s="110" t="e">
        <f t="shared" si="19"/>
        <v>#N/A</v>
      </c>
      <c r="AR56" s="110">
        <f t="shared" si="19"/>
        <v>1.4111006585136405</v>
      </c>
      <c r="AS56" s="110" t="e">
        <f t="shared" si="19"/>
        <v>#N/A</v>
      </c>
      <c r="AT56" s="686">
        <f>VLOOKUP(AN56,IDACI!$B$9:$C$29,2,FALSE)</f>
        <v>5.6000000000000005</v>
      </c>
      <c r="AU56" s="662" t="e">
        <f t="shared" si="20"/>
        <v>#N/A</v>
      </c>
      <c r="AV56" s="649" t="e">
        <f t="shared" si="20"/>
        <v>#N/A</v>
      </c>
      <c r="AW56" s="649" t="e">
        <f t="shared" si="20"/>
        <v>#N/A</v>
      </c>
      <c r="AX56" s="649" t="e">
        <f t="shared" si="20"/>
        <v>#N/A</v>
      </c>
      <c r="AY56" s="659" t="e">
        <f t="shared" si="20"/>
        <v>#N/A</v>
      </c>
      <c r="AZ56" s="662">
        <f t="shared" si="21"/>
        <v>0.10909090909090909</v>
      </c>
      <c r="BA56" s="649" t="e">
        <f t="shared" si="21"/>
        <v>#N/A</v>
      </c>
      <c r="BB56" s="649" t="e">
        <f t="shared" si="21"/>
        <v>#N/A</v>
      </c>
      <c r="BC56" s="649" t="e">
        <f t="shared" si="21"/>
        <v>#N/A</v>
      </c>
      <c r="BD56" s="659" t="e">
        <f t="shared" si="21"/>
        <v>#N/A</v>
      </c>
      <c r="BE56" s="56"/>
      <c r="BF56" s="56"/>
      <c r="BG56" s="56"/>
      <c r="BH56" s="56"/>
      <c r="BI56" s="56"/>
      <c r="BJ56" s="56"/>
      <c r="BK56" s="56"/>
      <c r="BL56" s="56"/>
      <c r="BM56" s="56"/>
      <c r="BN56" s="56"/>
      <c r="BO56" s="56"/>
    </row>
    <row r="57" spans="1:67" ht="14.25" customHeight="1">
      <c r="A57" s="208"/>
      <c r="B57" s="48"/>
      <c r="C57" s="48"/>
      <c r="D57" s="40"/>
      <c r="E57" s="40"/>
      <c r="F57" s="40"/>
      <c r="G57" s="40"/>
      <c r="H57" s="40"/>
      <c r="I57" s="40"/>
      <c r="J57" s="40"/>
      <c r="K57" s="5"/>
      <c r="L57" s="5"/>
      <c r="M57" s="5"/>
      <c r="N57" s="5"/>
      <c r="O57" s="5"/>
      <c r="P57" s="5"/>
      <c r="Q57" s="5"/>
      <c r="R57" s="5"/>
      <c r="S57" s="5"/>
      <c r="T57" s="86"/>
      <c r="U57" s="102"/>
      <c r="V57" s="1155"/>
      <c r="W57" s="1113"/>
      <c r="X57" s="1113"/>
      <c r="Y57" s="1113"/>
      <c r="Z57" s="1113"/>
      <c r="AA57" s="1113"/>
      <c r="AB57" s="1113"/>
      <c r="AC57" s="1113"/>
      <c r="AD57" s="1113"/>
      <c r="AE57" s="1113"/>
      <c r="AF57" s="1113"/>
      <c r="AG57" s="1113"/>
      <c r="AH57" s="1113"/>
      <c r="AI57" s="1113"/>
      <c r="AJ57" s="1161" t="b">
        <v>1</v>
      </c>
      <c r="AK57" s="1161"/>
      <c r="AL57" s="1161"/>
      <c r="AM57" s="921" t="s">
        <v>71</v>
      </c>
      <c r="AN57" s="684" t="str">
        <f t="shared" si="15"/>
        <v>South East</v>
      </c>
      <c r="AO57" s="680">
        <f t="shared" si="19"/>
        <v>1.4058109272490251</v>
      </c>
      <c r="AP57" s="110">
        <f t="shared" si="19"/>
        <v>1.6724701380456852</v>
      </c>
      <c r="AQ57" s="110">
        <f t="shared" si="19"/>
        <v>1.5578211275163139</v>
      </c>
      <c r="AR57" s="110">
        <f t="shared" si="19"/>
        <v>1.4050958550283188</v>
      </c>
      <c r="AS57" s="110">
        <f t="shared" si="19"/>
        <v>1.4650810667573742</v>
      </c>
      <c r="AT57" s="686">
        <f>Y30/X30*100</f>
        <v>13.000805008614009</v>
      </c>
      <c r="AU57" s="662" t="e">
        <f t="shared" si="20"/>
        <v>#N/A</v>
      </c>
      <c r="AV57" s="649" t="e">
        <f t="shared" si="20"/>
        <v>#N/A</v>
      </c>
      <c r="AW57" s="649" t="e">
        <f t="shared" si="20"/>
        <v>#N/A</v>
      </c>
      <c r="AX57" s="649" t="e">
        <f t="shared" si="20"/>
        <v>#N/A</v>
      </c>
      <c r="AY57" s="659" t="e">
        <f t="shared" si="20"/>
        <v>#N/A</v>
      </c>
      <c r="AZ57" s="662">
        <f t="shared" si="21"/>
        <v>0.11032863849765258</v>
      </c>
      <c r="BA57" s="649">
        <f t="shared" si="21"/>
        <v>8.3146067415730343E-2</v>
      </c>
      <c r="BB57" s="649">
        <f t="shared" si="21"/>
        <v>7.4844074844074848E-2</v>
      </c>
      <c r="BC57" s="649">
        <f t="shared" si="21"/>
        <v>7.2796934865900387E-2</v>
      </c>
      <c r="BD57" s="659">
        <f t="shared" si="21"/>
        <v>6.0747663551401869E-2</v>
      </c>
      <c r="BE57" s="56"/>
      <c r="BF57" s="56"/>
      <c r="BG57" s="56"/>
      <c r="BH57" s="56"/>
      <c r="BI57" s="56"/>
      <c r="BJ57" s="56"/>
      <c r="BK57" s="56"/>
      <c r="BL57" s="56"/>
      <c r="BM57" s="56"/>
      <c r="BN57" s="56"/>
      <c r="BO57" s="56"/>
    </row>
    <row r="58" spans="1:67" s="56" customFormat="1" ht="14.25" customHeight="1">
      <c r="A58" s="208"/>
      <c r="B58" s="48"/>
      <c r="C58" s="48"/>
      <c r="D58" s="40"/>
      <c r="E58" s="40"/>
      <c r="F58" s="40"/>
      <c r="G58" s="40"/>
      <c r="H58" s="40"/>
      <c r="I58" s="40"/>
      <c r="J58" s="40"/>
      <c r="K58" s="5"/>
      <c r="L58" s="5"/>
      <c r="M58" s="5"/>
      <c r="N58" s="5"/>
      <c r="O58" s="5"/>
      <c r="P58" s="5"/>
      <c r="Q58" s="5"/>
      <c r="R58" s="5"/>
      <c r="S58" s="5"/>
      <c r="T58" s="86"/>
      <c r="U58" s="102"/>
      <c r="V58" s="1155"/>
      <c r="W58" s="1113"/>
      <c r="X58" s="1113"/>
      <c r="Y58" s="1113"/>
      <c r="Z58" s="1113"/>
      <c r="AA58" s="1113"/>
      <c r="AB58" s="1113"/>
      <c r="AC58" s="1113"/>
      <c r="AD58" s="1113"/>
      <c r="AE58" s="1113"/>
      <c r="AF58" s="1113"/>
      <c r="AG58" s="1113"/>
      <c r="AH58" s="1113"/>
      <c r="AI58" s="1113"/>
      <c r="AJ58" s="1161" t="b">
        <v>1</v>
      </c>
      <c r="AK58" s="1161"/>
      <c r="AL58" s="1161"/>
      <c r="AM58" s="921" t="s">
        <v>109</v>
      </c>
      <c r="AN58" s="684" t="str">
        <f t="shared" si="15"/>
        <v>England</v>
      </c>
      <c r="AO58" s="680">
        <f t="shared" si="19"/>
        <v>1.7471705167180471</v>
      </c>
      <c r="AP58" s="110">
        <f t="shared" si="19"/>
        <v>1.9257207922025106</v>
      </c>
      <c r="AQ58" s="110">
        <f t="shared" si="19"/>
        <v>1.8192826619471867</v>
      </c>
      <c r="AR58" s="110">
        <f t="shared" si="19"/>
        <v>1.6742683216065841</v>
      </c>
      <c r="AS58" s="110">
        <f t="shared" si="19"/>
        <v>1.591846279988592</v>
      </c>
      <c r="AT58" s="686">
        <f>VLOOKUP(AN58,IDACI!$B$9:$C$29,2,FALSE)</f>
        <v>17.084413405029373</v>
      </c>
      <c r="AU58" s="662" t="e">
        <f t="shared" si="20"/>
        <v>#N/A</v>
      </c>
      <c r="AV58" s="649" t="e">
        <f t="shared" si="20"/>
        <v>#N/A</v>
      </c>
      <c r="AW58" s="649" t="e">
        <f t="shared" si="20"/>
        <v>#N/A</v>
      </c>
      <c r="AX58" s="649" t="e">
        <f t="shared" si="20"/>
        <v>#N/A</v>
      </c>
      <c r="AY58" s="659" t="e">
        <f t="shared" si="20"/>
        <v>#N/A</v>
      </c>
      <c r="AZ58" s="662">
        <f t="shared" si="21"/>
        <v>0.1165934437309902</v>
      </c>
      <c r="BA58" s="649">
        <f t="shared" si="21"/>
        <v>0.10246340592645484</v>
      </c>
      <c r="BB58" s="649">
        <f t="shared" si="21"/>
        <v>9.8104423012969733E-2</v>
      </c>
      <c r="BC58" s="649">
        <f t="shared" si="21"/>
        <v>9.3434343434343439E-2</v>
      </c>
      <c r="BD58" s="659">
        <f t="shared" si="21"/>
        <v>8.8637715645449131E-2</v>
      </c>
    </row>
    <row r="59" spans="1:67" s="56" customFormat="1" ht="14.25" customHeight="1">
      <c r="A59" s="208"/>
      <c r="B59" s="48"/>
      <c r="C59" s="48"/>
      <c r="D59" s="40"/>
      <c r="E59" s="40"/>
      <c r="F59" s="40"/>
      <c r="G59" s="40"/>
      <c r="H59" s="40"/>
      <c r="I59" s="40"/>
      <c r="J59" s="40"/>
      <c r="K59" s="5"/>
      <c r="L59" s="5"/>
      <c r="M59" s="5"/>
      <c r="N59" s="5"/>
      <c r="O59" s="5"/>
      <c r="P59" s="5"/>
      <c r="Q59" s="5"/>
      <c r="R59" s="5"/>
      <c r="S59" s="5"/>
      <c r="T59" s="86"/>
      <c r="U59" s="102"/>
      <c r="V59" s="218"/>
      <c r="AM59" s="122"/>
      <c r="AN59" s="685" t="str">
        <f>Y4</f>
        <v>Selected LA- (none)</v>
      </c>
      <c r="AO59" s="681" t="e">
        <f>VLOOKUP($X4,$B$11:$O$30,AO$34,FALSE)</f>
        <v>#N/A</v>
      </c>
      <c r="AP59" s="682" t="e">
        <f>VLOOKUP($X4,$B$11:$O$30,AP$34,FALSE)</f>
        <v>#N/A</v>
      </c>
      <c r="AQ59" s="682" t="e">
        <f>VLOOKUP($X4,$B$11:$O$30,AQ$34,FALSE)</f>
        <v>#N/A</v>
      </c>
      <c r="AR59" s="682" t="e">
        <f>VLOOKUP($X4,$B$11:$O$30,AR$34,FALSE)</f>
        <v>#N/A</v>
      </c>
      <c r="AS59" s="682" t="e">
        <f>VLOOKUP($X4,$B$11:$O$30,AS$34,FALSE)</f>
        <v>#N/A</v>
      </c>
      <c r="AT59" s="686" t="e">
        <f>VLOOKUP(X4,IDACI!$B$9:$C$29,2,FALSE)</f>
        <v>#N/A</v>
      </c>
      <c r="AU59" s="663" t="e">
        <f>VLOOKUP($X$4,$B$142:$H$164,AU$34,FALSE)</f>
        <v>#N/A</v>
      </c>
      <c r="AV59" s="664" t="e">
        <f>VLOOKUP($X$4,$B$142:$H$164,AV$34,FALSE)</f>
        <v>#N/A</v>
      </c>
      <c r="AW59" s="664" t="e">
        <f>VLOOKUP($X$4,$B$142:$H$164,AW$34,FALSE)</f>
        <v>#N/A</v>
      </c>
      <c r="AX59" s="664" t="e">
        <f>VLOOKUP($X$4,$B$142:$H$164,AX$34,FALSE)</f>
        <v>#N/A</v>
      </c>
      <c r="AY59" s="661" t="e">
        <f>VLOOKUP($X$4,$B$142:$H$164,AY$34,FALSE)</f>
        <v>#N/A</v>
      </c>
      <c r="AZ59" s="663" t="e">
        <f>VLOOKUP($X$4,$B$177:$H$197,AZ$34,FALSE)</f>
        <v>#N/A</v>
      </c>
      <c r="BA59" s="664" t="e">
        <f>VLOOKUP($X$4,$B$177:$H$197,BA$34,FALSE)</f>
        <v>#N/A</v>
      </c>
      <c r="BB59" s="664" t="e">
        <f>VLOOKUP($X$4,$B$177:$H$197,BB$34,FALSE)</f>
        <v>#N/A</v>
      </c>
      <c r="BC59" s="664" t="e">
        <f>VLOOKUP($X$4,$B$177:$H$197,BC$34,FALSE)</f>
        <v>#N/A</v>
      </c>
      <c r="BD59" s="661" t="e">
        <f>VLOOKUP($X$4,$B$177:$H$197,BD$34,FALSE)</f>
        <v>#N/A</v>
      </c>
    </row>
    <row r="60" spans="1:67" s="56" customFormat="1" ht="14.25" customHeight="1">
      <c r="A60" s="208"/>
      <c r="B60" s="48"/>
      <c r="C60" s="48"/>
      <c r="D60" s="40"/>
      <c r="E60" s="40"/>
      <c r="F60" s="40"/>
      <c r="G60" s="40"/>
      <c r="H60" s="40"/>
      <c r="I60" s="40"/>
      <c r="J60" s="11"/>
      <c r="K60" s="5"/>
      <c r="L60" s="5"/>
      <c r="M60" s="5"/>
      <c r="N60" s="5"/>
      <c r="O60" s="5"/>
      <c r="P60" s="5"/>
      <c r="Q60" s="5"/>
      <c r="R60" s="5"/>
      <c r="S60" s="5"/>
      <c r="T60" s="86"/>
      <c r="U60" s="102"/>
      <c r="V60" s="218"/>
      <c r="AM60" s="122"/>
    </row>
    <row r="61" spans="1:67" s="56" customFormat="1" ht="14.25" customHeight="1">
      <c r="A61" s="208"/>
      <c r="B61" s="48"/>
      <c r="C61" s="48"/>
      <c r="D61" s="40"/>
      <c r="E61" s="40"/>
      <c r="F61" s="40"/>
      <c r="G61" s="40"/>
      <c r="H61" s="40"/>
      <c r="I61" s="40"/>
      <c r="J61" s="11"/>
      <c r="K61" s="1307"/>
      <c r="L61" s="1882" t="s">
        <v>69</v>
      </c>
      <c r="M61" s="1882"/>
      <c r="N61" s="1882"/>
      <c r="O61" s="1171"/>
      <c r="P61" s="1753" t="s">
        <v>93</v>
      </c>
      <c r="Q61" s="1753"/>
      <c r="R61" s="1753"/>
      <c r="S61" s="1753"/>
      <c r="T61" s="86"/>
      <c r="U61" s="102"/>
      <c r="V61" s="218"/>
      <c r="AM61" s="122"/>
    </row>
    <row r="62" spans="1:67" s="56" customFormat="1" ht="14.25" customHeight="1">
      <c r="A62" s="208"/>
      <c r="B62" s="48"/>
      <c r="C62" s="48"/>
      <c r="D62" s="40"/>
      <c r="E62" s="40"/>
      <c r="F62" s="40"/>
      <c r="G62" s="40"/>
      <c r="H62" s="40"/>
      <c r="I62" s="40"/>
      <c r="J62" s="11"/>
      <c r="K62" s="1307"/>
      <c r="L62" s="1753" t="str">
        <f>Y4</f>
        <v>Selected LA- (none)</v>
      </c>
      <c r="M62" s="1753"/>
      <c r="N62" s="1753"/>
      <c r="O62" s="1753"/>
      <c r="P62" s="1753"/>
      <c r="Q62" s="1753"/>
      <c r="R62" s="1753"/>
      <c r="S62" s="1753"/>
      <c r="T62" s="86"/>
      <c r="U62" s="102"/>
      <c r="V62" s="114"/>
      <c r="AM62" s="122"/>
    </row>
    <row r="63" spans="1:67" s="56" customFormat="1" ht="42" customHeight="1">
      <c r="A63" s="208"/>
      <c r="B63" s="48"/>
      <c r="C63" s="48"/>
      <c r="D63" s="40"/>
      <c r="E63" s="40"/>
      <c r="F63" s="40"/>
      <c r="G63" s="40"/>
      <c r="H63" s="40"/>
      <c r="I63" s="40"/>
      <c r="J63" s="11"/>
      <c r="K63" s="5"/>
      <c r="L63" s="5"/>
      <c r="M63" s="5"/>
      <c r="N63" s="5"/>
      <c r="O63" s="5"/>
      <c r="P63" s="5"/>
      <c r="Q63" s="5"/>
      <c r="R63" s="5"/>
      <c r="S63" s="5"/>
      <c r="T63" s="86"/>
      <c r="U63" s="102"/>
      <c r="V63" s="114"/>
      <c r="AM63" s="122"/>
    </row>
    <row r="64" spans="1:67" s="61" customFormat="1" ht="42" customHeight="1">
      <c r="A64" s="217"/>
      <c r="B64" s="78"/>
      <c r="C64" s="78"/>
      <c r="D64" s="78"/>
      <c r="E64" s="78"/>
      <c r="F64" s="78"/>
      <c r="G64" s="78"/>
      <c r="H64" s="78"/>
      <c r="I64" s="78"/>
      <c r="J64" s="11"/>
      <c r="K64" s="59"/>
      <c r="L64" s="59"/>
      <c r="M64" s="59"/>
      <c r="N64" s="59"/>
      <c r="O64" s="59"/>
      <c r="P64" s="59"/>
      <c r="Q64" s="59"/>
      <c r="R64" s="59"/>
      <c r="S64" s="59"/>
      <c r="T64" s="89"/>
      <c r="U64" s="103"/>
      <c r="V64" s="115"/>
      <c r="AB64" s="141"/>
      <c r="AC64" s="141"/>
      <c r="AD64" s="141"/>
      <c r="AE64" s="141"/>
      <c r="AF64" s="141"/>
      <c r="AG64" s="141"/>
      <c r="AH64" s="141"/>
      <c r="AI64" s="141"/>
      <c r="AM64" s="121"/>
    </row>
    <row r="65" spans="1:44" s="61" customFormat="1" ht="42.75" customHeight="1">
      <c r="A65" s="217"/>
      <c r="B65" s="78"/>
      <c r="C65" s="78"/>
      <c r="D65" s="78"/>
      <c r="E65" s="78"/>
      <c r="F65" s="78"/>
      <c r="G65" s="78"/>
      <c r="H65" s="78"/>
      <c r="I65" s="78"/>
      <c r="J65" s="11"/>
      <c r="K65" s="59"/>
      <c r="L65" s="59"/>
      <c r="M65" s="59"/>
      <c r="N65" s="59"/>
      <c r="O65" s="59"/>
      <c r="P65" s="59"/>
      <c r="Q65" s="59"/>
      <c r="R65" s="59"/>
      <c r="S65" s="59"/>
      <c r="T65" s="89"/>
      <c r="U65" s="121"/>
      <c r="V65" s="115"/>
      <c r="AB65" s="141"/>
      <c r="AC65" s="141"/>
      <c r="AD65" s="141"/>
      <c r="AE65" s="141"/>
      <c r="AF65" s="141"/>
      <c r="AG65" s="141"/>
      <c r="AH65" s="141"/>
      <c r="AI65" s="141"/>
      <c r="AM65" s="121"/>
    </row>
    <row r="66" spans="1:44" ht="7.5" customHeight="1">
      <c r="A66" s="208"/>
      <c r="B66" s="12"/>
      <c r="C66" s="12"/>
      <c r="D66" s="11"/>
      <c r="E66" s="11"/>
      <c r="F66" s="11"/>
      <c r="G66" s="11"/>
      <c r="H66" s="11"/>
      <c r="I66" s="11"/>
      <c r="J66" s="11"/>
      <c r="K66" s="13"/>
      <c r="L66" s="13"/>
      <c r="M66" s="13"/>
      <c r="N66" s="13"/>
      <c r="O66" s="13"/>
      <c r="P66" s="13"/>
      <c r="Q66" s="13"/>
      <c r="R66" s="13"/>
      <c r="S66" s="13"/>
      <c r="T66" s="606"/>
      <c r="U66" s="185"/>
      <c r="V66" s="115"/>
      <c r="W66" s="61"/>
      <c r="X66" s="61"/>
      <c r="Y66" s="61"/>
      <c r="Z66" s="61"/>
      <c r="AA66" s="61"/>
      <c r="AB66" s="141"/>
      <c r="AC66" s="141"/>
      <c r="AD66" s="141"/>
      <c r="AE66" s="141"/>
      <c r="AF66" s="141"/>
      <c r="AG66" s="141"/>
      <c r="AH66" s="141"/>
      <c r="AI66" s="141"/>
      <c r="AJ66" s="61"/>
      <c r="AK66" s="61"/>
      <c r="AL66" s="61"/>
      <c r="AM66" s="121"/>
    </row>
    <row r="67" spans="1:44" ht="15" customHeight="1">
      <c r="A67" s="1758"/>
      <c r="B67" s="1751"/>
      <c r="C67" s="1751"/>
      <c r="D67" s="1751"/>
      <c r="E67" s="1751"/>
      <c r="F67" s="1751"/>
      <c r="G67" s="1751"/>
      <c r="H67" s="1751"/>
      <c r="I67" s="1751"/>
      <c r="J67" s="1751"/>
      <c r="K67" s="1751"/>
      <c r="L67" s="1751"/>
      <c r="M67" s="1751"/>
      <c r="N67" s="1751"/>
      <c r="O67" s="1751"/>
      <c r="P67" s="1751"/>
      <c r="Q67" s="1751"/>
      <c r="R67" s="1751"/>
      <c r="S67" s="1751"/>
      <c r="T67" s="1752"/>
      <c r="U67" s="185"/>
      <c r="V67" s="115"/>
      <c r="W67" s="61"/>
      <c r="X67" s="61"/>
      <c r="Y67" s="61"/>
      <c r="Z67" s="61"/>
      <c r="AA67" s="61"/>
      <c r="AB67" s="141"/>
      <c r="AC67" s="141"/>
      <c r="AD67" s="141"/>
      <c r="AE67" s="141"/>
      <c r="AF67" s="141"/>
      <c r="AG67" s="141"/>
      <c r="AH67" s="141"/>
      <c r="AI67" s="141"/>
      <c r="AJ67" s="61"/>
      <c r="AK67" s="61"/>
      <c r="AL67" s="61"/>
      <c r="AM67" s="121"/>
    </row>
    <row r="68" spans="1:44" ht="11.25" customHeight="1">
      <c r="A68" s="1744"/>
      <c r="B68" s="1742"/>
      <c r="C68" s="1742"/>
      <c r="D68" s="1742"/>
      <c r="E68" s="1742"/>
      <c r="F68" s="1742"/>
      <c r="G68" s="1742"/>
      <c r="H68" s="1742"/>
      <c r="I68" s="1742"/>
      <c r="J68" s="1742"/>
      <c r="K68" s="1742"/>
      <c r="L68" s="1742"/>
      <c r="M68" s="1742"/>
      <c r="N68" s="1742"/>
      <c r="O68" s="1742"/>
      <c r="P68" s="1742"/>
      <c r="Q68" s="1742"/>
      <c r="R68" s="1947"/>
      <c r="S68" s="1742"/>
      <c r="T68" s="1810"/>
      <c r="U68" s="185"/>
      <c r="V68" s="115"/>
      <c r="W68" s="61"/>
      <c r="X68" s="61"/>
      <c r="Y68" s="61"/>
      <c r="Z68" s="61"/>
      <c r="AA68" s="61"/>
      <c r="AB68" s="141"/>
      <c r="AC68" s="141"/>
      <c r="AD68" s="141"/>
      <c r="AE68" s="141"/>
      <c r="AF68" s="141"/>
      <c r="AG68" s="141"/>
      <c r="AH68" s="141"/>
      <c r="AI68" s="141"/>
      <c r="AJ68" s="61"/>
      <c r="AK68" s="61"/>
      <c r="AL68" s="61"/>
      <c r="AM68" s="121"/>
    </row>
    <row r="69" spans="1:44" ht="18.75" customHeight="1">
      <c r="A69" s="81"/>
      <c r="B69" s="82"/>
      <c r="C69" s="82"/>
      <c r="D69" s="82"/>
      <c r="E69" s="82"/>
      <c r="F69" s="82"/>
      <c r="G69" s="82"/>
      <c r="H69" s="82"/>
      <c r="I69" s="82"/>
      <c r="J69" s="82"/>
      <c r="K69" s="82"/>
      <c r="L69" s="82"/>
      <c r="M69" s="82"/>
      <c r="N69" s="82"/>
      <c r="O69" s="82"/>
      <c r="P69" s="82"/>
      <c r="Q69" s="82"/>
      <c r="R69" s="82"/>
      <c r="S69" s="82"/>
      <c r="T69" s="84"/>
      <c r="U69" s="103"/>
      <c r="V69" s="115"/>
      <c r="W69" s="61"/>
      <c r="X69" s="61"/>
      <c r="Y69" s="61"/>
      <c r="Z69" s="61"/>
      <c r="AA69" s="61"/>
      <c r="AB69" s="141"/>
      <c r="AC69" s="141"/>
      <c r="AD69" s="141"/>
      <c r="AE69" s="141"/>
      <c r="AF69" s="141"/>
      <c r="AG69" s="141"/>
      <c r="AH69" s="141"/>
      <c r="AI69" s="141"/>
      <c r="AJ69" s="61"/>
      <c r="AK69" s="61"/>
      <c r="AL69" s="61"/>
      <c r="AM69" s="121"/>
    </row>
    <row r="70" spans="1:44" ht="18.75" customHeight="1">
      <c r="A70" s="208"/>
      <c r="B70" s="888" t="s">
        <v>677</v>
      </c>
      <c r="C70" s="5"/>
      <c r="D70" s="5"/>
      <c r="E70" s="5"/>
      <c r="F70" s="5"/>
      <c r="G70" s="5"/>
      <c r="H70" s="5"/>
      <c r="I70" s="5"/>
      <c r="J70" s="5"/>
      <c r="K70" s="5"/>
      <c r="L70" s="5"/>
      <c r="M70" s="5"/>
      <c r="N70" s="5"/>
      <c r="O70" s="5"/>
      <c r="P70" s="5"/>
      <c r="Q70" s="5"/>
      <c r="R70" s="5"/>
      <c r="S70" s="5"/>
      <c r="T70" s="86"/>
      <c r="U70" s="103"/>
      <c r="V70" s="115"/>
      <c r="W70" s="61"/>
      <c r="X70" s="61"/>
      <c r="Y70" s="61"/>
      <c r="Z70" s="61"/>
      <c r="AA70" s="61"/>
      <c r="AB70" s="141"/>
      <c r="AC70" s="141"/>
      <c r="AD70" s="141"/>
      <c r="AE70" s="141"/>
      <c r="AF70" s="141"/>
      <c r="AG70" s="141"/>
      <c r="AH70" s="141"/>
      <c r="AI70" s="141"/>
      <c r="AJ70" s="61"/>
      <c r="AK70" s="61"/>
      <c r="AL70" s="61"/>
      <c r="AM70" s="121"/>
    </row>
    <row r="71" spans="1:44" ht="18.75" customHeight="1">
      <c r="A71" s="286"/>
      <c r="B71" s="329"/>
      <c r="C71" s="329"/>
      <c r="D71" s="329"/>
      <c r="E71" s="329"/>
      <c r="F71" s="329"/>
      <c r="G71" s="329"/>
      <c r="H71" s="329"/>
      <c r="I71" s="329"/>
      <c r="J71" s="329"/>
      <c r="K71" s="329"/>
      <c r="L71" s="329"/>
      <c r="M71" s="329"/>
      <c r="N71" s="329"/>
      <c r="O71" s="329"/>
      <c r="P71" s="329"/>
      <c r="Q71" s="329"/>
      <c r="R71" s="1252"/>
      <c r="S71" s="329"/>
      <c r="T71" s="599"/>
      <c r="U71" s="122"/>
      <c r="V71" s="114"/>
      <c r="AM71" s="119"/>
    </row>
    <row r="72" spans="1:44" ht="11.25" customHeight="1">
      <c r="A72" s="81"/>
      <c r="C72" s="1297"/>
      <c r="D72" s="1297"/>
      <c r="E72" s="1297"/>
      <c r="F72" s="1297"/>
      <c r="G72" s="1297"/>
      <c r="H72" s="1297"/>
      <c r="I72" s="1297"/>
      <c r="J72" s="1297"/>
      <c r="K72" s="1297"/>
      <c r="L72" s="1297"/>
      <c r="M72" s="1297"/>
      <c r="N72" s="1297"/>
      <c r="O72" s="1297"/>
      <c r="P72" s="1297"/>
      <c r="Q72" s="1297"/>
      <c r="R72" s="1297"/>
      <c r="S72" s="1297"/>
      <c r="T72" s="84"/>
      <c r="U72" s="102"/>
      <c r="V72" s="114"/>
      <c r="W72" s="52"/>
      <c r="X72" s="52"/>
      <c r="Y72" s="52"/>
      <c r="AM72" s="119"/>
    </row>
    <row r="73" spans="1:44" ht="18.75" customHeight="1">
      <c r="A73" s="208"/>
      <c r="B73" s="1920" t="s">
        <v>1282</v>
      </c>
      <c r="C73" s="1920"/>
      <c r="D73" s="1920"/>
      <c r="E73" s="1920"/>
      <c r="F73" s="1920"/>
      <c r="G73" s="1920"/>
      <c r="H73" s="1920"/>
      <c r="I73" s="1920"/>
      <c r="J73" s="1920"/>
      <c r="K73" s="1920"/>
      <c r="L73" s="1920"/>
      <c r="M73" s="1920"/>
      <c r="N73" s="1920"/>
      <c r="O73" s="1920"/>
      <c r="P73" s="1920"/>
      <c r="Q73" s="1920"/>
      <c r="R73" s="1920"/>
      <c r="S73" s="1920"/>
      <c r="T73" s="604"/>
      <c r="U73" s="102"/>
      <c r="V73" s="114"/>
      <c r="W73" s="52"/>
      <c r="X73" s="52"/>
      <c r="Y73" s="52"/>
      <c r="Z73" s="52"/>
      <c r="AA73" s="52"/>
      <c r="AB73" s="52"/>
      <c r="AC73" s="52"/>
      <c r="AD73" s="52"/>
      <c r="AE73" s="52"/>
      <c r="AF73" s="52"/>
      <c r="AG73" s="52"/>
      <c r="AH73" s="52"/>
      <c r="AI73" s="52"/>
      <c r="AM73" s="119"/>
      <c r="AN73" s="52" t="str">
        <f>CONCATENATE($J$7,"in Number of "&amp;$B67)</f>
        <v xml:space="preserve">in Number of </v>
      </c>
    </row>
    <row r="74" spans="1:44" ht="18.75" customHeight="1">
      <c r="A74" s="208"/>
      <c r="B74" s="1920"/>
      <c r="C74" s="1920"/>
      <c r="D74" s="1920"/>
      <c r="E74" s="1920"/>
      <c r="F74" s="1920"/>
      <c r="G74" s="1920"/>
      <c r="H74" s="1920"/>
      <c r="I74" s="1920"/>
      <c r="J74" s="1920"/>
      <c r="K74" s="1920"/>
      <c r="L74" s="1920"/>
      <c r="M74" s="1920"/>
      <c r="N74" s="1920"/>
      <c r="O74" s="1920"/>
      <c r="P74" s="1920"/>
      <c r="Q74" s="1920"/>
      <c r="R74" s="1920"/>
      <c r="S74" s="1920"/>
      <c r="T74" s="604"/>
      <c r="U74" s="102"/>
      <c r="V74" s="114"/>
      <c r="W74" s="52"/>
      <c r="Z74" s="1959" t="s">
        <v>151</v>
      </c>
      <c r="AA74" s="1959"/>
      <c r="AB74" s="1959"/>
      <c r="AC74" s="1959"/>
      <c r="AD74" s="1959"/>
      <c r="AE74" s="172" t="s">
        <v>675</v>
      </c>
      <c r="AJ74" s="56"/>
      <c r="AK74" s="56"/>
      <c r="AM74" s="119"/>
    </row>
    <row r="75" spans="1:44" ht="13.5" customHeight="1">
      <c r="A75" s="208"/>
      <c r="B75" s="1749" t="s">
        <v>177</v>
      </c>
      <c r="C75" s="896"/>
      <c r="D75" s="1966" t="s">
        <v>166</v>
      </c>
      <c r="E75" s="1967"/>
      <c r="F75" s="1967"/>
      <c r="G75" s="1967"/>
      <c r="H75" s="1968"/>
      <c r="I75" s="1972" t="s">
        <v>1092</v>
      </c>
      <c r="J75" s="44"/>
      <c r="K75" s="1966" t="s">
        <v>886</v>
      </c>
      <c r="L75" s="1967"/>
      <c r="M75" s="1967"/>
      <c r="N75" s="1967"/>
      <c r="O75" s="1967"/>
      <c r="P75" s="1967"/>
      <c r="Q75" s="1968"/>
      <c r="R75" s="1974" t="str">
        <f>"Average "&amp;ReportData!$C$3&amp;" Change (Days)"</f>
        <v>Average Annual Change (Days)</v>
      </c>
      <c r="S75" s="40"/>
      <c r="T75" s="604"/>
      <c r="U75" s="102"/>
      <c r="V75" s="114"/>
      <c r="W75" s="52"/>
      <c r="X75" s="1941" t="s">
        <v>671</v>
      </c>
      <c r="Y75" s="1943"/>
      <c r="Z75" s="355"/>
      <c r="AA75" s="307"/>
      <c r="AB75" s="307"/>
      <c r="AC75" s="307"/>
      <c r="AD75" s="307"/>
      <c r="AE75" s="52"/>
      <c r="AF75" s="52"/>
      <c r="AG75" s="52"/>
      <c r="AH75" s="52"/>
      <c r="AI75" s="52"/>
      <c r="AJ75" s="154" t="s">
        <v>88</v>
      </c>
      <c r="AK75" s="141"/>
      <c r="AL75" s="141"/>
      <c r="AM75" s="119"/>
      <c r="AN75" s="350"/>
      <c r="AO75" s="350"/>
      <c r="AP75" s="350"/>
      <c r="AQ75" s="350"/>
      <c r="AR75" s="350"/>
    </row>
    <row r="76" spans="1:44" s="61" customFormat="1" ht="13.5" customHeight="1">
      <c r="A76" s="217"/>
      <c r="B76" s="1749"/>
      <c r="C76" s="896"/>
      <c r="D76" s="1770" t="str">
        <f>ReportData!$D$27</f>
        <v>2019/20</v>
      </c>
      <c r="E76" s="1770" t="str">
        <f>ReportData!$E$27</f>
        <v>2020/21</v>
      </c>
      <c r="F76" s="1770" t="str">
        <f>ReportData!$F$27</f>
        <v>2021/22</v>
      </c>
      <c r="G76" s="1770" t="str">
        <f>ReportData!$G$27</f>
        <v>2022/23</v>
      </c>
      <c r="H76" s="1781" t="str">
        <f>ReportData!$H$27</f>
        <v>2023/24</v>
      </c>
      <c r="I76" s="1972"/>
      <c r="J76" s="44"/>
      <c r="K76" s="1770" t="str">
        <f>ReportData!$D$27</f>
        <v>2019/20</v>
      </c>
      <c r="L76" s="1770" t="str">
        <f>ReportData!$E$27</f>
        <v>2020/21</v>
      </c>
      <c r="M76" s="1770" t="str">
        <f>ReportData!$F$27</f>
        <v>2021/22</v>
      </c>
      <c r="N76" s="1770" t="str">
        <f>ReportData!$G$27</f>
        <v>2022/23</v>
      </c>
      <c r="O76" s="1789" t="str">
        <f>ReportData!$H$27</f>
        <v>2023/24</v>
      </c>
      <c r="P76" s="1790"/>
      <c r="Q76" s="1977" t="str">
        <f>IF(ISNA(O78),"SE Rank "&amp;O76,"SE Rank "&amp;O78)</f>
        <v>SE Rank 2023/24</v>
      </c>
      <c r="R76" s="1975"/>
      <c r="S76" s="120"/>
      <c r="T76" s="605"/>
      <c r="U76" s="103"/>
      <c r="V76" s="115"/>
      <c r="W76" s="52"/>
      <c r="X76" s="1960" t="s">
        <v>73</v>
      </c>
      <c r="Y76" s="1963" t="s">
        <v>74</v>
      </c>
      <c r="Z76" s="355" t="str">
        <f>ReportData!$D$27</f>
        <v>2019/20</v>
      </c>
      <c r="AA76" s="307" t="str">
        <f>ReportData!$E$27</f>
        <v>2020/21</v>
      </c>
      <c r="AB76" s="307" t="str">
        <f>ReportData!$F$27</f>
        <v>2021/22</v>
      </c>
      <c r="AC76" s="307" t="str">
        <f>ReportData!$G$27</f>
        <v>2022/23</v>
      </c>
      <c r="AD76" s="307" t="str">
        <f>ReportData!$H$27</f>
        <v>2023/24</v>
      </c>
      <c r="AE76" s="307" t="str">
        <f>ReportData!$D$27</f>
        <v>2019/20</v>
      </c>
      <c r="AF76" s="307" t="str">
        <f>ReportData!$E$27</f>
        <v>2020/21</v>
      </c>
      <c r="AG76" s="307" t="str">
        <f>ReportData!$F$27</f>
        <v>2021/22</v>
      </c>
      <c r="AH76" s="307" t="str">
        <f>ReportData!$G$27</f>
        <v>2022/23</v>
      </c>
      <c r="AI76" s="307" t="str">
        <f>ReportData!$H$27</f>
        <v>2023/24</v>
      </c>
      <c r="AJ76" s="154"/>
      <c r="AK76" s="141"/>
      <c r="AL76" s="141"/>
      <c r="AM76" s="121"/>
      <c r="AN76" s="109"/>
      <c r="AO76" s="109"/>
      <c r="AP76" s="109"/>
      <c r="AQ76" s="109"/>
      <c r="AR76" s="109"/>
    </row>
    <row r="77" spans="1:44" s="61" customFormat="1" ht="9" customHeight="1">
      <c r="A77" s="217"/>
      <c r="B77" s="1749"/>
      <c r="C77" s="896"/>
      <c r="D77" s="1771"/>
      <c r="E77" s="1771"/>
      <c r="F77" s="1771"/>
      <c r="G77" s="1771"/>
      <c r="H77" s="1782"/>
      <c r="I77" s="1972"/>
      <c r="J77" s="44"/>
      <c r="K77" s="1771"/>
      <c r="L77" s="1771"/>
      <c r="M77" s="1771"/>
      <c r="N77" s="1771"/>
      <c r="O77" s="1791"/>
      <c r="P77" s="1792"/>
      <c r="Q77" s="1978"/>
      <c r="R77" s="1975"/>
      <c r="S77" s="120"/>
      <c r="T77" s="605"/>
      <c r="U77" s="103"/>
      <c r="V77" s="918"/>
      <c r="W77" s="52"/>
      <c r="X77" s="1961"/>
      <c r="Y77" s="1964"/>
      <c r="Z77" s="355"/>
      <c r="AA77" s="307"/>
      <c r="AB77" s="307"/>
      <c r="AC77" s="307"/>
      <c r="AD77" s="307"/>
      <c r="AE77" s="307"/>
      <c r="AF77" s="307"/>
      <c r="AG77" s="307"/>
      <c r="AH77" s="307"/>
      <c r="AI77" s="307"/>
      <c r="AJ77" s="154"/>
      <c r="AK77" s="141"/>
      <c r="AL77" s="141"/>
      <c r="AM77" s="121"/>
      <c r="AN77" s="109"/>
      <c r="AO77" s="109"/>
      <c r="AP77" s="109"/>
      <c r="AQ77" s="109"/>
      <c r="AR77" s="109"/>
    </row>
    <row r="78" spans="1:44" s="61" customFormat="1" ht="13.5" customHeight="1">
      <c r="A78" s="217"/>
      <c r="B78" s="1750"/>
      <c r="C78" s="896"/>
      <c r="D78" s="897" t="e">
        <f>ReportData!$D$28</f>
        <v>#N/A</v>
      </c>
      <c r="E78" s="897" t="e">
        <f>ReportData!$E$28</f>
        <v>#N/A</v>
      </c>
      <c r="F78" s="897" t="e">
        <f>ReportData!$F$28</f>
        <v>#N/A</v>
      </c>
      <c r="G78" s="897" t="e">
        <f>ReportData!$G$28</f>
        <v>#N/A</v>
      </c>
      <c r="H78" s="1196" t="e">
        <f>ReportData!$H$28</f>
        <v>#N/A</v>
      </c>
      <c r="I78" s="1972"/>
      <c r="J78" s="44"/>
      <c r="K78" s="897" t="e">
        <f>ReportData!$D$28</f>
        <v>#N/A</v>
      </c>
      <c r="L78" s="897" t="e">
        <f>ReportData!$E$28</f>
        <v>#N/A</v>
      </c>
      <c r="M78" s="897" t="e">
        <f>ReportData!$F$28</f>
        <v>#N/A</v>
      </c>
      <c r="N78" s="897" t="e">
        <f>ReportData!$G$28</f>
        <v>#N/A</v>
      </c>
      <c r="O78" s="1779" t="e">
        <f>ReportData!$H$28</f>
        <v>#N/A</v>
      </c>
      <c r="P78" s="1980"/>
      <c r="Q78" s="1979"/>
      <c r="R78" s="1976"/>
      <c r="S78" s="120"/>
      <c r="T78" s="605"/>
      <c r="U78" s="103"/>
      <c r="V78" s="115"/>
      <c r="W78" s="52"/>
      <c r="X78" s="1962"/>
      <c r="Y78" s="1965"/>
      <c r="Z78" s="355" t="e">
        <f>ReportData!$D$28</f>
        <v>#N/A</v>
      </c>
      <c r="AA78" s="307" t="e">
        <f>ReportData!$E$28</f>
        <v>#N/A</v>
      </c>
      <c r="AB78" s="307" t="e">
        <f>ReportData!$F$28</f>
        <v>#N/A</v>
      </c>
      <c r="AC78" s="307" t="e">
        <f>ReportData!$G$28</f>
        <v>#N/A</v>
      </c>
      <c r="AD78" s="307" t="e">
        <f>ReportData!$H$28</f>
        <v>#N/A</v>
      </c>
      <c r="AE78" s="307" t="e">
        <f>ReportData!$D$28</f>
        <v>#N/A</v>
      </c>
      <c r="AF78" s="307" t="e">
        <f>ReportData!$E$28</f>
        <v>#N/A</v>
      </c>
      <c r="AG78" s="307" t="e">
        <f>ReportData!$F$28</f>
        <v>#N/A</v>
      </c>
      <c r="AH78" s="307" t="e">
        <f>ReportData!$G$28</f>
        <v>#N/A</v>
      </c>
      <c r="AI78" s="307" t="e">
        <f>ReportData!$H$28</f>
        <v>#N/A</v>
      </c>
      <c r="AJ78" s="141"/>
      <c r="AK78" s="444">
        <v>14</v>
      </c>
      <c r="AL78" s="141"/>
      <c r="AM78" s="121"/>
      <c r="AN78" s="479" t="s">
        <v>598</v>
      </c>
      <c r="AO78" s="479" t="s">
        <v>599</v>
      </c>
      <c r="AP78" s="479" t="s">
        <v>600</v>
      </c>
      <c r="AQ78" s="479" t="s">
        <v>601</v>
      </c>
      <c r="AR78" s="479" t="s">
        <v>602</v>
      </c>
    </row>
    <row r="79" spans="1:44" s="61" customFormat="1" ht="15.75" customHeight="1">
      <c r="A79" s="1103">
        <f>VLOOKUP(B79,ReportData!$AQ$4:$AR$25,2,FALSE)</f>
        <v>0</v>
      </c>
      <c r="B79" s="885" t="s">
        <v>0</v>
      </c>
      <c r="C79" s="896"/>
      <c r="D79" s="891">
        <f>IF(Year1_Bracknell_Forest Year1_Adoption_LAC_Adopted="","",Year1_Bracknell_Forest Year1_Adoption_LAC_Adopted)</f>
        <v>6</v>
      </c>
      <c r="E79" s="891" t="str">
        <f>IF(Year2_Bracknell_Forest Year2_Adoption_LAC_Adopted="","",Year2_Bracknell_Forest Year2_Adoption_LAC_Adopted)</f>
        <v>x</v>
      </c>
      <c r="F79" s="891" t="str">
        <f>IF(Year3_Bracknell_Forest Year3_Adoption_LAC_Adopted="","",Year3_Bracknell_Forest Year3_Adoption_LAC_Adopted)</f>
        <v>c</v>
      </c>
      <c r="G79" s="891">
        <f>IF(Year4_Bracknell_Forest Year4_Adoption_LAC_Adopted="","",Year4_Bracknell_Forest Year4_Adoption_LAC_Adopted)</f>
        <v>6</v>
      </c>
      <c r="H79" s="1211" t="str">
        <f>IF(Year5_Bracknell_Forest Year5_Adoption_LAC_Adopted="","",Year5_Bracknell_Forest Year5_Adoption_LAC_Adopted)</f>
        <v>c</v>
      </c>
      <c r="I79" s="1301"/>
      <c r="J79" s="44"/>
      <c r="K79" s="891" t="str">
        <f>IF(Year1_Bracknell_Forest Year1_A10="","",Year1_Bracknell_Forest Year1_A10)</f>
        <v>c</v>
      </c>
      <c r="L79" s="891" t="str">
        <f>IF(Year2_Bracknell_Forest Year2_A10="","",Year2_Bracknell_Forest Year2_A10)</f>
        <v>c</v>
      </c>
      <c r="M79" s="891" t="str">
        <f>IF(Year3_Bracknell_Forest Year3_A10="","",Year3_Bracknell_Forest Year3_A10)</f>
        <v>c</v>
      </c>
      <c r="N79" s="891">
        <f>IF(Year4_Bracknell_Forest Year4_A10="","",Year4_Bracknell_Forest Year4_A10)</f>
        <v>899.83333333333337</v>
      </c>
      <c r="O79" s="1211">
        <f>IF(Year5_Bracknell_Forest Year5_A10="","",Year5_Bracknell_Forest Year5_A10)</f>
        <v>139.66666666666666</v>
      </c>
      <c r="P79" s="903">
        <f>IF(ISNUMBER(O79),O79,"")</f>
        <v>139.66666666666666</v>
      </c>
      <c r="Q79" s="1139">
        <f t="shared" ref="Q79:Q97" si="22">IF(ISNA(VLOOKUP(B79,$AJ$79:$AL$97,3,FALSE)),"--",IF(ISNUMBER(O79),VLOOKUP(B79,$AJ$79:$AL$97,3,FALSE),NA()))</f>
        <v>2</v>
      </c>
      <c r="R79" s="1308">
        <f t="shared" ref="R79:R99" si="23">AR79</f>
        <v>-760.16666666666674</v>
      </c>
      <c r="S79" s="120"/>
      <c r="T79" s="605"/>
      <c r="U79" s="103"/>
      <c r="V79" s="115"/>
      <c r="W79" s="265" t="str">
        <f t="shared" ref="W79:W98" si="24">B79</f>
        <v>Bracknell Forest</v>
      </c>
      <c r="X79" s="620">
        <f>IF(ISNUMBER(H79),IDACI!D9,0)</f>
        <v>0</v>
      </c>
      <c r="Y79" s="621">
        <f>IF(ISNUMBER(H79),IDACI!E9,0)</f>
        <v>0</v>
      </c>
      <c r="Z79" s="355" t="str">
        <f>IF(Year1_Bracknell_Forest Year1_Adoption_LAC_Adopted_days="","",Year1_Bracknell_Forest Year1_Adoption_LAC_Adopted_days)</f>
        <v>x</v>
      </c>
      <c r="AA79" s="248">
        <f>IF(Year2_Bracknell_Forest Year2_Adoption_LAC_Adopted_days="","",Year2_Bracknell_Forest Year2_Adoption_LAC_Adopted_days)</f>
        <v>460</v>
      </c>
      <c r="AB79" s="248" t="str">
        <f>IF(Year3_Bracknell_Forest Year3_Adoption_LAC_Adopted_days="","",Year3_Bracknell_Forest Year3_Adoption_LAC_Adopted_days)</f>
        <v>c</v>
      </c>
      <c r="AC79" s="248">
        <f>IF(Year4_Bracknell_Forest Year4_Adoption_LAC_Adopted_days="","",Year4_Bracknell_Forest Year4_Adoption_LAC_Adopted_days)</f>
        <v>5399</v>
      </c>
      <c r="AD79" s="248" t="str">
        <f>IF(Year5_Bracknell_Forest Year5_Adoption_LAC_Adopted_days="","",Year5_Bracknell_Forest Year5_Adoption_LAC_Adopted_days)</f>
        <v/>
      </c>
      <c r="AE79" s="652">
        <f t="shared" ref="AE79:AE99" si="25">IF(D79&gt;0,D79,0)</f>
        <v>6</v>
      </c>
      <c r="AF79" s="653" t="str">
        <f t="shared" ref="AF79:AF99" si="26">IF(E79&gt;0,E79,0)</f>
        <v>x</v>
      </c>
      <c r="AG79" s="653" t="str">
        <f t="shared" ref="AG79:AG99" si="27">IF(F79&gt;0,F79,0)</f>
        <v>c</v>
      </c>
      <c r="AH79" s="653">
        <f t="shared" ref="AH79:AH99" si="28">IF(G79&gt;0,G79,0)</f>
        <v>6</v>
      </c>
      <c r="AI79" s="653" t="str">
        <f t="shared" ref="AI79:AI99" si="29">IF(H79&gt;0,H79,0)</f>
        <v>c</v>
      </c>
      <c r="AJ79" s="623" t="s">
        <v>0</v>
      </c>
      <c r="AK79" s="70">
        <f t="shared" ref="AK79:AK97" si="30">IFERROR(VLOOKUP(AJ79,$B$79:$O$97,AK$78,FALSE),"")</f>
        <v>139.66666666666666</v>
      </c>
      <c r="AL79" s="156">
        <f>RANK(AK79,$AK$79:$AK$97,1)</f>
        <v>2</v>
      </c>
      <c r="AM79" s="121"/>
      <c r="AN79" s="531" t="str">
        <f>IF(ISERROR((L79-K79)),"x",(L79-K79))</f>
        <v>x</v>
      </c>
      <c r="AO79" s="531" t="str">
        <f t="shared" ref="AO79:AQ79" si="31">IF(ISERROR((M79-L79)),"x",(M79-L79))</f>
        <v>x</v>
      </c>
      <c r="AP79" s="531" t="str">
        <f t="shared" si="31"/>
        <v>x</v>
      </c>
      <c r="AQ79" s="531">
        <f t="shared" si="31"/>
        <v>-760.16666666666674</v>
      </c>
      <c r="AR79" s="1302">
        <f>AVERAGE(AN79:AQ79)</f>
        <v>-760.16666666666674</v>
      </c>
    </row>
    <row r="80" spans="1:44" s="61" customFormat="1" ht="15.75" customHeight="1">
      <c r="A80" s="1103">
        <f>VLOOKUP(B80,ReportData!$AQ$4:$AR$25,2,FALSE)</f>
        <v>0</v>
      </c>
      <c r="B80" s="885" t="s">
        <v>28</v>
      </c>
      <c r="C80" s="896"/>
      <c r="D80" s="891">
        <f>IF(Year1_Brighton_and_Hove Year1_Adoption_LAC_Adopted="","",Year1_Brighton_and_Hove Year1_Adoption_LAC_Adopted)</f>
        <v>18</v>
      </c>
      <c r="E80" s="891">
        <f>IF(Year2_Brighton_and_Hove Year2_Adoption_LAC_Adopted="","",Year2_Brighton_and_Hove Year2_Adoption_LAC_Adopted)</f>
        <v>11</v>
      </c>
      <c r="F80" s="891">
        <f>IF(Year3_Brighton_and_Hove Year3_Adoption_LAC_Adopted="","",Year3_Brighton_and_Hove Year3_Adoption_LAC_Adopted)</f>
        <v>8</v>
      </c>
      <c r="G80" s="891">
        <f>IF(Year4_Brighton_and_Hove Year4_Adoption_LAC_Adopted="","",Year4_Brighton_and_Hove Year4_Adoption_LAC_Adopted)</f>
        <v>11</v>
      </c>
      <c r="H80" s="1211">
        <f>IF(Year5_Brighton_and_Hove Year5_Adoption_LAC_Adopted="","",Year5_Brighton_and_Hove Year5_Adoption_LAC_Adopted)</f>
        <v>22</v>
      </c>
      <c r="I80" s="1301"/>
      <c r="J80" s="44"/>
      <c r="K80" s="891">
        <f>IF(Year1_Brighton_and_Hove Year1_A10="","",Year1_Brighton_and_Hove Year1_A10)</f>
        <v>410</v>
      </c>
      <c r="L80" s="891" t="str">
        <f>IF(Year2_Brighton_and_Hove Year2_A10="","",Year2_Brighton_and_Hove Year2_A10)</f>
        <v>c</v>
      </c>
      <c r="M80" s="891" t="str">
        <f>IF(Year3_Brighton_and_Hove Year3_A10="","",Year3_Brighton_and_Hove Year3_A10)</f>
        <v>c</v>
      </c>
      <c r="N80" s="891">
        <f>IF(Year4_Brighton_and_Hove Year4_A10="","",Year4_Brighton_and_Hove Year4_A10)</f>
        <v>632.72727272727275</v>
      </c>
      <c r="O80" s="1211">
        <f>IF(Year5_Brighton_and_Hove Year5_A10="","",Year5_Brighton_and_Hove Year5_A10)</f>
        <v>724.68181818181813</v>
      </c>
      <c r="P80" s="903">
        <f t="shared" ref="P80:P93" si="32">IF(ISNUMBER(O80),O80,"")</f>
        <v>724.68181818181813</v>
      </c>
      <c r="Q80" s="1139">
        <f t="shared" si="22"/>
        <v>19</v>
      </c>
      <c r="R80" s="1309">
        <f t="shared" si="23"/>
        <v>91.954545454545382</v>
      </c>
      <c r="S80" s="120"/>
      <c r="T80" s="605"/>
      <c r="U80" s="103"/>
      <c r="V80" s="115"/>
      <c r="W80" s="265" t="str">
        <f t="shared" si="24"/>
        <v>Brighton &amp; Hove</v>
      </c>
      <c r="X80" s="620">
        <f>IF(ISNUMBER(H80),IDACI!D10,0)</f>
        <v>45576</v>
      </c>
      <c r="Y80" s="621">
        <f>IF(ISNUMBER(H80),IDACI!E10,0)</f>
        <v>6973.1279999999997</v>
      </c>
      <c r="Z80" s="355">
        <f>IF(Year1_Brighton_and_Hove Year1_Adoption_LAC_Adopted_days="","",Year1_Brighton_and_Hove Year1_Adoption_LAC_Adopted_days)</f>
        <v>7380</v>
      </c>
      <c r="AA80" s="248">
        <f>IF(Year2_Brighton_and_Hove Year2_Adoption_LAC_Adopted_days="","",Year2_Brighton_and_Hove Year2_Adoption_LAC_Adopted_days)</f>
        <v>3092</v>
      </c>
      <c r="AB80" s="248">
        <f>IF(Year3_Brighton_and_Hove Year3_Adoption_LAC_Adopted_days="","",Year3_Brighton_and_Hove Year3_Adoption_LAC_Adopted_days)</f>
        <v>0</v>
      </c>
      <c r="AC80" s="248">
        <f>IF(Year4_Brighton_and_Hove Year4_Adoption_LAC_Adopted_days="","",Year4_Brighton_and_Hove Year4_Adoption_LAC_Adopted_days)</f>
        <v>6960</v>
      </c>
      <c r="AD80" s="248" t="str">
        <f>IF(Year5_Brighton_and_Hove Year5_Adoption_LAC_Adopted_days="","",Year5_Brighton_and_Hove Year5_Adoption_LAC_Adopted_days)</f>
        <v/>
      </c>
      <c r="AE80" s="687">
        <f t="shared" si="25"/>
        <v>18</v>
      </c>
      <c r="AF80" s="443">
        <f t="shared" si="26"/>
        <v>11</v>
      </c>
      <c r="AG80" s="443">
        <f t="shared" si="27"/>
        <v>8</v>
      </c>
      <c r="AH80" s="443">
        <f t="shared" si="28"/>
        <v>11</v>
      </c>
      <c r="AI80" s="443">
        <f t="shared" si="29"/>
        <v>22</v>
      </c>
      <c r="AJ80" s="623" t="s">
        <v>28</v>
      </c>
      <c r="AK80" s="70">
        <f t="shared" si="30"/>
        <v>724.68181818181813</v>
      </c>
      <c r="AL80" s="156">
        <f>RANK(AK80,$AK$79:$AK$97,1)</f>
        <v>19</v>
      </c>
      <c r="AM80" s="121"/>
      <c r="AN80" s="531" t="str">
        <f t="shared" ref="AN80:AN98" si="33">IF(ISERROR((L80-K80)),"x",(L80-K80))</f>
        <v>x</v>
      </c>
      <c r="AO80" s="531" t="str">
        <f t="shared" ref="AO80:AO98" si="34">IF(ISERROR((M80-L80)),"x",(M80-L80))</f>
        <v>x</v>
      </c>
      <c r="AP80" s="531" t="str">
        <f t="shared" ref="AP80:AP98" si="35">IF(ISERROR((N80-M80)),"x",(N80-M80))</f>
        <v>x</v>
      </c>
      <c r="AQ80" s="531">
        <f t="shared" ref="AQ80:AQ98" si="36">IF(ISERROR((O80-N80)),"x",(O80-N80))</f>
        <v>91.954545454545382</v>
      </c>
      <c r="AR80" s="1302">
        <f t="shared" ref="AR80:AR93" si="37">AVERAGE(AN80:AQ80)</f>
        <v>91.954545454545382</v>
      </c>
    </row>
    <row r="81" spans="1:47" s="61" customFormat="1" ht="15.75" customHeight="1">
      <c r="A81" s="1103">
        <f>VLOOKUP(B81,ReportData!$AQ$4:$AR$25,2,FALSE)</f>
        <v>0</v>
      </c>
      <c r="B81" s="885" t="s">
        <v>8</v>
      </c>
      <c r="C81" s="896"/>
      <c r="D81" s="891">
        <f>IF(Year1_Buckinghamshire Year1_Adoption_LAC_Adopted="","",Year1_Buckinghamshire Year1_Adoption_LAC_Adopted)</f>
        <v>23</v>
      </c>
      <c r="E81" s="891">
        <f>IF(Year2_Buckinghamshire Year2_Adoption_LAC_Adopted="","",Year2_Buckinghamshire Year2_Adoption_LAC_Adopted)</f>
        <v>26</v>
      </c>
      <c r="F81" s="891">
        <f>IF(Year3_Buckinghamshire Year3_Adoption_LAC_Adopted="","",Year3_Buckinghamshire Year3_Adoption_LAC_Adopted)</f>
        <v>23</v>
      </c>
      <c r="G81" s="891">
        <f>IF(Year4_Buckinghamshire Year4_Adoption_LAC_Adopted="","",Year4_Buckinghamshire Year4_Adoption_LAC_Adopted)</f>
        <v>16</v>
      </c>
      <c r="H81" s="1211">
        <f>IF(Year5_Buckinghamshire Year5_Adoption_LAC_Adopted="","",Year5_Buckinghamshire Year5_Adoption_LAC_Adopted)</f>
        <v>12</v>
      </c>
      <c r="I81" s="1301"/>
      <c r="J81" s="44"/>
      <c r="K81" s="891">
        <f>IF(Year1_Buckinghamshire Year1_A10="","",Year1_Buckinghamshire Year1_A10)</f>
        <v>442.60869565217394</v>
      </c>
      <c r="L81" s="891">
        <f>IF(Year2_Buckinghamshire Year2_A10="","",Year2_Buckinghamshire Year2_A10)</f>
        <v>281.30769230769198</v>
      </c>
      <c r="M81" s="891">
        <f>IF(Year3_Buckinghamshire Year3_A10="","",Year3_Buckinghamshire Year3_A10)</f>
        <v>310.17391304347825</v>
      </c>
      <c r="N81" s="891">
        <f>IF(Year4_Buckinghamshire Year4_A10="","",Year4_Buckinghamshire Year4_A10)</f>
        <v>419.1875</v>
      </c>
      <c r="O81" s="1211">
        <f>IF(Year5_Buckinghamshire Year5_A10="","",Year5_Buckinghamshire Year5_A10)</f>
        <v>275.5</v>
      </c>
      <c r="P81" s="903">
        <f t="shared" si="32"/>
        <v>275.5</v>
      </c>
      <c r="Q81" s="1139">
        <f t="shared" si="22"/>
        <v>3</v>
      </c>
      <c r="R81" s="1309">
        <f t="shared" si="23"/>
        <v>-41.777173913043484</v>
      </c>
      <c r="S81" s="120"/>
      <c r="T81" s="605"/>
      <c r="U81" s="103"/>
      <c r="V81" s="115"/>
      <c r="W81" s="265" t="str">
        <f t="shared" si="24"/>
        <v>Buckinghamshire</v>
      </c>
      <c r="X81" s="620">
        <f>IF(ISNUMBER(H81),IDACI!D11,0)</f>
        <v>107385</v>
      </c>
      <c r="Y81" s="621">
        <f>IF(ISNUMBER(H81),IDACI!E11,0)</f>
        <v>9127.7250000000004</v>
      </c>
      <c r="Z81" s="355">
        <f>IF(Year1_Buckinghamshire Year1_Adoption_LAC_Adopted_days="","",Year1_Buckinghamshire Year1_Adoption_LAC_Adopted_days)</f>
        <v>10180</v>
      </c>
      <c r="AA81" s="248" t="str">
        <f>IF(Year2_Buckinghamshire Year2_Adoption_LAC_Adopted_days="","",Year2_Buckinghamshire Year2_Adoption_LAC_Adopted_days)</f>
        <v>x</v>
      </c>
      <c r="AB81" s="248">
        <f>IF(Year3_Buckinghamshire Year3_Adoption_LAC_Adopted_days="","",Year3_Buckinghamshire Year3_Adoption_LAC_Adopted_days)</f>
        <v>0</v>
      </c>
      <c r="AC81" s="248">
        <f>IF(Year4_Buckinghamshire Year4_Adoption_LAC_Adopted_days="","",Year4_Buckinghamshire Year4_Adoption_LAC_Adopted_days)</f>
        <v>6707</v>
      </c>
      <c r="AD81" s="248" t="str">
        <f>IF(Year5_Buckinghamshire Year5_Adoption_LAC_Adopted_days="","",Year5_Buckinghamshire Year5_Adoption_LAC_Adopted_days)</f>
        <v/>
      </c>
      <c r="AE81" s="687">
        <f t="shared" si="25"/>
        <v>23</v>
      </c>
      <c r="AF81" s="443">
        <f t="shared" si="26"/>
        <v>26</v>
      </c>
      <c r="AG81" s="443">
        <f t="shared" si="27"/>
        <v>23</v>
      </c>
      <c r="AH81" s="443">
        <f t="shared" si="28"/>
        <v>16</v>
      </c>
      <c r="AI81" s="443">
        <f t="shared" si="29"/>
        <v>12</v>
      </c>
      <c r="AJ81" s="623" t="s">
        <v>8</v>
      </c>
      <c r="AK81" s="70">
        <f t="shared" si="30"/>
        <v>275.5</v>
      </c>
      <c r="AL81" s="156">
        <f>RANK(AK81,$AK$79:$AK$97,1)</f>
        <v>3</v>
      </c>
      <c r="AM81" s="121"/>
      <c r="AN81" s="531">
        <f t="shared" si="33"/>
        <v>-161.30100334448196</v>
      </c>
      <c r="AO81" s="531">
        <f t="shared" si="34"/>
        <v>28.866220735786271</v>
      </c>
      <c r="AP81" s="531">
        <f t="shared" si="35"/>
        <v>109.01358695652175</v>
      </c>
      <c r="AQ81" s="531">
        <f t="shared" si="36"/>
        <v>-143.6875</v>
      </c>
      <c r="AR81" s="1302">
        <f t="shared" si="37"/>
        <v>-41.777173913043484</v>
      </c>
    </row>
    <row r="82" spans="1:47" s="61" customFormat="1" ht="15.75" customHeight="1">
      <c r="A82" s="1103">
        <f>VLOOKUP(B82,ReportData!$AQ$4:$AR$25,2,FALSE)</f>
        <v>0</v>
      </c>
      <c r="B82" s="885" t="s">
        <v>4</v>
      </c>
      <c r="C82" s="896"/>
      <c r="D82" s="891">
        <f>IF(Year1_East_Sussex Year1_Adoption_LAC_Adopted="","",Year1_East_Sussex Year1_Adoption_LAC_Adopted)</f>
        <v>27</v>
      </c>
      <c r="E82" s="891">
        <f>IF(Year2_East_Sussex Year2_Adoption_LAC_Adopted="","",Year2_East_Sussex Year2_Adoption_LAC_Adopted)</f>
        <v>27</v>
      </c>
      <c r="F82" s="891">
        <f>IF(Year3_East_Sussex Year3_Adoption_LAC_Adopted="","",Year3_East_Sussex Year3_Adoption_LAC_Adopted)</f>
        <v>19</v>
      </c>
      <c r="G82" s="891">
        <f>IF(Year4_East_Sussex Year4_Adoption_LAC_Adopted="","",Year4_East_Sussex Year4_Adoption_LAC_Adopted)</f>
        <v>15</v>
      </c>
      <c r="H82" s="1211">
        <f>IF(Year5_East_Sussex Year5_Adoption_LAC_Adopted="","",Year5_East_Sussex Year5_Adoption_LAC_Adopted)</f>
        <v>19</v>
      </c>
      <c r="I82" s="1301"/>
      <c r="J82" s="44"/>
      <c r="K82" s="891">
        <f>IF(Year1_East_Sussex Year1_A10="","",Year1_East_Sussex Year1_A10)</f>
        <v>489.46153846153851</v>
      </c>
      <c r="L82" s="891">
        <f>IF(Year2_East_Sussex Year2_A10="","",Year2_East_Sussex Year2_A10)</f>
        <v>420.03703703703701</v>
      </c>
      <c r="M82" s="891">
        <f>IF(Year3_East_Sussex Year3_A10="","",Year3_East_Sussex Year3_A10)</f>
        <v>511.05263157894734</v>
      </c>
      <c r="N82" s="891">
        <f>IF(Year4_East_Sussex Year4_A10="","",Year4_East_Sussex Year4_A10)</f>
        <v>580.4</v>
      </c>
      <c r="O82" s="1211">
        <f>IF(Year5_East_Sussex Year5_A10="","",Year5_East_Sussex Year5_A10)</f>
        <v>503.15789473684208</v>
      </c>
      <c r="P82" s="903">
        <f t="shared" si="32"/>
        <v>503.15789473684208</v>
      </c>
      <c r="Q82" s="1139">
        <f t="shared" si="22"/>
        <v>13</v>
      </c>
      <c r="R82" s="1309">
        <f t="shared" si="23"/>
        <v>3.4240890688258929</v>
      </c>
      <c r="S82" s="120"/>
      <c r="T82" s="605"/>
      <c r="U82" s="103"/>
      <c r="V82" s="115"/>
      <c r="W82" s="265" t="str">
        <f t="shared" si="24"/>
        <v>East Sussex</v>
      </c>
      <c r="X82" s="620">
        <f>IF(ISNUMBER(H82),IDACI!D12,0)</f>
        <v>93130</v>
      </c>
      <c r="Y82" s="621">
        <f>IF(ISNUMBER(H82),IDACI!E12,0)</f>
        <v>14993.93</v>
      </c>
      <c r="Z82" s="355">
        <f>IF(Year1_East_Sussex Year1_Adoption_LAC_Adopted_days="","",Year1_East_Sussex Year1_Adoption_LAC_Adopted_days)</f>
        <v>13215.461538461539</v>
      </c>
      <c r="AA82" s="248">
        <f>IF(Year2_East_Sussex Year2_Adoption_LAC_Adopted_days="","",Year2_East_Sussex Year2_Adoption_LAC_Adopted_days)</f>
        <v>11341</v>
      </c>
      <c r="AB82" s="248">
        <f>IF(Year3_East_Sussex Year3_Adoption_LAC_Adopted_days="","",Year3_East_Sussex Year3_Adoption_LAC_Adopted_days)</f>
        <v>0</v>
      </c>
      <c r="AC82" s="248">
        <f>IF(Year4_East_Sussex Year4_Adoption_LAC_Adopted_days="","",Year4_East_Sussex Year4_Adoption_LAC_Adopted_days)</f>
        <v>8706</v>
      </c>
      <c r="AD82" s="248" t="str">
        <f>IF(Year5_East_Sussex Year5_Adoption_LAC_Adopted_days="","",Year5_East_Sussex Year5_Adoption_LAC_Adopted_days)</f>
        <v/>
      </c>
      <c r="AE82" s="687">
        <f t="shared" si="25"/>
        <v>27</v>
      </c>
      <c r="AF82" s="443">
        <f t="shared" si="26"/>
        <v>27</v>
      </c>
      <c r="AG82" s="443">
        <f t="shared" si="27"/>
        <v>19</v>
      </c>
      <c r="AH82" s="443">
        <f t="shared" si="28"/>
        <v>15</v>
      </c>
      <c r="AI82" s="443">
        <f t="shared" si="29"/>
        <v>19</v>
      </c>
      <c r="AJ82" s="623" t="s">
        <v>4</v>
      </c>
      <c r="AK82" s="70">
        <f t="shared" si="30"/>
        <v>503.15789473684208</v>
      </c>
      <c r="AL82" s="156">
        <f>RANK(AK82,$AK$79:$AK$97,1)</f>
        <v>13</v>
      </c>
      <c r="AM82" s="121"/>
      <c r="AN82" s="531">
        <f t="shared" si="33"/>
        <v>-69.4245014245015</v>
      </c>
      <c r="AO82" s="531">
        <f t="shared" si="34"/>
        <v>91.015594541910332</v>
      </c>
      <c r="AP82" s="531">
        <f t="shared" si="35"/>
        <v>69.347368421052636</v>
      </c>
      <c r="AQ82" s="531">
        <f t="shared" si="36"/>
        <v>-77.242105263157896</v>
      </c>
      <c r="AR82" s="1302">
        <f t="shared" si="37"/>
        <v>3.4240890688258929</v>
      </c>
      <c r="AU82" s="61" t="s">
        <v>95</v>
      </c>
    </row>
    <row r="83" spans="1:47" s="61" customFormat="1" ht="15.75" customHeight="1">
      <c r="A83" s="1103">
        <f>VLOOKUP(B83,ReportData!$AQ$4:$AR$25,2,FALSE)</f>
        <v>0</v>
      </c>
      <c r="B83" s="885" t="s">
        <v>6</v>
      </c>
      <c r="C83" s="896"/>
      <c r="D83" s="891">
        <f>IF(Year1_Hampshire Year1_Adoption_LAC_Adopted="","",Year1_Hampshire Year1_Adoption_LAC_Adopted)</f>
        <v>70</v>
      </c>
      <c r="E83" s="891">
        <f>IF(Year2_Hampshire Year2_Adoption_LAC_Adopted="","",Year2_Hampshire Year2_Adoption_LAC_Adopted)</f>
        <v>51</v>
      </c>
      <c r="F83" s="891">
        <f>IF(Year3_Hampshire Year3_Adoption_LAC_Adopted="","",Year3_Hampshire Year3_Adoption_LAC_Adopted)</f>
        <v>43</v>
      </c>
      <c r="G83" s="891">
        <f>IF(Year4_Hampshire Year4_Adoption_LAC_Adopted="","",Year4_Hampshire Year4_Adoption_LAC_Adopted)</f>
        <v>57</v>
      </c>
      <c r="H83" s="1211">
        <f>IF(Year5_Hampshire Year5_Adoption_LAC_Adopted="","",Year5_Hampshire Year5_Adoption_LAC_Adopted)</f>
        <v>70</v>
      </c>
      <c r="I83" s="1301"/>
      <c r="J83" s="44"/>
      <c r="K83" s="891">
        <f>IF(Year1_Hampshire Year1_A10="","",Year1_Hampshire Year1_A10)</f>
        <v>378.78571428571428</v>
      </c>
      <c r="L83" s="891">
        <f>IF(Year2_Hampshire Year2_A10="","",Year2_Hampshire Year2_A10)</f>
        <v>302.41509433962267</v>
      </c>
      <c r="M83" s="891">
        <f>IF(Year3_Hampshire Year3_A10="","",Year3_Hampshire Year3_A10)</f>
        <v>305.23255813953489</v>
      </c>
      <c r="N83" s="891">
        <f>IF(Year4_Hampshire Year4_A10="","",Year4_Hampshire Year4_A10)</f>
        <v>500.70175438596493</v>
      </c>
      <c r="O83" s="1211">
        <f>IF(Year5_Hampshire Year5_A10="","",Year5_Hampshire Year5_A10)</f>
        <v>393.34285714285716</v>
      </c>
      <c r="P83" s="903">
        <f t="shared" si="32"/>
        <v>393.34285714285716</v>
      </c>
      <c r="Q83" s="1139">
        <f t="shared" si="22"/>
        <v>6</v>
      </c>
      <c r="R83" s="1309">
        <f t="shared" si="23"/>
        <v>3.6392857142857196</v>
      </c>
      <c r="S83" s="120"/>
      <c r="T83" s="605"/>
      <c r="U83" s="103"/>
      <c r="V83" s="115"/>
      <c r="W83" s="265" t="str">
        <f t="shared" si="24"/>
        <v>Hampshire</v>
      </c>
      <c r="X83" s="620">
        <f>IF(ISNUMBER(H83),IDACI!D13,0)</f>
        <v>249483</v>
      </c>
      <c r="Y83" s="621">
        <f>IF(ISNUMBER(H83),IDACI!E13,0)</f>
        <v>25197.783000000007</v>
      </c>
      <c r="Z83" s="355">
        <f>IF(Year1_Hampshire Year1_Adoption_LAC_Adopted_days="","",Year1_Hampshire Year1_Adoption_LAC_Adopted_days)</f>
        <v>26515</v>
      </c>
      <c r="AA83" s="248">
        <f>IF(Year2_Hampshire Year2_Adoption_LAC_Adopted_days="","",Year2_Hampshire Year2_Adoption_LAC_Adopted_days)</f>
        <v>17689</v>
      </c>
      <c r="AB83" s="248">
        <f>IF(Year3_Hampshire Year3_Adoption_LAC_Adopted_days="","",Year3_Hampshire Year3_Adoption_LAC_Adopted_days)</f>
        <v>0</v>
      </c>
      <c r="AC83" s="248">
        <f>IF(Year4_Hampshire Year4_Adoption_LAC_Adopted_days="","",Year4_Hampshire Year4_Adoption_LAC_Adopted_days)</f>
        <v>28540</v>
      </c>
      <c r="AD83" s="248" t="str">
        <f>IF(Year5_Hampshire Year5_Adoption_LAC_Adopted_days="","",Year5_Hampshire Year5_Adoption_LAC_Adopted_days)</f>
        <v/>
      </c>
      <c r="AE83" s="687">
        <f t="shared" si="25"/>
        <v>70</v>
      </c>
      <c r="AF83" s="443">
        <f t="shared" si="26"/>
        <v>51</v>
      </c>
      <c r="AG83" s="443">
        <f t="shared" si="27"/>
        <v>43</v>
      </c>
      <c r="AH83" s="443">
        <f t="shared" si="28"/>
        <v>57</v>
      </c>
      <c r="AI83" s="443">
        <f t="shared" si="29"/>
        <v>70</v>
      </c>
      <c r="AJ83" s="623" t="s">
        <v>6</v>
      </c>
      <c r="AK83" s="70">
        <f t="shared" si="30"/>
        <v>393.34285714285716</v>
      </c>
      <c r="AL83" s="156">
        <f>RANK(AK83,$AK$79:$AK$97,1)</f>
        <v>6</v>
      </c>
      <c r="AM83" s="121"/>
      <c r="AN83" s="531">
        <f t="shared" si="33"/>
        <v>-76.370619946091608</v>
      </c>
      <c r="AO83" s="531">
        <f t="shared" si="34"/>
        <v>2.8174637999122183</v>
      </c>
      <c r="AP83" s="531">
        <f t="shared" si="35"/>
        <v>195.46919624643004</v>
      </c>
      <c r="AQ83" s="531">
        <f t="shared" si="36"/>
        <v>-107.35889724310778</v>
      </c>
      <c r="AR83" s="1302">
        <f t="shared" si="37"/>
        <v>3.6392857142857196</v>
      </c>
    </row>
    <row r="84" spans="1:47" s="61" customFormat="1" ht="15.75" customHeight="1">
      <c r="A84" s="1103">
        <f>VLOOKUP(B84,ReportData!$AQ$4:$AR$25,2,FALSE)</f>
        <v>0</v>
      </c>
      <c r="B84" s="885" t="s">
        <v>1</v>
      </c>
      <c r="C84" s="896"/>
      <c r="D84" s="891">
        <f>IF(Year1_Isle_of_Wight Year1_Adoption_LAC_Adopted="","",Year1_Isle_of_Wight Year1_Adoption_LAC_Adopted)</f>
        <v>9</v>
      </c>
      <c r="E84" s="891" t="str">
        <f>IF(Year2_Isle_of_Wight Year2_Adoption_LAC_Adopted="","",Year2_Isle_of_Wight Year2_Adoption_LAC_Adopted)</f>
        <v>x</v>
      </c>
      <c r="F84" s="891">
        <f>IF(Year3_Isle_of_Wight Year3_Adoption_LAC_Adopted="","",Year3_Isle_of_Wight Year3_Adoption_LAC_Adopted)</f>
        <v>14</v>
      </c>
      <c r="G84" s="891" t="str">
        <f>IF(Year4_Isle_of_Wight Year4_Adoption_LAC_Adopted="","",Year4_Isle_of_Wight Year4_Adoption_LAC_Adopted)</f>
        <v>c</v>
      </c>
      <c r="H84" s="1211">
        <f>IF(Year5_Isle_of_Wight Year5_Adoption_LAC_Adopted="","",Year5_Isle_of_Wight Year5_Adoption_LAC_Adopted)</f>
        <v>7</v>
      </c>
      <c r="I84" s="1301"/>
      <c r="J84" s="44"/>
      <c r="K84" s="891" t="str">
        <f>IF(Year1_Isle_of_Wight Year1_A10="","",Year1_Isle_of_Wight Year1_A10)</f>
        <v>c</v>
      </c>
      <c r="L84" s="891" t="str">
        <f>IF(Year2_Isle_of_Wight Year2_A10="","",Year2_Isle_of_Wight Year2_A10)</f>
        <v>c</v>
      </c>
      <c r="M84" s="891">
        <f>IF(Year3_Isle_of_Wight Year3_A10="","",Year3_Isle_of_Wight Year3_A10)</f>
        <v>448.85714285714283</v>
      </c>
      <c r="N84" s="891">
        <f>IF(Year4_Isle_of_Wight Year4_A10="","",Year4_Isle_of_Wight Year4_A10)</f>
        <v>531.66666666666663</v>
      </c>
      <c r="O84" s="1211">
        <f>IF(Year5_Isle_of_Wight Year5_A10="","",Year5_Isle_of_Wight Year5_A10)</f>
        <v>425.85714285714283</v>
      </c>
      <c r="P84" s="903">
        <f t="shared" si="32"/>
        <v>425.85714285714283</v>
      </c>
      <c r="Q84" s="1139">
        <f t="shared" si="22"/>
        <v>7</v>
      </c>
      <c r="R84" s="1309">
        <f t="shared" si="23"/>
        <v>-11.5</v>
      </c>
      <c r="S84" s="120"/>
      <c r="T84" s="605"/>
      <c r="U84" s="103"/>
      <c r="V84" s="115"/>
      <c r="W84" s="265" t="str">
        <f t="shared" si="24"/>
        <v>Isle of Wight</v>
      </c>
      <c r="X84" s="620">
        <f>IF(ISNUMBER(H84),IDACI!D14,0)</f>
        <v>22123</v>
      </c>
      <c r="Y84" s="621">
        <f>IF(ISNUMBER(H84),IDACI!E14,0)</f>
        <v>3982.14</v>
      </c>
      <c r="Z84" s="355" t="str">
        <f>IF(Year1_Isle_of_Wight Year1_Adoption_LAC_Adopted_days="","",Year1_Isle_of_Wight Year1_Adoption_LAC_Adopted_days)</f>
        <v>x</v>
      </c>
      <c r="AA84" s="248" t="str">
        <f>IF(Year2_Isle_of_Wight Year2_Adoption_LAC_Adopted_days="","",Year2_Isle_of_Wight Year2_Adoption_LAC_Adopted_days)</f>
        <v>x</v>
      </c>
      <c r="AB84" s="370">
        <f>IF(Year3_Isle_of_Wight Year3_Adoption_LAC_Adopted_days="","",Year3_Isle_of_Wight Year3_Adoption_LAC_Adopted_days)</f>
        <v>0</v>
      </c>
      <c r="AC84" s="370" t="str">
        <f>IF(Year4_Isle_of_Wight Year4_Adoption_LAC_Adopted_days="","",Year4_Isle_of_Wight Year4_Adoption_LAC_Adopted_days)</f>
        <v>c</v>
      </c>
      <c r="AD84" s="370" t="str">
        <f>IF(Year5_Isle_of_Wight Year5_Adoption_LAC_Adopted_days="","",Year5_Isle_of_Wight Year5_Adoption_LAC_Adopted_days)</f>
        <v/>
      </c>
      <c r="AE84" s="687">
        <f t="shared" si="25"/>
        <v>9</v>
      </c>
      <c r="AF84" s="443" t="str">
        <f t="shared" si="26"/>
        <v>x</v>
      </c>
      <c r="AG84" s="443">
        <f t="shared" si="27"/>
        <v>14</v>
      </c>
      <c r="AH84" s="443" t="str">
        <f t="shared" si="28"/>
        <v>c</v>
      </c>
      <c r="AI84" s="443">
        <f t="shared" si="29"/>
        <v>7</v>
      </c>
      <c r="AJ84" s="623" t="s">
        <v>1</v>
      </c>
      <c r="AK84" s="70">
        <f t="shared" si="30"/>
        <v>425.85714285714283</v>
      </c>
      <c r="AL84" s="156">
        <f t="shared" ref="AL84:AL97" si="38">RANK(AK84,$AK$79:$AK$97,1)</f>
        <v>7</v>
      </c>
      <c r="AM84" s="121"/>
      <c r="AN84" s="531" t="str">
        <f t="shared" si="33"/>
        <v>x</v>
      </c>
      <c r="AO84" s="531" t="str">
        <f t="shared" si="34"/>
        <v>x</v>
      </c>
      <c r="AP84" s="531">
        <f t="shared" si="35"/>
        <v>82.809523809523796</v>
      </c>
      <c r="AQ84" s="531">
        <f t="shared" si="36"/>
        <v>-105.8095238095238</v>
      </c>
      <c r="AR84" s="1302">
        <f t="shared" si="37"/>
        <v>-11.5</v>
      </c>
    </row>
    <row r="85" spans="1:47" s="61" customFormat="1" ht="15.75" customHeight="1">
      <c r="A85" s="1103">
        <f>VLOOKUP(B85,ReportData!$AQ$4:$AR$25,2,FALSE)</f>
        <v>0</v>
      </c>
      <c r="B85" s="885" t="s">
        <v>9</v>
      </c>
      <c r="C85" s="896"/>
      <c r="D85" s="891">
        <f>IF(Year1_Kent Year1_Adoption_LAC_Adopted="","",Year1_Kent Year1_Adoption_LAC_Adopted)</f>
        <v>63</v>
      </c>
      <c r="E85" s="891">
        <f>IF(Year2_Kent Year2_Adoption_LAC_Adopted="","",Year2_Kent Year2_Adoption_LAC_Adopted)</f>
        <v>44</v>
      </c>
      <c r="F85" s="891">
        <f>IF(Year3_Kent Year3_Adoption_LAC_Adopted="","",Year3_Kent Year3_Adoption_LAC_Adopted)</f>
        <v>48</v>
      </c>
      <c r="G85" s="891">
        <f>IF(Year4_Kent Year4_Adoption_LAC_Adopted="","",Year4_Kent Year4_Adoption_LAC_Adopted)</f>
        <v>56</v>
      </c>
      <c r="H85" s="1211">
        <f>IF(Year5_Kent Year5_Adoption_LAC_Adopted="","",Year5_Kent Year5_Adoption_LAC_Adopted)</f>
        <v>68</v>
      </c>
      <c r="I85" s="1301"/>
      <c r="J85" s="44"/>
      <c r="K85" s="891">
        <f>IF(Year1_Kent Year1_A10="","",Year1_Kent Year1_A10)</f>
        <v>336.63492063492066</v>
      </c>
      <c r="L85" s="891">
        <f>IF(Year2_Kent Year2_A10="","",Year2_Kent Year2_A10)</f>
        <v>274.3095238095238</v>
      </c>
      <c r="M85" s="891">
        <f>IF(Year3_Kent Year3_A10="","",Year3_Kent Year3_A10)</f>
        <v>392.25531914893617</v>
      </c>
      <c r="N85" s="891">
        <f>IF(Year4_Kent Year4_A10="","",Year4_Kent Year4_A10)</f>
        <v>352.08928571428572</v>
      </c>
      <c r="O85" s="1211">
        <f>IF(Year5_Kent Year5_A10="","",Year5_Kent Year5_A10)</f>
        <v>345.9264705882353</v>
      </c>
      <c r="P85" s="903">
        <f t="shared" si="32"/>
        <v>345.9264705882353</v>
      </c>
      <c r="Q85" s="1139">
        <f t="shared" si="22"/>
        <v>5</v>
      </c>
      <c r="R85" s="1309">
        <f t="shared" si="23"/>
        <v>2.3228874883286608</v>
      </c>
      <c r="S85" s="120"/>
      <c r="T85" s="605"/>
      <c r="U85" s="103"/>
      <c r="V85" s="115"/>
      <c r="W85" s="265" t="str">
        <f t="shared" si="24"/>
        <v>Kent</v>
      </c>
      <c r="X85" s="620">
        <f>IF(ISNUMBER(H85),IDACI!D15,0)</f>
        <v>291866</v>
      </c>
      <c r="Y85" s="621">
        <f>IF(ISNUMBER(H85),IDACI!E15,0)</f>
        <v>46114.828000000001</v>
      </c>
      <c r="Z85" s="355">
        <f>IF(Year1_Kent Year1_Adoption_LAC_Adopted_days="","",Year1_Kent Year1_Adoption_LAC_Adopted_days)</f>
        <v>21208</v>
      </c>
      <c r="AA85" s="248">
        <f>IF(Year2_Kent Year2_Adoption_LAC_Adopted_days="","",Year2_Kent Year2_Adoption_LAC_Adopted_days)</f>
        <v>11521</v>
      </c>
      <c r="AB85" s="370">
        <f>IF(Year3_Kent Year3_Adoption_LAC_Adopted_days="","",Year3_Kent Year3_Adoption_LAC_Adopted_days)</f>
        <v>0</v>
      </c>
      <c r="AC85" s="370">
        <f>IF(Year4_Kent Year4_Adoption_LAC_Adopted_days="","",Year4_Kent Year4_Adoption_LAC_Adopted_days)</f>
        <v>19717</v>
      </c>
      <c r="AD85" s="370" t="str">
        <f>IF(Year5_Kent Year5_Adoption_LAC_Adopted_days="","",Year5_Kent Year5_Adoption_LAC_Adopted_days)</f>
        <v/>
      </c>
      <c r="AE85" s="687">
        <f t="shared" si="25"/>
        <v>63</v>
      </c>
      <c r="AF85" s="443">
        <f t="shared" si="26"/>
        <v>44</v>
      </c>
      <c r="AG85" s="443">
        <f t="shared" si="27"/>
        <v>48</v>
      </c>
      <c r="AH85" s="443">
        <f t="shared" si="28"/>
        <v>56</v>
      </c>
      <c r="AI85" s="443">
        <f t="shared" si="29"/>
        <v>68</v>
      </c>
      <c r="AJ85" s="623" t="s">
        <v>9</v>
      </c>
      <c r="AK85" s="70">
        <f t="shared" si="30"/>
        <v>345.9264705882353</v>
      </c>
      <c r="AL85" s="156">
        <f t="shared" si="38"/>
        <v>5</v>
      </c>
      <c r="AM85" s="121"/>
      <c r="AN85" s="531">
        <f t="shared" si="33"/>
        <v>-62.325396825396865</v>
      </c>
      <c r="AO85" s="531">
        <f t="shared" si="34"/>
        <v>117.94579533941237</v>
      </c>
      <c r="AP85" s="531">
        <f t="shared" si="35"/>
        <v>-40.166033434650444</v>
      </c>
      <c r="AQ85" s="531">
        <f t="shared" si="36"/>
        <v>-6.1628151260504183</v>
      </c>
      <c r="AR85" s="1302">
        <f t="shared" si="37"/>
        <v>2.3228874883286608</v>
      </c>
    </row>
    <row r="86" spans="1:47" s="61" customFormat="1" ht="15.75" customHeight="1">
      <c r="A86" s="1103">
        <f>VLOOKUP(B86,ReportData!$AQ$4:$AR$25,2,FALSE)</f>
        <v>0</v>
      </c>
      <c r="B86" s="885" t="s">
        <v>2</v>
      </c>
      <c r="C86" s="896"/>
      <c r="D86" s="891">
        <f>IF(Year1_Medway Year1_Adoption_LAC_Adopted="","",Year1_Medway Year1_Adoption_LAC_Adopted)</f>
        <v>23</v>
      </c>
      <c r="E86" s="891">
        <f>IF(Year2_Medway Year2_Adoption_LAC_Adopted="","",Year2_Medway Year2_Adoption_LAC_Adopted)</f>
        <v>14</v>
      </c>
      <c r="F86" s="891">
        <f>IF(Year3_Medway Year3_Adoption_LAC_Adopted="","",Year3_Medway Year3_Adoption_LAC_Adopted)</f>
        <v>22</v>
      </c>
      <c r="G86" s="891">
        <f>IF(Year4_Medway Year4_Adoption_LAC_Adopted="","",Year4_Medway Year4_Adoption_LAC_Adopted)</f>
        <v>21</v>
      </c>
      <c r="H86" s="1211">
        <f>IF(Year5_Medway Year5_Adoption_LAC_Adopted="","",Year5_Medway Year5_Adoption_LAC_Adopted)</f>
        <v>18</v>
      </c>
      <c r="I86" s="1301"/>
      <c r="J86" s="44"/>
      <c r="K86" s="891">
        <f>IF(Year1_Medway Year1_A10="","",Year1_Medway Year1_A10)</f>
        <v>502.78947368421052</v>
      </c>
      <c r="L86" s="891">
        <f>IF(Year2_Medway Year2_A10="","",Year2_Medway Year2_A10)</f>
        <v>394</v>
      </c>
      <c r="M86" s="891">
        <f>IF(Year3_Medway Year3_A10="","",Year3_Medway Year3_A10)</f>
        <v>375.22727272727275</v>
      </c>
      <c r="N86" s="891">
        <f>IF(Year4_Medway Year4_A10="","",Year4_Medway Year4_A10)</f>
        <v>426.57142857142856</v>
      </c>
      <c r="O86" s="1211">
        <f>IF(Year5_Medway Year5_A10="","",Year5_Medway Year5_A10)</f>
        <v>472.66666666666669</v>
      </c>
      <c r="P86" s="903">
        <f t="shared" si="32"/>
        <v>472.66666666666669</v>
      </c>
      <c r="Q86" s="1139">
        <f t="shared" si="22"/>
        <v>10</v>
      </c>
      <c r="R86" s="1309">
        <f t="shared" si="23"/>
        <v>-7.5307017543859587</v>
      </c>
      <c r="S86" s="120"/>
      <c r="T86" s="605"/>
      <c r="U86" s="103"/>
      <c r="V86" s="115"/>
      <c r="W86" s="265" t="str">
        <f t="shared" si="24"/>
        <v>Medway</v>
      </c>
      <c r="X86" s="620">
        <f>IF(ISNUMBER(H86),IDACI!D16,0)</f>
        <v>55993</v>
      </c>
      <c r="Y86" s="621">
        <f>IF(ISNUMBER(H86),IDACI!E16,0)</f>
        <v>10582.676999999998</v>
      </c>
      <c r="Z86" s="355">
        <f>IF(Year1_Medway Year1_Adoption_LAC_Adopted_days="","",Year1_Medway Year1_Adoption_LAC_Adopted_days)</f>
        <v>11564.157894736842</v>
      </c>
      <c r="AA86" s="248">
        <f>IF(Year2_Medway Year2_Adoption_LAC_Adopted_days="","",Year2_Medway Year2_Adoption_LAC_Adopted_days)</f>
        <v>5684</v>
      </c>
      <c r="AB86" s="248">
        <f>IF(Year3_Medway Year3_Adoption_LAC_Adopted_days="","",Year3_Medway Year3_Adoption_LAC_Adopted_days)</f>
        <v>0</v>
      </c>
      <c r="AC86" s="248">
        <f>IF(Year4_Medway Year4_Adoption_LAC_Adopted_days="","",Year4_Medway Year4_Adoption_LAC_Adopted_days)</f>
        <v>8958</v>
      </c>
      <c r="AD86" s="248" t="str">
        <f>IF(Year5_Medway Year5_Adoption_LAC_Adopted_days="","",Year5_Medway Year5_Adoption_LAC_Adopted_days)</f>
        <v/>
      </c>
      <c r="AE86" s="687">
        <f t="shared" si="25"/>
        <v>23</v>
      </c>
      <c r="AF86" s="443">
        <f t="shared" si="26"/>
        <v>14</v>
      </c>
      <c r="AG86" s="443">
        <f t="shared" si="27"/>
        <v>22</v>
      </c>
      <c r="AH86" s="443">
        <f t="shared" si="28"/>
        <v>21</v>
      </c>
      <c r="AI86" s="443">
        <f t="shared" si="29"/>
        <v>18</v>
      </c>
      <c r="AJ86" s="623" t="s">
        <v>2</v>
      </c>
      <c r="AK86" s="70">
        <f t="shared" si="30"/>
        <v>472.66666666666669</v>
      </c>
      <c r="AL86" s="156">
        <f t="shared" si="38"/>
        <v>10</v>
      </c>
      <c r="AM86" s="121"/>
      <c r="AN86" s="531">
        <f t="shared" si="33"/>
        <v>-108.78947368421052</v>
      </c>
      <c r="AO86" s="531">
        <f t="shared" si="34"/>
        <v>-18.772727272727252</v>
      </c>
      <c r="AP86" s="531">
        <f t="shared" si="35"/>
        <v>51.344155844155807</v>
      </c>
      <c r="AQ86" s="531">
        <f t="shared" si="36"/>
        <v>46.09523809523813</v>
      </c>
      <c r="AR86" s="1302">
        <f t="shared" si="37"/>
        <v>-7.5307017543859587</v>
      </c>
    </row>
    <row r="87" spans="1:47" s="61" customFormat="1" ht="15.75" customHeight="1">
      <c r="A87" s="1103">
        <f>VLOOKUP(B87,ReportData!$AQ$4:$AR$25,2,FALSE)</f>
        <v>0</v>
      </c>
      <c r="B87" s="885" t="s">
        <v>10</v>
      </c>
      <c r="C87" s="896"/>
      <c r="D87" s="891">
        <f>IF(Year1_Milton_Keynes Year1_Adoption_LAC_Adopted="","",Year1_Milton_Keynes Year1_Adoption_LAC_Adopted)</f>
        <v>19</v>
      </c>
      <c r="E87" s="891">
        <f>IF(Year2_Milton_Keynes Year2_Adoption_LAC_Adopted="","",Year2_Milton_Keynes Year2_Adoption_LAC_Adopted)</f>
        <v>20</v>
      </c>
      <c r="F87" s="891">
        <f>IF(Year3_Milton_Keynes Year3_Adoption_LAC_Adopted="","",Year3_Milton_Keynes Year3_Adoption_LAC_Adopted)</f>
        <v>28</v>
      </c>
      <c r="G87" s="891">
        <f>IF(Year4_Milton_Keynes Year4_Adoption_LAC_Adopted="","",Year4_Milton_Keynes Year4_Adoption_LAC_Adopted)</f>
        <v>19</v>
      </c>
      <c r="H87" s="1211">
        <f>IF(Year5_Milton_Keynes Year5_Adoption_LAC_Adopted="","",Year5_Milton_Keynes Year5_Adoption_LAC_Adopted)</f>
        <v>19</v>
      </c>
      <c r="I87" s="1301"/>
      <c r="J87" s="44"/>
      <c r="K87" s="891">
        <f>IF(Year1_Milton_Keynes Year1_A10="","",Year1_Milton_Keynes Year1_A10)</f>
        <v>403.07142857142856</v>
      </c>
      <c r="L87" s="891">
        <f>IF(Year2_Milton_Keynes Year2_A10="","",Year2_Milton_Keynes Year2_A10)</f>
        <v>401.58823529411762</v>
      </c>
      <c r="M87" s="891">
        <f>IF(Year3_Milton_Keynes Year3_A10="","",Year3_Milton_Keynes Year3_A10)</f>
        <v>442.76</v>
      </c>
      <c r="N87" s="891">
        <f>IF(Year4_Milton_Keynes Year4_A10="","",Year4_Milton_Keynes Year4_A10)</f>
        <v>330.78947368421052</v>
      </c>
      <c r="O87" s="1211">
        <f>IF(Year5_Milton_Keynes Year5_A10="","",Year5_Milton_Keynes Year5_A10)</f>
        <v>490.70588235294116</v>
      </c>
      <c r="P87" s="903">
        <f t="shared" si="32"/>
        <v>490.70588235294116</v>
      </c>
      <c r="Q87" s="1139">
        <f t="shared" si="22"/>
        <v>12</v>
      </c>
      <c r="R87" s="1309">
        <f t="shared" si="23"/>
        <v>21.908613445378151</v>
      </c>
      <c r="S87" s="120"/>
      <c r="T87" s="605"/>
      <c r="U87" s="103"/>
      <c r="V87" s="115"/>
      <c r="W87" s="265" t="str">
        <f t="shared" si="24"/>
        <v>Milton Keynes</v>
      </c>
      <c r="X87" s="620">
        <f>IF(ISNUMBER(H87),IDACI!D17,0)</f>
        <v>59903</v>
      </c>
      <c r="Y87" s="621">
        <f>IF(ISNUMBER(H87),IDACI!E17,0)</f>
        <v>8985.4499999999989</v>
      </c>
      <c r="Z87" s="355">
        <f>IF(Year1_Milton_Keynes Year1_Adoption_LAC_Adopted_days="","",Year1_Milton_Keynes Year1_Adoption_LAC_Adopted_days)</f>
        <v>7658.3571428571422</v>
      </c>
      <c r="AA87" s="248">
        <f>IF(Year2_Milton_Keynes Year2_Adoption_LAC_Adopted_days="","",Year2_Milton_Keynes Year2_Adoption_LAC_Adopted_days)</f>
        <v>7613</v>
      </c>
      <c r="AB87" s="248">
        <f>IF(Year3_Milton_Keynes Year3_Adoption_LAC_Adopted_days="","",Year3_Milton_Keynes Year3_Adoption_LAC_Adopted_days)</f>
        <v>0</v>
      </c>
      <c r="AC87" s="248">
        <f>IF(Year4_Milton_Keynes Year4_Adoption_LAC_Adopted_days="","",Year4_Milton_Keynes Year4_Adoption_LAC_Adopted_days)</f>
        <v>6285</v>
      </c>
      <c r="AD87" s="248" t="str">
        <f>IF(Year5_Milton_Keynes Year5_Adoption_LAC_Adopted_days="","",Year5_Milton_Keynes Year5_Adoption_LAC_Adopted_days)</f>
        <v/>
      </c>
      <c r="AE87" s="687">
        <f t="shared" si="25"/>
        <v>19</v>
      </c>
      <c r="AF87" s="443">
        <f t="shared" si="26"/>
        <v>20</v>
      </c>
      <c r="AG87" s="443">
        <f t="shared" si="27"/>
        <v>28</v>
      </c>
      <c r="AH87" s="443">
        <f t="shared" si="28"/>
        <v>19</v>
      </c>
      <c r="AI87" s="443">
        <f t="shared" si="29"/>
        <v>19</v>
      </c>
      <c r="AJ87" s="623" t="s">
        <v>10</v>
      </c>
      <c r="AK87" s="70">
        <f t="shared" si="30"/>
        <v>490.70588235294116</v>
      </c>
      <c r="AL87" s="156">
        <f t="shared" si="38"/>
        <v>12</v>
      </c>
      <c r="AM87" s="121"/>
      <c r="AN87" s="531">
        <f t="shared" si="33"/>
        <v>-1.4831932773109315</v>
      </c>
      <c r="AO87" s="531">
        <f t="shared" si="34"/>
        <v>41.171764705882367</v>
      </c>
      <c r="AP87" s="531">
        <f t="shared" si="35"/>
        <v>-111.97052631578947</v>
      </c>
      <c r="AQ87" s="531">
        <f t="shared" si="36"/>
        <v>159.91640866873064</v>
      </c>
      <c r="AR87" s="1302">
        <f t="shared" si="37"/>
        <v>21.908613445378151</v>
      </c>
    </row>
    <row r="88" spans="1:47" s="61" customFormat="1" ht="15.75" customHeight="1">
      <c r="A88" s="1103">
        <f>VLOOKUP(B88,ReportData!$AQ$4:$AR$25,2,FALSE)</f>
        <v>0</v>
      </c>
      <c r="B88" s="885" t="s">
        <v>11</v>
      </c>
      <c r="C88" s="896"/>
      <c r="D88" s="891">
        <f>IF(Year1_Oxfordshire Year1_Adoption_LAC_Adopted="","",Year1_Oxfordshire Year1_Adoption_LAC_Adopted)</f>
        <v>35</v>
      </c>
      <c r="E88" s="891">
        <f>IF(Year2_Oxfordshire Year2_Adoption_LAC_Adopted="","",Year2_Oxfordshire Year2_Adoption_LAC_Adopted)</f>
        <v>26</v>
      </c>
      <c r="F88" s="891">
        <f>IF(Year3_Oxfordshire Year3_Adoption_LAC_Adopted="","",Year3_Oxfordshire Year3_Adoption_LAC_Adopted)</f>
        <v>28</v>
      </c>
      <c r="G88" s="891">
        <f>IF(Year4_Oxfordshire Year4_Adoption_LAC_Adopted="","",Year4_Oxfordshire Year4_Adoption_LAC_Adopted)</f>
        <v>24</v>
      </c>
      <c r="H88" s="1211">
        <f>IF(Year5_Oxfordshire Year5_Adoption_LAC_Adopted="","",Year5_Oxfordshire Year5_Adoption_LAC_Adopted)</f>
        <v>25</v>
      </c>
      <c r="I88" s="1301"/>
      <c r="J88" s="44"/>
      <c r="K88" s="891">
        <f>IF(Year1_Oxfordshire Year1_A10="","",Year1_Oxfordshire Year1_A10)</f>
        <v>525.18181818181813</v>
      </c>
      <c r="L88" s="891">
        <f>IF(Year2_Oxfordshire Year2_A10="","",Year2_Oxfordshire Year2_A10)</f>
        <v>469.04</v>
      </c>
      <c r="M88" s="891">
        <f>IF(Year3_Oxfordshire Year3_A10="","",Year3_Oxfordshire Year3_A10)</f>
        <v>361.42857142857144</v>
      </c>
      <c r="N88" s="891">
        <f>IF(Year4_Oxfordshire Year4_A10="","",Year4_Oxfordshire Year4_A10)</f>
        <v>400.08333333333331</v>
      </c>
      <c r="O88" s="1211">
        <f>IF(Year5_Oxfordshire Year5_A10="","",Year5_Oxfordshire Year5_A10)</f>
        <v>519.44000000000005</v>
      </c>
      <c r="P88" s="903">
        <f t="shared" si="32"/>
        <v>519.44000000000005</v>
      </c>
      <c r="Q88" s="1139">
        <f t="shared" si="22"/>
        <v>14</v>
      </c>
      <c r="R88" s="1309">
        <f t="shared" si="23"/>
        <v>-1.4354545454545189</v>
      </c>
      <c r="S88" s="120"/>
      <c r="T88" s="605"/>
      <c r="U88" s="103"/>
      <c r="V88" s="115"/>
      <c r="W88" s="265" t="str">
        <f t="shared" si="24"/>
        <v>Oxfordshire</v>
      </c>
      <c r="X88" s="620">
        <f>IF(ISNUMBER(H88),IDACI!D18,0)</f>
        <v>126119</v>
      </c>
      <c r="Y88" s="621">
        <f>IF(ISNUMBER(H88),IDACI!E18,0)</f>
        <v>12738.019000000002</v>
      </c>
      <c r="Z88" s="355">
        <f>IF(Year1_Oxfordshire Year1_Adoption_LAC_Adopted_days="","",Year1_Oxfordshire Year1_Adoption_LAC_Adopted_days)</f>
        <v>18381.363636363636</v>
      </c>
      <c r="AA88" s="248">
        <f>IF(Year2_Oxfordshire Year2_Adoption_LAC_Adopted_days="","",Year2_Oxfordshire Year2_Adoption_LAC_Adopted_days)</f>
        <v>11790</v>
      </c>
      <c r="AB88" s="248">
        <f>IF(Year3_Oxfordshire Year3_Adoption_LAC_Adopted_days="","",Year3_Oxfordshire Year3_Adoption_LAC_Adopted_days)</f>
        <v>0</v>
      </c>
      <c r="AC88" s="248">
        <f>IF(Year4_Oxfordshire Year4_Adoption_LAC_Adopted_days="","",Year4_Oxfordshire Year4_Adoption_LAC_Adopted_days)</f>
        <v>9602</v>
      </c>
      <c r="AD88" s="248" t="str">
        <f>IF(Year5_Oxfordshire Year5_Adoption_LAC_Adopted_days="","",Year5_Oxfordshire Year5_Adoption_LAC_Adopted_days)</f>
        <v/>
      </c>
      <c r="AE88" s="687">
        <f t="shared" si="25"/>
        <v>35</v>
      </c>
      <c r="AF88" s="443">
        <f t="shared" si="26"/>
        <v>26</v>
      </c>
      <c r="AG88" s="443">
        <f t="shared" si="27"/>
        <v>28</v>
      </c>
      <c r="AH88" s="443">
        <f t="shared" si="28"/>
        <v>24</v>
      </c>
      <c r="AI88" s="443">
        <f t="shared" si="29"/>
        <v>25</v>
      </c>
      <c r="AJ88" s="623" t="s">
        <v>11</v>
      </c>
      <c r="AK88" s="70">
        <f t="shared" si="30"/>
        <v>519.44000000000005</v>
      </c>
      <c r="AL88" s="156">
        <f t="shared" si="38"/>
        <v>14</v>
      </c>
      <c r="AM88" s="121"/>
      <c r="AN88" s="531">
        <f t="shared" si="33"/>
        <v>-56.14181818181811</v>
      </c>
      <c r="AO88" s="531">
        <f t="shared" si="34"/>
        <v>-107.61142857142858</v>
      </c>
      <c r="AP88" s="531">
        <f t="shared" si="35"/>
        <v>38.65476190476187</v>
      </c>
      <c r="AQ88" s="531">
        <f t="shared" si="36"/>
        <v>119.35666666666674</v>
      </c>
      <c r="AR88" s="1302">
        <f t="shared" si="37"/>
        <v>-1.4354545454545189</v>
      </c>
    </row>
    <row r="89" spans="1:47" s="61" customFormat="1" ht="15.75" customHeight="1">
      <c r="A89" s="1103">
        <f>VLOOKUP(B89,ReportData!$AQ$4:$AR$25,2,FALSE)</f>
        <v>0</v>
      </c>
      <c r="B89" s="885" t="s">
        <v>12</v>
      </c>
      <c r="C89" s="896"/>
      <c r="D89" s="891">
        <f>IF(Year1_Portsmouth Year1_Adoption_LAC_Adopted="","",Year1_Portsmouth Year1_Adoption_LAC_Adopted)</f>
        <v>23</v>
      </c>
      <c r="E89" s="891">
        <f>IF(Year2_Portsmouth Year2_Adoption_LAC_Adopted="","",Year2_Portsmouth Year2_Adoption_LAC_Adopted)</f>
        <v>17</v>
      </c>
      <c r="F89" s="891">
        <f>IF(Year3_Portsmouth Year3_Adoption_LAC_Adopted="","",Year3_Portsmouth Year3_Adoption_LAC_Adopted)</f>
        <v>18</v>
      </c>
      <c r="G89" s="891">
        <f>IF(Year4_Portsmouth Year4_Adoption_LAC_Adopted="","",Year4_Portsmouth Year4_Adoption_LAC_Adopted)</f>
        <v>13</v>
      </c>
      <c r="H89" s="1211">
        <f>IF(Year5_Portsmouth Year5_Adoption_LAC_Adopted="","",Year5_Portsmouth Year5_Adoption_LAC_Adopted)</f>
        <v>18</v>
      </c>
      <c r="I89" s="1301"/>
      <c r="J89" s="44"/>
      <c r="K89" s="891">
        <f>IF(Year1_Portsmouth Year1_A10="","",Year1_Portsmouth Year1_A10)</f>
        <v>390.08</v>
      </c>
      <c r="L89" s="891">
        <f>IF(Year2_Portsmouth Year2_A10="","",Year2_Portsmouth Year2_A10)</f>
        <v>321.11111111111109</v>
      </c>
      <c r="M89" s="891">
        <f>IF(Year3_Portsmouth Year3_A10="","",Year3_Portsmouth Year3_A10)</f>
        <v>356</v>
      </c>
      <c r="N89" s="891">
        <f>IF(Year4_Portsmouth Year4_A10="","",Year4_Portsmouth Year4_A10)</f>
        <v>410.15384615384613</v>
      </c>
      <c r="O89" s="1211">
        <f>IF(Year5_Portsmouth Year5_A10="","",Year5_Portsmouth Year5_A10)</f>
        <v>324.22222222222223</v>
      </c>
      <c r="P89" s="903">
        <f t="shared" si="32"/>
        <v>324.22222222222223</v>
      </c>
      <c r="Q89" s="1139">
        <f t="shared" si="22"/>
        <v>4</v>
      </c>
      <c r="R89" s="1309">
        <f t="shared" si="23"/>
        <v>-16.464444444444439</v>
      </c>
      <c r="S89" s="120"/>
      <c r="T89" s="605"/>
      <c r="U89" s="103"/>
      <c r="V89" s="115"/>
      <c r="W89" s="265" t="str">
        <f t="shared" si="24"/>
        <v>Portsmouth</v>
      </c>
      <c r="X89" s="620">
        <f>IF(ISNUMBER(H89),IDACI!D19,0)</f>
        <v>39325</v>
      </c>
      <c r="Y89" s="621">
        <f>IF(ISNUMBER(H89),IDACI!E19,0)</f>
        <v>7943.6500000000015</v>
      </c>
      <c r="Z89" s="355">
        <f>IF(Year1_Portsmouth Year1_Adoption_LAC_Adopted_days="","",Year1_Portsmouth Year1_Adoption_LAC_Adopted_days)</f>
        <v>8971.84</v>
      </c>
      <c r="AA89" s="248">
        <f>IF(Year2_Portsmouth Year2_Adoption_LAC_Adopted_days="","",Year2_Portsmouth Year2_Adoption_LAC_Adopted_days)</f>
        <v>10027</v>
      </c>
      <c r="AB89" s="248">
        <f>IF(Year3_Portsmouth Year3_Adoption_LAC_Adopted_days="","",Year3_Portsmouth Year3_Adoption_LAC_Adopted_days)</f>
        <v>0</v>
      </c>
      <c r="AC89" s="248">
        <f>IF(Year4_Portsmouth Year4_Adoption_LAC_Adopted_days="","",Year4_Portsmouth Year4_Adoption_LAC_Adopted_days)</f>
        <v>5332</v>
      </c>
      <c r="AD89" s="248" t="str">
        <f>IF(Year5_Portsmouth Year5_Adoption_LAC_Adopted_days="","",Year5_Portsmouth Year5_Adoption_LAC_Adopted_days)</f>
        <v/>
      </c>
      <c r="AE89" s="687">
        <f t="shared" si="25"/>
        <v>23</v>
      </c>
      <c r="AF89" s="443">
        <f t="shared" si="26"/>
        <v>17</v>
      </c>
      <c r="AG89" s="443">
        <f t="shared" si="27"/>
        <v>18</v>
      </c>
      <c r="AH89" s="443">
        <f t="shared" si="28"/>
        <v>13</v>
      </c>
      <c r="AI89" s="443">
        <f t="shared" si="29"/>
        <v>18</v>
      </c>
      <c r="AJ89" s="623" t="s">
        <v>12</v>
      </c>
      <c r="AK89" s="70">
        <f t="shared" si="30"/>
        <v>324.22222222222223</v>
      </c>
      <c r="AL89" s="156">
        <f t="shared" si="38"/>
        <v>4</v>
      </c>
      <c r="AM89" s="121"/>
      <c r="AN89" s="531">
        <f t="shared" si="33"/>
        <v>-68.968888888888898</v>
      </c>
      <c r="AO89" s="531">
        <f t="shared" si="34"/>
        <v>34.888888888888914</v>
      </c>
      <c r="AP89" s="531">
        <f t="shared" si="35"/>
        <v>54.153846153846132</v>
      </c>
      <c r="AQ89" s="531">
        <f t="shared" si="36"/>
        <v>-85.931623931623903</v>
      </c>
      <c r="AR89" s="1302">
        <f t="shared" si="37"/>
        <v>-16.464444444444439</v>
      </c>
    </row>
    <row r="90" spans="1:47" s="61" customFormat="1" ht="15.75" customHeight="1">
      <c r="A90" s="1103">
        <f>VLOOKUP(B90,ReportData!$AQ$4:$AR$25,2,FALSE)</f>
        <v>0</v>
      </c>
      <c r="B90" s="885" t="s">
        <v>3</v>
      </c>
      <c r="C90" s="896"/>
      <c r="D90" s="891">
        <f>IF(Year1_Reading Year1_Adoption_LAC_Adopted="","",Year1_Reading Year1_Adoption_LAC_Adopted)</f>
        <v>16</v>
      </c>
      <c r="E90" s="891">
        <f>IF(Year2_Reading Year2_Adoption_LAC_Adopted="","",Year2_Reading Year2_Adoption_LAC_Adopted)</f>
        <v>11</v>
      </c>
      <c r="F90" s="891">
        <f>IF(Year3_Reading Year3_Adoption_LAC_Adopted="","",Year3_Reading Year3_Adoption_LAC_Adopted)</f>
        <v>14</v>
      </c>
      <c r="G90" s="891">
        <f>IF(Year4_Reading Year4_Adoption_LAC_Adopted="","",Year4_Reading Year4_Adoption_LAC_Adopted)</f>
        <v>14</v>
      </c>
      <c r="H90" s="1211" t="str">
        <f>IF(Year5_Reading Year5_Adoption_LAC_Adopted="","",Year5_Reading Year5_Adoption_LAC_Adopted)</f>
        <v>c</v>
      </c>
      <c r="I90" s="1301"/>
      <c r="J90" s="44"/>
      <c r="K90" s="891">
        <f>IF(Year1_Reading Year1_A10="","",Year1_Reading Year1_A10)</f>
        <v>439.33333333333331</v>
      </c>
      <c r="L90" s="891">
        <f>IF(Year2_Reading Year2_A10="","",Year2_Reading Year2_A10)</f>
        <v>315.72727272727275</v>
      </c>
      <c r="M90" s="891">
        <f>IF(Year3_Reading Year3_A10="","",Year3_Reading Year3_A10)</f>
        <v>456.64285714285717</v>
      </c>
      <c r="N90" s="891">
        <f>IF(Year4_Reading Year4_A10="","",Year4_Reading Year4_A10)</f>
        <v>512.42857142857144</v>
      </c>
      <c r="O90" s="1211">
        <f>IF(Year5_Reading Year5_A10="","",Year5_Reading Year5_A10)</f>
        <v>584.4</v>
      </c>
      <c r="P90" s="903">
        <f>IF(ISNUMBER(O90),O90,"")</f>
        <v>584.4</v>
      </c>
      <c r="Q90" s="1139">
        <f t="shared" si="22"/>
        <v>15</v>
      </c>
      <c r="R90" s="1309">
        <f t="shared" si="23"/>
        <v>36.266666666666666</v>
      </c>
      <c r="S90" s="120"/>
      <c r="T90" s="605"/>
      <c r="U90" s="103"/>
      <c r="V90" s="115"/>
      <c r="W90" s="265" t="str">
        <f t="shared" si="24"/>
        <v>Reading</v>
      </c>
      <c r="X90" s="620">
        <f>IF(ISNUMBER(H90),IDACI!D20,0)</f>
        <v>0</v>
      </c>
      <c r="Y90" s="621">
        <f>IF(ISNUMBER(H90),IDACI!E20,0)</f>
        <v>0</v>
      </c>
      <c r="Z90" s="355">
        <f>IF(Year1_Reading Year1_Adoption_LAC_Adopted_days="","",Year1_Reading Year1_Adoption_LAC_Adopted_days)</f>
        <v>7029.333333333333</v>
      </c>
      <c r="AA90" s="248">
        <f>IF(Year2_Reading Year2_Adoption_LAC_Adopted_days="","",Year2_Reading Year2_Adoption_LAC_Adopted_days)</f>
        <v>4107</v>
      </c>
      <c r="AB90" s="248">
        <f>IF(Year3_Reading Year3_Adoption_LAC_Adopted_days="","",Year3_Reading Year3_Adoption_LAC_Adopted_days)</f>
        <v>0</v>
      </c>
      <c r="AC90" s="248">
        <f>IF(Year4_Reading Year4_Adoption_LAC_Adopted_days="","",Year4_Reading Year4_Adoption_LAC_Adopted_days)</f>
        <v>7174</v>
      </c>
      <c r="AD90" s="248" t="str">
        <f>IF(Year5_Reading Year5_Adoption_LAC_Adopted_days="","",Year5_Reading Year5_Adoption_LAC_Adopted_days)</f>
        <v/>
      </c>
      <c r="AE90" s="687">
        <f t="shared" si="25"/>
        <v>16</v>
      </c>
      <c r="AF90" s="443">
        <f t="shared" si="26"/>
        <v>11</v>
      </c>
      <c r="AG90" s="443">
        <f t="shared" si="27"/>
        <v>14</v>
      </c>
      <c r="AH90" s="443">
        <f t="shared" si="28"/>
        <v>14</v>
      </c>
      <c r="AI90" s="443" t="str">
        <f t="shared" si="29"/>
        <v>c</v>
      </c>
      <c r="AJ90" s="623" t="s">
        <v>3</v>
      </c>
      <c r="AK90" s="70">
        <f t="shared" si="30"/>
        <v>584.4</v>
      </c>
      <c r="AL90" s="156">
        <f t="shared" si="38"/>
        <v>15</v>
      </c>
      <c r="AM90" s="121"/>
      <c r="AN90" s="531">
        <f t="shared" si="33"/>
        <v>-123.60606060606057</v>
      </c>
      <c r="AO90" s="531">
        <f t="shared" si="34"/>
        <v>140.91558441558442</v>
      </c>
      <c r="AP90" s="531">
        <f t="shared" si="35"/>
        <v>55.785714285714278</v>
      </c>
      <c r="AQ90" s="531">
        <f t="shared" si="36"/>
        <v>71.971428571428532</v>
      </c>
      <c r="AR90" s="1302">
        <f t="shared" si="37"/>
        <v>36.266666666666666</v>
      </c>
    </row>
    <row r="91" spans="1:47" s="61" customFormat="1" ht="15.75" customHeight="1">
      <c r="A91" s="1103">
        <f>VLOOKUP(B91,ReportData!$AQ$4:$AR$25,2,FALSE)</f>
        <v>0</v>
      </c>
      <c r="B91" s="885" t="s">
        <v>13</v>
      </c>
      <c r="C91" s="896"/>
      <c r="D91" s="891">
        <f>IF(Year1_Slough Year1_Adoption_LAC_Adopted="","",Year1_Slough Year1_Adoption_LAC_Adopted)</f>
        <v>15</v>
      </c>
      <c r="E91" s="891">
        <f>IF(Year2_Slough Year2_Adoption_LAC_Adopted="","",Year2_Slough Year2_Adoption_LAC_Adopted)</f>
        <v>10</v>
      </c>
      <c r="F91" s="891">
        <f>IF(Year3_Slough Year3_Adoption_LAC_Adopted="","",Year3_Slough Year3_Adoption_LAC_Adopted)</f>
        <v>9</v>
      </c>
      <c r="G91" s="891">
        <f>IF(Year4_Slough Year4_Adoption_LAC_Adopted="","",Year4_Slough Year4_Adoption_LAC_Adopted)</f>
        <v>20</v>
      </c>
      <c r="H91" s="1211" t="str">
        <f>IF(Year5_Slough Year5_Adoption_LAC_Adopted="","",Year5_Slough Year5_Adoption_LAC_Adopted)</f>
        <v>c</v>
      </c>
      <c r="I91" s="1301"/>
      <c r="J91" s="44"/>
      <c r="K91" s="891">
        <f>IF(Year1_Slough Year1_A10="","",Year1_Slough Year1_A10)</f>
        <v>404.8</v>
      </c>
      <c r="L91" s="891" t="str">
        <f>IF(Year2_Slough Year2_A10="","",Year2_Slough Year2_A10)</f>
        <v>c</v>
      </c>
      <c r="M91" s="891" t="str">
        <f>IF(Year3_Slough Year3_A10="","",Year3_Slough Year3_A10)</f>
        <v>c</v>
      </c>
      <c r="N91" s="891">
        <f>IF(Year4_Slough Year4_A10="","",Year4_Slough Year4_A10)</f>
        <v>541.78947368421052</v>
      </c>
      <c r="O91" s="1211">
        <f>IF(Year5_Slough Year5_A10="","",Year5_Slough Year5_A10)</f>
        <v>594.75</v>
      </c>
      <c r="P91" s="903">
        <f t="shared" si="32"/>
        <v>594.75</v>
      </c>
      <c r="Q91" s="1139">
        <f t="shared" si="22"/>
        <v>16</v>
      </c>
      <c r="R91" s="1309">
        <f t="shared" si="23"/>
        <v>52.96052631578948</v>
      </c>
      <c r="S91" s="120"/>
      <c r="T91" s="605"/>
      <c r="U91" s="103"/>
      <c r="V91" s="115"/>
      <c r="W91" s="265" t="str">
        <f t="shared" si="24"/>
        <v>Slough</v>
      </c>
      <c r="X91" s="620">
        <f>IF(ISNUMBER(H91),IDACI!D21,0)</f>
        <v>0</v>
      </c>
      <c r="Y91" s="621">
        <f>IF(ISNUMBER(H91),IDACI!E21,0)</f>
        <v>0</v>
      </c>
      <c r="Z91" s="355">
        <f>IF(Year1_Slough Year1_Adoption_LAC_Adopted_days="","",Year1_Slough Year1_Adoption_LAC_Adopted_days)</f>
        <v>6072</v>
      </c>
      <c r="AA91" s="248">
        <f>IF(Year2_Slough Year2_Adoption_LAC_Adopted_days="","",Year2_Slough Year2_Adoption_LAC_Adopted_days)</f>
        <v>5361</v>
      </c>
      <c r="AB91" s="248">
        <f>IF(Year3_Slough Year3_Adoption_LAC_Adopted_days="","",Year3_Slough Year3_Adoption_LAC_Adopted_days)</f>
        <v>0</v>
      </c>
      <c r="AC91" s="248">
        <f>IF(Year4_Slough Year4_Adoption_LAC_Adopted_days="","",Year4_Slough Year4_Adoption_LAC_Adopted_days)</f>
        <v>10835.78947368421</v>
      </c>
      <c r="AD91" s="248" t="str">
        <f>IF(Year5_Slough Year5_Adoption_LAC_Adopted_days="","",Year5_Slough Year5_Adoption_LAC_Adopted_days)</f>
        <v/>
      </c>
      <c r="AE91" s="687">
        <f t="shared" si="25"/>
        <v>15</v>
      </c>
      <c r="AF91" s="443">
        <f t="shared" si="26"/>
        <v>10</v>
      </c>
      <c r="AG91" s="443">
        <f t="shared" si="27"/>
        <v>9</v>
      </c>
      <c r="AH91" s="443">
        <f t="shared" si="28"/>
        <v>20</v>
      </c>
      <c r="AI91" s="443" t="str">
        <f t="shared" si="29"/>
        <v>c</v>
      </c>
      <c r="AJ91" s="623" t="s">
        <v>13</v>
      </c>
      <c r="AK91" s="70">
        <f t="shared" si="30"/>
        <v>594.75</v>
      </c>
      <c r="AL91" s="156">
        <f t="shared" si="38"/>
        <v>16</v>
      </c>
      <c r="AM91" s="121"/>
      <c r="AN91" s="531" t="str">
        <f t="shared" si="33"/>
        <v>x</v>
      </c>
      <c r="AO91" s="531" t="str">
        <f t="shared" si="34"/>
        <v>x</v>
      </c>
      <c r="AP91" s="531" t="str">
        <f t="shared" si="35"/>
        <v>x</v>
      </c>
      <c r="AQ91" s="531">
        <f t="shared" si="36"/>
        <v>52.96052631578948</v>
      </c>
      <c r="AR91" s="1302">
        <f t="shared" si="37"/>
        <v>52.96052631578948</v>
      </c>
    </row>
    <row r="92" spans="1:47" s="61" customFormat="1" ht="15.75" customHeight="1">
      <c r="A92" s="1103">
        <f>VLOOKUP(B92,ReportData!$AQ$4:$AR$25,2,FALSE)</f>
        <v>0</v>
      </c>
      <c r="B92" s="885" t="s">
        <v>14</v>
      </c>
      <c r="C92" s="896"/>
      <c r="D92" s="891">
        <f>IF(Year1_Southampton Year1_Adoption_LAC_Adopted="","",Year1_Southampton Year1_Adoption_LAC_Adopted)</f>
        <v>27</v>
      </c>
      <c r="E92" s="891">
        <f>IF(Year2_Southampton Year2_Adoption_LAC_Adopted="","",Year2_Southampton Year2_Adoption_LAC_Adopted)</f>
        <v>32</v>
      </c>
      <c r="F92" s="891">
        <f>IF(Year3_Southampton Year3_Adoption_LAC_Adopted="","",Year3_Southampton Year3_Adoption_LAC_Adopted)</f>
        <v>16</v>
      </c>
      <c r="G92" s="891">
        <f>IF(Year4_Southampton Year4_Adoption_LAC_Adopted="","",Year4_Southampton Year4_Adoption_LAC_Adopted)</f>
        <v>32</v>
      </c>
      <c r="H92" s="1211">
        <f>IF(Year5_Southampton Year5_Adoption_LAC_Adopted="","",Year5_Southampton Year5_Adoption_LAC_Adopted)</f>
        <v>30</v>
      </c>
      <c r="I92" s="1301"/>
      <c r="J92" s="44"/>
      <c r="K92" s="891">
        <f>IF(Year1_Southampton Year1_A10="","",Year1_Southampton Year1_A10)</f>
        <v>340.06896551724139</v>
      </c>
      <c r="L92" s="891">
        <f>IF(Year2_Southampton Year2_A10="","",Year2_Southampton Year2_A10)</f>
        <v>374.51612903225805</v>
      </c>
      <c r="M92" s="891">
        <f>IF(Year3_Southampton Year3_A10="","",Year3_Southampton Year3_A10)</f>
        <v>383.5</v>
      </c>
      <c r="N92" s="891">
        <f>IF(Year4_Southampton Year4_A10="","",Year4_Southampton Year4_A10)</f>
        <v>346.59375</v>
      </c>
      <c r="O92" s="1211">
        <f>IF(Year5_Southampton Year5_A10="","",Year5_Southampton Year5_A10)</f>
        <v>445.53333333333336</v>
      </c>
      <c r="P92" s="903">
        <f t="shared" si="32"/>
        <v>445.53333333333336</v>
      </c>
      <c r="Q92" s="1139">
        <f t="shared" si="22"/>
        <v>9</v>
      </c>
      <c r="R92" s="1309">
        <f t="shared" si="23"/>
        <v>26.366091954022991</v>
      </c>
      <c r="S92" s="120"/>
      <c r="T92" s="605"/>
      <c r="U92" s="103"/>
      <c r="V92" s="115"/>
      <c r="W92" s="265" t="str">
        <f t="shared" si="24"/>
        <v>Southampton</v>
      </c>
      <c r="X92" s="620">
        <f>IF(ISNUMBER(H92),IDACI!D22,0)</f>
        <v>44295</v>
      </c>
      <c r="Y92" s="621">
        <f>IF(ISNUMBER(H92),IDACI!E22,0)</f>
        <v>9080.4750000000004</v>
      </c>
      <c r="Z92" s="355">
        <f>IF(Year1_Southampton Year1_Adoption_LAC_Adopted_days="","",Year1_Southampton Year1_Adoption_LAC_Adopted_days)</f>
        <v>9181.8620689655181</v>
      </c>
      <c r="AA92" s="248">
        <f>IF(Year2_Southampton Year2_Adoption_LAC_Adopted_days="","",Year2_Southampton Year2_Adoption_LAC_Adopted_days)</f>
        <v>11610</v>
      </c>
      <c r="AB92" s="248">
        <f>IF(Year3_Southampton Year3_Adoption_LAC_Adopted_days="","",Year3_Southampton Year3_Adoption_LAC_Adopted_days)</f>
        <v>0</v>
      </c>
      <c r="AC92" s="248">
        <f>IF(Year4_Southampton Year4_Adoption_LAC_Adopted_days="","",Year4_Southampton Year4_Adoption_LAC_Adopted_days)</f>
        <v>11091</v>
      </c>
      <c r="AD92" s="248" t="str">
        <f>IF(Year5_Southampton Year5_Adoption_LAC_Adopted_days="","",Year5_Southampton Year5_Adoption_LAC_Adopted_days)</f>
        <v/>
      </c>
      <c r="AE92" s="687">
        <f t="shared" si="25"/>
        <v>27</v>
      </c>
      <c r="AF92" s="443">
        <f t="shared" si="26"/>
        <v>32</v>
      </c>
      <c r="AG92" s="443">
        <f t="shared" si="27"/>
        <v>16</v>
      </c>
      <c r="AH92" s="443">
        <f t="shared" si="28"/>
        <v>32</v>
      </c>
      <c r="AI92" s="443">
        <f t="shared" si="29"/>
        <v>30</v>
      </c>
      <c r="AJ92" s="623" t="s">
        <v>14</v>
      </c>
      <c r="AK92" s="70">
        <f t="shared" si="30"/>
        <v>445.53333333333336</v>
      </c>
      <c r="AL92" s="156">
        <f>RANK(AK92,$AK$79:$AK$97,1)</f>
        <v>9</v>
      </c>
      <c r="AM92" s="121"/>
      <c r="AN92" s="531">
        <f t="shared" si="33"/>
        <v>34.447163515016655</v>
      </c>
      <c r="AO92" s="531">
        <f t="shared" si="34"/>
        <v>8.9838709677419502</v>
      </c>
      <c r="AP92" s="531">
        <f t="shared" si="35"/>
        <v>-36.90625</v>
      </c>
      <c r="AQ92" s="531">
        <f t="shared" si="36"/>
        <v>98.93958333333336</v>
      </c>
      <c r="AR92" s="1302">
        <f t="shared" si="37"/>
        <v>26.366091954022991</v>
      </c>
    </row>
    <row r="93" spans="1:47" s="61" customFormat="1" ht="15.75" customHeight="1">
      <c r="A93" s="1103">
        <f>VLOOKUP(B93,ReportData!$AQ$4:$AR$25,2,FALSE)</f>
        <v>0</v>
      </c>
      <c r="B93" s="885" t="s">
        <v>7</v>
      </c>
      <c r="C93" s="896"/>
      <c r="D93" s="891">
        <f>IF(Year1_Surrey Year1_Adoption_LAC_Adopted="","",Year1_Surrey Year1_Adoption_LAC_Adopted)</f>
        <v>28</v>
      </c>
      <c r="E93" s="891">
        <f>IF(Year2_Surrey Year2_Adoption_LAC_Adopted="","",Year2_Surrey Year2_Adoption_LAC_Adopted)</f>
        <v>30</v>
      </c>
      <c r="F93" s="891">
        <f>IF(Year3_Surrey Year3_Adoption_LAC_Adopted="","",Year3_Surrey Year3_Adoption_LAC_Adopted)</f>
        <v>23</v>
      </c>
      <c r="G93" s="891">
        <f>IF(Year4_Surrey Year4_Adoption_LAC_Adopted="","",Year4_Surrey Year4_Adoption_LAC_Adopted)</f>
        <v>31</v>
      </c>
      <c r="H93" s="1211">
        <f>IF(Year5_Surrey Year5_Adoption_LAC_Adopted="","",Year5_Surrey Year5_Adoption_LAC_Adopted)</f>
        <v>26</v>
      </c>
      <c r="I93" s="1301"/>
      <c r="J93" s="44"/>
      <c r="K93" s="891">
        <f>IF(Year1_Surrey Year1_A10="","",Year1_Surrey Year1_A10)</f>
        <v>325.96428571428572</v>
      </c>
      <c r="L93" s="891">
        <f>IF(Year2_Surrey Year2_A10="","",Year2_Surrey Year2_A10)</f>
        <v>493.23333333333335</v>
      </c>
      <c r="M93" s="891">
        <f>IF(Year3_Surrey Year3_A10="","",Year3_Surrey Year3_A10)</f>
        <v>550</v>
      </c>
      <c r="N93" s="891">
        <f>IF(Year4_Surrey Year4_A10="","",Year4_Surrey Year4_A10)</f>
        <v>448.06451612903226</v>
      </c>
      <c r="O93" s="1211">
        <f>IF(Year5_Surrey Year5_A10="","",Year5_Surrey Year5_A10)</f>
        <v>605.20000000000005</v>
      </c>
      <c r="P93" s="903">
        <f t="shared" si="32"/>
        <v>605.20000000000005</v>
      </c>
      <c r="Q93" s="1139">
        <f t="shared" si="22"/>
        <v>17</v>
      </c>
      <c r="R93" s="1309">
        <f t="shared" si="23"/>
        <v>69.808928571428581</v>
      </c>
      <c r="S93" s="120"/>
      <c r="T93" s="605"/>
      <c r="U93" s="103"/>
      <c r="V93" s="115"/>
      <c r="W93" s="265" t="str">
        <f t="shared" si="24"/>
        <v>Surrey</v>
      </c>
      <c r="X93" s="620">
        <f>IF(ISNUMBER(H93),IDACI!D23,0)</f>
        <v>228466</v>
      </c>
      <c r="Y93" s="621">
        <f>IF(ISNUMBER(H93),IDACI!E23,0)</f>
        <v>18962.678</v>
      </c>
      <c r="Z93" s="355">
        <f>IF(Year1_Surrey Year1_Adoption_LAC_Adopted_days="","",Year1_Surrey Year1_Adoption_LAC_Adopted_days)</f>
        <v>9127</v>
      </c>
      <c r="AA93" s="248">
        <f>IF(Year2_Surrey Year2_Adoption_LAC_Adopted_days="","",Year2_Surrey Year2_Adoption_LAC_Adopted_days)</f>
        <v>15136</v>
      </c>
      <c r="AB93" s="248">
        <f>IF(Year3_Surrey Year3_Adoption_LAC_Adopted_days="","",Year3_Surrey Year3_Adoption_LAC_Adopted_days)</f>
        <v>0</v>
      </c>
      <c r="AC93" s="248">
        <f>IF(Year4_Surrey Year4_Adoption_LAC_Adopted_days="","",Year4_Surrey Year4_Adoption_LAC_Adopted_days)</f>
        <v>13890</v>
      </c>
      <c r="AD93" s="248" t="str">
        <f>IF(Year5_Surrey Year5_Adoption_LAC_Adopted_days="","",Year5_Surrey Year5_Adoption_LAC_Adopted_days)</f>
        <v/>
      </c>
      <c r="AE93" s="687">
        <f t="shared" si="25"/>
        <v>28</v>
      </c>
      <c r="AF93" s="443">
        <f t="shared" si="26"/>
        <v>30</v>
      </c>
      <c r="AG93" s="443">
        <f t="shared" si="27"/>
        <v>23</v>
      </c>
      <c r="AH93" s="443">
        <f t="shared" si="28"/>
        <v>31</v>
      </c>
      <c r="AI93" s="443">
        <f t="shared" si="29"/>
        <v>26</v>
      </c>
      <c r="AJ93" s="623" t="s">
        <v>7</v>
      </c>
      <c r="AK93" s="70">
        <f t="shared" si="30"/>
        <v>605.20000000000005</v>
      </c>
      <c r="AL93" s="156">
        <f t="shared" si="38"/>
        <v>17</v>
      </c>
      <c r="AM93" s="121"/>
      <c r="AN93" s="531">
        <f t="shared" si="33"/>
        <v>167.26904761904763</v>
      </c>
      <c r="AO93" s="531">
        <f t="shared" si="34"/>
        <v>56.766666666666652</v>
      </c>
      <c r="AP93" s="531">
        <f t="shared" si="35"/>
        <v>-101.93548387096774</v>
      </c>
      <c r="AQ93" s="531">
        <f t="shared" si="36"/>
        <v>157.13548387096779</v>
      </c>
      <c r="AR93" s="1302">
        <f t="shared" si="37"/>
        <v>69.808928571428581</v>
      </c>
    </row>
    <row r="94" spans="1:47" s="61" customFormat="1" ht="15.75" customHeight="1">
      <c r="A94" s="1103">
        <f>VLOOKUP(B94,ReportData!$AQ$4:$AR$25,2,FALSE)</f>
        <v>0</v>
      </c>
      <c r="B94" s="885" t="s">
        <v>15</v>
      </c>
      <c r="C94" s="896"/>
      <c r="D94" s="891">
        <f>IF(Year1_West_Berkshire Year1_Adoption_LAC_Adopted="","",Year1_West_Berkshire Year1_Adoption_LAC_Adopted)</f>
        <v>6</v>
      </c>
      <c r="E94" s="891">
        <f>IF(Year2_West_Berkshire Year2_Adoption_LAC_Adopted="","",Year2_West_Berkshire Year2_Adoption_LAC_Adopted)</f>
        <v>6</v>
      </c>
      <c r="F94" s="891" t="str">
        <f>IF(Year3_West_Berkshire Year3_Adoption_LAC_Adopted="","",Year3_West_Berkshire Year3_Adoption_LAC_Adopted)</f>
        <v>c</v>
      </c>
      <c r="G94" s="891" t="str">
        <f>IF(Year4_West_Berkshire Year4_Adoption_LAC_Adopted="","",Year4_West_Berkshire Year4_Adoption_LAC_Adopted)</f>
        <v>c</v>
      </c>
      <c r="H94" s="1211" t="str">
        <f>IF(Year5_West_Berkshire Year5_Adoption_LAC_Adopted="","",Year5_West_Berkshire Year5_Adoption_LAC_Adopted)</f>
        <v>c</v>
      </c>
      <c r="I94" s="1301"/>
      <c r="J94" s="44"/>
      <c r="K94" s="891" t="str">
        <f>IF(Year1_West_Berkshire Year1_A10="","",Year1_West_Berkshire Year1_A10)</f>
        <v>c</v>
      </c>
      <c r="L94" s="891" t="str">
        <f>IF(Year2_West_Berkshire Year2_A10="","",Year2_West_Berkshire Year2_A10)</f>
        <v>c</v>
      </c>
      <c r="M94" s="891" t="str">
        <f>IF(Year3_West_Berkshire Year3_A10="","",Year3_West_Berkshire Year3_A10)</f>
        <v>c</v>
      </c>
      <c r="N94" s="891">
        <f>IF(Year4_West_Berkshire Year4_A10="","",Year4_West_Berkshire Year4_A10)</f>
        <v>604</v>
      </c>
      <c r="O94" s="1211">
        <f>IF(Year5_West_Berkshire Year5_A10="","",Year5_West_Berkshire Year5_A10)</f>
        <v>133.5</v>
      </c>
      <c r="P94" s="903">
        <f t="shared" ref="P94:P99" si="39">IF(ISNUMBER(O94),O94,"")</f>
        <v>133.5</v>
      </c>
      <c r="Q94" s="1139">
        <f t="shared" si="22"/>
        <v>1</v>
      </c>
      <c r="R94" s="1309">
        <f t="shared" si="23"/>
        <v>-470.5</v>
      </c>
      <c r="S94" s="120"/>
      <c r="T94" s="605"/>
      <c r="U94" s="103"/>
      <c r="V94" s="115"/>
      <c r="W94" s="265" t="str">
        <f t="shared" si="24"/>
        <v>West Berkshire</v>
      </c>
      <c r="X94" s="620">
        <f>IF(ISNUMBER(H94),IDACI!D24,0)</f>
        <v>0</v>
      </c>
      <c r="Y94" s="621">
        <f>IF(ISNUMBER(H94),IDACI!E24,0)</f>
        <v>0</v>
      </c>
      <c r="Z94" s="355" t="str">
        <f>IF(Year1_West_Berkshire Year1_Adoption_LAC_Adopted_days="","",Year1_West_Berkshire Year1_Adoption_LAC_Adopted_days)</f>
        <v>x</v>
      </c>
      <c r="AA94" s="248">
        <f>IF(Year2_West_Berkshire Year2_Adoption_LAC_Adopted_days="","",Year2_West_Berkshire Year2_Adoption_LAC_Adopted_days)</f>
        <v>2950</v>
      </c>
      <c r="AB94" s="248" t="str">
        <f>IF(Year3_West_Berkshire Year3_Adoption_LAC_Adopted_days="","",Year3_West_Berkshire Year3_Adoption_LAC_Adopted_days)</f>
        <v>c</v>
      </c>
      <c r="AC94" s="248" t="str">
        <f>IF(Year4_West_Berkshire Year4_Adoption_LAC_Adopted_days="","",Year4_West_Berkshire Year4_Adoption_LAC_Adopted_days)</f>
        <v>c</v>
      </c>
      <c r="AD94" s="248" t="str">
        <f>IF(Year5_West_Berkshire Year5_Adoption_LAC_Adopted_days="","",Year5_West_Berkshire Year5_Adoption_LAC_Adopted_days)</f>
        <v/>
      </c>
      <c r="AE94" s="687">
        <f t="shared" si="25"/>
        <v>6</v>
      </c>
      <c r="AF94" s="443">
        <f t="shared" si="26"/>
        <v>6</v>
      </c>
      <c r="AG94" s="443" t="str">
        <f t="shared" si="27"/>
        <v>c</v>
      </c>
      <c r="AH94" s="443" t="str">
        <f t="shared" si="28"/>
        <v>c</v>
      </c>
      <c r="AI94" s="443" t="str">
        <f t="shared" si="29"/>
        <v>c</v>
      </c>
      <c r="AJ94" s="623" t="s">
        <v>15</v>
      </c>
      <c r="AK94" s="70">
        <f t="shared" si="30"/>
        <v>133.5</v>
      </c>
      <c r="AL94" s="156">
        <f t="shared" si="38"/>
        <v>1</v>
      </c>
      <c r="AM94" s="121"/>
      <c r="AN94" s="531" t="str">
        <f t="shared" si="33"/>
        <v>x</v>
      </c>
      <c r="AO94" s="531" t="str">
        <f t="shared" si="34"/>
        <v>x</v>
      </c>
      <c r="AP94" s="531" t="str">
        <f t="shared" si="35"/>
        <v>x</v>
      </c>
      <c r="AQ94" s="531">
        <f t="shared" si="36"/>
        <v>-470.5</v>
      </c>
      <c r="AR94" s="1302">
        <f t="shared" ref="AR94:AR99" si="40">AVERAGE(AN94:AQ94)</f>
        <v>-470.5</v>
      </c>
    </row>
    <row r="95" spans="1:47" s="61" customFormat="1" ht="15.75" customHeight="1">
      <c r="A95" s="1103">
        <f>VLOOKUP(B95,ReportData!$AQ$4:$AR$25,2,FALSE)</f>
        <v>0</v>
      </c>
      <c r="B95" s="885" t="s">
        <v>5</v>
      </c>
      <c r="C95" s="896"/>
      <c r="D95" s="891">
        <f>IF(Year1_West_Sussex Year1_Adoption_LAC_Adopted="","",Year1_West_Sussex Year1_Adoption_LAC_Adopted)</f>
        <v>39</v>
      </c>
      <c r="E95" s="891">
        <f>IF(Year2_West_Sussex Year2_Adoption_LAC_Adopted="","",Year2_West_Sussex Year2_Adoption_LAC_Adopted)</f>
        <v>36</v>
      </c>
      <c r="F95" s="891">
        <f>IF(Year3_West_Sussex Year3_Adoption_LAC_Adopted="","",Year3_West_Sussex Year3_Adoption_LAC_Adopted)</f>
        <v>36</v>
      </c>
      <c r="G95" s="891">
        <f>IF(Year4_West_Sussex Year4_Adoption_LAC_Adopted="","",Year4_West_Sussex Year4_Adoption_LAC_Adopted)</f>
        <v>29</v>
      </c>
      <c r="H95" s="1211">
        <f>IF(Year5_West_Sussex Year5_Adoption_LAC_Adopted="","",Year5_West_Sussex Year5_Adoption_LAC_Adopted)</f>
        <v>32</v>
      </c>
      <c r="I95" s="1301"/>
      <c r="J95" s="44"/>
      <c r="K95" s="891">
        <f>IF(Year1_West_Sussex Year1_A10="","",Year1_West_Sussex Year1_A10)</f>
        <v>537.61363636363637</v>
      </c>
      <c r="L95" s="891">
        <f>IF(Year2_West_Sussex Year2_A10="","",Year2_West_Sussex Year2_A10)</f>
        <v>485</v>
      </c>
      <c r="M95" s="891">
        <f>IF(Year3_West_Sussex Year3_A10="","",Year3_West_Sussex Year3_A10)</f>
        <v>419.16666666666669</v>
      </c>
      <c r="N95" s="891">
        <f>IF(Year4_West_Sussex Year4_A10="","",Year4_West_Sussex Year4_A10)</f>
        <v>380.34482758620692</v>
      </c>
      <c r="O95" s="1211">
        <f>IF(Year5_West_Sussex Year5_A10="","",Year5_West_Sussex Year5_A10)</f>
        <v>474.0625</v>
      </c>
      <c r="P95" s="903">
        <f t="shared" si="39"/>
        <v>474.0625</v>
      </c>
      <c r="Q95" s="1139">
        <f t="shared" si="22"/>
        <v>11</v>
      </c>
      <c r="R95" s="1309">
        <f t="shared" si="23"/>
        <v>-15.887784090909093</v>
      </c>
      <c r="S95" s="120"/>
      <c r="T95" s="605"/>
      <c r="U95" s="103"/>
      <c r="V95" s="115"/>
      <c r="W95" s="265" t="str">
        <f t="shared" si="24"/>
        <v>West Sussex</v>
      </c>
      <c r="X95" s="620">
        <f>IF(ISNUMBER(H95),IDACI!D25,0)</f>
        <v>151487</v>
      </c>
      <c r="Y95" s="621">
        <f>IF(ISNUMBER(H95),IDACI!E25,0)</f>
        <v>16663.57</v>
      </c>
      <c r="Z95" s="355">
        <f>IF(Year1_West_Sussex Year1_Adoption_LAC_Adopted_days="","",Year1_West_Sussex Year1_Adoption_LAC_Adopted_days)</f>
        <v>20966.93181818182</v>
      </c>
      <c r="AA95" s="248">
        <f>IF(Year2_West_Sussex Year2_Adoption_LAC_Adopted_days="","",Year2_West_Sussex Year2_Adoption_LAC_Adopted_days)</f>
        <v>17460</v>
      </c>
      <c r="AB95" s="248">
        <f>IF(Year3_West_Sussex Year3_Adoption_LAC_Adopted_days="","",Year3_West_Sussex Year3_Adoption_LAC_Adopted_days)</f>
        <v>0</v>
      </c>
      <c r="AC95" s="248">
        <f>IF(Year4_West_Sussex Year4_Adoption_LAC_Adopted_days="","",Year4_West_Sussex Year4_Adoption_LAC_Adopted_days)</f>
        <v>11030</v>
      </c>
      <c r="AD95" s="248" t="str">
        <f>IF(Year5_West_Sussex Year5_Adoption_LAC_Adopted_days="","",Year5_West_Sussex Year5_Adoption_LAC_Adopted_days)</f>
        <v/>
      </c>
      <c r="AE95" s="687">
        <f t="shared" si="25"/>
        <v>39</v>
      </c>
      <c r="AF95" s="443">
        <f t="shared" si="26"/>
        <v>36</v>
      </c>
      <c r="AG95" s="443">
        <f t="shared" si="27"/>
        <v>36</v>
      </c>
      <c r="AH95" s="443">
        <f t="shared" si="28"/>
        <v>29</v>
      </c>
      <c r="AI95" s="443">
        <f t="shared" si="29"/>
        <v>32</v>
      </c>
      <c r="AJ95" s="61" t="s">
        <v>5</v>
      </c>
      <c r="AK95" s="70">
        <f t="shared" si="30"/>
        <v>474.0625</v>
      </c>
      <c r="AL95" s="156">
        <f t="shared" si="38"/>
        <v>11</v>
      </c>
      <c r="AM95" s="121"/>
      <c r="AN95" s="531">
        <f t="shared" si="33"/>
        <v>-52.613636363636374</v>
      </c>
      <c r="AO95" s="531">
        <f t="shared" si="34"/>
        <v>-65.833333333333314</v>
      </c>
      <c r="AP95" s="531">
        <f t="shared" si="35"/>
        <v>-38.821839080459768</v>
      </c>
      <c r="AQ95" s="531">
        <f t="shared" si="36"/>
        <v>93.717672413793082</v>
      </c>
      <c r="AR95" s="1302">
        <f t="shared" si="40"/>
        <v>-15.887784090909093</v>
      </c>
    </row>
    <row r="96" spans="1:47" s="61" customFormat="1" ht="15.75" customHeight="1">
      <c r="A96" s="1103">
        <f>VLOOKUP(B96,ReportData!$AQ$4:$AR$25,2,FALSE)</f>
        <v>0</v>
      </c>
      <c r="B96" s="885" t="s">
        <v>27</v>
      </c>
      <c r="C96" s="896"/>
      <c r="D96" s="891">
        <f>IF(Year1_Windsor_and_Maidenhead Year1_Adoption_LAC_Adopted="","",Year1_Windsor_and_Maidenhead Year1_Adoption_LAC_Adopted)</f>
        <v>0</v>
      </c>
      <c r="E96" s="891" t="str">
        <f>IF(Year2_Windsor_and_Maidenhead Year2_Adoption_LAC_Adopted="","",Year2_Windsor_and_Maidenhead Year2_Adoption_LAC_Adopted)</f>
        <v>x</v>
      </c>
      <c r="F96" s="891" t="str">
        <f>IF(Year3_Windsor_and_Maidenhead Year3_Adoption_LAC_Adopted="","",Year3_Windsor_and_Maidenhead Year3_Adoption_LAC_Adopted)</f>
        <v>c</v>
      </c>
      <c r="G96" s="891">
        <f>IF(Year4_Windsor_and_Maidenhead Year4_Adoption_LAC_Adopted="","",Year4_Windsor_and_Maidenhead Year4_Adoption_LAC_Adopted)</f>
        <v>6</v>
      </c>
      <c r="H96" s="1211" t="str">
        <f>IF(Year5_Windsor_and_Maidenhead Year5_Adoption_LAC_Adopted="","",Year5_Windsor_and_Maidenhead Year5_Adoption_LAC_Adopted)</f>
        <v>c</v>
      </c>
      <c r="I96" s="1301"/>
      <c r="J96" s="44"/>
      <c r="K96" s="891" t="str">
        <f>IF(Year1_Windsor_and_Maidenhead Year1_A10="","",Year1_Windsor_and_Maidenhead Year1_A10)</f>
        <v>c</v>
      </c>
      <c r="L96" s="891" t="str">
        <f>IF(Year2_Windsor_and_Maidenhead Year2_A10="","",Year2_Windsor_and_Maidenhead Year2_A10)</f>
        <v>c</v>
      </c>
      <c r="M96" s="891" t="str">
        <f>IF(Year3_Windsor_and_Maidenhead Year3_A10="","",Year3_Windsor_and_Maidenhead Year3_A10)</f>
        <v>c</v>
      </c>
      <c r="N96" s="891">
        <f>IF(Year4_Windsor_and_Maidenhead Year4_A10="","",Year4_Windsor_and_Maidenhead Year4_A10)</f>
        <v>312.33333333333331</v>
      </c>
      <c r="O96" s="1211">
        <f>IF(Year5_Windsor_and_Maidenhead Year5_A10="","",Year5_Windsor_and_Maidenhead Year5_A10)</f>
        <v>445</v>
      </c>
      <c r="P96" s="903">
        <f t="shared" si="39"/>
        <v>445</v>
      </c>
      <c r="Q96" s="1139">
        <f t="shared" si="22"/>
        <v>8</v>
      </c>
      <c r="R96" s="1309">
        <f t="shared" si="23"/>
        <v>132.66666666666669</v>
      </c>
      <c r="S96" s="120"/>
      <c r="T96" s="605"/>
      <c r="U96" s="103"/>
      <c r="V96" s="115"/>
      <c r="W96" s="265" t="str">
        <f t="shared" si="24"/>
        <v>Windsor &amp; Maidenhead</v>
      </c>
      <c r="X96" s="620">
        <f>IF(ISNUMBER(H96),IDACI!D26,0)</f>
        <v>0</v>
      </c>
      <c r="Y96" s="621">
        <f>IF(ISNUMBER(H96),IDACI!E26,0)</f>
        <v>0</v>
      </c>
      <c r="Z96" s="355" t="str">
        <f>IF(Year1_Windsor_and_Maidenhead Year1_Adoption_LAC_Adopted_days="","",Year1_Windsor_and_Maidenhead Year1_Adoption_LAC_Adopted_days)</f>
        <v>x</v>
      </c>
      <c r="AA96" s="248" t="str">
        <f>IF(Year2_Windsor_and_Maidenhead Year2_Adoption_LAC_Adopted_days="","",Year2_Windsor_and_Maidenhead Year2_Adoption_LAC_Adopted_days)</f>
        <v>x</v>
      </c>
      <c r="AB96" s="248" t="str">
        <f>IF(Year3_Windsor_and_Maidenhead Year3_Adoption_LAC_Adopted_days="","",Year3_Windsor_and_Maidenhead Year3_Adoption_LAC_Adopted_days)</f>
        <v>c</v>
      </c>
      <c r="AC96" s="248">
        <f>IF(Year4_Windsor_and_Maidenhead Year4_Adoption_LAC_Adopted_days="","",Year4_Windsor_and_Maidenhead Year4_Adoption_LAC_Adopted_days)</f>
        <v>1874</v>
      </c>
      <c r="AD96" s="248" t="str">
        <f>IF(Year5_Windsor_and_Maidenhead Year5_Adoption_LAC_Adopted_days="","",Year5_Windsor_and_Maidenhead Year5_Adoption_LAC_Adopted_days)</f>
        <v/>
      </c>
      <c r="AE96" s="687">
        <f t="shared" si="25"/>
        <v>0</v>
      </c>
      <c r="AF96" s="443" t="str">
        <f t="shared" si="26"/>
        <v>x</v>
      </c>
      <c r="AG96" s="443" t="str">
        <f t="shared" si="27"/>
        <v>c</v>
      </c>
      <c r="AH96" s="443">
        <f t="shared" si="28"/>
        <v>6</v>
      </c>
      <c r="AI96" s="443" t="str">
        <f t="shared" si="29"/>
        <v>c</v>
      </c>
      <c r="AJ96" s="623" t="s">
        <v>27</v>
      </c>
      <c r="AK96" s="70">
        <f t="shared" si="30"/>
        <v>445</v>
      </c>
      <c r="AL96" s="156">
        <f t="shared" si="38"/>
        <v>8</v>
      </c>
      <c r="AM96" s="121"/>
      <c r="AN96" s="531" t="str">
        <f t="shared" si="33"/>
        <v>x</v>
      </c>
      <c r="AO96" s="531" t="str">
        <f t="shared" si="34"/>
        <v>x</v>
      </c>
      <c r="AP96" s="531" t="str">
        <f t="shared" si="35"/>
        <v>x</v>
      </c>
      <c r="AQ96" s="531">
        <f t="shared" si="36"/>
        <v>132.66666666666669</v>
      </c>
      <c r="AR96" s="1302">
        <f t="shared" si="40"/>
        <v>132.66666666666669</v>
      </c>
    </row>
    <row r="97" spans="1:51" s="61" customFormat="1" ht="15.75" customHeight="1">
      <c r="A97" s="1103">
        <f>VLOOKUP(B97,ReportData!$AQ$4:$AR$25,2,FALSE)</f>
        <v>0</v>
      </c>
      <c r="B97" s="885" t="s">
        <v>16</v>
      </c>
      <c r="C97" s="896"/>
      <c r="D97" s="891">
        <f>IF(Year1_Wokingham Year1_Adoption_LAC_Adopted="","",Year1_Wokingham Year1_Adoption_LAC_Adopted)</f>
        <v>6</v>
      </c>
      <c r="E97" s="891" t="str">
        <f>IF(Year2_Wokingham Year2_Adoption_LAC_Adopted="","",Year2_Wokingham Year2_Adoption_LAC_Adopted)</f>
        <v>x</v>
      </c>
      <c r="F97" s="891" t="str">
        <f>IF(Year3_Wokingham Year3_Adoption_LAC_Adopted="","",Year3_Wokingham Year3_Adoption_LAC_Adopted)</f>
        <v>c</v>
      </c>
      <c r="G97" s="891" t="str">
        <f>IF(Year4_Wokingham Year4_Adoption_LAC_Adopted="","",Year4_Wokingham Year4_Adoption_LAC_Adopted)</f>
        <v>c</v>
      </c>
      <c r="H97" s="1211" t="str">
        <f>IF(Year5_Wokingham Year5_Adoption_LAC_Adopted="","",Year5_Wokingham Year5_Adoption_LAC_Adopted)</f>
        <v>c</v>
      </c>
      <c r="I97" s="1301"/>
      <c r="J97" s="44"/>
      <c r="K97" s="891" t="str">
        <f>IF(Year1_Wokingham Year1_A10="","",Year1_Wokingham Year1_A10)</f>
        <v>c</v>
      </c>
      <c r="L97" s="891" t="str">
        <f>IF(Year2_Wokingham Year2_A10="","",Year2_Wokingham Year2_A10)</f>
        <v>c</v>
      </c>
      <c r="M97" s="891" t="str">
        <f>IF(Year3_Wokingham Year3_A10="","",Year3_Wokingham Year3_A10)</f>
        <v>c</v>
      </c>
      <c r="N97" s="891">
        <f>IF(Year4_Wokingham Year4_A10="","",Year4_Wokingham Year4_A10)</f>
        <v>565</v>
      </c>
      <c r="O97" s="1211">
        <f>IF(Year5_Wokingham Year5_A10="","",Year5_Wokingham Year5_A10)</f>
        <v>645.25</v>
      </c>
      <c r="P97" s="903">
        <f t="shared" si="39"/>
        <v>645.25</v>
      </c>
      <c r="Q97" s="1139">
        <f t="shared" si="22"/>
        <v>18</v>
      </c>
      <c r="R97" s="1309">
        <f t="shared" si="23"/>
        <v>80.25</v>
      </c>
      <c r="S97" s="120"/>
      <c r="T97" s="605"/>
      <c r="U97" s="103"/>
      <c r="V97" s="115"/>
      <c r="W97" s="265" t="str">
        <f t="shared" si="24"/>
        <v>Wokingham</v>
      </c>
      <c r="X97" s="620">
        <f>IF(ISNUMBER(H97),IDACI!D27,0)</f>
        <v>0</v>
      </c>
      <c r="Y97" s="621">
        <f>IF(ISNUMBER(H97),IDACI!E27,0)</f>
        <v>0</v>
      </c>
      <c r="Z97" s="355" t="str">
        <f>IF(Year1_Wokingham Year1_Adoption_LAC_Adopted_days="","",Year1_Wokingham Year1_Adoption_LAC_Adopted_days)</f>
        <v>x</v>
      </c>
      <c r="AA97" s="248">
        <f>IF(Year2_Wokingham Year2_Adoption_LAC_Adopted_days="","",Year2_Wokingham Year2_Adoption_LAC_Adopted_days)</f>
        <v>1197</v>
      </c>
      <c r="AB97" s="248" t="str">
        <f>IF(Year3_Wokingham Year3_Adoption_LAC_Adopted_days="","",Year3_Wokingham Year3_Adoption_LAC_Adopted_days)</f>
        <v>c</v>
      </c>
      <c r="AC97" s="248" t="str">
        <f>IF(Year4_Wokingham Year4_Adoption_LAC_Adopted_days="","",Year4_Wokingham Year4_Adoption_LAC_Adopted_days)</f>
        <v>c</v>
      </c>
      <c r="AD97" s="248" t="str">
        <f>IF(Year5_Wokingham Year5_Adoption_LAC_Adopted_days="","",Year5_Wokingham Year5_Adoption_LAC_Adopted_days)</f>
        <v/>
      </c>
      <c r="AE97" s="687">
        <f t="shared" si="25"/>
        <v>6</v>
      </c>
      <c r="AF97" s="443" t="str">
        <f t="shared" si="26"/>
        <v>x</v>
      </c>
      <c r="AG97" s="443" t="str">
        <f t="shared" si="27"/>
        <v>c</v>
      </c>
      <c r="AH97" s="443" t="str">
        <f t="shared" si="28"/>
        <v>c</v>
      </c>
      <c r="AI97" s="443" t="str">
        <f t="shared" si="29"/>
        <v>c</v>
      </c>
      <c r="AJ97" s="623" t="s">
        <v>16</v>
      </c>
      <c r="AK97" s="70">
        <f t="shared" si="30"/>
        <v>645.25</v>
      </c>
      <c r="AL97" s="156">
        <f t="shared" si="38"/>
        <v>18</v>
      </c>
      <c r="AM97" s="121"/>
      <c r="AN97" s="531" t="str">
        <f t="shared" si="33"/>
        <v>x</v>
      </c>
      <c r="AO97" s="531" t="str">
        <f t="shared" si="34"/>
        <v>x</v>
      </c>
      <c r="AP97" s="531" t="str">
        <f t="shared" si="35"/>
        <v>x</v>
      </c>
      <c r="AQ97" s="531">
        <f t="shared" si="36"/>
        <v>80.25</v>
      </c>
      <c r="AR97" s="1302">
        <f t="shared" si="40"/>
        <v>80.25</v>
      </c>
    </row>
    <row r="98" spans="1:51" s="61" customFormat="1" ht="15.75" customHeight="1">
      <c r="A98" s="306"/>
      <c r="B98" s="886" t="s">
        <v>71</v>
      </c>
      <c r="C98" s="896"/>
      <c r="D98" s="1279">
        <f>IF(Year1_South_East Year1_Adoption_LAC_Adopted="","",Year1_South_East Year1_Adoption_LAC_Adopted)</f>
        <v>470</v>
      </c>
      <c r="E98" s="1279">
        <f>IF(Year2_South_East Year2_Adoption_LAC_Adopted="","",Year2_South_East Year2_Adoption_LAC_Adopted)</f>
        <v>370</v>
      </c>
      <c r="F98" s="1279">
        <f>IF(Year3_South_East Year3_Adoption_LAC_Adopted="","",Year3_South_East Year3_Adoption_LAC_Adopted)</f>
        <v>360</v>
      </c>
      <c r="G98" s="1279">
        <f>IF(Year4_South_East Year4_Adoption_LAC_Adopted="","",Year4_South_East Year4_Adoption_LAC_Adopted)</f>
        <v>380</v>
      </c>
      <c r="H98" s="1280">
        <f>IF(Year5_South_East Year5_Adoption_LAC_Adopted="","",Year5_South_East Year5_Adoption_LAC_Adopted)</f>
        <v>390</v>
      </c>
      <c r="I98" s="1301"/>
      <c r="J98" s="44"/>
      <c r="K98" s="1279">
        <f>IF(Year1_South_East Year1_A10="","",Year1_South_East Year1_A10)</f>
        <v>417</v>
      </c>
      <c r="L98" s="1279">
        <f>IF(Year2_South_East Year2_A10="","",Year2_South_East Year2_A10)</f>
        <v>372.44324324324299</v>
      </c>
      <c r="M98" s="1279">
        <f>IF(Year3_South_East Year3_A10="","",Year3_South_East Year3_A10)</f>
        <v>404.87675070028013</v>
      </c>
      <c r="N98" s="1279">
        <f>IF(Year4_South_East Year4_A10="","",Year4_South_East Year4_A10)</f>
        <v>442</v>
      </c>
      <c r="O98" s="1280">
        <f>IF(Year5_South_East Year5_A10="","",Year5_South_East Year5_A10)</f>
        <v>446.51948051948051</v>
      </c>
      <c r="P98" s="903">
        <f t="shared" si="39"/>
        <v>446.51948051948051</v>
      </c>
      <c r="Q98" s="1140" t="str">
        <f>IF(ISNA(VLOOKUP(B98,$AE$11:$AG$29,3,FALSE)),"--",IF(ISNUMBER(H98),VLOOKUP(B98,$AE$11:$AG$29,3,FALSE),NA()))</f>
        <v>--</v>
      </c>
      <c r="R98" s="1304">
        <f t="shared" si="23"/>
        <v>7.3798701298701275</v>
      </c>
      <c r="S98" s="120"/>
      <c r="T98" s="605"/>
      <c r="U98" s="103"/>
      <c r="V98" s="115"/>
      <c r="W98" s="265" t="str">
        <f t="shared" si="24"/>
        <v>South East</v>
      </c>
      <c r="X98" s="620">
        <f>SUM(X92:X93,X79:X91,X94:X97)</f>
        <v>1515151</v>
      </c>
      <c r="Y98" s="621">
        <f>SUM(Y92:Y93,Y79:Y91,Y94:Y97)</f>
        <v>191346.05300000001</v>
      </c>
      <c r="Z98" s="355">
        <f>IF(Year1_South_East Year1_Adoption_LAC_Adopted_days=0,NA(),Year1_South_East Year1_Adoption_LAC_Adopted_days)</f>
        <v>195990</v>
      </c>
      <c r="AA98" s="307">
        <f>IF(Year2_South_East Year2_Adoption_LAC_Adopted_days=0,NA(),Year2_South_East Year2_Adoption_LAC_Adopted_days)</f>
        <v>137038</v>
      </c>
      <c r="AB98" s="307">
        <f>IF(Year3_South_East Year3_Adoption_LAC_Adopted_days=0,NA(),Year3_South_East Year3_Adoption_LAC_Adopted_days)</f>
        <v>145755.63025210085</v>
      </c>
      <c r="AC98" s="307">
        <f>IF(Year4_South_East Year4_Adoption_LAC_Adopted_days=0,NA(),Year4_South_East Year4_Adoption_LAC_Adopted_days)</f>
        <v>167960</v>
      </c>
      <c r="AD98" s="307" t="e">
        <f>IF(Year5_South_East Year5_Adoption_LAC_Adopted_days=0,NA(),Year5_South_East Year5_Adoption_LAC_Adopted_days)</f>
        <v>#N/A</v>
      </c>
      <c r="AE98" s="687">
        <f t="shared" si="25"/>
        <v>470</v>
      </c>
      <c r="AF98" s="443">
        <f t="shared" si="26"/>
        <v>370</v>
      </c>
      <c r="AG98" s="443">
        <f t="shared" si="27"/>
        <v>360</v>
      </c>
      <c r="AH98" s="443">
        <f t="shared" si="28"/>
        <v>380</v>
      </c>
      <c r="AI98" s="443">
        <f t="shared" si="29"/>
        <v>390</v>
      </c>
      <c r="AJ98" s="443"/>
      <c r="AK98" s="443"/>
      <c r="AL98" s="52"/>
      <c r="AM98" s="121"/>
      <c r="AN98" s="531">
        <f t="shared" si="33"/>
        <v>-44.556756756757011</v>
      </c>
      <c r="AO98" s="531">
        <f t="shared" si="34"/>
        <v>32.433507457037138</v>
      </c>
      <c r="AP98" s="531">
        <f t="shared" si="35"/>
        <v>37.123249299719873</v>
      </c>
      <c r="AQ98" s="531">
        <f t="shared" si="36"/>
        <v>4.5194805194805099</v>
      </c>
      <c r="AR98" s="1302">
        <f t="shared" si="40"/>
        <v>7.3798701298701275</v>
      </c>
    </row>
    <row r="99" spans="1:51" s="61" customFormat="1" ht="15.75" customHeight="1">
      <c r="A99" s="306"/>
      <c r="B99" s="887" t="s">
        <v>109</v>
      </c>
      <c r="C99" s="896"/>
      <c r="D99" s="1281">
        <f>IF(Year1_England Year1_Adoption_LAC_Adopted="","",Year1_England Year1_Adoption_LAC_Adopted)</f>
        <v>3450</v>
      </c>
      <c r="E99" s="1281">
        <f>IF(Year2_England Year2_Adoption_LAC_Adopted="","",Year2_England Year2_Adoption_LAC_Adopted)</f>
        <v>2870</v>
      </c>
      <c r="F99" s="1281">
        <f>IF(Year3_England Year3_Adoption_LAC_Adopted="","",Year3_England Year3_Adoption_LAC_Adopted)</f>
        <v>2950</v>
      </c>
      <c r="G99" s="1281">
        <f>IF(Year4_England Year4_Adoption_LAC_Adopted="","",Year4_England Year4_Adoption_LAC_Adopted)</f>
        <v>2960</v>
      </c>
      <c r="H99" s="1282">
        <f>IF(Year5_England Year5_Adoption_LAC_Adopted="","",Year5_England Year5_Adoption_LAC_Adopted)</f>
        <v>2980</v>
      </c>
      <c r="I99" s="1301"/>
      <c r="J99" s="44"/>
      <c r="K99" s="1281">
        <f>IF(Year1_England Year1_A10="","",Year1_England Year1_A10)</f>
        <v>459</v>
      </c>
      <c r="L99" s="1281">
        <f>IF(Year2_England Year2_A10="","",Year2_England Year2_A10)</f>
        <v>418.115752212389</v>
      </c>
      <c r="M99" s="1281">
        <f>IF(Year3_England Year3_A10="","",Year3_England Year3_A10)</f>
        <v>458.75887978142077</v>
      </c>
      <c r="N99" s="1281">
        <f>IF(Year4_England Year4_A10="","",Year4_England Year4_A10)</f>
        <v>480</v>
      </c>
      <c r="O99" s="1282">
        <f>IF(Year5_England Year5_A10="","",Year5_England Year5_A10)</f>
        <v>485.03991949010401</v>
      </c>
      <c r="P99" s="1283">
        <f t="shared" si="39"/>
        <v>485.03991949010401</v>
      </c>
      <c r="Q99" s="1141" t="str">
        <f>IF(ISNA(VLOOKUP(B99,$AE$11:$AG$29,3,FALSE)),"--",IF(ISNUMBER(H99),VLOOKUP(B99,$AE$11:$AG$29,3,FALSE),NA()))</f>
        <v>--</v>
      </c>
      <c r="R99" s="1303">
        <f t="shared" si="23"/>
        <v>6.509979872526003</v>
      </c>
      <c r="S99" s="120"/>
      <c r="T99" s="605"/>
      <c r="U99" s="102"/>
      <c r="V99" s="114"/>
      <c r="W99" s="265"/>
      <c r="X99" s="620"/>
      <c r="Y99" s="621"/>
      <c r="Z99" s="1278">
        <f>IF(Year1_England Year1_Adoption_LAC_Adopted_days="","",Year1_England Year1_Adoption_LAC_Adopted_days)</f>
        <v>1583550</v>
      </c>
      <c r="AA99" s="244">
        <f>IF(Year2_England Year2_Adoption_LAC_Adopted_days="","",Year2_England Year2_Adoption_LAC_Adopted_days)</f>
        <v>1199992.2088495565</v>
      </c>
      <c r="AB99" s="244">
        <f>IF(Year3_England Year3_Adoption_LAC_Adopted_days="","",Year3_England Year3_Adoption_LAC_Adopted_days)</f>
        <v>1353338.6953551914</v>
      </c>
      <c r="AC99" s="244">
        <f>IF(Year4_England Year4_Adoption_LAC_Adopted_days="","",Year4_England Year4_Adoption_LAC_Adopted_days)</f>
        <v>1420800</v>
      </c>
      <c r="AD99" s="248" t="str">
        <f>IF(Year5_England Year5_Adoption_LAC_Adopted_days="","",Year5_England Year5_Adoption_LAC_Adopted_days)</f>
        <v/>
      </c>
      <c r="AE99" s="687">
        <f t="shared" si="25"/>
        <v>3450</v>
      </c>
      <c r="AF99" s="443">
        <f t="shared" si="26"/>
        <v>2870</v>
      </c>
      <c r="AG99" s="443">
        <f t="shared" si="27"/>
        <v>2950</v>
      </c>
      <c r="AH99" s="443">
        <f t="shared" si="28"/>
        <v>2960</v>
      </c>
      <c r="AI99" s="443">
        <f t="shared" si="29"/>
        <v>2980</v>
      </c>
      <c r="AJ99" s="443"/>
      <c r="AK99" s="443"/>
      <c r="AL99" s="52"/>
      <c r="AM99" s="121"/>
      <c r="AN99" s="531">
        <f t="shared" ref="AN99" si="41">IF(ISERROR((L99-K99)),"x",(L99-K99))</f>
        <v>-40.884247787611002</v>
      </c>
      <c r="AO99" s="531">
        <f t="shared" ref="AO99" si="42">IF(ISERROR((M99-L99)),"x",(M99-L99))</f>
        <v>40.643127569031776</v>
      </c>
      <c r="AP99" s="531">
        <f t="shared" ref="AP99" si="43">IF(ISERROR((N99-M99)),"x",(N99-M99))</f>
        <v>21.241120218579226</v>
      </c>
      <c r="AQ99" s="531">
        <f t="shared" ref="AQ99" si="44">IF(ISERROR((O99-N99)),"x",(O99-N99))</f>
        <v>5.0399194901040119</v>
      </c>
      <c r="AR99" s="1302">
        <f t="shared" si="40"/>
        <v>6.509979872526003</v>
      </c>
    </row>
    <row r="100" spans="1:51" s="56" customFormat="1" ht="12.75" customHeight="1">
      <c r="A100" s="288"/>
      <c r="B100" s="90"/>
      <c r="C100" s="44"/>
      <c r="E100" s="44"/>
      <c r="G100" s="44"/>
      <c r="H100" s="44"/>
      <c r="I100" s="44"/>
      <c r="J100" s="44"/>
      <c r="K100" s="44"/>
      <c r="L100" s="44"/>
      <c r="M100" s="44"/>
      <c r="N100" s="44"/>
      <c r="O100" s="44"/>
      <c r="P100" s="46"/>
      <c r="Q100" s="1305" t="s">
        <v>100</v>
      </c>
      <c r="R100" s="50"/>
      <c r="S100" s="46"/>
      <c r="T100" s="605"/>
      <c r="U100" s="121"/>
      <c r="V100" s="114"/>
      <c r="W100" s="378"/>
      <c r="AB100" s="147"/>
      <c r="AC100" s="378"/>
      <c r="AD100" s="157"/>
      <c r="AE100" s="147"/>
      <c r="AF100" s="157"/>
      <c r="AG100" s="157"/>
      <c r="AH100" s="157"/>
      <c r="AI100" s="157"/>
      <c r="AJ100" s="310"/>
      <c r="AK100" s="310"/>
      <c r="AL100" s="310"/>
      <c r="AM100" s="122"/>
    </row>
    <row r="101" spans="1:51" s="56" customFormat="1" ht="7.5" customHeight="1">
      <c r="A101" s="208"/>
      <c r="B101" s="12"/>
      <c r="C101" s="12"/>
      <c r="D101" s="11"/>
      <c r="E101" s="11"/>
      <c r="F101" s="11"/>
      <c r="G101" s="11"/>
      <c r="H101" s="11"/>
      <c r="I101" s="11"/>
      <c r="J101" s="11"/>
      <c r="K101" s="13"/>
      <c r="L101" s="13"/>
      <c r="M101" s="13"/>
      <c r="N101" s="13"/>
      <c r="O101" s="13"/>
      <c r="P101" s="13"/>
      <c r="Q101" s="13"/>
      <c r="R101" s="13"/>
      <c r="S101" s="13"/>
      <c r="T101" s="606"/>
      <c r="U101" s="185"/>
      <c r="V101" s="114"/>
      <c r="X101" s="141"/>
      <c r="AJ101" s="52"/>
      <c r="AK101" s="52"/>
      <c r="AL101" s="52"/>
      <c r="AM101" s="119"/>
      <c r="AN101" s="52"/>
      <c r="AO101" s="52"/>
      <c r="AP101" s="52"/>
      <c r="AQ101" s="52"/>
      <c r="AR101" s="52"/>
      <c r="AS101" s="52"/>
      <c r="AT101" s="52"/>
    </row>
    <row r="102" spans="1:51" s="56" customFormat="1" ht="15" customHeight="1">
      <c r="A102" s="1758"/>
      <c r="B102" s="1751"/>
      <c r="C102" s="1751"/>
      <c r="D102" s="1751"/>
      <c r="E102" s="1751"/>
      <c r="F102" s="1751"/>
      <c r="G102" s="1751"/>
      <c r="H102" s="1751"/>
      <c r="I102" s="1751"/>
      <c r="J102" s="1751"/>
      <c r="K102" s="1751"/>
      <c r="L102" s="1751"/>
      <c r="M102" s="1751"/>
      <c r="N102" s="1751"/>
      <c r="O102" s="1751"/>
      <c r="P102" s="1751"/>
      <c r="Q102" s="1751"/>
      <c r="R102" s="1751"/>
      <c r="S102" s="1751"/>
      <c r="T102" s="1752"/>
      <c r="U102" s="185"/>
      <c r="V102" s="114"/>
      <c r="W102" s="52"/>
      <c r="X102" s="52"/>
      <c r="AM102" s="122"/>
      <c r="AU102" s="56">
        <v>10</v>
      </c>
      <c r="AV102" s="56">
        <v>11</v>
      </c>
      <c r="AW102" s="56">
        <v>12</v>
      </c>
      <c r="AX102" s="56">
        <v>13</v>
      </c>
      <c r="AY102" s="56">
        <v>14</v>
      </c>
    </row>
    <row r="103" spans="1:51" s="56" customFormat="1" ht="11.25" customHeight="1">
      <c r="A103" s="1744"/>
      <c r="B103" s="1742"/>
      <c r="C103" s="1742"/>
      <c r="D103" s="1742"/>
      <c r="E103" s="1742"/>
      <c r="F103" s="1742"/>
      <c r="G103" s="1742"/>
      <c r="H103" s="1742"/>
      <c r="I103" s="1742"/>
      <c r="J103" s="1742"/>
      <c r="K103" s="1742"/>
      <c r="L103" s="1742"/>
      <c r="M103" s="1742"/>
      <c r="N103" s="1742"/>
      <c r="O103" s="1742"/>
      <c r="P103" s="1742"/>
      <c r="Q103" s="1742"/>
      <c r="R103" s="1947"/>
      <c r="S103" s="1742"/>
      <c r="T103" s="1810"/>
      <c r="U103" s="185"/>
      <c r="V103" s="114"/>
      <c r="W103" s="52"/>
      <c r="X103" s="52"/>
      <c r="AJ103" s="52"/>
      <c r="AK103" s="52"/>
      <c r="AL103" s="52"/>
      <c r="AM103" s="121"/>
      <c r="AN103" s="61"/>
      <c r="AT103" s="1894" t="s">
        <v>862</v>
      </c>
      <c r="AU103" s="172" t="s">
        <v>676</v>
      </c>
    </row>
    <row r="104" spans="1:51" s="56" customFormat="1" ht="11.25" customHeight="1">
      <c r="A104" s="268"/>
      <c r="B104" s="82"/>
      <c r="C104" s="82"/>
      <c r="D104" s="82"/>
      <c r="E104" s="82"/>
      <c r="F104" s="82"/>
      <c r="G104" s="82"/>
      <c r="H104" s="82"/>
      <c r="I104" s="82"/>
      <c r="J104" s="82"/>
      <c r="K104" s="82"/>
      <c r="L104" s="82"/>
      <c r="M104" s="82"/>
      <c r="N104" s="82"/>
      <c r="O104" s="82"/>
      <c r="P104" s="82"/>
      <c r="Q104" s="82"/>
      <c r="R104" s="82"/>
      <c r="S104" s="82"/>
      <c r="T104" s="84"/>
      <c r="U104" s="102"/>
      <c r="V104" s="113"/>
      <c r="W104" s="147"/>
      <c r="X104" s="147"/>
      <c r="Y104" s="147"/>
      <c r="Z104" s="147"/>
      <c r="AA104" s="147"/>
      <c r="AJ104" s="52"/>
      <c r="AK104" s="52"/>
      <c r="AL104" s="52"/>
      <c r="AM104" s="121"/>
      <c r="AN104" s="61"/>
      <c r="AO104" s="307" t="str">
        <f>ReportData!$D$27</f>
        <v>2019/20</v>
      </c>
      <c r="AP104" s="307" t="str">
        <f>ReportData!$E$27</f>
        <v>2020/21</v>
      </c>
      <c r="AQ104" s="307" t="str">
        <f>ReportData!$F$27</f>
        <v>2021/22</v>
      </c>
      <c r="AR104" s="307" t="str">
        <f>ReportData!$G$27</f>
        <v>2022/23</v>
      </c>
      <c r="AS104" s="577" t="str">
        <f>ReportData!$H$27</f>
        <v>2023/24</v>
      </c>
      <c r="AT104" s="1895"/>
      <c r="AU104" s="444" t="str">
        <f>ReportData!$D$27</f>
        <v>2019/20</v>
      </c>
      <c r="AV104" s="444" t="str">
        <f>ReportData!$E$27</f>
        <v>2020/21</v>
      </c>
      <c r="AW104" s="444" t="str">
        <f>ReportData!$F$27</f>
        <v>2021/22</v>
      </c>
      <c r="AX104" s="444" t="str">
        <f>ReportData!$G$27</f>
        <v>2022/23</v>
      </c>
      <c r="AY104" s="444" t="str">
        <f>ReportData!$H$27</f>
        <v>2023/24</v>
      </c>
    </row>
    <row r="105" spans="1:51" s="56" customFormat="1" ht="3.75" customHeight="1">
      <c r="A105" s="689"/>
      <c r="B105" s="5"/>
      <c r="C105" s="5"/>
      <c r="D105" s="5"/>
      <c r="E105" s="5"/>
      <c r="F105" s="5"/>
      <c r="G105" s="5"/>
      <c r="H105" s="5"/>
      <c r="I105" s="5"/>
      <c r="J105" s="5"/>
      <c r="K105" s="5"/>
      <c r="L105" s="5"/>
      <c r="M105" s="5"/>
      <c r="N105" s="5"/>
      <c r="O105" s="5"/>
      <c r="P105" s="5"/>
      <c r="Q105" s="5"/>
      <c r="R105" s="5"/>
      <c r="S105" s="5"/>
      <c r="T105" s="86"/>
      <c r="U105" s="102"/>
      <c r="V105" s="218"/>
      <c r="AB105" s="748" t="s">
        <v>762</v>
      </c>
      <c r="AM105" s="121"/>
      <c r="AN105" s="61"/>
      <c r="AO105" s="307" t="e">
        <f>ReportData!$D$28</f>
        <v>#N/A</v>
      </c>
      <c r="AP105" s="307" t="e">
        <f>ReportData!$E$28</f>
        <v>#N/A</v>
      </c>
      <c r="AQ105" s="307" t="e">
        <f>ReportData!$F$28</f>
        <v>#N/A</v>
      </c>
      <c r="AR105" s="307" t="e">
        <f>ReportData!$G$28</f>
        <v>#N/A</v>
      </c>
      <c r="AS105" s="577" t="e">
        <f>ReportData!$H$28</f>
        <v>#N/A</v>
      </c>
      <c r="AT105" s="1896"/>
      <c r="AU105" s="444" t="e">
        <f>ReportData!$D$28</f>
        <v>#N/A</v>
      </c>
      <c r="AV105" s="444" t="e">
        <f>ReportData!$E$28</f>
        <v>#N/A</v>
      </c>
      <c r="AW105" s="444" t="e">
        <f>ReportData!$F$28</f>
        <v>#N/A</v>
      </c>
      <c r="AX105" s="444" t="e">
        <f>ReportData!$G$28</f>
        <v>#N/A</v>
      </c>
      <c r="AY105" s="444" t="e">
        <f>ReportData!$H$28</f>
        <v>#N/A</v>
      </c>
    </row>
    <row r="106" spans="1:51" s="56" customFormat="1" ht="14.25" customHeight="1">
      <c r="A106" s="269"/>
      <c r="B106" s="5"/>
      <c r="C106" s="5"/>
      <c r="D106" s="5"/>
      <c r="E106" s="5"/>
      <c r="F106" s="5"/>
      <c r="G106" s="5"/>
      <c r="H106" s="5"/>
      <c r="I106" s="5"/>
      <c r="J106" s="5"/>
      <c r="K106" s="5"/>
      <c r="L106" s="5"/>
      <c r="M106" s="5"/>
      <c r="N106" s="5"/>
      <c r="O106" s="5"/>
      <c r="P106" s="5"/>
      <c r="Q106" s="5"/>
      <c r="R106" s="5"/>
      <c r="S106" s="5"/>
      <c r="T106" s="86"/>
      <c r="U106" s="102"/>
      <c r="V106" s="218"/>
      <c r="W106" s="26" t="s">
        <v>69</v>
      </c>
      <c r="X106" s="26" t="s">
        <v>67</v>
      </c>
      <c r="Y106" s="26" t="s">
        <v>68</v>
      </c>
      <c r="Z106" s="693">
        <v>5</v>
      </c>
      <c r="AA106" s="165">
        <f>(Z106*X107)+Y107</f>
        <v>419.28031362629508</v>
      </c>
      <c r="AB106" s="156">
        <f>ROUND(ChartLabels!$X57,3)</f>
        <v>1.2999999999999999E-2</v>
      </c>
      <c r="AK106" s="361"/>
      <c r="AL106" s="361" t="b">
        <f t="shared" ref="AL106:AL118" si="45">AJ38</f>
        <v>1</v>
      </c>
      <c r="AM106" s="121"/>
      <c r="AN106" s="683" t="str">
        <f t="shared" ref="AN106:AN118" si="46">IF(AL106=TRUE,B11,"")</f>
        <v>Bracknell Forest</v>
      </c>
      <c r="AO106" s="678" t="str">
        <f t="shared" ref="AO106:AS115" si="47">VLOOKUP($AN106,$B$79:$O$99,AO$34,FALSE)</f>
        <v>c</v>
      </c>
      <c r="AP106" s="678" t="str">
        <f t="shared" si="47"/>
        <v>c</v>
      </c>
      <c r="AQ106" s="678" t="str">
        <f t="shared" si="47"/>
        <v>c</v>
      </c>
      <c r="AR106" s="678">
        <f t="shared" si="47"/>
        <v>899.83333333333337</v>
      </c>
      <c r="AS106" s="678">
        <f t="shared" si="47"/>
        <v>139.66666666666666</v>
      </c>
      <c r="AT106" s="666">
        <f>VLOOKUP(AN106,IDACI!$B$8:$C$29,2,FALSE)</f>
        <v>8.9</v>
      </c>
      <c r="AU106" s="688" t="e">
        <f t="shared" ref="AU106:AY115" si="48">IF(ISNUMBER(VLOOKUP($AN106,$B$79:$O$99,AU$102,FALSE)),VLOOKUP($AN106,$B$79:$O$99,AU$102,FALSE),NA())</f>
        <v>#N/A</v>
      </c>
      <c r="AV106" s="688" t="e">
        <f t="shared" si="48"/>
        <v>#N/A</v>
      </c>
      <c r="AW106" s="688" t="e">
        <f t="shared" si="48"/>
        <v>#N/A</v>
      </c>
      <c r="AX106" s="688">
        <f t="shared" si="48"/>
        <v>899.83333333333337</v>
      </c>
      <c r="AY106" s="688">
        <f t="shared" si="48"/>
        <v>139.66666666666666</v>
      </c>
    </row>
    <row r="107" spans="1:51" s="56" customFormat="1" ht="14.25" customHeight="1">
      <c r="A107" s="269"/>
      <c r="B107" s="5"/>
      <c r="C107" s="5"/>
      <c r="D107" s="5"/>
      <c r="E107" s="5"/>
      <c r="F107" s="5"/>
      <c r="G107" s="5"/>
      <c r="H107" s="5"/>
      <c r="I107" s="5"/>
      <c r="J107" s="5"/>
      <c r="K107" s="5"/>
      <c r="L107" s="5"/>
      <c r="M107" s="5"/>
      <c r="N107" s="5"/>
      <c r="O107" s="5"/>
      <c r="P107" s="5"/>
      <c r="Q107" s="5"/>
      <c r="R107" s="5"/>
      <c r="S107" s="5"/>
      <c r="T107" s="86"/>
      <c r="U107" s="102"/>
      <c r="V107" s="218"/>
      <c r="W107" s="161" t="str">
        <f>"Y= "&amp;X107&amp;"x + "&amp;Y107</f>
        <v>Y= 3.75839306290169x + 400.488348311787</v>
      </c>
      <c r="X107" s="433">
        <f>ChartLabels!$V57</f>
        <v>3.7583930629016864</v>
      </c>
      <c r="Y107" s="433">
        <f>ChartLabels!$W57</f>
        <v>400.48834831178664</v>
      </c>
      <c r="Z107" s="164">
        <v>35</v>
      </c>
      <c r="AA107" s="165">
        <f>(Z107*X107)+Y107</f>
        <v>532.03210551334564</v>
      </c>
      <c r="AB107" s="747" t="str">
        <f>AB105&amp;" = "&amp;AB106</f>
        <v>r² = 0.013</v>
      </c>
      <c r="AK107" s="361"/>
      <c r="AL107" s="361" t="b">
        <f t="shared" si="45"/>
        <v>1</v>
      </c>
      <c r="AM107" s="121"/>
      <c r="AN107" s="683" t="str">
        <f t="shared" si="46"/>
        <v>Brighton &amp; Hove</v>
      </c>
      <c r="AO107" s="678">
        <f t="shared" si="47"/>
        <v>410</v>
      </c>
      <c r="AP107" s="678" t="str">
        <f t="shared" si="47"/>
        <v>c</v>
      </c>
      <c r="AQ107" s="678" t="str">
        <f t="shared" si="47"/>
        <v>c</v>
      </c>
      <c r="AR107" s="678">
        <f t="shared" si="47"/>
        <v>632.72727272727275</v>
      </c>
      <c r="AS107" s="678">
        <f t="shared" si="47"/>
        <v>724.68181818181813</v>
      </c>
      <c r="AT107" s="666">
        <f>VLOOKUP(AN107,IDACI!$B$8:$C$29,2,FALSE)</f>
        <v>15.299999999999999</v>
      </c>
      <c r="AU107" s="688">
        <f t="shared" si="48"/>
        <v>410</v>
      </c>
      <c r="AV107" s="688" t="e">
        <f t="shared" si="48"/>
        <v>#N/A</v>
      </c>
      <c r="AW107" s="688" t="e">
        <f t="shared" si="48"/>
        <v>#N/A</v>
      </c>
      <c r="AX107" s="688">
        <f t="shared" si="48"/>
        <v>632.72727272727275</v>
      </c>
      <c r="AY107" s="688">
        <f t="shared" si="48"/>
        <v>724.68181818181813</v>
      </c>
    </row>
    <row r="108" spans="1:51" ht="14.25" customHeight="1">
      <c r="A108" s="269"/>
      <c r="B108" s="5"/>
      <c r="C108" s="5"/>
      <c r="D108" s="5"/>
      <c r="E108" s="5"/>
      <c r="F108" s="5"/>
      <c r="G108" s="5"/>
      <c r="H108" s="5"/>
      <c r="I108" s="5"/>
      <c r="J108" s="5"/>
      <c r="K108" s="5"/>
      <c r="L108" s="5"/>
      <c r="M108" s="5"/>
      <c r="N108" s="5"/>
      <c r="O108" s="5"/>
      <c r="P108" s="5"/>
      <c r="Q108" s="5"/>
      <c r="R108" s="5"/>
      <c r="S108" s="5"/>
      <c r="T108" s="86"/>
      <c r="U108" s="102"/>
      <c r="V108" s="218"/>
      <c r="W108" s="668" t="str">
        <f>"National Trend "&amp;ReportData!$B$8</f>
        <v>National Trend 2024</v>
      </c>
      <c r="X108" s="669" t="s">
        <v>67</v>
      </c>
      <c r="Y108" s="668" t="s">
        <v>68</v>
      </c>
      <c r="Z108" s="670">
        <v>7</v>
      </c>
      <c r="AA108" s="671">
        <f>((Z108*X109)+Y109)</f>
        <v>0</v>
      </c>
      <c r="AK108" s="361"/>
      <c r="AL108" s="361" t="b">
        <f t="shared" si="45"/>
        <v>1</v>
      </c>
      <c r="AM108" s="121"/>
      <c r="AN108" s="683" t="str">
        <f t="shared" si="46"/>
        <v>Buckinghamshire</v>
      </c>
      <c r="AO108" s="678">
        <f t="shared" si="47"/>
        <v>442.60869565217394</v>
      </c>
      <c r="AP108" s="678">
        <f t="shared" si="47"/>
        <v>281.30769230769198</v>
      </c>
      <c r="AQ108" s="678">
        <f t="shared" si="47"/>
        <v>310.17391304347825</v>
      </c>
      <c r="AR108" s="678">
        <f t="shared" si="47"/>
        <v>419.1875</v>
      </c>
      <c r="AS108" s="678">
        <f t="shared" si="47"/>
        <v>275.5</v>
      </c>
      <c r="AT108" s="666">
        <f>VLOOKUP(AN108,IDACI!$B$8:$C$29,2,FALSE)</f>
        <v>8.5</v>
      </c>
      <c r="AU108" s="688">
        <f t="shared" si="48"/>
        <v>442.60869565217394</v>
      </c>
      <c r="AV108" s="688">
        <f t="shared" si="48"/>
        <v>281.30769230769198</v>
      </c>
      <c r="AW108" s="688">
        <f t="shared" si="48"/>
        <v>310.17391304347825</v>
      </c>
      <c r="AX108" s="688">
        <f t="shared" si="48"/>
        <v>419.1875</v>
      </c>
      <c r="AY108" s="688">
        <f t="shared" si="48"/>
        <v>275.5</v>
      </c>
    </row>
    <row r="109" spans="1:51" ht="14.25" customHeight="1">
      <c r="A109" s="269"/>
      <c r="B109" s="5"/>
      <c r="C109" s="5"/>
      <c r="D109" s="5"/>
      <c r="E109" s="5"/>
      <c r="F109" s="5"/>
      <c r="G109" s="5"/>
      <c r="H109" s="5"/>
      <c r="I109" s="5"/>
      <c r="J109" s="5"/>
      <c r="K109" s="10"/>
      <c r="L109" s="10"/>
      <c r="M109" s="10"/>
      <c r="N109" s="10"/>
      <c r="O109" s="5"/>
      <c r="P109" s="5"/>
      <c r="Q109" s="5"/>
      <c r="R109" s="5"/>
      <c r="S109" s="5"/>
      <c r="T109" s="86"/>
      <c r="U109" s="102"/>
      <c r="V109" s="218"/>
      <c r="W109" s="672" t="str">
        <f>"Y= "&amp;X109&amp;"x + "&amp;Y109</f>
        <v xml:space="preserve">Y= x + </v>
      </c>
      <c r="X109" s="673"/>
      <c r="Y109" s="674"/>
      <c r="Z109" s="675">
        <v>25</v>
      </c>
      <c r="AA109" s="676">
        <f>((Z109*X109)+Y109)</f>
        <v>0</v>
      </c>
      <c r="AK109" s="361"/>
      <c r="AL109" s="361" t="b">
        <f t="shared" si="45"/>
        <v>1</v>
      </c>
      <c r="AM109" s="121"/>
      <c r="AN109" s="683" t="str">
        <f t="shared" si="46"/>
        <v>East Sussex</v>
      </c>
      <c r="AO109" s="678">
        <f t="shared" si="47"/>
        <v>489.46153846153851</v>
      </c>
      <c r="AP109" s="678">
        <f t="shared" si="47"/>
        <v>420.03703703703701</v>
      </c>
      <c r="AQ109" s="678">
        <f t="shared" si="47"/>
        <v>511.05263157894734</v>
      </c>
      <c r="AR109" s="678">
        <f t="shared" si="47"/>
        <v>580.4</v>
      </c>
      <c r="AS109" s="678">
        <f t="shared" si="47"/>
        <v>503.15789473684208</v>
      </c>
      <c r="AT109" s="666">
        <f>VLOOKUP(AN109,IDACI!$B$8:$C$29,2,FALSE)</f>
        <v>16.100000000000001</v>
      </c>
      <c r="AU109" s="688">
        <f t="shared" si="48"/>
        <v>489.46153846153851</v>
      </c>
      <c r="AV109" s="688">
        <f t="shared" si="48"/>
        <v>420.03703703703701</v>
      </c>
      <c r="AW109" s="688">
        <f t="shared" si="48"/>
        <v>511.05263157894734</v>
      </c>
      <c r="AX109" s="688">
        <f t="shared" si="48"/>
        <v>580.4</v>
      </c>
      <c r="AY109" s="688">
        <f t="shared" si="48"/>
        <v>503.15789473684208</v>
      </c>
    </row>
    <row r="110" spans="1:51" ht="14.25" customHeight="1">
      <c r="A110" s="269"/>
      <c r="B110" s="76"/>
      <c r="C110" s="76"/>
      <c r="D110" s="77"/>
      <c r="E110" s="77"/>
      <c r="F110" s="77"/>
      <c r="G110" s="77"/>
      <c r="H110" s="77"/>
      <c r="I110" s="77"/>
      <c r="J110" s="77"/>
      <c r="K110" s="5"/>
      <c r="L110" s="5"/>
      <c r="M110" s="5"/>
      <c r="N110" s="5"/>
      <c r="O110" s="5"/>
      <c r="P110" s="5"/>
      <c r="Q110" s="5"/>
      <c r="R110" s="5"/>
      <c r="S110" s="5"/>
      <c r="T110" s="86"/>
      <c r="U110" s="102"/>
      <c r="V110" s="218"/>
      <c r="W110" s="52"/>
      <c r="X110" s="52"/>
      <c r="Y110" s="52"/>
      <c r="Z110" s="52"/>
      <c r="AA110" s="52"/>
      <c r="AK110" s="361"/>
      <c r="AL110" s="361" t="b">
        <f t="shared" si="45"/>
        <v>1</v>
      </c>
      <c r="AM110" s="121"/>
      <c r="AN110" s="683" t="str">
        <f t="shared" si="46"/>
        <v>Hampshire</v>
      </c>
      <c r="AO110" s="678">
        <f t="shared" si="47"/>
        <v>378.78571428571428</v>
      </c>
      <c r="AP110" s="678">
        <f t="shared" si="47"/>
        <v>302.41509433962267</v>
      </c>
      <c r="AQ110" s="678">
        <f t="shared" si="47"/>
        <v>305.23255813953489</v>
      </c>
      <c r="AR110" s="678">
        <f t="shared" si="47"/>
        <v>500.70175438596493</v>
      </c>
      <c r="AS110" s="678">
        <f t="shared" si="47"/>
        <v>393.34285714285716</v>
      </c>
      <c r="AT110" s="666">
        <f>VLOOKUP(AN110,IDACI!$B$8:$C$29,2,FALSE)</f>
        <v>10.100000000000001</v>
      </c>
      <c r="AU110" s="688">
        <f t="shared" si="48"/>
        <v>378.78571428571428</v>
      </c>
      <c r="AV110" s="688">
        <f t="shared" si="48"/>
        <v>302.41509433962267</v>
      </c>
      <c r="AW110" s="688">
        <f t="shared" si="48"/>
        <v>305.23255813953489</v>
      </c>
      <c r="AX110" s="688">
        <f t="shared" si="48"/>
        <v>500.70175438596493</v>
      </c>
      <c r="AY110" s="688">
        <f t="shared" si="48"/>
        <v>393.34285714285716</v>
      </c>
    </row>
    <row r="111" spans="1:51" ht="14.25" customHeight="1">
      <c r="A111" s="269"/>
      <c r="B111" s="77"/>
      <c r="C111" s="77"/>
      <c r="D111" s="77"/>
      <c r="E111" s="77"/>
      <c r="F111" s="77"/>
      <c r="G111" s="77"/>
      <c r="H111" s="77"/>
      <c r="I111" s="77"/>
      <c r="J111" s="77"/>
      <c r="K111" s="5"/>
      <c r="L111" s="5"/>
      <c r="M111" s="5"/>
      <c r="N111" s="5"/>
      <c r="O111" s="5"/>
      <c r="P111" s="5"/>
      <c r="Q111" s="5"/>
      <c r="R111" s="5"/>
      <c r="S111" s="5"/>
      <c r="T111" s="86"/>
      <c r="U111" s="102"/>
      <c r="V111" s="218"/>
      <c r="AK111" s="361"/>
      <c r="AL111" s="361" t="b">
        <f t="shared" si="45"/>
        <v>1</v>
      </c>
      <c r="AM111" s="121"/>
      <c r="AN111" s="683" t="str">
        <f t="shared" si="46"/>
        <v>Isle of Wight</v>
      </c>
      <c r="AO111" s="678" t="str">
        <f t="shared" si="47"/>
        <v>c</v>
      </c>
      <c r="AP111" s="678" t="str">
        <f t="shared" si="47"/>
        <v>c</v>
      </c>
      <c r="AQ111" s="678">
        <f t="shared" si="47"/>
        <v>448.85714285714283</v>
      </c>
      <c r="AR111" s="678">
        <f t="shared" si="47"/>
        <v>531.66666666666663</v>
      </c>
      <c r="AS111" s="678">
        <f t="shared" si="47"/>
        <v>425.85714285714283</v>
      </c>
      <c r="AT111" s="666">
        <f>VLOOKUP(AN111,IDACI!$B$8:$C$29,2,FALSE)</f>
        <v>18</v>
      </c>
      <c r="AU111" s="688" t="e">
        <f t="shared" si="48"/>
        <v>#N/A</v>
      </c>
      <c r="AV111" s="688" t="e">
        <f t="shared" si="48"/>
        <v>#N/A</v>
      </c>
      <c r="AW111" s="688">
        <f t="shared" si="48"/>
        <v>448.85714285714283</v>
      </c>
      <c r="AX111" s="688">
        <f t="shared" si="48"/>
        <v>531.66666666666663</v>
      </c>
      <c r="AY111" s="688">
        <f t="shared" si="48"/>
        <v>425.85714285714283</v>
      </c>
    </row>
    <row r="112" spans="1:51" ht="14.25" customHeight="1">
      <c r="A112" s="269"/>
      <c r="B112" s="77"/>
      <c r="C112" s="77"/>
      <c r="D112" s="77"/>
      <c r="E112" s="77"/>
      <c r="F112" s="77"/>
      <c r="G112" s="77"/>
      <c r="H112" s="77"/>
      <c r="I112" s="77"/>
      <c r="J112" s="77"/>
      <c r="K112" s="5"/>
      <c r="L112" s="5"/>
      <c r="M112" s="5"/>
      <c r="N112" s="5"/>
      <c r="O112" s="5"/>
      <c r="P112" s="5"/>
      <c r="Q112" s="5"/>
      <c r="R112" s="5"/>
      <c r="S112" s="5"/>
      <c r="T112" s="86"/>
      <c r="U112" s="102"/>
      <c r="V112" s="218"/>
      <c r="AB112" s="157"/>
      <c r="AK112" s="361"/>
      <c r="AL112" s="361" t="b">
        <f t="shared" si="45"/>
        <v>1</v>
      </c>
      <c r="AM112" s="121"/>
      <c r="AN112" s="683" t="str">
        <f t="shared" si="46"/>
        <v>Kent</v>
      </c>
      <c r="AO112" s="678">
        <f t="shared" si="47"/>
        <v>336.63492063492066</v>
      </c>
      <c r="AP112" s="678">
        <f t="shared" si="47"/>
        <v>274.3095238095238</v>
      </c>
      <c r="AQ112" s="678">
        <f t="shared" si="47"/>
        <v>392.25531914893617</v>
      </c>
      <c r="AR112" s="678">
        <f t="shared" si="47"/>
        <v>352.08928571428572</v>
      </c>
      <c r="AS112" s="678">
        <f t="shared" si="47"/>
        <v>345.9264705882353</v>
      </c>
      <c r="AT112" s="666">
        <f>VLOOKUP(AN112,IDACI!$B$8:$C$29,2,FALSE)</f>
        <v>15.8</v>
      </c>
      <c r="AU112" s="688">
        <f t="shared" si="48"/>
        <v>336.63492063492066</v>
      </c>
      <c r="AV112" s="688">
        <f t="shared" si="48"/>
        <v>274.3095238095238</v>
      </c>
      <c r="AW112" s="688">
        <f t="shared" si="48"/>
        <v>392.25531914893617</v>
      </c>
      <c r="AX112" s="688">
        <f t="shared" si="48"/>
        <v>352.08928571428572</v>
      </c>
      <c r="AY112" s="688">
        <f t="shared" si="48"/>
        <v>345.9264705882353</v>
      </c>
    </row>
    <row r="113" spans="1:51" ht="14.25" customHeight="1">
      <c r="A113" s="269"/>
      <c r="B113" s="40"/>
      <c r="C113" s="40"/>
      <c r="D113" s="40"/>
      <c r="E113" s="40"/>
      <c r="F113" s="40"/>
      <c r="G113" s="40"/>
      <c r="H113" s="40"/>
      <c r="I113" s="40"/>
      <c r="J113" s="40"/>
      <c r="K113" s="5"/>
      <c r="L113" s="5"/>
      <c r="M113" s="5"/>
      <c r="N113" s="5"/>
      <c r="O113" s="5"/>
      <c r="P113" s="5"/>
      <c r="Q113" s="5"/>
      <c r="R113" s="5"/>
      <c r="S113" s="5"/>
      <c r="T113" s="86"/>
      <c r="U113" s="102"/>
      <c r="V113" s="218"/>
      <c r="AB113" s="52"/>
      <c r="AK113" s="361"/>
      <c r="AL113" s="361" t="b">
        <f t="shared" si="45"/>
        <v>1</v>
      </c>
      <c r="AM113" s="121"/>
      <c r="AN113" s="683" t="str">
        <f t="shared" si="46"/>
        <v>Medway</v>
      </c>
      <c r="AO113" s="678">
        <f t="shared" si="47"/>
        <v>502.78947368421052</v>
      </c>
      <c r="AP113" s="678">
        <f t="shared" si="47"/>
        <v>394</v>
      </c>
      <c r="AQ113" s="678">
        <f t="shared" si="47"/>
        <v>375.22727272727275</v>
      </c>
      <c r="AR113" s="678">
        <f t="shared" si="47"/>
        <v>426.57142857142856</v>
      </c>
      <c r="AS113" s="678">
        <f t="shared" si="47"/>
        <v>472.66666666666669</v>
      </c>
      <c r="AT113" s="666">
        <f>VLOOKUP(AN113,IDACI!$B$8:$C$29,2,FALSE)</f>
        <v>18.899999999999999</v>
      </c>
      <c r="AU113" s="688">
        <f t="shared" si="48"/>
        <v>502.78947368421052</v>
      </c>
      <c r="AV113" s="688">
        <f t="shared" si="48"/>
        <v>394</v>
      </c>
      <c r="AW113" s="688">
        <f t="shared" si="48"/>
        <v>375.22727272727275</v>
      </c>
      <c r="AX113" s="688">
        <f t="shared" si="48"/>
        <v>426.57142857142856</v>
      </c>
      <c r="AY113" s="688">
        <f t="shared" si="48"/>
        <v>472.66666666666669</v>
      </c>
    </row>
    <row r="114" spans="1:51" ht="14.25" customHeight="1">
      <c r="A114" s="269"/>
      <c r="B114" s="40"/>
      <c r="C114" s="40"/>
      <c r="D114" s="49"/>
      <c r="E114" s="50"/>
      <c r="F114" s="49"/>
      <c r="G114" s="50"/>
      <c r="H114" s="50"/>
      <c r="I114" s="50"/>
      <c r="J114" s="50"/>
      <c r="K114" s="5"/>
      <c r="L114" s="5"/>
      <c r="M114" s="5"/>
      <c r="N114" s="5"/>
      <c r="O114" s="5"/>
      <c r="P114" s="5"/>
      <c r="Q114" s="5"/>
      <c r="R114" s="5"/>
      <c r="S114" s="5"/>
      <c r="T114" s="86"/>
      <c r="U114" s="102"/>
      <c r="V114" s="218"/>
      <c r="AK114" s="361"/>
      <c r="AL114" s="361" t="b">
        <f t="shared" si="45"/>
        <v>1</v>
      </c>
      <c r="AM114" s="121"/>
      <c r="AN114" s="683" t="str">
        <f t="shared" si="46"/>
        <v>Milton Keynes</v>
      </c>
      <c r="AO114" s="678">
        <f t="shared" si="47"/>
        <v>403.07142857142856</v>
      </c>
      <c r="AP114" s="678">
        <f t="shared" si="47"/>
        <v>401.58823529411762</v>
      </c>
      <c r="AQ114" s="678">
        <f t="shared" si="47"/>
        <v>442.76</v>
      </c>
      <c r="AR114" s="678">
        <f t="shared" si="47"/>
        <v>330.78947368421052</v>
      </c>
      <c r="AS114" s="678">
        <f t="shared" si="47"/>
        <v>490.70588235294116</v>
      </c>
      <c r="AT114" s="666">
        <f>VLOOKUP(AN114,IDACI!$B$8:$C$29,2,FALSE)</f>
        <v>15</v>
      </c>
      <c r="AU114" s="688">
        <f t="shared" si="48"/>
        <v>403.07142857142856</v>
      </c>
      <c r="AV114" s="688">
        <f t="shared" si="48"/>
        <v>401.58823529411762</v>
      </c>
      <c r="AW114" s="688">
        <f t="shared" si="48"/>
        <v>442.76</v>
      </c>
      <c r="AX114" s="688">
        <f t="shared" si="48"/>
        <v>330.78947368421052</v>
      </c>
      <c r="AY114" s="688">
        <f t="shared" si="48"/>
        <v>490.70588235294116</v>
      </c>
    </row>
    <row r="115" spans="1:51" ht="14.25" customHeight="1">
      <c r="A115" s="269"/>
      <c r="B115" s="40"/>
      <c r="C115" s="40"/>
      <c r="D115" s="43"/>
      <c r="E115" s="43"/>
      <c r="F115" s="43"/>
      <c r="G115" s="43"/>
      <c r="H115" s="43"/>
      <c r="I115" s="43"/>
      <c r="J115" s="43"/>
      <c r="K115" s="5"/>
      <c r="L115" s="5"/>
      <c r="M115" s="5"/>
      <c r="N115" s="5"/>
      <c r="O115" s="5"/>
      <c r="P115" s="5"/>
      <c r="Q115" s="5"/>
      <c r="R115" s="5"/>
      <c r="S115" s="5"/>
      <c r="T115" s="86"/>
      <c r="U115" s="102"/>
      <c r="V115" s="218"/>
      <c r="AK115" s="361"/>
      <c r="AL115" s="361" t="b">
        <f t="shared" si="45"/>
        <v>1</v>
      </c>
      <c r="AM115" s="121"/>
      <c r="AN115" s="683" t="str">
        <f t="shared" si="46"/>
        <v>Oxfordshire</v>
      </c>
      <c r="AO115" s="678">
        <f t="shared" si="47"/>
        <v>525.18181818181813</v>
      </c>
      <c r="AP115" s="678">
        <f t="shared" si="47"/>
        <v>469.04</v>
      </c>
      <c r="AQ115" s="678">
        <f t="shared" si="47"/>
        <v>361.42857142857144</v>
      </c>
      <c r="AR115" s="678">
        <f t="shared" si="47"/>
        <v>400.08333333333331</v>
      </c>
      <c r="AS115" s="678">
        <f t="shared" si="47"/>
        <v>519.44000000000005</v>
      </c>
      <c r="AT115" s="666">
        <f>VLOOKUP(AN115,IDACI!$B$8:$C$29,2,FALSE)</f>
        <v>10.100000000000001</v>
      </c>
      <c r="AU115" s="688">
        <f t="shared" si="48"/>
        <v>525.18181818181813</v>
      </c>
      <c r="AV115" s="688">
        <f t="shared" si="48"/>
        <v>469.04</v>
      </c>
      <c r="AW115" s="688">
        <f t="shared" si="48"/>
        <v>361.42857142857144</v>
      </c>
      <c r="AX115" s="688">
        <f t="shared" si="48"/>
        <v>400.08333333333331</v>
      </c>
      <c r="AY115" s="688">
        <f t="shared" si="48"/>
        <v>519.44000000000005</v>
      </c>
    </row>
    <row r="116" spans="1:51" ht="14.25" customHeight="1">
      <c r="A116" s="269"/>
      <c r="B116" s="48"/>
      <c r="C116" s="48"/>
      <c r="D116" s="40"/>
      <c r="E116" s="40"/>
      <c r="F116" s="40"/>
      <c r="G116" s="40"/>
      <c r="H116" s="40"/>
      <c r="I116" s="40"/>
      <c r="J116" s="40"/>
      <c r="K116" s="5"/>
      <c r="L116" s="5"/>
      <c r="M116" s="5"/>
      <c r="N116" s="5"/>
      <c r="O116" s="5"/>
      <c r="P116" s="5"/>
      <c r="Q116" s="5"/>
      <c r="R116" s="5"/>
      <c r="S116" s="5"/>
      <c r="T116" s="86"/>
      <c r="U116" s="102"/>
      <c r="V116" s="218"/>
      <c r="AK116" s="361"/>
      <c r="AL116" s="361" t="b">
        <f t="shared" si="45"/>
        <v>1</v>
      </c>
      <c r="AM116" s="121"/>
      <c r="AN116" s="683" t="str">
        <f t="shared" si="46"/>
        <v>Portsmouth</v>
      </c>
      <c r="AO116" s="678">
        <f t="shared" ref="AO116:AS126" si="49">VLOOKUP($AN116,$B$79:$O$99,AO$34,FALSE)</f>
        <v>390.08</v>
      </c>
      <c r="AP116" s="678">
        <f t="shared" si="49"/>
        <v>321.11111111111109</v>
      </c>
      <c r="AQ116" s="678">
        <f t="shared" si="49"/>
        <v>356</v>
      </c>
      <c r="AR116" s="678">
        <f t="shared" si="49"/>
        <v>410.15384615384613</v>
      </c>
      <c r="AS116" s="678">
        <f t="shared" si="49"/>
        <v>324.22222222222223</v>
      </c>
      <c r="AT116" s="666">
        <f>VLOOKUP(AN116,IDACI!$B$8:$C$29,2,FALSE)</f>
        <v>20.200000000000003</v>
      </c>
      <c r="AU116" s="688">
        <f t="shared" ref="AU116:AY126" si="50">IF(ISNUMBER(VLOOKUP($AN116,$B$79:$O$99,AU$102,FALSE)),VLOOKUP($AN116,$B$79:$O$99,AU$102,FALSE),NA())</f>
        <v>390.08</v>
      </c>
      <c r="AV116" s="688">
        <f t="shared" si="50"/>
        <v>321.11111111111109</v>
      </c>
      <c r="AW116" s="688">
        <f t="shared" si="50"/>
        <v>356</v>
      </c>
      <c r="AX116" s="688">
        <f t="shared" si="50"/>
        <v>410.15384615384613</v>
      </c>
      <c r="AY116" s="688">
        <f t="shared" si="50"/>
        <v>324.22222222222223</v>
      </c>
    </row>
    <row r="117" spans="1:51" ht="14.25" customHeight="1">
      <c r="A117" s="269"/>
      <c r="B117" s="48"/>
      <c r="C117" s="48"/>
      <c r="D117" s="40"/>
      <c r="E117" s="40"/>
      <c r="F117" s="40"/>
      <c r="G117" s="40"/>
      <c r="H117" s="40"/>
      <c r="I117" s="40"/>
      <c r="J117" s="40"/>
      <c r="K117" s="5"/>
      <c r="L117" s="5"/>
      <c r="M117" s="5"/>
      <c r="N117" s="5"/>
      <c r="O117" s="5"/>
      <c r="P117" s="5"/>
      <c r="Q117" s="5"/>
      <c r="R117" s="5"/>
      <c r="S117" s="5"/>
      <c r="T117" s="86"/>
      <c r="U117" s="102"/>
      <c r="V117" s="218"/>
      <c r="AK117" s="361"/>
      <c r="AL117" s="361" t="b">
        <f t="shared" si="45"/>
        <v>1</v>
      </c>
      <c r="AM117" s="121"/>
      <c r="AN117" s="683" t="str">
        <f t="shared" si="46"/>
        <v>Reading</v>
      </c>
      <c r="AO117" s="678">
        <f t="shared" si="49"/>
        <v>439.33333333333331</v>
      </c>
      <c r="AP117" s="678">
        <f t="shared" si="49"/>
        <v>315.72727272727275</v>
      </c>
      <c r="AQ117" s="678">
        <f t="shared" si="49"/>
        <v>456.64285714285717</v>
      </c>
      <c r="AR117" s="678">
        <f t="shared" si="49"/>
        <v>512.42857142857144</v>
      </c>
      <c r="AS117" s="678">
        <f t="shared" si="49"/>
        <v>584.4</v>
      </c>
      <c r="AT117" s="666">
        <f>VLOOKUP(AN117,IDACI!$B$8:$C$29,2,FALSE)</f>
        <v>16</v>
      </c>
      <c r="AU117" s="688">
        <f t="shared" si="50"/>
        <v>439.33333333333331</v>
      </c>
      <c r="AV117" s="688">
        <f t="shared" si="50"/>
        <v>315.72727272727275</v>
      </c>
      <c r="AW117" s="688">
        <f t="shared" si="50"/>
        <v>456.64285714285717</v>
      </c>
      <c r="AX117" s="688">
        <f t="shared" si="50"/>
        <v>512.42857142857144</v>
      </c>
      <c r="AY117" s="688">
        <f t="shared" si="50"/>
        <v>584.4</v>
      </c>
    </row>
    <row r="118" spans="1:51" ht="14.25" customHeight="1">
      <c r="A118" s="269"/>
      <c r="B118" s="48"/>
      <c r="C118" s="48"/>
      <c r="D118" s="40"/>
      <c r="E118" s="40"/>
      <c r="F118" s="40"/>
      <c r="G118" s="40"/>
      <c r="H118" s="40"/>
      <c r="I118" s="40"/>
      <c r="J118" s="40"/>
      <c r="K118" s="5"/>
      <c r="L118" s="5"/>
      <c r="M118" s="5"/>
      <c r="N118" s="5"/>
      <c r="O118" s="5"/>
      <c r="P118" s="5"/>
      <c r="Q118" s="5"/>
      <c r="R118" s="5"/>
      <c r="S118" s="5"/>
      <c r="T118" s="86"/>
      <c r="U118" s="102"/>
      <c r="V118" s="218"/>
      <c r="AK118" s="361"/>
      <c r="AL118" s="361" t="b">
        <f t="shared" si="45"/>
        <v>1</v>
      </c>
      <c r="AM118" s="121"/>
      <c r="AN118" s="683" t="str">
        <f t="shared" si="46"/>
        <v>Slough</v>
      </c>
      <c r="AO118" s="678">
        <f t="shared" si="49"/>
        <v>404.8</v>
      </c>
      <c r="AP118" s="678" t="str">
        <f t="shared" si="49"/>
        <v>c</v>
      </c>
      <c r="AQ118" s="678" t="str">
        <f t="shared" si="49"/>
        <v>c</v>
      </c>
      <c r="AR118" s="678">
        <f t="shared" si="49"/>
        <v>541.78947368421052</v>
      </c>
      <c r="AS118" s="678">
        <f t="shared" si="49"/>
        <v>594.75</v>
      </c>
      <c r="AT118" s="666">
        <f>VLOOKUP(AN118,IDACI!$B$8:$C$29,2,FALSE)</f>
        <v>14.7</v>
      </c>
      <c r="AU118" s="688">
        <f t="shared" si="50"/>
        <v>404.8</v>
      </c>
      <c r="AV118" s="688" t="e">
        <f t="shared" si="50"/>
        <v>#N/A</v>
      </c>
      <c r="AW118" s="688" t="e">
        <f t="shared" si="50"/>
        <v>#N/A</v>
      </c>
      <c r="AX118" s="688">
        <f t="shared" si="50"/>
        <v>541.78947368421052</v>
      </c>
      <c r="AY118" s="688">
        <f t="shared" si="50"/>
        <v>594.75</v>
      </c>
    </row>
    <row r="119" spans="1:51" ht="14.25" customHeight="1">
      <c r="A119" s="269"/>
      <c r="B119" s="48"/>
      <c r="C119" s="48"/>
      <c r="D119" s="40"/>
      <c r="E119" s="40"/>
      <c r="F119" s="40"/>
      <c r="G119" s="40"/>
      <c r="H119" s="40"/>
      <c r="I119" s="40"/>
      <c r="J119" s="40"/>
      <c r="K119" s="5"/>
      <c r="L119" s="5"/>
      <c r="M119" s="5"/>
      <c r="N119" s="5"/>
      <c r="O119" s="5"/>
      <c r="P119" s="5"/>
      <c r="Q119" s="5"/>
      <c r="R119" s="5"/>
      <c r="S119" s="5"/>
      <c r="T119" s="86"/>
      <c r="U119" s="102"/>
      <c r="V119" s="218"/>
      <c r="AK119" s="361"/>
      <c r="AL119" s="361" t="b">
        <f t="shared" ref="AL119:AL126" si="51">AJ51</f>
        <v>1</v>
      </c>
      <c r="AM119" s="121"/>
      <c r="AN119" s="683" t="str">
        <f t="shared" ref="AN119:AN126" si="52">IF(AL119=TRUE,B24,"")</f>
        <v>Southampton</v>
      </c>
      <c r="AO119" s="678">
        <f t="shared" si="49"/>
        <v>340.06896551724139</v>
      </c>
      <c r="AP119" s="678">
        <f t="shared" si="49"/>
        <v>374.51612903225805</v>
      </c>
      <c r="AQ119" s="678">
        <f t="shared" si="49"/>
        <v>383.5</v>
      </c>
      <c r="AR119" s="678">
        <f t="shared" si="49"/>
        <v>346.59375</v>
      </c>
      <c r="AS119" s="678">
        <f t="shared" si="49"/>
        <v>445.53333333333336</v>
      </c>
      <c r="AT119" s="666">
        <f>VLOOKUP(AN119,IDACI!$B$8:$C$29,2,FALSE)</f>
        <v>20.5</v>
      </c>
      <c r="AU119" s="688">
        <f t="shared" si="50"/>
        <v>340.06896551724139</v>
      </c>
      <c r="AV119" s="688">
        <f t="shared" si="50"/>
        <v>374.51612903225805</v>
      </c>
      <c r="AW119" s="688">
        <f t="shared" si="50"/>
        <v>383.5</v>
      </c>
      <c r="AX119" s="688">
        <f t="shared" si="50"/>
        <v>346.59375</v>
      </c>
      <c r="AY119" s="688">
        <f t="shared" si="50"/>
        <v>445.53333333333336</v>
      </c>
    </row>
    <row r="120" spans="1:51" ht="14.25" customHeight="1">
      <c r="A120" s="269"/>
      <c r="B120" s="48"/>
      <c r="C120" s="48"/>
      <c r="D120" s="40"/>
      <c r="E120" s="40"/>
      <c r="F120" s="40"/>
      <c r="G120" s="40"/>
      <c r="H120" s="40"/>
      <c r="I120" s="40"/>
      <c r="J120" s="40"/>
      <c r="K120" s="5"/>
      <c r="L120" s="5"/>
      <c r="M120" s="5"/>
      <c r="N120" s="5"/>
      <c r="O120" s="5"/>
      <c r="P120" s="5"/>
      <c r="Q120" s="5"/>
      <c r="R120" s="5"/>
      <c r="S120" s="5"/>
      <c r="T120" s="86"/>
      <c r="U120" s="102"/>
      <c r="V120" s="218"/>
      <c r="AK120" s="361"/>
      <c r="AL120" s="361" t="b">
        <f t="shared" si="51"/>
        <v>1</v>
      </c>
      <c r="AM120" s="121"/>
      <c r="AN120" s="683" t="str">
        <f t="shared" si="52"/>
        <v>Surrey</v>
      </c>
      <c r="AO120" s="678">
        <f t="shared" si="49"/>
        <v>325.96428571428572</v>
      </c>
      <c r="AP120" s="678">
        <f t="shared" si="49"/>
        <v>493.23333333333335</v>
      </c>
      <c r="AQ120" s="678">
        <f t="shared" si="49"/>
        <v>550</v>
      </c>
      <c r="AR120" s="678">
        <f t="shared" si="49"/>
        <v>448.06451612903226</v>
      </c>
      <c r="AS120" s="678">
        <f t="shared" si="49"/>
        <v>605.20000000000005</v>
      </c>
      <c r="AT120" s="666">
        <f>VLOOKUP(AN120,IDACI!$B$8:$C$29,2,FALSE)</f>
        <v>8.3000000000000007</v>
      </c>
      <c r="AU120" s="688">
        <f t="shared" si="50"/>
        <v>325.96428571428572</v>
      </c>
      <c r="AV120" s="688">
        <f t="shared" si="50"/>
        <v>493.23333333333335</v>
      </c>
      <c r="AW120" s="688">
        <f t="shared" si="50"/>
        <v>550</v>
      </c>
      <c r="AX120" s="688">
        <f t="shared" si="50"/>
        <v>448.06451612903226</v>
      </c>
      <c r="AY120" s="688">
        <f t="shared" si="50"/>
        <v>605.20000000000005</v>
      </c>
    </row>
    <row r="121" spans="1:51" ht="14.25" customHeight="1">
      <c r="A121" s="269"/>
      <c r="B121" s="48"/>
      <c r="C121" s="48"/>
      <c r="D121" s="40"/>
      <c r="E121" s="40"/>
      <c r="F121" s="40"/>
      <c r="G121" s="40"/>
      <c r="H121" s="40"/>
      <c r="I121" s="40"/>
      <c r="J121" s="40"/>
      <c r="K121" s="5"/>
      <c r="L121" s="5"/>
      <c r="M121" s="5"/>
      <c r="N121" s="5"/>
      <c r="O121" s="5"/>
      <c r="P121" s="5"/>
      <c r="Q121" s="5"/>
      <c r="R121" s="5"/>
      <c r="S121" s="5"/>
      <c r="T121" s="86"/>
      <c r="U121" s="102"/>
      <c r="V121" s="218"/>
      <c r="AK121" s="361"/>
      <c r="AL121" s="361" t="b">
        <f t="shared" si="51"/>
        <v>1</v>
      </c>
      <c r="AM121" s="121"/>
      <c r="AN121" s="683" t="str">
        <f t="shared" si="52"/>
        <v>West Berkshire</v>
      </c>
      <c r="AO121" s="678" t="str">
        <f t="shared" si="49"/>
        <v>c</v>
      </c>
      <c r="AP121" s="678" t="str">
        <f t="shared" si="49"/>
        <v>c</v>
      </c>
      <c r="AQ121" s="678" t="str">
        <f t="shared" si="49"/>
        <v>c</v>
      </c>
      <c r="AR121" s="678">
        <f t="shared" si="49"/>
        <v>604</v>
      </c>
      <c r="AS121" s="678">
        <f t="shared" si="49"/>
        <v>133.5</v>
      </c>
      <c r="AT121" s="666">
        <f>VLOOKUP(AN121,IDACI!$B$8:$C$29,2,FALSE)</f>
        <v>8.6999999999999993</v>
      </c>
      <c r="AU121" s="688" t="e">
        <f t="shared" si="50"/>
        <v>#N/A</v>
      </c>
      <c r="AV121" s="688" t="e">
        <f t="shared" si="50"/>
        <v>#N/A</v>
      </c>
      <c r="AW121" s="688" t="e">
        <f t="shared" si="50"/>
        <v>#N/A</v>
      </c>
      <c r="AX121" s="688">
        <f t="shared" si="50"/>
        <v>604</v>
      </c>
      <c r="AY121" s="688">
        <f t="shared" si="50"/>
        <v>133.5</v>
      </c>
    </row>
    <row r="122" spans="1:51" ht="14.25" customHeight="1">
      <c r="A122" s="269"/>
      <c r="B122" s="48"/>
      <c r="C122" s="48"/>
      <c r="D122" s="40"/>
      <c r="E122" s="40"/>
      <c r="F122" s="40"/>
      <c r="G122" s="40"/>
      <c r="H122" s="40"/>
      <c r="I122" s="40"/>
      <c r="J122" s="40"/>
      <c r="K122" s="5"/>
      <c r="L122" s="5"/>
      <c r="M122" s="5"/>
      <c r="N122" s="5"/>
      <c r="O122" s="5"/>
      <c r="P122" s="5"/>
      <c r="Q122" s="5"/>
      <c r="R122" s="5"/>
      <c r="S122" s="5"/>
      <c r="T122" s="86"/>
      <c r="U122" s="102"/>
      <c r="V122" s="218"/>
      <c r="AK122" s="361"/>
      <c r="AL122" s="361" t="b">
        <f t="shared" si="51"/>
        <v>1</v>
      </c>
      <c r="AM122" s="121"/>
      <c r="AN122" s="683" t="str">
        <f t="shared" si="52"/>
        <v>West Sussex</v>
      </c>
      <c r="AO122" s="678">
        <f t="shared" si="49"/>
        <v>537.61363636363637</v>
      </c>
      <c r="AP122" s="678">
        <f t="shared" si="49"/>
        <v>485</v>
      </c>
      <c r="AQ122" s="678">
        <f t="shared" si="49"/>
        <v>419.16666666666669</v>
      </c>
      <c r="AR122" s="678">
        <f t="shared" si="49"/>
        <v>380.34482758620692</v>
      </c>
      <c r="AS122" s="678">
        <f t="shared" si="49"/>
        <v>474.0625</v>
      </c>
      <c r="AT122" s="666">
        <f>VLOOKUP(AN122,IDACI!$B$8:$C$29,2,FALSE)</f>
        <v>11</v>
      </c>
      <c r="AU122" s="688">
        <f t="shared" si="50"/>
        <v>537.61363636363637</v>
      </c>
      <c r="AV122" s="688">
        <f t="shared" si="50"/>
        <v>485</v>
      </c>
      <c r="AW122" s="688">
        <f t="shared" si="50"/>
        <v>419.16666666666669</v>
      </c>
      <c r="AX122" s="688">
        <f t="shared" si="50"/>
        <v>380.34482758620692</v>
      </c>
      <c r="AY122" s="688">
        <f t="shared" si="50"/>
        <v>474.0625</v>
      </c>
    </row>
    <row r="123" spans="1:51" ht="14.25" customHeight="1">
      <c r="A123" s="269"/>
      <c r="B123" s="48"/>
      <c r="C123" s="48"/>
      <c r="D123" s="40"/>
      <c r="E123" s="40"/>
      <c r="F123" s="40"/>
      <c r="G123" s="40"/>
      <c r="H123" s="40"/>
      <c r="I123" s="40"/>
      <c r="J123" s="40"/>
      <c r="K123" s="5"/>
      <c r="L123" s="5"/>
      <c r="M123" s="5"/>
      <c r="N123" s="5"/>
      <c r="O123" s="5"/>
      <c r="P123" s="5"/>
      <c r="Q123" s="5"/>
      <c r="R123" s="5"/>
      <c r="S123" s="5"/>
      <c r="T123" s="86"/>
      <c r="U123" s="102"/>
      <c r="V123" s="218"/>
      <c r="AK123" s="361"/>
      <c r="AL123" s="361" t="b">
        <f t="shared" si="51"/>
        <v>1</v>
      </c>
      <c r="AM123" s="121"/>
      <c r="AN123" s="683" t="str">
        <f t="shared" si="52"/>
        <v>Windsor &amp; Maidenhead</v>
      </c>
      <c r="AO123" s="678" t="str">
        <f t="shared" si="49"/>
        <v>c</v>
      </c>
      <c r="AP123" s="678" t="str">
        <f t="shared" si="49"/>
        <v>c</v>
      </c>
      <c r="AQ123" s="678" t="str">
        <f t="shared" si="49"/>
        <v>c</v>
      </c>
      <c r="AR123" s="678">
        <f t="shared" si="49"/>
        <v>312.33333333333331</v>
      </c>
      <c r="AS123" s="678">
        <f t="shared" si="49"/>
        <v>445</v>
      </c>
      <c r="AT123" s="666">
        <f>VLOOKUP(AN123,IDACI!$B$8:$C$29,2,FALSE)</f>
        <v>6.7</v>
      </c>
      <c r="AU123" s="688" t="e">
        <f t="shared" si="50"/>
        <v>#N/A</v>
      </c>
      <c r="AV123" s="688" t="e">
        <f t="shared" si="50"/>
        <v>#N/A</v>
      </c>
      <c r="AW123" s="688" t="e">
        <f t="shared" si="50"/>
        <v>#N/A</v>
      </c>
      <c r="AX123" s="688">
        <f t="shared" si="50"/>
        <v>312.33333333333331</v>
      </c>
      <c r="AY123" s="688">
        <f t="shared" si="50"/>
        <v>445</v>
      </c>
    </row>
    <row r="124" spans="1:51" ht="14.25" customHeight="1">
      <c r="A124" s="269"/>
      <c r="B124" s="48"/>
      <c r="C124" s="48"/>
      <c r="D124" s="40"/>
      <c r="E124" s="40"/>
      <c r="F124" s="40"/>
      <c r="G124" s="40"/>
      <c r="H124" s="40"/>
      <c r="I124" s="40"/>
      <c r="J124" s="40"/>
      <c r="K124" s="5"/>
      <c r="L124" s="5"/>
      <c r="M124" s="5"/>
      <c r="N124" s="5"/>
      <c r="O124" s="5"/>
      <c r="P124" s="5"/>
      <c r="Q124" s="5"/>
      <c r="R124" s="5"/>
      <c r="S124" s="5"/>
      <c r="T124" s="86"/>
      <c r="U124" s="102"/>
      <c r="V124" s="218"/>
      <c r="AK124" s="361"/>
      <c r="AL124" s="361" t="b">
        <f t="shared" si="51"/>
        <v>1</v>
      </c>
      <c r="AM124" s="121"/>
      <c r="AN124" s="683" t="str">
        <f t="shared" si="52"/>
        <v>Wokingham</v>
      </c>
      <c r="AO124" s="678" t="str">
        <f t="shared" si="49"/>
        <v>c</v>
      </c>
      <c r="AP124" s="678" t="str">
        <f t="shared" si="49"/>
        <v>c</v>
      </c>
      <c r="AQ124" s="678" t="str">
        <f t="shared" si="49"/>
        <v>c</v>
      </c>
      <c r="AR124" s="678">
        <f t="shared" si="49"/>
        <v>565</v>
      </c>
      <c r="AS124" s="678">
        <f t="shared" si="49"/>
        <v>645.25</v>
      </c>
      <c r="AT124" s="666">
        <f>VLOOKUP(AN124,IDACI!$B$8:$C$29,2,FALSE)</f>
        <v>5.6000000000000005</v>
      </c>
      <c r="AU124" s="688" t="e">
        <f t="shared" si="50"/>
        <v>#N/A</v>
      </c>
      <c r="AV124" s="688" t="e">
        <f t="shared" si="50"/>
        <v>#N/A</v>
      </c>
      <c r="AW124" s="688" t="e">
        <f t="shared" si="50"/>
        <v>#N/A</v>
      </c>
      <c r="AX124" s="688">
        <f t="shared" si="50"/>
        <v>565</v>
      </c>
      <c r="AY124" s="688">
        <f t="shared" si="50"/>
        <v>645.25</v>
      </c>
    </row>
    <row r="125" spans="1:51" ht="14.25" customHeight="1">
      <c r="A125" s="269"/>
      <c r="B125" s="48"/>
      <c r="C125" s="48"/>
      <c r="D125" s="40"/>
      <c r="E125" s="40"/>
      <c r="F125" s="40"/>
      <c r="G125" s="40"/>
      <c r="H125" s="40"/>
      <c r="I125" s="40"/>
      <c r="J125" s="40"/>
      <c r="K125" s="5"/>
      <c r="L125" s="5"/>
      <c r="M125" s="5"/>
      <c r="N125" s="5"/>
      <c r="O125" s="5"/>
      <c r="P125" s="5"/>
      <c r="Q125" s="5"/>
      <c r="R125" s="5"/>
      <c r="S125" s="5"/>
      <c r="T125" s="86"/>
      <c r="U125" s="102"/>
      <c r="V125" s="218"/>
      <c r="AK125" s="361"/>
      <c r="AL125" s="361" t="b">
        <f t="shared" si="51"/>
        <v>1</v>
      </c>
      <c r="AM125" s="121"/>
      <c r="AN125" s="683" t="str">
        <f t="shared" si="52"/>
        <v>South East</v>
      </c>
      <c r="AO125" s="678">
        <f t="shared" si="49"/>
        <v>417</v>
      </c>
      <c r="AP125" s="678">
        <f t="shared" si="49"/>
        <v>372.44324324324299</v>
      </c>
      <c r="AQ125" s="678">
        <f t="shared" si="49"/>
        <v>404.87675070028013</v>
      </c>
      <c r="AR125" s="678">
        <f t="shared" si="49"/>
        <v>442</v>
      </c>
      <c r="AS125" s="678">
        <f t="shared" si="49"/>
        <v>446.51948051948051</v>
      </c>
      <c r="AT125" s="666">
        <f>Y98/X98*100</f>
        <v>12.62884379180689</v>
      </c>
      <c r="AU125" s="688">
        <f t="shared" si="50"/>
        <v>417</v>
      </c>
      <c r="AV125" s="688">
        <f t="shared" si="50"/>
        <v>372.44324324324299</v>
      </c>
      <c r="AW125" s="688">
        <f t="shared" si="50"/>
        <v>404.87675070028013</v>
      </c>
      <c r="AX125" s="688">
        <f t="shared" si="50"/>
        <v>442</v>
      </c>
      <c r="AY125" s="688">
        <f t="shared" si="50"/>
        <v>446.51948051948051</v>
      </c>
    </row>
    <row r="126" spans="1:51" s="56" customFormat="1" ht="14.25" customHeight="1">
      <c r="A126" s="269"/>
      <c r="B126" s="48"/>
      <c r="C126" s="48"/>
      <c r="D126" s="40"/>
      <c r="E126" s="40"/>
      <c r="F126" s="40"/>
      <c r="G126" s="40"/>
      <c r="H126" s="40"/>
      <c r="I126" s="40"/>
      <c r="J126" s="40"/>
      <c r="K126" s="5"/>
      <c r="L126" s="5"/>
      <c r="M126" s="5"/>
      <c r="N126" s="5"/>
      <c r="O126" s="5"/>
      <c r="P126" s="5"/>
      <c r="Q126" s="5"/>
      <c r="R126" s="5"/>
      <c r="S126" s="5"/>
      <c r="T126" s="86"/>
      <c r="U126" s="102"/>
      <c r="V126" s="218"/>
      <c r="AK126" s="361"/>
      <c r="AL126" s="361" t="b">
        <f t="shared" si="51"/>
        <v>1</v>
      </c>
      <c r="AM126" s="121"/>
      <c r="AN126" s="683" t="str">
        <f t="shared" si="52"/>
        <v>England</v>
      </c>
      <c r="AO126" s="678">
        <f t="shared" si="49"/>
        <v>459</v>
      </c>
      <c r="AP126" s="678">
        <f t="shared" si="49"/>
        <v>418.115752212389</v>
      </c>
      <c r="AQ126" s="678">
        <f t="shared" si="49"/>
        <v>458.75887978142077</v>
      </c>
      <c r="AR126" s="678">
        <f t="shared" si="49"/>
        <v>480</v>
      </c>
      <c r="AS126" s="678">
        <f t="shared" si="49"/>
        <v>485.03991949010401</v>
      </c>
      <c r="AT126" s="666">
        <f>VLOOKUP(AN126,IDACI!$B$8:$C$29,2,FALSE)</f>
        <v>17.084413405029373</v>
      </c>
      <c r="AU126" s="688">
        <f>IF(ISNUMBER(VLOOKUP($AN126,$B$79:$O$99,AU$102,FALSE)),VLOOKUP($AN126,$B$79:$O$99,AU$102,FALSE),NA())</f>
        <v>459</v>
      </c>
      <c r="AV126" s="688">
        <f t="shared" si="50"/>
        <v>418.115752212389</v>
      </c>
      <c r="AW126" s="688">
        <f t="shared" si="50"/>
        <v>458.75887978142077</v>
      </c>
      <c r="AX126" s="688">
        <f t="shared" si="50"/>
        <v>480</v>
      </c>
      <c r="AY126" s="688">
        <f t="shared" si="50"/>
        <v>485.03991949010401</v>
      </c>
    </row>
    <row r="127" spans="1:51" s="56" customFormat="1" ht="14.25" customHeight="1">
      <c r="A127" s="269"/>
      <c r="B127" s="48"/>
      <c r="C127" s="48"/>
      <c r="D127" s="40"/>
      <c r="E127" s="40"/>
      <c r="F127" s="40"/>
      <c r="G127" s="40"/>
      <c r="H127" s="40"/>
      <c r="I127" s="40"/>
      <c r="J127" s="40"/>
      <c r="K127" s="5"/>
      <c r="L127" s="5"/>
      <c r="M127" s="5"/>
      <c r="N127" s="5"/>
      <c r="O127" s="5"/>
      <c r="P127" s="5"/>
      <c r="Q127" s="5"/>
      <c r="R127" s="5"/>
      <c r="S127" s="5"/>
      <c r="T127" s="86"/>
      <c r="U127" s="102"/>
      <c r="V127" s="218"/>
      <c r="AK127" s="361"/>
      <c r="AM127" s="121"/>
      <c r="AN127" s="685" t="str">
        <f>Y4</f>
        <v>Selected LA- (none)</v>
      </c>
      <c r="AO127" s="678" t="e">
        <f>VLOOKUP($X$4,$B$79:$O$99,AO$34,FALSE)</f>
        <v>#N/A</v>
      </c>
      <c r="AP127" s="678" t="e">
        <f>VLOOKUP($X$4,$B$79:$O$99,AP$34,FALSE)</f>
        <v>#N/A</v>
      </c>
      <c r="AQ127" s="678" t="e">
        <f>VLOOKUP($X$4,$B$79:$O$99,AQ$34,FALSE)</f>
        <v>#N/A</v>
      </c>
      <c r="AR127" s="678" t="e">
        <f>VLOOKUP($X$4,$B$79:$O$99,AR$34,FALSE)</f>
        <v>#N/A</v>
      </c>
      <c r="AS127" s="678" t="e">
        <f>VLOOKUP($X$4,$B$79:$O$99,AS$34,FALSE)</f>
        <v>#N/A</v>
      </c>
      <c r="AT127" s="666" t="e">
        <f>VLOOKUP(X4,IDACI!$B$8:$C$29,2,FALSE)</f>
        <v>#N/A</v>
      </c>
      <c r="AU127" s="688" t="e">
        <f>IF(ISNUMBER(VLOOKUP($X4,$B$79:$O$99,AU$102,FALSE)),VLOOKUP($X4,$B$79:$O$99,AU$102,FALSE),NA())</f>
        <v>#N/A</v>
      </c>
      <c r="AV127" s="688" t="e">
        <f t="shared" ref="AV127:AY127" si="53">IF(ISNUMBER(VLOOKUP($X4,$B$79:$O$99,AV$102,FALSE)),VLOOKUP($X4,$B$79:$O$99,AV$102,FALSE),NA())</f>
        <v>#N/A</v>
      </c>
      <c r="AW127" s="688" t="e">
        <f t="shared" si="53"/>
        <v>#N/A</v>
      </c>
      <c r="AX127" s="688" t="e">
        <f t="shared" si="53"/>
        <v>#N/A</v>
      </c>
      <c r="AY127" s="688" t="e">
        <f t="shared" si="53"/>
        <v>#N/A</v>
      </c>
    </row>
    <row r="128" spans="1:51" s="56" customFormat="1" ht="14.25" customHeight="1">
      <c r="A128" s="269"/>
      <c r="B128" s="48"/>
      <c r="C128" s="48"/>
      <c r="D128" s="40"/>
      <c r="E128" s="40"/>
      <c r="F128" s="40"/>
      <c r="G128" s="40"/>
      <c r="H128" s="40"/>
      <c r="I128" s="40"/>
      <c r="J128" s="40"/>
      <c r="K128" s="5"/>
      <c r="L128" s="5"/>
      <c r="M128" s="5"/>
      <c r="N128" s="5"/>
      <c r="O128" s="5"/>
      <c r="P128" s="5"/>
      <c r="Q128" s="5"/>
      <c r="R128" s="5"/>
      <c r="S128" s="5"/>
      <c r="T128" s="86"/>
      <c r="U128" s="102"/>
      <c r="V128" s="218"/>
      <c r="AK128" s="361"/>
      <c r="AM128" s="121"/>
      <c r="AN128" s="685"/>
      <c r="AO128" s="678"/>
      <c r="AP128" s="678"/>
      <c r="AQ128" s="678"/>
      <c r="AR128" s="678"/>
      <c r="AS128" s="678"/>
      <c r="AT128" s="667"/>
      <c r="AU128" s="677"/>
      <c r="AV128" s="677"/>
      <c r="AW128" s="677"/>
      <c r="AX128" s="677"/>
      <c r="AY128" s="677"/>
    </row>
    <row r="129" spans="1:51" s="56" customFormat="1" ht="14.25" customHeight="1">
      <c r="A129" s="269"/>
      <c r="B129" s="48"/>
      <c r="C129" s="48"/>
      <c r="D129" s="40"/>
      <c r="E129" s="40"/>
      <c r="F129" s="40"/>
      <c r="G129" s="40"/>
      <c r="H129" s="40"/>
      <c r="I129" s="40"/>
      <c r="J129" s="40"/>
      <c r="K129" s="1307"/>
      <c r="L129" s="1882" t="s">
        <v>69</v>
      </c>
      <c r="M129" s="1882"/>
      <c r="N129" s="1882"/>
      <c r="O129" s="1171"/>
      <c r="P129" s="1753" t="s">
        <v>93</v>
      </c>
      <c r="Q129" s="1753"/>
      <c r="R129" s="1753"/>
      <c r="S129" s="1753"/>
      <c r="T129" s="86"/>
      <c r="U129" s="102"/>
      <c r="V129" s="218"/>
      <c r="AK129" s="361"/>
      <c r="AM129" s="122"/>
    </row>
    <row r="130" spans="1:51" s="56" customFormat="1" ht="14.25" customHeight="1">
      <c r="A130" s="269"/>
      <c r="B130" s="48"/>
      <c r="C130" s="48"/>
      <c r="D130" s="40"/>
      <c r="E130" s="40"/>
      <c r="F130" s="40"/>
      <c r="G130" s="40"/>
      <c r="H130" s="40"/>
      <c r="I130" s="40"/>
      <c r="J130" s="40"/>
      <c r="K130" s="1307"/>
      <c r="L130" s="1753" t="str">
        <f>Y4</f>
        <v>Selected LA- (none)</v>
      </c>
      <c r="M130" s="1753"/>
      <c r="N130" s="1753"/>
      <c r="O130" s="1753"/>
      <c r="P130" s="1753"/>
      <c r="Q130" s="1753"/>
      <c r="R130" s="1753"/>
      <c r="S130" s="1753"/>
      <c r="T130" s="86"/>
      <c r="U130" s="102"/>
      <c r="V130" s="114"/>
      <c r="AM130" s="122"/>
      <c r="AN130" s="61"/>
      <c r="AO130" s="61"/>
      <c r="AP130" s="61"/>
      <c r="AQ130" s="61"/>
      <c r="AR130" s="61"/>
      <c r="AS130" s="61"/>
      <c r="AT130" s="61"/>
      <c r="AU130" s="61"/>
      <c r="AV130" s="61"/>
      <c r="AW130" s="61"/>
      <c r="AX130" s="61"/>
      <c r="AY130" s="61"/>
    </row>
    <row r="131" spans="1:51" s="56" customFormat="1" ht="42" customHeight="1">
      <c r="A131" s="269"/>
      <c r="B131" s="48"/>
      <c r="C131" s="48"/>
      <c r="D131" s="40"/>
      <c r="E131" s="40"/>
      <c r="F131" s="40"/>
      <c r="G131" s="40"/>
      <c r="H131" s="40"/>
      <c r="I131" s="40"/>
      <c r="J131" s="40"/>
      <c r="K131" s="5"/>
      <c r="L131" s="5"/>
      <c r="M131" s="5"/>
      <c r="N131" s="5"/>
      <c r="O131" s="5"/>
      <c r="P131" s="5"/>
      <c r="Q131" s="5"/>
      <c r="R131" s="5"/>
      <c r="S131" s="5"/>
      <c r="T131" s="86"/>
      <c r="U131" s="102"/>
      <c r="V131" s="114"/>
      <c r="AM131" s="122"/>
      <c r="AN131" s="61"/>
      <c r="AO131" s="61"/>
      <c r="AP131" s="61"/>
      <c r="AQ131" s="61"/>
      <c r="AR131" s="61"/>
      <c r="AS131" s="61"/>
      <c r="AT131" s="61"/>
      <c r="AU131" s="61"/>
      <c r="AV131" s="61"/>
      <c r="AW131" s="61"/>
      <c r="AX131" s="61"/>
      <c r="AY131" s="61"/>
    </row>
    <row r="132" spans="1:51" s="61" customFormat="1" ht="42" customHeight="1">
      <c r="A132" s="690"/>
      <c r="B132" s="78"/>
      <c r="C132" s="78"/>
      <c r="D132" s="78"/>
      <c r="E132" s="78"/>
      <c r="F132" s="78"/>
      <c r="G132" s="78"/>
      <c r="H132" s="78"/>
      <c r="I132" s="78"/>
      <c r="J132" s="78"/>
      <c r="K132" s="59"/>
      <c r="L132" s="59"/>
      <c r="M132" s="59"/>
      <c r="N132" s="59"/>
      <c r="O132" s="59"/>
      <c r="P132" s="59"/>
      <c r="Q132" s="59"/>
      <c r="R132" s="59"/>
      <c r="S132" s="59"/>
      <c r="T132" s="89"/>
      <c r="U132" s="103"/>
      <c r="V132" s="115"/>
      <c r="AB132" s="141"/>
      <c r="AC132" s="141"/>
      <c r="AD132" s="141"/>
      <c r="AE132" s="141"/>
      <c r="AF132" s="141"/>
      <c r="AG132" s="141"/>
      <c r="AH132" s="141"/>
      <c r="AI132" s="141"/>
      <c r="AM132" s="121"/>
      <c r="AN132" s="52"/>
      <c r="AO132" s="52"/>
      <c r="AP132" s="52"/>
      <c r="AQ132" s="52"/>
      <c r="AR132" s="52"/>
      <c r="AS132" s="52"/>
      <c r="AT132" s="52"/>
      <c r="AU132" s="52"/>
      <c r="AV132" s="52"/>
      <c r="AW132" s="52"/>
      <c r="AX132" s="52"/>
      <c r="AY132" s="52"/>
    </row>
    <row r="133" spans="1:51" s="61" customFormat="1" ht="42.75" customHeight="1">
      <c r="A133" s="690"/>
      <c r="B133" s="78"/>
      <c r="C133" s="78"/>
      <c r="D133" s="78"/>
      <c r="E133" s="78"/>
      <c r="F133" s="78"/>
      <c r="G133" s="78"/>
      <c r="H133" s="78"/>
      <c r="I133" s="78"/>
      <c r="J133" s="78"/>
      <c r="K133" s="59"/>
      <c r="L133" s="59"/>
      <c r="M133" s="59"/>
      <c r="N133" s="59"/>
      <c r="O133" s="59"/>
      <c r="P133" s="59"/>
      <c r="Q133" s="59"/>
      <c r="R133" s="59"/>
      <c r="S133" s="59"/>
      <c r="T133" s="89"/>
      <c r="U133" s="121"/>
      <c r="V133" s="115"/>
      <c r="AB133" s="141"/>
      <c r="AC133" s="141"/>
      <c r="AD133" s="141"/>
      <c r="AE133" s="141"/>
      <c r="AF133" s="141"/>
      <c r="AG133" s="141"/>
      <c r="AH133" s="141"/>
      <c r="AI133" s="141"/>
      <c r="AM133" s="121"/>
      <c r="AN133" s="52"/>
      <c r="AO133" s="52"/>
      <c r="AP133" s="52"/>
      <c r="AQ133" s="52"/>
      <c r="AR133" s="52"/>
      <c r="AS133" s="52"/>
      <c r="AT133" s="52"/>
      <c r="AU133" s="52"/>
      <c r="AV133" s="52"/>
      <c r="AW133" s="52"/>
      <c r="AX133" s="52"/>
      <c r="AY133" s="52"/>
    </row>
    <row r="134" spans="1:51" ht="7.5" customHeight="1">
      <c r="A134" s="208"/>
      <c r="B134" s="12"/>
      <c r="C134" s="12"/>
      <c r="D134" s="11"/>
      <c r="E134" s="11"/>
      <c r="F134" s="11"/>
      <c r="G134" s="11"/>
      <c r="H134" s="11"/>
      <c r="I134" s="11"/>
      <c r="J134" s="11"/>
      <c r="K134" s="13"/>
      <c r="L134" s="13"/>
      <c r="M134" s="13"/>
      <c r="N134" s="13"/>
      <c r="O134" s="13"/>
      <c r="P134" s="13"/>
      <c r="Q134" s="13"/>
      <c r="R134" s="13"/>
      <c r="S134" s="13"/>
      <c r="T134" s="606"/>
      <c r="U134" s="185"/>
      <c r="V134" s="114"/>
      <c r="W134" s="61"/>
      <c r="X134" s="61"/>
      <c r="Y134" s="61"/>
      <c r="Z134" s="61"/>
      <c r="AA134" s="61"/>
      <c r="AM134" s="119"/>
    </row>
    <row r="135" spans="1:51" ht="15" customHeight="1">
      <c r="A135" s="1758"/>
      <c r="B135" s="1751"/>
      <c r="C135" s="1751"/>
      <c r="D135" s="1751"/>
      <c r="E135" s="1751"/>
      <c r="F135" s="1751"/>
      <c r="G135" s="1751"/>
      <c r="H135" s="1751"/>
      <c r="I135" s="1751"/>
      <c r="J135" s="1751"/>
      <c r="K135" s="1751"/>
      <c r="L135" s="1751"/>
      <c r="M135" s="1751"/>
      <c r="N135" s="1751"/>
      <c r="O135" s="1751"/>
      <c r="P135" s="1751"/>
      <c r="Q135" s="1751"/>
      <c r="R135" s="1751"/>
      <c r="S135" s="1751"/>
      <c r="T135" s="1752"/>
      <c r="U135" s="185"/>
      <c r="V135" s="114"/>
      <c r="W135" s="61"/>
      <c r="X135" s="61"/>
      <c r="Y135" s="61"/>
      <c r="Z135" s="61"/>
      <c r="AA135" s="61"/>
      <c r="AM135" s="119"/>
    </row>
    <row r="136" spans="1:51" ht="11.25" customHeight="1">
      <c r="A136" s="1744"/>
      <c r="B136" s="1742"/>
      <c r="C136" s="1742"/>
      <c r="D136" s="1742"/>
      <c r="E136" s="1742"/>
      <c r="F136" s="1742"/>
      <c r="G136" s="1742"/>
      <c r="H136" s="1742"/>
      <c r="I136" s="1742"/>
      <c r="J136" s="1742"/>
      <c r="K136" s="1742"/>
      <c r="L136" s="1742"/>
      <c r="M136" s="1742"/>
      <c r="N136" s="1742"/>
      <c r="O136" s="1742"/>
      <c r="P136" s="1742"/>
      <c r="Q136" s="1742"/>
      <c r="R136" s="1947"/>
      <c r="S136" s="1742"/>
      <c r="T136" s="1810"/>
      <c r="U136" s="185"/>
      <c r="V136" s="114"/>
      <c r="W136" s="61"/>
      <c r="X136" s="61"/>
      <c r="Y136" s="61"/>
      <c r="Z136" s="61"/>
      <c r="AA136" s="61"/>
      <c r="AM136" s="119"/>
    </row>
    <row r="137" spans="1:51" ht="11.25" hidden="1" customHeight="1">
      <c r="A137" s="81"/>
      <c r="B137" s="82"/>
      <c r="C137" s="82"/>
      <c r="D137" s="82"/>
      <c r="E137" s="82"/>
      <c r="F137" s="82"/>
      <c r="G137" s="82"/>
      <c r="H137" s="82"/>
      <c r="I137" s="82"/>
      <c r="J137" s="82"/>
      <c r="K137" s="82"/>
      <c r="L137" s="82"/>
      <c r="M137" s="82"/>
      <c r="N137" s="82"/>
      <c r="O137" s="82"/>
      <c r="P137" s="82"/>
      <c r="Q137" s="82"/>
      <c r="R137" s="82"/>
      <c r="S137" s="82"/>
      <c r="T137" s="84"/>
      <c r="U137" s="102"/>
      <c r="V137" s="114"/>
      <c r="W137" s="52"/>
      <c r="X137" s="52"/>
      <c r="AM137" s="119"/>
    </row>
    <row r="138" spans="1:51" ht="15" hidden="1" customHeight="1">
      <c r="A138" s="208"/>
      <c r="B138" s="1757" t="s">
        <v>657</v>
      </c>
      <c r="C138" s="1757"/>
      <c r="D138" s="1757"/>
      <c r="E138" s="1757"/>
      <c r="F138" s="1757"/>
      <c r="G138" s="1757"/>
      <c r="H138" s="1757"/>
      <c r="I138" s="1757"/>
      <c r="J138" s="588"/>
      <c r="K138" s="50"/>
      <c r="L138" s="50"/>
      <c r="M138" s="50"/>
      <c r="N138" s="224"/>
      <c r="O138" s="50"/>
      <c r="P138" s="50"/>
      <c r="Q138" s="50"/>
      <c r="R138" s="50"/>
      <c r="S138" s="50"/>
      <c r="T138" s="194"/>
      <c r="U138" s="102"/>
      <c r="V138" s="114"/>
      <c r="W138" s="249" t="s">
        <v>153</v>
      </c>
      <c r="X138" s="250"/>
      <c r="Y138" s="52"/>
      <c r="Z138" s="52"/>
      <c r="AA138" s="52"/>
      <c r="AB138" s="52"/>
      <c r="AM138" s="119"/>
      <c r="AN138" s="61"/>
      <c r="AO138" s="61"/>
      <c r="AP138" s="61"/>
      <c r="AQ138" s="61"/>
      <c r="AR138" s="61"/>
      <c r="AS138" s="61"/>
      <c r="AT138" s="61"/>
      <c r="AU138" s="61"/>
      <c r="AV138" s="61"/>
      <c r="AW138" s="61"/>
      <c r="AX138" s="61"/>
      <c r="AY138" s="61"/>
    </row>
    <row r="139" spans="1:51" ht="15" hidden="1" customHeight="1">
      <c r="A139" s="208"/>
      <c r="B139" s="1757"/>
      <c r="C139" s="1757"/>
      <c r="D139" s="1757"/>
      <c r="E139" s="1757"/>
      <c r="F139" s="1757"/>
      <c r="G139" s="1757"/>
      <c r="H139" s="1757"/>
      <c r="I139" s="1757"/>
      <c r="J139" s="588"/>
      <c r="K139" s="50"/>
      <c r="L139" s="50"/>
      <c r="M139" s="50"/>
      <c r="N139" s="224"/>
      <c r="O139" s="50"/>
      <c r="P139" s="50"/>
      <c r="Q139" s="50"/>
      <c r="R139" s="5"/>
      <c r="S139" s="50"/>
      <c r="T139" s="194"/>
      <c r="U139" s="102"/>
      <c r="V139" s="114"/>
      <c r="W139" s="251"/>
      <c r="X139" s="250"/>
      <c r="Y139" s="251"/>
      <c r="Z139" s="251"/>
      <c r="AA139" s="251"/>
      <c r="AC139" s="251"/>
      <c r="AM139" s="119"/>
      <c r="AN139" s="61"/>
      <c r="AO139" s="61"/>
      <c r="AP139" s="61"/>
      <c r="AQ139" s="61"/>
      <c r="AR139" s="61"/>
      <c r="AS139" s="61"/>
      <c r="AT139" s="61"/>
      <c r="AU139" s="61"/>
      <c r="AV139" s="61"/>
      <c r="AW139" s="61"/>
      <c r="AX139" s="61"/>
      <c r="AY139" s="61"/>
    </row>
    <row r="140" spans="1:51" s="61" customFormat="1" ht="13.5" hidden="1" customHeight="1">
      <c r="A140" s="217"/>
      <c r="B140" s="1910" t="s">
        <v>177</v>
      </c>
      <c r="C140" s="230"/>
      <c r="D140" s="457" t="str">
        <f>ReportData!$D$27</f>
        <v>2019/20</v>
      </c>
      <c r="E140" s="457" t="str">
        <f>ReportData!$E$27</f>
        <v>2020/21</v>
      </c>
      <c r="F140" s="457" t="str">
        <f>ReportData!$F$27</f>
        <v>2021/22</v>
      </c>
      <c r="G140" s="457" t="str">
        <f>ReportData!$G$27</f>
        <v>2022/23</v>
      </c>
      <c r="H140" s="458" t="str">
        <f>ReportData!$H$27</f>
        <v>2023/24</v>
      </c>
      <c r="I140" s="43"/>
      <c r="J140" s="68"/>
      <c r="K140" s="43"/>
      <c r="L140" s="43"/>
      <c r="M140" s="43"/>
      <c r="N140" s="43"/>
      <c r="O140" s="43"/>
      <c r="P140" s="43"/>
      <c r="Q140" s="225"/>
      <c r="R140" s="225"/>
      <c r="S140" s="120"/>
      <c r="T140" s="608"/>
      <c r="U140" s="103"/>
      <c r="V140" s="115"/>
      <c r="W140" s="248"/>
      <c r="X140" s="307" t="str">
        <f>ReportData!$D$27</f>
        <v>2019/20</v>
      </c>
      <c r="Y140" s="307" t="str">
        <f>ReportData!$E$27</f>
        <v>2020/21</v>
      </c>
      <c r="Z140" s="307" t="str">
        <f>ReportData!$F$27</f>
        <v>2021/22</v>
      </c>
      <c r="AA140" s="307" t="str">
        <f>ReportData!$G$27</f>
        <v>2022/23</v>
      </c>
      <c r="AB140" s="307" t="str">
        <f>ReportData!$H$27</f>
        <v>2023/24</v>
      </c>
      <c r="AC140" s="251"/>
      <c r="AD140" s="56"/>
      <c r="AE140" s="56"/>
      <c r="AF140" s="56"/>
      <c r="AG140" s="56"/>
      <c r="AH140" s="56"/>
      <c r="AI140" s="56"/>
      <c r="AJ140" s="52"/>
      <c r="AK140" s="52"/>
      <c r="AL140" s="52"/>
      <c r="AM140" s="121"/>
    </row>
    <row r="141" spans="1:51" s="61" customFormat="1" ht="13.5" hidden="1" customHeight="1">
      <c r="A141" s="217"/>
      <c r="B141" s="1911"/>
      <c r="C141" s="59"/>
      <c r="D141" s="459" t="e">
        <f>ReportData!$D$28</f>
        <v>#N/A</v>
      </c>
      <c r="E141" s="459" t="e">
        <f>ReportData!$E$28</f>
        <v>#N/A</v>
      </c>
      <c r="F141" s="459" t="e">
        <f>ReportData!$F$28</f>
        <v>#N/A</v>
      </c>
      <c r="G141" s="459" t="e">
        <f>ReportData!$G$28</f>
        <v>#N/A</v>
      </c>
      <c r="H141" s="460" t="e">
        <f>ReportData!$H$28</f>
        <v>#N/A</v>
      </c>
      <c r="I141" s="43"/>
      <c r="J141" s="68"/>
      <c r="K141" s="43"/>
      <c r="L141" s="43"/>
      <c r="M141" s="43"/>
      <c r="N141" s="43"/>
      <c r="O141" s="43"/>
      <c r="P141" s="43"/>
      <c r="Q141" s="225"/>
      <c r="R141" s="225"/>
      <c r="S141" s="120"/>
      <c r="T141" s="608"/>
      <c r="U141" s="103"/>
      <c r="V141" s="115"/>
      <c r="W141" s="248"/>
      <c r="X141" s="307" t="e">
        <f>ReportData!$D$28</f>
        <v>#N/A</v>
      </c>
      <c r="Y141" s="307" t="e">
        <f>ReportData!$E$28</f>
        <v>#N/A</v>
      </c>
      <c r="Z141" s="307" t="e">
        <f>ReportData!$F$28</f>
        <v>#N/A</v>
      </c>
      <c r="AA141" s="307" t="e">
        <f>ReportData!$G$28</f>
        <v>#N/A</v>
      </c>
      <c r="AB141" s="307" t="e">
        <f>ReportData!$H$28</f>
        <v>#N/A</v>
      </c>
      <c r="AC141" s="251"/>
      <c r="AD141" s="56"/>
      <c r="AE141" s="56"/>
      <c r="AF141" s="56"/>
      <c r="AG141" s="56"/>
      <c r="AH141" s="56"/>
      <c r="AI141" s="56"/>
      <c r="AJ141" s="52"/>
      <c r="AK141" s="52"/>
      <c r="AL141" s="52"/>
      <c r="AM141" s="121"/>
    </row>
    <row r="142" spans="1:51" s="61" customFormat="1" ht="12.75" hidden="1" customHeight="1">
      <c r="A142" s="306">
        <f>VLOOKUP(B142,ReportData!$AQ$4:$AR$25,2,FALSE)</f>
        <v>0</v>
      </c>
      <c r="B142" s="65" t="str">
        <f t="shared" ref="B142:B154" si="54">B11</f>
        <v>Bracknell Forest</v>
      </c>
      <c r="C142" s="59"/>
      <c r="D142" s="735" t="e">
        <f t="shared" ref="D142:D154" si="55">IF(AND(ISNUMBER(AD177),ISNUMBER(X142),AD177&gt;0),X142/AD177,NA())</f>
        <v>#N/A</v>
      </c>
      <c r="E142" s="735" t="e">
        <f t="shared" ref="E142:E154" si="56">IF(AND(ISNUMBER(AE177),ISNUMBER(Y142),AE177&gt;0),Y142/AE177,NA())</f>
        <v>#N/A</v>
      </c>
      <c r="F142" s="123" t="e">
        <f t="shared" ref="F142:F154" si="57">IF(AND(ISNUMBER(AF177),ISNUMBER(Z142),AF177&gt;0),Z142/AF177,NA())</f>
        <v>#N/A</v>
      </c>
      <c r="G142" s="123" t="e">
        <f t="shared" ref="G142:G154" si="58">IF(AND(ISNUMBER(AG177),ISNUMBER(AA142),AG177&gt;0),AA142/AG177,NA())</f>
        <v>#N/A</v>
      </c>
      <c r="H142" s="125" t="e">
        <f t="shared" ref="H142:H154" si="59">IF(AND(ISNUMBER(AH177),ISNUMBER(AB142),AH177&gt;0),AB142/AH177,NA())</f>
        <v>#N/A</v>
      </c>
      <c r="I142" s="274"/>
      <c r="J142" s="68"/>
      <c r="K142" s="127"/>
      <c r="L142" s="127"/>
      <c r="M142" s="127"/>
      <c r="N142" s="127"/>
      <c r="O142" s="127"/>
      <c r="P142" s="127"/>
      <c r="Q142" s="127"/>
      <c r="R142" s="128"/>
      <c r="S142" s="120"/>
      <c r="T142" s="608"/>
      <c r="U142" s="103"/>
      <c r="V142" s="115"/>
      <c r="W142" s="248" t="str">
        <f t="shared" ref="W142:W164" si="60">B142</f>
        <v>Bracknell Forest</v>
      </c>
      <c r="X142" s="248" t="str">
        <f>IF(Year1_Bracknell_Forest Year1_Adoption_LAC_Adopted_placed_with_12months="","",Year1_Bracknell_Forest Year1_Adoption_LAC_Adopted_placed_with_12months)</f>
        <v/>
      </c>
      <c r="Y142" s="248" t="str">
        <f>IF(Year2_Bracknell_Forest Year2_Adoption_LAC_Adopted_placed_with_12months="","",Year2_Bracknell_Forest Year2_Adoption_LAC_Adopted_placed_with_12months)</f>
        <v/>
      </c>
      <c r="Z142" s="248" t="str">
        <f>IF(Year3_Bracknell_Forest Year3_Adoption_LAC_Adopted_placed_with_12months="","",Year3_Bracknell_Forest Year3_Adoption_LAC_Adopted_placed_with_12months)</f>
        <v/>
      </c>
      <c r="AA142" s="248" t="str">
        <f>IF(Year4_Bracknell_Forest Year4_Adoption_LAC_Adopted_placed_with_12months="","",Year4_Bracknell_Forest Year4_Adoption_LAC_Adopted_placed_with_12months)</f>
        <v/>
      </c>
      <c r="AB142" s="248" t="str">
        <f>IF(Year5_Bracknell_Forest Year5_Adoption_LAC_Adopted_placed_with_12months="","",Year5_Bracknell_Forest Year5_Adoption_LAC_Adopted_placed_with_12months)</f>
        <v/>
      </c>
      <c r="AC142" s="251"/>
      <c r="AD142" s="56"/>
      <c r="AE142" s="56"/>
      <c r="AF142" s="56"/>
      <c r="AG142" s="56"/>
      <c r="AH142" s="56"/>
      <c r="AI142" s="56"/>
      <c r="AJ142" s="52"/>
      <c r="AK142" s="52"/>
      <c r="AL142" s="52"/>
      <c r="AM142" s="121"/>
    </row>
    <row r="143" spans="1:51" s="61" customFormat="1" ht="12.75" hidden="1" customHeight="1">
      <c r="A143" s="306">
        <f>VLOOKUP(B143,ReportData!$AQ$4:$AR$25,2,FALSE)</f>
        <v>0</v>
      </c>
      <c r="B143" s="65" t="str">
        <f t="shared" si="54"/>
        <v>Brighton &amp; Hove</v>
      </c>
      <c r="C143" s="59"/>
      <c r="D143" s="735" t="e">
        <f t="shared" si="55"/>
        <v>#N/A</v>
      </c>
      <c r="E143" s="735" t="e">
        <f t="shared" si="56"/>
        <v>#N/A</v>
      </c>
      <c r="F143" s="736" t="e">
        <f t="shared" si="57"/>
        <v>#N/A</v>
      </c>
      <c r="G143" s="736" t="e">
        <f t="shared" si="58"/>
        <v>#N/A</v>
      </c>
      <c r="H143" s="125" t="e">
        <f t="shared" si="59"/>
        <v>#N/A</v>
      </c>
      <c r="I143" s="274"/>
      <c r="J143" s="68"/>
      <c r="K143" s="127"/>
      <c r="L143" s="127"/>
      <c r="M143" s="127"/>
      <c r="N143" s="127"/>
      <c r="O143" s="127"/>
      <c r="P143" s="127"/>
      <c r="Q143" s="127"/>
      <c r="R143" s="128"/>
      <c r="S143" s="120"/>
      <c r="T143" s="608"/>
      <c r="U143" s="103"/>
      <c r="V143" s="115"/>
      <c r="W143" s="248" t="str">
        <f t="shared" si="60"/>
        <v>Brighton &amp; Hove</v>
      </c>
      <c r="X143" s="248" t="str">
        <f>IF(Year1_Brighton_and_Hove Year1_Adoption_LAC_Adopted_placed_with_12months="","",Year1_Brighton_and_Hove Year1_Adoption_LAC_Adopted_placed_with_12months)</f>
        <v/>
      </c>
      <c r="Y143" s="248" t="str">
        <f>IF(Year2_Brighton_and_Hove Year2_Adoption_LAC_Adopted_placed_with_12months="","",Year2_Brighton_and_Hove Year2_Adoption_LAC_Adopted_placed_with_12months)</f>
        <v/>
      </c>
      <c r="Z143" s="248" t="str">
        <f>IF(Year3_Brighton_and_Hove Year3_Adoption_LAC_Adopted_placed_with_12months="","",Year3_Brighton_and_Hove Year3_Adoption_LAC_Adopted_placed_with_12months)</f>
        <v/>
      </c>
      <c r="AA143" s="248" t="str">
        <f>IF(Year4_Brighton_and_Hove Year4_Adoption_LAC_Adopted_placed_with_12months="","",Year4_Brighton_and_Hove Year4_Adoption_LAC_Adopted_placed_with_12months)</f>
        <v/>
      </c>
      <c r="AB143" s="248" t="str">
        <f>IF(Year5_Brighton_and_Hove Year5_Adoption_LAC_Adopted_placed_with_12months="","",Year5_Brighton_and_Hove Year5_Adoption_LAC_Adopted_placed_with_12months)</f>
        <v/>
      </c>
      <c r="AC143" s="251"/>
      <c r="AD143" s="56"/>
      <c r="AE143" s="56"/>
      <c r="AF143" s="56"/>
      <c r="AG143" s="56"/>
      <c r="AH143" s="56"/>
      <c r="AI143" s="56"/>
      <c r="AJ143" s="52"/>
      <c r="AK143" s="52"/>
      <c r="AL143" s="52"/>
      <c r="AM143" s="121"/>
    </row>
    <row r="144" spans="1:51" s="61" customFormat="1" ht="12.75" hidden="1" customHeight="1">
      <c r="A144" s="306">
        <f>VLOOKUP(B144,ReportData!$AQ$4:$AR$25,2,FALSE)</f>
        <v>0</v>
      </c>
      <c r="B144" s="65" t="str">
        <f t="shared" si="54"/>
        <v>Buckinghamshire</v>
      </c>
      <c r="C144" s="59"/>
      <c r="D144" s="736" t="e">
        <f t="shared" si="55"/>
        <v>#N/A</v>
      </c>
      <c r="E144" s="736" t="e">
        <f t="shared" si="56"/>
        <v>#N/A</v>
      </c>
      <c r="F144" s="736" t="e">
        <f t="shared" si="57"/>
        <v>#N/A</v>
      </c>
      <c r="G144" s="736" t="e">
        <f t="shared" si="58"/>
        <v>#N/A</v>
      </c>
      <c r="H144" s="125" t="e">
        <f t="shared" si="59"/>
        <v>#N/A</v>
      </c>
      <c r="I144" s="274"/>
      <c r="J144" s="68"/>
      <c r="K144" s="127"/>
      <c r="L144" s="127"/>
      <c r="M144" s="127"/>
      <c r="N144" s="127"/>
      <c r="O144" s="127"/>
      <c r="P144" s="127"/>
      <c r="Q144" s="127"/>
      <c r="R144" s="128"/>
      <c r="S144" s="120"/>
      <c r="T144" s="608"/>
      <c r="U144" s="103"/>
      <c r="V144" s="115"/>
      <c r="W144" s="248" t="str">
        <f t="shared" si="60"/>
        <v>Buckinghamshire</v>
      </c>
      <c r="X144" s="248" t="str">
        <f>IF(Year1_Buckinghamshire Year1_Adoption_LAC_Adopted_placed_with_12months="","",Year1_Buckinghamshire Year1_Adoption_LAC_Adopted_placed_with_12months)</f>
        <v/>
      </c>
      <c r="Y144" s="248" t="str">
        <f>IF(Year2_Buckinghamshire Year2_Adoption_LAC_Adopted_placed_with_12months="","",Year2_Buckinghamshire Year2_Adoption_LAC_Adopted_placed_with_12months)</f>
        <v/>
      </c>
      <c r="Z144" s="248" t="str">
        <f>IF(Year3_Buckinghamshire Year3_Adoption_LAC_Adopted_placed_with_12months="","",Year3_Buckinghamshire Year3_Adoption_LAC_Adopted_placed_with_12months)</f>
        <v/>
      </c>
      <c r="AA144" s="248" t="str">
        <f>IF(Year4_Buckinghamshire Year4_Adoption_LAC_Adopted_placed_with_12months="","",Year4_Buckinghamshire Year4_Adoption_LAC_Adopted_placed_with_12months)</f>
        <v/>
      </c>
      <c r="AB144" s="248" t="str">
        <f>IF(Year5_Buckinghamshire Year5_Adoption_LAC_Adopted_placed_with_12months="","",Year5_Buckinghamshire Year5_Adoption_LAC_Adopted_placed_with_12months)</f>
        <v/>
      </c>
      <c r="AC144" s="251"/>
      <c r="AD144" s="56"/>
      <c r="AE144" s="56"/>
      <c r="AF144" s="56"/>
      <c r="AG144" s="56"/>
      <c r="AH144" s="56"/>
      <c r="AI144" s="56"/>
      <c r="AJ144" s="52"/>
      <c r="AK144" s="52"/>
      <c r="AL144" s="52"/>
      <c r="AM144" s="121"/>
    </row>
    <row r="145" spans="1:47" s="61" customFormat="1" ht="12.75" hidden="1" customHeight="1">
      <c r="A145" s="306">
        <f>VLOOKUP(B145,ReportData!$AQ$4:$AR$25,2,FALSE)</f>
        <v>0</v>
      </c>
      <c r="B145" s="65" t="str">
        <f t="shared" si="54"/>
        <v>East Sussex</v>
      </c>
      <c r="C145" s="59"/>
      <c r="D145" s="735" t="e">
        <f t="shared" si="55"/>
        <v>#N/A</v>
      </c>
      <c r="E145" s="735" t="e">
        <f t="shared" si="56"/>
        <v>#N/A</v>
      </c>
      <c r="F145" s="736" t="e">
        <f t="shared" si="57"/>
        <v>#N/A</v>
      </c>
      <c r="G145" s="736" t="e">
        <f t="shared" si="58"/>
        <v>#N/A</v>
      </c>
      <c r="H145" s="125" t="e">
        <f t="shared" si="59"/>
        <v>#N/A</v>
      </c>
      <c r="I145" s="274"/>
      <c r="J145" s="68"/>
      <c r="K145" s="127"/>
      <c r="L145" s="127"/>
      <c r="M145" s="127"/>
      <c r="N145" s="127"/>
      <c r="O145" s="127"/>
      <c r="P145" s="127"/>
      <c r="Q145" s="127"/>
      <c r="R145" s="128"/>
      <c r="S145" s="120"/>
      <c r="T145" s="608"/>
      <c r="U145" s="103"/>
      <c r="V145" s="115"/>
      <c r="W145" s="248" t="str">
        <f t="shared" si="60"/>
        <v>East Sussex</v>
      </c>
      <c r="X145" s="248" t="str">
        <f>IF(Year1_East_Sussex Year1_Adoption_LAC_Adopted_placed_with_12months="","",Year1_East_Sussex Year1_Adoption_LAC_Adopted_placed_with_12months)</f>
        <v/>
      </c>
      <c r="Y145" s="248" t="str">
        <f>IF(Year2_East_Sussex Year2_Adoption_LAC_Adopted_placed_with_12months="","",Year2_East_Sussex Year2_Adoption_LAC_Adopted_placed_with_12months)</f>
        <v/>
      </c>
      <c r="Z145" s="248" t="str">
        <f>IF(Year3_East_Sussex Year3_Adoption_LAC_Adopted_placed_with_12months="","",Year3_East_Sussex Year3_Adoption_LAC_Adopted_placed_with_12months)</f>
        <v/>
      </c>
      <c r="AA145" s="248" t="str">
        <f>IF(Year4_East_Sussex Year4_Adoption_LAC_Adopted_placed_with_12months="","",Year4_East_Sussex Year4_Adoption_LAC_Adopted_placed_with_12months)</f>
        <v/>
      </c>
      <c r="AB145" s="248" t="str">
        <f>IF(Year5_East_Sussex Year5_Adoption_LAC_Adopted_placed_with_12months="","",Year5_East_Sussex Year5_Adoption_LAC_Adopted_placed_with_12months)</f>
        <v/>
      </c>
      <c r="AC145" s="251"/>
      <c r="AD145" s="56"/>
      <c r="AE145" s="56"/>
      <c r="AF145" s="56"/>
      <c r="AG145" s="56"/>
      <c r="AH145" s="56"/>
      <c r="AI145" s="56"/>
      <c r="AJ145" s="52"/>
      <c r="AK145" s="52"/>
      <c r="AL145" s="52"/>
      <c r="AM145" s="121"/>
      <c r="AU145" s="61" t="s">
        <v>95</v>
      </c>
    </row>
    <row r="146" spans="1:47" s="61" customFormat="1" ht="12.75" hidden="1" customHeight="1">
      <c r="A146" s="306">
        <f>VLOOKUP(B146,ReportData!$AQ$4:$AR$25,2,FALSE)</f>
        <v>0</v>
      </c>
      <c r="B146" s="65" t="str">
        <f t="shared" si="54"/>
        <v>Hampshire</v>
      </c>
      <c r="C146" s="59"/>
      <c r="D146" s="735" t="e">
        <f t="shared" si="55"/>
        <v>#N/A</v>
      </c>
      <c r="E146" s="735" t="e">
        <f t="shared" si="56"/>
        <v>#N/A</v>
      </c>
      <c r="F146" s="736" t="e">
        <f t="shared" si="57"/>
        <v>#N/A</v>
      </c>
      <c r="G146" s="736" t="e">
        <f t="shared" si="58"/>
        <v>#N/A</v>
      </c>
      <c r="H146" s="125" t="e">
        <f t="shared" si="59"/>
        <v>#N/A</v>
      </c>
      <c r="I146" s="274"/>
      <c r="J146" s="68"/>
      <c r="K146" s="127"/>
      <c r="L146" s="127"/>
      <c r="M146" s="127"/>
      <c r="N146" s="127"/>
      <c r="O146" s="127"/>
      <c r="P146" s="127"/>
      <c r="Q146" s="127"/>
      <c r="R146" s="128"/>
      <c r="S146" s="120"/>
      <c r="T146" s="608"/>
      <c r="U146" s="103"/>
      <c r="V146" s="115"/>
      <c r="W146" s="248" t="str">
        <f t="shared" si="60"/>
        <v>Hampshire</v>
      </c>
      <c r="X146" s="248" t="str">
        <f>IF(Year1_Hampshire Year1_Adoption_LAC_Adopted_placed_with_12months="","",Year1_Hampshire Year1_Adoption_LAC_Adopted_placed_with_12months)</f>
        <v/>
      </c>
      <c r="Y146" s="248" t="str">
        <f>IF(Year2_Hampshire Year2_Adoption_LAC_Adopted_placed_with_12months="","",Year2_Hampshire Year2_Adoption_LAC_Adopted_placed_with_12months)</f>
        <v/>
      </c>
      <c r="Z146" s="248" t="str">
        <f>IF(Year3_Hampshire Year3_Adoption_LAC_Adopted_placed_with_12months="","",Year3_Hampshire Year3_Adoption_LAC_Adopted_placed_with_12months)</f>
        <v/>
      </c>
      <c r="AA146" s="248" t="str">
        <f>IF(Year4_Hampshire Year4_Adoption_LAC_Adopted_placed_with_12months="","",Year4_Hampshire Year4_Adoption_LAC_Adopted_placed_with_12months)</f>
        <v/>
      </c>
      <c r="AB146" s="248" t="str">
        <f>IF(Year5_Hampshire Year5_Adoption_LAC_Adopted_placed_with_12months="","",Year5_Hampshire Year5_Adoption_LAC_Adopted_placed_with_12months)</f>
        <v/>
      </c>
      <c r="AC146" s="251"/>
      <c r="AD146" s="56"/>
      <c r="AE146" s="56"/>
      <c r="AF146" s="56"/>
      <c r="AG146" s="56"/>
      <c r="AH146" s="56"/>
      <c r="AI146" s="56"/>
      <c r="AJ146" s="52"/>
      <c r="AK146" s="52"/>
      <c r="AL146" s="52"/>
      <c r="AM146" s="121"/>
    </row>
    <row r="147" spans="1:47" s="61" customFormat="1" ht="12.75" hidden="1" customHeight="1">
      <c r="A147" s="306">
        <f>VLOOKUP(B147,ReportData!$AQ$4:$AR$25,2,FALSE)</f>
        <v>0</v>
      </c>
      <c r="B147" s="65" t="str">
        <f t="shared" si="54"/>
        <v>Isle of Wight</v>
      </c>
      <c r="C147" s="59"/>
      <c r="D147" s="735" t="e">
        <f t="shared" si="55"/>
        <v>#N/A</v>
      </c>
      <c r="E147" s="735" t="e">
        <f t="shared" si="56"/>
        <v>#N/A</v>
      </c>
      <c r="F147" s="736" t="e">
        <f t="shared" si="57"/>
        <v>#N/A</v>
      </c>
      <c r="G147" s="736" t="e">
        <f t="shared" si="58"/>
        <v>#N/A</v>
      </c>
      <c r="H147" s="125" t="e">
        <f t="shared" si="59"/>
        <v>#N/A</v>
      </c>
      <c r="I147" s="274"/>
      <c r="J147" s="68"/>
      <c r="K147" s="127"/>
      <c r="L147" s="127"/>
      <c r="M147" s="127"/>
      <c r="N147" s="127"/>
      <c r="O147" s="127"/>
      <c r="P147" s="127"/>
      <c r="Q147" s="127"/>
      <c r="R147" s="128"/>
      <c r="S147" s="120"/>
      <c r="T147" s="608"/>
      <c r="U147" s="103"/>
      <c r="V147" s="115"/>
      <c r="W147" s="248" t="str">
        <f t="shared" si="60"/>
        <v>Isle of Wight</v>
      </c>
      <c r="X147" s="248" t="str">
        <f>IF(Year1_Isle_of_Wight Year1_Adoption_LAC_Adopted_placed_with_12months="","",Year1_Isle_of_Wight Year1_Adoption_LAC_Adopted_placed_with_12months)</f>
        <v/>
      </c>
      <c r="Y147" s="248" t="str">
        <f>IF(Year2_Isle_of_Wight Year2_Adoption_LAC_Adopted_placed_with_12months="","",Year2_Isle_of_Wight Year2_Adoption_LAC_Adopted_placed_with_12months)</f>
        <v/>
      </c>
      <c r="Z147" s="248" t="str">
        <f>IF(Year3_Isle_of_Wight Year3_Adoption_LAC_Adopted_placed_with_12months="","",Year3_Isle_of_Wight Year3_Adoption_LAC_Adopted_placed_with_12months)</f>
        <v/>
      </c>
      <c r="AA147" s="248" t="str">
        <f>IF(Year4_Isle_of_Wight Year4_Adoption_LAC_Adopted_placed_with_12months="","",Year4_Isle_of_Wight Year4_Adoption_LAC_Adopted_placed_with_12months)</f>
        <v/>
      </c>
      <c r="AB147" s="248" t="str">
        <f>IF(Year5_Isle_of_Wight Year5_Adoption_LAC_Adopted_placed_with_12months="","",Year5_Isle_of_Wight Year5_Adoption_LAC_Adopted_placed_with_12months)</f>
        <v/>
      </c>
      <c r="AC147" s="251"/>
      <c r="AD147" s="56"/>
      <c r="AE147" s="56"/>
      <c r="AF147" s="56"/>
      <c r="AG147" s="56"/>
      <c r="AH147" s="56"/>
      <c r="AI147" s="56"/>
      <c r="AJ147" s="52"/>
      <c r="AK147" s="52"/>
      <c r="AL147" s="52"/>
      <c r="AM147" s="121"/>
    </row>
    <row r="148" spans="1:47" s="61" customFormat="1" ht="12.75" hidden="1" customHeight="1">
      <c r="A148" s="306">
        <f>VLOOKUP(B148,ReportData!$AQ$4:$AR$25,2,FALSE)</f>
        <v>0</v>
      </c>
      <c r="B148" s="65" t="str">
        <f t="shared" si="54"/>
        <v>Kent</v>
      </c>
      <c r="C148" s="59"/>
      <c r="D148" s="735" t="e">
        <f t="shared" si="55"/>
        <v>#N/A</v>
      </c>
      <c r="E148" s="735" t="e">
        <f t="shared" si="56"/>
        <v>#N/A</v>
      </c>
      <c r="F148" s="736" t="e">
        <f t="shared" si="57"/>
        <v>#N/A</v>
      </c>
      <c r="G148" s="736" t="e">
        <f t="shared" si="58"/>
        <v>#N/A</v>
      </c>
      <c r="H148" s="125" t="e">
        <f t="shared" si="59"/>
        <v>#N/A</v>
      </c>
      <c r="I148" s="274"/>
      <c r="J148" s="68"/>
      <c r="K148" s="127"/>
      <c r="L148" s="127"/>
      <c r="M148" s="127"/>
      <c r="N148" s="127"/>
      <c r="O148" s="127"/>
      <c r="P148" s="127"/>
      <c r="Q148" s="127"/>
      <c r="R148" s="128"/>
      <c r="S148" s="120"/>
      <c r="T148" s="608"/>
      <c r="U148" s="103"/>
      <c r="V148" s="115"/>
      <c r="W148" s="248" t="str">
        <f t="shared" si="60"/>
        <v>Kent</v>
      </c>
      <c r="X148" s="248" t="str">
        <f>IF(Year1_Kent Year1_Adoption_LAC_Adopted_placed_with_12months="","",Year1_Kent Year1_Adoption_LAC_Adopted_placed_with_12months)</f>
        <v/>
      </c>
      <c r="Y148" s="248" t="str">
        <f>IF(Year2_Kent Year2_Adoption_LAC_Adopted_placed_with_12months="","",Year2_Kent Year2_Adoption_LAC_Adopted_placed_with_12months)</f>
        <v/>
      </c>
      <c r="Z148" s="248" t="str">
        <f>IF(Year3_Kent Year3_Adoption_LAC_Adopted_placed_with_12months="","",Year3_Kent Year3_Adoption_LAC_Adopted_placed_with_12months)</f>
        <v/>
      </c>
      <c r="AA148" s="248" t="str">
        <f>IF(Year4_Kent Year4_Adoption_LAC_Adopted_placed_with_12months="","",Year4_Kent Year4_Adoption_LAC_Adopted_placed_with_12months)</f>
        <v/>
      </c>
      <c r="AB148" s="248" t="str">
        <f>IF(Year5_Kent Year5_Adoption_LAC_Adopted_placed_with_12months="","",Year5_Kent Year5_Adoption_LAC_Adopted_placed_with_12months)</f>
        <v/>
      </c>
      <c r="AC148" s="251"/>
      <c r="AD148" s="56"/>
      <c r="AE148" s="56"/>
      <c r="AF148" s="56"/>
      <c r="AG148" s="56"/>
      <c r="AH148" s="56"/>
      <c r="AI148" s="56"/>
      <c r="AJ148" s="52"/>
      <c r="AK148" s="52"/>
      <c r="AL148" s="52"/>
      <c r="AM148" s="121"/>
    </row>
    <row r="149" spans="1:47" s="61" customFormat="1" ht="12.75" hidden="1" customHeight="1">
      <c r="A149" s="306">
        <f>VLOOKUP(B149,ReportData!$AQ$4:$AR$25,2,FALSE)</f>
        <v>0</v>
      </c>
      <c r="B149" s="65" t="str">
        <f t="shared" si="54"/>
        <v>Medway</v>
      </c>
      <c r="C149" s="59"/>
      <c r="D149" s="735" t="e">
        <f t="shared" si="55"/>
        <v>#N/A</v>
      </c>
      <c r="E149" s="735" t="e">
        <f t="shared" si="56"/>
        <v>#N/A</v>
      </c>
      <c r="F149" s="736" t="e">
        <f t="shared" si="57"/>
        <v>#N/A</v>
      </c>
      <c r="G149" s="736" t="e">
        <f t="shared" si="58"/>
        <v>#N/A</v>
      </c>
      <c r="H149" s="125" t="e">
        <f t="shared" si="59"/>
        <v>#N/A</v>
      </c>
      <c r="I149" s="274"/>
      <c r="J149" s="68"/>
      <c r="K149" s="127"/>
      <c r="L149" s="127"/>
      <c r="M149" s="127"/>
      <c r="N149" s="127"/>
      <c r="O149" s="127"/>
      <c r="P149" s="127"/>
      <c r="Q149" s="127"/>
      <c r="R149" s="128"/>
      <c r="S149" s="120"/>
      <c r="T149" s="608"/>
      <c r="U149" s="103"/>
      <c r="V149" s="115"/>
      <c r="W149" s="248" t="str">
        <f t="shared" si="60"/>
        <v>Medway</v>
      </c>
      <c r="X149" s="248" t="str">
        <f>IF(Year1_Medway Year1_Adoption_LAC_Adopted_placed_with_12months="","",Year1_Medway Year1_Adoption_LAC_Adopted_placed_with_12months)</f>
        <v/>
      </c>
      <c r="Y149" s="248" t="str">
        <f>IF(Year2_Medway Year2_Adoption_LAC_Adopted_placed_with_12months="","",Year2_Medway Year2_Adoption_LAC_Adopted_placed_with_12months)</f>
        <v/>
      </c>
      <c r="Z149" s="248" t="str">
        <f>IF(Year3_Medway Year3_Adoption_LAC_Adopted_placed_with_12months="","",Year3_Medway Year3_Adoption_LAC_Adopted_placed_with_12months)</f>
        <v/>
      </c>
      <c r="AA149" s="248" t="str">
        <f>IF(Year4_Medway Year4_Adoption_LAC_Adopted_placed_with_12months="","",Year4_Medway Year4_Adoption_LAC_Adopted_placed_with_12months)</f>
        <v/>
      </c>
      <c r="AB149" s="248" t="str">
        <f>IF(Year5_Medway Year5_Adoption_LAC_Adopted_placed_with_12months="","",Year5_Medway Year5_Adoption_LAC_Adopted_placed_with_12months)</f>
        <v/>
      </c>
      <c r="AC149" s="251"/>
      <c r="AD149" s="56"/>
      <c r="AE149" s="56"/>
      <c r="AF149" s="56"/>
      <c r="AG149" s="56"/>
      <c r="AH149" s="56"/>
      <c r="AI149" s="56"/>
      <c r="AJ149" s="52"/>
      <c r="AK149" s="52"/>
      <c r="AL149" s="52"/>
      <c r="AM149" s="121"/>
    </row>
    <row r="150" spans="1:47" s="61" customFormat="1" ht="12.75" hidden="1" customHeight="1">
      <c r="A150" s="306">
        <f>VLOOKUP(B150,ReportData!$AQ$4:$AR$25,2,FALSE)</f>
        <v>0</v>
      </c>
      <c r="B150" s="65" t="str">
        <f t="shared" si="54"/>
        <v>Milton Keynes</v>
      </c>
      <c r="C150" s="59"/>
      <c r="D150" s="735" t="e">
        <f t="shared" si="55"/>
        <v>#N/A</v>
      </c>
      <c r="E150" s="735" t="e">
        <f t="shared" si="56"/>
        <v>#N/A</v>
      </c>
      <c r="F150" s="736" t="e">
        <f t="shared" si="57"/>
        <v>#N/A</v>
      </c>
      <c r="G150" s="736" t="e">
        <f t="shared" si="58"/>
        <v>#N/A</v>
      </c>
      <c r="H150" s="125" t="e">
        <f t="shared" si="59"/>
        <v>#N/A</v>
      </c>
      <c r="I150" s="274"/>
      <c r="J150" s="68"/>
      <c r="K150" s="127"/>
      <c r="L150" s="127"/>
      <c r="M150" s="127"/>
      <c r="N150" s="127"/>
      <c r="O150" s="127"/>
      <c r="P150" s="127"/>
      <c r="Q150" s="127"/>
      <c r="R150" s="128"/>
      <c r="S150" s="120"/>
      <c r="T150" s="608"/>
      <c r="U150" s="103"/>
      <c r="V150" s="115"/>
      <c r="W150" s="248" t="str">
        <f t="shared" si="60"/>
        <v>Milton Keynes</v>
      </c>
      <c r="X150" s="248" t="str">
        <f>IF(Year1_Milton_Keynes Year1_Adoption_LAC_Adopted_placed_with_12months="","",Year1_Milton_Keynes Year1_Adoption_LAC_Adopted_placed_with_12months)</f>
        <v/>
      </c>
      <c r="Y150" s="248" t="str">
        <f>IF(Year2_Milton_Keynes Year2_Adoption_LAC_Adopted_placed_with_12months="","",Year2_Milton_Keynes Year2_Adoption_LAC_Adopted_placed_with_12months)</f>
        <v/>
      </c>
      <c r="Z150" s="248" t="str">
        <f>IF(Year3_Milton_Keynes Year3_Adoption_LAC_Adopted_placed_with_12months="","",Year3_Milton_Keynes Year3_Adoption_LAC_Adopted_placed_with_12months)</f>
        <v/>
      </c>
      <c r="AA150" s="248" t="str">
        <f>IF(Year4_Milton_Keynes Year4_Adoption_LAC_Adopted_placed_with_12months="","",Year4_Milton_Keynes Year4_Adoption_LAC_Adopted_placed_with_12months)</f>
        <v/>
      </c>
      <c r="AB150" s="248" t="str">
        <f>IF(Year5_Milton_Keynes Year5_Adoption_LAC_Adopted_placed_with_12months="","",Year5_Milton_Keynes Year5_Adoption_LAC_Adopted_placed_with_12months)</f>
        <v/>
      </c>
      <c r="AC150" s="251"/>
      <c r="AD150" s="56"/>
      <c r="AE150" s="56"/>
      <c r="AF150" s="56"/>
      <c r="AG150" s="56"/>
      <c r="AH150" s="56"/>
      <c r="AI150" s="56"/>
      <c r="AJ150" s="52"/>
      <c r="AK150" s="52"/>
      <c r="AL150" s="52"/>
      <c r="AM150" s="121"/>
    </row>
    <row r="151" spans="1:47" s="61" customFormat="1" ht="12.75" hidden="1" customHeight="1">
      <c r="A151" s="306">
        <f>VLOOKUP(B151,ReportData!$AQ$4:$AR$25,2,FALSE)</f>
        <v>0</v>
      </c>
      <c r="B151" s="65" t="str">
        <f t="shared" si="54"/>
        <v>Oxfordshire</v>
      </c>
      <c r="C151" s="59"/>
      <c r="D151" s="735" t="e">
        <f t="shared" si="55"/>
        <v>#N/A</v>
      </c>
      <c r="E151" s="735" t="e">
        <f t="shared" si="56"/>
        <v>#N/A</v>
      </c>
      <c r="F151" s="736" t="e">
        <f t="shared" si="57"/>
        <v>#N/A</v>
      </c>
      <c r="G151" s="736" t="e">
        <f t="shared" si="58"/>
        <v>#N/A</v>
      </c>
      <c r="H151" s="125" t="e">
        <f t="shared" si="59"/>
        <v>#N/A</v>
      </c>
      <c r="I151" s="274"/>
      <c r="J151" s="68"/>
      <c r="K151" s="127"/>
      <c r="L151" s="127"/>
      <c r="M151" s="127"/>
      <c r="N151" s="127"/>
      <c r="O151" s="127"/>
      <c r="P151" s="127"/>
      <c r="Q151" s="127"/>
      <c r="R151" s="128"/>
      <c r="S151" s="120"/>
      <c r="T151" s="608"/>
      <c r="U151" s="103"/>
      <c r="V151" s="115"/>
      <c r="W151" s="248" t="str">
        <f t="shared" si="60"/>
        <v>Oxfordshire</v>
      </c>
      <c r="X151" s="248" t="str">
        <f>IF(Year1_Oxfordshire Year1_Adoption_LAC_Adopted_placed_with_12months="","",Year1_Oxfordshire Year1_Adoption_LAC_Adopted_placed_with_12months)</f>
        <v/>
      </c>
      <c r="Y151" s="248" t="str">
        <f>IF(Year2_Oxfordshire Year2_Adoption_LAC_Adopted_placed_with_12months="","",Year2_Oxfordshire Year2_Adoption_LAC_Adopted_placed_with_12months)</f>
        <v/>
      </c>
      <c r="Z151" s="248" t="str">
        <f>IF(Year3_Oxfordshire Year3_Adoption_LAC_Adopted_placed_with_12months="","",Year3_Oxfordshire Year3_Adoption_LAC_Adopted_placed_with_12months)</f>
        <v/>
      </c>
      <c r="AA151" s="248" t="str">
        <f>IF(Year4_Oxfordshire Year4_Adoption_LAC_Adopted_placed_with_12months="","",Year4_Oxfordshire Year4_Adoption_LAC_Adopted_placed_with_12months)</f>
        <v/>
      </c>
      <c r="AB151" s="248" t="str">
        <f>IF(Year5_Oxfordshire Year5_Adoption_LAC_Adopted_placed_with_12months="","",Year5_Oxfordshire Year5_Adoption_LAC_Adopted_placed_with_12months)</f>
        <v/>
      </c>
      <c r="AC151" s="251"/>
      <c r="AD151" s="56"/>
      <c r="AE151" s="56"/>
      <c r="AF151" s="56"/>
      <c r="AG151" s="56"/>
      <c r="AH151" s="56"/>
      <c r="AI151" s="56"/>
      <c r="AJ151" s="52"/>
      <c r="AK151" s="52"/>
      <c r="AL151" s="52"/>
      <c r="AM151" s="121"/>
    </row>
    <row r="152" spans="1:47" s="61" customFormat="1" ht="12.75" hidden="1" customHeight="1">
      <c r="A152" s="306">
        <f>VLOOKUP(B152,ReportData!$AQ$4:$AR$25,2,FALSE)</f>
        <v>0</v>
      </c>
      <c r="B152" s="65" t="str">
        <f t="shared" si="54"/>
        <v>Portsmouth</v>
      </c>
      <c r="C152" s="59"/>
      <c r="D152" s="735" t="e">
        <f t="shared" si="55"/>
        <v>#N/A</v>
      </c>
      <c r="E152" s="735" t="e">
        <f t="shared" si="56"/>
        <v>#N/A</v>
      </c>
      <c r="F152" s="736" t="e">
        <f t="shared" si="57"/>
        <v>#N/A</v>
      </c>
      <c r="G152" s="736" t="e">
        <f t="shared" si="58"/>
        <v>#N/A</v>
      </c>
      <c r="H152" s="125" t="e">
        <f t="shared" si="59"/>
        <v>#N/A</v>
      </c>
      <c r="I152" s="274"/>
      <c r="J152" s="68"/>
      <c r="K152" s="127"/>
      <c r="L152" s="127"/>
      <c r="M152" s="127"/>
      <c r="N152" s="127"/>
      <c r="O152" s="127"/>
      <c r="P152" s="127"/>
      <c r="Q152" s="127"/>
      <c r="R152" s="128"/>
      <c r="S152" s="120"/>
      <c r="T152" s="608"/>
      <c r="U152" s="103"/>
      <c r="V152" s="115"/>
      <c r="W152" s="248" t="str">
        <f t="shared" si="60"/>
        <v>Portsmouth</v>
      </c>
      <c r="X152" s="248" t="str">
        <f>IF(Year1_Portsmouth Year1_Adoption_LAC_Adopted_placed_with_12months="","",Year1_Portsmouth Year1_Adoption_LAC_Adopted_placed_with_12months)</f>
        <v/>
      </c>
      <c r="Y152" s="248" t="str">
        <f>IF(Year2_Portsmouth Year2_Adoption_LAC_Adopted_placed_with_12months="","",Year2_Portsmouth Year2_Adoption_LAC_Adopted_placed_with_12months)</f>
        <v/>
      </c>
      <c r="Z152" s="248" t="str">
        <f>IF(Year3_Portsmouth Year3_Adoption_LAC_Adopted_placed_with_12months="","",Year3_Portsmouth Year3_Adoption_LAC_Adopted_placed_with_12months)</f>
        <v/>
      </c>
      <c r="AA152" s="248" t="str">
        <f>IF(Year4_Portsmouth Year4_Adoption_LAC_Adopted_placed_with_12months="","",Year4_Portsmouth Year4_Adoption_LAC_Adopted_placed_with_12months)</f>
        <v/>
      </c>
      <c r="AB152" s="248" t="str">
        <f>IF(Year5_Portsmouth Year5_Adoption_LAC_Adopted_placed_with_12months="","",Year5_Portsmouth Year5_Adoption_LAC_Adopted_placed_with_12months)</f>
        <v/>
      </c>
      <c r="AC152" s="251"/>
      <c r="AD152" s="56"/>
      <c r="AE152" s="56"/>
      <c r="AF152" s="56"/>
      <c r="AG152" s="56"/>
      <c r="AH152" s="56"/>
      <c r="AI152" s="56"/>
      <c r="AJ152" s="52"/>
      <c r="AK152" s="52"/>
      <c r="AL152" s="52"/>
      <c r="AM152" s="121"/>
    </row>
    <row r="153" spans="1:47" s="61" customFormat="1" ht="12.75" hidden="1" customHeight="1">
      <c r="A153" s="306">
        <f>VLOOKUP(B153,ReportData!$AQ$4:$AR$25,2,FALSE)</f>
        <v>0</v>
      </c>
      <c r="B153" s="65" t="str">
        <f t="shared" si="54"/>
        <v>Reading</v>
      </c>
      <c r="C153" s="59"/>
      <c r="D153" s="735" t="e">
        <f t="shared" si="55"/>
        <v>#N/A</v>
      </c>
      <c r="E153" s="735" t="e">
        <f t="shared" si="56"/>
        <v>#N/A</v>
      </c>
      <c r="F153" s="736" t="e">
        <f t="shared" si="57"/>
        <v>#N/A</v>
      </c>
      <c r="G153" s="736" t="e">
        <f t="shared" si="58"/>
        <v>#N/A</v>
      </c>
      <c r="H153" s="125" t="e">
        <f t="shared" si="59"/>
        <v>#N/A</v>
      </c>
      <c r="I153" s="274"/>
      <c r="J153" s="68"/>
      <c r="K153" s="127"/>
      <c r="L153" s="127"/>
      <c r="M153" s="127"/>
      <c r="N153" s="127"/>
      <c r="O153" s="127"/>
      <c r="P153" s="127"/>
      <c r="Q153" s="127"/>
      <c r="R153" s="128"/>
      <c r="S153" s="120"/>
      <c r="T153" s="608"/>
      <c r="U153" s="103"/>
      <c r="V153" s="115"/>
      <c r="W153" s="248" t="str">
        <f t="shared" si="60"/>
        <v>Reading</v>
      </c>
      <c r="X153" s="248" t="str">
        <f>IF(Year1_Reading Year1_Adoption_LAC_Adopted_placed_with_12months="","",Year1_Reading Year1_Adoption_LAC_Adopted_placed_with_12months)</f>
        <v/>
      </c>
      <c r="Y153" s="248" t="str">
        <f>IF(Year2_Reading Year2_Adoption_LAC_Adopted_placed_with_12months="","",Year2_Reading Year2_Adoption_LAC_Adopted_placed_with_12months)</f>
        <v/>
      </c>
      <c r="Z153" s="248" t="str">
        <f>IF(Year3_Reading Year3_Adoption_LAC_Adopted_placed_with_12months="","",Year3_Reading Year3_Adoption_LAC_Adopted_placed_with_12months)</f>
        <v/>
      </c>
      <c r="AA153" s="248" t="str">
        <f>IF(Year4_Reading Year4_Adoption_LAC_Adopted_placed_with_12months="","",Year4_Reading Year4_Adoption_LAC_Adopted_placed_with_12months)</f>
        <v/>
      </c>
      <c r="AB153" s="248" t="str">
        <f>IF(Year5_Reading Year5_Adoption_LAC_Adopted_placed_with_12months="","",Year5_Reading Year5_Adoption_LAC_Adopted_placed_with_12months)</f>
        <v/>
      </c>
      <c r="AC153" s="251"/>
      <c r="AD153" s="56"/>
      <c r="AE153" s="56"/>
      <c r="AF153" s="56"/>
      <c r="AG153" s="56"/>
      <c r="AH153" s="56"/>
      <c r="AI153" s="56"/>
      <c r="AJ153" s="52"/>
      <c r="AK153" s="52"/>
      <c r="AL153" s="52"/>
      <c r="AM153" s="121"/>
    </row>
    <row r="154" spans="1:47" s="61" customFormat="1" ht="12.75" hidden="1" customHeight="1">
      <c r="A154" s="306">
        <f>VLOOKUP(B154,ReportData!$AQ$4:$AR$25,2,FALSE)</f>
        <v>0</v>
      </c>
      <c r="B154" s="65" t="str">
        <f t="shared" si="54"/>
        <v>Slough</v>
      </c>
      <c r="C154" s="59"/>
      <c r="D154" s="735" t="e">
        <f t="shared" si="55"/>
        <v>#N/A</v>
      </c>
      <c r="E154" s="735" t="e">
        <f t="shared" si="56"/>
        <v>#N/A</v>
      </c>
      <c r="F154" s="736" t="e">
        <f t="shared" si="57"/>
        <v>#N/A</v>
      </c>
      <c r="G154" s="736" t="e">
        <f t="shared" si="58"/>
        <v>#N/A</v>
      </c>
      <c r="H154" s="125" t="e">
        <f t="shared" si="59"/>
        <v>#N/A</v>
      </c>
      <c r="I154" s="274"/>
      <c r="J154" s="68"/>
      <c r="K154" s="127"/>
      <c r="L154" s="127"/>
      <c r="M154" s="127"/>
      <c r="N154" s="127"/>
      <c r="O154" s="127"/>
      <c r="P154" s="127"/>
      <c r="Q154" s="127"/>
      <c r="R154" s="128"/>
      <c r="S154" s="120"/>
      <c r="T154" s="608"/>
      <c r="U154" s="103"/>
      <c r="V154" s="115"/>
      <c r="W154" s="248" t="str">
        <f t="shared" si="60"/>
        <v>Slough</v>
      </c>
      <c r="X154" s="248" t="str">
        <f>IF(Year1_Slough Year1_Adoption_LAC_Adopted_placed_with_12months="","",Year1_Slough Year1_Adoption_LAC_Adopted_placed_with_12months)</f>
        <v/>
      </c>
      <c r="Y154" s="248" t="str">
        <f>IF(Year2_Slough Year2_Adoption_LAC_Adopted_placed_with_12months="","",Year2_Slough Year2_Adoption_LAC_Adopted_placed_with_12months)</f>
        <v/>
      </c>
      <c r="Z154" s="248" t="str">
        <f>IF(Year3_Slough Year3_Adoption_LAC_Adopted_placed_with_12months="","",Year3_Slough Year3_Adoption_LAC_Adopted_placed_with_12months)</f>
        <v/>
      </c>
      <c r="AA154" s="248" t="str">
        <f>IF(Year4_Slough Year4_Adoption_LAC_Adopted_placed_with_12months="","",Year4_Slough Year4_Adoption_LAC_Adopted_placed_with_12months)</f>
        <v/>
      </c>
      <c r="AB154" s="248" t="str">
        <f>IF(Year5_Slough Year5_Adoption_LAC_Adopted_placed_with_12months="","",Year5_Slough Year5_Adoption_LAC_Adopted_placed_with_12months)</f>
        <v/>
      </c>
      <c r="AC154" s="251"/>
      <c r="AD154" s="56"/>
      <c r="AE154" s="56"/>
      <c r="AF154" s="56"/>
      <c r="AG154" s="56"/>
      <c r="AH154" s="56"/>
      <c r="AI154" s="56"/>
      <c r="AJ154" s="52"/>
      <c r="AK154" s="52"/>
      <c r="AL154" s="52"/>
      <c r="AM154" s="121"/>
    </row>
    <row r="155" spans="1:47" s="61" customFormat="1" ht="12.75" hidden="1" customHeight="1">
      <c r="A155" s="306" t="e">
        <f>VLOOKUP(B155,ReportData!$AQ$4:$AR$25,2,FALSE)</f>
        <v>#REF!</v>
      </c>
      <c r="B155" s="65" t="e">
        <f>#REF!</f>
        <v>#REF!</v>
      </c>
      <c r="C155" s="59"/>
      <c r="D155" s="735" t="e">
        <f>IF(AND(ISNUMBER(#REF!),ISNUMBER(X155),#REF!&gt;0),X155/#REF!,NA())</f>
        <v>#REF!</v>
      </c>
      <c r="E155" s="735" t="e">
        <f>IF(AND(ISNUMBER(#REF!),ISNUMBER(Y155),#REF!&gt;0),Y155/#REF!,NA())</f>
        <v>#REF!</v>
      </c>
      <c r="F155" s="736" t="e">
        <f>IF(AND(ISNUMBER(#REF!),ISNUMBER(Z155),#REF!&gt;0),Z155/#REF!,NA())</f>
        <v>#REF!</v>
      </c>
      <c r="G155" s="736" t="e">
        <f>IF(AND(ISNUMBER(#REF!),ISNUMBER(AA155),#REF!&gt;0),AA155/#REF!,NA())</f>
        <v>#REF!</v>
      </c>
      <c r="H155" s="125" t="e">
        <f>IF(AND(ISNUMBER(#REF!),ISNUMBER(AB155),#REF!&gt;0),AB155/#REF!,NA())</f>
        <v>#REF!</v>
      </c>
      <c r="I155" s="274"/>
      <c r="J155" s="68"/>
      <c r="K155" s="127"/>
      <c r="L155" s="127"/>
      <c r="M155" s="127"/>
      <c r="N155" s="127"/>
      <c r="O155" s="127"/>
      <c r="P155" s="127"/>
      <c r="Q155" s="127"/>
      <c r="R155" s="128"/>
      <c r="S155" s="120"/>
      <c r="T155" s="608"/>
      <c r="U155" s="103"/>
      <c r="V155" s="115"/>
      <c r="W155" s="248" t="e">
        <f t="shared" si="60"/>
        <v>#REF!</v>
      </c>
      <c r="X155" s="248" t="e">
        <f>IF(Year1_Somerset Year1_Adoption_LAC_Adopted_placed_with_12months="","",Year1_Somerset Year1_Adoption_LAC_Adopted_placed_with_12months)</f>
        <v>#NAME?</v>
      </c>
      <c r="Y155" s="248" t="e">
        <f>IF(Year2_Somerset Year2_Adoption_LAC_Adopted_placed_with_12months="","",Year2_Somerset Year2_Adoption_LAC_Adopted_placed_with_12months)</f>
        <v>#NAME?</v>
      </c>
      <c r="Z155" s="248" t="e">
        <f>IF(Year3_Somerset Year3_Adoption_LAC_Adopted_placed_with_12months="","",Year3_Somerset Year3_Adoption_LAC_Adopted_placed_with_12months)</f>
        <v>#NAME?</v>
      </c>
      <c r="AA155" s="248" t="e">
        <f>IF(Year4_Somerset Year4_Adoption_LAC_Adopted_placed_with_12months="","",Year4_Somerset Year4_Adoption_LAC_Adopted_placed_with_12months)</f>
        <v>#NAME?</v>
      </c>
      <c r="AB155" s="248" t="e">
        <f>IF(Year5_Somerset Year5_Adoption_LAC_Adopted_placed_with_12months="","",Year5_Somerset Year5_Adoption_LAC_Adopted_placed_with_12months)</f>
        <v>#NAME?</v>
      </c>
      <c r="AC155" s="251"/>
      <c r="AD155" s="56"/>
      <c r="AE155" s="56"/>
      <c r="AF155" s="56"/>
      <c r="AG155" s="56"/>
      <c r="AH155" s="56"/>
      <c r="AI155" s="56"/>
      <c r="AJ155" s="52"/>
      <c r="AK155" s="52"/>
      <c r="AL155" s="52"/>
      <c r="AM155" s="121"/>
    </row>
    <row r="156" spans="1:47" s="61" customFormat="1" ht="12.75" hidden="1" customHeight="1">
      <c r="A156" s="306">
        <f>VLOOKUP(B156,ReportData!$AQ$4:$AR$25,2,FALSE)</f>
        <v>0</v>
      </c>
      <c r="B156" s="65" t="str">
        <f>B24</f>
        <v>Southampton</v>
      </c>
      <c r="C156" s="59"/>
      <c r="D156" s="735" t="e">
        <f t="shared" ref="D156:H157" si="61">IF(AND(ISNUMBER(AD190),ISNUMBER(X156),AD190&gt;0),X156/AD190,NA())</f>
        <v>#N/A</v>
      </c>
      <c r="E156" s="735" t="e">
        <f t="shared" si="61"/>
        <v>#N/A</v>
      </c>
      <c r="F156" s="736" t="e">
        <f t="shared" si="61"/>
        <v>#N/A</v>
      </c>
      <c r="G156" s="736" t="e">
        <f t="shared" si="61"/>
        <v>#N/A</v>
      </c>
      <c r="H156" s="125" t="e">
        <f t="shared" si="61"/>
        <v>#N/A</v>
      </c>
      <c r="I156" s="274"/>
      <c r="J156" s="68"/>
      <c r="K156" s="127"/>
      <c r="L156" s="127"/>
      <c r="M156" s="127"/>
      <c r="N156" s="127"/>
      <c r="O156" s="127"/>
      <c r="P156" s="127"/>
      <c r="Q156" s="127"/>
      <c r="R156" s="128"/>
      <c r="S156" s="120"/>
      <c r="T156" s="608"/>
      <c r="U156" s="103"/>
      <c r="V156" s="115"/>
      <c r="W156" s="248" t="str">
        <f t="shared" si="60"/>
        <v>Southampton</v>
      </c>
      <c r="X156" s="248" t="str">
        <f>IF(Year1_Southampton Year1_Adoption_LAC_Adopted_placed_with_12months="","",Year1_Southampton Year1_Adoption_LAC_Adopted_placed_with_12months)</f>
        <v/>
      </c>
      <c r="Y156" s="248" t="str">
        <f>IF(Year2_Southampton Year2_Adoption_LAC_Adopted_placed_with_12months="","",Year2_Southampton Year2_Adoption_LAC_Adopted_placed_with_12months)</f>
        <v/>
      </c>
      <c r="Z156" s="248" t="str">
        <f>IF(Year3_Southampton Year3_Adoption_LAC_Adopted_placed_with_12months="","",Year3_Southampton Year3_Adoption_LAC_Adopted_placed_with_12months)</f>
        <v/>
      </c>
      <c r="AA156" s="248" t="str">
        <f>IF(Year4_Southampton Year4_Adoption_LAC_Adopted_placed_with_12months="","",Year4_Southampton Year4_Adoption_LAC_Adopted_placed_with_12months)</f>
        <v/>
      </c>
      <c r="AB156" s="248" t="str">
        <f>IF(Year5_Southampton Year5_Adoption_LAC_Adopted_placed_with_12months="","",Year5_Southampton Year5_Adoption_LAC_Adopted_placed_with_12months)</f>
        <v/>
      </c>
      <c r="AC156" s="251"/>
      <c r="AD156" s="56"/>
      <c r="AE156" s="56"/>
      <c r="AF156" s="56"/>
      <c r="AG156" s="56"/>
      <c r="AH156" s="56"/>
      <c r="AI156" s="56"/>
      <c r="AJ156" s="52"/>
      <c r="AK156" s="52"/>
      <c r="AL156" s="52"/>
      <c r="AM156" s="121"/>
    </row>
    <row r="157" spans="1:47" s="61" customFormat="1" ht="12.75" hidden="1" customHeight="1">
      <c r="A157" s="306">
        <f>VLOOKUP(B157,ReportData!$AQ$4:$AR$25,2,FALSE)</f>
        <v>0</v>
      </c>
      <c r="B157" s="65" t="str">
        <f>B25</f>
        <v>Surrey</v>
      </c>
      <c r="C157" s="59"/>
      <c r="D157" s="735" t="e">
        <f t="shared" si="61"/>
        <v>#N/A</v>
      </c>
      <c r="E157" s="735" t="e">
        <f t="shared" si="61"/>
        <v>#N/A</v>
      </c>
      <c r="F157" s="736" t="e">
        <f t="shared" si="61"/>
        <v>#N/A</v>
      </c>
      <c r="G157" s="736" t="e">
        <f t="shared" si="61"/>
        <v>#N/A</v>
      </c>
      <c r="H157" s="125" t="e">
        <f t="shared" si="61"/>
        <v>#N/A</v>
      </c>
      <c r="I157" s="274"/>
      <c r="J157" s="68"/>
      <c r="K157" s="127"/>
      <c r="L157" s="127"/>
      <c r="M157" s="127"/>
      <c r="N157" s="127"/>
      <c r="O157" s="127"/>
      <c r="P157" s="127"/>
      <c r="Q157" s="127"/>
      <c r="R157" s="128"/>
      <c r="S157" s="120"/>
      <c r="T157" s="608"/>
      <c r="U157" s="103"/>
      <c r="V157" s="115"/>
      <c r="W157" s="248" t="str">
        <f t="shared" si="60"/>
        <v>Surrey</v>
      </c>
      <c r="X157" s="248" t="str">
        <f>IF(Year1_Surrey Year1_Adoption_LAC_Adopted_placed_with_12months="","",Year1_Surrey Year1_Adoption_LAC_Adopted_placed_with_12months)</f>
        <v/>
      </c>
      <c r="Y157" s="248" t="str">
        <f>IF(Year2_Surrey Year2_Adoption_LAC_Adopted_placed_with_12months="","",Year2_Surrey Year2_Adoption_LAC_Adopted_placed_with_12months)</f>
        <v/>
      </c>
      <c r="Z157" s="248" t="str">
        <f>IF(Year3_Surrey Year3_Adoption_LAC_Adopted_placed_with_12months="","",Year3_Surrey Year3_Adoption_LAC_Adopted_placed_with_12months)</f>
        <v/>
      </c>
      <c r="AA157" s="248" t="str">
        <f>IF(Year4_Surrey Year4_Adoption_LAC_Adopted_placed_with_12months="","",Year4_Surrey Year4_Adoption_LAC_Adopted_placed_with_12months)</f>
        <v/>
      </c>
      <c r="AB157" s="248" t="str">
        <f>IF(Year5_Surrey Year5_Adoption_LAC_Adopted_placed_with_12months="","",Year5_Surrey Year5_Adoption_LAC_Adopted_placed_with_12months)</f>
        <v/>
      </c>
      <c r="AC157" s="251"/>
      <c r="AD157" s="56"/>
      <c r="AE157" s="56"/>
      <c r="AF157" s="56"/>
      <c r="AG157" s="56"/>
      <c r="AH157" s="56"/>
      <c r="AI157" s="56"/>
      <c r="AJ157" s="52"/>
      <c r="AK157" s="52"/>
      <c r="AL157" s="52"/>
      <c r="AM157" s="121"/>
    </row>
    <row r="158" spans="1:47" s="61" customFormat="1" ht="12.75" hidden="1" customHeight="1">
      <c r="A158" s="306" t="e">
        <f>VLOOKUP(B158,ReportData!$AQ$4:$AR$25,2,FALSE)</f>
        <v>#REF!</v>
      </c>
      <c r="B158" s="65" t="e">
        <f>#REF!</f>
        <v>#REF!</v>
      </c>
      <c r="C158" s="59"/>
      <c r="D158" s="123" t="e">
        <f>IF(AND(ISNUMBER(#REF!),ISNUMBER(X158),#REF!&gt;0),X158/#REF!,NA())</f>
        <v>#REF!</v>
      </c>
      <c r="E158" s="123" t="e">
        <f>IF(AND(ISNUMBER(#REF!),ISNUMBER(Y158),#REF!&gt;0),Y158/#REF!,NA())</f>
        <v>#REF!</v>
      </c>
      <c r="F158" s="123" t="e">
        <f>IF(AND(ISNUMBER(#REF!),ISNUMBER(Z158),#REF!&gt;0),Z158/#REF!,NA())</f>
        <v>#REF!</v>
      </c>
      <c r="G158" s="123" t="e">
        <f>IF(AND(ISNUMBER(#REF!),ISNUMBER(AA158),#REF!&gt;0),AA158/#REF!,NA())</f>
        <v>#REF!</v>
      </c>
      <c r="H158" s="125" t="e">
        <f>IF(AND(ISNUMBER(#REF!),ISNUMBER(AB158),#REF!&gt;0),AB158/#REF!,NA())</f>
        <v>#REF!</v>
      </c>
      <c r="I158" s="274"/>
      <c r="J158" s="68"/>
      <c r="K158" s="127"/>
      <c r="L158" s="127"/>
      <c r="M158" s="127"/>
      <c r="N158" s="127"/>
      <c r="O158" s="127"/>
      <c r="P158" s="127"/>
      <c r="Q158" s="127"/>
      <c r="R158" s="128"/>
      <c r="S158" s="120"/>
      <c r="T158" s="608"/>
      <c r="U158" s="103"/>
      <c r="V158" s="115"/>
      <c r="W158" s="248" t="e">
        <f t="shared" si="60"/>
        <v>#REF!</v>
      </c>
      <c r="X158" s="248" t="e">
        <f>IF(Year1_Swindon Year1_Adoption_LAC_Adopted_placed_with_12months="","",Year1_Swindon Year1_Adoption_LAC_Adopted_placed_with_12months)</f>
        <v>#NAME?</v>
      </c>
      <c r="Y158" s="248" t="e">
        <f>IF(Year2_Swindon Year2_Adoption_LAC_Adopted_placed_with_12months="","",Year2_Swindon Year2_Adoption_LAC_Adopted_placed_with_12months)</f>
        <v>#NAME?</v>
      </c>
      <c r="Z158" s="248" t="e">
        <f>IF(Year3_Swindon Year3_Adoption_LAC_Adopted_placed_with_12months="","",Year3_Swindon Year3_Adoption_LAC_Adopted_placed_with_12months)</f>
        <v>#NAME?</v>
      </c>
      <c r="AA158" s="372" t="e">
        <f>IF(Year4_Swindon Year4_Adoption_LAC_Adopted_placed_with_12months="","",Year4_Swindon Year4_Adoption_LAC_Adopted_placed_with_12months)</f>
        <v>#NAME?</v>
      </c>
      <c r="AB158" s="372" t="e">
        <f>IF(Year5_Swindon Year5_Adoption_LAC_Adopted_placed_with_12months="","",Year5_Swindon Year5_Adoption_LAC_Adopted_placed_with_12months)</f>
        <v>#NAME?</v>
      </c>
      <c r="AC158" s="251"/>
      <c r="AD158" s="56"/>
      <c r="AE158" s="56"/>
      <c r="AF158" s="56"/>
      <c r="AG158" s="56"/>
      <c r="AH158" s="56"/>
      <c r="AI158" s="56"/>
      <c r="AJ158" s="52"/>
      <c r="AK158" s="52"/>
      <c r="AL158" s="52"/>
      <c r="AM158" s="121"/>
    </row>
    <row r="159" spans="1:47" s="61" customFormat="1" ht="12.75" hidden="1" customHeight="1">
      <c r="A159" s="306">
        <f>VLOOKUP(B159,ReportData!$AQ$4:$AR$25,2,FALSE)</f>
        <v>0</v>
      </c>
      <c r="B159" s="65" t="str">
        <f t="shared" ref="B159:B164" si="62">B26</f>
        <v>West Berkshire</v>
      </c>
      <c r="C159" s="59"/>
      <c r="D159" s="123" t="e">
        <f t="shared" ref="D159:H164" si="63">IF(AND(ISNUMBER(AD192),ISNUMBER(X159),AD192&gt;0),X159/AD192,NA())</f>
        <v>#N/A</v>
      </c>
      <c r="E159" s="123" t="e">
        <f t="shared" si="63"/>
        <v>#N/A</v>
      </c>
      <c r="F159" s="123" t="e">
        <f t="shared" si="63"/>
        <v>#N/A</v>
      </c>
      <c r="G159" s="123" t="e">
        <f t="shared" si="63"/>
        <v>#N/A</v>
      </c>
      <c r="H159" s="125" t="e">
        <f t="shared" si="63"/>
        <v>#N/A</v>
      </c>
      <c r="I159" s="274"/>
      <c r="J159" s="68"/>
      <c r="K159" s="127"/>
      <c r="L159" s="127"/>
      <c r="M159" s="127"/>
      <c r="N159" s="127"/>
      <c r="O159" s="127"/>
      <c r="P159" s="127"/>
      <c r="Q159" s="127"/>
      <c r="R159" s="128"/>
      <c r="S159" s="120"/>
      <c r="T159" s="608"/>
      <c r="U159" s="103"/>
      <c r="V159" s="115"/>
      <c r="W159" s="248" t="str">
        <f t="shared" si="60"/>
        <v>West Berkshire</v>
      </c>
      <c r="X159" s="248" t="str">
        <f>IF(Year1_West_Berkshire Year1_Adoption_LAC_Adopted_placed_with_12months="","",Year1_West_Berkshire Year1_Adoption_LAC_Adopted_placed_with_12months)</f>
        <v/>
      </c>
      <c r="Y159" s="248" t="str">
        <f>IF(Year2_West_Berkshire Year2_Adoption_LAC_Adopted_placed_with_12months="","",Year2_West_Berkshire Year2_Adoption_LAC_Adopted_placed_with_12months)</f>
        <v/>
      </c>
      <c r="Z159" s="248" t="str">
        <f>IF(Year3_West_Berkshire Year3_Adoption_LAC_Adopted_placed_with_12months="","",Year3_West_Berkshire Year3_Adoption_LAC_Adopted_placed_with_12months)</f>
        <v/>
      </c>
      <c r="AA159" s="248" t="str">
        <f>IF(Year4_West_Berkshire Year4_Adoption_LAC_Adopted_placed_with_12months="","",Year4_West_Berkshire Year4_Adoption_LAC_Adopted_placed_with_12months)</f>
        <v/>
      </c>
      <c r="AB159" s="248" t="str">
        <f>IF(Year5_West_Berkshire Year5_Adoption_LAC_Adopted_placed_with_12months="","",Year5_West_Berkshire Year5_Adoption_LAC_Adopted_placed_with_12months)</f>
        <v/>
      </c>
      <c r="AC159" s="251"/>
      <c r="AD159" s="56"/>
      <c r="AE159" s="56"/>
      <c r="AF159" s="56"/>
      <c r="AG159" s="56"/>
      <c r="AH159" s="56"/>
      <c r="AI159" s="56"/>
      <c r="AJ159" s="52"/>
      <c r="AK159" s="52"/>
      <c r="AL159" s="52"/>
      <c r="AM159" s="121"/>
    </row>
    <row r="160" spans="1:47" s="61" customFormat="1" ht="12.75" hidden="1" customHeight="1">
      <c r="A160" s="306">
        <f>VLOOKUP(B160,ReportData!$AQ$4:$AR$25,2,FALSE)</f>
        <v>0</v>
      </c>
      <c r="B160" s="65" t="str">
        <f t="shared" si="62"/>
        <v>West Sussex</v>
      </c>
      <c r="C160" s="59"/>
      <c r="D160" s="123" t="e">
        <f t="shared" si="63"/>
        <v>#N/A</v>
      </c>
      <c r="E160" s="123" t="e">
        <f t="shared" si="63"/>
        <v>#N/A</v>
      </c>
      <c r="F160" s="123" t="e">
        <f t="shared" si="63"/>
        <v>#N/A</v>
      </c>
      <c r="G160" s="123" t="e">
        <f t="shared" si="63"/>
        <v>#N/A</v>
      </c>
      <c r="H160" s="125" t="e">
        <f t="shared" si="63"/>
        <v>#N/A</v>
      </c>
      <c r="I160" s="274"/>
      <c r="J160" s="68"/>
      <c r="K160" s="127"/>
      <c r="L160" s="127"/>
      <c r="M160" s="127"/>
      <c r="N160" s="127"/>
      <c r="O160" s="127"/>
      <c r="P160" s="127"/>
      <c r="Q160" s="127"/>
      <c r="R160" s="128"/>
      <c r="S160" s="120"/>
      <c r="T160" s="608"/>
      <c r="U160" s="103"/>
      <c r="V160" s="115"/>
      <c r="W160" s="248" t="str">
        <f t="shared" si="60"/>
        <v>West Sussex</v>
      </c>
      <c r="X160" s="248" t="str">
        <f>IF(Year1_West_Sussex Year1_Adoption_LAC_Adopted_placed_with_12months="","",Year1_West_Sussex Year1_Adoption_LAC_Adopted_placed_with_12months)</f>
        <v/>
      </c>
      <c r="Y160" s="248" t="str">
        <f>IF(Year2_West_Sussex Year2_Adoption_LAC_Adopted_placed_with_12months="","",Year2_West_Sussex Year2_Adoption_LAC_Adopted_placed_with_12months)</f>
        <v/>
      </c>
      <c r="Z160" s="248" t="str">
        <f>IF(Year3_West_Sussex Year3_Adoption_LAC_Adopted_placed_with_12months="","",Year3_West_Sussex Year3_Adoption_LAC_Adopted_placed_with_12months)</f>
        <v/>
      </c>
      <c r="AA160" s="248" t="str">
        <f>IF(Year4_West_Sussex Year4_Adoption_LAC_Adopted_placed_with_12months="","",Year4_West_Sussex Year4_Adoption_LAC_Adopted_placed_with_12months)</f>
        <v/>
      </c>
      <c r="AB160" s="248" t="str">
        <f>IF(Year5_West_Sussex Year5_Adoption_LAC_Adopted_placed_with_12months="","",Year5_West_Sussex Year5_Adoption_LAC_Adopted_placed_with_12months)</f>
        <v/>
      </c>
      <c r="AC160" s="251"/>
      <c r="AD160" s="56"/>
      <c r="AE160" s="56"/>
      <c r="AF160" s="56"/>
      <c r="AG160" s="56"/>
      <c r="AH160" s="56"/>
      <c r="AI160" s="56"/>
      <c r="AJ160" s="52"/>
      <c r="AK160" s="52"/>
      <c r="AL160" s="52"/>
      <c r="AM160" s="121"/>
    </row>
    <row r="161" spans="1:51" s="61" customFormat="1" ht="12.75" hidden="1" customHeight="1">
      <c r="A161" s="306">
        <f>VLOOKUP(B161,ReportData!$AQ$4:$AR$25,2,FALSE)</f>
        <v>0</v>
      </c>
      <c r="B161" s="65" t="str">
        <f t="shared" si="62"/>
        <v>Windsor &amp; Maidenhead</v>
      </c>
      <c r="C161" s="59"/>
      <c r="D161" s="123" t="e">
        <f t="shared" si="63"/>
        <v>#N/A</v>
      </c>
      <c r="E161" s="123" t="e">
        <f t="shared" si="63"/>
        <v>#N/A</v>
      </c>
      <c r="F161" s="123" t="e">
        <f t="shared" si="63"/>
        <v>#N/A</v>
      </c>
      <c r="G161" s="123" t="e">
        <f t="shared" si="63"/>
        <v>#N/A</v>
      </c>
      <c r="H161" s="125" t="e">
        <f t="shared" si="63"/>
        <v>#N/A</v>
      </c>
      <c r="I161" s="274"/>
      <c r="J161" s="68"/>
      <c r="K161" s="127"/>
      <c r="L161" s="127"/>
      <c r="M161" s="127"/>
      <c r="N161" s="127"/>
      <c r="O161" s="127"/>
      <c r="P161" s="127"/>
      <c r="Q161" s="127"/>
      <c r="R161" s="128"/>
      <c r="S161" s="120"/>
      <c r="T161" s="608"/>
      <c r="U161" s="103"/>
      <c r="V161" s="115"/>
      <c r="W161" s="248" t="str">
        <f t="shared" si="60"/>
        <v>Windsor &amp; Maidenhead</v>
      </c>
      <c r="X161" s="248" t="str">
        <f>IF(Year1_Windsor_and_Maidenhead Year1_Adoption_LAC_Adopted_placed_with_12months="","",Year1_Windsor_and_Maidenhead Year1_Adoption_LAC_Adopted_placed_with_12months)</f>
        <v/>
      </c>
      <c r="Y161" s="248" t="str">
        <f>IF(Year2_Windsor_and_Maidenhead Year2_Adoption_LAC_Adopted_placed_with_12months="","",Year2_Windsor_and_Maidenhead Year2_Adoption_LAC_Adopted_placed_with_12months)</f>
        <v/>
      </c>
      <c r="Z161" s="248" t="str">
        <f>IF(Year3_Windsor_and_Maidenhead Year3_Adoption_LAC_Adopted_placed_with_12months="","",Year3_Windsor_and_Maidenhead Year3_Adoption_LAC_Adopted_placed_with_12months)</f>
        <v/>
      </c>
      <c r="AA161" s="248" t="str">
        <f>IF(Year4_Windsor_and_Maidenhead Year4_Adoption_LAC_Adopted_placed_with_12months="","",Year4_Windsor_and_Maidenhead Year4_Adoption_LAC_Adopted_placed_with_12months)</f>
        <v/>
      </c>
      <c r="AB161" s="248" t="str">
        <f>IF(Year5_Windsor_and_Maidenhead Year5_Adoption_LAC_Adopted_placed_with_12months="","",Year5_Windsor_and_Maidenhead Year5_Adoption_LAC_Adopted_placed_with_12months)</f>
        <v/>
      </c>
      <c r="AC161" s="251"/>
      <c r="AD161" s="56"/>
      <c r="AE161" s="56"/>
      <c r="AF161" s="56"/>
      <c r="AG161" s="56"/>
      <c r="AH161" s="56"/>
      <c r="AI161" s="56"/>
      <c r="AJ161" s="52"/>
      <c r="AK161" s="52"/>
      <c r="AL161" s="52"/>
      <c r="AM161" s="121"/>
    </row>
    <row r="162" spans="1:51" s="61" customFormat="1" ht="12.75" hidden="1" customHeight="1">
      <c r="A162" s="306">
        <f>VLOOKUP(B162,ReportData!$AQ$4:$AR$25,2,FALSE)</f>
        <v>0</v>
      </c>
      <c r="B162" s="65" t="str">
        <f t="shared" si="62"/>
        <v>Wokingham</v>
      </c>
      <c r="C162" s="59"/>
      <c r="D162" s="123" t="e">
        <f t="shared" si="63"/>
        <v>#N/A</v>
      </c>
      <c r="E162" s="123" t="e">
        <f t="shared" si="63"/>
        <v>#N/A</v>
      </c>
      <c r="F162" s="123" t="e">
        <f t="shared" si="63"/>
        <v>#N/A</v>
      </c>
      <c r="G162" s="123" t="e">
        <f t="shared" si="63"/>
        <v>#N/A</v>
      </c>
      <c r="H162" s="125" t="e">
        <f t="shared" si="63"/>
        <v>#N/A</v>
      </c>
      <c r="I162" s="274"/>
      <c r="J162" s="68"/>
      <c r="K162" s="127"/>
      <c r="L162" s="127"/>
      <c r="M162" s="127"/>
      <c r="N162" s="127"/>
      <c r="O162" s="127"/>
      <c r="P162" s="127"/>
      <c r="Q162" s="127"/>
      <c r="R162" s="128"/>
      <c r="S162" s="120"/>
      <c r="T162" s="608"/>
      <c r="U162" s="103"/>
      <c r="V162" s="115"/>
      <c r="W162" s="248" t="str">
        <f t="shared" si="60"/>
        <v>Wokingham</v>
      </c>
      <c r="X162" s="248" t="str">
        <f>IF(Year1_Wokingham Year1_Adoption_LAC_Adopted_placed_with_12months="","",Year1_Wokingham Year1_Adoption_LAC_Adopted_placed_with_12months)</f>
        <v/>
      </c>
      <c r="Y162" s="248" t="str">
        <f>IF(Year2_Wokingham Year2_Adoption_LAC_Adopted_placed_with_12months="","",Year2_Wokingham Year2_Adoption_LAC_Adopted_placed_with_12months)</f>
        <v/>
      </c>
      <c r="Z162" s="248" t="str">
        <f>IF(Year3_Wokingham Year3_Adoption_LAC_Adopted_placed_with_12months="","",Year3_Wokingham Year3_Adoption_LAC_Adopted_placed_with_12months)</f>
        <v/>
      </c>
      <c r="AA162" s="248" t="str">
        <f>IF(Year4_Wokingham Year4_Adoption_LAC_Adopted_placed_with_12months="","",Year4_Wokingham Year4_Adoption_LAC_Adopted_placed_with_12months)</f>
        <v/>
      </c>
      <c r="AB162" s="248" t="str">
        <f>IF(Year5_Wokingham Year5_Adoption_LAC_Adopted_placed_with_12months="","",Year5_Wokingham Year5_Adoption_LAC_Adopted_placed_with_12months)</f>
        <v/>
      </c>
      <c r="AC162" s="251"/>
      <c r="AD162" s="56"/>
      <c r="AE162" s="56"/>
      <c r="AF162" s="56"/>
      <c r="AG162" s="56"/>
      <c r="AH162" s="56"/>
      <c r="AI162" s="56"/>
      <c r="AJ162" s="52"/>
      <c r="AK162" s="52"/>
      <c r="AL162" s="52"/>
      <c r="AM162" s="121"/>
    </row>
    <row r="163" spans="1:51" s="61" customFormat="1" ht="12.75" hidden="1" customHeight="1">
      <c r="A163" s="217"/>
      <c r="B163" s="96" t="str">
        <f t="shared" si="62"/>
        <v>South East</v>
      </c>
      <c r="C163" s="59"/>
      <c r="D163" s="124" t="e">
        <f t="shared" si="63"/>
        <v>#N/A</v>
      </c>
      <c r="E163" s="124" t="e">
        <f t="shared" si="63"/>
        <v>#N/A</v>
      </c>
      <c r="F163" s="124" t="e">
        <f t="shared" si="63"/>
        <v>#N/A</v>
      </c>
      <c r="G163" s="124" t="e">
        <f t="shared" si="63"/>
        <v>#N/A</v>
      </c>
      <c r="H163" s="126" t="e">
        <f t="shared" si="63"/>
        <v>#N/A</v>
      </c>
      <c r="I163" s="274"/>
      <c r="J163" s="68"/>
      <c r="K163" s="129"/>
      <c r="L163" s="129"/>
      <c r="M163" s="129"/>
      <c r="N163" s="129"/>
      <c r="O163" s="129"/>
      <c r="P163" s="129"/>
      <c r="Q163" s="129"/>
      <c r="R163" s="130"/>
      <c r="S163" s="120"/>
      <c r="T163" s="608"/>
      <c r="U163" s="103"/>
      <c r="V163" s="115"/>
      <c r="W163" s="248" t="str">
        <f t="shared" si="60"/>
        <v>South East</v>
      </c>
      <c r="X163" s="388" t="e">
        <f>IF(Year1_South_East Year1_Adoption_LAC_Adopted_placed_with_12months=0,NA(),Year1_South_East Year1_Adoption_LAC_Adopted_placed_with_12months)</f>
        <v>#N/A</v>
      </c>
      <c r="Y163" s="244" t="e">
        <f>IF(Year2_South_East Year2_Adoption_LAC_Adopted_placed_with_12months=0,NA(),Year2_South_East Year2_Adoption_LAC_Adopted_placed_with_12months)</f>
        <v>#N/A</v>
      </c>
      <c r="Z163" s="244" t="e">
        <f>IF(Year3_South_East Year3_Adoption_LAC_Adopted_placed_with_12months=0,NA(),Year3_South_East Year3_Adoption_LAC_Adopted_placed_with_12months)</f>
        <v>#N/A</v>
      </c>
      <c r="AA163" s="248" t="e">
        <f>IF(Year4_South_East Year4_Adoption_LAC_Adopted_placed_with_12months=0,NA(),Year4_South_East Year4_Adoption_LAC_Adopted_placed_with_12months)</f>
        <v>#N/A</v>
      </c>
      <c r="AB163" s="248" t="e">
        <f>IF(Year5_South_East Year5_Adoption_LAC_Adopted_placed_with_12months=0,NA(),Year5_South_East Year5_Adoption_LAC_Adopted_placed_with_12months)</f>
        <v>#N/A</v>
      </c>
      <c r="AC163" s="251"/>
      <c r="AD163" s="56"/>
      <c r="AE163" s="56"/>
      <c r="AF163" s="56"/>
      <c r="AG163" s="56"/>
      <c r="AH163" s="56"/>
      <c r="AI163" s="56"/>
      <c r="AJ163" s="52"/>
      <c r="AK163" s="52"/>
      <c r="AL163" s="52"/>
      <c r="AM163" s="121"/>
    </row>
    <row r="164" spans="1:51" s="61" customFormat="1" ht="12.75" hidden="1" customHeight="1">
      <c r="A164" s="217"/>
      <c r="B164" s="231" t="str">
        <f t="shared" si="62"/>
        <v>England</v>
      </c>
      <c r="C164" s="59"/>
      <c r="D164" s="239" t="e">
        <f t="shared" si="63"/>
        <v>#N/A</v>
      </c>
      <c r="E164" s="239" t="e">
        <f t="shared" si="63"/>
        <v>#N/A</v>
      </c>
      <c r="F164" s="239" t="e">
        <f t="shared" si="63"/>
        <v>#N/A</v>
      </c>
      <c r="G164" s="239" t="e">
        <f t="shared" si="63"/>
        <v>#N/A</v>
      </c>
      <c r="H164" s="240" t="e">
        <f t="shared" si="63"/>
        <v>#N/A</v>
      </c>
      <c r="I164" s="587"/>
      <c r="J164" s="68"/>
      <c r="K164" s="129"/>
      <c r="L164" s="129"/>
      <c r="M164" s="129"/>
      <c r="N164" s="129"/>
      <c r="O164" s="129"/>
      <c r="P164" s="129"/>
      <c r="Q164" s="129"/>
      <c r="R164" s="130"/>
      <c r="S164" s="120"/>
      <c r="T164" s="608"/>
      <c r="U164" s="103"/>
      <c r="V164" s="115"/>
      <c r="W164" s="248" t="str">
        <f t="shared" si="60"/>
        <v>England</v>
      </c>
      <c r="X164" s="388" t="str">
        <f>IF(Year1_England Year1_Adoption_LAC_Adopted_placed_with_12months="","",Year1_England Year1_Adoption_LAC_Adopted_placed_with_12months)</f>
        <v/>
      </c>
      <c r="Y164" s="244" t="str">
        <f>IF(Year2_England Year2_Adoption_LAC_Adopted_placed_with_12months="","",Year2_England Year2_Adoption_LAC_Adopted_placed_with_12months)</f>
        <v/>
      </c>
      <c r="Z164" s="244" t="str">
        <f>IF(Year3_England Year3_Adoption_LAC_Adopted_placed_with_12months="","",Year3_England Year3_Adoption_LAC_Adopted_placed_with_12months)</f>
        <v/>
      </c>
      <c r="AA164" s="248" t="str">
        <f>IF(Year4_England Year4_Adoption_LAC_Adopted_placed_with_12months="","",Year4_England Year4_Adoption_LAC_Adopted_placed_with_12months)</f>
        <v/>
      </c>
      <c r="AB164" s="248" t="str">
        <f>IF(Year5_England Year5_Adoption_LAC_Adopted_placed_with_12months="","",Year5_England Year5_Adoption_LAC_Adopted_placed_with_12months)</f>
        <v/>
      </c>
      <c r="AC164" s="251"/>
      <c r="AD164" s="56"/>
      <c r="AE164" s="56"/>
      <c r="AF164" s="56"/>
      <c r="AG164" s="56"/>
      <c r="AH164" s="56"/>
      <c r="AI164" s="56"/>
      <c r="AJ164" s="52"/>
      <c r="AK164" s="52"/>
      <c r="AL164" s="52"/>
      <c r="AM164" s="121"/>
      <c r="AN164" s="56"/>
      <c r="AO164" s="56"/>
      <c r="AP164" s="56"/>
      <c r="AQ164" s="56"/>
      <c r="AR164" s="56"/>
      <c r="AS164" s="56"/>
      <c r="AT164" s="56"/>
      <c r="AU164" s="56"/>
      <c r="AV164" s="56"/>
      <c r="AW164" s="56"/>
      <c r="AX164" s="56"/>
      <c r="AY164" s="56"/>
    </row>
    <row r="165" spans="1:51" s="61" customFormat="1" ht="7.5" hidden="1" customHeight="1">
      <c r="A165" s="217"/>
      <c r="B165" s="68"/>
      <c r="C165" s="68"/>
      <c r="D165" s="68"/>
      <c r="E165" s="68"/>
      <c r="F165" s="68"/>
      <c r="G165" s="68"/>
      <c r="H165" s="68"/>
      <c r="I165" s="68"/>
      <c r="J165" s="68"/>
      <c r="K165" s="129"/>
      <c r="L165" s="129"/>
      <c r="M165" s="129"/>
      <c r="N165" s="129"/>
      <c r="O165" s="129"/>
      <c r="P165" s="129"/>
      <c r="Q165" s="129"/>
      <c r="R165" s="130"/>
      <c r="S165" s="120"/>
      <c r="T165" s="608"/>
      <c r="U165" s="103"/>
      <c r="V165" s="115"/>
      <c r="W165" s="52"/>
      <c r="X165" s="52"/>
      <c r="Y165" s="56"/>
      <c r="Z165" s="56"/>
      <c r="AA165" s="56"/>
      <c r="AB165" s="56"/>
      <c r="AC165" s="251"/>
      <c r="AD165" s="56"/>
      <c r="AE165" s="56"/>
      <c r="AF165" s="56"/>
      <c r="AG165" s="56"/>
      <c r="AH165" s="56"/>
      <c r="AI165" s="56"/>
      <c r="AJ165" s="52"/>
      <c r="AK165" s="52"/>
      <c r="AL165" s="52"/>
      <c r="AM165" s="121"/>
      <c r="AN165" s="56"/>
      <c r="AO165" s="56"/>
      <c r="AP165" s="56"/>
      <c r="AQ165" s="56"/>
      <c r="AR165" s="56"/>
      <c r="AS165" s="56"/>
      <c r="AT165" s="56"/>
      <c r="AU165" s="56"/>
      <c r="AV165" s="56"/>
      <c r="AW165" s="56"/>
      <c r="AX165" s="56"/>
      <c r="AY165" s="56"/>
    </row>
    <row r="166" spans="1:51" s="56" customFormat="1" ht="51" hidden="1" customHeight="1">
      <c r="A166" s="288"/>
      <c r="B166" s="1981"/>
      <c r="C166" s="1981"/>
      <c r="D166" s="1981"/>
      <c r="E166" s="1981"/>
      <c r="F166" s="1981"/>
      <c r="G166" s="1981"/>
      <c r="H166" s="1981"/>
      <c r="I166" s="582"/>
      <c r="J166" s="171"/>
      <c r="K166" s="133"/>
      <c r="L166" s="133"/>
      <c r="M166" s="133"/>
      <c r="N166" s="133"/>
      <c r="O166" s="133"/>
      <c r="P166" s="133"/>
      <c r="Q166" s="133"/>
      <c r="R166" s="101"/>
      <c r="S166" s="133"/>
      <c r="T166" s="607"/>
      <c r="U166" s="102"/>
      <c r="V166" s="114"/>
      <c r="AB166" s="147"/>
      <c r="AC166" s="251"/>
      <c r="AJ166" s="52"/>
      <c r="AK166" s="52"/>
      <c r="AL166" s="52"/>
      <c r="AM166" s="122"/>
    </row>
    <row r="167" spans="1:51" s="56" customFormat="1" ht="39" hidden="1" customHeight="1">
      <c r="A167" s="288"/>
      <c r="B167" s="1981"/>
      <c r="C167" s="1981"/>
      <c r="D167" s="1981"/>
      <c r="E167" s="1981"/>
      <c r="F167" s="1981"/>
      <c r="G167" s="1981"/>
      <c r="H167" s="1981"/>
      <c r="I167" s="582"/>
      <c r="J167" s="171"/>
      <c r="K167" s="133"/>
      <c r="L167" s="133"/>
      <c r="M167" s="133"/>
      <c r="N167" s="133"/>
      <c r="O167" s="133"/>
      <c r="P167" s="133"/>
      <c r="Q167" s="133"/>
      <c r="R167" s="101"/>
      <c r="S167" s="133"/>
      <c r="T167" s="607"/>
      <c r="U167" s="102"/>
      <c r="V167" s="114"/>
      <c r="X167" s="141"/>
      <c r="AC167" s="149"/>
      <c r="AD167" s="52"/>
      <c r="AE167" s="52"/>
      <c r="AF167" s="52"/>
      <c r="AJ167" s="52"/>
      <c r="AK167" s="52"/>
      <c r="AL167" s="52"/>
      <c r="AM167" s="122"/>
      <c r="AN167" s="52"/>
      <c r="AO167" s="52"/>
      <c r="AP167" s="52"/>
      <c r="AQ167" s="52"/>
      <c r="AR167" s="52"/>
      <c r="AS167" s="52"/>
      <c r="AT167" s="52"/>
    </row>
    <row r="168" spans="1:51" s="56" customFormat="1" ht="51" hidden="1" customHeight="1">
      <c r="A168" s="288"/>
      <c r="B168" s="171"/>
      <c r="C168" s="171"/>
      <c r="D168" s="171"/>
      <c r="E168" s="171"/>
      <c r="F168" s="171"/>
      <c r="G168" s="171"/>
      <c r="H168" s="171"/>
      <c r="I168" s="171"/>
      <c r="J168" s="171"/>
      <c r="K168" s="133"/>
      <c r="L168" s="133"/>
      <c r="M168" s="133"/>
      <c r="N168" s="133"/>
      <c r="O168" s="133"/>
      <c r="P168" s="133"/>
      <c r="Q168" s="133"/>
      <c r="R168" s="101"/>
      <c r="S168" s="133"/>
      <c r="T168" s="607"/>
      <c r="U168" s="102"/>
      <c r="V168" s="114"/>
      <c r="X168" s="141"/>
      <c r="AC168" s="149"/>
      <c r="AD168" s="52"/>
      <c r="AE168" s="52"/>
      <c r="AF168" s="52"/>
      <c r="AJ168" s="52"/>
      <c r="AK168" s="52"/>
      <c r="AL168" s="52"/>
      <c r="AM168" s="122"/>
      <c r="AV168" s="52"/>
    </row>
    <row r="169" spans="1:51" s="56" customFormat="1" ht="7.5" hidden="1" customHeight="1">
      <c r="A169" s="208"/>
      <c r="B169" s="12"/>
      <c r="C169" s="12"/>
      <c r="D169" s="11"/>
      <c r="E169" s="11"/>
      <c r="F169" s="11"/>
      <c r="G169" s="11"/>
      <c r="H169" s="11"/>
      <c r="I169" s="11"/>
      <c r="J169" s="11"/>
      <c r="K169" s="13"/>
      <c r="L169" s="13"/>
      <c r="M169" s="13"/>
      <c r="N169" s="13"/>
      <c r="O169" s="13"/>
      <c r="P169" s="13"/>
      <c r="Q169" s="13"/>
      <c r="R169" s="13"/>
      <c r="S169" s="13"/>
      <c r="T169" s="606"/>
      <c r="U169" s="102"/>
      <c r="V169" s="114"/>
      <c r="X169" s="141"/>
      <c r="AJ169" s="52"/>
      <c r="AK169" s="52"/>
      <c r="AL169" s="52"/>
      <c r="AM169" s="119"/>
      <c r="AN169" s="61"/>
      <c r="AV169" s="52"/>
    </row>
    <row r="170" spans="1:51" s="56" customFormat="1" ht="15" hidden="1" customHeight="1">
      <c r="A170" s="1758"/>
      <c r="B170" s="1751"/>
      <c r="C170" s="1751"/>
      <c r="D170" s="1751"/>
      <c r="E170" s="1751"/>
      <c r="F170" s="1751"/>
      <c r="G170" s="1751"/>
      <c r="H170" s="1751"/>
      <c r="I170" s="1751"/>
      <c r="J170" s="1751"/>
      <c r="K170" s="1751"/>
      <c r="L170" s="1751"/>
      <c r="M170" s="1751"/>
      <c r="N170" s="1751"/>
      <c r="O170" s="1751"/>
      <c r="P170" s="1751"/>
      <c r="Q170" s="1751"/>
      <c r="R170" s="1751"/>
      <c r="S170" s="1751"/>
      <c r="T170" s="1752"/>
      <c r="U170" s="102"/>
      <c r="V170" s="114"/>
      <c r="AM170" s="122"/>
      <c r="AN170" s="52"/>
      <c r="AO170" s="52"/>
      <c r="AP170" s="52"/>
      <c r="AQ170" s="52"/>
      <c r="AR170" s="52"/>
      <c r="AS170" s="52"/>
      <c r="AT170" s="52"/>
      <c r="AU170" s="52"/>
      <c r="AV170" s="52"/>
      <c r="AW170" s="52"/>
      <c r="AX170" s="52"/>
      <c r="AY170" s="52"/>
    </row>
    <row r="171" spans="1:51" s="56" customFormat="1" ht="11.25" hidden="1" customHeight="1">
      <c r="A171" s="1744" t="e">
        <f>Home!#REF!</f>
        <v>#REF!</v>
      </c>
      <c r="B171" s="1742"/>
      <c r="C171" s="1742"/>
      <c r="D171" s="1742"/>
      <c r="E171" s="1742"/>
      <c r="F171" s="1742"/>
      <c r="G171" s="1742"/>
      <c r="H171" s="1742"/>
      <c r="I171" s="1742"/>
      <c r="J171" s="1742"/>
      <c r="K171" s="1742"/>
      <c r="L171" s="1742"/>
      <c r="M171" s="1742"/>
      <c r="N171" s="1742"/>
      <c r="O171" s="1742"/>
      <c r="P171" s="1742"/>
      <c r="Q171" s="1742"/>
      <c r="R171" s="1947"/>
      <c r="S171" s="1742"/>
      <c r="T171" s="1810"/>
      <c r="U171" s="102"/>
      <c r="V171" s="114"/>
      <c r="AJ171" s="52"/>
      <c r="AK171" s="52"/>
      <c r="AL171" s="52"/>
      <c r="AM171" s="121"/>
      <c r="AN171" s="52"/>
      <c r="AO171" s="52"/>
      <c r="AP171" s="52"/>
      <c r="AQ171" s="52"/>
      <c r="AR171" s="52"/>
      <c r="AS171" s="52"/>
      <c r="AT171" s="52"/>
      <c r="AU171" s="52"/>
      <c r="AV171" s="52"/>
      <c r="AW171" s="52"/>
      <c r="AX171" s="52"/>
      <c r="AY171" s="52"/>
    </row>
    <row r="172" spans="1:51" ht="10.5" customHeight="1">
      <c r="A172" s="81"/>
      <c r="B172" s="82"/>
      <c r="C172" s="82"/>
      <c r="D172" s="82"/>
      <c r="E172" s="82"/>
      <c r="F172" s="82"/>
      <c r="G172" s="82"/>
      <c r="H172" s="82"/>
      <c r="I172" s="82"/>
      <c r="J172" s="82"/>
      <c r="K172" s="82"/>
      <c r="L172" s="82"/>
      <c r="M172" s="82"/>
      <c r="N172" s="82"/>
      <c r="O172" s="82"/>
      <c r="P172" s="82"/>
      <c r="Q172" s="82"/>
      <c r="R172" s="82"/>
      <c r="S172" s="82"/>
      <c r="T172" s="84"/>
      <c r="U172" s="102"/>
      <c r="V172" s="114"/>
      <c r="W172" s="148"/>
      <c r="X172" s="146"/>
      <c r="Y172" s="52"/>
      <c r="AM172" s="122"/>
    </row>
    <row r="173" spans="1:51" ht="18.75" customHeight="1">
      <c r="A173" s="208"/>
      <c r="B173" s="1886" t="s">
        <v>1283</v>
      </c>
      <c r="C173" s="1886"/>
      <c r="D173" s="1886"/>
      <c r="E173" s="1886"/>
      <c r="F173" s="1886"/>
      <c r="G173" s="1886"/>
      <c r="H173" s="1886"/>
      <c r="I173" s="1177"/>
      <c r="J173" s="76"/>
      <c r="K173" s="50"/>
      <c r="L173" s="50"/>
      <c r="M173" s="50"/>
      <c r="N173" s="224"/>
      <c r="O173" s="50"/>
      <c r="P173" s="50"/>
      <c r="Q173" s="50"/>
      <c r="R173" s="50"/>
      <c r="S173" s="50"/>
      <c r="T173" s="194"/>
      <c r="U173" s="102"/>
      <c r="V173" s="114"/>
      <c r="W173" s="52"/>
      <c r="X173" s="250"/>
      <c r="Y173" s="251"/>
      <c r="Z173" s="251"/>
      <c r="AA173" s="251"/>
      <c r="AC173" s="52"/>
      <c r="AD173" s="250"/>
      <c r="AE173" s="251"/>
      <c r="AF173" s="251"/>
      <c r="AG173" s="251"/>
      <c r="AH173" s="251"/>
      <c r="AI173" s="251"/>
      <c r="AM173" s="121"/>
      <c r="AN173" s="61"/>
      <c r="AO173" s="61"/>
      <c r="AP173" s="61"/>
      <c r="AQ173" s="61"/>
      <c r="AR173" s="61"/>
      <c r="AS173" s="61"/>
      <c r="AT173" s="61"/>
      <c r="AU173" s="61"/>
      <c r="AV173" s="61"/>
      <c r="AW173" s="61"/>
      <c r="AX173" s="61"/>
      <c r="AY173" s="61"/>
    </row>
    <row r="174" spans="1:51" ht="18.75" customHeight="1">
      <c r="A174" s="208"/>
      <c r="B174" s="1886"/>
      <c r="C174" s="1886"/>
      <c r="D174" s="1886"/>
      <c r="E174" s="1886"/>
      <c r="F174" s="1886"/>
      <c r="G174" s="1886"/>
      <c r="H174" s="1886"/>
      <c r="I174" s="1177"/>
      <c r="J174" s="76"/>
      <c r="K174" s="50"/>
      <c r="L174" s="50"/>
      <c r="M174" s="50"/>
      <c r="N174" s="224"/>
      <c r="O174" s="50"/>
      <c r="P174" s="50"/>
      <c r="Q174" s="50"/>
      <c r="R174" s="5"/>
      <c r="S174" s="50"/>
      <c r="T174" s="194"/>
      <c r="U174" s="102"/>
      <c r="V174" s="114"/>
      <c r="W174" s="376" t="s">
        <v>154</v>
      </c>
      <c r="X174" s="250"/>
      <c r="Y174" s="251"/>
      <c r="Z174" s="251"/>
      <c r="AA174" s="251"/>
      <c r="AB174" s="251"/>
      <c r="AC174" s="376" t="s">
        <v>152</v>
      </c>
      <c r="AD174" s="251"/>
      <c r="AE174" s="251"/>
      <c r="AF174" s="251"/>
      <c r="AG174" s="251"/>
      <c r="AH174" s="251"/>
      <c r="AI174" s="251"/>
      <c r="AJ174" s="251"/>
      <c r="AK174" s="251"/>
      <c r="AL174" s="251"/>
      <c r="AM174" s="122"/>
      <c r="AN174" s="61"/>
      <c r="AO174" s="61"/>
      <c r="AP174" s="61"/>
      <c r="AQ174" s="61"/>
      <c r="AR174" s="61"/>
      <c r="AS174" s="61"/>
      <c r="AT174" s="61"/>
      <c r="AU174" s="61"/>
      <c r="AV174" s="61"/>
      <c r="AW174" s="61"/>
      <c r="AX174" s="61"/>
      <c r="AY174" s="61"/>
    </row>
    <row r="175" spans="1:51" s="61" customFormat="1" ht="18.75" customHeight="1">
      <c r="A175" s="217"/>
      <c r="B175" s="1749" t="s">
        <v>177</v>
      </c>
      <c r="C175" s="1175"/>
      <c r="D175" s="1088" t="str">
        <f>ReportData!$D$27</f>
        <v>2019/20</v>
      </c>
      <c r="E175" s="1088" t="str">
        <f>ReportData!$E$27</f>
        <v>2020/21</v>
      </c>
      <c r="F175" s="1088" t="str">
        <f>ReportData!$F$27</f>
        <v>2021/22</v>
      </c>
      <c r="G175" s="1088" t="str">
        <f>ReportData!$G$27</f>
        <v>2022/23</v>
      </c>
      <c r="H175" s="1089" t="str">
        <f>ReportData!$H$27</f>
        <v>2023/24</v>
      </c>
      <c r="I175" s="43"/>
      <c r="J175" s="68"/>
      <c r="K175" s="43"/>
      <c r="L175" s="43"/>
      <c r="M175" s="43"/>
      <c r="N175" s="43"/>
      <c r="O175" s="43"/>
      <c r="P175" s="43"/>
      <c r="Q175" s="225"/>
      <c r="R175" s="225"/>
      <c r="S175" s="120"/>
      <c r="T175" s="608"/>
      <c r="U175" s="103"/>
      <c r="V175" s="115"/>
      <c r="W175" s="248"/>
      <c r="X175" s="307" t="str">
        <f>ReportData!$D$27</f>
        <v>2019/20</v>
      </c>
      <c r="Y175" s="307" t="str">
        <f>ReportData!$E$27</f>
        <v>2020/21</v>
      </c>
      <c r="Z175" s="307" t="str">
        <f>ReportData!$F$27</f>
        <v>2021/22</v>
      </c>
      <c r="AA175" s="307" t="str">
        <f>ReportData!$G$27</f>
        <v>2022/23</v>
      </c>
      <c r="AB175" s="307" t="str">
        <f>ReportData!$H$27</f>
        <v>2023/24</v>
      </c>
      <c r="AC175" s="248"/>
      <c r="AD175" s="307" t="str">
        <f>ReportData!$D$27</f>
        <v>2019/20</v>
      </c>
      <c r="AE175" s="307" t="str">
        <f>ReportData!$E$27</f>
        <v>2020/21</v>
      </c>
      <c r="AF175" s="307" t="str">
        <f>ReportData!$F$27</f>
        <v>2021/22</v>
      </c>
      <c r="AG175" s="307" t="str">
        <f>ReportData!$G$27</f>
        <v>2022/23</v>
      </c>
      <c r="AH175" s="307" t="str">
        <f>ReportData!$H$27</f>
        <v>2023/24</v>
      </c>
      <c r="AI175" s="307"/>
      <c r="AK175" s="691"/>
      <c r="AL175" s="691"/>
      <c r="AM175" s="121"/>
    </row>
    <row r="176" spans="1:51" s="61" customFormat="1" ht="16.5" customHeight="1">
      <c r="A176" s="217"/>
      <c r="B176" s="1750"/>
      <c r="C176" s="896"/>
      <c r="D176" s="897" t="e">
        <f>ReportData!$D$28</f>
        <v>#N/A</v>
      </c>
      <c r="E176" s="897" t="e">
        <f>ReportData!$E$28</f>
        <v>#N/A</v>
      </c>
      <c r="F176" s="897" t="e">
        <f>ReportData!$F$28</f>
        <v>#N/A</v>
      </c>
      <c r="G176" s="897" t="e">
        <f>ReportData!$G$28</f>
        <v>#N/A</v>
      </c>
      <c r="H176" s="920" t="e">
        <f>ReportData!$H$28</f>
        <v>#N/A</v>
      </c>
      <c r="I176" s="43"/>
      <c r="J176" s="68"/>
      <c r="K176" s="43"/>
      <c r="L176" s="43"/>
      <c r="M176" s="43"/>
      <c r="N176" s="43"/>
      <c r="O176" s="43"/>
      <c r="P176" s="43"/>
      <c r="Q176" s="225"/>
      <c r="R176" s="225"/>
      <c r="S176" s="120"/>
      <c r="T176" s="608"/>
      <c r="U176" s="103"/>
      <c r="V176" s="115"/>
      <c r="W176" s="265"/>
      <c r="X176" s="307" t="e">
        <f>ReportData!$D$28</f>
        <v>#N/A</v>
      </c>
      <c r="Y176" s="307" t="e">
        <f>ReportData!$E$28</f>
        <v>#N/A</v>
      </c>
      <c r="Z176" s="307" t="e">
        <f>ReportData!$F$28</f>
        <v>#N/A</v>
      </c>
      <c r="AA176" s="307" t="e">
        <f>ReportData!$G$28</f>
        <v>#N/A</v>
      </c>
      <c r="AB176" s="307" t="e">
        <f>ReportData!$H$28</f>
        <v>#N/A</v>
      </c>
      <c r="AC176" s="248"/>
      <c r="AD176" s="307" t="e">
        <f>ReportData!$D$28</f>
        <v>#N/A</v>
      </c>
      <c r="AE176" s="307" t="e">
        <f>ReportData!$E$28</f>
        <v>#N/A</v>
      </c>
      <c r="AF176" s="307" t="e">
        <f>ReportData!$F$28</f>
        <v>#N/A</v>
      </c>
      <c r="AG176" s="307" t="e">
        <f>ReportData!$G$28</f>
        <v>#N/A</v>
      </c>
      <c r="AH176" s="307" t="e">
        <f>ReportData!$H$28</f>
        <v>#N/A</v>
      </c>
      <c r="AI176" s="307"/>
      <c r="AK176" s="691"/>
      <c r="AL176" s="691"/>
      <c r="AM176" s="121"/>
    </row>
    <row r="177" spans="1:47" s="61" customFormat="1" ht="13.5" customHeight="1">
      <c r="A177" s="306">
        <f>VLOOKUP(B177,ReportData!$AQ$4:$AR$25,2,FALSE)</f>
        <v>0</v>
      </c>
      <c r="B177" s="885" t="str">
        <f t="shared" ref="B177:B191" si="64">B11</f>
        <v>Bracknell Forest</v>
      </c>
      <c r="C177" s="896"/>
      <c r="D177" s="922">
        <f>IF(AND(ISNUMBER(AD177),ISNUMBER(X177)),AD177/X177,NA())</f>
        <v>9.6774193548387094E-2</v>
      </c>
      <c r="E177" s="922" t="e">
        <f>IF(AND(ISNUMBER(AE177),ISNUMBER(Y177)),AE177/Y177,NA())</f>
        <v>#N/A</v>
      </c>
      <c r="F177" s="922" t="e">
        <f>IF(AND(ISNUMBER(AF177),ISNUMBER(Z177)),AF177/Z177,NA())</f>
        <v>#N/A</v>
      </c>
      <c r="G177" s="922">
        <f>IF(AND(ISNUMBER(AG177),ISNUMBER(AA177)),AG177/AA177,NA())</f>
        <v>8.8235294117647065E-2</v>
      </c>
      <c r="H177" s="923" t="e">
        <f t="shared" ref="H177:H196" si="65">IF(AND(ISNUMBER(AH177),ISNUMBER(AB177)),AH177/AB177,NA())</f>
        <v>#N/A</v>
      </c>
      <c r="I177" s="274"/>
      <c r="J177" s="68"/>
      <c r="K177" s="127"/>
      <c r="L177" s="127"/>
      <c r="M177" s="127"/>
      <c r="N177" s="127"/>
      <c r="O177" s="127"/>
      <c r="P177" s="127"/>
      <c r="Q177" s="127"/>
      <c r="R177" s="128"/>
      <c r="S177" s="120"/>
      <c r="T177" s="608"/>
      <c r="U177" s="103"/>
      <c r="V177" s="115"/>
      <c r="W177" s="265" t="str">
        <f t="shared" ref="W177:W197" si="66">B177</f>
        <v>Bracknell Forest</v>
      </c>
      <c r="X177" s="248">
        <f>IF(Year1_Bracknell_Forest Year1_Adoption_ceased_LAC="","",Year1_Bracknell_Forest Year1_Adoption_ceased_LAC)</f>
        <v>62</v>
      </c>
      <c r="Y177" s="248">
        <f>IF(Year2_Bracknell_Forest Year2_Adoption_ceased_LAC="","",Year2_Bracknell_Forest Year2_Adoption_ceased_LAC)</f>
        <v>37</v>
      </c>
      <c r="Z177" s="248">
        <f>IF(Year3_Bracknell_Forest Year3_Adoption_ceased_LAC="","",Year3_Bracknell_Forest Year3_Adoption_ceased_LAC)</f>
        <v>54</v>
      </c>
      <c r="AA177" s="248">
        <f>IF(Year4_Bracknell_Forest Year4_Adoption_ceased_LAC="","",Year4_Bracknell_Forest Year4_Adoption_ceased_LAC)</f>
        <v>68</v>
      </c>
      <c r="AB177" s="248">
        <f>IF(Year5_Bracknell_Forest Year5_Adoption_ceased_LAC="","",Year5_Bracknell_Forest Year5_Adoption_ceased_LAC)</f>
        <v>57</v>
      </c>
      <c r="AC177" s="248" t="str">
        <f t="shared" ref="AC177:AC197" si="67">W177</f>
        <v>Bracknell Forest</v>
      </c>
      <c r="AD177" s="307">
        <f>IF(Year1_Bracknell_Forest Year1_Adoption_LAC_Adopted="","",Year1_Bracknell_Forest Year1_Adoption_LAC_Adopted)</f>
        <v>6</v>
      </c>
      <c r="AE177" s="248" t="str">
        <f>IF(Year2_Bracknell_Forest Year2_Adoption_LAC_Adopted="","",Year2_Bracknell_Forest Year2_Adoption_LAC_Adopted)</f>
        <v>x</v>
      </c>
      <c r="AF177" s="248" t="str">
        <f>IF(Year3_Bracknell_Forest Year3_Adoption_LAC_Adopted="","",Year3_Bracknell_Forest Year3_Adoption_LAC_Adopted)</f>
        <v>c</v>
      </c>
      <c r="AG177" s="248">
        <f>IF(Year4_Bracknell_Forest Year4_Adoption_LAC_Adopted="","",Year4_Bracknell_Forest Year4_Adoption_LAC_Adopted)</f>
        <v>6</v>
      </c>
      <c r="AH177" s="248" t="str">
        <f>IF(Year5_Bracknell_Forest Year5_Adoption_LAC_Adopted="","",Year5_Bracknell_Forest Year5_Adoption_LAC_Adopted)</f>
        <v>c</v>
      </c>
      <c r="AI177" s="248"/>
      <c r="AK177" s="692"/>
      <c r="AL177" s="692"/>
      <c r="AM177" s="122"/>
    </row>
    <row r="178" spans="1:47" s="61" customFormat="1" ht="13.5" customHeight="1">
      <c r="A178" s="306">
        <f>VLOOKUP(B178,ReportData!$AQ$4:$AR$25,2,FALSE)</f>
        <v>0</v>
      </c>
      <c r="B178" s="885" t="str">
        <f t="shared" si="64"/>
        <v>Brighton &amp; Hove</v>
      </c>
      <c r="C178" s="896"/>
      <c r="D178" s="922">
        <f t="shared" ref="D178:D197" si="68">IF(AND(ISNUMBER(AD178),ISNUMBER(X178)),AD178/X178,NA())</f>
        <v>0.10112359550561797</v>
      </c>
      <c r="E178" s="922">
        <f t="shared" ref="E178:E197" si="69">IF(AND(ISNUMBER(AE178),ISNUMBER(Y178)),AE178/Y178,NA())</f>
        <v>7.1895424836601302E-2</v>
      </c>
      <c r="F178" s="922">
        <f t="shared" ref="F178:F197" si="70">IF(AND(ISNUMBER(AF178),ISNUMBER(Z178)),AF178/Z178,NA())</f>
        <v>5.9701492537313432E-2</v>
      </c>
      <c r="G178" s="922">
        <f t="shared" ref="G178:G197" si="71">IF(AND(ISNUMBER(AG178),ISNUMBER(AA178)),AG178/AA178,NA())</f>
        <v>6.7484662576687116E-2</v>
      </c>
      <c r="H178" s="923">
        <f t="shared" si="65"/>
        <v>0.16296296296296298</v>
      </c>
      <c r="I178" s="274"/>
      <c r="J178" s="68"/>
      <c r="K178" s="127"/>
      <c r="L178" s="127"/>
      <c r="M178" s="127"/>
      <c r="N178" s="127"/>
      <c r="O178" s="127"/>
      <c r="P178" s="127"/>
      <c r="Q178" s="127"/>
      <c r="R178" s="128"/>
      <c r="S178" s="120"/>
      <c r="T178" s="608"/>
      <c r="U178" s="103"/>
      <c r="V178" s="115"/>
      <c r="W178" s="265" t="str">
        <f t="shared" si="66"/>
        <v>Brighton &amp; Hove</v>
      </c>
      <c r="X178" s="248">
        <f>IF(Year1_Brighton_and_Hove Year1_Adoption_ceased_LAC="","",Year1_Brighton_and_Hove Year1_Adoption_ceased_LAC)</f>
        <v>178</v>
      </c>
      <c r="Y178" s="248">
        <f>IF(Year2_Brighton_and_Hove Year2_Adoption_ceased_LAC="","",Year2_Brighton_and_Hove Year2_Adoption_ceased_LAC)</f>
        <v>153</v>
      </c>
      <c r="Z178" s="248">
        <f>IF(Year3_Brighton_and_Hove Year3_Adoption_ceased_LAC="","",Year3_Brighton_and_Hove Year3_Adoption_ceased_LAC)</f>
        <v>134</v>
      </c>
      <c r="AA178" s="248">
        <f>IF(Year4_Brighton_and_Hove Year4_Adoption_ceased_LAC="","",Year4_Brighton_and_Hove Year4_Adoption_ceased_LAC)</f>
        <v>163</v>
      </c>
      <c r="AB178" s="248">
        <f>IF(Year5_Brighton_and_Hove Year5_Adoption_ceased_LAC="","",Year5_Brighton_and_Hove Year5_Adoption_ceased_LAC)</f>
        <v>135</v>
      </c>
      <c r="AC178" s="248" t="str">
        <f t="shared" si="67"/>
        <v>Brighton &amp; Hove</v>
      </c>
      <c r="AD178" s="307">
        <f>IF(Year1_Brighton_and_Hove Year1_Adoption_LAC_Adopted="","",Year1_Brighton_and_Hove Year1_Adoption_LAC_Adopted)</f>
        <v>18</v>
      </c>
      <c r="AE178" s="248">
        <f>IF(Year2_Brighton_and_Hove Year2_Adoption_LAC_Adopted="","",Year2_Brighton_and_Hove Year2_Adoption_LAC_Adopted)</f>
        <v>11</v>
      </c>
      <c r="AF178" s="248">
        <f>IF(Year3_Brighton_and_Hove Year3_Adoption_LAC_Adopted="","",Year3_Brighton_and_Hove Year3_Adoption_LAC_Adopted)</f>
        <v>8</v>
      </c>
      <c r="AG178" s="248">
        <f>IF(Year4_Brighton_and_Hove Year4_Adoption_LAC_Adopted="","",Year4_Brighton_and_Hove Year4_Adoption_LAC_Adopted)</f>
        <v>11</v>
      </c>
      <c r="AH178" s="248">
        <f>IF(Year5_Brighton_and_Hove Year5_Adoption_LAC_Adopted="","",Year5_Brighton_and_Hove Year5_Adoption_LAC_Adopted)</f>
        <v>22</v>
      </c>
      <c r="AI178" s="248"/>
      <c r="AK178" s="692"/>
      <c r="AL178" s="692"/>
      <c r="AM178" s="121"/>
    </row>
    <row r="179" spans="1:47" s="61" customFormat="1" ht="13.5" customHeight="1">
      <c r="A179" s="306">
        <f>VLOOKUP(B179,ReportData!$AQ$4:$AR$25,2,FALSE)</f>
        <v>0</v>
      </c>
      <c r="B179" s="885" t="str">
        <f t="shared" si="64"/>
        <v>Buckinghamshire</v>
      </c>
      <c r="C179" s="896"/>
      <c r="D179" s="922">
        <f t="shared" si="68"/>
        <v>9.7872340425531917E-2</v>
      </c>
      <c r="E179" s="922">
        <f t="shared" si="69"/>
        <v>0.14130434782608695</v>
      </c>
      <c r="F179" s="922">
        <f t="shared" si="70"/>
        <v>0.11165048543689321</v>
      </c>
      <c r="G179" s="922">
        <f t="shared" si="71"/>
        <v>8.0402010050251257E-2</v>
      </c>
      <c r="H179" s="923">
        <f t="shared" si="65"/>
        <v>5.8823529411764705E-2</v>
      </c>
      <c r="I179" s="274"/>
      <c r="J179" s="68"/>
      <c r="K179" s="127"/>
      <c r="L179" s="127"/>
      <c r="M179" s="127"/>
      <c r="N179" s="127"/>
      <c r="O179" s="127"/>
      <c r="P179" s="127"/>
      <c r="Q179" s="127"/>
      <c r="R179" s="128"/>
      <c r="S179" s="120"/>
      <c r="T179" s="608"/>
      <c r="U179" s="103"/>
      <c r="V179" s="115"/>
      <c r="W179" s="265" t="str">
        <f t="shared" si="66"/>
        <v>Buckinghamshire</v>
      </c>
      <c r="X179" s="248">
        <f>IF(Year1_Buckinghamshire Year1_Adoption_ceased_LAC="","",Year1_Buckinghamshire Year1_Adoption_ceased_LAC)</f>
        <v>235</v>
      </c>
      <c r="Y179" s="248">
        <f>IF(Year2_Buckinghamshire Year2_Adoption_ceased_LAC="","",Year2_Buckinghamshire Year2_Adoption_ceased_LAC)</f>
        <v>184</v>
      </c>
      <c r="Z179" s="248">
        <f>IF(Year3_Buckinghamshire Year3_Adoption_ceased_LAC="","",Year3_Buckinghamshire Year3_Adoption_ceased_LAC)</f>
        <v>206</v>
      </c>
      <c r="AA179" s="248">
        <f>IF(Year4_Buckinghamshire Year4_Adoption_ceased_LAC="","",Year4_Buckinghamshire Year4_Adoption_ceased_LAC)</f>
        <v>199</v>
      </c>
      <c r="AB179" s="248">
        <f>IF(Year5_Buckinghamshire Year5_Adoption_ceased_LAC="","",Year5_Buckinghamshire Year5_Adoption_ceased_LAC)</f>
        <v>204</v>
      </c>
      <c r="AC179" s="248" t="str">
        <f t="shared" si="67"/>
        <v>Buckinghamshire</v>
      </c>
      <c r="AD179" s="307">
        <f>IF(Year1_Buckinghamshire Year1_Adoption_LAC_Adopted="","",Year1_Buckinghamshire Year1_Adoption_LAC_Adopted)</f>
        <v>23</v>
      </c>
      <c r="AE179" s="248">
        <f>IF(Year2_Buckinghamshire Year2_Adoption_LAC_Adopted="","",Year2_Buckinghamshire Year2_Adoption_LAC_Adopted)</f>
        <v>26</v>
      </c>
      <c r="AF179" s="248">
        <f>IF(Year3_Buckinghamshire Year3_Adoption_LAC_Adopted="","",Year3_Buckinghamshire Year3_Adoption_LAC_Adopted)</f>
        <v>23</v>
      </c>
      <c r="AG179" s="248">
        <f>IF(Year4_Buckinghamshire Year4_Adoption_LAC_Adopted="","",Year4_Buckinghamshire Year4_Adoption_LAC_Adopted)</f>
        <v>16</v>
      </c>
      <c r="AH179" s="248">
        <f>IF(Year5_Buckinghamshire Year5_Adoption_LAC_Adopted="","",Year5_Buckinghamshire Year5_Adoption_LAC_Adopted)</f>
        <v>12</v>
      </c>
      <c r="AI179" s="248"/>
      <c r="AK179" s="692"/>
      <c r="AL179" s="692"/>
      <c r="AM179" s="122"/>
    </row>
    <row r="180" spans="1:47" s="61" customFormat="1" ht="13.5" customHeight="1">
      <c r="A180" s="306">
        <f>VLOOKUP(B180,ReportData!$AQ$4:$AR$25,2,FALSE)</f>
        <v>0</v>
      </c>
      <c r="B180" s="885" t="str">
        <f t="shared" si="64"/>
        <v>East Sussex</v>
      </c>
      <c r="C180" s="896"/>
      <c r="D180" s="922">
        <f t="shared" si="68"/>
        <v>0.15340909090909091</v>
      </c>
      <c r="E180" s="922">
        <f t="shared" si="69"/>
        <v>0.15340909090909091</v>
      </c>
      <c r="F180" s="922">
        <f t="shared" si="70"/>
        <v>8.4821428571428575E-2</v>
      </c>
      <c r="G180" s="922">
        <f t="shared" si="71"/>
        <v>7.0422535211267609E-2</v>
      </c>
      <c r="H180" s="923">
        <f t="shared" si="65"/>
        <v>8.085106382978724E-2</v>
      </c>
      <c r="I180" s="274"/>
      <c r="J180" s="68"/>
      <c r="K180" s="127"/>
      <c r="L180" s="127"/>
      <c r="M180" s="127"/>
      <c r="N180" s="127"/>
      <c r="O180" s="127"/>
      <c r="P180" s="127"/>
      <c r="Q180" s="127"/>
      <c r="R180" s="128"/>
      <c r="S180" s="120"/>
      <c r="T180" s="608"/>
      <c r="U180" s="103"/>
      <c r="V180" s="115"/>
      <c r="W180" s="265" t="str">
        <f t="shared" si="66"/>
        <v>East Sussex</v>
      </c>
      <c r="X180" s="248">
        <f>IF(Year1_East_Sussex Year1_Adoption_ceased_LAC="","",Year1_East_Sussex Year1_Adoption_ceased_LAC)</f>
        <v>176</v>
      </c>
      <c r="Y180" s="248">
        <f>IF(Year2_East_Sussex Year2_Adoption_ceased_LAC="","",Year2_East_Sussex Year2_Adoption_ceased_LAC)</f>
        <v>176</v>
      </c>
      <c r="Z180" s="248">
        <f>IF(Year3_East_Sussex Year3_Adoption_ceased_LAC="","",Year3_East_Sussex Year3_Adoption_ceased_LAC)</f>
        <v>224</v>
      </c>
      <c r="AA180" s="248">
        <f>IF(Year4_East_Sussex Year4_Adoption_ceased_LAC="","",Year4_East_Sussex Year4_Adoption_ceased_LAC)</f>
        <v>213</v>
      </c>
      <c r="AB180" s="248">
        <f>IF(Year5_East_Sussex Year5_Adoption_ceased_LAC="","",Year5_East_Sussex Year5_Adoption_ceased_LAC)</f>
        <v>235</v>
      </c>
      <c r="AC180" s="248" t="str">
        <f t="shared" si="67"/>
        <v>East Sussex</v>
      </c>
      <c r="AD180" s="307">
        <f>IF(Year1_East_Sussex Year1_Adoption_LAC_Adopted="","",Year1_East_Sussex Year1_Adoption_LAC_Adopted)</f>
        <v>27</v>
      </c>
      <c r="AE180" s="248">
        <f>IF(Year2_East_Sussex Year2_Adoption_LAC_Adopted="","",Year2_East_Sussex Year2_Adoption_LAC_Adopted)</f>
        <v>27</v>
      </c>
      <c r="AF180" s="248">
        <f>IF(Year3_East_Sussex Year3_Adoption_LAC_Adopted="","",Year3_East_Sussex Year3_Adoption_LAC_Adopted)</f>
        <v>19</v>
      </c>
      <c r="AG180" s="248">
        <f>IF(Year4_East_Sussex Year4_Adoption_LAC_Adopted="","",Year4_East_Sussex Year4_Adoption_LAC_Adopted)</f>
        <v>15</v>
      </c>
      <c r="AH180" s="248">
        <f>IF(Year5_East_Sussex Year5_Adoption_LAC_Adopted="","",Year5_East_Sussex Year5_Adoption_LAC_Adopted)</f>
        <v>19</v>
      </c>
      <c r="AI180" s="248"/>
      <c r="AK180" s="692"/>
      <c r="AL180" s="692"/>
      <c r="AM180" s="121"/>
      <c r="AU180" s="61" t="s">
        <v>95</v>
      </c>
    </row>
    <row r="181" spans="1:47" s="61" customFormat="1" ht="13.5" customHeight="1">
      <c r="A181" s="306">
        <f>VLOOKUP(B181,ReportData!$AQ$4:$AR$25,2,FALSE)</f>
        <v>0</v>
      </c>
      <c r="B181" s="885" t="str">
        <f t="shared" si="64"/>
        <v>Hampshire</v>
      </c>
      <c r="C181" s="896"/>
      <c r="D181" s="922">
        <f t="shared" si="68"/>
        <v>0.11217948717948718</v>
      </c>
      <c r="E181" s="922">
        <f t="shared" si="69"/>
        <v>8.9005235602094238E-2</v>
      </c>
      <c r="F181" s="922">
        <f t="shared" si="70"/>
        <v>7.7338129496402883E-2</v>
      </c>
      <c r="G181" s="922">
        <f t="shared" si="71"/>
        <v>9.3137254901960786E-2</v>
      </c>
      <c r="H181" s="923">
        <f t="shared" si="65"/>
        <v>0.10920436817472699</v>
      </c>
      <c r="I181" s="274"/>
      <c r="J181" s="68"/>
      <c r="K181" s="127"/>
      <c r="L181" s="127"/>
      <c r="M181" s="127"/>
      <c r="N181" s="127"/>
      <c r="O181" s="127"/>
      <c r="P181" s="127"/>
      <c r="Q181" s="127"/>
      <c r="R181" s="128"/>
      <c r="S181" s="120"/>
      <c r="T181" s="608"/>
      <c r="U181" s="103"/>
      <c r="V181" s="115"/>
      <c r="W181" s="265" t="str">
        <f t="shared" si="66"/>
        <v>Hampshire</v>
      </c>
      <c r="X181" s="248">
        <f>IF(Year1_Hampshire Year1_Adoption_ceased_LAC="","",Year1_Hampshire Year1_Adoption_ceased_LAC)</f>
        <v>624</v>
      </c>
      <c r="Y181" s="248">
        <f>IF(Year2_Hampshire Year2_Adoption_ceased_LAC="","",Year2_Hampshire Year2_Adoption_ceased_LAC)</f>
        <v>573</v>
      </c>
      <c r="Z181" s="248">
        <f>IF(Year3_Hampshire Year3_Adoption_ceased_LAC="","",Year3_Hampshire Year3_Adoption_ceased_LAC)</f>
        <v>556</v>
      </c>
      <c r="AA181" s="248">
        <f>IF(Year4_Hampshire Year4_Adoption_ceased_LAC="","",Year4_Hampshire Year4_Adoption_ceased_LAC)</f>
        <v>612</v>
      </c>
      <c r="AB181" s="248">
        <f>IF(Year5_Hampshire Year5_Adoption_ceased_LAC="","",Year5_Hampshire Year5_Adoption_ceased_LAC)</f>
        <v>641</v>
      </c>
      <c r="AC181" s="248" t="str">
        <f t="shared" si="67"/>
        <v>Hampshire</v>
      </c>
      <c r="AD181" s="307">
        <f>IF(Year1_Hampshire Year1_Adoption_LAC_Adopted="","",Year1_Hampshire Year1_Adoption_LAC_Adopted)</f>
        <v>70</v>
      </c>
      <c r="AE181" s="248">
        <f>IF(Year2_Hampshire Year2_Adoption_LAC_Adopted="","",Year2_Hampshire Year2_Adoption_LAC_Adopted)</f>
        <v>51</v>
      </c>
      <c r="AF181" s="248">
        <f>IF(Year3_Hampshire Year3_Adoption_LAC_Adopted="","",Year3_Hampshire Year3_Adoption_LAC_Adopted)</f>
        <v>43</v>
      </c>
      <c r="AG181" s="248">
        <f>IF(Year4_Hampshire Year4_Adoption_LAC_Adopted="","",Year4_Hampshire Year4_Adoption_LAC_Adopted)</f>
        <v>57</v>
      </c>
      <c r="AH181" s="248">
        <f>IF(Year5_Hampshire Year5_Adoption_LAC_Adopted="","",Year5_Hampshire Year5_Adoption_LAC_Adopted)</f>
        <v>70</v>
      </c>
      <c r="AI181" s="248"/>
      <c r="AK181" s="692"/>
      <c r="AL181" s="692"/>
      <c r="AM181" s="122"/>
    </row>
    <row r="182" spans="1:47" s="61" customFormat="1" ht="13.5" customHeight="1">
      <c r="A182" s="306">
        <f>VLOOKUP(B182,ReportData!$AQ$4:$AR$25,2,FALSE)</f>
        <v>0</v>
      </c>
      <c r="B182" s="885" t="str">
        <f t="shared" si="64"/>
        <v>Isle of Wight</v>
      </c>
      <c r="C182" s="896"/>
      <c r="D182" s="922">
        <f t="shared" si="68"/>
        <v>0.16981132075471697</v>
      </c>
      <c r="E182" s="922" t="e">
        <f t="shared" si="69"/>
        <v>#N/A</v>
      </c>
      <c r="F182" s="922">
        <f t="shared" si="70"/>
        <v>0.15730337078651685</v>
      </c>
      <c r="G182" s="922" t="e">
        <f t="shared" si="71"/>
        <v>#N/A</v>
      </c>
      <c r="H182" s="923">
        <f t="shared" si="65"/>
        <v>8.3333333333333329E-2</v>
      </c>
      <c r="I182" s="274"/>
      <c r="J182" s="68"/>
      <c r="K182" s="127"/>
      <c r="L182" s="127"/>
      <c r="M182" s="127"/>
      <c r="N182" s="127"/>
      <c r="O182" s="127"/>
      <c r="P182" s="127"/>
      <c r="Q182" s="127"/>
      <c r="R182" s="128"/>
      <c r="S182" s="120"/>
      <c r="T182" s="608"/>
      <c r="U182" s="103"/>
      <c r="V182" s="115"/>
      <c r="W182" s="265" t="str">
        <f t="shared" si="66"/>
        <v>Isle of Wight</v>
      </c>
      <c r="X182" s="248">
        <f>IF(Year1_Isle_of_Wight Year1_Adoption_ceased_LAC="","",Year1_Isle_of_Wight Year1_Adoption_ceased_LAC)</f>
        <v>53</v>
      </c>
      <c r="Y182" s="248">
        <f>IF(Year2_Isle_of_Wight Year2_Adoption_ceased_LAC="","",Year2_Isle_of_Wight Year2_Adoption_ceased_LAC)</f>
        <v>65</v>
      </c>
      <c r="Z182" s="248">
        <f>IF(Year3_Isle_of_Wight Year3_Adoption_ceased_LAC="","",Year3_Isle_of_Wight Year3_Adoption_ceased_LAC)</f>
        <v>89</v>
      </c>
      <c r="AA182" s="248">
        <f>IF(Year4_Isle_of_Wight Year4_Adoption_ceased_LAC="","",Year4_Isle_of_Wight Year4_Adoption_ceased_LAC)</f>
        <v>77</v>
      </c>
      <c r="AB182" s="248">
        <f>IF(Year5_Isle_of_Wight Year5_Adoption_ceased_LAC="","",Year5_Isle_of_Wight Year5_Adoption_ceased_LAC)</f>
        <v>84</v>
      </c>
      <c r="AC182" s="248" t="str">
        <f t="shared" si="67"/>
        <v>Isle of Wight</v>
      </c>
      <c r="AD182" s="307">
        <f>IF(Year1_Isle_of_Wight Year1_Adoption_LAC_Adopted="","",Year1_Isle_of_Wight Year1_Adoption_LAC_Adopted)</f>
        <v>9</v>
      </c>
      <c r="AE182" s="248" t="str">
        <f>IF(Year2_Isle_of_Wight Year2_Adoption_LAC_Adopted="","",Year2_Isle_of_Wight Year2_Adoption_LAC_Adopted)</f>
        <v>x</v>
      </c>
      <c r="AF182" s="248">
        <f>IF(Year3_Isle_of_Wight Year3_Adoption_LAC_Adopted="","",Year3_Isle_of_Wight Year3_Adoption_LAC_Adopted)</f>
        <v>14</v>
      </c>
      <c r="AG182" s="248" t="str">
        <f>IF(Year4_Isle_of_Wight Year4_Adoption_LAC_Adopted="","",Year4_Isle_of_Wight Year4_Adoption_LAC_Adopted)</f>
        <v>c</v>
      </c>
      <c r="AH182" s="248">
        <f>IF(Year5_Isle_of_Wight Year5_Adoption_LAC_Adopted="","",Year5_Isle_of_Wight Year5_Adoption_LAC_Adopted)</f>
        <v>7</v>
      </c>
      <c r="AI182" s="248"/>
      <c r="AK182" s="692"/>
      <c r="AL182" s="692"/>
      <c r="AM182" s="121"/>
    </row>
    <row r="183" spans="1:47" s="61" customFormat="1" ht="13.5" customHeight="1">
      <c r="A183" s="306">
        <f>VLOOKUP(B183,ReportData!$AQ$4:$AR$25,2,FALSE)</f>
        <v>0</v>
      </c>
      <c r="B183" s="885" t="str">
        <f t="shared" si="64"/>
        <v>Kent</v>
      </c>
      <c r="C183" s="896"/>
      <c r="D183" s="922">
        <f t="shared" si="68"/>
        <v>8.5365853658536592E-2</v>
      </c>
      <c r="E183" s="922">
        <f t="shared" si="69"/>
        <v>3.8698328935795952E-2</v>
      </c>
      <c r="F183" s="922">
        <f t="shared" si="70"/>
        <v>3.443328550932568E-2</v>
      </c>
      <c r="G183" s="922">
        <f t="shared" si="71"/>
        <v>3.4334763948497854E-2</v>
      </c>
      <c r="H183" s="923">
        <f t="shared" si="65"/>
        <v>2.4862888482632541E-2</v>
      </c>
      <c r="I183" s="274"/>
      <c r="J183" s="68"/>
      <c r="K183" s="127"/>
      <c r="L183" s="127"/>
      <c r="M183" s="127"/>
      <c r="N183" s="127"/>
      <c r="O183" s="127"/>
      <c r="P183" s="127"/>
      <c r="Q183" s="127"/>
      <c r="R183" s="128"/>
      <c r="S183" s="120"/>
      <c r="T183" s="608"/>
      <c r="U183" s="103"/>
      <c r="V183" s="115"/>
      <c r="W183" s="265" t="str">
        <f t="shared" si="66"/>
        <v>Kent</v>
      </c>
      <c r="X183" s="248">
        <f>IF(Year1_Kent Year1_Adoption_ceased_LAC="","",Year1_Kent Year1_Adoption_ceased_LAC)</f>
        <v>738</v>
      </c>
      <c r="Y183" s="248">
        <f>IF(Year2_Kent Year2_Adoption_ceased_LAC="","",Year2_Kent Year2_Adoption_ceased_LAC)</f>
        <v>1137</v>
      </c>
      <c r="Z183" s="248">
        <f>IF(Year3_Kent Year3_Adoption_ceased_LAC="","",Year3_Kent Year3_Adoption_ceased_LAC)</f>
        <v>1394</v>
      </c>
      <c r="AA183" s="248">
        <f>IF(Year4_Kent Year4_Adoption_ceased_LAC="","",Year4_Kent Year4_Adoption_ceased_LAC)</f>
        <v>1631</v>
      </c>
      <c r="AB183" s="248">
        <f>IF(Year5_Kent Year5_Adoption_ceased_LAC="","",Year5_Kent Year5_Adoption_ceased_LAC)</f>
        <v>2735</v>
      </c>
      <c r="AC183" s="248" t="str">
        <f t="shared" si="67"/>
        <v>Kent</v>
      </c>
      <c r="AD183" s="307">
        <f>IF(Year1_Kent Year1_Adoption_LAC_Adopted="","",Year1_Kent Year1_Adoption_LAC_Adopted)</f>
        <v>63</v>
      </c>
      <c r="AE183" s="248">
        <f>IF(Year2_Kent Year2_Adoption_LAC_Adopted="","",Year2_Kent Year2_Adoption_LAC_Adopted)</f>
        <v>44</v>
      </c>
      <c r="AF183" s="248">
        <f>IF(Year3_Kent Year3_Adoption_LAC_Adopted="","",Year3_Kent Year3_Adoption_LAC_Adopted)</f>
        <v>48</v>
      </c>
      <c r="AG183" s="248">
        <f>IF(Year4_Kent Year4_Adoption_LAC_Adopted="","",Year4_Kent Year4_Adoption_LAC_Adopted)</f>
        <v>56</v>
      </c>
      <c r="AH183" s="248">
        <f>IF(Year5_Kent Year5_Adoption_LAC_Adopted="","",Year5_Kent Year5_Adoption_LAC_Adopted)</f>
        <v>68</v>
      </c>
      <c r="AI183" s="248"/>
      <c r="AK183" s="692"/>
      <c r="AL183" s="692"/>
      <c r="AM183" s="122"/>
    </row>
    <row r="184" spans="1:47" s="61" customFormat="1" ht="13.5" customHeight="1">
      <c r="A184" s="306">
        <f>VLOOKUP(B184,ReportData!$AQ$4:$AR$25,2,FALSE)</f>
        <v>0</v>
      </c>
      <c r="B184" s="885" t="str">
        <f t="shared" si="64"/>
        <v>Medway</v>
      </c>
      <c r="C184" s="896"/>
      <c r="D184" s="922">
        <f t="shared" si="68"/>
        <v>0.12777777777777777</v>
      </c>
      <c r="E184" s="922">
        <f t="shared" si="69"/>
        <v>0.1037037037037037</v>
      </c>
      <c r="F184" s="922">
        <f t="shared" si="70"/>
        <v>0.17741935483870969</v>
      </c>
      <c r="G184" s="922">
        <f t="shared" si="71"/>
        <v>0.14285714285714285</v>
      </c>
      <c r="H184" s="923">
        <f t="shared" si="65"/>
        <v>9.7297297297297303E-2</v>
      </c>
      <c r="I184" s="274"/>
      <c r="J184" s="68"/>
      <c r="K184" s="127"/>
      <c r="L184" s="127"/>
      <c r="M184" s="127"/>
      <c r="N184" s="127"/>
      <c r="O184" s="127"/>
      <c r="P184" s="127"/>
      <c r="Q184" s="127"/>
      <c r="R184" s="128"/>
      <c r="S184" s="120"/>
      <c r="T184" s="608"/>
      <c r="U184" s="103"/>
      <c r="V184" s="115"/>
      <c r="W184" s="265" t="str">
        <f t="shared" si="66"/>
        <v>Medway</v>
      </c>
      <c r="X184" s="248">
        <f>IF(Year1_Medway Year1_Adoption_ceased_LAC="","",Year1_Medway Year1_Adoption_ceased_LAC)</f>
        <v>180</v>
      </c>
      <c r="Y184" s="248">
        <f>IF(Year2_Medway Year2_Adoption_ceased_LAC="","",Year2_Medway Year2_Adoption_ceased_LAC)</f>
        <v>135</v>
      </c>
      <c r="Z184" s="248">
        <f>IF(Year3_Medway Year3_Adoption_ceased_LAC="","",Year3_Medway Year3_Adoption_ceased_LAC)</f>
        <v>124</v>
      </c>
      <c r="AA184" s="248">
        <f>IF(Year4_Medway Year4_Adoption_ceased_LAC="","",Year4_Medway Year4_Adoption_ceased_LAC)</f>
        <v>147</v>
      </c>
      <c r="AB184" s="248">
        <f>IF(Year5_Medway Year5_Adoption_ceased_LAC="","",Year5_Medway Year5_Adoption_ceased_LAC)</f>
        <v>185</v>
      </c>
      <c r="AC184" s="248" t="str">
        <f t="shared" si="67"/>
        <v>Medway</v>
      </c>
      <c r="AD184" s="307">
        <f>IF(Year1_Medway Year1_Adoption_LAC_Adopted="","",Year1_Medway Year1_Adoption_LAC_Adopted)</f>
        <v>23</v>
      </c>
      <c r="AE184" s="248">
        <f>IF(Year2_Medway Year2_Adoption_LAC_Adopted="","",Year2_Medway Year2_Adoption_LAC_Adopted)</f>
        <v>14</v>
      </c>
      <c r="AF184" s="248">
        <f>IF(Year3_Medway Year3_Adoption_LAC_Adopted="","",Year3_Medway Year3_Adoption_LAC_Adopted)</f>
        <v>22</v>
      </c>
      <c r="AG184" s="248">
        <f>IF(Year4_Medway Year4_Adoption_LAC_Adopted="","",Year4_Medway Year4_Adoption_LAC_Adopted)</f>
        <v>21</v>
      </c>
      <c r="AH184" s="248">
        <f>IF(Year5_Medway Year5_Adoption_LAC_Adopted="","",Year5_Medway Year5_Adoption_LAC_Adopted)</f>
        <v>18</v>
      </c>
      <c r="AI184" s="248"/>
      <c r="AK184" s="692"/>
      <c r="AL184" s="692"/>
      <c r="AM184" s="121"/>
    </row>
    <row r="185" spans="1:47" s="61" customFormat="1" ht="13.5" customHeight="1">
      <c r="A185" s="306">
        <f>VLOOKUP(B185,ReportData!$AQ$4:$AR$25,2,FALSE)</f>
        <v>0</v>
      </c>
      <c r="B185" s="885" t="str">
        <f t="shared" si="64"/>
        <v>Milton Keynes</v>
      </c>
      <c r="C185" s="896"/>
      <c r="D185" s="922">
        <f t="shared" si="68"/>
        <v>0.12837837837837837</v>
      </c>
      <c r="E185" s="922">
        <f t="shared" si="69"/>
        <v>0.11904761904761904</v>
      </c>
      <c r="F185" s="922">
        <f t="shared" si="70"/>
        <v>0.1497326203208556</v>
      </c>
      <c r="G185" s="922">
        <f t="shared" si="71"/>
        <v>0.10919540229885058</v>
      </c>
      <c r="H185" s="923">
        <f t="shared" si="65"/>
        <v>0.10497237569060773</v>
      </c>
      <c r="I185" s="274"/>
      <c r="J185" s="68"/>
      <c r="K185" s="127"/>
      <c r="L185" s="127"/>
      <c r="M185" s="127"/>
      <c r="N185" s="127"/>
      <c r="O185" s="127"/>
      <c r="P185" s="127"/>
      <c r="Q185" s="127"/>
      <c r="R185" s="128"/>
      <c r="S185" s="120"/>
      <c r="T185" s="608"/>
      <c r="U185" s="103"/>
      <c r="V185" s="115"/>
      <c r="W185" s="265" t="str">
        <f t="shared" si="66"/>
        <v>Milton Keynes</v>
      </c>
      <c r="X185" s="248">
        <f>IF(Year1_Milton_Keynes Year1_Adoption_ceased_LAC="","",Year1_Milton_Keynes Year1_Adoption_ceased_LAC)</f>
        <v>148</v>
      </c>
      <c r="Y185" s="248">
        <f>IF(Year2_Milton_Keynes Year2_Adoption_ceased_LAC="","",Year2_Milton_Keynes Year2_Adoption_ceased_LAC)</f>
        <v>168</v>
      </c>
      <c r="Z185" s="248">
        <f>IF(Year3_Milton_Keynes Year3_Adoption_ceased_LAC="","",Year3_Milton_Keynes Year3_Adoption_ceased_LAC)</f>
        <v>187</v>
      </c>
      <c r="AA185" s="248">
        <f>IF(Year4_Milton_Keynes Year4_Adoption_ceased_LAC="","",Year4_Milton_Keynes Year4_Adoption_ceased_LAC)</f>
        <v>174</v>
      </c>
      <c r="AB185" s="248">
        <f>IF(Year5_Milton_Keynes Year5_Adoption_ceased_LAC="","",Year5_Milton_Keynes Year5_Adoption_ceased_LAC)</f>
        <v>181</v>
      </c>
      <c r="AC185" s="248" t="str">
        <f t="shared" si="67"/>
        <v>Milton Keynes</v>
      </c>
      <c r="AD185" s="307">
        <f>IF(Year1_Milton_Keynes Year1_Adoption_LAC_Adopted="","",Year1_Milton_Keynes Year1_Adoption_LAC_Adopted)</f>
        <v>19</v>
      </c>
      <c r="AE185" s="248">
        <f>IF(Year2_Milton_Keynes Year2_Adoption_LAC_Adopted="","",Year2_Milton_Keynes Year2_Adoption_LAC_Adopted)</f>
        <v>20</v>
      </c>
      <c r="AF185" s="248">
        <f>IF(Year3_Milton_Keynes Year3_Adoption_LAC_Adopted="","",Year3_Milton_Keynes Year3_Adoption_LAC_Adopted)</f>
        <v>28</v>
      </c>
      <c r="AG185" s="248">
        <f>IF(Year4_Milton_Keynes Year4_Adoption_LAC_Adopted="","",Year4_Milton_Keynes Year4_Adoption_LAC_Adopted)</f>
        <v>19</v>
      </c>
      <c r="AH185" s="248">
        <f>IF(Year5_Milton_Keynes Year5_Adoption_LAC_Adopted="","",Year5_Milton_Keynes Year5_Adoption_LAC_Adopted)</f>
        <v>19</v>
      </c>
      <c r="AI185" s="248"/>
      <c r="AK185" s="692"/>
      <c r="AL185" s="692"/>
      <c r="AM185" s="122"/>
    </row>
    <row r="186" spans="1:47" s="61" customFormat="1" ht="13.5" customHeight="1">
      <c r="A186" s="306">
        <f>VLOOKUP(B186,ReportData!$AQ$4:$AR$25,2,FALSE)</f>
        <v>0</v>
      </c>
      <c r="B186" s="885" t="str">
        <f t="shared" si="64"/>
        <v>Oxfordshire</v>
      </c>
      <c r="C186" s="896"/>
      <c r="D186" s="922">
        <f t="shared" si="68"/>
        <v>0.10869565217391304</v>
      </c>
      <c r="E186" s="922">
        <f t="shared" si="69"/>
        <v>9.3525179856115109E-2</v>
      </c>
      <c r="F186" s="922">
        <f t="shared" si="70"/>
        <v>9.3645484949832769E-2</v>
      </c>
      <c r="G186" s="922">
        <f t="shared" si="71"/>
        <v>6.9164265129683003E-2</v>
      </c>
      <c r="H186" s="923">
        <f t="shared" si="65"/>
        <v>7.4626865671641784E-2</v>
      </c>
      <c r="I186" s="274"/>
      <c r="J186" s="68"/>
      <c r="K186" s="127"/>
      <c r="L186" s="127"/>
      <c r="M186" s="127"/>
      <c r="N186" s="127"/>
      <c r="O186" s="127"/>
      <c r="P186" s="127"/>
      <c r="Q186" s="127"/>
      <c r="R186" s="128"/>
      <c r="S186" s="120"/>
      <c r="T186" s="608"/>
      <c r="U186" s="103"/>
      <c r="V186" s="115"/>
      <c r="W186" s="265" t="str">
        <f t="shared" si="66"/>
        <v>Oxfordshire</v>
      </c>
      <c r="X186" s="248">
        <f>IF(Year1_Oxfordshire Year1_Adoption_ceased_LAC="","",Year1_Oxfordshire Year1_Adoption_ceased_LAC)</f>
        <v>322</v>
      </c>
      <c r="Y186" s="248">
        <f>IF(Year2_Oxfordshire Year2_Adoption_ceased_LAC="","",Year2_Oxfordshire Year2_Adoption_ceased_LAC)</f>
        <v>278</v>
      </c>
      <c r="Z186" s="248">
        <f>IF(Year3_Oxfordshire Year3_Adoption_ceased_LAC="","",Year3_Oxfordshire Year3_Adoption_ceased_LAC)</f>
        <v>299</v>
      </c>
      <c r="AA186" s="248">
        <f>IF(Year4_Oxfordshire Year4_Adoption_ceased_LAC="","",Year4_Oxfordshire Year4_Adoption_ceased_LAC)</f>
        <v>347</v>
      </c>
      <c r="AB186" s="248">
        <f>IF(Year5_Oxfordshire Year5_Adoption_ceased_LAC="","",Year5_Oxfordshire Year5_Adoption_ceased_LAC)</f>
        <v>335</v>
      </c>
      <c r="AC186" s="248" t="str">
        <f t="shared" si="67"/>
        <v>Oxfordshire</v>
      </c>
      <c r="AD186" s="307">
        <f>IF(Year1_Oxfordshire Year1_Adoption_LAC_Adopted="","",Year1_Oxfordshire Year1_Adoption_LAC_Adopted)</f>
        <v>35</v>
      </c>
      <c r="AE186" s="248">
        <f>IF(Year2_Oxfordshire Year2_Adoption_LAC_Adopted="","",Year2_Oxfordshire Year2_Adoption_LAC_Adopted)</f>
        <v>26</v>
      </c>
      <c r="AF186" s="248">
        <f>IF(Year3_Oxfordshire Year3_Adoption_LAC_Adopted="","",Year3_Oxfordshire Year3_Adoption_LAC_Adopted)</f>
        <v>28</v>
      </c>
      <c r="AG186" s="248">
        <f>IF(Year4_Oxfordshire Year4_Adoption_LAC_Adopted="","",Year4_Oxfordshire Year4_Adoption_LAC_Adopted)</f>
        <v>24</v>
      </c>
      <c r="AH186" s="248">
        <f>IF(Year5_Oxfordshire Year5_Adoption_LAC_Adopted="","",Year5_Oxfordshire Year5_Adoption_LAC_Adopted)</f>
        <v>25</v>
      </c>
      <c r="AI186" s="248"/>
      <c r="AK186" s="692"/>
      <c r="AL186" s="692"/>
      <c r="AM186" s="121"/>
    </row>
    <row r="187" spans="1:47" s="61" customFormat="1" ht="13.5" customHeight="1">
      <c r="A187" s="306">
        <f>VLOOKUP(B187,ReportData!$AQ$4:$AR$25,2,FALSE)</f>
        <v>0</v>
      </c>
      <c r="B187" s="885" t="str">
        <f t="shared" si="64"/>
        <v>Portsmouth</v>
      </c>
      <c r="C187" s="896"/>
      <c r="D187" s="922">
        <f t="shared" si="68"/>
        <v>0.11274509803921569</v>
      </c>
      <c r="E187" s="922">
        <f t="shared" si="69"/>
        <v>7.8703703703703706E-2</v>
      </c>
      <c r="F187" s="922">
        <f t="shared" si="70"/>
        <v>0.140625</v>
      </c>
      <c r="G187" s="922">
        <f t="shared" si="71"/>
        <v>8.2802547770700632E-2</v>
      </c>
      <c r="H187" s="923">
        <f t="shared" si="65"/>
        <v>0.11538461538461539</v>
      </c>
      <c r="I187" s="274"/>
      <c r="J187" s="68"/>
      <c r="K187" s="127"/>
      <c r="L187" s="127"/>
      <c r="M187" s="127"/>
      <c r="N187" s="127"/>
      <c r="O187" s="127"/>
      <c r="P187" s="127"/>
      <c r="Q187" s="127"/>
      <c r="R187" s="128"/>
      <c r="S187" s="120"/>
      <c r="T187" s="608"/>
      <c r="U187" s="103"/>
      <c r="V187" s="115"/>
      <c r="W187" s="265" t="str">
        <f t="shared" si="66"/>
        <v>Portsmouth</v>
      </c>
      <c r="X187" s="248">
        <f>IF(Year1_Portsmouth Year1_Adoption_ceased_LAC="","",Year1_Portsmouth Year1_Adoption_ceased_LAC)</f>
        <v>204</v>
      </c>
      <c r="Y187" s="248">
        <f>IF(Year2_Portsmouth Year2_Adoption_ceased_LAC="","",Year2_Portsmouth Year2_Adoption_ceased_LAC)</f>
        <v>216</v>
      </c>
      <c r="Z187" s="248">
        <f>IF(Year3_Portsmouth Year3_Adoption_ceased_LAC="","",Year3_Portsmouth Year3_Adoption_ceased_LAC)</f>
        <v>128</v>
      </c>
      <c r="AA187" s="248">
        <f>IF(Year4_Portsmouth Year4_Adoption_ceased_LAC="","",Year4_Portsmouth Year4_Adoption_ceased_LAC)</f>
        <v>157</v>
      </c>
      <c r="AB187" s="248">
        <f>IF(Year5_Portsmouth Year5_Adoption_ceased_LAC="","",Year5_Portsmouth Year5_Adoption_ceased_LAC)</f>
        <v>156</v>
      </c>
      <c r="AC187" s="248" t="str">
        <f t="shared" si="67"/>
        <v>Portsmouth</v>
      </c>
      <c r="AD187" s="307">
        <f>IF(Year1_Portsmouth Year1_Adoption_LAC_Adopted="","",Year1_Portsmouth Year1_Adoption_LAC_Adopted)</f>
        <v>23</v>
      </c>
      <c r="AE187" s="248">
        <f>IF(Year2_Portsmouth Year2_Adoption_LAC_Adopted="","",Year2_Portsmouth Year2_Adoption_LAC_Adopted)</f>
        <v>17</v>
      </c>
      <c r="AF187" s="248">
        <f>IF(Year3_Portsmouth Year3_Adoption_LAC_Adopted="","",Year3_Portsmouth Year3_Adoption_LAC_Adopted)</f>
        <v>18</v>
      </c>
      <c r="AG187" s="248">
        <f>IF(Year4_Portsmouth Year4_Adoption_LAC_Adopted="","",Year4_Portsmouth Year4_Adoption_LAC_Adopted)</f>
        <v>13</v>
      </c>
      <c r="AH187" s="248">
        <f>IF(Year5_Portsmouth Year5_Adoption_LAC_Adopted="","",Year5_Portsmouth Year5_Adoption_LAC_Adopted)</f>
        <v>18</v>
      </c>
      <c r="AI187" s="248"/>
      <c r="AK187" s="692"/>
      <c r="AL187" s="692"/>
      <c r="AM187" s="122"/>
    </row>
    <row r="188" spans="1:47" s="61" customFormat="1" ht="13.5" customHeight="1">
      <c r="A188" s="306">
        <f>VLOOKUP(B188,ReportData!$AQ$4:$AR$25,2,FALSE)</f>
        <v>0</v>
      </c>
      <c r="B188" s="885" t="str">
        <f t="shared" si="64"/>
        <v>Reading</v>
      </c>
      <c r="C188" s="896"/>
      <c r="D188" s="922">
        <f t="shared" si="68"/>
        <v>0.14678899082568808</v>
      </c>
      <c r="E188" s="922">
        <f t="shared" si="69"/>
        <v>0.10891089108910891</v>
      </c>
      <c r="F188" s="922">
        <f t="shared" si="70"/>
        <v>0.1206896551724138</v>
      </c>
      <c r="G188" s="922">
        <f t="shared" si="71"/>
        <v>0.17073170731707318</v>
      </c>
      <c r="H188" s="923" t="e">
        <f t="shared" si="65"/>
        <v>#N/A</v>
      </c>
      <c r="I188" s="274"/>
      <c r="J188" s="68"/>
      <c r="K188" s="127"/>
      <c r="L188" s="127"/>
      <c r="M188" s="127"/>
      <c r="N188" s="127"/>
      <c r="O188" s="127"/>
      <c r="P188" s="127"/>
      <c r="Q188" s="127"/>
      <c r="R188" s="128"/>
      <c r="S188" s="120"/>
      <c r="T188" s="608"/>
      <c r="U188" s="103"/>
      <c r="V188" s="115"/>
      <c r="W188" s="265" t="str">
        <f t="shared" si="66"/>
        <v>Reading</v>
      </c>
      <c r="X188" s="248">
        <f>IF(Year1_Reading Year1_Adoption_ceased_LAC="","",Year1_Reading Year1_Adoption_ceased_LAC)</f>
        <v>109</v>
      </c>
      <c r="Y188" s="248">
        <f>IF(Year2_Reading Year2_Adoption_ceased_LAC="","",Year2_Reading Year2_Adoption_ceased_LAC)</f>
        <v>101</v>
      </c>
      <c r="Z188" s="248">
        <f>IF(Year3_Reading Year3_Adoption_ceased_LAC="","",Year3_Reading Year3_Adoption_ceased_LAC)</f>
        <v>116</v>
      </c>
      <c r="AA188" s="248">
        <f>IF(Year4_Reading Year4_Adoption_ceased_LAC="","",Year4_Reading Year4_Adoption_ceased_LAC)</f>
        <v>82</v>
      </c>
      <c r="AB188" s="248">
        <f>IF(Year5_Reading Year5_Adoption_ceased_LAC="","",Year5_Reading Year5_Adoption_ceased_LAC)</f>
        <v>97</v>
      </c>
      <c r="AC188" s="248" t="str">
        <f t="shared" si="67"/>
        <v>Reading</v>
      </c>
      <c r="AD188" s="307">
        <f>IF(Year1_Reading Year1_Adoption_LAC_Adopted="","",Year1_Reading Year1_Adoption_LAC_Adopted)</f>
        <v>16</v>
      </c>
      <c r="AE188" s="248">
        <f>IF(Year2_Reading Year2_Adoption_LAC_Adopted="","",Year2_Reading Year2_Adoption_LAC_Adopted)</f>
        <v>11</v>
      </c>
      <c r="AF188" s="248">
        <f>IF(Year3_Reading Year3_Adoption_LAC_Adopted="","",Year3_Reading Year3_Adoption_LAC_Adopted)</f>
        <v>14</v>
      </c>
      <c r="AG188" s="248">
        <f>IF(Year4_Reading Year4_Adoption_LAC_Adopted="","",Year4_Reading Year4_Adoption_LAC_Adopted)</f>
        <v>14</v>
      </c>
      <c r="AH188" s="248" t="str">
        <f>IF(Year5_Reading Year5_Adoption_LAC_Adopted="","",Year5_Reading Year5_Adoption_LAC_Adopted)</f>
        <v>c</v>
      </c>
      <c r="AI188" s="248"/>
      <c r="AK188" s="692"/>
      <c r="AL188" s="692"/>
      <c r="AM188" s="121"/>
    </row>
    <row r="189" spans="1:47" s="61" customFormat="1" ht="13.5" customHeight="1">
      <c r="A189" s="306">
        <f>VLOOKUP(B189,ReportData!$AQ$4:$AR$25,2,FALSE)</f>
        <v>0</v>
      </c>
      <c r="B189" s="885" t="str">
        <f t="shared" si="64"/>
        <v>Slough</v>
      </c>
      <c r="C189" s="896"/>
      <c r="D189" s="922">
        <f t="shared" si="68"/>
        <v>0.12</v>
      </c>
      <c r="E189" s="922">
        <f t="shared" si="69"/>
        <v>9.7087378640776698E-2</v>
      </c>
      <c r="F189" s="922">
        <f t="shared" si="70"/>
        <v>8.0357142857142863E-2</v>
      </c>
      <c r="G189" s="922">
        <f t="shared" si="71"/>
        <v>0.16528925619834711</v>
      </c>
      <c r="H189" s="923" t="e">
        <f t="shared" si="65"/>
        <v>#N/A</v>
      </c>
      <c r="I189" s="274"/>
      <c r="J189" s="68"/>
      <c r="K189" s="127"/>
      <c r="L189" s="127"/>
      <c r="M189" s="127"/>
      <c r="N189" s="127"/>
      <c r="O189" s="127"/>
      <c r="P189" s="127"/>
      <c r="Q189" s="127"/>
      <c r="R189" s="128"/>
      <c r="S189" s="120"/>
      <c r="T189" s="608"/>
      <c r="U189" s="103"/>
      <c r="V189" s="115"/>
      <c r="W189" s="265" t="str">
        <f t="shared" si="66"/>
        <v>Slough</v>
      </c>
      <c r="X189" s="248">
        <f>IF(Year1_Slough Year1_Adoption_ceased_LAC="","",Year1_Slough Year1_Adoption_ceased_LAC)</f>
        <v>125</v>
      </c>
      <c r="Y189" s="248">
        <f>IF(Year2_Slough Year2_Adoption_ceased_LAC="","",Year2_Slough Year2_Adoption_ceased_LAC)</f>
        <v>103</v>
      </c>
      <c r="Z189" s="248">
        <f>IF(Year3_Slough Year3_Adoption_ceased_LAC="","",Year3_Slough Year3_Adoption_ceased_LAC)</f>
        <v>112</v>
      </c>
      <c r="AA189" s="248">
        <f>IF(Year4_Slough Year4_Adoption_ceased_LAC="","",Year4_Slough Year4_Adoption_ceased_LAC)</f>
        <v>121</v>
      </c>
      <c r="AB189" s="248">
        <f>IF(Year5_Slough Year5_Adoption_ceased_LAC="","",Year5_Slough Year5_Adoption_ceased_LAC)</f>
        <v>124</v>
      </c>
      <c r="AC189" s="248" t="str">
        <f t="shared" si="67"/>
        <v>Slough</v>
      </c>
      <c r="AD189" s="307">
        <f>IF(Year1_Slough Year1_Adoption_LAC_Adopted="","",Year1_Slough Year1_Adoption_LAC_Adopted)</f>
        <v>15</v>
      </c>
      <c r="AE189" s="248">
        <f>IF(Year2_Slough Year2_Adoption_LAC_Adopted="","",Year2_Slough Year2_Adoption_LAC_Adopted)</f>
        <v>10</v>
      </c>
      <c r="AF189" s="248">
        <f>IF(Year3_Slough Year3_Adoption_LAC_Adopted="","",Year3_Slough Year3_Adoption_LAC_Adopted)</f>
        <v>9</v>
      </c>
      <c r="AG189" s="248">
        <f>IF(Year4_Slough Year4_Adoption_LAC_Adopted="","",Year4_Slough Year4_Adoption_LAC_Adopted)</f>
        <v>20</v>
      </c>
      <c r="AH189" s="248" t="str">
        <f>IF(Year5_Slough Year5_Adoption_LAC_Adopted="","",Year5_Slough Year5_Adoption_LAC_Adopted)</f>
        <v>c</v>
      </c>
      <c r="AI189" s="248"/>
      <c r="AK189" s="692"/>
      <c r="AL189" s="692"/>
      <c r="AM189" s="122"/>
    </row>
    <row r="190" spans="1:47" s="61" customFormat="1" ht="13.5" customHeight="1">
      <c r="A190" s="306">
        <f>VLOOKUP(B190,ReportData!$AQ$4:$AR$25,2,FALSE)</f>
        <v>0</v>
      </c>
      <c r="B190" s="885" t="str">
        <f t="shared" si="64"/>
        <v>Southampton</v>
      </c>
      <c r="C190" s="896"/>
      <c r="D190" s="922">
        <f t="shared" si="68"/>
        <v>0.135678391959799</v>
      </c>
      <c r="E190" s="922">
        <f t="shared" si="69"/>
        <v>0.17486338797814208</v>
      </c>
      <c r="F190" s="922">
        <f t="shared" si="70"/>
        <v>9.580838323353294E-2</v>
      </c>
      <c r="G190" s="922">
        <f t="shared" si="71"/>
        <v>0.14678899082568808</v>
      </c>
      <c r="H190" s="923">
        <f t="shared" si="65"/>
        <v>0.14018691588785046</v>
      </c>
      <c r="I190" s="274"/>
      <c r="J190" s="68"/>
      <c r="K190" s="127"/>
      <c r="L190" s="127"/>
      <c r="M190" s="127"/>
      <c r="N190" s="127"/>
      <c r="O190" s="127"/>
      <c r="P190" s="127"/>
      <c r="Q190" s="127"/>
      <c r="R190" s="128"/>
      <c r="S190" s="120"/>
      <c r="T190" s="608"/>
      <c r="U190" s="103"/>
      <c r="V190" s="115"/>
      <c r="W190" s="265" t="str">
        <f t="shared" si="66"/>
        <v>Southampton</v>
      </c>
      <c r="X190" s="248">
        <f>IF(Year1_Southampton Year1_Adoption_ceased_LAC="","",Year1_Southampton Year1_Adoption_ceased_LAC)</f>
        <v>199</v>
      </c>
      <c r="Y190" s="248">
        <f>IF(Year2_Southampton Year2_Adoption_ceased_LAC="","",Year2_Southampton Year2_Adoption_ceased_LAC)</f>
        <v>183</v>
      </c>
      <c r="Z190" s="248">
        <f>IF(Year3_Southampton Year3_Adoption_ceased_LAC="","",Year3_Southampton Year3_Adoption_ceased_LAC)</f>
        <v>167</v>
      </c>
      <c r="AA190" s="248">
        <f>IF(Year4_Southampton Year4_Adoption_ceased_LAC="","",Year4_Southampton Year4_Adoption_ceased_LAC)</f>
        <v>218</v>
      </c>
      <c r="AB190" s="248">
        <f>IF(Year5_Southampton Year5_Adoption_ceased_LAC="","",Year5_Southampton Year5_Adoption_ceased_LAC)</f>
        <v>214</v>
      </c>
      <c r="AC190" s="248" t="str">
        <f t="shared" si="67"/>
        <v>Southampton</v>
      </c>
      <c r="AD190" s="307">
        <f>IF(Year1_Southampton Year1_Adoption_LAC_Adopted="","",Year1_Southampton Year1_Adoption_LAC_Adopted)</f>
        <v>27</v>
      </c>
      <c r="AE190" s="248">
        <f>IF(Year2_Southampton Year2_Adoption_LAC_Adopted="","",Year2_Southampton Year2_Adoption_LAC_Adopted)</f>
        <v>32</v>
      </c>
      <c r="AF190" s="248">
        <f>IF(Year3_Southampton Year3_Adoption_LAC_Adopted="","",Year3_Southampton Year3_Adoption_LAC_Adopted)</f>
        <v>16</v>
      </c>
      <c r="AG190" s="248">
        <f>IF(Year4_Southampton Year4_Adoption_LAC_Adopted="","",Year4_Southampton Year4_Adoption_LAC_Adopted)</f>
        <v>32</v>
      </c>
      <c r="AH190" s="248">
        <f>IF(Year5_Southampton Year5_Adoption_LAC_Adopted="","",Year5_Southampton Year5_Adoption_LAC_Adopted)</f>
        <v>30</v>
      </c>
      <c r="AI190" s="248"/>
      <c r="AK190" s="692"/>
      <c r="AL190" s="692"/>
      <c r="AM190" s="122"/>
    </row>
    <row r="191" spans="1:47" s="61" customFormat="1" ht="13.5" customHeight="1">
      <c r="A191" s="306">
        <f>VLOOKUP(B191,ReportData!$AQ$4:$AR$25,2,FALSE)</f>
        <v>0</v>
      </c>
      <c r="B191" s="885" t="str">
        <f t="shared" si="64"/>
        <v>Surrey</v>
      </c>
      <c r="C191" s="896"/>
      <c r="D191" s="922">
        <f t="shared" si="68"/>
        <v>7.6712328767123292E-2</v>
      </c>
      <c r="E191" s="922">
        <f t="shared" si="69"/>
        <v>7.3349633251833746E-2</v>
      </c>
      <c r="F191" s="922">
        <f t="shared" si="70"/>
        <v>5.7500000000000002E-2</v>
      </c>
      <c r="G191" s="922">
        <f t="shared" si="71"/>
        <v>7.3634204275534437E-2</v>
      </c>
      <c r="H191" s="923">
        <f t="shared" si="65"/>
        <v>6.205250596658711E-2</v>
      </c>
      <c r="I191" s="274"/>
      <c r="J191" s="68"/>
      <c r="K191" s="127"/>
      <c r="L191" s="127"/>
      <c r="M191" s="127"/>
      <c r="N191" s="127"/>
      <c r="O191" s="127"/>
      <c r="P191" s="127"/>
      <c r="Q191" s="127"/>
      <c r="R191" s="128"/>
      <c r="S191" s="120"/>
      <c r="T191" s="608"/>
      <c r="U191" s="103"/>
      <c r="V191" s="115"/>
      <c r="W191" s="265" t="str">
        <f t="shared" si="66"/>
        <v>Surrey</v>
      </c>
      <c r="X191" s="248">
        <f>IF(Year1_Surrey Year1_Adoption_ceased_LAC="","",Year1_Surrey Year1_Adoption_ceased_LAC)</f>
        <v>365</v>
      </c>
      <c r="Y191" s="248">
        <f>IF(Year2_Surrey Year2_Adoption_ceased_LAC="","",Year2_Surrey Year2_Adoption_ceased_LAC)</f>
        <v>409</v>
      </c>
      <c r="Z191" s="248">
        <f>IF(Year3_Surrey Year3_Adoption_ceased_LAC="","",Year3_Surrey Year3_Adoption_ceased_LAC)</f>
        <v>400</v>
      </c>
      <c r="AA191" s="248">
        <f>IF(Year4_Surrey Year4_Adoption_ceased_LAC="","",Year4_Surrey Year4_Adoption_ceased_LAC)</f>
        <v>421</v>
      </c>
      <c r="AB191" s="248">
        <f>IF(Year5_Surrey Year5_Adoption_ceased_LAC="","",Year5_Surrey Year5_Adoption_ceased_LAC)</f>
        <v>419</v>
      </c>
      <c r="AC191" s="248" t="str">
        <f t="shared" si="67"/>
        <v>Surrey</v>
      </c>
      <c r="AD191" s="307">
        <f>IF(Year1_Surrey Year1_Adoption_LAC_Adopted="","",Year1_Surrey Year1_Adoption_LAC_Adopted)</f>
        <v>28</v>
      </c>
      <c r="AE191" s="248">
        <f>IF(Year2_Surrey Year2_Adoption_LAC_Adopted="","",Year2_Surrey Year2_Adoption_LAC_Adopted)</f>
        <v>30</v>
      </c>
      <c r="AF191" s="248">
        <f>IF(Year3_Surrey Year3_Adoption_LAC_Adopted="","",Year3_Surrey Year3_Adoption_LAC_Adopted)</f>
        <v>23</v>
      </c>
      <c r="AG191" s="248">
        <f>IF(Year4_Surrey Year4_Adoption_LAC_Adopted="","",Year4_Surrey Year4_Adoption_LAC_Adopted)</f>
        <v>31</v>
      </c>
      <c r="AH191" s="248">
        <f>IF(Year5_Surrey Year5_Adoption_LAC_Adopted="","",Year5_Surrey Year5_Adoption_LAC_Adopted)</f>
        <v>26</v>
      </c>
      <c r="AI191" s="248"/>
      <c r="AK191" s="692"/>
      <c r="AL191" s="692"/>
      <c r="AM191" s="121"/>
    </row>
    <row r="192" spans="1:47" s="61" customFormat="1" ht="13.5" customHeight="1">
      <c r="A192" s="306">
        <f>VLOOKUP(B192,ReportData!$AQ$4:$AR$25,2,FALSE)</f>
        <v>0</v>
      </c>
      <c r="B192" s="885" t="str">
        <f t="shared" ref="B192:B197" si="72">B26</f>
        <v>West Berkshire</v>
      </c>
      <c r="C192" s="896"/>
      <c r="D192" s="922">
        <f t="shared" si="68"/>
        <v>8.1081081081081086E-2</v>
      </c>
      <c r="E192" s="922">
        <f t="shared" si="69"/>
        <v>0.10344827586206896</v>
      </c>
      <c r="F192" s="922" t="e">
        <f t="shared" si="70"/>
        <v>#N/A</v>
      </c>
      <c r="G192" s="922" t="e">
        <f t="shared" si="71"/>
        <v>#N/A</v>
      </c>
      <c r="H192" s="923" t="e">
        <f t="shared" si="65"/>
        <v>#N/A</v>
      </c>
      <c r="I192" s="274"/>
      <c r="J192" s="68"/>
      <c r="K192" s="127"/>
      <c r="L192" s="127"/>
      <c r="M192" s="127"/>
      <c r="N192" s="127"/>
      <c r="O192" s="127"/>
      <c r="P192" s="127"/>
      <c r="Q192" s="127"/>
      <c r="R192" s="128"/>
      <c r="S192" s="120"/>
      <c r="T192" s="608"/>
      <c r="U192" s="103"/>
      <c r="V192" s="115"/>
      <c r="W192" s="265" t="str">
        <f t="shared" si="66"/>
        <v>West Berkshire</v>
      </c>
      <c r="X192" s="248">
        <f>IF(Year1_West_Berkshire Year1_Adoption_ceased_LAC="","",Year1_West_Berkshire Year1_Adoption_ceased_LAC)</f>
        <v>74</v>
      </c>
      <c r="Y192" s="248">
        <f>IF(Year2_West_Berkshire Year2_Adoption_ceased_LAC="","",Year2_West_Berkshire Year2_Adoption_ceased_LAC)</f>
        <v>58</v>
      </c>
      <c r="Z192" s="248">
        <f>IF(Year3_West_Berkshire Year3_Adoption_ceased_LAC="","",Year3_West_Berkshire Year3_Adoption_ceased_LAC)</f>
        <v>56</v>
      </c>
      <c r="AA192" s="248">
        <f>IF(Year4_West_Berkshire Year4_Adoption_ceased_LAC="","",Year4_West_Berkshire Year4_Adoption_ceased_LAC)</f>
        <v>70</v>
      </c>
      <c r="AB192" s="248">
        <f>IF(Year5_West_Berkshire Year5_Adoption_ceased_LAC="","",Year5_West_Berkshire Year5_Adoption_ceased_LAC)</f>
        <v>81</v>
      </c>
      <c r="AC192" s="248" t="str">
        <f t="shared" si="67"/>
        <v>West Berkshire</v>
      </c>
      <c r="AD192" s="307">
        <f>IF(Year1_West_Berkshire Year1_Adoption_LAC_Adopted="","",Year1_West_Berkshire Year1_Adoption_LAC_Adopted)</f>
        <v>6</v>
      </c>
      <c r="AE192" s="248">
        <f>IF(Year2_West_Berkshire Year2_Adoption_LAC_Adopted="","",Year2_West_Berkshire Year2_Adoption_LAC_Adopted)</f>
        <v>6</v>
      </c>
      <c r="AF192" s="248" t="str">
        <f>IF(Year3_West_Berkshire Year3_Adoption_LAC_Adopted="","",Year3_West_Berkshire Year3_Adoption_LAC_Adopted)</f>
        <v>c</v>
      </c>
      <c r="AG192" s="248" t="str">
        <f>IF(Year4_West_Berkshire Year4_Adoption_LAC_Adopted="","",Year4_West_Berkshire Year4_Adoption_LAC_Adopted)</f>
        <v>c</v>
      </c>
      <c r="AH192" s="307" t="str">
        <f>IF(Year5_West_Berkshire Year5_Adoption_LAC_Adopted="","",Year5_West_Berkshire Year5_Adoption_LAC_Adopted)</f>
        <v>c</v>
      </c>
      <c r="AI192" s="248"/>
      <c r="AK192" s="691"/>
      <c r="AL192" s="691"/>
      <c r="AM192" s="122"/>
    </row>
    <row r="193" spans="1:61" s="61" customFormat="1" ht="13.5" customHeight="1">
      <c r="A193" s="306">
        <f>VLOOKUP(B193,ReportData!$AQ$4:$AR$25,2,FALSE)</f>
        <v>0</v>
      </c>
      <c r="B193" s="885" t="str">
        <f t="shared" si="72"/>
        <v>West Sussex</v>
      </c>
      <c r="C193" s="896"/>
      <c r="D193" s="922">
        <f t="shared" si="68"/>
        <v>0.10985915492957747</v>
      </c>
      <c r="E193" s="922">
        <f t="shared" si="69"/>
        <v>9.3264248704663211E-2</v>
      </c>
      <c r="F193" s="922">
        <f t="shared" si="70"/>
        <v>7.8774617067833702E-2</v>
      </c>
      <c r="G193" s="922">
        <f t="shared" si="71"/>
        <v>7.6923076923076927E-2</v>
      </c>
      <c r="H193" s="923">
        <f t="shared" si="65"/>
        <v>7.9800498753117205E-2</v>
      </c>
      <c r="I193" s="274"/>
      <c r="J193" s="68"/>
      <c r="K193" s="127"/>
      <c r="L193" s="127"/>
      <c r="M193" s="127"/>
      <c r="N193" s="127"/>
      <c r="O193" s="127"/>
      <c r="P193" s="127"/>
      <c r="Q193" s="127"/>
      <c r="R193" s="128"/>
      <c r="S193" s="120"/>
      <c r="T193" s="608"/>
      <c r="U193" s="103"/>
      <c r="V193" s="115"/>
      <c r="W193" s="265" t="str">
        <f t="shared" si="66"/>
        <v>West Sussex</v>
      </c>
      <c r="X193" s="248">
        <f>IF(Year1_West_Sussex Year1_Adoption_ceased_LAC="","",Year1_West_Sussex Year1_Adoption_ceased_LAC)</f>
        <v>355</v>
      </c>
      <c r="Y193" s="248">
        <f>IF(Year2_West_Sussex Year2_Adoption_ceased_LAC="","",Year2_West_Sussex Year2_Adoption_ceased_LAC)</f>
        <v>386</v>
      </c>
      <c r="Z193" s="248">
        <f>IF(Year3_West_Sussex Year3_Adoption_ceased_LAC="","",Year3_West_Sussex Year3_Adoption_ceased_LAC)</f>
        <v>457</v>
      </c>
      <c r="AA193" s="248">
        <f>IF(Year4_West_Sussex Year4_Adoption_ceased_LAC="","",Year4_West_Sussex Year4_Adoption_ceased_LAC)</f>
        <v>377</v>
      </c>
      <c r="AB193" s="248">
        <f>IF(Year5_West_Sussex Year5_Adoption_ceased_LAC="","",Year5_West_Sussex Year5_Adoption_ceased_LAC)</f>
        <v>401</v>
      </c>
      <c r="AC193" s="248" t="str">
        <f t="shared" si="67"/>
        <v>West Sussex</v>
      </c>
      <c r="AD193" s="307">
        <f>IF(Year1_West_Sussex Year1_Adoption_LAC_Adopted="","",Year1_West_Sussex Year1_Adoption_LAC_Adopted)</f>
        <v>39</v>
      </c>
      <c r="AE193" s="248">
        <f>IF(Year2_West_Sussex Year2_Adoption_LAC_Adopted="","",Year2_West_Sussex Year2_Adoption_LAC_Adopted)</f>
        <v>36</v>
      </c>
      <c r="AF193" s="248">
        <f>IF(Year3_West_Sussex Year3_Adoption_LAC_Adopted="","",Year3_West_Sussex Year3_Adoption_LAC_Adopted)</f>
        <v>36</v>
      </c>
      <c r="AG193" s="248">
        <f>IF(Year4_West_Sussex Year4_Adoption_LAC_Adopted="","",Year4_West_Sussex Year4_Adoption_LAC_Adopted)</f>
        <v>29</v>
      </c>
      <c r="AH193" s="307">
        <f>IF(Year5_West_Sussex Year5_Adoption_LAC_Adopted="","",Year5_West_Sussex Year5_Adoption_LAC_Adopted)</f>
        <v>32</v>
      </c>
      <c r="AI193" s="248"/>
      <c r="AK193" s="691"/>
      <c r="AL193" s="691"/>
      <c r="AM193" s="121"/>
    </row>
    <row r="194" spans="1:61" s="61" customFormat="1" ht="13.5" customHeight="1">
      <c r="A194" s="306">
        <f>VLOOKUP(B194,ReportData!$AQ$4:$AR$25,2,FALSE)</f>
        <v>0</v>
      </c>
      <c r="B194" s="885" t="str">
        <f t="shared" si="72"/>
        <v>Windsor &amp; Maidenhead</v>
      </c>
      <c r="C194" s="896"/>
      <c r="D194" s="922">
        <f t="shared" si="68"/>
        <v>0</v>
      </c>
      <c r="E194" s="922" t="e">
        <f t="shared" si="69"/>
        <v>#N/A</v>
      </c>
      <c r="F194" s="922" t="e">
        <f t="shared" si="70"/>
        <v>#N/A</v>
      </c>
      <c r="G194" s="922">
        <f t="shared" si="71"/>
        <v>8.2191780821917804E-2</v>
      </c>
      <c r="H194" s="923" t="e">
        <f t="shared" si="65"/>
        <v>#N/A</v>
      </c>
      <c r="I194" s="274"/>
      <c r="J194" s="68"/>
      <c r="K194" s="127"/>
      <c r="L194" s="127"/>
      <c r="M194" s="127"/>
      <c r="N194" s="127"/>
      <c r="O194" s="127"/>
      <c r="P194" s="127"/>
      <c r="Q194" s="127"/>
      <c r="R194" s="128"/>
      <c r="S194" s="120"/>
      <c r="T194" s="608"/>
      <c r="U194" s="103"/>
      <c r="V194" s="115"/>
      <c r="W194" s="265" t="str">
        <f t="shared" si="66"/>
        <v>Windsor &amp; Maidenhead</v>
      </c>
      <c r="X194" s="248">
        <f>IF(Year1_Windsor_and_Maidenhead Year1_Adoption_ceased_LAC="","",Year1_Windsor_and_Maidenhead Year1_Adoption_ceased_LAC)</f>
        <v>62</v>
      </c>
      <c r="Y194" s="248">
        <f>IF(Year2_Windsor_and_Maidenhead Year2_Adoption_ceased_LAC="","",Year2_Windsor_and_Maidenhead Year2_Adoption_ceased_LAC)</f>
        <v>39</v>
      </c>
      <c r="Z194" s="248">
        <f>IF(Year3_Windsor_and_Maidenhead Year3_Adoption_ceased_LAC="","",Year3_Windsor_and_Maidenhead Year3_Adoption_ceased_LAC)</f>
        <v>49</v>
      </c>
      <c r="AA194" s="248">
        <f>IF(Year4_Windsor_and_Maidenhead Year4_Adoption_ceased_LAC="","",Year4_Windsor_and_Maidenhead Year4_Adoption_ceased_LAC)</f>
        <v>73</v>
      </c>
      <c r="AB194" s="248">
        <f>IF(Year5_Windsor_and_Maidenhead Year5_Adoption_ceased_LAC="","",Year5_Windsor_and_Maidenhead Year5_Adoption_ceased_LAC)</f>
        <v>75</v>
      </c>
      <c r="AC194" s="248" t="str">
        <f t="shared" si="67"/>
        <v>Windsor &amp; Maidenhead</v>
      </c>
      <c r="AD194" s="307">
        <f>IF(Year1_Windsor_and_Maidenhead Year1_Adoption_LAC_Adopted="","",Year1_Windsor_and_Maidenhead Year1_Adoption_LAC_Adopted)</f>
        <v>0</v>
      </c>
      <c r="AE194" s="248" t="str">
        <f>IF(Year2_Windsor_and_Maidenhead Year2_Adoption_LAC_Adopted="","",Year2_Windsor_and_Maidenhead Year2_Adoption_LAC_Adopted)</f>
        <v>x</v>
      </c>
      <c r="AF194" s="248" t="str">
        <f>IF(Year3_Windsor_and_Maidenhead Year3_Adoption_LAC_Adopted="","",Year3_Windsor_and_Maidenhead Year3_Adoption_LAC_Adopted)</f>
        <v>c</v>
      </c>
      <c r="AG194" s="248">
        <f>IF(Year4_Windsor_and_Maidenhead Year4_Adoption_LAC_Adopted="","",Year4_Windsor_and_Maidenhead Year4_Adoption_LAC_Adopted)</f>
        <v>6</v>
      </c>
      <c r="AH194" s="307" t="str">
        <f>IF(Year5_Windsor_and_Maidenhead Year5_Adoption_LAC_Adopted="","",Year5_Windsor_and_Maidenhead Year5_Adoption_LAC_Adopted)</f>
        <v>c</v>
      </c>
      <c r="AI194" s="248"/>
      <c r="AK194" s="691"/>
      <c r="AL194" s="691"/>
      <c r="AM194" s="122"/>
    </row>
    <row r="195" spans="1:61" s="61" customFormat="1" ht="13.5" customHeight="1">
      <c r="A195" s="306">
        <f>VLOOKUP(B195,ReportData!$AQ$4:$AR$25,2,FALSE)</f>
        <v>0</v>
      </c>
      <c r="B195" s="885" t="str">
        <f t="shared" si="72"/>
        <v>Wokingham</v>
      </c>
      <c r="C195" s="896"/>
      <c r="D195" s="922">
        <f t="shared" si="68"/>
        <v>0.10909090909090909</v>
      </c>
      <c r="E195" s="922" t="e">
        <f t="shared" si="69"/>
        <v>#N/A</v>
      </c>
      <c r="F195" s="922" t="e">
        <f t="shared" si="70"/>
        <v>#N/A</v>
      </c>
      <c r="G195" s="922" t="e">
        <f t="shared" si="71"/>
        <v>#N/A</v>
      </c>
      <c r="H195" s="923" t="e">
        <f t="shared" si="65"/>
        <v>#N/A</v>
      </c>
      <c r="I195" s="274"/>
      <c r="J195" s="68"/>
      <c r="K195" s="127"/>
      <c r="L195" s="127"/>
      <c r="M195" s="127"/>
      <c r="N195" s="127"/>
      <c r="O195" s="127"/>
      <c r="P195" s="127"/>
      <c r="Q195" s="127"/>
      <c r="R195" s="128"/>
      <c r="S195" s="120"/>
      <c r="T195" s="608"/>
      <c r="U195" s="103"/>
      <c r="V195" s="115"/>
      <c r="W195" s="265" t="str">
        <f t="shared" si="66"/>
        <v>Wokingham</v>
      </c>
      <c r="X195" s="248">
        <f>IF(Year1_Wokingham Year1_Adoption_ceased_LAC="","",Year1_Wokingham Year1_Adoption_ceased_LAC)</f>
        <v>55</v>
      </c>
      <c r="Y195" s="248">
        <f>IF(Year2_Wokingham Year2_Adoption_ceased_LAC="","",Year2_Wokingham Year2_Adoption_ceased_LAC)</f>
        <v>49</v>
      </c>
      <c r="Z195" s="248">
        <f>IF(Year3_Wokingham Year3_Adoption_ceased_LAC="","",Year3_Wokingham Year3_Adoption_ceased_LAC)</f>
        <v>58</v>
      </c>
      <c r="AA195" s="248">
        <f>IF(Year4_Wokingham Year4_Adoption_ceased_LAC="","",Year4_Wokingham Year4_Adoption_ceased_LAC)</f>
        <v>67</v>
      </c>
      <c r="AB195" s="248">
        <f>IF(Year5_Wokingham Year5_Adoption_ceased_LAC="","",Year5_Wokingham Year5_Adoption_ceased_LAC)</f>
        <v>56</v>
      </c>
      <c r="AC195" s="248" t="str">
        <f t="shared" si="67"/>
        <v>Wokingham</v>
      </c>
      <c r="AD195" s="307">
        <f>IF(Year1_Wokingham Year1_Adoption_LAC_Adopted="","",Year1_Wokingham Year1_Adoption_LAC_Adopted)</f>
        <v>6</v>
      </c>
      <c r="AE195" s="248" t="str">
        <f>IF(Year2_Wokingham Year2_Adoption_LAC_Adopted="","",Year2_Wokingham Year2_Adoption_LAC_Adopted)</f>
        <v>x</v>
      </c>
      <c r="AF195" s="248" t="str">
        <f>IF(Year3_Wokingham Year3_Adoption_LAC_Adopted="","",Year3_Wokingham Year3_Adoption_LAC_Adopted)</f>
        <v>c</v>
      </c>
      <c r="AG195" s="248" t="str">
        <f>IF(Year4_Wokingham Year4_Adoption_LAC_Adopted="","",Year4_Wokingham Year4_Adoption_LAC_Adopted)</f>
        <v>c</v>
      </c>
      <c r="AH195" s="307" t="str">
        <f>IF(Year5_Wokingham Year5_Adoption_LAC_Adopted="","",Year5_Wokingham Year5_Adoption_LAC_Adopted)</f>
        <v>c</v>
      </c>
      <c r="AI195" s="248"/>
      <c r="AK195" s="691"/>
      <c r="AL195" s="691"/>
      <c r="AM195" s="121"/>
    </row>
    <row r="196" spans="1:61" s="61" customFormat="1" ht="13.5" customHeight="1">
      <c r="A196" s="217"/>
      <c r="B196" s="886" t="str">
        <f t="shared" si="72"/>
        <v>South East</v>
      </c>
      <c r="C196" s="896"/>
      <c r="D196" s="924">
        <f t="shared" si="68"/>
        <v>0.11032863849765258</v>
      </c>
      <c r="E196" s="924">
        <f t="shared" si="69"/>
        <v>8.3146067415730343E-2</v>
      </c>
      <c r="F196" s="924">
        <f t="shared" si="70"/>
        <v>7.4844074844074848E-2</v>
      </c>
      <c r="G196" s="924">
        <f t="shared" si="71"/>
        <v>7.2796934865900387E-2</v>
      </c>
      <c r="H196" s="925">
        <f t="shared" si="65"/>
        <v>6.0747663551401869E-2</v>
      </c>
      <c r="I196" s="274"/>
      <c r="J196" s="68"/>
      <c r="K196" s="129"/>
      <c r="L196" s="129"/>
      <c r="M196" s="129"/>
      <c r="N196" s="129"/>
      <c r="O196" s="129"/>
      <c r="P196" s="129"/>
      <c r="Q196" s="129"/>
      <c r="R196" s="130"/>
      <c r="S196" s="120"/>
      <c r="T196" s="608"/>
      <c r="U196" s="103"/>
      <c r="V196" s="115"/>
      <c r="W196" s="265" t="str">
        <f t="shared" si="66"/>
        <v>South East</v>
      </c>
      <c r="X196" s="388">
        <f>IF(Year1_South_East Year1_Adoption_ceased_LAC="","",Year1_South_East Year1_Adoption_ceased_LAC)</f>
        <v>4260</v>
      </c>
      <c r="Y196" s="244">
        <f>IF(Year2_South_East Year2_Adoption_ceased_LAC="","",Year2_South_East Year2_Adoption_ceased_LAC)</f>
        <v>4450</v>
      </c>
      <c r="Z196" s="244">
        <f>IF(Year3_South_East Year3_Adoption_ceased_LAC="","",Year3_South_East Year3_Adoption_ceased_LAC)</f>
        <v>4810</v>
      </c>
      <c r="AA196" s="248">
        <f>IF(Year4_South_East Year4_Adoption_ceased_LAC="","",Year4_South_East Year4_Adoption_ceased_LAC)</f>
        <v>5220</v>
      </c>
      <c r="AB196" s="248">
        <f>IF(Year5_South_East Year5_Adoption_ceased_LAC="","",Year5_South_East Year5_Adoption_ceased_LAC)</f>
        <v>6420</v>
      </c>
      <c r="AC196" s="248" t="str">
        <f t="shared" si="67"/>
        <v>South East</v>
      </c>
      <c r="AD196" s="248">
        <f>IF(Year1_South_East Year1_Adoption_LAC_Adopted="","",Year1_South_East Year1_Adoption_LAC_Adopted)</f>
        <v>470</v>
      </c>
      <c r="AE196" s="248">
        <f>IF(Year2_South_East Year2_Adoption_LAC_Adopted="","",Year2_South_East Year2_Adoption_LAC_Adopted)</f>
        <v>370</v>
      </c>
      <c r="AF196" s="248">
        <f>IF(Year3_South_East Year3_Adoption_LAC_Adopted="","",Year3_South_East Year3_Adoption_LAC_Adopted)</f>
        <v>360</v>
      </c>
      <c r="AG196" s="248">
        <f>IF(Year4_South_East Year4_Adoption_LAC_Adopted="","",Year4_South_East Year4_Adoption_LAC_Adopted)</f>
        <v>380</v>
      </c>
      <c r="AH196" s="307">
        <f>IF(Year5_South_East Year5_Adoption_LAC_Adopted="","",Year5_South_East Year5_Adoption_LAC_Adopted)</f>
        <v>390</v>
      </c>
      <c r="AI196" s="248"/>
      <c r="AK196" s="691"/>
      <c r="AL196" s="691"/>
      <c r="AM196" s="122"/>
    </row>
    <row r="197" spans="1:61" s="61" customFormat="1" ht="13.5" customHeight="1">
      <c r="A197" s="217"/>
      <c r="B197" s="887" t="str">
        <f t="shared" si="72"/>
        <v>England</v>
      </c>
      <c r="C197" s="896"/>
      <c r="D197" s="926">
        <f t="shared" si="68"/>
        <v>0.1165934437309902</v>
      </c>
      <c r="E197" s="926">
        <f t="shared" si="69"/>
        <v>0.10246340592645484</v>
      </c>
      <c r="F197" s="926">
        <f t="shared" si="70"/>
        <v>9.8104423012969733E-2</v>
      </c>
      <c r="G197" s="926">
        <f t="shared" si="71"/>
        <v>9.3434343434343439E-2</v>
      </c>
      <c r="H197" s="927">
        <f>IF(AND(ISNUMBER(AJ197),ISNUMBER(AB197)),AJ197/AB197,NA())</f>
        <v>8.8637715645449131E-2</v>
      </c>
      <c r="I197" s="587"/>
      <c r="J197" s="68"/>
      <c r="K197" s="129"/>
      <c r="L197" s="129"/>
      <c r="M197" s="129"/>
      <c r="N197" s="129"/>
      <c r="O197" s="129"/>
      <c r="P197" s="129"/>
      <c r="Q197" s="129"/>
      <c r="R197" s="130"/>
      <c r="S197" s="120"/>
      <c r="T197" s="608"/>
      <c r="U197" s="103"/>
      <c r="V197" s="115"/>
      <c r="W197" s="265" t="str">
        <f t="shared" si="66"/>
        <v>England</v>
      </c>
      <c r="X197" s="388">
        <f>IF(Year1_England Year1_Adoption_ceased_LAC="","",Year1_England Year1_Adoption_ceased_LAC)</f>
        <v>29590</v>
      </c>
      <c r="Y197" s="244">
        <f>IF(Year2_England Year2_Adoption_ceased_LAC="","",Year2_England Year2_Adoption_ceased_LAC)</f>
        <v>28010</v>
      </c>
      <c r="Z197" s="244">
        <f>IF(Year3_England Year3_Adoption_ceased_LAC="","",Year3_England Year3_Adoption_ceased_LAC)</f>
        <v>30070</v>
      </c>
      <c r="AA197" s="248">
        <f>IF(Year4_England Year4_Adoption_ceased_LAC="","",Year4_England Year4_Adoption_ceased_LAC)</f>
        <v>31680</v>
      </c>
      <c r="AB197" s="248">
        <f>IF(Year5_England Year5_Adoption_ceased_LAC="","",Year5_England Year5_Adoption_ceased_LAC)</f>
        <v>33620</v>
      </c>
      <c r="AC197" s="248" t="str">
        <f t="shared" si="67"/>
        <v>England</v>
      </c>
      <c r="AD197" s="248">
        <f>IF(Year1_England Year1_Adoption_LAC_Adopted="","",Year1_England Year1_Adoption_LAC_Adopted)</f>
        <v>3450</v>
      </c>
      <c r="AE197" s="248">
        <f>IF(Year2_England Year2_Adoption_LAC_Adopted="","",Year2_England Year2_Adoption_LAC_Adopted)</f>
        <v>2870</v>
      </c>
      <c r="AF197" s="248">
        <f>IF(Year3_England Year3_Adoption_LAC_Adopted="","",Year3_England Year3_Adoption_LAC_Adopted)</f>
        <v>2950</v>
      </c>
      <c r="AG197" s="248">
        <f>IF(Year4_England Year4_Adoption_LAC_Adopted="","",Year4_England Year4_Adoption_LAC_Adopted)</f>
        <v>2960</v>
      </c>
      <c r="AH197" s="248"/>
      <c r="AI197" s="248"/>
      <c r="AJ197" s="307">
        <f>IF(Year5_England Year5_Adoption_LAC_Adopted="","",Year5_England Year5_Adoption_LAC_Adopted)</f>
        <v>2980</v>
      </c>
      <c r="AK197" s="691"/>
      <c r="AL197" s="691"/>
      <c r="AM197" s="121"/>
      <c r="AN197" s="56"/>
      <c r="AO197" s="56"/>
      <c r="AP197" s="56"/>
      <c r="AQ197" s="56"/>
      <c r="AR197" s="56"/>
      <c r="AS197" s="56"/>
      <c r="AT197" s="56"/>
      <c r="AU197" s="56"/>
      <c r="AV197" s="56"/>
      <c r="AW197" s="56"/>
      <c r="AX197" s="56"/>
      <c r="AY197" s="56"/>
    </row>
    <row r="198" spans="1:61" s="61" customFormat="1" ht="4.5" customHeight="1">
      <c r="A198" s="217"/>
      <c r="B198" s="68"/>
      <c r="C198" s="68"/>
      <c r="D198" s="68"/>
      <c r="E198" s="68"/>
      <c r="F198" s="68"/>
      <c r="G198" s="68"/>
      <c r="H198" s="68"/>
      <c r="I198" s="68"/>
      <c r="J198" s="68"/>
      <c r="K198" s="129"/>
      <c r="L198" s="129"/>
      <c r="M198" s="129"/>
      <c r="N198" s="129"/>
      <c r="O198" s="129"/>
      <c r="P198" s="129"/>
      <c r="Q198" s="129"/>
      <c r="R198" s="130"/>
      <c r="S198" s="120"/>
      <c r="T198" s="608"/>
      <c r="U198" s="103"/>
      <c r="V198" s="115"/>
      <c r="W198" s="56"/>
      <c r="X198" s="56"/>
      <c r="Y198" s="146"/>
      <c r="Z198" s="146"/>
      <c r="AA198" s="147"/>
      <c r="AB198" s="147"/>
      <c r="AJ198" s="52"/>
      <c r="AK198" s="52"/>
      <c r="AL198" s="52"/>
      <c r="AM198" s="121"/>
      <c r="AN198" s="56"/>
      <c r="AO198" s="56"/>
      <c r="AP198" s="56"/>
      <c r="AQ198" s="56"/>
      <c r="AR198" s="56"/>
      <c r="AS198" s="56"/>
      <c r="AT198" s="56"/>
      <c r="AU198" s="56"/>
      <c r="AV198" s="56"/>
      <c r="AW198" s="56"/>
      <c r="AX198" s="56"/>
      <c r="AY198" s="56"/>
    </row>
    <row r="199" spans="1:61" s="56" customFormat="1" ht="42" customHeight="1">
      <c r="A199" s="288"/>
      <c r="B199" s="171"/>
      <c r="C199" s="171"/>
      <c r="D199" s="171"/>
      <c r="E199" s="171"/>
      <c r="F199" s="171"/>
      <c r="G199" s="171"/>
      <c r="H199" s="171"/>
      <c r="I199" s="171"/>
      <c r="J199" s="171"/>
      <c r="K199" s="133"/>
      <c r="L199" s="133"/>
      <c r="M199" s="133"/>
      <c r="N199" s="133"/>
      <c r="O199" s="133"/>
      <c r="P199" s="133"/>
      <c r="Q199" s="133"/>
      <c r="R199" s="101"/>
      <c r="S199" s="133"/>
      <c r="T199" s="607"/>
      <c r="U199" s="102"/>
      <c r="V199" s="114"/>
      <c r="AB199" s="147"/>
      <c r="AC199" s="149"/>
      <c r="AD199" s="52"/>
      <c r="AE199" s="52"/>
      <c r="AF199" s="52"/>
      <c r="AJ199" s="52"/>
      <c r="AK199" s="52"/>
      <c r="AL199" s="52"/>
      <c r="AM199" s="122"/>
    </row>
    <row r="200" spans="1:61" s="56" customFormat="1" ht="42" customHeight="1">
      <c r="A200" s="288"/>
      <c r="B200" s="171"/>
      <c r="C200" s="171"/>
      <c r="D200" s="171"/>
      <c r="E200" s="171"/>
      <c r="F200" s="171"/>
      <c r="G200" s="171"/>
      <c r="H200" s="171"/>
      <c r="I200" s="171"/>
      <c r="J200" s="171"/>
      <c r="K200" s="133"/>
      <c r="L200" s="133"/>
      <c r="M200" s="133"/>
      <c r="N200" s="133"/>
      <c r="O200" s="133"/>
      <c r="P200" s="133"/>
      <c r="Q200" s="133"/>
      <c r="R200" s="101"/>
      <c r="S200" s="133"/>
      <c r="T200" s="607"/>
      <c r="U200" s="102"/>
      <c r="V200" s="114"/>
      <c r="X200" s="141"/>
      <c r="AC200" s="149"/>
      <c r="AD200" s="52"/>
      <c r="AE200" s="52"/>
      <c r="AF200" s="52"/>
      <c r="AJ200" s="52"/>
      <c r="AK200" s="52"/>
      <c r="AL200" s="52"/>
      <c r="AM200" s="122"/>
      <c r="AN200" s="52"/>
      <c r="AO200" s="52"/>
      <c r="AP200" s="52"/>
      <c r="AQ200" s="52"/>
      <c r="AR200" s="52"/>
      <c r="AS200" s="52"/>
      <c r="AT200" s="52"/>
    </row>
    <row r="201" spans="1:61" s="56" customFormat="1" ht="42.75" customHeight="1">
      <c r="A201" s="288"/>
      <c r="B201" s="171"/>
      <c r="C201" s="171"/>
      <c r="D201" s="171"/>
      <c r="E201" s="171"/>
      <c r="F201" s="171"/>
      <c r="G201" s="171"/>
      <c r="H201" s="171"/>
      <c r="I201" s="171"/>
      <c r="J201" s="171"/>
      <c r="K201" s="133"/>
      <c r="L201" s="133"/>
      <c r="M201" s="133"/>
      <c r="N201" s="133"/>
      <c r="O201" s="133"/>
      <c r="P201" s="133"/>
      <c r="Q201" s="133"/>
      <c r="R201" s="101"/>
      <c r="S201" s="133"/>
      <c r="T201" s="607"/>
      <c r="U201" s="121"/>
      <c r="V201" s="114"/>
      <c r="X201" s="141"/>
      <c r="AC201" s="149"/>
      <c r="AD201" s="52"/>
      <c r="AE201" s="52"/>
      <c r="AF201" s="52"/>
      <c r="AJ201" s="52"/>
      <c r="AK201" s="52"/>
      <c r="AL201" s="52"/>
      <c r="AM201" s="122"/>
      <c r="AV201" s="52"/>
    </row>
    <row r="202" spans="1:61" s="56" customFormat="1" ht="7.5" customHeight="1">
      <c r="A202" s="208"/>
      <c r="B202" s="12"/>
      <c r="C202" s="12"/>
      <c r="D202" s="11"/>
      <c r="E202" s="11"/>
      <c r="F202" s="11"/>
      <c r="G202" s="11"/>
      <c r="H202" s="11"/>
      <c r="I202" s="11"/>
      <c r="J202" s="11"/>
      <c r="K202" s="13"/>
      <c r="L202" s="13"/>
      <c r="M202" s="13"/>
      <c r="N202" s="13"/>
      <c r="O202" s="13"/>
      <c r="P202" s="13"/>
      <c r="Q202" s="13"/>
      <c r="R202" s="13"/>
      <c r="S202" s="13"/>
      <c r="T202" s="606"/>
      <c r="U202" s="185"/>
      <c r="V202" s="114"/>
      <c r="X202" s="141"/>
      <c r="AJ202" s="52"/>
      <c r="AK202" s="52"/>
      <c r="AL202" s="52"/>
      <c r="AM202" s="119"/>
      <c r="AN202" s="61"/>
      <c r="AV202" s="52"/>
    </row>
    <row r="203" spans="1:61" s="56" customFormat="1" ht="15" customHeight="1">
      <c r="A203" s="1758"/>
      <c r="B203" s="1751"/>
      <c r="C203" s="1751"/>
      <c r="D203" s="1751"/>
      <c r="E203" s="1751"/>
      <c r="F203" s="1751"/>
      <c r="G203" s="1751"/>
      <c r="H203" s="1751"/>
      <c r="I203" s="1751"/>
      <c r="J203" s="1751"/>
      <c r="K203" s="1751"/>
      <c r="L203" s="1751"/>
      <c r="M203" s="1751"/>
      <c r="N203" s="1751"/>
      <c r="O203" s="1751"/>
      <c r="P203" s="1751"/>
      <c r="Q203" s="1751"/>
      <c r="R203" s="1751"/>
      <c r="S203" s="1751"/>
      <c r="T203" s="1752"/>
      <c r="U203" s="185"/>
      <c r="V203" s="114"/>
      <c r="AM203" s="122"/>
      <c r="AN203" s="52"/>
      <c r="AO203" s="52"/>
      <c r="AP203" s="52"/>
      <c r="AQ203" s="52"/>
      <c r="AR203" s="52"/>
      <c r="AS203" s="52"/>
      <c r="AT203" s="52"/>
    </row>
    <row r="204" spans="1:61" s="56" customFormat="1" ht="11.25" customHeight="1">
      <c r="A204" s="1744"/>
      <c r="B204" s="1742"/>
      <c r="C204" s="1742"/>
      <c r="D204" s="1742"/>
      <c r="E204" s="1742"/>
      <c r="F204" s="1742"/>
      <c r="G204" s="1742"/>
      <c r="H204" s="1742"/>
      <c r="I204" s="1742"/>
      <c r="J204" s="1742"/>
      <c r="K204" s="1742"/>
      <c r="L204" s="1742"/>
      <c r="M204" s="1742"/>
      <c r="N204" s="1742"/>
      <c r="O204" s="1742"/>
      <c r="P204" s="1742"/>
      <c r="Q204" s="1742"/>
      <c r="R204" s="1947"/>
      <c r="S204" s="1742"/>
      <c r="T204" s="1810"/>
      <c r="U204" s="185"/>
      <c r="V204" s="114"/>
      <c r="AJ204" s="52"/>
      <c r="AK204" s="52"/>
      <c r="AL204" s="52"/>
      <c r="AM204" s="121"/>
      <c r="AN204" s="52"/>
      <c r="AU204" s="52"/>
      <c r="AV204" s="52"/>
      <c r="AW204" s="52"/>
      <c r="AX204" s="52"/>
      <c r="AY204" s="52"/>
    </row>
    <row r="205" spans="1:61" ht="11.25" customHeight="1">
      <c r="A205" s="106"/>
      <c r="B205" s="705"/>
      <c r="C205" s="5"/>
      <c r="D205" s="5"/>
      <c r="E205" s="9"/>
      <c r="F205" s="5"/>
      <c r="G205" s="40"/>
      <c r="H205" s="554"/>
      <c r="I205" s="40"/>
      <c r="J205" s="40"/>
      <c r="K205" s="40"/>
      <c r="L205" s="40"/>
      <c r="M205" s="40"/>
      <c r="N205" s="40"/>
      <c r="O205" s="40"/>
      <c r="P205" s="40"/>
      <c r="Q205" s="40"/>
      <c r="R205" s="40"/>
      <c r="S205" s="40"/>
      <c r="T205" s="40"/>
      <c r="U205" s="40"/>
      <c r="V205" s="116"/>
      <c r="AD205" s="57"/>
      <c r="AG205" s="52"/>
      <c r="AH205" s="52"/>
      <c r="AI205" s="52"/>
      <c r="AM205" s="119"/>
      <c r="AO205" s="56"/>
      <c r="AP205" s="56"/>
      <c r="AQ205" s="56"/>
      <c r="AR205" s="56"/>
      <c r="AS205" s="56"/>
      <c r="AT205" s="56"/>
      <c r="AZ205" s="56"/>
      <c r="BA205" s="56"/>
      <c r="BB205" s="56"/>
      <c r="BC205" s="56"/>
      <c r="BD205" s="56"/>
      <c r="BE205" s="56"/>
      <c r="BF205" s="56"/>
      <c r="BG205" s="56"/>
      <c r="BH205" s="56"/>
      <c r="BI205" s="56"/>
    </row>
    <row r="206" spans="1:61" ht="11.25" customHeight="1">
      <c r="A206" s="106"/>
      <c r="B206" s="705"/>
      <c r="C206" s="5"/>
      <c r="D206" s="5"/>
      <c r="E206" s="9"/>
      <c r="F206" s="5"/>
      <c r="G206" s="40"/>
      <c r="H206" s="554"/>
      <c r="I206" s="40"/>
      <c r="J206" s="40"/>
      <c r="K206" s="40"/>
      <c r="L206" s="40"/>
      <c r="M206" s="40"/>
      <c r="N206" s="40"/>
      <c r="O206" s="40"/>
      <c r="P206" s="40"/>
      <c r="Q206" s="40"/>
      <c r="R206" s="40"/>
      <c r="S206" s="40"/>
      <c r="T206" s="40"/>
      <c r="U206" s="40"/>
      <c r="V206" s="116"/>
      <c r="AD206" s="57"/>
      <c r="AG206" s="52"/>
      <c r="AH206" s="52"/>
      <c r="AI206" s="52"/>
      <c r="AM206" s="119"/>
    </row>
    <row r="207" spans="1:61" ht="11.25" customHeight="1">
      <c r="A207" s="106"/>
      <c r="B207" s="1317"/>
      <c r="C207" s="5"/>
      <c r="D207" s="5"/>
      <c r="E207" s="9"/>
      <c r="F207" s="5"/>
      <c r="G207" s="40"/>
      <c r="H207" s="554"/>
      <c r="I207" s="40"/>
      <c r="J207" s="40"/>
      <c r="K207" s="40"/>
      <c r="L207" s="40"/>
      <c r="M207" s="40"/>
      <c r="N207" s="40"/>
      <c r="O207" s="40"/>
      <c r="P207" s="40"/>
      <c r="Q207" s="40"/>
      <c r="R207" s="40"/>
      <c r="S207" s="40"/>
      <c r="T207" s="40"/>
      <c r="U207" s="40"/>
      <c r="V207" s="116"/>
      <c r="AD207" s="57"/>
      <c r="AG207" s="52"/>
      <c r="AH207" s="52"/>
      <c r="AI207" s="52"/>
      <c r="AM207" s="119"/>
    </row>
    <row r="208" spans="1:61" ht="11.25" customHeight="1">
      <c r="A208" s="106"/>
      <c r="B208" s="1318"/>
      <c r="C208" s="5"/>
      <c r="D208" s="5"/>
      <c r="E208" s="9"/>
      <c r="F208" s="2"/>
      <c r="G208" s="554"/>
      <c r="H208" s="554"/>
      <c r="I208" s="40"/>
      <c r="J208" s="40"/>
      <c r="K208" s="40"/>
      <c r="L208" s="40"/>
      <c r="M208" s="40"/>
      <c r="N208" s="40"/>
      <c r="O208" s="40"/>
      <c r="P208" s="40"/>
      <c r="Q208" s="40"/>
      <c r="R208" s="40"/>
      <c r="S208" s="40"/>
      <c r="T208" s="40"/>
      <c r="U208" s="40"/>
      <c r="V208" s="116"/>
      <c r="AD208" s="57"/>
      <c r="AG208" s="52"/>
      <c r="AH208" s="52"/>
      <c r="AI208" s="52"/>
      <c r="AM208" s="119"/>
    </row>
    <row r="209" spans="1:39" ht="11.25" customHeight="1">
      <c r="A209" s="106"/>
      <c r="B209" s="420"/>
      <c r="C209" s="420"/>
      <c r="D209" s="420"/>
      <c r="E209" s="420"/>
      <c r="F209" s="420"/>
      <c r="G209" s="420"/>
      <c r="H209" s="554"/>
      <c r="I209" s="40"/>
      <c r="J209" s="40"/>
      <c r="K209" s="40"/>
      <c r="L209" s="40"/>
      <c r="M209" s="40"/>
      <c r="N209" s="40"/>
      <c r="O209" s="40"/>
      <c r="P209" s="40"/>
      <c r="Q209" s="40"/>
      <c r="R209" s="40"/>
      <c r="S209" s="40"/>
      <c r="T209" s="40"/>
      <c r="U209" s="40"/>
      <c r="V209" s="116"/>
      <c r="AD209" s="57"/>
      <c r="AG209" s="52"/>
      <c r="AH209" s="52"/>
      <c r="AI209" s="52"/>
      <c r="AM209" s="119"/>
    </row>
    <row r="210" spans="1:39" ht="11.25" customHeight="1">
      <c r="A210" s="106"/>
      <c r="B210" s="420"/>
      <c r="C210" s="420"/>
      <c r="D210" s="420"/>
      <c r="E210" s="420"/>
      <c r="F210" s="420"/>
      <c r="G210" s="420"/>
      <c r="H210" s="554"/>
      <c r="I210" s="40"/>
      <c r="J210" s="40"/>
      <c r="K210" s="40"/>
      <c r="L210" s="40"/>
      <c r="M210" s="40"/>
      <c r="N210" s="40"/>
      <c r="O210" s="40"/>
      <c r="P210" s="40"/>
      <c r="Q210" s="40"/>
      <c r="R210" s="40"/>
      <c r="S210" s="40"/>
      <c r="T210" s="40"/>
      <c r="U210" s="40"/>
      <c r="V210" s="116"/>
      <c r="AD210" s="57"/>
      <c r="AG210" s="52"/>
      <c r="AH210" s="52"/>
      <c r="AI210" s="52"/>
      <c r="AM210" s="119"/>
    </row>
    <row r="211" spans="1:39" ht="11.25" customHeight="1">
      <c r="A211" s="106"/>
      <c r="B211" s="420"/>
      <c r="C211" s="420"/>
      <c r="D211" s="420"/>
      <c r="E211" s="420"/>
      <c r="F211" s="420"/>
      <c r="G211" s="420"/>
      <c r="H211" s="554"/>
      <c r="I211" s="40"/>
      <c r="J211" s="40"/>
      <c r="K211" s="40"/>
      <c r="L211" s="40"/>
      <c r="M211" s="40"/>
      <c r="N211" s="40"/>
      <c r="O211" s="40"/>
      <c r="P211" s="40"/>
      <c r="Q211" s="40"/>
      <c r="R211" s="40"/>
      <c r="S211" s="40"/>
      <c r="T211" s="40"/>
      <c r="U211" s="40"/>
      <c r="V211" s="116"/>
      <c r="AD211" s="57"/>
      <c r="AG211" s="52"/>
      <c r="AH211" s="52"/>
      <c r="AI211" s="52"/>
      <c r="AM211" s="119"/>
    </row>
    <row r="212" spans="1:39" ht="11.25" customHeight="1">
      <c r="A212" s="106"/>
      <c r="B212" s="420"/>
      <c r="C212" s="420"/>
      <c r="D212" s="420"/>
      <c r="E212" s="420"/>
      <c r="F212" s="420"/>
      <c r="G212" s="420"/>
      <c r="H212" s="554"/>
      <c r="I212" s="40"/>
      <c r="J212" s="40"/>
      <c r="K212" s="40"/>
      <c r="L212" s="40"/>
      <c r="M212" s="40"/>
      <c r="N212" s="40"/>
      <c r="O212" s="40"/>
      <c r="P212" s="40"/>
      <c r="Q212" s="40"/>
      <c r="R212" s="40"/>
      <c r="S212" s="40"/>
      <c r="T212" s="40"/>
      <c r="U212" s="40"/>
      <c r="V212" s="116"/>
      <c r="AD212" s="57"/>
      <c r="AG212" s="52"/>
      <c r="AH212" s="52"/>
      <c r="AI212" s="52"/>
      <c r="AM212" s="119"/>
    </row>
    <row r="213" spans="1:39" ht="11.25" customHeight="1">
      <c r="A213" s="106"/>
      <c r="B213" s="420"/>
      <c r="C213" s="420"/>
      <c r="D213" s="420"/>
      <c r="E213" s="420"/>
      <c r="F213" s="420"/>
      <c r="G213" s="420"/>
      <c r="H213" s="554"/>
      <c r="I213" s="40"/>
      <c r="J213" s="40"/>
      <c r="K213" s="40"/>
      <c r="L213" s="40"/>
      <c r="M213" s="40"/>
      <c r="N213" s="40"/>
      <c r="O213" s="40"/>
      <c r="P213" s="40"/>
      <c r="Q213" s="40"/>
      <c r="R213" s="40"/>
      <c r="S213" s="40"/>
      <c r="T213" s="40"/>
      <c r="U213" s="40"/>
      <c r="V213" s="116"/>
      <c r="AD213" s="57"/>
      <c r="AG213" s="52"/>
      <c r="AH213" s="52"/>
      <c r="AI213" s="52"/>
      <c r="AM213" s="119"/>
    </row>
    <row r="214" spans="1:39" ht="11.25" customHeight="1">
      <c r="A214" s="106"/>
      <c r="B214" s="420"/>
      <c r="C214" s="420"/>
      <c r="D214" s="420"/>
      <c r="E214" s="420"/>
      <c r="F214" s="420"/>
      <c r="G214" s="420"/>
      <c r="H214" s="554"/>
      <c r="I214" s="40"/>
      <c r="J214" s="40"/>
      <c r="K214" s="40"/>
      <c r="L214" s="40"/>
      <c r="M214" s="40"/>
      <c r="N214" s="40"/>
      <c r="O214" s="40"/>
      <c r="P214" s="40"/>
      <c r="Q214" s="40"/>
      <c r="R214" s="40"/>
      <c r="S214" s="40"/>
      <c r="T214" s="40"/>
      <c r="U214" s="40"/>
      <c r="V214" s="116"/>
      <c r="AD214" s="57"/>
      <c r="AG214" s="52"/>
      <c r="AH214" s="52"/>
      <c r="AI214" s="52"/>
      <c r="AM214" s="119"/>
    </row>
    <row r="215" spans="1:39" ht="11.25" customHeight="1">
      <c r="A215" s="106"/>
      <c r="B215" s="420"/>
      <c r="C215" s="420"/>
      <c r="D215" s="420"/>
      <c r="E215" s="420"/>
      <c r="F215" s="420"/>
      <c r="G215" s="420"/>
      <c r="H215" s="554"/>
      <c r="I215" s="40"/>
      <c r="J215" s="40"/>
      <c r="K215" s="40"/>
      <c r="L215" s="40"/>
      <c r="M215" s="40"/>
      <c r="N215" s="40"/>
      <c r="O215" s="40"/>
      <c r="P215" s="40"/>
      <c r="Q215" s="40"/>
      <c r="R215" s="40"/>
      <c r="S215" s="40"/>
      <c r="T215" s="40"/>
      <c r="U215" s="40"/>
      <c r="V215" s="116"/>
      <c r="Y215" s="52"/>
      <c r="Z215" s="52"/>
      <c r="AD215" s="57"/>
      <c r="AG215" s="52"/>
      <c r="AH215" s="52"/>
      <c r="AI215" s="52"/>
      <c r="AM215" s="119"/>
    </row>
    <row r="216" spans="1:39" ht="11.25" customHeight="1">
      <c r="A216" s="106"/>
      <c r="B216" s="420"/>
      <c r="C216" s="420"/>
      <c r="D216" s="420"/>
      <c r="E216" s="420"/>
      <c r="F216" s="420"/>
      <c r="G216" s="420"/>
      <c r="H216" s="554"/>
      <c r="I216" s="40"/>
      <c r="J216" s="40"/>
      <c r="K216" s="40"/>
      <c r="L216" s="40"/>
      <c r="M216" s="40"/>
      <c r="N216" s="40"/>
      <c r="O216" s="40"/>
      <c r="P216" s="40"/>
      <c r="Q216" s="40"/>
      <c r="R216" s="40"/>
      <c r="S216" s="40"/>
      <c r="T216" s="40"/>
      <c r="U216" s="40"/>
      <c r="V216" s="116"/>
      <c r="Y216" s="52"/>
      <c r="Z216" s="52"/>
      <c r="AD216" s="57"/>
      <c r="AG216" s="52"/>
      <c r="AH216" s="52"/>
      <c r="AI216" s="52"/>
      <c r="AM216" s="119"/>
    </row>
    <row r="217" spans="1:39" ht="11.25" customHeight="1">
      <c r="A217" s="106"/>
      <c r="B217" s="420"/>
      <c r="C217" s="420"/>
      <c r="D217" s="420"/>
      <c r="E217" s="420"/>
      <c r="F217" s="420"/>
      <c r="G217" s="420"/>
      <c r="H217" s="554"/>
      <c r="I217" s="40"/>
      <c r="J217" s="40"/>
      <c r="K217" s="40"/>
      <c r="L217" s="40"/>
      <c r="M217" s="40"/>
      <c r="N217" s="40"/>
      <c r="O217" s="40"/>
      <c r="P217" s="40"/>
      <c r="Q217" s="40"/>
      <c r="R217" s="40"/>
      <c r="S217" s="40"/>
      <c r="T217" s="40"/>
      <c r="U217" s="40"/>
      <c r="V217" s="116"/>
      <c r="Y217" s="52"/>
      <c r="Z217" s="52"/>
      <c r="AD217" s="57"/>
      <c r="AG217" s="52"/>
      <c r="AH217" s="52"/>
      <c r="AI217" s="52"/>
      <c r="AM217" s="119"/>
    </row>
    <row r="218" spans="1:39" ht="11.25" customHeight="1">
      <c r="A218" s="106"/>
      <c r="B218" s="420"/>
      <c r="C218" s="420"/>
      <c r="D218" s="420"/>
      <c r="E218" s="420"/>
      <c r="F218" s="420"/>
      <c r="G218" s="420"/>
      <c r="H218" s="554"/>
      <c r="I218" s="40"/>
      <c r="J218" s="40"/>
      <c r="K218" s="40"/>
      <c r="L218" s="40"/>
      <c r="M218" s="40"/>
      <c r="N218" s="40"/>
      <c r="O218" s="40"/>
      <c r="P218" s="40"/>
      <c r="Q218" s="40"/>
      <c r="R218" s="40"/>
      <c r="S218" s="40"/>
      <c r="T218" s="40"/>
      <c r="U218" s="40"/>
      <c r="V218" s="116"/>
      <c r="Y218" s="52"/>
      <c r="Z218" s="52"/>
      <c r="AD218" s="57"/>
      <c r="AG218" s="52"/>
      <c r="AH218" s="52"/>
      <c r="AI218" s="52"/>
      <c r="AM218" s="119"/>
    </row>
    <row r="219" spans="1:39" ht="11.25" customHeight="1">
      <c r="A219" s="106"/>
      <c r="B219" s="420"/>
      <c r="C219" s="420"/>
      <c r="D219" s="420"/>
      <c r="E219" s="420"/>
      <c r="F219" s="420"/>
      <c r="G219" s="420"/>
      <c r="H219" s="554"/>
      <c r="I219" s="40"/>
      <c r="J219" s="40"/>
      <c r="K219" s="40"/>
      <c r="L219" s="40"/>
      <c r="M219" s="40"/>
      <c r="N219" s="40"/>
      <c r="O219" s="40"/>
      <c r="P219" s="40"/>
      <c r="Q219" s="40"/>
      <c r="R219" s="40"/>
      <c r="S219" s="40"/>
      <c r="T219" s="40"/>
      <c r="U219" s="40"/>
      <c r="V219" s="116"/>
      <c r="Y219" s="52"/>
      <c r="Z219" s="52"/>
      <c r="AD219" s="57"/>
      <c r="AG219" s="52"/>
      <c r="AH219" s="52"/>
      <c r="AI219" s="52"/>
      <c r="AM219" s="119"/>
    </row>
    <row r="220" spans="1:39" ht="11.25" customHeight="1">
      <c r="A220" s="106"/>
      <c r="B220" s="420"/>
      <c r="C220" s="420"/>
      <c r="D220" s="420"/>
      <c r="E220" s="420"/>
      <c r="F220" s="420"/>
      <c r="G220" s="420"/>
      <c r="H220" s="554"/>
      <c r="I220" s="40"/>
      <c r="J220" s="40"/>
      <c r="K220" s="40"/>
      <c r="L220" s="40"/>
      <c r="M220" s="40"/>
      <c r="N220" s="40"/>
      <c r="O220" s="40"/>
      <c r="P220" s="40"/>
      <c r="Q220" s="40"/>
      <c r="R220" s="40"/>
      <c r="S220" s="40"/>
      <c r="T220" s="40"/>
      <c r="U220" s="40"/>
      <c r="V220" s="116"/>
      <c r="Y220" s="52"/>
      <c r="Z220" s="52"/>
      <c r="AD220" s="57"/>
      <c r="AG220" s="52"/>
      <c r="AH220" s="52"/>
      <c r="AI220" s="52"/>
      <c r="AM220" s="119"/>
    </row>
    <row r="221" spans="1:39" ht="11.25" customHeight="1">
      <c r="A221" s="106"/>
      <c r="B221" s="420"/>
      <c r="C221" s="420"/>
      <c r="D221" s="420"/>
      <c r="E221" s="420"/>
      <c r="F221" s="420"/>
      <c r="G221" s="420"/>
      <c r="H221" s="554"/>
      <c r="I221" s="40"/>
      <c r="J221" s="40"/>
      <c r="K221" s="40"/>
      <c r="L221" s="40"/>
      <c r="M221" s="40"/>
      <c r="N221" s="40"/>
      <c r="O221" s="40"/>
      <c r="P221" s="40"/>
      <c r="Q221" s="40"/>
      <c r="R221" s="40"/>
      <c r="S221" s="40"/>
      <c r="T221" s="40"/>
      <c r="U221" s="40"/>
      <c r="V221" s="116"/>
      <c r="AD221" s="57"/>
      <c r="AG221" s="52"/>
      <c r="AH221" s="52"/>
      <c r="AI221" s="52"/>
      <c r="AM221" s="119"/>
    </row>
    <row r="222" spans="1:39" ht="11.25" customHeight="1">
      <c r="A222" s="106"/>
      <c r="B222" s="420"/>
      <c r="C222" s="420"/>
      <c r="D222" s="420"/>
      <c r="E222" s="420"/>
      <c r="F222" s="420"/>
      <c r="G222" s="420"/>
      <c r="H222" s="554"/>
      <c r="I222" s="40"/>
      <c r="J222" s="40"/>
      <c r="K222" s="40"/>
      <c r="L222" s="40"/>
      <c r="M222" s="40"/>
      <c r="N222" s="40"/>
      <c r="O222" s="40"/>
      <c r="P222" s="40"/>
      <c r="Q222" s="40"/>
      <c r="R222" s="40"/>
      <c r="S222" s="40"/>
      <c r="T222" s="40"/>
      <c r="U222" s="40"/>
      <c r="V222" s="116"/>
      <c r="AD222" s="57"/>
      <c r="AG222" s="52"/>
      <c r="AH222" s="52"/>
      <c r="AI222" s="52"/>
      <c r="AM222" s="119"/>
    </row>
    <row r="223" spans="1:39" ht="11.25" customHeight="1">
      <c r="A223" s="106"/>
      <c r="B223" s="420"/>
      <c r="C223" s="420"/>
      <c r="D223" s="420"/>
      <c r="E223" s="420"/>
      <c r="F223" s="420"/>
      <c r="G223" s="420"/>
      <c r="H223" s="554"/>
      <c r="I223" s="40"/>
      <c r="J223" s="40"/>
      <c r="K223" s="40"/>
      <c r="L223" s="40"/>
      <c r="M223" s="40"/>
      <c r="N223" s="40"/>
      <c r="O223" s="40"/>
      <c r="P223" s="40"/>
      <c r="Q223" s="40"/>
      <c r="R223" s="40"/>
      <c r="S223" s="40"/>
      <c r="T223" s="40"/>
      <c r="U223" s="40"/>
      <c r="V223" s="116"/>
      <c r="AD223" s="57"/>
      <c r="AG223" s="52"/>
      <c r="AH223" s="52"/>
      <c r="AI223" s="52"/>
      <c r="AM223" s="119"/>
    </row>
    <row r="224" spans="1:39" ht="11.25" customHeight="1">
      <c r="A224" s="106"/>
      <c r="B224" s="420"/>
      <c r="C224" s="420"/>
      <c r="D224" s="420"/>
      <c r="E224" s="420"/>
      <c r="F224" s="420"/>
      <c r="G224" s="420"/>
      <c r="H224" s="554"/>
      <c r="I224" s="40"/>
      <c r="J224" s="40"/>
      <c r="K224" s="40"/>
      <c r="L224" s="40"/>
      <c r="M224" s="40"/>
      <c r="N224" s="40"/>
      <c r="O224" s="40"/>
      <c r="P224" s="40"/>
      <c r="Q224" s="40"/>
      <c r="R224" s="40"/>
      <c r="S224" s="40"/>
      <c r="T224" s="40"/>
      <c r="U224" s="40"/>
      <c r="V224" s="116"/>
      <c r="AD224" s="57"/>
      <c r="AG224" s="52"/>
      <c r="AH224" s="52"/>
      <c r="AI224" s="52"/>
      <c r="AM224" s="119"/>
    </row>
    <row r="225" spans="1:39" ht="11.25" customHeight="1">
      <c r="A225" s="106"/>
      <c r="B225" s="420"/>
      <c r="C225" s="420"/>
      <c r="D225" s="420"/>
      <c r="E225" s="420"/>
      <c r="F225" s="420"/>
      <c r="G225" s="420"/>
      <c r="H225" s="554"/>
      <c r="I225" s="40"/>
      <c r="J225" s="40"/>
      <c r="K225" s="40"/>
      <c r="L225" s="40"/>
      <c r="M225" s="40"/>
      <c r="N225" s="40"/>
      <c r="O225" s="40"/>
      <c r="P225" s="40"/>
      <c r="Q225" s="40"/>
      <c r="R225" s="40"/>
      <c r="S225" s="40"/>
      <c r="T225" s="40"/>
      <c r="U225" s="40"/>
      <c r="V225" s="116"/>
      <c r="AD225" s="57"/>
      <c r="AG225" s="52"/>
      <c r="AH225" s="52"/>
      <c r="AI225" s="52"/>
      <c r="AM225" s="119"/>
    </row>
    <row r="226" spans="1:39" ht="11.25" customHeight="1">
      <c r="A226" s="106"/>
      <c r="B226" s="420"/>
      <c r="C226" s="420"/>
      <c r="D226" s="420"/>
      <c r="E226" s="420"/>
      <c r="F226" s="420"/>
      <c r="G226" s="420"/>
      <c r="H226" s="554"/>
      <c r="I226" s="40"/>
      <c r="J226" s="40"/>
      <c r="K226" s="40"/>
      <c r="L226" s="40"/>
      <c r="M226" s="40"/>
      <c r="N226" s="40"/>
      <c r="O226" s="40"/>
      <c r="P226" s="40"/>
      <c r="Q226" s="40"/>
      <c r="R226" s="40"/>
      <c r="S226" s="40"/>
      <c r="T226" s="40"/>
      <c r="U226" s="40"/>
      <c r="V226" s="116"/>
      <c r="AD226" s="57"/>
      <c r="AG226" s="52"/>
      <c r="AH226" s="52"/>
      <c r="AI226" s="52"/>
      <c r="AM226" s="119"/>
    </row>
    <row r="227" spans="1:39" ht="11.25" customHeight="1">
      <c r="A227" s="106"/>
      <c r="B227" s="420"/>
      <c r="C227" s="420"/>
      <c r="D227" s="420"/>
      <c r="E227" s="420"/>
      <c r="F227" s="420"/>
      <c r="G227" s="420"/>
      <c r="H227" s="554"/>
      <c r="I227" s="40"/>
      <c r="J227" s="40"/>
      <c r="K227" s="40"/>
      <c r="L227" s="40"/>
      <c r="M227" s="40"/>
      <c r="N227" s="40"/>
      <c r="O227" s="40"/>
      <c r="P227" s="40"/>
      <c r="Q227" s="40"/>
      <c r="R227" s="40"/>
      <c r="S227" s="40"/>
      <c r="T227" s="40"/>
      <c r="U227" s="40"/>
      <c r="V227" s="116"/>
      <c r="AD227" s="57"/>
      <c r="AG227" s="52"/>
      <c r="AH227" s="52"/>
      <c r="AI227" s="52"/>
      <c r="AM227" s="119"/>
    </row>
    <row r="228" spans="1:39" ht="11.25" customHeight="1">
      <c r="A228" s="106"/>
      <c r="B228" s="420"/>
      <c r="C228" s="420"/>
      <c r="D228" s="420"/>
      <c r="E228" s="420"/>
      <c r="F228" s="420"/>
      <c r="G228" s="420"/>
      <c r="H228" s="554"/>
      <c r="I228" s="40"/>
      <c r="J228" s="40"/>
      <c r="K228" s="40"/>
      <c r="L228" s="40"/>
      <c r="M228" s="40"/>
      <c r="N228" s="40"/>
      <c r="O228" s="40"/>
      <c r="P228" s="40"/>
      <c r="Q228" s="40"/>
      <c r="R228" s="40"/>
      <c r="S228" s="40"/>
      <c r="T228" s="40"/>
      <c r="U228" s="40"/>
      <c r="V228" s="116"/>
      <c r="AD228" s="57"/>
      <c r="AG228" s="52"/>
      <c r="AH228" s="52"/>
      <c r="AI228" s="52"/>
      <c r="AM228" s="119"/>
    </row>
    <row r="229" spans="1:39" ht="11.25" customHeight="1">
      <c r="A229" s="106"/>
      <c r="B229" s="420"/>
      <c r="C229" s="420"/>
      <c r="D229" s="420"/>
      <c r="E229" s="420"/>
      <c r="F229" s="420"/>
      <c r="G229" s="420"/>
      <c r="H229" s="554"/>
      <c r="I229" s="40"/>
      <c r="J229" s="40"/>
      <c r="K229" s="40"/>
      <c r="L229" s="40"/>
      <c r="M229" s="40"/>
      <c r="N229" s="40"/>
      <c r="O229" s="40"/>
      <c r="P229" s="40"/>
      <c r="Q229" s="40"/>
      <c r="R229" s="40"/>
      <c r="S229" s="40"/>
      <c r="T229" s="40"/>
      <c r="U229" s="40"/>
      <c r="V229" s="116"/>
      <c r="AD229" s="57"/>
      <c r="AG229" s="52"/>
      <c r="AH229" s="52"/>
      <c r="AI229" s="52"/>
      <c r="AM229" s="119"/>
    </row>
    <row r="230" spans="1:39" ht="11.25" customHeight="1">
      <c r="A230" s="106"/>
      <c r="B230" s="420"/>
      <c r="C230" s="420"/>
      <c r="D230" s="420"/>
      <c r="E230" s="420"/>
      <c r="F230" s="420"/>
      <c r="G230" s="420"/>
      <c r="H230" s="554"/>
      <c r="I230" s="40"/>
      <c r="J230" s="40"/>
      <c r="K230" s="40"/>
      <c r="L230" s="40"/>
      <c r="M230" s="40"/>
      <c r="N230" s="40"/>
      <c r="O230" s="40"/>
      <c r="P230" s="40"/>
      <c r="Q230" s="40"/>
      <c r="R230" s="40"/>
      <c r="S230" s="40"/>
      <c r="T230" s="40"/>
      <c r="U230" s="40"/>
      <c r="V230" s="116"/>
      <c r="AD230" s="57"/>
      <c r="AG230" s="52"/>
      <c r="AH230" s="52"/>
      <c r="AI230" s="52"/>
      <c r="AM230" s="119"/>
    </row>
    <row r="231" spans="1:39" ht="11.25" customHeight="1">
      <c r="A231" s="106"/>
      <c r="B231" s="420"/>
      <c r="C231" s="420"/>
      <c r="D231" s="420"/>
      <c r="E231" s="420"/>
      <c r="F231" s="420"/>
      <c r="G231" s="420"/>
      <c r="H231" s="554"/>
      <c r="I231" s="40"/>
      <c r="J231" s="40"/>
      <c r="K231" s="40"/>
      <c r="L231" s="40"/>
      <c r="M231" s="40"/>
      <c r="N231" s="40"/>
      <c r="O231" s="40"/>
      <c r="P231" s="40"/>
      <c r="Q231" s="40"/>
      <c r="R231" s="40"/>
      <c r="S231" s="40"/>
      <c r="T231" s="40"/>
      <c r="U231" s="40"/>
      <c r="V231" s="116"/>
      <c r="AD231" s="57"/>
      <c r="AG231" s="52"/>
      <c r="AH231" s="52"/>
      <c r="AI231" s="52"/>
      <c r="AM231" s="119"/>
    </row>
    <row r="232" spans="1:39" ht="11.25" customHeight="1">
      <c r="A232" s="106"/>
      <c r="B232" s="420"/>
      <c r="C232" s="420"/>
      <c r="D232" s="420"/>
      <c r="E232" s="420"/>
      <c r="F232" s="420"/>
      <c r="G232" s="420"/>
      <c r="H232" s="554"/>
      <c r="I232" s="40"/>
      <c r="J232" s="40"/>
      <c r="K232" s="40"/>
      <c r="L232" s="40"/>
      <c r="M232" s="40"/>
      <c r="N232" s="40"/>
      <c r="O232" s="40"/>
      <c r="P232" s="40"/>
      <c r="Q232" s="40"/>
      <c r="R232" s="40"/>
      <c r="S232" s="40"/>
      <c r="T232" s="40"/>
      <c r="U232" s="40"/>
      <c r="V232" s="116"/>
      <c r="AD232" s="57"/>
      <c r="AG232" s="52"/>
      <c r="AH232" s="52"/>
      <c r="AI232" s="52"/>
      <c r="AM232" s="119"/>
    </row>
    <row r="233" spans="1:39" ht="11.25" customHeight="1">
      <c r="A233" s="106"/>
      <c r="B233" s="420"/>
      <c r="C233" s="420"/>
      <c r="D233" s="420"/>
      <c r="E233" s="420"/>
      <c r="F233" s="420"/>
      <c r="G233" s="420"/>
      <c r="H233" s="554"/>
      <c r="I233" s="40"/>
      <c r="J233" s="40"/>
      <c r="K233" s="40"/>
      <c r="L233" s="40"/>
      <c r="M233" s="40"/>
      <c r="N233" s="40"/>
      <c r="O233" s="40"/>
      <c r="P233" s="40"/>
      <c r="Q233" s="40"/>
      <c r="R233" s="40"/>
      <c r="S233" s="40"/>
      <c r="T233" s="40"/>
      <c r="U233" s="40"/>
      <c r="V233" s="116"/>
      <c r="AD233" s="57"/>
      <c r="AG233" s="52"/>
      <c r="AH233" s="52"/>
      <c r="AI233" s="52"/>
      <c r="AM233" s="119"/>
    </row>
    <row r="234" spans="1:39" ht="11.25" customHeight="1">
      <c r="A234" s="106"/>
      <c r="B234" s="420"/>
      <c r="C234" s="420"/>
      <c r="D234" s="420"/>
      <c r="E234" s="420"/>
      <c r="F234" s="420"/>
      <c r="G234" s="420"/>
      <c r="H234" s="554"/>
      <c r="I234" s="40"/>
      <c r="J234" s="40"/>
      <c r="K234" s="40"/>
      <c r="L234" s="40"/>
      <c r="M234" s="40"/>
      <c r="N234" s="40"/>
      <c r="O234" s="40"/>
      <c r="P234" s="40"/>
      <c r="Q234" s="40"/>
      <c r="R234" s="40"/>
      <c r="S234" s="40"/>
      <c r="T234" s="40"/>
      <c r="U234" s="40"/>
      <c r="V234" s="116"/>
      <c r="AD234" s="57"/>
      <c r="AG234" s="52"/>
      <c r="AH234" s="52"/>
      <c r="AI234" s="52"/>
      <c r="AM234" s="119"/>
    </row>
    <row r="235" spans="1:39" ht="11.25" customHeight="1">
      <c r="A235" s="106"/>
      <c r="B235" s="420"/>
      <c r="C235" s="420"/>
      <c r="D235" s="420"/>
      <c r="E235" s="420"/>
      <c r="F235" s="420"/>
      <c r="G235" s="420"/>
      <c r="H235" s="554"/>
      <c r="I235" s="40"/>
      <c r="J235" s="40"/>
      <c r="K235" s="40"/>
      <c r="L235" s="40"/>
      <c r="M235" s="40"/>
      <c r="N235" s="40"/>
      <c r="O235" s="40"/>
      <c r="P235" s="40"/>
      <c r="Q235" s="40"/>
      <c r="R235" s="40"/>
      <c r="S235" s="40"/>
      <c r="T235" s="40"/>
      <c r="U235" s="40"/>
      <c r="V235" s="116"/>
      <c r="AD235" s="57"/>
      <c r="AG235" s="52"/>
      <c r="AH235" s="52"/>
      <c r="AI235" s="52"/>
      <c r="AM235" s="119"/>
    </row>
    <row r="236" spans="1:39" ht="11.25" customHeight="1">
      <c r="A236" s="106"/>
      <c r="B236" s="420"/>
      <c r="C236" s="420"/>
      <c r="D236" s="420"/>
      <c r="E236" s="420"/>
      <c r="F236" s="420"/>
      <c r="G236" s="420"/>
      <c r="H236" s="554"/>
      <c r="I236" s="40"/>
      <c r="J236" s="40"/>
      <c r="K236" s="40"/>
      <c r="L236" s="40"/>
      <c r="M236" s="40"/>
      <c r="N236" s="40"/>
      <c r="O236" s="40"/>
      <c r="P236" s="40"/>
      <c r="Q236" s="40"/>
      <c r="R236" s="40"/>
      <c r="S236" s="40"/>
      <c r="T236" s="40"/>
      <c r="U236" s="40"/>
      <c r="V236" s="116"/>
      <c r="AD236" s="57"/>
      <c r="AG236" s="52"/>
      <c r="AH236" s="52"/>
      <c r="AI236" s="52"/>
      <c r="AM236" s="119"/>
    </row>
    <row r="237" spans="1:39" ht="11.25" customHeight="1">
      <c r="A237" s="106"/>
      <c r="B237" s="420"/>
      <c r="C237" s="420"/>
      <c r="D237" s="420"/>
      <c r="E237" s="420"/>
      <c r="F237" s="420"/>
      <c r="G237" s="420"/>
      <c r="H237" s="554"/>
      <c r="I237" s="40"/>
      <c r="J237" s="40"/>
      <c r="K237" s="40"/>
      <c r="L237" s="40"/>
      <c r="M237" s="40"/>
      <c r="N237" s="40"/>
      <c r="O237" s="40"/>
      <c r="P237" s="40"/>
      <c r="Q237" s="40"/>
      <c r="R237" s="40"/>
      <c r="S237" s="40"/>
      <c r="T237" s="40"/>
      <c r="U237" s="40"/>
      <c r="V237" s="116"/>
      <c r="AD237" s="57"/>
      <c r="AG237" s="52"/>
      <c r="AH237" s="52"/>
      <c r="AI237" s="52"/>
      <c r="AM237" s="119"/>
    </row>
    <row r="238" spans="1:39" ht="11.25" customHeight="1">
      <c r="A238" s="106"/>
      <c r="B238" s="420"/>
      <c r="C238" s="420"/>
      <c r="D238" s="420"/>
      <c r="E238" s="420"/>
      <c r="F238" s="420"/>
      <c r="G238" s="420"/>
      <c r="H238" s="554"/>
      <c r="I238" s="40"/>
      <c r="J238" s="40"/>
      <c r="K238" s="40"/>
      <c r="L238" s="40"/>
      <c r="M238" s="40"/>
      <c r="N238" s="40"/>
      <c r="O238" s="40"/>
      <c r="P238" s="40"/>
      <c r="Q238" s="40"/>
      <c r="R238" s="40"/>
      <c r="S238" s="40"/>
      <c r="T238" s="40"/>
      <c r="U238" s="40"/>
      <c r="V238" s="116"/>
      <c r="AD238" s="57"/>
      <c r="AG238" s="52"/>
      <c r="AH238" s="52"/>
      <c r="AI238" s="52"/>
      <c r="AM238" s="119"/>
    </row>
    <row r="239" spans="1:39" ht="11.25" customHeight="1">
      <c r="A239" s="106"/>
      <c r="B239" s="420"/>
      <c r="C239" s="420"/>
      <c r="D239" s="420"/>
      <c r="E239" s="420"/>
      <c r="F239" s="420"/>
      <c r="G239" s="420"/>
      <c r="H239" s="554"/>
      <c r="I239" s="40"/>
      <c r="J239" s="40"/>
      <c r="K239" s="40"/>
      <c r="L239" s="40"/>
      <c r="M239" s="40"/>
      <c r="N239" s="40"/>
      <c r="O239" s="40"/>
      <c r="P239" s="40"/>
      <c r="Q239" s="40"/>
      <c r="R239" s="40"/>
      <c r="S239" s="40"/>
      <c r="T239" s="40"/>
      <c r="U239" s="40"/>
      <c r="V239" s="116"/>
      <c r="AD239" s="57"/>
      <c r="AG239" s="52"/>
      <c r="AH239" s="52"/>
      <c r="AI239" s="52"/>
      <c r="AM239" s="119"/>
    </row>
    <row r="240" spans="1:39" ht="11.25" customHeight="1">
      <c r="A240" s="106"/>
      <c r="B240" s="420"/>
      <c r="C240" s="420"/>
      <c r="D240" s="420"/>
      <c r="E240" s="420"/>
      <c r="F240" s="420"/>
      <c r="G240" s="420"/>
      <c r="H240" s="554"/>
      <c r="I240" s="40"/>
      <c r="J240" s="40"/>
      <c r="K240" s="40"/>
      <c r="L240" s="40"/>
      <c r="M240" s="40"/>
      <c r="N240" s="40"/>
      <c r="O240" s="40"/>
      <c r="P240" s="40"/>
      <c r="Q240" s="40"/>
      <c r="R240" s="40"/>
      <c r="S240" s="40"/>
      <c r="T240" s="40"/>
      <c r="U240" s="40"/>
      <c r="V240" s="116"/>
      <c r="AD240" s="57"/>
      <c r="AG240" s="52"/>
      <c r="AH240" s="52"/>
      <c r="AI240" s="52"/>
      <c r="AM240" s="119"/>
    </row>
    <row r="241" spans="1:57" s="55" customFormat="1" ht="11.25" customHeight="1">
      <c r="A241" s="106"/>
      <c r="B241" s="420"/>
      <c r="C241" s="420"/>
      <c r="D241" s="420"/>
      <c r="E241" s="420"/>
      <c r="F241" s="420"/>
      <c r="G241" s="420"/>
      <c r="H241" s="554"/>
      <c r="I241" s="40"/>
      <c r="J241" s="40"/>
      <c r="K241" s="40"/>
      <c r="L241" s="40"/>
      <c r="M241" s="40"/>
      <c r="N241" s="40"/>
      <c r="O241" s="40"/>
      <c r="P241" s="40"/>
      <c r="Q241" s="40"/>
      <c r="R241" s="40"/>
      <c r="S241" s="40"/>
      <c r="T241" s="40"/>
      <c r="U241" s="40"/>
      <c r="V241" s="116"/>
      <c r="W241" s="56"/>
      <c r="X241" s="56"/>
      <c r="Y241" s="56"/>
      <c r="Z241" s="56"/>
      <c r="AA241" s="56"/>
      <c r="AB241" s="56"/>
      <c r="AC241" s="56"/>
      <c r="AD241" s="57"/>
      <c r="AE241" s="56"/>
      <c r="AF241" s="56"/>
      <c r="AG241" s="52"/>
      <c r="AH241" s="52"/>
      <c r="AI241" s="52"/>
      <c r="AJ241" s="52"/>
      <c r="AK241" s="52"/>
      <c r="AL241" s="52"/>
      <c r="AM241" s="119"/>
      <c r="AN241" s="52"/>
      <c r="AO241" s="52"/>
      <c r="AP241" s="52"/>
      <c r="AQ241" s="52"/>
      <c r="AR241" s="52"/>
      <c r="AS241" s="52"/>
      <c r="AT241" s="52"/>
      <c r="AU241" s="52"/>
      <c r="AV241" s="52"/>
      <c r="AW241" s="52"/>
      <c r="AX241" s="52"/>
      <c r="AY241" s="52"/>
      <c r="AZ241" s="52"/>
      <c r="BA241" s="52"/>
      <c r="BB241" s="52"/>
      <c r="BC241" s="52"/>
      <c r="BD241" s="52"/>
      <c r="BE241" s="52"/>
    </row>
    <row r="242" spans="1:57" ht="11.25" customHeight="1">
      <c r="A242" s="711"/>
      <c r="B242" s="712"/>
      <c r="C242" s="713"/>
      <c r="D242" s="713"/>
      <c r="E242" s="713"/>
      <c r="F242" s="152"/>
      <c r="G242" s="152"/>
      <c r="H242" s="714"/>
      <c r="I242" s="152"/>
      <c r="J242" s="152"/>
      <c r="K242" s="152"/>
      <c r="L242" s="152"/>
      <c r="M242" s="152"/>
      <c r="N242" s="152"/>
      <c r="O242" s="152"/>
      <c r="P242" s="152"/>
      <c r="Q242" s="152"/>
      <c r="R242" s="152"/>
      <c r="S242" s="859"/>
      <c r="T242" s="151"/>
      <c r="U242" s="151"/>
      <c r="V242" s="871"/>
      <c r="AD242" s="57"/>
      <c r="AG242" s="52"/>
      <c r="AH242" s="52"/>
      <c r="AI242" s="52"/>
      <c r="AM242" s="119"/>
    </row>
    <row r="243" spans="1:57" ht="11.25" customHeight="1">
      <c r="U243" s="52"/>
      <c r="V243" s="52"/>
      <c r="AD243" s="57"/>
      <c r="AG243" s="52"/>
      <c r="AH243" s="52"/>
      <c r="AI243" s="52"/>
      <c r="AM243" s="136"/>
    </row>
    <row r="244" spans="1:57" ht="11.25" customHeight="1">
      <c r="U244" s="52"/>
      <c r="V244" s="52"/>
      <c r="AD244" s="57"/>
      <c r="AG244" s="52"/>
      <c r="AH244" s="52"/>
      <c r="AI244" s="52"/>
    </row>
    <row r="245" spans="1:57" ht="11.25" customHeight="1">
      <c r="U245" s="52"/>
      <c r="V245" s="52"/>
      <c r="AD245" s="57"/>
      <c r="AG245" s="52"/>
      <c r="AH245" s="52"/>
      <c r="AI245" s="52"/>
    </row>
    <row r="246" spans="1:57" ht="11.25" customHeight="1">
      <c r="U246" s="52"/>
      <c r="V246" s="52"/>
      <c r="AD246" s="57"/>
      <c r="AG246" s="52"/>
      <c r="AH246" s="52"/>
      <c r="AI246" s="52"/>
    </row>
    <row r="247" spans="1:57" ht="11.25" customHeight="1">
      <c r="U247" s="52"/>
      <c r="V247" s="52"/>
      <c r="AD247" s="57"/>
      <c r="AG247" s="52"/>
      <c r="AH247" s="52"/>
      <c r="AI247" s="52"/>
    </row>
    <row r="248" spans="1:57" ht="11.25" customHeight="1">
      <c r="U248" s="52"/>
      <c r="V248" s="52"/>
      <c r="AD248" s="57"/>
      <c r="AG248" s="52"/>
      <c r="AH248" s="52"/>
      <c r="AI248" s="52"/>
    </row>
    <row r="249" spans="1:57" ht="11.25" customHeight="1">
      <c r="U249" s="52"/>
      <c r="V249" s="52"/>
      <c r="AD249" s="57"/>
      <c r="AG249" s="52"/>
      <c r="AH249" s="52"/>
      <c r="AI249" s="52"/>
    </row>
    <row r="250" spans="1:57" ht="11.25" customHeight="1">
      <c r="U250" s="52"/>
      <c r="V250" s="52"/>
      <c r="AD250" s="57"/>
      <c r="AG250" s="52"/>
      <c r="AH250" s="52"/>
      <c r="AI250" s="52"/>
    </row>
    <row r="251" spans="1:57" ht="11.25" customHeight="1">
      <c r="U251" s="52"/>
      <c r="V251" s="52"/>
      <c r="AD251" s="57"/>
      <c r="AG251" s="52"/>
      <c r="AH251" s="52"/>
      <c r="AI251" s="52"/>
    </row>
    <row r="252" spans="1:57" ht="11.25" customHeight="1">
      <c r="U252" s="52"/>
      <c r="V252" s="52"/>
      <c r="AD252" s="57"/>
      <c r="AG252" s="52"/>
      <c r="AH252" s="52"/>
      <c r="AI252" s="52"/>
    </row>
    <row r="253" spans="1:57" ht="11.25" customHeight="1">
      <c r="U253" s="52"/>
      <c r="V253" s="52"/>
      <c r="AD253" s="57"/>
      <c r="AG253" s="52"/>
      <c r="AH253" s="52"/>
      <c r="AI253" s="52"/>
    </row>
    <row r="254" spans="1:57" ht="11.25" customHeight="1">
      <c r="U254" s="52"/>
      <c r="V254" s="52"/>
      <c r="W254" s="289"/>
      <c r="X254" s="289"/>
      <c r="Y254" s="289"/>
      <c r="Z254" s="289"/>
      <c r="AA254" s="289"/>
      <c r="AB254" s="289"/>
      <c r="AC254" s="289"/>
      <c r="AD254" s="710"/>
      <c r="AE254" s="289"/>
      <c r="AF254" s="289"/>
      <c r="AG254" s="363"/>
      <c r="AH254" s="363"/>
      <c r="AI254" s="363"/>
      <c r="AJ254" s="363"/>
      <c r="AK254" s="363"/>
      <c r="AL254" s="363"/>
    </row>
    <row r="363" spans="40:40" ht="11.25" customHeight="1">
      <c r="AN363" s="52" t="b">
        <v>1</v>
      </c>
    </row>
  </sheetData>
  <mergeCells count="71">
    <mergeCell ref="B5:S6"/>
    <mergeCell ref="A203:T203"/>
    <mergeCell ref="Z7:AD7"/>
    <mergeCell ref="X7:Y7"/>
    <mergeCell ref="K7:Q7"/>
    <mergeCell ref="Q8:Q10"/>
    <mergeCell ref="O10:P10"/>
    <mergeCell ref="Y8:Y10"/>
    <mergeCell ref="B175:B176"/>
    <mergeCell ref="L129:N129"/>
    <mergeCell ref="P129:S129"/>
    <mergeCell ref="B166:H167"/>
    <mergeCell ref="A170:T170"/>
    <mergeCell ref="X8:X10"/>
    <mergeCell ref="L62:S62"/>
    <mergeCell ref="L61:N61"/>
    <mergeCell ref="A34:T34"/>
    <mergeCell ref="A35:T35"/>
    <mergeCell ref="A102:T102"/>
    <mergeCell ref="A103:T103"/>
    <mergeCell ref="A67:T67"/>
    <mergeCell ref="A68:T68"/>
    <mergeCell ref="K75:Q75"/>
    <mergeCell ref="R75:R78"/>
    <mergeCell ref="Q76:Q78"/>
    <mergeCell ref="O78:P78"/>
    <mergeCell ref="G76:G77"/>
    <mergeCell ref="F76:F77"/>
    <mergeCell ref="E76:E77"/>
    <mergeCell ref="AT103:AT105"/>
    <mergeCell ref="B7:B10"/>
    <mergeCell ref="D8:D9"/>
    <mergeCell ref="O8:P9"/>
    <mergeCell ref="N8:N9"/>
    <mergeCell ref="M8:M9"/>
    <mergeCell ref="L8:L9"/>
    <mergeCell ref="K8:K9"/>
    <mergeCell ref="I7:I10"/>
    <mergeCell ref="H8:H9"/>
    <mergeCell ref="G8:G9"/>
    <mergeCell ref="F8:F9"/>
    <mergeCell ref="E8:E9"/>
    <mergeCell ref="D7:H7"/>
    <mergeCell ref="P61:S61"/>
    <mergeCell ref="D76:D77"/>
    <mergeCell ref="AZ35:BD35"/>
    <mergeCell ref="AU35:AY35"/>
    <mergeCell ref="AT35:AT37"/>
    <mergeCell ref="AO35:AS35"/>
    <mergeCell ref="I75:I78"/>
    <mergeCell ref="L130:S130"/>
    <mergeCell ref="A135:T135"/>
    <mergeCell ref="A171:T171"/>
    <mergeCell ref="Z74:AD74"/>
    <mergeCell ref="X75:Y75"/>
    <mergeCell ref="X76:X78"/>
    <mergeCell ref="Y76:Y78"/>
    <mergeCell ref="B75:B78"/>
    <mergeCell ref="D75:H75"/>
    <mergeCell ref="B73:S74"/>
    <mergeCell ref="O76:P77"/>
    <mergeCell ref="N76:N77"/>
    <mergeCell ref="M76:M77"/>
    <mergeCell ref="L76:L77"/>
    <mergeCell ref="K76:K77"/>
    <mergeCell ref="H76:H77"/>
    <mergeCell ref="A204:T204"/>
    <mergeCell ref="B140:B141"/>
    <mergeCell ref="A136:T136"/>
    <mergeCell ref="B138:I139"/>
    <mergeCell ref="B173:H174"/>
  </mergeCells>
  <conditionalFormatting sqref="A1:A204">
    <cfRule type="containsErrors" dxfId="176" priority="11">
      <formula>ISERROR(A1)</formula>
    </cfRule>
  </conditionalFormatting>
  <conditionalFormatting sqref="A11:A30 A79:A99 A142:A162 A177:A195">
    <cfRule type="cellIs" dxfId="175" priority="87" operator="equal">
      <formula>0</formula>
    </cfRule>
  </conditionalFormatting>
  <conditionalFormatting sqref="A255:A1048576">
    <cfRule type="containsErrors" dxfId="174" priority="82">
      <formula>ISERROR(A255)</formula>
    </cfRule>
  </conditionalFormatting>
  <conditionalFormatting sqref="B11:B29 D11:I29 K11:Q29 B79:B97 D79:I97 K79:R97 B177:B195 D177:H195">
    <cfRule type="expression" dxfId="173" priority="1">
      <formula>$B11=$X$4</formula>
    </cfRule>
  </conditionalFormatting>
  <conditionalFormatting sqref="B116:C131">
    <cfRule type="containsErrors" dxfId="172" priority="38">
      <formula>ISERROR(B116)</formula>
    </cfRule>
  </conditionalFormatting>
  <conditionalFormatting sqref="B197:H197">
    <cfRule type="containsErrors" dxfId="171" priority="40">
      <formula>ISERROR(B197)</formula>
    </cfRule>
  </conditionalFormatting>
  <conditionalFormatting sqref="D8:H8">
    <cfRule type="containsErrors" dxfId="170" priority="56">
      <formula>ISERROR(D8)</formula>
    </cfRule>
  </conditionalFormatting>
  <conditionalFormatting sqref="D10:H10">
    <cfRule type="containsErrors" dxfId="169" priority="59">
      <formula>ISERROR(D10)</formula>
    </cfRule>
  </conditionalFormatting>
  <conditionalFormatting sqref="D76:H76">
    <cfRule type="containsErrors" dxfId="168" priority="32">
      <formula>ISERROR(D76)</formula>
    </cfRule>
  </conditionalFormatting>
  <conditionalFormatting sqref="D78:H78">
    <cfRule type="containsErrors" dxfId="167" priority="34">
      <formula>ISERROR(D78)</formula>
    </cfRule>
  </conditionalFormatting>
  <conditionalFormatting sqref="D140:H140">
    <cfRule type="containsErrors" dxfId="166" priority="43">
      <formula>ISERROR(D140)</formula>
    </cfRule>
  </conditionalFormatting>
  <conditionalFormatting sqref="D141:H141">
    <cfRule type="containsErrors" dxfId="165" priority="46">
      <formula>ISERROR(D141)</formula>
    </cfRule>
  </conditionalFormatting>
  <conditionalFormatting sqref="D142:H162">
    <cfRule type="containsErrors" dxfId="164" priority="80">
      <formula>ISERROR(D142)</formula>
    </cfRule>
  </conditionalFormatting>
  <conditionalFormatting sqref="D163:H163">
    <cfRule type="containsErrors" dxfId="163" priority="72">
      <formula>ISERROR(D163)</formula>
    </cfRule>
  </conditionalFormatting>
  <conditionalFormatting sqref="D175:H175">
    <cfRule type="containsErrors" dxfId="162" priority="41">
      <formula>ISERROR(D175)</formula>
    </cfRule>
  </conditionalFormatting>
  <conditionalFormatting sqref="D176:H176">
    <cfRule type="containsErrors" dxfId="161" priority="42">
      <formula>ISERROR(D176)</formula>
    </cfRule>
  </conditionalFormatting>
  <conditionalFormatting sqref="D11:I29 Q11:Q29 Q79:R97 B11:B29 K11:O29 AE11:AF29 B48:C63 AJ79:AK83 B79:B97 D79:H97 K79:O97 AJ84:AJ94 AK84:AK97 AJ96:AJ97 B142:B162 B177:B195 D177:H195">
    <cfRule type="containsErrors" dxfId="160" priority="1305">
      <formula>ISERROR(B11)</formula>
    </cfRule>
  </conditionalFormatting>
  <conditionalFormatting sqref="D31:I31 K31:S31 D99:H99">
    <cfRule type="containsErrors" dxfId="159" priority="49">
      <formula>ISERROR(D31)</formula>
    </cfRule>
  </conditionalFormatting>
  <conditionalFormatting sqref="I11:I29 Q11:Q29 Q79:Q97">
    <cfRule type="containsErrors" dxfId="158" priority="39">
      <formula>ISERROR(I11)</formula>
    </cfRule>
  </conditionalFormatting>
  <conditionalFormatting sqref="I30">
    <cfRule type="containsErrors" dxfId="157" priority="66">
      <formula>ISERROR(I30)</formula>
    </cfRule>
  </conditionalFormatting>
  <conditionalFormatting sqref="K8:O8 K76:O76">
    <cfRule type="containsErrors" dxfId="156" priority="57">
      <formula>ISERROR(K8)</formula>
    </cfRule>
  </conditionalFormatting>
  <conditionalFormatting sqref="K10:O10">
    <cfRule type="containsErrors" dxfId="155" priority="58">
      <formula>ISERROR(K10)</formula>
    </cfRule>
  </conditionalFormatting>
  <conditionalFormatting sqref="K78:O78">
    <cfRule type="containsErrors" dxfId="154" priority="33">
      <formula>ISERROR(K78)</formula>
    </cfRule>
  </conditionalFormatting>
  <conditionalFormatting sqref="K99:R99">
    <cfRule type="containsErrors" dxfId="153" priority="6">
      <formula>ISERROR(K99)</formula>
    </cfRule>
  </conditionalFormatting>
  <conditionalFormatting sqref="P11:P31">
    <cfRule type="dataBar" priority="3007">
      <dataBar showValue="0">
        <cfvo type="min"/>
        <cfvo type="max"/>
        <color theme="9"/>
      </dataBar>
      <extLst>
        <ext xmlns:x14="http://schemas.microsoft.com/office/spreadsheetml/2009/9/main" uri="{B025F937-C7B1-47D3-B67F-A62EFF666E3E}">
          <x14:id>{21F141F2-05C7-4925-AF46-BF0AB5D6F6B5}</x14:id>
        </ext>
      </extLst>
    </cfRule>
    <cfRule type="containsErrors" dxfId="152" priority="3006">
      <formula>ISERROR(P11)</formula>
    </cfRule>
  </conditionalFormatting>
  <conditionalFormatting sqref="P30:P31">
    <cfRule type="containsErrors" dxfId="151" priority="51">
      <formula>ISERROR(P30)</formula>
    </cfRule>
  </conditionalFormatting>
  <conditionalFormatting sqref="P79:P99">
    <cfRule type="containsErrors" dxfId="150" priority="2878">
      <formula>ISERROR(P79)</formula>
    </cfRule>
    <cfRule type="dataBar" priority="2879">
      <dataBar showValue="0">
        <cfvo type="min"/>
        <cfvo type="max"/>
        <color theme="9"/>
      </dataBar>
      <extLst>
        <ext xmlns:x14="http://schemas.microsoft.com/office/spreadsheetml/2009/9/main" uri="{B025F937-C7B1-47D3-B67F-A62EFF666E3E}">
          <x14:id>{33732814-8D6C-4C72-B8C7-C606031D15F8}</x14:id>
        </ext>
      </extLst>
    </cfRule>
  </conditionalFormatting>
  <conditionalFormatting sqref="P98:P99">
    <cfRule type="containsErrors" dxfId="149" priority="20">
      <formula>ISERROR(P98)</formula>
    </cfRule>
  </conditionalFormatting>
  <conditionalFormatting sqref="R98">
    <cfRule type="containsErrors" dxfId="148" priority="30">
      <formula>ISERROR(R98)</formula>
    </cfRule>
  </conditionalFormatting>
  <conditionalFormatting sqref="X2:AC3">
    <cfRule type="containsErrors" dxfId="147" priority="52">
      <formula>ISERROR(X2)</formula>
    </cfRule>
  </conditionalFormatting>
  <conditionalFormatting sqref="Z10:AD10">
    <cfRule type="cellIs" dxfId="146" priority="109" stopIfTrue="1" operator="equal">
      <formula>0</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4" manualBreakCount="4">
    <brk id="35" max="20" man="1"/>
    <brk id="68" max="20" man="1"/>
    <brk id="103" max="20" man="1"/>
    <brk id="171" max="20" man="1"/>
  </rowBreaks>
  <ignoredErrors>
    <ignoredError sqref="A177:A189 A142:A158 A79 A11:A23 A159:A162 A192:A195 A26:A30 A24:A25 A190:A191"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08545" r:id="rId4" name="Check Box 1">
              <controlPr defaultSize="0" autoFill="0" autoLine="0" autoPict="0" macro="[0]!CheckBox1_Click" altText="">
                <anchor>
                  <from>
                    <xdr:col>21</xdr:col>
                    <xdr:colOff>85725</xdr:colOff>
                    <xdr:row>36</xdr:row>
                    <xdr:rowOff>38100</xdr:rowOff>
                  </from>
                  <to>
                    <xdr:col>38</xdr:col>
                    <xdr:colOff>57150</xdr:colOff>
                    <xdr:row>38</xdr:row>
                    <xdr:rowOff>19050</xdr:rowOff>
                  </to>
                </anchor>
              </controlPr>
            </control>
          </mc:Choice>
        </mc:AlternateContent>
        <mc:AlternateContent xmlns:mc="http://schemas.openxmlformats.org/markup-compatibility/2006">
          <mc:Choice Requires="x14">
            <control shapeId="108546" r:id="rId5" name="Check Box 2">
              <controlPr defaultSize="0" autoFill="0" autoLine="0" autoPict="0" macro="[0]!CheckBox1_Click" altText="">
                <anchor>
                  <from>
                    <xdr:col>21</xdr:col>
                    <xdr:colOff>85725</xdr:colOff>
                    <xdr:row>37</xdr:row>
                    <xdr:rowOff>161925</xdr:rowOff>
                  </from>
                  <to>
                    <xdr:col>38</xdr:col>
                    <xdr:colOff>57150</xdr:colOff>
                    <xdr:row>39</xdr:row>
                    <xdr:rowOff>19050</xdr:rowOff>
                  </to>
                </anchor>
              </controlPr>
            </control>
          </mc:Choice>
        </mc:AlternateContent>
        <mc:AlternateContent xmlns:mc="http://schemas.openxmlformats.org/markup-compatibility/2006">
          <mc:Choice Requires="x14">
            <control shapeId="108547" r:id="rId6" name="Check Box 3">
              <controlPr defaultSize="0" autoFill="0" autoLine="0" autoPict="0" macro="[0]!CheckBox1_Click" altText="">
                <anchor>
                  <from>
                    <xdr:col>21</xdr:col>
                    <xdr:colOff>85725</xdr:colOff>
                    <xdr:row>38</xdr:row>
                    <xdr:rowOff>161925</xdr:rowOff>
                  </from>
                  <to>
                    <xdr:col>38</xdr:col>
                    <xdr:colOff>57150</xdr:colOff>
                    <xdr:row>40</xdr:row>
                    <xdr:rowOff>19050</xdr:rowOff>
                  </to>
                </anchor>
              </controlPr>
            </control>
          </mc:Choice>
        </mc:AlternateContent>
        <mc:AlternateContent xmlns:mc="http://schemas.openxmlformats.org/markup-compatibility/2006">
          <mc:Choice Requires="x14">
            <control shapeId="108548" r:id="rId7" name="Check Box 4">
              <controlPr defaultSize="0" autoFill="0" autoLine="0" autoPict="0" macro="[0]!CheckBox1_Click" altText="">
                <anchor>
                  <from>
                    <xdr:col>21</xdr:col>
                    <xdr:colOff>85725</xdr:colOff>
                    <xdr:row>39</xdr:row>
                    <xdr:rowOff>161925</xdr:rowOff>
                  </from>
                  <to>
                    <xdr:col>38</xdr:col>
                    <xdr:colOff>57150</xdr:colOff>
                    <xdr:row>41</xdr:row>
                    <xdr:rowOff>19050</xdr:rowOff>
                  </to>
                </anchor>
              </controlPr>
            </control>
          </mc:Choice>
        </mc:AlternateContent>
        <mc:AlternateContent xmlns:mc="http://schemas.openxmlformats.org/markup-compatibility/2006">
          <mc:Choice Requires="x14">
            <control shapeId="108549" r:id="rId8" name="Check Box 5">
              <controlPr defaultSize="0" autoFill="0" autoLine="0" autoPict="0" macro="[0]!CheckBox1_Click" altText="">
                <anchor>
                  <from>
                    <xdr:col>21</xdr:col>
                    <xdr:colOff>85725</xdr:colOff>
                    <xdr:row>40</xdr:row>
                    <xdr:rowOff>161925</xdr:rowOff>
                  </from>
                  <to>
                    <xdr:col>38</xdr:col>
                    <xdr:colOff>57150</xdr:colOff>
                    <xdr:row>42</xdr:row>
                    <xdr:rowOff>19050</xdr:rowOff>
                  </to>
                </anchor>
              </controlPr>
            </control>
          </mc:Choice>
        </mc:AlternateContent>
        <mc:AlternateContent xmlns:mc="http://schemas.openxmlformats.org/markup-compatibility/2006">
          <mc:Choice Requires="x14">
            <control shapeId="108550" r:id="rId9" name="Check Box 6">
              <controlPr defaultSize="0" autoFill="0" autoLine="0" autoPict="0" macro="[0]!CheckBox1_Click" altText="">
                <anchor>
                  <from>
                    <xdr:col>21</xdr:col>
                    <xdr:colOff>85725</xdr:colOff>
                    <xdr:row>41</xdr:row>
                    <xdr:rowOff>161925</xdr:rowOff>
                  </from>
                  <to>
                    <xdr:col>38</xdr:col>
                    <xdr:colOff>57150</xdr:colOff>
                    <xdr:row>43</xdr:row>
                    <xdr:rowOff>19050</xdr:rowOff>
                  </to>
                </anchor>
              </controlPr>
            </control>
          </mc:Choice>
        </mc:AlternateContent>
        <mc:AlternateContent xmlns:mc="http://schemas.openxmlformats.org/markup-compatibility/2006">
          <mc:Choice Requires="x14">
            <control shapeId="108551" r:id="rId10" name="Check Box 7">
              <controlPr defaultSize="0" autoFill="0" autoLine="0" autoPict="0" macro="[0]!CheckBox1_Click" altText="">
                <anchor>
                  <from>
                    <xdr:col>21</xdr:col>
                    <xdr:colOff>85725</xdr:colOff>
                    <xdr:row>42</xdr:row>
                    <xdr:rowOff>161925</xdr:rowOff>
                  </from>
                  <to>
                    <xdr:col>38</xdr:col>
                    <xdr:colOff>57150</xdr:colOff>
                    <xdr:row>44</xdr:row>
                    <xdr:rowOff>19050</xdr:rowOff>
                  </to>
                </anchor>
              </controlPr>
            </control>
          </mc:Choice>
        </mc:AlternateContent>
        <mc:AlternateContent xmlns:mc="http://schemas.openxmlformats.org/markup-compatibility/2006">
          <mc:Choice Requires="x14">
            <control shapeId="108552" r:id="rId11" name="Check Box 8">
              <controlPr defaultSize="0" autoFill="0" autoLine="0" autoPict="0" macro="[0]!CheckBox1_Click" altText="">
                <anchor>
                  <from>
                    <xdr:col>21</xdr:col>
                    <xdr:colOff>85725</xdr:colOff>
                    <xdr:row>43</xdr:row>
                    <xdr:rowOff>161925</xdr:rowOff>
                  </from>
                  <to>
                    <xdr:col>38</xdr:col>
                    <xdr:colOff>57150</xdr:colOff>
                    <xdr:row>45</xdr:row>
                    <xdr:rowOff>19050</xdr:rowOff>
                  </to>
                </anchor>
              </controlPr>
            </control>
          </mc:Choice>
        </mc:AlternateContent>
        <mc:AlternateContent xmlns:mc="http://schemas.openxmlformats.org/markup-compatibility/2006">
          <mc:Choice Requires="x14">
            <control shapeId="108553" r:id="rId12" name="Check Box 9">
              <controlPr defaultSize="0" autoFill="0" autoLine="0" autoPict="0" macro="[0]!CheckBox1_Click" altText="">
                <anchor>
                  <from>
                    <xdr:col>21</xdr:col>
                    <xdr:colOff>85725</xdr:colOff>
                    <xdr:row>44</xdr:row>
                    <xdr:rowOff>161925</xdr:rowOff>
                  </from>
                  <to>
                    <xdr:col>38</xdr:col>
                    <xdr:colOff>57150</xdr:colOff>
                    <xdr:row>46</xdr:row>
                    <xdr:rowOff>19050</xdr:rowOff>
                  </to>
                </anchor>
              </controlPr>
            </control>
          </mc:Choice>
        </mc:AlternateContent>
        <mc:AlternateContent xmlns:mc="http://schemas.openxmlformats.org/markup-compatibility/2006">
          <mc:Choice Requires="x14">
            <control shapeId="108554" r:id="rId13" name="Check Box 10">
              <controlPr defaultSize="0" autoFill="0" autoLine="0" autoPict="0" macro="[0]!CheckBox1_Click" altText="">
                <anchor>
                  <from>
                    <xdr:col>21</xdr:col>
                    <xdr:colOff>85725</xdr:colOff>
                    <xdr:row>45</xdr:row>
                    <xdr:rowOff>161925</xdr:rowOff>
                  </from>
                  <to>
                    <xdr:col>38</xdr:col>
                    <xdr:colOff>57150</xdr:colOff>
                    <xdr:row>47</xdr:row>
                    <xdr:rowOff>19050</xdr:rowOff>
                  </to>
                </anchor>
              </controlPr>
            </control>
          </mc:Choice>
        </mc:AlternateContent>
        <mc:AlternateContent xmlns:mc="http://schemas.openxmlformats.org/markup-compatibility/2006">
          <mc:Choice Requires="x14">
            <control shapeId="108555" r:id="rId14" name="Check Box 11">
              <controlPr defaultSize="0" autoFill="0" autoLine="0" autoPict="0" macro="[0]!CheckBox1_Click" altText="">
                <anchor>
                  <from>
                    <xdr:col>21</xdr:col>
                    <xdr:colOff>85725</xdr:colOff>
                    <xdr:row>46</xdr:row>
                    <xdr:rowOff>161925</xdr:rowOff>
                  </from>
                  <to>
                    <xdr:col>38</xdr:col>
                    <xdr:colOff>57150</xdr:colOff>
                    <xdr:row>48</xdr:row>
                    <xdr:rowOff>19050</xdr:rowOff>
                  </to>
                </anchor>
              </controlPr>
            </control>
          </mc:Choice>
        </mc:AlternateContent>
        <mc:AlternateContent xmlns:mc="http://schemas.openxmlformats.org/markup-compatibility/2006">
          <mc:Choice Requires="x14">
            <control shapeId="108556" r:id="rId15" name="Check Box 12">
              <controlPr defaultSize="0" autoFill="0" autoLine="0" autoPict="0" macro="[0]!CheckBox1_Click" altText="">
                <anchor>
                  <from>
                    <xdr:col>21</xdr:col>
                    <xdr:colOff>85725</xdr:colOff>
                    <xdr:row>47</xdr:row>
                    <xdr:rowOff>161925</xdr:rowOff>
                  </from>
                  <to>
                    <xdr:col>38</xdr:col>
                    <xdr:colOff>57150</xdr:colOff>
                    <xdr:row>49</xdr:row>
                    <xdr:rowOff>19050</xdr:rowOff>
                  </to>
                </anchor>
              </controlPr>
            </control>
          </mc:Choice>
        </mc:AlternateContent>
        <mc:AlternateContent xmlns:mc="http://schemas.openxmlformats.org/markup-compatibility/2006">
          <mc:Choice Requires="x14">
            <control shapeId="108557" r:id="rId16" name="Check Box 13">
              <controlPr defaultSize="0" autoFill="0" autoLine="0" autoPict="0" macro="[0]!CheckBox1_Click" altText="">
                <anchor>
                  <from>
                    <xdr:col>21</xdr:col>
                    <xdr:colOff>85725</xdr:colOff>
                    <xdr:row>48</xdr:row>
                    <xdr:rowOff>161925</xdr:rowOff>
                  </from>
                  <to>
                    <xdr:col>38</xdr:col>
                    <xdr:colOff>57150</xdr:colOff>
                    <xdr:row>50</xdr:row>
                    <xdr:rowOff>19050</xdr:rowOff>
                  </to>
                </anchor>
              </controlPr>
            </control>
          </mc:Choice>
        </mc:AlternateContent>
        <mc:AlternateContent xmlns:mc="http://schemas.openxmlformats.org/markup-compatibility/2006">
          <mc:Choice Requires="x14">
            <control shapeId="108559" r:id="rId17" name="Check Box 15">
              <controlPr defaultSize="0" autoFill="0" autoLine="0" autoPict="0" macro="[0]!CheckBox1_Click" altText="">
                <anchor>
                  <from>
                    <xdr:col>21</xdr:col>
                    <xdr:colOff>85725</xdr:colOff>
                    <xdr:row>49</xdr:row>
                    <xdr:rowOff>161925</xdr:rowOff>
                  </from>
                  <to>
                    <xdr:col>38</xdr:col>
                    <xdr:colOff>57150</xdr:colOff>
                    <xdr:row>51</xdr:row>
                    <xdr:rowOff>19050</xdr:rowOff>
                  </to>
                </anchor>
              </controlPr>
            </control>
          </mc:Choice>
        </mc:AlternateContent>
        <mc:AlternateContent xmlns:mc="http://schemas.openxmlformats.org/markup-compatibility/2006">
          <mc:Choice Requires="x14">
            <control shapeId="108560" r:id="rId18" name="Check Box 16">
              <controlPr defaultSize="0" autoFill="0" autoLine="0" autoPict="0" macro="[0]!CheckBox1_Click" altText="">
                <anchor>
                  <from>
                    <xdr:col>21</xdr:col>
                    <xdr:colOff>85725</xdr:colOff>
                    <xdr:row>50</xdr:row>
                    <xdr:rowOff>161925</xdr:rowOff>
                  </from>
                  <to>
                    <xdr:col>38</xdr:col>
                    <xdr:colOff>57150</xdr:colOff>
                    <xdr:row>52</xdr:row>
                    <xdr:rowOff>19050</xdr:rowOff>
                  </to>
                </anchor>
              </controlPr>
            </control>
          </mc:Choice>
        </mc:AlternateContent>
        <mc:AlternateContent xmlns:mc="http://schemas.openxmlformats.org/markup-compatibility/2006">
          <mc:Choice Requires="x14">
            <control shapeId="108561" r:id="rId19" name="Check Box 17">
              <controlPr defaultSize="0" autoFill="0" autoLine="0" autoPict="0" macro="[0]!CheckBox1_Click" altText="">
                <anchor>
                  <from>
                    <xdr:col>21</xdr:col>
                    <xdr:colOff>85725</xdr:colOff>
                    <xdr:row>51</xdr:row>
                    <xdr:rowOff>171450</xdr:rowOff>
                  </from>
                  <to>
                    <xdr:col>38</xdr:col>
                    <xdr:colOff>57150</xdr:colOff>
                    <xdr:row>53</xdr:row>
                    <xdr:rowOff>28575</xdr:rowOff>
                  </to>
                </anchor>
              </controlPr>
            </control>
          </mc:Choice>
        </mc:AlternateContent>
        <mc:AlternateContent xmlns:mc="http://schemas.openxmlformats.org/markup-compatibility/2006">
          <mc:Choice Requires="x14">
            <control shapeId="108562" r:id="rId20" name="Check Box 18">
              <controlPr defaultSize="0" autoFill="0" autoLine="0" autoPict="0" macro="[0]!CheckBox1_Click" altText="">
                <anchor>
                  <from>
                    <xdr:col>21</xdr:col>
                    <xdr:colOff>85725</xdr:colOff>
                    <xdr:row>52</xdr:row>
                    <xdr:rowOff>171450</xdr:rowOff>
                  </from>
                  <to>
                    <xdr:col>38</xdr:col>
                    <xdr:colOff>57150</xdr:colOff>
                    <xdr:row>54</xdr:row>
                    <xdr:rowOff>28575</xdr:rowOff>
                  </to>
                </anchor>
              </controlPr>
            </control>
          </mc:Choice>
        </mc:AlternateContent>
        <mc:AlternateContent xmlns:mc="http://schemas.openxmlformats.org/markup-compatibility/2006">
          <mc:Choice Requires="x14">
            <control shapeId="108563" r:id="rId21" name="Check Box 19">
              <controlPr defaultSize="0" autoFill="0" autoLine="0" autoPict="0" macro="[0]!CheckBox1_Click" altText="">
                <anchor>
                  <from>
                    <xdr:col>21</xdr:col>
                    <xdr:colOff>85725</xdr:colOff>
                    <xdr:row>53</xdr:row>
                    <xdr:rowOff>171450</xdr:rowOff>
                  </from>
                  <to>
                    <xdr:col>38</xdr:col>
                    <xdr:colOff>57150</xdr:colOff>
                    <xdr:row>55</xdr:row>
                    <xdr:rowOff>28575</xdr:rowOff>
                  </to>
                </anchor>
              </controlPr>
            </control>
          </mc:Choice>
        </mc:AlternateContent>
        <mc:AlternateContent xmlns:mc="http://schemas.openxmlformats.org/markup-compatibility/2006">
          <mc:Choice Requires="x14">
            <control shapeId="108564" r:id="rId22" name="Check Box 20">
              <controlPr defaultSize="0" autoFill="0" autoLine="0" autoPict="0" macro="[0]!CheckBox1_Click" altText="">
                <anchor>
                  <from>
                    <xdr:col>21</xdr:col>
                    <xdr:colOff>85725</xdr:colOff>
                    <xdr:row>54</xdr:row>
                    <xdr:rowOff>171450</xdr:rowOff>
                  </from>
                  <to>
                    <xdr:col>38</xdr:col>
                    <xdr:colOff>57150</xdr:colOff>
                    <xdr:row>56</xdr:row>
                    <xdr:rowOff>28575</xdr:rowOff>
                  </to>
                </anchor>
              </controlPr>
            </control>
          </mc:Choice>
        </mc:AlternateContent>
        <mc:AlternateContent xmlns:mc="http://schemas.openxmlformats.org/markup-compatibility/2006">
          <mc:Choice Requires="x14">
            <control shapeId="108565" r:id="rId23" name="Check Box 21">
              <controlPr defaultSize="0" autoFill="0" autoLine="0" autoPict="0" macro="[0]!CheckBox1_Click" altText="">
                <anchor>
                  <from>
                    <xdr:col>21</xdr:col>
                    <xdr:colOff>85725</xdr:colOff>
                    <xdr:row>55</xdr:row>
                    <xdr:rowOff>171450</xdr:rowOff>
                  </from>
                  <to>
                    <xdr:col>38</xdr:col>
                    <xdr:colOff>57150</xdr:colOff>
                    <xdr:row>57</xdr:row>
                    <xdr:rowOff>28575</xdr:rowOff>
                  </to>
                </anchor>
              </controlPr>
            </control>
          </mc:Choice>
        </mc:AlternateContent>
        <mc:AlternateContent xmlns:mc="http://schemas.openxmlformats.org/markup-compatibility/2006">
          <mc:Choice Requires="x14">
            <control shapeId="108568" r:id="rId24" name="Check Box 24">
              <controlPr defaultSize="0" autoFill="0" autoLine="0" autoPict="0" macro="[0]!CheckBox1_Click" altText="">
                <anchor>
                  <from>
                    <xdr:col>21</xdr:col>
                    <xdr:colOff>85725</xdr:colOff>
                    <xdr:row>56</xdr:row>
                    <xdr:rowOff>161925</xdr:rowOff>
                  </from>
                  <to>
                    <xdr:col>38</xdr:col>
                    <xdr:colOff>57150</xdr:colOff>
                    <xdr:row>58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1F141F2-05C7-4925-AF46-BF0AB5D6F6B5}">
            <x14:dataBar minLength="0" maxLength="100" gradient="0" negativeBarColorSameAsPositive="1">
              <x14:cfvo type="autoMin"/>
              <x14:cfvo type="autoMax"/>
              <x14:axisColor rgb="FF000000"/>
            </x14:dataBar>
          </x14:cfRule>
          <xm:sqref>P11:P31</xm:sqref>
        </x14:conditionalFormatting>
        <x14:conditionalFormatting xmlns:xm="http://schemas.microsoft.com/office/excel/2006/main">
          <x14:cfRule type="dataBar" id="{33732814-8D6C-4C72-B8C7-C606031D15F8}">
            <x14:dataBar minLength="0" maxLength="100" gradient="0" negativeBarColorSameAsPositive="1">
              <x14:cfvo type="autoMin"/>
              <x14:cfvo type="autoMax"/>
              <x14:axisColor rgb="FF000000"/>
            </x14:dataBar>
          </x14:cfRule>
          <xm:sqref>P79:P99</xm:sqref>
        </x14:conditionalFormatting>
      </x14:conditionalFormattings>
    </ext>
    <ext xmlns:x14="http://schemas.microsoft.com/office/spreadsheetml/2009/9/main" uri="{05C60535-1F16-4fd2-B633-F4F36F0B64E0}">
      <x14:sparklineGroups xmlns:xm="http://schemas.microsoft.com/office/excel/2006/main">
        <x14:sparklineGroup displayEmptyCellsAs="gap" xr2:uid="{0CED99B3-A1A9-412E-B2E3-944482B218BE}">
          <x14:colorSeries rgb="FF376092"/>
          <x14:colorNegative rgb="FFD00000"/>
          <x14:colorAxis rgb="FF000000"/>
          <x14:colorMarkers rgb="FFD00000"/>
          <x14:colorFirst rgb="FFD00000"/>
          <x14:colorLast rgb="FFD00000"/>
          <x14:colorHigh rgb="FFD00000"/>
          <x14:colorLow rgb="FFD00000"/>
          <x14:sparklines>
            <x14:sparkline>
              <xm:f>Permanence!D79:H79</xm:f>
              <xm:sqref>I79</xm:sqref>
            </x14:sparkline>
            <x14:sparkline>
              <xm:f>Permanence!D80:H80</xm:f>
              <xm:sqref>I80</xm:sqref>
            </x14:sparkline>
            <x14:sparkline>
              <xm:f>Permanence!D81:H81</xm:f>
              <xm:sqref>I81</xm:sqref>
            </x14:sparkline>
            <x14:sparkline>
              <xm:f>Permanence!D82:H82</xm:f>
              <xm:sqref>I82</xm:sqref>
            </x14:sparkline>
            <x14:sparkline>
              <xm:f>Permanence!D83:H83</xm:f>
              <xm:sqref>I83</xm:sqref>
            </x14:sparkline>
            <x14:sparkline>
              <xm:f>Permanence!D84:H84</xm:f>
              <xm:sqref>I84</xm:sqref>
            </x14:sparkline>
            <x14:sparkline>
              <xm:f>Permanence!D85:H85</xm:f>
              <xm:sqref>I85</xm:sqref>
            </x14:sparkline>
            <x14:sparkline>
              <xm:f>Permanence!D86:H86</xm:f>
              <xm:sqref>I86</xm:sqref>
            </x14:sparkline>
            <x14:sparkline>
              <xm:f>Permanence!D87:H87</xm:f>
              <xm:sqref>I87</xm:sqref>
            </x14:sparkline>
            <x14:sparkline>
              <xm:f>Permanence!D88:H88</xm:f>
              <xm:sqref>I88</xm:sqref>
            </x14:sparkline>
            <x14:sparkline>
              <xm:f>Permanence!D89:H89</xm:f>
              <xm:sqref>I89</xm:sqref>
            </x14:sparkline>
            <x14:sparkline>
              <xm:f>Permanence!D90:H90</xm:f>
              <xm:sqref>I90</xm:sqref>
            </x14:sparkline>
            <x14:sparkline>
              <xm:f>Permanence!D91:H91</xm:f>
              <xm:sqref>I91</xm:sqref>
            </x14:sparkline>
            <x14:sparkline>
              <xm:f>Permanence!D92:H92</xm:f>
              <xm:sqref>I92</xm:sqref>
            </x14:sparkline>
            <x14:sparkline>
              <xm:f>Permanence!D93:H93</xm:f>
              <xm:sqref>I93</xm:sqref>
            </x14:sparkline>
            <x14:sparkline>
              <xm:f>Permanence!D94:H94</xm:f>
              <xm:sqref>I94</xm:sqref>
            </x14:sparkline>
            <x14:sparkline>
              <xm:f>Permanence!D95:H95</xm:f>
              <xm:sqref>I95</xm:sqref>
            </x14:sparkline>
            <x14:sparkline>
              <xm:f>Permanence!D96:H96</xm:f>
              <xm:sqref>I96</xm:sqref>
            </x14:sparkline>
            <x14:sparkline>
              <xm:f>Permanence!D97:H97</xm:f>
              <xm:sqref>I97</xm:sqref>
            </x14:sparkline>
            <x14:sparkline>
              <xm:f>Permanence!D98:H98</xm:f>
              <xm:sqref>I98</xm:sqref>
            </x14:sparkline>
            <x14:sparkline>
              <xm:f>Permanence!D99:H99</xm:f>
              <xm:sqref>I99</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1">
    <tabColor rgb="FFFFC000"/>
  </sheetPr>
  <dimension ref="A1:BX285"/>
  <sheetViews>
    <sheetView showGridLines="0" showRowColHeaders="0" workbookViewId="0"/>
  </sheetViews>
  <sheetFormatPr defaultColWidth="9.140625" defaultRowHeight="11.25" customHeight="1"/>
  <cols>
    <col min="1" max="1" width="2" style="52" customWidth="1"/>
    <col min="2" max="2" width="19.42578125" style="52" customWidth="1"/>
    <col min="3" max="3" width="1.140625" style="52" customWidth="1"/>
    <col min="4" max="9" width="7.42578125" style="52" customWidth="1"/>
    <col min="10" max="10" width="1.140625" style="52" customWidth="1"/>
    <col min="11" max="11" width="7.42578125" customWidth="1"/>
    <col min="12" max="14" width="7.42578125" style="52" customWidth="1"/>
    <col min="15" max="15" width="7.28515625" style="52" customWidth="1"/>
    <col min="16" max="16" width="6" style="52" customWidth="1"/>
    <col min="17" max="17" width="6.42578125" style="52" customWidth="1"/>
    <col min="18" max="18" width="1.140625" style="52" customWidth="1"/>
    <col min="19" max="19" width="8.7109375" style="52" customWidth="1"/>
    <col min="20" max="20" width="8.28515625" style="52" customWidth="1"/>
    <col min="21" max="21" width="2" style="52" customWidth="1"/>
    <col min="22" max="22" width="6.42578125" style="55" customWidth="1"/>
    <col min="23" max="23" width="4.85546875" style="55" customWidth="1"/>
    <col min="24" max="24" width="17.85546875" style="56" hidden="1" customWidth="1"/>
    <col min="25" max="25" width="19.42578125" style="56" hidden="1" customWidth="1"/>
    <col min="26" max="26" width="19.85546875" style="56" hidden="1" customWidth="1"/>
    <col min="27" max="28" width="16.5703125" style="56" hidden="1" customWidth="1"/>
    <col min="29" max="29" width="8.5703125" style="56" hidden="1" customWidth="1"/>
    <col min="30" max="30" width="17" style="56" hidden="1" customWidth="1"/>
    <col min="31" max="31" width="8.5703125" style="56" hidden="1" customWidth="1"/>
    <col min="32" max="32" width="14.42578125" style="56" hidden="1" customWidth="1"/>
    <col min="33" max="33" width="6.5703125" style="56" hidden="1" customWidth="1"/>
    <col min="34" max="34" width="7.140625" style="56" hidden="1" customWidth="1"/>
    <col min="35" max="35" width="6.5703125" style="52" hidden="1" customWidth="1"/>
    <col min="36" max="36" width="31.5703125" style="52" customWidth="1"/>
    <col min="37" max="37" width="17" style="52" hidden="1" customWidth="1"/>
    <col min="38" max="42" width="13.5703125" style="52" hidden="1" customWidth="1"/>
    <col min="43" max="49" width="9.140625" style="52" hidden="1" customWidth="1"/>
    <col min="50" max="50" width="17" style="52" hidden="1" customWidth="1"/>
    <col min="51" max="65" width="9.140625" style="52" hidden="1" customWidth="1"/>
    <col min="66" max="68" width="9.140625" style="52" customWidth="1"/>
    <col min="69" max="16384" width="9.140625" style="52"/>
  </cols>
  <sheetData>
    <row r="1" spans="1:48" ht="18.75" customHeight="1" thickBot="1">
      <c r="A1" s="81"/>
      <c r="B1" s="82"/>
      <c r="C1" s="82"/>
      <c r="D1" s="82"/>
      <c r="E1" s="82"/>
      <c r="F1" s="82"/>
      <c r="G1" s="82"/>
      <c r="H1" s="82"/>
      <c r="I1" s="82"/>
      <c r="J1" s="82"/>
      <c r="K1" s="83"/>
      <c r="L1" s="82"/>
      <c r="M1" s="82"/>
      <c r="N1" s="82"/>
      <c r="O1" s="82"/>
      <c r="P1" s="82"/>
      <c r="Q1" s="82"/>
      <c r="R1" s="82"/>
      <c r="S1" s="82"/>
      <c r="T1" s="82"/>
      <c r="U1" s="84"/>
      <c r="V1" s="207"/>
      <c r="W1" s="117"/>
      <c r="X1" s="135"/>
      <c r="Y1" s="534" t="str">
        <f>IF(ReportData!$C$3="Annual"," 31st March"," the last day in the quarter")</f>
        <v xml:space="preserve"> 31st March</v>
      </c>
      <c r="Z1" s="135"/>
      <c r="AA1" s="135"/>
      <c r="AB1" s="135"/>
      <c r="AC1" s="135"/>
      <c r="AD1" s="135"/>
      <c r="AE1" s="135"/>
      <c r="AF1" s="135"/>
      <c r="AG1" s="135"/>
      <c r="AH1" s="135"/>
      <c r="AI1" s="136"/>
      <c r="AJ1" s="260"/>
    </row>
    <row r="2" spans="1:48" ht="18.75" customHeight="1">
      <c r="A2" s="87"/>
      <c r="B2" s="888" t="s">
        <v>593</v>
      </c>
      <c r="C2" s="5"/>
      <c r="D2" s="5"/>
      <c r="E2" s="5"/>
      <c r="F2" s="5"/>
      <c r="G2" s="5"/>
      <c r="H2" s="5"/>
      <c r="I2" s="5"/>
      <c r="J2" s="5"/>
      <c r="K2" s="1"/>
      <c r="L2" s="5"/>
      <c r="M2" s="5"/>
      <c r="N2" s="5"/>
      <c r="O2" s="5"/>
      <c r="P2" s="5"/>
      <c r="Q2" s="5"/>
      <c r="R2" s="5"/>
      <c r="S2" s="5"/>
      <c r="T2" s="5"/>
      <c r="U2" s="86"/>
      <c r="V2" s="122"/>
      <c r="W2" s="114"/>
      <c r="X2" s="483">
        <f>IF(ReportData!$C$3="Annual",1,4)</f>
        <v>1</v>
      </c>
      <c r="Y2" s="461" t="str">
        <f>IF(ReportData!$C$3="Annual","",ReportData!$D$28)</f>
        <v/>
      </c>
      <c r="Z2" s="462" t="str">
        <f>IF(ReportData!$C$3="Annual","",ReportData!$E$28)</f>
        <v/>
      </c>
      <c r="AA2" s="462" t="str">
        <f>IF(ReportData!$C$3="Annual","",ReportData!$F$28)</f>
        <v/>
      </c>
      <c r="AB2" s="462" t="str">
        <f>IF(ReportData!$C$3="Annual","",ReportData!$G$28)</f>
        <v/>
      </c>
      <c r="AC2" s="463" t="str">
        <f>IF(ReportData!$C$3="Annual","",ReportData!$H$28)</f>
        <v/>
      </c>
      <c r="AJ2" s="119"/>
    </row>
    <row r="3" spans="1:48" ht="18.75" customHeight="1" thickBot="1">
      <c r="A3" s="91"/>
      <c r="B3" s="92"/>
      <c r="C3" s="92"/>
      <c r="D3" s="92"/>
      <c r="E3" s="92"/>
      <c r="F3" s="92"/>
      <c r="G3" s="92"/>
      <c r="H3" s="92"/>
      <c r="I3" s="329"/>
      <c r="J3" s="200"/>
      <c r="K3" s="93"/>
      <c r="L3" s="92"/>
      <c r="M3" s="92"/>
      <c r="N3" s="92"/>
      <c r="O3" s="92"/>
      <c r="P3" s="92"/>
      <c r="Q3" s="329"/>
      <c r="R3" s="92"/>
      <c r="S3" s="1252"/>
      <c r="T3" s="92"/>
      <c r="U3" s="94"/>
      <c r="V3" s="122"/>
      <c r="W3" s="114"/>
      <c r="X3" s="464"/>
      <c r="Y3" s="464" t="str">
        <f>ReportData!$D$27</f>
        <v>2019/20</v>
      </c>
      <c r="Z3" s="465" t="str">
        <f>ReportData!$E$27</f>
        <v>2020/21</v>
      </c>
      <c r="AA3" s="465" t="str">
        <f>ReportData!$F$27</f>
        <v>2021/22</v>
      </c>
      <c r="AB3" s="465" t="str">
        <f>ReportData!$G$27</f>
        <v>2022/23</v>
      </c>
      <c r="AC3" s="466" t="str">
        <f>ReportData!$H$27</f>
        <v>2023/24</v>
      </c>
      <c r="AJ3" s="119"/>
    </row>
    <row r="4" spans="1:48" ht="11.25" customHeight="1">
      <c r="A4" s="81"/>
      <c r="B4" s="82"/>
      <c r="C4" s="82"/>
      <c r="D4" s="82"/>
      <c r="E4" s="82"/>
      <c r="F4" s="82"/>
      <c r="G4" s="82"/>
      <c r="H4" s="82"/>
      <c r="I4" s="82"/>
      <c r="J4" s="82"/>
      <c r="K4" s="83"/>
      <c r="L4" s="82"/>
      <c r="M4" s="82"/>
      <c r="N4" s="82"/>
      <c r="O4" s="82"/>
      <c r="P4" s="82"/>
      <c r="Q4" s="82"/>
      <c r="R4" s="82"/>
      <c r="S4" s="82"/>
      <c r="T4" s="82"/>
      <c r="U4" s="84"/>
      <c r="V4" s="119"/>
      <c r="W4" s="114"/>
      <c r="X4" s="140"/>
      <c r="Y4" s="140" t="str">
        <f>Home!$D$5</f>
        <v>(none)</v>
      </c>
      <c r="Z4" s="25" t="str">
        <f>"Selected LA- "&amp;Y4</f>
        <v>Selected LA- (none)</v>
      </c>
      <c r="AJ4" s="119"/>
    </row>
    <row r="5" spans="1:48" ht="18.75" customHeight="1">
      <c r="A5" s="87"/>
      <c r="B5" s="1900" t="str">
        <f>"Number of Care Leavers Aged 19-21 at "&amp;$Y$1&amp;" [SCB53]"</f>
        <v>Number of Care Leavers Aged 19-21 at  31st March [SCB53]</v>
      </c>
      <c r="C5" s="1900"/>
      <c r="D5" s="1900"/>
      <c r="E5" s="1900"/>
      <c r="F5" s="1900"/>
      <c r="G5" s="1900"/>
      <c r="H5" s="1900"/>
      <c r="I5" s="1900"/>
      <c r="J5" s="1900"/>
      <c r="K5" s="1900"/>
      <c r="L5" s="1900"/>
      <c r="M5" s="1900"/>
      <c r="N5" s="1900"/>
      <c r="O5" s="1948"/>
      <c r="P5" s="1948"/>
      <c r="Q5" s="1948"/>
      <c r="R5" s="1948"/>
      <c r="S5" s="1948"/>
      <c r="T5" s="1948"/>
      <c r="U5" s="86"/>
      <c r="V5" s="119"/>
      <c r="W5" s="114"/>
      <c r="X5" s="52"/>
      <c r="Y5" s="52"/>
      <c r="Z5" s="52"/>
      <c r="AA5" s="52"/>
      <c r="AB5" s="52"/>
      <c r="AC5" s="52"/>
      <c r="AD5" s="52"/>
      <c r="AE5" s="52"/>
      <c r="AF5" s="52"/>
      <c r="AG5" s="52"/>
      <c r="AH5" s="52"/>
      <c r="AJ5" s="119"/>
      <c r="AK5" s="52" t="str">
        <f>CONCATENATE($I$7,"in Number of "&amp;$B2)</f>
        <v>Average Annual Change in Number of Care Leavers</v>
      </c>
    </row>
    <row r="6" spans="1:48" ht="18.75" customHeight="1">
      <c r="A6" s="87"/>
      <c r="B6" s="1900"/>
      <c r="C6" s="1900"/>
      <c r="D6" s="1900"/>
      <c r="E6" s="1900"/>
      <c r="F6" s="1900"/>
      <c r="G6" s="1900"/>
      <c r="H6" s="1900"/>
      <c r="I6" s="1900"/>
      <c r="J6" s="1900"/>
      <c r="K6" s="1900"/>
      <c r="L6" s="1900"/>
      <c r="M6" s="1900"/>
      <c r="N6" s="1900"/>
      <c r="O6" s="1948"/>
      <c r="P6" s="1948"/>
      <c r="Q6" s="1948"/>
      <c r="R6" s="1948"/>
      <c r="S6" s="1948"/>
      <c r="T6" s="1948"/>
      <c r="U6" s="86"/>
      <c r="V6" s="119"/>
      <c r="W6" s="114"/>
      <c r="Y6" s="141"/>
      <c r="AJ6" s="119"/>
    </row>
    <row r="7" spans="1:48" s="61" customFormat="1" ht="13.5" customHeight="1">
      <c r="A7" s="88"/>
      <c r="B7" s="1749" t="s">
        <v>177</v>
      </c>
      <c r="C7" s="896"/>
      <c r="D7" s="1777" t="s">
        <v>84</v>
      </c>
      <c r="E7" s="1777"/>
      <c r="F7" s="1777"/>
      <c r="G7" s="1777"/>
      <c r="H7" s="1778"/>
      <c r="I7" s="1761" t="str">
        <f>"Average "&amp;ReportData!C3&amp;" Change "</f>
        <v xml:space="preserve">Average Annual Change </v>
      </c>
      <c r="J7" s="44"/>
      <c r="K7" s="1765" t="s">
        <v>1361</v>
      </c>
      <c r="L7" s="1766"/>
      <c r="M7" s="1766"/>
      <c r="N7" s="1766"/>
      <c r="O7" s="1766"/>
      <c r="P7" s="1767"/>
      <c r="Q7" s="1761" t="str">
        <f>IF(ISNA(O8),"Rank "&amp;O10,"Rank "&amp;LEFT(O8,5)&amp;" "&amp;RIGHT(O8,2))</f>
        <v>Rank 2023/ 24</v>
      </c>
      <c r="R7" s="46"/>
      <c r="S7" s="1783" t="str">
        <f>"Distance from "&amp;ReportData!$B$8&amp;" Expected Rate based on IDACI"</f>
        <v>Distance from 2024 Expected Rate based on IDACI</v>
      </c>
      <c r="T7" s="1784"/>
      <c r="U7" s="89"/>
      <c r="V7" s="186"/>
      <c r="W7" s="115"/>
      <c r="Y7" s="1941" t="s">
        <v>671</v>
      </c>
      <c r="Z7" s="1943"/>
      <c r="AA7" s="1941" t="s">
        <v>76</v>
      </c>
      <c r="AB7" s="1942"/>
      <c r="AC7" s="1942"/>
      <c r="AD7" s="1942"/>
      <c r="AE7" s="1943"/>
      <c r="AF7" s="154" t="s">
        <v>88</v>
      </c>
      <c r="AG7" s="141"/>
      <c r="AH7" s="141"/>
      <c r="AJ7" s="121"/>
      <c r="AK7" s="350"/>
      <c r="AL7" s="350"/>
      <c r="AM7" s="350"/>
      <c r="AN7" s="350"/>
      <c r="AO7" s="350"/>
      <c r="AP7" s="52"/>
      <c r="AQ7" s="52"/>
      <c r="AR7" s="52"/>
      <c r="AS7" s="52"/>
      <c r="AT7" s="52"/>
      <c r="AU7" s="52"/>
      <c r="AV7" s="52"/>
    </row>
    <row r="8" spans="1:48" s="61" customFormat="1" ht="13.5" customHeight="1">
      <c r="A8" s="217"/>
      <c r="B8" s="1749"/>
      <c r="C8" s="896"/>
      <c r="D8" s="1770" t="str">
        <f>ReportData!$D$27</f>
        <v>2019/20</v>
      </c>
      <c r="E8" s="1770" t="str">
        <f>ReportData!$E$27</f>
        <v>2020/21</v>
      </c>
      <c r="F8" s="1770" t="str">
        <f>ReportData!$F$27</f>
        <v>2021/22</v>
      </c>
      <c r="G8" s="1770" t="str">
        <f>ReportData!$G$27</f>
        <v>2022/23</v>
      </c>
      <c r="H8" s="1781" t="str">
        <f>ReportData!$H$27</f>
        <v>2023/24</v>
      </c>
      <c r="I8" s="1762"/>
      <c r="J8" s="44"/>
      <c r="K8" s="1770" t="str">
        <f>ReportData!$D$27</f>
        <v>2019/20</v>
      </c>
      <c r="L8" s="1770" t="str">
        <f>ReportData!$E$27</f>
        <v>2020/21</v>
      </c>
      <c r="M8" s="1770" t="str">
        <f>ReportData!$F$27</f>
        <v>2021/22</v>
      </c>
      <c r="N8" s="1770" t="str">
        <f>ReportData!$G$27</f>
        <v>2022/23</v>
      </c>
      <c r="O8" s="1789" t="str">
        <f>ReportData!$H$27</f>
        <v>2023/24</v>
      </c>
      <c r="P8" s="1790"/>
      <c r="Q8" s="1762"/>
      <c r="R8" s="46"/>
      <c r="S8" s="1785"/>
      <c r="T8" s="1786"/>
      <c r="U8" s="89"/>
      <c r="V8" s="103"/>
      <c r="W8" s="115"/>
      <c r="Y8" s="1772" t="s">
        <v>73</v>
      </c>
      <c r="Z8" s="1772" t="s">
        <v>74</v>
      </c>
      <c r="AA8" s="444" t="str">
        <f>ReportData!$D$27</f>
        <v>2019/20</v>
      </c>
      <c r="AB8" s="444" t="str">
        <f>ReportData!$E$27</f>
        <v>2020/21</v>
      </c>
      <c r="AC8" s="444" t="str">
        <f>ReportData!$F$27</f>
        <v>2021/22</v>
      </c>
      <c r="AD8" s="444" t="str">
        <f>ReportData!$G$27</f>
        <v>2022/23</v>
      </c>
      <c r="AE8" s="444" t="str">
        <f>ReportData!$H$27</f>
        <v>2023/24</v>
      </c>
      <c r="AF8" s="154"/>
      <c r="AG8" s="141"/>
      <c r="AH8" s="141"/>
      <c r="AJ8" s="121"/>
      <c r="AK8" s="109"/>
      <c r="AL8" s="109"/>
      <c r="AM8" s="109"/>
      <c r="AN8" s="109"/>
      <c r="AO8" s="109"/>
      <c r="AQ8" s="52"/>
      <c r="AR8" s="52"/>
      <c r="AS8" s="52"/>
      <c r="AT8" s="52"/>
      <c r="AU8" s="52"/>
      <c r="AV8" s="52"/>
    </row>
    <row r="9" spans="1:48" s="61" customFormat="1" ht="9" customHeight="1">
      <c r="A9" s="217"/>
      <c r="B9" s="1749"/>
      <c r="C9" s="896"/>
      <c r="D9" s="1771"/>
      <c r="E9" s="1771"/>
      <c r="F9" s="1771"/>
      <c r="G9" s="1771"/>
      <c r="H9" s="1782"/>
      <c r="I9" s="1762"/>
      <c r="J9" s="44"/>
      <c r="K9" s="1771"/>
      <c r="L9" s="1771"/>
      <c r="M9" s="1771"/>
      <c r="N9" s="1771"/>
      <c r="O9" s="1791"/>
      <c r="P9" s="1792"/>
      <c r="Q9" s="1762"/>
      <c r="R9" s="46"/>
      <c r="S9" s="1787"/>
      <c r="T9" s="1788"/>
      <c r="U9" s="89"/>
      <c r="V9" s="103"/>
      <c r="W9" s="115"/>
      <c r="Y9" s="1773"/>
      <c r="Z9" s="1773"/>
      <c r="AA9" s="444"/>
      <c r="AB9" s="444"/>
      <c r="AC9" s="444"/>
      <c r="AD9" s="444"/>
      <c r="AE9" s="444"/>
      <c r="AF9" s="154"/>
      <c r="AG9" s="141"/>
      <c r="AH9" s="141"/>
      <c r="AJ9" s="121"/>
      <c r="AK9" s="109"/>
      <c r="AL9" s="109"/>
      <c r="AM9" s="109"/>
      <c r="AN9" s="109"/>
      <c r="AO9" s="109"/>
      <c r="AQ9" s="52"/>
      <c r="AR9" s="52"/>
      <c r="AS9" s="52"/>
      <c r="AT9" s="52"/>
      <c r="AU9" s="52"/>
      <c r="AV9" s="52"/>
    </row>
    <row r="10" spans="1:48" s="61" customFormat="1" ht="13.5" customHeight="1">
      <c r="A10" s="88"/>
      <c r="B10" s="1764"/>
      <c r="C10" s="896"/>
      <c r="D10" s="897" t="e">
        <f>ReportData!$D$28</f>
        <v>#N/A</v>
      </c>
      <c r="E10" s="897" t="e">
        <f>ReportData!$E$28</f>
        <v>#N/A</v>
      </c>
      <c r="F10" s="897" t="e">
        <f>ReportData!$F$28</f>
        <v>#N/A</v>
      </c>
      <c r="G10" s="897" t="e">
        <f>ReportData!$G$28</f>
        <v>#N/A</v>
      </c>
      <c r="H10" s="920" t="e">
        <f>ReportData!$H$28</f>
        <v>#N/A</v>
      </c>
      <c r="I10" s="1973"/>
      <c r="J10" s="44"/>
      <c r="K10" s="897" t="e">
        <f>ReportData!$D$28</f>
        <v>#N/A</v>
      </c>
      <c r="L10" s="897" t="e">
        <f>ReportData!$E$28</f>
        <v>#N/A</v>
      </c>
      <c r="M10" s="897" t="e">
        <f>ReportData!$F$28</f>
        <v>#N/A</v>
      </c>
      <c r="N10" s="897" t="e">
        <f>ReportData!$G$28</f>
        <v>#N/A</v>
      </c>
      <c r="O10" s="1949" t="e">
        <f>ReportData!$H$28</f>
        <v>#N/A</v>
      </c>
      <c r="P10" s="1780"/>
      <c r="Q10" s="1763"/>
      <c r="R10" s="46"/>
      <c r="S10" s="898" t="s">
        <v>110</v>
      </c>
      <c r="T10" s="899" t="s">
        <v>111</v>
      </c>
      <c r="U10" s="89"/>
      <c r="V10" s="103"/>
      <c r="W10" s="115"/>
      <c r="Y10" s="1774"/>
      <c r="Z10" s="1774"/>
      <c r="AA10" s="444" t="e">
        <f>ReportData!$D$28</f>
        <v>#N/A</v>
      </c>
      <c r="AB10" s="444" t="e">
        <f>ReportData!$E$28</f>
        <v>#N/A</v>
      </c>
      <c r="AC10" s="444" t="e">
        <f>ReportData!$F$28</f>
        <v>#N/A</v>
      </c>
      <c r="AD10" s="444" t="e">
        <f>ReportData!$G$28</f>
        <v>#N/A</v>
      </c>
      <c r="AE10" s="444" t="e">
        <f>ReportData!$H$28</f>
        <v>#N/A</v>
      </c>
      <c r="AF10" s="141"/>
      <c r="AG10" s="141">
        <v>14</v>
      </c>
      <c r="AH10" s="141"/>
      <c r="AJ10" s="121"/>
      <c r="AK10" s="479" t="s">
        <v>598</v>
      </c>
      <c r="AL10" s="479" t="s">
        <v>599</v>
      </c>
      <c r="AM10" s="479" t="s">
        <v>600</v>
      </c>
      <c r="AN10" s="479" t="s">
        <v>601</v>
      </c>
      <c r="AO10" s="479" t="s">
        <v>602</v>
      </c>
      <c r="AQ10" s="52"/>
      <c r="AR10" s="52"/>
      <c r="AS10" s="52"/>
      <c r="AT10" s="52"/>
      <c r="AU10" s="52"/>
      <c r="AV10" s="52"/>
    </row>
    <row r="11" spans="1:48" s="61" customFormat="1" ht="15.75" customHeight="1">
      <c r="A11" s="1103">
        <f>VLOOKUP(B11,ReportData!$AQ$4:$AR$25,2,FALSE)</f>
        <v>0</v>
      </c>
      <c r="B11" s="885" t="str">
        <f>ReportData!$K$4</f>
        <v>Bracknell Forest</v>
      </c>
      <c r="C11" s="896"/>
      <c r="D11" s="889">
        <f>IF(Year1_Bracknell_Forest Year1_Care_Leavers_at_end_of_period="","",Year1_Bracknell_Forest Year1_Care_Leavers_at_end_of_period)</f>
        <v>57</v>
      </c>
      <c r="E11" s="889">
        <f>IF(Year2_Bracknell_Forest Year2_Care_Leavers_at_end_of_period="","",Year2_Bracknell_Forest Year2_Care_Leavers_at_end_of_period)</f>
        <v>60</v>
      </c>
      <c r="F11" s="889">
        <f>IF(Year3_Bracknell_Forest Year3_Care_Leavers_at_end_of_period="","",Year3_Bracknell_Forest Year3_Care_Leavers_at_end_of_period)</f>
        <v>57</v>
      </c>
      <c r="G11" s="889">
        <f>IF(Year4_Bracknell_Forest Year4_Care_Leavers_at_end_of_period="","",Year4_Bracknell_Forest Year4_Care_Leavers_at_end_of_period)</f>
        <v>72</v>
      </c>
      <c r="H11" s="890">
        <f>IF(Year5_Bracknell_Forest Year5_Care_Leavers_at_end_of_period="","",Year5_Bracknell_Forest Year5_Care_Leavers_at_end_of_period)</f>
        <v>74</v>
      </c>
      <c r="I11" s="1253">
        <f t="shared" ref="I11:I25" si="0">AO11</f>
        <v>7.3391812865497078E-2</v>
      </c>
      <c r="J11" s="1184"/>
      <c r="K11" s="901">
        <f>IF(ISNUMBER(D11),D11/Population!J11*10000,NA())</f>
        <v>174.52541334966321</v>
      </c>
      <c r="L11" s="901">
        <f>IF(ISNUMBER(E11),E11/Population!K11*10000,NA())</f>
        <v>189.15510718789406</v>
      </c>
      <c r="M11" s="901">
        <f>IF(ISNUMBER(F11),F11/Population!L11*10000,NA())</f>
        <v>182.4</v>
      </c>
      <c r="N11" s="901">
        <f>IF(ISNUMBER(G11),G11/Population!M11*10000,NA())</f>
        <v>246.65981500513874</v>
      </c>
      <c r="O11" s="901">
        <f>IF(ISNUMBER(H11),H11/Population!N11*10000,NA())</f>
        <v>262.22537207654142</v>
      </c>
      <c r="P11" s="903">
        <f t="shared" ref="P11:P31" si="1">IF(ISNUMBER(O11),O11,"")</f>
        <v>262.22537207654142</v>
      </c>
      <c r="Q11" s="904">
        <f>IF(ISNA(VLOOKUP(B11,$AF$11:$AH$29,3,FALSE)),"--",IF(ISNUMBER(H11),VLOOKUP(B11,$AF$11:$AH$29,3,FALSE),NA()))</f>
        <v>15</v>
      </c>
      <c r="R11" s="46"/>
      <c r="S11" s="905">
        <f>((AQ38*$Y$41)+$Z$41)/$X$2</f>
        <v>200.58019611283569</v>
      </c>
      <c r="T11" s="906">
        <f t="shared" ref="T11:T23" si="2">O11-S11</f>
        <v>61.645175963705725</v>
      </c>
      <c r="U11" s="89"/>
      <c r="V11" s="103"/>
      <c r="W11" s="115"/>
      <c r="X11" s="51" t="str">
        <f t="shared" ref="X11:X31" si="3">B11</f>
        <v>Bracknell Forest</v>
      </c>
      <c r="Y11" s="27">
        <f>IF(ISNUMBER(H11),IDACI!D9,0)</f>
        <v>24849</v>
      </c>
      <c r="Z11" s="27">
        <f>IF(ISNUMBER(H11),IDACI!E9,0)</f>
        <v>2211.5610000000001</v>
      </c>
      <c r="AA11" s="155">
        <f>IF(ISNUMBER(D11),Population!J11,"")</f>
        <v>3266</v>
      </c>
      <c r="AB11" s="155">
        <f>IF(ISNUMBER(E11),Population!K11,"")</f>
        <v>3172</v>
      </c>
      <c r="AC11" s="155">
        <f>IF(ISNUMBER(F11),Population!L11,"")</f>
        <v>3125</v>
      </c>
      <c r="AD11" s="155">
        <f>IF(ISNUMBER(G11),Population!M11,"")</f>
        <v>2919</v>
      </c>
      <c r="AE11" s="155">
        <f>IF(ISNUMBER(H11),Population!N11,"")</f>
        <v>2822</v>
      </c>
      <c r="AF11" s="51" t="s">
        <v>0</v>
      </c>
      <c r="AG11" s="70">
        <f t="shared" ref="AG11:AG29" si="4">IFERROR(VLOOKUP(AF11,$B$11:$O$29,AG$10,FALSE),"")</f>
        <v>262.22537207654142</v>
      </c>
      <c r="AH11" s="156">
        <f>RANK(AG11,$AG$11:$AG$29,1)</f>
        <v>15</v>
      </c>
      <c r="AJ11" s="121"/>
      <c r="AK11" s="480">
        <f t="shared" ref="AK11:AK29" si="5">IF(ISERROR((E11-D11)/D11),"x",(E11-D11)/D11)</f>
        <v>5.2631578947368418E-2</v>
      </c>
      <c r="AL11" s="480">
        <f t="shared" ref="AL11:AL29" si="6">IF(ISERROR((F11-E11)/E11),"x",(F11-E11)/E11)</f>
        <v>-0.05</v>
      </c>
      <c r="AM11" s="480">
        <f t="shared" ref="AM11:AM29" si="7">IF(ISERROR((G11-F11)/F11),"x",(G11-F11)/F11)</f>
        <v>0.26315789473684209</v>
      </c>
      <c r="AN11" s="480">
        <f t="shared" ref="AN11:AN29" si="8">IF(ISERROR((H11-G11)/G11),"x",(H11-G11)/G11)</f>
        <v>2.7777777777777776E-2</v>
      </c>
      <c r="AO11" s="480">
        <f>AVERAGE(AK11:AN11)</f>
        <v>7.3391812865497078E-2</v>
      </c>
      <c r="AQ11" s="52"/>
      <c r="AR11" s="52"/>
      <c r="AS11" s="52"/>
      <c r="AT11" s="52"/>
      <c r="AU11" s="52"/>
      <c r="AV11" s="52"/>
    </row>
    <row r="12" spans="1:48" s="61" customFormat="1" ht="15.75" customHeight="1">
      <c r="A12" s="1103">
        <f>VLOOKUP(B12,ReportData!$AQ$4:$AR$25,2,FALSE)</f>
        <v>0</v>
      </c>
      <c r="B12" s="885" t="str">
        <f>ReportData!$K$5</f>
        <v>Brighton &amp; Hove</v>
      </c>
      <c r="C12" s="896"/>
      <c r="D12" s="889">
        <f>IF(Year1_Brighton_and_Hove Year1_Care_Leavers_at_end_of_period="","",Year1_Brighton_and_Hove Year1_Care_Leavers_at_end_of_period)</f>
        <v>229</v>
      </c>
      <c r="E12" s="889">
        <f>IF(Year2_Brighton_and_Hove Year2_Care_Leavers_at_end_of_period="","",Year2_Brighton_and_Hove Year2_Care_Leavers_at_end_of_period)</f>
        <v>221</v>
      </c>
      <c r="F12" s="889">
        <f>IF(Year3_Brighton_and_Hove Year3_Care_Leavers_at_end_of_period="","",Year3_Brighton_and_Hove Year3_Care_Leavers_at_end_of_period)</f>
        <v>220</v>
      </c>
      <c r="G12" s="889">
        <f>IF(Year4_Brighton_and_Hove Year4_Care_Leavers_at_end_of_period="","",Year4_Brighton_and_Hove Year4_Care_Leavers_at_end_of_period)</f>
        <v>209</v>
      </c>
      <c r="H12" s="890">
        <f>IF(Year5_Brighton_and_Hove Year5_Care_Leavers_at_end_of_period="","",Year5_Brighton_and_Hove Year5_Care_Leavers_at_end_of_period)</f>
        <v>221</v>
      </c>
      <c r="I12" s="1205">
        <f t="shared" si="0"/>
        <v>-8.0107791879595516E-3</v>
      </c>
      <c r="J12" s="1184"/>
      <c r="K12" s="901">
        <f>IF(ISNUMBER(D12),D12/Population!J12*10000,NA())</f>
        <v>116.4860877969378</v>
      </c>
      <c r="L12" s="901">
        <f>IF(ISNUMBER(E12),E12/Population!K12*10000,NA())</f>
        <v>114.81115902124786</v>
      </c>
      <c r="M12" s="901">
        <f>IF(ISNUMBER(F12),F12/Population!L12*10000,NA())</f>
        <v>123.33912653473118</v>
      </c>
      <c r="N12" s="901">
        <f>IF(ISNUMBER(G12),G12/Population!M12*10000,NA())</f>
        <v>109.50434873729435</v>
      </c>
      <c r="O12" s="902">
        <f>IF(ISNUMBER(H12),H12/Population!N12*10000,NA())</f>
        <v>109.25990013348495</v>
      </c>
      <c r="P12" s="903">
        <f t="shared" si="1"/>
        <v>109.25990013348495</v>
      </c>
      <c r="Q12" s="904">
        <f t="shared" ref="Q12:Q29" si="9">IF(ISNA(VLOOKUP(B12,$AF$11:$AH$29,3,FALSE)),"--",IF(ISNUMBER(H12),VLOOKUP(B12,$AF$11:$AH$29,3,FALSE),NA()))</f>
        <v>2</v>
      </c>
      <c r="R12" s="46"/>
      <c r="S12" s="905">
        <f t="shared" ref="S12:S31" si="10">((AQ39*$Y$41)+$Z$41)/$X$2</f>
        <v>214.36652008456301</v>
      </c>
      <c r="T12" s="906">
        <f t="shared" si="2"/>
        <v>-105.10661995107806</v>
      </c>
      <c r="U12" s="89"/>
      <c r="V12" s="103"/>
      <c r="W12" s="115"/>
      <c r="X12" s="51" t="str">
        <f t="shared" si="3"/>
        <v>Brighton &amp; Hove</v>
      </c>
      <c r="Y12" s="27">
        <f>IF(ISNUMBER(H12),IDACI!D10,0)</f>
        <v>45576</v>
      </c>
      <c r="Z12" s="27">
        <f>IF(ISNUMBER(H12),IDACI!E10,0)</f>
        <v>6973.1279999999997</v>
      </c>
      <c r="AA12" s="155">
        <f>IF(ISNUMBER(D12),Population!J12,"")</f>
        <v>19659</v>
      </c>
      <c r="AB12" s="155">
        <f>IF(ISNUMBER(E12),Population!K12,"")</f>
        <v>19249</v>
      </c>
      <c r="AC12" s="155">
        <f>IF(ISNUMBER(F12),Population!L12,"")</f>
        <v>17837</v>
      </c>
      <c r="AD12" s="155">
        <f>IF(ISNUMBER(G12),Population!M12,"")</f>
        <v>19086</v>
      </c>
      <c r="AE12" s="155">
        <f>IF(ISNUMBER(H12),Population!N12,"")</f>
        <v>20227</v>
      </c>
      <c r="AF12" s="51" t="s">
        <v>28</v>
      </c>
      <c r="AG12" s="70">
        <f t="shared" si="4"/>
        <v>109.25990013348495</v>
      </c>
      <c r="AH12" s="156">
        <f t="shared" ref="AH12:AH29" si="11">RANK(AG12,$AG$11:$AG$29,1)</f>
        <v>2</v>
      </c>
      <c r="AJ12" s="121"/>
      <c r="AK12" s="480">
        <f t="shared" si="5"/>
        <v>-3.4934497816593885E-2</v>
      </c>
      <c r="AL12" s="480">
        <f t="shared" si="6"/>
        <v>-4.5248868778280547E-3</v>
      </c>
      <c r="AM12" s="480">
        <f t="shared" si="7"/>
        <v>-0.05</v>
      </c>
      <c r="AN12" s="480">
        <f t="shared" si="8"/>
        <v>5.7416267942583733E-2</v>
      </c>
      <c r="AO12" s="480">
        <f t="shared" ref="AO12:AO25" si="12">AVERAGE(AK12:AN12)</f>
        <v>-8.0107791879595516E-3</v>
      </c>
      <c r="AQ12" s="52"/>
      <c r="AR12" s="52"/>
      <c r="AS12" s="52"/>
      <c r="AT12" s="52"/>
      <c r="AU12" s="52"/>
      <c r="AV12" s="52"/>
    </row>
    <row r="13" spans="1:48" s="61" customFormat="1" ht="15.75" customHeight="1">
      <c r="A13" s="1103">
        <f>VLOOKUP(B13,ReportData!$AQ$4:$AR$25,2,FALSE)</f>
        <v>0</v>
      </c>
      <c r="B13" s="885" t="str">
        <f>ReportData!$K$6</f>
        <v>Buckinghamshire</v>
      </c>
      <c r="C13" s="896"/>
      <c r="D13" s="889">
        <f>IF(Year1_Buckinghamshire Year1_Care_Leavers_at_end_of_period="","",Year1_Buckinghamshire Year1_Care_Leavers_at_end_of_period)</f>
        <v>194</v>
      </c>
      <c r="E13" s="889">
        <f>IF(Year2_Buckinghamshire Year2_Care_Leavers_at_end_of_period="","",Year2_Buckinghamshire Year2_Care_Leavers_at_end_of_period)</f>
        <v>207</v>
      </c>
      <c r="F13" s="889">
        <f>IF(Year3_Buckinghamshire Year3_Care_Leavers_at_end_of_period="","",Year3_Buckinghamshire Year3_Care_Leavers_at_end_of_period)</f>
        <v>232</v>
      </c>
      <c r="G13" s="889">
        <f>IF(Year4_Buckinghamshire Year4_Care_Leavers_at_end_of_period="","",Year4_Buckinghamshire Year4_Care_Leavers_at_end_of_period)</f>
        <v>247</v>
      </c>
      <c r="H13" s="890">
        <f>IF(Year5_Buckinghamshire Year5_Care_Leavers_at_end_of_period="","",Year5_Buckinghamshire Year5_Care_Leavers_at_end_of_period)</f>
        <v>243</v>
      </c>
      <c r="I13" s="1205">
        <f t="shared" si="0"/>
        <v>5.9061024142060339E-2</v>
      </c>
      <c r="J13" s="1184"/>
      <c r="K13" s="901">
        <f>IF(ISNUMBER(D13),D13/Population!J13*10000,NA())</f>
        <v>143.48051179646475</v>
      </c>
      <c r="L13" s="901">
        <f>IF(ISNUMBER(E13),E13/Population!K13*10000,NA())</f>
        <v>152.6773860451394</v>
      </c>
      <c r="M13" s="901">
        <f>IF(ISNUMBER(F13),F13/Population!L13*10000,NA())</f>
        <v>170.36275517697166</v>
      </c>
      <c r="N13" s="901">
        <f>IF(ISNUMBER(G13),G13/Population!M13*10000,NA())</f>
        <v>191.33937562940582</v>
      </c>
      <c r="O13" s="902">
        <f>IF(ISNUMBER(H13),H13/Population!N13*10000,NA())</f>
        <v>196.45888915837983</v>
      </c>
      <c r="P13" s="903">
        <f t="shared" si="1"/>
        <v>196.45888915837983</v>
      </c>
      <c r="Q13" s="904">
        <f t="shared" si="9"/>
        <v>10</v>
      </c>
      <c r="R13" s="46"/>
      <c r="S13" s="905">
        <f t="shared" si="10"/>
        <v>199.71855086460275</v>
      </c>
      <c r="T13" s="906">
        <f t="shared" si="2"/>
        <v>-3.2596617062229143</v>
      </c>
      <c r="U13" s="89"/>
      <c r="V13" s="103"/>
      <c r="W13" s="115"/>
      <c r="X13" s="51" t="str">
        <f t="shared" si="3"/>
        <v>Buckinghamshire</v>
      </c>
      <c r="Y13" s="27">
        <f>IF(ISNUMBER(H13),IDACI!D11,0)</f>
        <v>107385</v>
      </c>
      <c r="Z13" s="27">
        <f>IF(ISNUMBER(H13),IDACI!E11,0)</f>
        <v>9127.7250000000004</v>
      </c>
      <c r="AA13" s="155">
        <f>IF(ISNUMBER(D13),Population!J13,"")</f>
        <v>13521</v>
      </c>
      <c r="AB13" s="155">
        <f>IF(ISNUMBER(E13),Population!K13,"")</f>
        <v>13558</v>
      </c>
      <c r="AC13" s="155">
        <f>IF(ISNUMBER(F13),Population!L13,"")</f>
        <v>13618</v>
      </c>
      <c r="AD13" s="155">
        <f>IF(ISNUMBER(G13),Population!M13,"")</f>
        <v>12909</v>
      </c>
      <c r="AE13" s="155">
        <f>IF(ISNUMBER(H13),Population!N13,"")</f>
        <v>12369</v>
      </c>
      <c r="AF13" s="51" t="s">
        <v>8</v>
      </c>
      <c r="AG13" s="70">
        <f t="shared" si="4"/>
        <v>196.45888915837983</v>
      </c>
      <c r="AH13" s="156">
        <f t="shared" si="11"/>
        <v>10</v>
      </c>
      <c r="AJ13" s="121"/>
      <c r="AK13" s="480">
        <f t="shared" si="5"/>
        <v>6.7010309278350513E-2</v>
      </c>
      <c r="AL13" s="480">
        <f t="shared" si="6"/>
        <v>0.12077294685990338</v>
      </c>
      <c r="AM13" s="480">
        <f t="shared" si="7"/>
        <v>6.4655172413793108E-2</v>
      </c>
      <c r="AN13" s="480">
        <f t="shared" si="8"/>
        <v>-1.6194331983805668E-2</v>
      </c>
      <c r="AO13" s="480">
        <f t="shared" si="12"/>
        <v>5.9061024142060339E-2</v>
      </c>
      <c r="AQ13" s="52"/>
      <c r="AR13" s="52"/>
      <c r="AS13" s="52"/>
      <c r="AT13" s="52"/>
      <c r="AU13" s="52"/>
      <c r="AV13" s="52"/>
    </row>
    <row r="14" spans="1:48" s="61" customFormat="1" ht="15.75" customHeight="1">
      <c r="A14" s="1103">
        <f>VLOOKUP(B14,ReportData!$AQ$4:$AR$25,2,FALSE)</f>
        <v>0</v>
      </c>
      <c r="B14" s="885" t="str">
        <f>ReportData!$K$7</f>
        <v>East Sussex</v>
      </c>
      <c r="C14" s="896"/>
      <c r="D14" s="889">
        <f>IF(Year1_East_Sussex Year1_Care_Leavers_at_end_of_period="","",Year1_East_Sussex Year1_Care_Leavers_at_end_of_period)</f>
        <v>199</v>
      </c>
      <c r="E14" s="889">
        <f>IF(Year2_East_Sussex Year2_Care_Leavers_at_end_of_period="","",Year2_East_Sussex Year2_Care_Leavers_at_end_of_period)</f>
        <v>216</v>
      </c>
      <c r="F14" s="889">
        <f>IF(Year3_East_Sussex Year3_Care_Leavers_at_end_of_period="","",Year3_East_Sussex Year3_Care_Leavers_at_end_of_period)</f>
        <v>224</v>
      </c>
      <c r="G14" s="889">
        <f>IF(Year4_East_Sussex Year4_Care_Leavers_at_end_of_period="","",Year4_East_Sussex Year4_Care_Leavers_at_end_of_period)</f>
        <v>247</v>
      </c>
      <c r="H14" s="890">
        <f>IF(Year5_East_Sussex Year5_Care_Leavers_at_end_of_period="","",Year5_East_Sussex Year5_Care_Leavers_at_end_of_period)</f>
        <v>267</v>
      </c>
      <c r="I14" s="1205">
        <f t="shared" si="0"/>
        <v>7.6528601015757189E-2</v>
      </c>
      <c r="J14" s="1184"/>
      <c r="K14" s="901">
        <f>IF(ISNUMBER(D14),D14/Population!J14*10000,NA())</f>
        <v>138.84043814972441</v>
      </c>
      <c r="L14" s="901">
        <f>IF(ISNUMBER(E14),E14/Population!K14*10000,NA())</f>
        <v>155.63080913610492</v>
      </c>
      <c r="M14" s="901">
        <f>IF(ISNUMBER(F14),F14/Population!L14*10000,NA())</f>
        <v>168.44638291472401</v>
      </c>
      <c r="N14" s="901">
        <f>IF(ISNUMBER(G14),G14/Population!M14*10000,NA())</f>
        <v>191.36902456031609</v>
      </c>
      <c r="O14" s="902">
        <f>IF(ISNUMBER(H14),H14/Population!N14*10000,NA())</f>
        <v>205.35302261190586</v>
      </c>
      <c r="P14" s="903">
        <f t="shared" si="1"/>
        <v>205.35302261190586</v>
      </c>
      <c r="Q14" s="904">
        <f t="shared" si="9"/>
        <v>11</v>
      </c>
      <c r="R14" s="46"/>
      <c r="S14" s="905">
        <f t="shared" si="10"/>
        <v>216.08981058102893</v>
      </c>
      <c r="T14" s="906">
        <f t="shared" si="2"/>
        <v>-10.736787969123071</v>
      </c>
      <c r="U14" s="89"/>
      <c r="V14" s="103"/>
      <c r="W14" s="115"/>
      <c r="X14" s="51" t="str">
        <f t="shared" si="3"/>
        <v>East Sussex</v>
      </c>
      <c r="Y14" s="27">
        <f>IF(ISNUMBER(H14),IDACI!D12,0)</f>
        <v>93130</v>
      </c>
      <c r="Z14" s="27">
        <f>IF(ISNUMBER(H14),IDACI!E12,0)</f>
        <v>14993.93</v>
      </c>
      <c r="AA14" s="155">
        <f>IF(ISNUMBER(D14),Population!J14,"")</f>
        <v>14333</v>
      </c>
      <c r="AB14" s="155">
        <f>IF(ISNUMBER(E14),Population!K14,"")</f>
        <v>13879</v>
      </c>
      <c r="AC14" s="155">
        <f>IF(ISNUMBER(F14),Population!L14,"")</f>
        <v>13298</v>
      </c>
      <c r="AD14" s="155">
        <f>IF(ISNUMBER(G14),Population!M14,"")</f>
        <v>12907</v>
      </c>
      <c r="AE14" s="155">
        <f>IF(ISNUMBER(H14),Population!N14,"")</f>
        <v>13002</v>
      </c>
      <c r="AF14" s="51" t="s">
        <v>4</v>
      </c>
      <c r="AG14" s="70">
        <f t="shared" si="4"/>
        <v>205.35302261190586</v>
      </c>
      <c r="AH14" s="156">
        <f t="shared" si="11"/>
        <v>11</v>
      </c>
      <c r="AJ14" s="121"/>
      <c r="AK14" s="480">
        <f t="shared" si="5"/>
        <v>8.5427135678391955E-2</v>
      </c>
      <c r="AL14" s="480">
        <f t="shared" si="6"/>
        <v>3.7037037037037035E-2</v>
      </c>
      <c r="AM14" s="480">
        <f t="shared" si="7"/>
        <v>0.10267857142857142</v>
      </c>
      <c r="AN14" s="480">
        <f t="shared" si="8"/>
        <v>8.0971659919028341E-2</v>
      </c>
      <c r="AO14" s="480">
        <f t="shared" si="12"/>
        <v>7.6528601015757189E-2</v>
      </c>
      <c r="AQ14" s="52"/>
      <c r="AR14" s="52"/>
      <c r="AS14" s="52"/>
      <c r="AT14" s="52"/>
      <c r="AU14" s="52"/>
      <c r="AV14" s="52"/>
    </row>
    <row r="15" spans="1:48" s="61" customFormat="1" ht="15.75" customHeight="1">
      <c r="A15" s="1103">
        <f>VLOOKUP(B15,ReportData!$AQ$4:$AR$25,2,FALSE)</f>
        <v>0</v>
      </c>
      <c r="B15" s="885" t="str">
        <f>ReportData!$K$8</f>
        <v>Hampshire</v>
      </c>
      <c r="C15" s="896"/>
      <c r="D15" s="889">
        <f>IF(Year1_Hampshire Year1_Care_Leavers_at_end_of_period="","",Year1_Hampshire Year1_Care_Leavers_at_end_of_period)</f>
        <v>551</v>
      </c>
      <c r="E15" s="889">
        <f>IF(Year2_Hampshire Year2_Care_Leavers_at_end_of_period="","",Year2_Hampshire Year2_Care_Leavers_at_end_of_period)</f>
        <v>623</v>
      </c>
      <c r="F15" s="891">
        <f>IF(Year3_Hampshire Year3_Care_Leavers_at_end_of_period="","",Year3_Hampshire Year3_Care_Leavers_at_end_of_period)</f>
        <v>691</v>
      </c>
      <c r="G15" s="891">
        <f>IF(Year4_Hampshire Year4_Care_Leavers_at_end_of_period="","",Year4_Hampshire Year4_Care_Leavers_at_end_of_period)</f>
        <v>710</v>
      </c>
      <c r="H15" s="890">
        <f>IF(Year5_Hampshire Year5_Care_Leavers_at_end_of_period="","",Year5_Hampshire Year5_Care_Leavers_at_end_of_period)</f>
        <v>711</v>
      </c>
      <c r="I15" s="1205">
        <f t="shared" si="0"/>
        <v>6.7181404199977188E-2</v>
      </c>
      <c r="J15" s="1184"/>
      <c r="K15" s="901">
        <f>IF(ISNUMBER(D15),D15/Population!J15*10000,NA())</f>
        <v>143.4335546010673</v>
      </c>
      <c r="L15" s="901">
        <f>IF(ISNUMBER(E15),E15/Population!K15*10000,NA())</f>
        <v>163.14452562390343</v>
      </c>
      <c r="M15" s="901">
        <f>IF(ISNUMBER(F15),F15/Population!L15*10000,NA())</f>
        <v>182.12967843964157</v>
      </c>
      <c r="N15" s="901">
        <f>IF(ISNUMBER(G15),G15/Population!M15*10000,NA())</f>
        <v>194.6592092997752</v>
      </c>
      <c r="O15" s="902">
        <f>IF(ISNUMBER(H15),H15/Population!N15*10000,NA())</f>
        <v>196.41426558744718</v>
      </c>
      <c r="P15" s="903">
        <f t="shared" si="1"/>
        <v>196.41426558744718</v>
      </c>
      <c r="Q15" s="904">
        <f t="shared" si="9"/>
        <v>9</v>
      </c>
      <c r="R15" s="46"/>
      <c r="S15" s="905">
        <f t="shared" si="10"/>
        <v>203.16513185753456</v>
      </c>
      <c r="T15" s="906">
        <f t="shared" si="2"/>
        <v>-6.7508662700873856</v>
      </c>
      <c r="U15" s="89"/>
      <c r="V15" s="103"/>
      <c r="W15" s="115"/>
      <c r="X15" s="51" t="str">
        <f t="shared" si="3"/>
        <v>Hampshire</v>
      </c>
      <c r="Y15" s="27">
        <f>IF(ISNUMBER(H15),IDACI!D13,0)</f>
        <v>249483</v>
      </c>
      <c r="Z15" s="27">
        <f>IF(ISNUMBER(H15),IDACI!E13,0)</f>
        <v>25197.783000000007</v>
      </c>
      <c r="AA15" s="155">
        <f>IF(ISNUMBER(D15),Population!J15,"")</f>
        <v>38415</v>
      </c>
      <c r="AB15" s="155">
        <f>IF(ISNUMBER(E15),Population!K15,"")</f>
        <v>38187</v>
      </c>
      <c r="AC15" s="155">
        <f>IF(ISNUMBER(F15),Population!L15,"")</f>
        <v>37940</v>
      </c>
      <c r="AD15" s="155">
        <f>IF(ISNUMBER(G15),Population!M15,"")</f>
        <v>36474</v>
      </c>
      <c r="AE15" s="155">
        <f>IF(ISNUMBER(H15),Population!N15,"")</f>
        <v>36199</v>
      </c>
      <c r="AF15" s="51" t="s">
        <v>6</v>
      </c>
      <c r="AG15" s="70">
        <f t="shared" si="4"/>
        <v>196.41426558744718</v>
      </c>
      <c r="AH15" s="156">
        <f t="shared" si="11"/>
        <v>9</v>
      </c>
      <c r="AJ15" s="121"/>
      <c r="AK15" s="480">
        <f t="shared" si="5"/>
        <v>0.1306715063520871</v>
      </c>
      <c r="AL15" s="480">
        <f t="shared" si="6"/>
        <v>0.10914927768860354</v>
      </c>
      <c r="AM15" s="480">
        <f t="shared" si="7"/>
        <v>2.7496382054992764E-2</v>
      </c>
      <c r="AN15" s="480">
        <f t="shared" si="8"/>
        <v>1.4084507042253522E-3</v>
      </c>
      <c r="AO15" s="480">
        <f t="shared" si="12"/>
        <v>6.7181404199977188E-2</v>
      </c>
      <c r="AQ15" s="52"/>
      <c r="AR15" s="52"/>
      <c r="AS15" s="52"/>
      <c r="AT15" s="52"/>
      <c r="AU15" s="52"/>
      <c r="AV15" s="52"/>
    </row>
    <row r="16" spans="1:48" s="61" customFormat="1" ht="15.75" customHeight="1">
      <c r="A16" s="1103">
        <f>VLOOKUP(B16,ReportData!$AQ$4:$AR$25,2,FALSE)</f>
        <v>0</v>
      </c>
      <c r="B16" s="885" t="str">
        <f>ReportData!$K$9</f>
        <v>Isle of Wight</v>
      </c>
      <c r="C16" s="896"/>
      <c r="D16" s="889">
        <f>IF(Year1_Isle_of_Wight Year1_Care_Leavers_at_end_of_period="","",Year1_Isle_of_Wight Year1_Care_Leavers_at_end_of_period)</f>
        <v>87</v>
      </c>
      <c r="E16" s="889">
        <f>IF(Year2_Isle_of_Wight Year2_Care_Leavers_at_end_of_period="","",Year2_Isle_of_Wight Year2_Care_Leavers_at_end_of_period)</f>
        <v>83</v>
      </c>
      <c r="F16" s="889">
        <f>IF(Year3_Isle_of_Wight Year3_Care_Leavers_at_end_of_period="","",Year3_Isle_of_Wight Year3_Care_Leavers_at_end_of_period)</f>
        <v>73</v>
      </c>
      <c r="G16" s="889">
        <f>IF(Year4_Isle_of_Wight Year4_Care_Leavers_at_end_of_period="","",Year4_Isle_of_Wight Year4_Care_Leavers_at_end_of_period)</f>
        <v>76</v>
      </c>
      <c r="H16" s="890">
        <f>IF(Year5_Isle_of_Wight Year5_Care_Leavers_at_end_of_period="","",Year5_Isle_of_Wight Year5_Care_Leavers_at_end_of_period)</f>
        <v>91</v>
      </c>
      <c r="I16" s="1205">
        <f t="shared" si="0"/>
        <v>1.8001343064623559E-2</v>
      </c>
      <c r="J16" s="1184"/>
      <c r="K16" s="901">
        <f>IF(ISNUMBER(D16),D16/Population!J16*10000,NA())</f>
        <v>243.35664335664336</v>
      </c>
      <c r="L16" s="901">
        <f>IF(ISNUMBER(E16),E16/Population!K16*10000,NA())</f>
        <v>242.47735904177623</v>
      </c>
      <c r="M16" s="901">
        <f>IF(ISNUMBER(F16),F16/Population!L16*10000,NA())</f>
        <v>230.6477093206951</v>
      </c>
      <c r="N16" s="901">
        <f>IF(ISNUMBER(G16),G16/Population!M16*10000,NA())</f>
        <v>261.88835286009646</v>
      </c>
      <c r="O16" s="902">
        <f>IF(ISNUMBER(H16),H16/Population!N16*10000,NA())</f>
        <v>316.1917998610146</v>
      </c>
      <c r="P16" s="903">
        <f t="shared" si="1"/>
        <v>316.1917998610146</v>
      </c>
      <c r="Q16" s="904">
        <f t="shared" si="9"/>
        <v>19</v>
      </c>
      <c r="R16" s="46"/>
      <c r="S16" s="905">
        <f t="shared" si="10"/>
        <v>220.18262551013549</v>
      </c>
      <c r="T16" s="906">
        <f t="shared" si="2"/>
        <v>96.009174350879107</v>
      </c>
      <c r="U16" s="89"/>
      <c r="V16" s="103"/>
      <c r="W16" s="115"/>
      <c r="X16" s="51" t="str">
        <f t="shared" si="3"/>
        <v>Isle of Wight</v>
      </c>
      <c r="Y16" s="27">
        <f>IF(ISNUMBER(H16),IDACI!D14,0)</f>
        <v>22123</v>
      </c>
      <c r="Z16" s="27">
        <f>IF(ISNUMBER(H16),IDACI!E14,0)</f>
        <v>3982.14</v>
      </c>
      <c r="AA16" s="155">
        <f>IF(ISNUMBER(D16),Population!J16,"")</f>
        <v>3575</v>
      </c>
      <c r="AB16" s="155">
        <f>IF(ISNUMBER(E16),Population!K16,"")</f>
        <v>3423</v>
      </c>
      <c r="AC16" s="155">
        <f>IF(ISNUMBER(F16),Population!L16,"")</f>
        <v>3165</v>
      </c>
      <c r="AD16" s="155">
        <f>IF(ISNUMBER(G16),Population!M16,"")</f>
        <v>2902</v>
      </c>
      <c r="AE16" s="155">
        <f>IF(ISNUMBER(H16),Population!N16,"")</f>
        <v>2878</v>
      </c>
      <c r="AF16" s="51" t="s">
        <v>1</v>
      </c>
      <c r="AG16" s="70">
        <f t="shared" si="4"/>
        <v>316.1917998610146</v>
      </c>
      <c r="AH16" s="156">
        <f t="shared" si="11"/>
        <v>19</v>
      </c>
      <c r="AJ16" s="121"/>
      <c r="AK16" s="480">
        <f t="shared" si="5"/>
        <v>-4.5977011494252873E-2</v>
      </c>
      <c r="AL16" s="480">
        <f t="shared" si="6"/>
        <v>-0.12048192771084337</v>
      </c>
      <c r="AM16" s="480">
        <f t="shared" si="7"/>
        <v>4.1095890410958902E-2</v>
      </c>
      <c r="AN16" s="480">
        <f t="shared" si="8"/>
        <v>0.19736842105263158</v>
      </c>
      <c r="AO16" s="480">
        <f t="shared" si="12"/>
        <v>1.8001343064623559E-2</v>
      </c>
      <c r="AQ16" s="52"/>
      <c r="AR16" s="52"/>
      <c r="AS16" s="52"/>
      <c r="AT16" s="52"/>
      <c r="AU16" s="52"/>
      <c r="AV16" s="52"/>
    </row>
    <row r="17" spans="1:48" s="61" customFormat="1" ht="15.75" customHeight="1">
      <c r="A17" s="1103">
        <f>VLOOKUP(B17,ReportData!$AQ$4:$AR$25,2,FALSE)</f>
        <v>0</v>
      </c>
      <c r="B17" s="885" t="str">
        <f>ReportData!$K$10</f>
        <v>Kent</v>
      </c>
      <c r="C17" s="896"/>
      <c r="D17" s="889">
        <f>IF(Year1_Kent Year1_Care_Leavers_at_end_of_period="","",Year1_Kent Year1_Care_Leavers_at_end_of_period)</f>
        <v>1383</v>
      </c>
      <c r="E17" s="889">
        <f>IF(Year2_Kent Year2_Care_Leavers_at_end_of_period="","",Year2_Kent Year2_Care_Leavers_at_end_of_period)</f>
        <v>1175</v>
      </c>
      <c r="F17" s="889">
        <f>IF(Year3_Kent Year3_Care_Leavers_at_end_of_period="","",Year3_Kent Year3_Care_Leavers_at_end_of_period)</f>
        <v>1172</v>
      </c>
      <c r="G17" s="889">
        <f>IF(Year4_Kent Year4_Care_Leavers_at_end_of_period="","",Year4_Kent Year4_Care_Leavers_at_end_of_period)</f>
        <v>1214</v>
      </c>
      <c r="H17" s="890">
        <f>IF(Year5_Kent Year5_Care_Leavers_at_end_of_period="","",Year5_Kent Year5_Care_Leavers_at_end_of_period)</f>
        <v>1203</v>
      </c>
      <c r="I17" s="1205">
        <f t="shared" si="0"/>
        <v>-3.1543913930836963E-2</v>
      </c>
      <c r="J17" s="1184"/>
      <c r="K17" s="901">
        <f>IF(ISNUMBER(D17),D17/Population!J17*10000,NA())</f>
        <v>275.80567964262923</v>
      </c>
      <c r="L17" s="901">
        <f>IF(ISNUMBER(E17),E17/Population!K17*10000,NA())</f>
        <v>241.45158638829523</v>
      </c>
      <c r="M17" s="901">
        <f>IF(ISNUMBER(F17),F17/Population!L17*10000,NA())</f>
        <v>247.9111581173982</v>
      </c>
      <c r="N17" s="901">
        <f>IF(ISNUMBER(G17),G17/Population!M17*10000,NA())</f>
        <v>268.61972828251538</v>
      </c>
      <c r="O17" s="902">
        <f>IF(ISNUMBER(H17),H17/Population!N17*10000,NA())</f>
        <v>268.3590613009726</v>
      </c>
      <c r="P17" s="903">
        <f t="shared" si="1"/>
        <v>268.3590613009726</v>
      </c>
      <c r="Q17" s="904">
        <f t="shared" si="9"/>
        <v>16</v>
      </c>
      <c r="R17" s="46"/>
      <c r="S17" s="905">
        <f t="shared" si="10"/>
        <v>215.4435766448542</v>
      </c>
      <c r="T17" s="906">
        <f t="shared" si="2"/>
        <v>52.915484656118394</v>
      </c>
      <c r="U17" s="89"/>
      <c r="V17" s="103"/>
      <c r="W17" s="115"/>
      <c r="X17" s="51" t="str">
        <f t="shared" si="3"/>
        <v>Kent</v>
      </c>
      <c r="Y17" s="27">
        <f>IF(ISNUMBER(H17),IDACI!D15,0)</f>
        <v>291866</v>
      </c>
      <c r="Z17" s="27">
        <f>IF(ISNUMBER(H17),IDACI!E15,0)</f>
        <v>46114.828000000001</v>
      </c>
      <c r="AA17" s="155">
        <f>IF(ISNUMBER(D17),Population!J17,"")</f>
        <v>50144</v>
      </c>
      <c r="AB17" s="155">
        <f>IF(ISNUMBER(E17),Population!K17,"")</f>
        <v>48664</v>
      </c>
      <c r="AC17" s="155">
        <f>IF(ISNUMBER(F17),Population!L17,"")</f>
        <v>47275</v>
      </c>
      <c r="AD17" s="155">
        <f>IF(ISNUMBER(G17),Population!M17,"")</f>
        <v>45194</v>
      </c>
      <c r="AE17" s="155">
        <f>IF(ISNUMBER(H17),Population!N17,"")</f>
        <v>44828</v>
      </c>
      <c r="AF17" s="51" t="s">
        <v>9</v>
      </c>
      <c r="AG17" s="70">
        <f t="shared" si="4"/>
        <v>268.3590613009726</v>
      </c>
      <c r="AH17" s="156">
        <f t="shared" si="11"/>
        <v>16</v>
      </c>
      <c r="AJ17" s="121"/>
      <c r="AK17" s="480">
        <f t="shared" si="5"/>
        <v>-0.15039768618944324</v>
      </c>
      <c r="AL17" s="480">
        <f t="shared" si="6"/>
        <v>-2.553191489361702E-3</v>
      </c>
      <c r="AM17" s="480">
        <f t="shared" si="7"/>
        <v>3.5836177474402729E-2</v>
      </c>
      <c r="AN17" s="480">
        <f t="shared" si="8"/>
        <v>-9.0609555189456337E-3</v>
      </c>
      <c r="AO17" s="480">
        <f t="shared" si="12"/>
        <v>-3.1543913930836963E-2</v>
      </c>
      <c r="AQ17" s="52"/>
      <c r="AR17" s="52"/>
      <c r="AS17" s="52"/>
      <c r="AT17" s="52"/>
      <c r="AU17" s="52"/>
      <c r="AV17" s="52"/>
    </row>
    <row r="18" spans="1:48" s="61" customFormat="1" ht="15.75" customHeight="1">
      <c r="A18" s="1103">
        <f>VLOOKUP(B18,ReportData!$AQ$4:$AR$25,2,FALSE)</f>
        <v>0</v>
      </c>
      <c r="B18" s="885" t="str">
        <f>ReportData!$K$11</f>
        <v>Medway</v>
      </c>
      <c r="C18" s="896"/>
      <c r="D18" s="889">
        <f>IF(Year1_Medway Year1_Care_Leavers_at_end_of_period="","",Year1_Medway Year1_Care_Leavers_at_end_of_period)</f>
        <v>121</v>
      </c>
      <c r="E18" s="889">
        <f>IF(Year2_Medway Year2_Care_Leavers_at_end_of_period="","",Year2_Medway Year2_Care_Leavers_at_end_of_period)</f>
        <v>133</v>
      </c>
      <c r="F18" s="889">
        <f>IF(Year3_Medway Year3_Care_Leavers_at_end_of_period="","",Year3_Medway Year3_Care_Leavers_at_end_of_period)</f>
        <v>140</v>
      </c>
      <c r="G18" s="889">
        <f>IF(Year4_Medway Year4_Care_Leavers_at_end_of_period="","",Year4_Medway Year4_Care_Leavers_at_end_of_period)</f>
        <v>147</v>
      </c>
      <c r="H18" s="890">
        <f>IF(Year5_Medway Year5_Care_Leavers_at_end_of_period="","",Year5_Medway Year5_Care_Leavers_at_end_of_period)</f>
        <v>151</v>
      </c>
      <c r="I18" s="1205">
        <f t="shared" si="0"/>
        <v>5.7254004255029543E-2</v>
      </c>
      <c r="J18" s="1184"/>
      <c r="K18" s="901">
        <f>IF(ISNUMBER(D18),D18/Population!J18*10000,NA())</f>
        <v>126.39715867544135</v>
      </c>
      <c r="L18" s="901">
        <f>IF(ISNUMBER(E18),E18/Population!K18*10000,NA())</f>
        <v>144.36122869857809</v>
      </c>
      <c r="M18" s="901">
        <f>IF(ISNUMBER(F18),F18/Population!L18*10000,NA())</f>
        <v>157.69317413831945</v>
      </c>
      <c r="N18" s="901">
        <f>IF(ISNUMBER(G18),G18/Population!M18*10000,NA())</f>
        <v>171.06947515419526</v>
      </c>
      <c r="O18" s="902">
        <f>IF(ISNUMBER(H18),H18/Population!N18*10000,NA())</f>
        <v>173.36394948335246</v>
      </c>
      <c r="P18" s="903">
        <f t="shared" si="1"/>
        <v>173.36394948335246</v>
      </c>
      <c r="Q18" s="904">
        <f t="shared" si="9"/>
        <v>8</v>
      </c>
      <c r="R18" s="46"/>
      <c r="S18" s="905">
        <f t="shared" si="10"/>
        <v>222.12132731865964</v>
      </c>
      <c r="T18" s="906">
        <f t="shared" si="2"/>
        <v>-48.757377835307182</v>
      </c>
      <c r="U18" s="89"/>
      <c r="V18" s="103"/>
      <c r="W18" s="115"/>
      <c r="X18" s="51" t="str">
        <f t="shared" si="3"/>
        <v>Medway</v>
      </c>
      <c r="Y18" s="27">
        <f>IF(ISNUMBER(H18),IDACI!D16,0)</f>
        <v>55993</v>
      </c>
      <c r="Z18" s="27">
        <f>IF(ISNUMBER(H18),IDACI!E16,0)</f>
        <v>10582.676999999998</v>
      </c>
      <c r="AA18" s="155">
        <f>IF(ISNUMBER(D18),Population!J18,"")</f>
        <v>9573</v>
      </c>
      <c r="AB18" s="155">
        <f>IF(ISNUMBER(E18),Population!K18,"")</f>
        <v>9213</v>
      </c>
      <c r="AC18" s="155">
        <f>IF(ISNUMBER(F18),Population!L18,"")</f>
        <v>8878</v>
      </c>
      <c r="AD18" s="155">
        <f>IF(ISNUMBER(G18),Population!M18,"")</f>
        <v>8593</v>
      </c>
      <c r="AE18" s="155">
        <f>IF(ISNUMBER(H18),Population!N18,"")</f>
        <v>8710</v>
      </c>
      <c r="AF18" s="51" t="s">
        <v>2</v>
      </c>
      <c r="AG18" s="70">
        <f t="shared" si="4"/>
        <v>173.36394948335246</v>
      </c>
      <c r="AH18" s="156">
        <f t="shared" si="11"/>
        <v>8</v>
      </c>
      <c r="AJ18" s="121"/>
      <c r="AK18" s="480">
        <f t="shared" si="5"/>
        <v>9.9173553719008267E-2</v>
      </c>
      <c r="AL18" s="480">
        <f t="shared" si="6"/>
        <v>5.2631578947368418E-2</v>
      </c>
      <c r="AM18" s="480">
        <f t="shared" si="7"/>
        <v>0.05</v>
      </c>
      <c r="AN18" s="480">
        <f t="shared" si="8"/>
        <v>2.7210884353741496E-2</v>
      </c>
      <c r="AO18" s="480">
        <f t="shared" si="12"/>
        <v>5.7254004255029543E-2</v>
      </c>
      <c r="AQ18" s="52"/>
      <c r="AR18" s="52"/>
      <c r="AS18" s="52"/>
      <c r="AT18" s="52"/>
      <c r="AU18" s="52"/>
      <c r="AV18" s="52"/>
    </row>
    <row r="19" spans="1:48" s="61" customFormat="1" ht="15.75" customHeight="1">
      <c r="A19" s="1103">
        <f>VLOOKUP(B19,ReportData!$AQ$4:$AR$25,2,FALSE)</f>
        <v>0</v>
      </c>
      <c r="B19" s="885" t="str">
        <f>ReportData!$K$12</f>
        <v>Milton Keynes</v>
      </c>
      <c r="C19" s="896"/>
      <c r="D19" s="889">
        <f>IF(Year1_Milton_Keynes Year1_Care_Leavers_at_end_of_period="","",Year1_Milton_Keynes Year1_Care_Leavers_at_end_of_period)</f>
        <v>165</v>
      </c>
      <c r="E19" s="889">
        <f>IF(Year2_Milton_Keynes Year2_Care_Leavers_at_end_of_period="","",Year2_Milton_Keynes Year2_Care_Leavers_at_end_of_period)</f>
        <v>153</v>
      </c>
      <c r="F19" s="889">
        <f>IF(Year3_Milton_Keynes Year3_Care_Leavers_at_end_of_period="","",Year3_Milton_Keynes Year3_Care_Leavers_at_end_of_period)</f>
        <v>154</v>
      </c>
      <c r="G19" s="889">
        <f>IF(Year4_Milton_Keynes Year4_Care_Leavers_at_end_of_period="","",Year4_Milton_Keynes Year4_Care_Leavers_at_end_of_period)</f>
        <v>169</v>
      </c>
      <c r="H19" s="890">
        <f>IF(Year5_Milton_Keynes Year5_Care_Leavers_at_end_of_period="","",Year5_Milton_Keynes Year5_Care_Leavers_at_end_of_period)</f>
        <v>192</v>
      </c>
      <c r="I19" s="1205">
        <f t="shared" si="0"/>
        <v>4.1826486735989002E-2</v>
      </c>
      <c r="J19" s="1184"/>
      <c r="K19" s="901">
        <f>IF(ISNUMBER(D19),D19/Population!J19*10000,NA())</f>
        <v>218.89095250729636</v>
      </c>
      <c r="L19" s="901">
        <f>IF(ISNUMBER(E19),E19/Population!K19*10000,NA())</f>
        <v>205.72811617587737</v>
      </c>
      <c r="M19" s="901">
        <f>IF(ISNUMBER(F19),F19/Population!L19*10000,NA())</f>
        <v>201.25457396759018</v>
      </c>
      <c r="N19" s="901">
        <f>IF(ISNUMBER(G19),G19/Population!M19*10000,NA())</f>
        <v>237.72682515121679</v>
      </c>
      <c r="O19" s="902">
        <f>IF(ISNUMBER(H19),H19/Population!N19*10000,NA())</f>
        <v>268.49391693469443</v>
      </c>
      <c r="P19" s="903">
        <f t="shared" si="1"/>
        <v>268.49391693469443</v>
      </c>
      <c r="Q19" s="904">
        <f t="shared" si="9"/>
        <v>17</v>
      </c>
      <c r="R19" s="46"/>
      <c r="S19" s="905">
        <f t="shared" si="10"/>
        <v>213.72028614838831</v>
      </c>
      <c r="T19" s="906">
        <f t="shared" si="2"/>
        <v>54.773630786306114</v>
      </c>
      <c r="U19" s="89"/>
      <c r="V19" s="103"/>
      <c r="W19" s="115"/>
      <c r="X19" s="51" t="str">
        <f t="shared" si="3"/>
        <v>Milton Keynes</v>
      </c>
      <c r="Y19" s="27">
        <f>IF(ISNUMBER(H19),IDACI!D17,0)</f>
        <v>59903</v>
      </c>
      <c r="Z19" s="27">
        <f>IF(ISNUMBER(H19),IDACI!E17,0)</f>
        <v>8985.4499999999989</v>
      </c>
      <c r="AA19" s="155">
        <f>IF(ISNUMBER(D19),Population!J19,"")</f>
        <v>7538</v>
      </c>
      <c r="AB19" s="155">
        <f>IF(ISNUMBER(E19),Population!K19,"")</f>
        <v>7437</v>
      </c>
      <c r="AC19" s="155">
        <f>IF(ISNUMBER(F19),Population!L19,"")</f>
        <v>7652</v>
      </c>
      <c r="AD19" s="155">
        <f>IF(ISNUMBER(G19),Population!M19,"")</f>
        <v>7109</v>
      </c>
      <c r="AE19" s="155">
        <f>IF(ISNUMBER(H19),Population!N19,"")</f>
        <v>7151</v>
      </c>
      <c r="AF19" s="51" t="s">
        <v>10</v>
      </c>
      <c r="AG19" s="70">
        <f t="shared" si="4"/>
        <v>268.49391693469443</v>
      </c>
      <c r="AH19" s="156">
        <f t="shared" si="11"/>
        <v>17</v>
      </c>
      <c r="AJ19" s="121"/>
      <c r="AK19" s="480">
        <f t="shared" si="5"/>
        <v>-7.2727272727272724E-2</v>
      </c>
      <c r="AL19" s="480">
        <f t="shared" si="6"/>
        <v>6.5359477124183009E-3</v>
      </c>
      <c r="AM19" s="480">
        <f t="shared" si="7"/>
        <v>9.7402597402597407E-2</v>
      </c>
      <c r="AN19" s="480">
        <f t="shared" si="8"/>
        <v>0.13609467455621302</v>
      </c>
      <c r="AO19" s="480">
        <f t="shared" si="12"/>
        <v>4.1826486735989002E-2</v>
      </c>
      <c r="AQ19" s="52"/>
      <c r="AR19" s="52"/>
      <c r="AS19" s="52"/>
      <c r="AT19" s="52"/>
      <c r="AU19" s="52"/>
      <c r="AV19" s="52"/>
    </row>
    <row r="20" spans="1:48" s="61" customFormat="1" ht="15.75" customHeight="1">
      <c r="A20" s="1103">
        <f>VLOOKUP(B20,ReportData!$AQ$4:$AR$25,2,FALSE)</f>
        <v>0</v>
      </c>
      <c r="B20" s="885" t="str">
        <f>ReportData!$K$13</f>
        <v>Oxfordshire</v>
      </c>
      <c r="C20" s="896"/>
      <c r="D20" s="889">
        <f>IF(Year1_Oxfordshire Year1_Care_Leavers_at_end_of_period="","",Year1_Oxfordshire Year1_Care_Leavers_at_end_of_period)</f>
        <v>291</v>
      </c>
      <c r="E20" s="889">
        <f>IF(Year2_Oxfordshire Year2_Care_Leavers_at_end_of_period="","",Year2_Oxfordshire Year2_Care_Leavers_at_end_of_period)</f>
        <v>301</v>
      </c>
      <c r="F20" s="889">
        <f>IF(Year3_Oxfordshire Year3_Care_Leavers_at_end_of_period="","",Year3_Oxfordshire Year3_Care_Leavers_at_end_of_period)</f>
        <v>332</v>
      </c>
      <c r="G20" s="889">
        <f>IF(Year4_Oxfordshire Year4_Care_Leavers_at_end_of_period="","",Year4_Oxfordshire Year4_Care_Leavers_at_end_of_period)</f>
        <v>354</v>
      </c>
      <c r="H20" s="890">
        <f>IF(Year5_Oxfordshire Year5_Care_Leavers_at_end_of_period="","",Year5_Oxfordshire Year5_Care_Leavers_at_end_of_period)</f>
        <v>387</v>
      </c>
      <c r="I20" s="1205">
        <f t="shared" si="0"/>
        <v>7.4209923403747741E-2</v>
      </c>
      <c r="J20" s="1184"/>
      <c r="K20" s="901">
        <f>IF(ISNUMBER(D20),D20/Population!J20*10000,NA())</f>
        <v>98.721036740509561</v>
      </c>
      <c r="L20" s="901">
        <f>IF(ISNUMBER(E20),E20/Population!K20*10000,NA())</f>
        <v>104.06582768635043</v>
      </c>
      <c r="M20" s="901">
        <f>IF(ISNUMBER(F20),F20/Population!L20*10000,NA())</f>
        <v>109.1746136139428</v>
      </c>
      <c r="N20" s="901">
        <f>IF(ISNUMBER(G20),G20/Population!M20*10000,NA())</f>
        <v>113.0773653612726</v>
      </c>
      <c r="O20" s="902">
        <f>IF(ISNUMBER(H20),H20/Population!N20*10000,NA())</f>
        <v>121.27479552505406</v>
      </c>
      <c r="P20" s="903">
        <f t="shared" si="1"/>
        <v>121.27479552505406</v>
      </c>
      <c r="Q20" s="904">
        <f t="shared" si="9"/>
        <v>3</v>
      </c>
      <c r="R20" s="46"/>
      <c r="S20" s="905">
        <f t="shared" si="10"/>
        <v>203.16513185753456</v>
      </c>
      <c r="T20" s="906">
        <f t="shared" si="2"/>
        <v>-81.890336332480501</v>
      </c>
      <c r="U20" s="89"/>
      <c r="V20" s="103"/>
      <c r="W20" s="115"/>
      <c r="X20" s="51" t="str">
        <f t="shared" si="3"/>
        <v>Oxfordshire</v>
      </c>
      <c r="Y20" s="27">
        <f>IF(ISNUMBER(H20),IDACI!D18,0)</f>
        <v>126119</v>
      </c>
      <c r="Z20" s="27">
        <f>IF(ISNUMBER(H20),IDACI!E18,0)</f>
        <v>12738.019000000002</v>
      </c>
      <c r="AA20" s="155">
        <f>IF(ISNUMBER(D20),Population!J20,"")</f>
        <v>29477</v>
      </c>
      <c r="AB20" s="155">
        <f>IF(ISNUMBER(E20),Population!K20,"")</f>
        <v>28924</v>
      </c>
      <c r="AC20" s="155">
        <f>IF(ISNUMBER(F20),Population!L20,"")</f>
        <v>30410</v>
      </c>
      <c r="AD20" s="155">
        <f>IF(ISNUMBER(G20),Population!M20,"")</f>
        <v>31306</v>
      </c>
      <c r="AE20" s="155">
        <f>IF(ISNUMBER(H20),Population!N20,"")</f>
        <v>31911</v>
      </c>
      <c r="AF20" s="51" t="s">
        <v>11</v>
      </c>
      <c r="AG20" s="70">
        <f t="shared" si="4"/>
        <v>121.27479552505406</v>
      </c>
      <c r="AH20" s="156">
        <f t="shared" si="11"/>
        <v>3</v>
      </c>
      <c r="AJ20" s="121"/>
      <c r="AK20" s="480">
        <f t="shared" si="5"/>
        <v>3.4364261168384883E-2</v>
      </c>
      <c r="AL20" s="480">
        <f t="shared" si="6"/>
        <v>0.10299003322259136</v>
      </c>
      <c r="AM20" s="480">
        <f t="shared" si="7"/>
        <v>6.6265060240963861E-2</v>
      </c>
      <c r="AN20" s="480">
        <f t="shared" si="8"/>
        <v>9.3220338983050849E-2</v>
      </c>
      <c r="AO20" s="480">
        <f t="shared" si="12"/>
        <v>7.4209923403747741E-2</v>
      </c>
      <c r="AQ20" s="52"/>
      <c r="AR20" s="52"/>
      <c r="AS20" s="52"/>
      <c r="AT20" s="52"/>
      <c r="AU20" s="52"/>
      <c r="AV20" s="52"/>
    </row>
    <row r="21" spans="1:48" s="61" customFormat="1" ht="15.75" customHeight="1">
      <c r="A21" s="1103">
        <f>VLOOKUP(B21,ReportData!$AQ$4:$AR$25,2,FALSE)</f>
        <v>0</v>
      </c>
      <c r="B21" s="885" t="str">
        <f>ReportData!$K$14</f>
        <v>Portsmouth</v>
      </c>
      <c r="C21" s="896"/>
      <c r="D21" s="889">
        <f>IF(Year1_Portsmouth Year1_Care_Leavers_at_end_of_period="","",Year1_Portsmouth Year1_Care_Leavers_at_end_of_period)</f>
        <v>153</v>
      </c>
      <c r="E21" s="889">
        <f>IF(Year2_Portsmouth Year2_Care_Leavers_at_end_of_period="","",Year2_Portsmouth Year2_Care_Leavers_at_end_of_period)</f>
        <v>211</v>
      </c>
      <c r="F21" s="889">
        <f>IF(Year3_Portsmouth Year3_Care_Leavers_at_end_of_period="","",Year3_Portsmouth Year3_Care_Leavers_at_end_of_period)</f>
        <v>259</v>
      </c>
      <c r="G21" s="889">
        <f>IF(Year4_Portsmouth Year4_Care_Leavers_at_end_of_period="","",Year4_Portsmouth Year4_Care_Leavers_at_end_of_period)</f>
        <v>259</v>
      </c>
      <c r="H21" s="890">
        <f>IF(Year5_Portsmouth Year5_Care_Leavers_at_end_of_period="","",Year5_Portsmouth Year5_Care_Leavers_at_end_of_period)</f>
        <v>229</v>
      </c>
      <c r="I21" s="1205">
        <f t="shared" si="0"/>
        <v>0.12268575078722835</v>
      </c>
      <c r="J21" s="1184"/>
      <c r="K21" s="901">
        <f>IF(ISNUMBER(D21),D21/Population!J21*10000,NA())</f>
        <v>100.16366612111293</v>
      </c>
      <c r="L21" s="901">
        <f>IF(ISNUMBER(E21),E21/Population!K21*10000,NA())</f>
        <v>140.70418778340891</v>
      </c>
      <c r="M21" s="901">
        <f>IF(ISNUMBER(F21),F21/Population!L21*10000,NA())</f>
        <v>178.74396135265701</v>
      </c>
      <c r="N21" s="901">
        <f>IF(ISNUMBER(G21),G21/Population!M21*10000,NA())</f>
        <v>177.03349282296651</v>
      </c>
      <c r="O21" s="902">
        <f>IF(ISNUMBER(H21),H21/Population!N21*10000,NA())</f>
        <v>164.01661653058301</v>
      </c>
      <c r="P21" s="903">
        <f t="shared" si="1"/>
        <v>164.01661653058301</v>
      </c>
      <c r="Q21" s="904">
        <f t="shared" si="9"/>
        <v>6</v>
      </c>
      <c r="R21" s="46"/>
      <c r="S21" s="905">
        <f t="shared" si="10"/>
        <v>224.92167437541676</v>
      </c>
      <c r="T21" s="906">
        <f t="shared" si="2"/>
        <v>-60.905057844833749</v>
      </c>
      <c r="U21" s="89"/>
      <c r="V21" s="103"/>
      <c r="W21" s="115"/>
      <c r="X21" s="51" t="str">
        <f t="shared" si="3"/>
        <v>Portsmouth</v>
      </c>
      <c r="Y21" s="27">
        <f>IF(ISNUMBER(H21),IDACI!D19,0)</f>
        <v>39325</v>
      </c>
      <c r="Z21" s="27">
        <f>IF(ISNUMBER(H21),IDACI!E19,0)</f>
        <v>7943.6500000000015</v>
      </c>
      <c r="AA21" s="155">
        <f>IF(ISNUMBER(D21),Population!J21,"")</f>
        <v>15275</v>
      </c>
      <c r="AB21" s="155">
        <f>IF(ISNUMBER(E21),Population!K21,"")</f>
        <v>14996</v>
      </c>
      <c r="AC21" s="155">
        <f>IF(ISNUMBER(F21),Population!L21,"")</f>
        <v>14490</v>
      </c>
      <c r="AD21" s="155">
        <f>IF(ISNUMBER(G21),Population!M21,"")</f>
        <v>14630</v>
      </c>
      <c r="AE21" s="155">
        <f>IF(ISNUMBER(H21),Population!N21,"")</f>
        <v>13962</v>
      </c>
      <c r="AF21" s="51" t="s">
        <v>12</v>
      </c>
      <c r="AG21" s="70">
        <f t="shared" si="4"/>
        <v>164.01661653058301</v>
      </c>
      <c r="AH21" s="156">
        <f t="shared" si="11"/>
        <v>6</v>
      </c>
      <c r="AJ21" s="121"/>
      <c r="AK21" s="480">
        <f t="shared" si="5"/>
        <v>0.37908496732026142</v>
      </c>
      <c r="AL21" s="480">
        <f t="shared" si="6"/>
        <v>0.22748815165876776</v>
      </c>
      <c r="AM21" s="480">
        <f t="shared" si="7"/>
        <v>0</v>
      </c>
      <c r="AN21" s="480">
        <f t="shared" si="8"/>
        <v>-0.11583011583011583</v>
      </c>
      <c r="AO21" s="480">
        <f t="shared" si="12"/>
        <v>0.12268575078722835</v>
      </c>
      <c r="AQ21" s="52"/>
      <c r="AR21" s="52"/>
      <c r="AS21" s="52"/>
      <c r="AT21" s="52"/>
      <c r="AU21" s="52"/>
      <c r="AV21" s="52"/>
    </row>
    <row r="22" spans="1:48" s="61" customFormat="1" ht="15.75" customHeight="1">
      <c r="A22" s="1103">
        <f>VLOOKUP(B22,ReportData!$AQ$4:$AR$25,2,FALSE)</f>
        <v>0</v>
      </c>
      <c r="B22" s="885" t="str">
        <f>ReportData!$K$15</f>
        <v>Reading</v>
      </c>
      <c r="C22" s="896"/>
      <c r="D22" s="889">
        <f>IF(Year1_Reading Year1_Care_Leavers_at_end_of_period="","",Year1_Reading Year1_Care_Leavers_at_end_of_period)</f>
        <v>101</v>
      </c>
      <c r="E22" s="889">
        <f>IF(Year2_Reading Year2_Care_Leavers_at_end_of_period="","",Year2_Reading Year2_Care_Leavers_at_end_of_period)</f>
        <v>100</v>
      </c>
      <c r="F22" s="889">
        <f>IF(Year3_Reading Year3_Care_Leavers_at_end_of_period="","",Year3_Reading Year3_Care_Leavers_at_end_of_period)</f>
        <v>96</v>
      </c>
      <c r="G22" s="889">
        <f>IF(Year4_Reading Year4_Care_Leavers_at_end_of_period="","",Year4_Reading Year4_Care_Leavers_at_end_of_period)</f>
        <v>115</v>
      </c>
      <c r="H22" s="890">
        <f>IF(Year5_Reading Year5_Care_Leavers_at_end_of_period="","",Year5_Reading Year5_Care_Leavers_at_end_of_period)</f>
        <v>136</v>
      </c>
      <c r="I22" s="1205">
        <f t="shared" si="0"/>
        <v>8.2656093054957663E-2</v>
      </c>
      <c r="J22" s="1184"/>
      <c r="K22" s="901">
        <f>IF(ISNUMBER(D22),D22/Population!J22*10000,NA())</f>
        <v>104.31728981615369</v>
      </c>
      <c r="L22" s="901">
        <f>IF(ISNUMBER(E22),E22/Population!K22*10000,NA())</f>
        <v>107.41138560687433</v>
      </c>
      <c r="M22" s="901">
        <f>IF(ISNUMBER(F22),F22/Population!L22*10000,NA())</f>
        <v>101.0739102969046</v>
      </c>
      <c r="N22" s="901">
        <f>IF(ISNUMBER(G22),G22/Population!M22*10000,NA())</f>
        <v>114.2232816845451</v>
      </c>
      <c r="O22" s="902">
        <f>IF(ISNUMBER(H22),H22/Population!N22*10000,NA())</f>
        <v>134.06940063091483</v>
      </c>
      <c r="P22" s="903">
        <f t="shared" si="1"/>
        <v>134.06940063091483</v>
      </c>
      <c r="Q22" s="904">
        <f t="shared" si="9"/>
        <v>4</v>
      </c>
      <c r="R22" s="46"/>
      <c r="S22" s="905">
        <f t="shared" si="10"/>
        <v>215.87439926897071</v>
      </c>
      <c r="T22" s="906">
        <f t="shared" si="2"/>
        <v>-81.804998638055878</v>
      </c>
      <c r="U22" s="89"/>
      <c r="V22" s="103"/>
      <c r="W22" s="115"/>
      <c r="X22" s="51" t="str">
        <f t="shared" si="3"/>
        <v>Reading</v>
      </c>
      <c r="Y22" s="27">
        <f>IF(ISNUMBER(H22),IDACI!D20,0)</f>
        <v>33203</v>
      </c>
      <c r="Z22" s="27">
        <f>IF(ISNUMBER(H22),IDACI!E20,0)</f>
        <v>5312.4800000000005</v>
      </c>
      <c r="AA22" s="155">
        <f>IF(ISNUMBER(D22),Population!J22,"")</f>
        <v>9682</v>
      </c>
      <c r="AB22" s="155">
        <f>IF(ISNUMBER(E22),Population!K22,"")</f>
        <v>9310</v>
      </c>
      <c r="AC22" s="155">
        <f>IF(ISNUMBER(F22),Population!L22,"")</f>
        <v>9498</v>
      </c>
      <c r="AD22" s="155">
        <f>IF(ISNUMBER(G22),Population!M22,"")</f>
        <v>10068</v>
      </c>
      <c r="AE22" s="155">
        <f>IF(ISNUMBER(H22),Population!N22,"")</f>
        <v>10144</v>
      </c>
      <c r="AF22" s="51" t="s">
        <v>3</v>
      </c>
      <c r="AG22" s="70">
        <f t="shared" si="4"/>
        <v>134.06940063091483</v>
      </c>
      <c r="AH22" s="156">
        <f t="shared" si="11"/>
        <v>4</v>
      </c>
      <c r="AJ22" s="121"/>
      <c r="AK22" s="480">
        <f t="shared" si="5"/>
        <v>-9.9009900990099011E-3</v>
      </c>
      <c r="AL22" s="480">
        <f t="shared" si="6"/>
        <v>-0.04</v>
      </c>
      <c r="AM22" s="480">
        <f t="shared" si="7"/>
        <v>0.19791666666666666</v>
      </c>
      <c r="AN22" s="480">
        <f t="shared" si="8"/>
        <v>0.18260869565217391</v>
      </c>
      <c r="AO22" s="480">
        <f t="shared" si="12"/>
        <v>8.2656093054957663E-2</v>
      </c>
      <c r="AQ22" s="52"/>
      <c r="AR22" s="52"/>
      <c r="AS22" s="52"/>
      <c r="AT22" s="52"/>
      <c r="AU22" s="52"/>
      <c r="AV22" s="52"/>
    </row>
    <row r="23" spans="1:48" s="61" customFormat="1" ht="15.75" customHeight="1">
      <c r="A23" s="1103">
        <f>VLOOKUP(B23,ReportData!$AQ$4:$AR$25,2,FALSE)</f>
        <v>0</v>
      </c>
      <c r="B23" s="885" t="str">
        <f>ReportData!$K$16</f>
        <v>Slough</v>
      </c>
      <c r="C23" s="896"/>
      <c r="D23" s="889">
        <f>IF(Year1_Slough Year1_Care_Leavers_at_end_of_period="","",Year1_Slough Year1_Care_Leavers_at_end_of_period)</f>
        <v>93</v>
      </c>
      <c r="E23" s="889">
        <f>IF(Year2_Slough Year2_Care_Leavers_at_end_of_period="","",Year2_Slough Year2_Care_Leavers_at_end_of_period)</f>
        <v>100</v>
      </c>
      <c r="F23" s="889">
        <f>IF(Year3_Slough Year3_Care_Leavers_at_end_of_period="","",Year3_Slough Year3_Care_Leavers_at_end_of_period)</f>
        <v>95</v>
      </c>
      <c r="G23" s="889">
        <f>IF(Year4_Slough Year4_Care_Leavers_at_end_of_period="","",Year4_Slough Year4_Care_Leavers_at_end_of_period)</f>
        <v>95</v>
      </c>
      <c r="H23" s="890">
        <f>IF(Year5_Slough Year5_Care_Leavers_at_end_of_period="","",Year5_Slough Year5_Care_Leavers_at_end_of_period)</f>
        <v>112</v>
      </c>
      <c r="I23" s="1205">
        <f t="shared" si="0"/>
        <v>5.1054046406338427E-2</v>
      </c>
      <c r="J23" s="1184"/>
      <c r="K23" s="901">
        <f>IF(ISNUMBER(D23),D23/Population!J23*10000,NA())</f>
        <v>197.49416011892123</v>
      </c>
      <c r="L23" s="901">
        <f>IF(ISNUMBER(E23),E23/Population!K23*10000,NA())</f>
        <v>214.86892995272882</v>
      </c>
      <c r="M23" s="901">
        <f>IF(ISNUMBER(F23),F23/Population!L23*10000,NA())</f>
        <v>194.63224749026838</v>
      </c>
      <c r="N23" s="901">
        <f>IF(ISNUMBER(G23),G23/Population!M23*10000,NA())</f>
        <v>196.93200663349918</v>
      </c>
      <c r="O23" s="902">
        <f>IF(ISNUMBER(H23),H23/Population!N23*10000,NA())</f>
        <v>234.01587964897618</v>
      </c>
      <c r="P23" s="903">
        <f t="shared" si="1"/>
        <v>234.01587964897618</v>
      </c>
      <c r="Q23" s="904">
        <f t="shared" si="9"/>
        <v>14</v>
      </c>
      <c r="R23" s="46"/>
      <c r="S23" s="905">
        <f t="shared" si="10"/>
        <v>213.07405221221359</v>
      </c>
      <c r="T23" s="906">
        <f t="shared" si="2"/>
        <v>20.941827436762594</v>
      </c>
      <c r="U23" s="89"/>
      <c r="V23" s="103"/>
      <c r="W23" s="115"/>
      <c r="X23" s="51" t="str">
        <f t="shared" si="3"/>
        <v>Slough</v>
      </c>
      <c r="Y23" s="27">
        <f>IF(ISNUMBER(H23),IDACI!D21,0)</f>
        <v>37031</v>
      </c>
      <c r="Z23" s="27">
        <f>IF(ISNUMBER(H23),IDACI!E21,0)</f>
        <v>5443.5569999999998</v>
      </c>
      <c r="AA23" s="155">
        <f>IF(ISNUMBER(D23),Population!J23,"")</f>
        <v>4709</v>
      </c>
      <c r="AB23" s="155">
        <f>IF(ISNUMBER(E23),Population!K23,"")</f>
        <v>4654</v>
      </c>
      <c r="AC23" s="155">
        <f>IF(ISNUMBER(F23),Population!L23,"")</f>
        <v>4881</v>
      </c>
      <c r="AD23" s="155">
        <f>IF(ISNUMBER(G23),Population!M23,"")</f>
        <v>4824</v>
      </c>
      <c r="AE23" s="155">
        <f>IF(ISNUMBER(H23),Population!N23,"")</f>
        <v>4786</v>
      </c>
      <c r="AF23" s="51" t="s">
        <v>13</v>
      </c>
      <c r="AG23" s="70">
        <f t="shared" si="4"/>
        <v>234.01587964897618</v>
      </c>
      <c r="AH23" s="156">
        <f t="shared" si="11"/>
        <v>14</v>
      </c>
      <c r="AJ23" s="121"/>
      <c r="AK23" s="480">
        <f t="shared" si="5"/>
        <v>7.5268817204301078E-2</v>
      </c>
      <c r="AL23" s="480">
        <f t="shared" si="6"/>
        <v>-0.05</v>
      </c>
      <c r="AM23" s="480">
        <f t="shared" si="7"/>
        <v>0</v>
      </c>
      <c r="AN23" s="480">
        <f t="shared" si="8"/>
        <v>0.17894736842105263</v>
      </c>
      <c r="AO23" s="480">
        <f t="shared" si="12"/>
        <v>5.1054046406338427E-2</v>
      </c>
      <c r="AQ23" s="52"/>
      <c r="AR23" s="52"/>
      <c r="AS23" s="52"/>
      <c r="AT23" s="52"/>
      <c r="AU23" s="52"/>
      <c r="AV23" s="52"/>
    </row>
    <row r="24" spans="1:48" s="61" customFormat="1" ht="15.75" customHeight="1">
      <c r="A24" s="1103">
        <f>VLOOKUP(B24,ReportData!$AQ$4:$AR$25,2,FALSE)</f>
        <v>0</v>
      </c>
      <c r="B24" s="885" t="str">
        <f>ReportData!$K$17</f>
        <v>Southampton</v>
      </c>
      <c r="C24" s="896"/>
      <c r="D24" s="889">
        <f>IF(Year1_Southampton Year1_Care_Leavers_at_end_of_period="","",Year1_Southampton Year1_Care_Leavers_at_end_of_period)</f>
        <v>131</v>
      </c>
      <c r="E24" s="889">
        <f>IF(Year2_Southampton Year2_Care_Leavers_at_end_of_period="","",Year2_Southampton Year2_Care_Leavers_at_end_of_period)</f>
        <v>142</v>
      </c>
      <c r="F24" s="889">
        <f>IF(Year3_Southampton Year3_Care_Leavers_at_end_of_period="","",Year3_Southampton Year3_Care_Leavers_at_end_of_period)</f>
        <v>146</v>
      </c>
      <c r="G24" s="889">
        <f>IF(Year4_Southampton Year4_Care_Leavers_at_end_of_period="","",Year4_Southampton Year4_Care_Leavers_at_end_of_period)</f>
        <v>161</v>
      </c>
      <c r="H24" s="890">
        <f>IF(Year5_Southampton Year5_Care_Leavers_at_end_of_period="","",Year5_Southampton Year5_Care_Leavers_at_end_of_period)</f>
        <v>192</v>
      </c>
      <c r="I24" s="1205">
        <f t="shared" si="0"/>
        <v>0.10185619740292273</v>
      </c>
      <c r="J24" s="1184"/>
      <c r="K24" s="901">
        <f>IF(ISNUMBER(D24),D24/Population!J24*10000,NA())</f>
        <v>67.550146960243396</v>
      </c>
      <c r="L24" s="901">
        <f>IF(ISNUMBER(E24),E24/Population!K24*10000,NA())</f>
        <v>78.492067879055895</v>
      </c>
      <c r="M24" s="901">
        <f>IF(ISNUMBER(F24),F24/Population!L24*10000,NA())</f>
        <v>86.775631500742946</v>
      </c>
      <c r="N24" s="901">
        <f>IF(ISNUMBER(G24),G24/Population!M24*10000,NA())</f>
        <v>88.783500606595354</v>
      </c>
      <c r="O24" s="902">
        <f>IF(ISNUMBER(H24),H24/Population!N24*10000,NA())</f>
        <v>102.29633970909478</v>
      </c>
      <c r="P24" s="903">
        <f t="shared" si="1"/>
        <v>102.29633970909478</v>
      </c>
      <c r="Q24" s="904">
        <f t="shared" si="9"/>
        <v>1</v>
      </c>
      <c r="R24" s="46"/>
      <c r="S24" s="905">
        <f>((AQ51*$Y$41)+$Z$41)/$X$2</f>
        <v>225.56790831159145</v>
      </c>
      <c r="T24" s="906">
        <f t="shared" ref="T24:T31" si="13">O24-S24</f>
        <v>-123.27156860249667</v>
      </c>
      <c r="U24" s="89"/>
      <c r="V24" s="103"/>
      <c r="W24" s="115"/>
      <c r="X24" s="51" t="str">
        <f t="shared" si="3"/>
        <v>Southampton</v>
      </c>
      <c r="Y24" s="27">
        <f>IF(ISNUMBER(H24),IDACI!D22,0)</f>
        <v>44295</v>
      </c>
      <c r="Z24" s="27">
        <f>IF(ISNUMBER(H24),IDACI!E22,0)</f>
        <v>9080.4750000000004</v>
      </c>
      <c r="AA24" s="155">
        <f>IF(ISNUMBER(D24),Population!J24,"")</f>
        <v>19393</v>
      </c>
      <c r="AB24" s="155">
        <f>IF(ISNUMBER(E24),Population!K24,"")</f>
        <v>18091</v>
      </c>
      <c r="AC24" s="155">
        <f>IF(ISNUMBER(F24),Population!L24,"")</f>
        <v>16825</v>
      </c>
      <c r="AD24" s="155">
        <f>IF(ISNUMBER(G24),Population!M24,"")</f>
        <v>18134</v>
      </c>
      <c r="AE24" s="155">
        <f>IF(ISNUMBER(H24),Population!N24,"")</f>
        <v>18769</v>
      </c>
      <c r="AF24" s="51" t="s">
        <v>14</v>
      </c>
      <c r="AG24" s="70">
        <f t="shared" si="4"/>
        <v>102.29633970909478</v>
      </c>
      <c r="AH24" s="156">
        <f t="shared" si="11"/>
        <v>1</v>
      </c>
      <c r="AJ24" s="121"/>
      <c r="AK24" s="480">
        <f t="shared" si="5"/>
        <v>8.3969465648854963E-2</v>
      </c>
      <c r="AL24" s="480">
        <f t="shared" si="6"/>
        <v>2.8169014084507043E-2</v>
      </c>
      <c r="AM24" s="480">
        <f t="shared" si="7"/>
        <v>0.10273972602739725</v>
      </c>
      <c r="AN24" s="480">
        <f t="shared" si="8"/>
        <v>0.19254658385093168</v>
      </c>
      <c r="AO24" s="480">
        <f t="shared" si="12"/>
        <v>0.10185619740292273</v>
      </c>
      <c r="AQ24" s="52"/>
      <c r="AR24" s="52"/>
      <c r="AS24" s="52"/>
      <c r="AT24" s="52"/>
      <c r="AU24" s="52"/>
      <c r="AV24" s="52"/>
    </row>
    <row r="25" spans="1:48" s="61" customFormat="1" ht="15.75" customHeight="1">
      <c r="A25" s="1103">
        <f>VLOOKUP(B25,ReportData!$AQ$4:$AR$25,2,FALSE)</f>
        <v>0</v>
      </c>
      <c r="B25" s="885" t="str">
        <f>ReportData!$K$18</f>
        <v>Surrey</v>
      </c>
      <c r="C25" s="896"/>
      <c r="D25" s="889">
        <f>IF(Year1_Surrey Year1_Care_Leavers_at_end_of_period="","",Year1_Surrey Year1_Care_Leavers_at_end_of_period)</f>
        <v>514</v>
      </c>
      <c r="E25" s="889">
        <f>IF(Year2_Surrey Year2_Care_Leavers_at_end_of_period="","",Year2_Surrey Year2_Care_Leavers_at_end_of_period)</f>
        <v>532</v>
      </c>
      <c r="F25" s="889">
        <f>IF(Year3_Surrey Year3_Care_Leavers_at_end_of_period="","",Year3_Surrey Year3_Care_Leavers_at_end_of_period)</f>
        <v>542</v>
      </c>
      <c r="G25" s="889">
        <f>IF(Year4_Surrey Year4_Care_Leavers_at_end_of_period="","",Year4_Surrey Year4_Care_Leavers_at_end_of_period)</f>
        <v>561</v>
      </c>
      <c r="H25" s="890">
        <f>IF(Year5_Surrey Year5_Care_Leavers_at_end_of_period="","",Year5_Surrey Year5_Care_Leavers_at_end_of_period)</f>
        <v>619</v>
      </c>
      <c r="I25" s="1205">
        <f t="shared" si="0"/>
        <v>4.8064651889197257E-2</v>
      </c>
      <c r="J25" s="1184"/>
      <c r="K25" s="901">
        <f>IF(ISNUMBER(D25),D25/Population!J25*10000,NA())</f>
        <v>136.62582068525558</v>
      </c>
      <c r="L25" s="901">
        <f>IF(ISNUMBER(E25),E25/Population!K25*10000,NA())</f>
        <v>141.09908762995968</v>
      </c>
      <c r="M25" s="901">
        <f>IF(ISNUMBER(F25),F25/Population!L25*10000,NA())</f>
        <v>145.3706683832207</v>
      </c>
      <c r="N25" s="901">
        <f>IF(ISNUMBER(G25),G25/Population!M25*10000,NA())</f>
        <v>155.16526068316969</v>
      </c>
      <c r="O25" s="902">
        <f>IF(ISNUMBER(H25),H25/Population!N25*10000,NA())</f>
        <v>168.91338754570759</v>
      </c>
      <c r="P25" s="903">
        <f t="shared" si="1"/>
        <v>168.91338754570759</v>
      </c>
      <c r="Q25" s="904">
        <f t="shared" si="9"/>
        <v>7</v>
      </c>
      <c r="R25" s="46"/>
      <c r="S25" s="905">
        <f t="shared" si="10"/>
        <v>199.28772824048627</v>
      </c>
      <c r="T25" s="906">
        <f t="shared" si="13"/>
        <v>-30.374340694778681</v>
      </c>
      <c r="U25" s="89"/>
      <c r="V25" s="103"/>
      <c r="W25" s="115"/>
      <c r="X25" s="51" t="str">
        <f t="shared" si="3"/>
        <v>Surrey</v>
      </c>
      <c r="Y25" s="27">
        <f>IF(ISNUMBER(H25),IDACI!D23,0)</f>
        <v>228466</v>
      </c>
      <c r="Z25" s="27">
        <f>IF(ISNUMBER(H25),IDACI!E23,0)</f>
        <v>18962.678</v>
      </c>
      <c r="AA25" s="155">
        <f>IF(ISNUMBER(D25),Population!J25,"")</f>
        <v>37621</v>
      </c>
      <c r="AB25" s="155">
        <f>IF(ISNUMBER(E25),Population!K25,"")</f>
        <v>37704</v>
      </c>
      <c r="AC25" s="155">
        <f>IF(ISNUMBER(F25),Population!L25,"")</f>
        <v>37284</v>
      </c>
      <c r="AD25" s="155">
        <f>IF(ISNUMBER(G25),Population!M25,"")</f>
        <v>36155</v>
      </c>
      <c r="AE25" s="155">
        <f>IF(ISNUMBER(H25),Population!N25,"")</f>
        <v>36646</v>
      </c>
      <c r="AF25" s="51" t="s">
        <v>7</v>
      </c>
      <c r="AG25" s="70">
        <f t="shared" si="4"/>
        <v>168.91338754570759</v>
      </c>
      <c r="AH25" s="156">
        <f t="shared" si="11"/>
        <v>7</v>
      </c>
      <c r="AJ25" s="121"/>
      <c r="AK25" s="480">
        <f t="shared" si="5"/>
        <v>3.5019455252918288E-2</v>
      </c>
      <c r="AL25" s="480">
        <f t="shared" si="6"/>
        <v>1.8796992481203006E-2</v>
      </c>
      <c r="AM25" s="480">
        <f t="shared" si="7"/>
        <v>3.5055350553505532E-2</v>
      </c>
      <c r="AN25" s="480">
        <f t="shared" si="8"/>
        <v>0.10338680926916222</v>
      </c>
      <c r="AO25" s="480">
        <f t="shared" si="12"/>
        <v>4.8064651889197257E-2</v>
      </c>
      <c r="AQ25" s="52"/>
      <c r="AR25" s="52"/>
      <c r="AS25" s="52"/>
      <c r="AT25" s="52"/>
      <c r="AU25" s="52"/>
      <c r="AV25" s="52"/>
    </row>
    <row r="26" spans="1:48" s="61" customFormat="1" ht="15.75" customHeight="1">
      <c r="A26" s="1103">
        <f>VLOOKUP(B26,ReportData!$AQ$4:$AR$25,2,FALSE)</f>
        <v>0</v>
      </c>
      <c r="B26" s="885" t="str">
        <f>ReportData!$K$19</f>
        <v>West Berkshire</v>
      </c>
      <c r="C26" s="896"/>
      <c r="D26" s="889">
        <f>IF(Year1_West_Berkshire Year1_Care_Leavers_at_end_of_period="","",Year1_West_Berkshire Year1_Care_Leavers_at_end_of_period)</f>
        <v>80</v>
      </c>
      <c r="E26" s="889">
        <f>IF(Year2_West_Berkshire Year2_Care_Leavers_at_end_of_period="","",Year2_West_Berkshire Year2_Care_Leavers_at_end_of_period)</f>
        <v>83</v>
      </c>
      <c r="F26" s="889">
        <f>IF(Year3_West_Berkshire Year3_Care_Leavers_at_end_of_period="","",Year3_West_Berkshire Year3_Care_Leavers_at_end_of_period)</f>
        <v>95</v>
      </c>
      <c r="G26" s="889">
        <f>IF(Year4_West_Berkshire Year4_Care_Leavers_at_end_of_period="","",Year4_West_Berkshire Year4_Care_Leavers_at_end_of_period)</f>
        <v>104</v>
      </c>
      <c r="H26" s="890">
        <f>IF(Year5_West_Berkshire Year5_Care_Leavers_at_end_of_period="","",Year5_West_Berkshire Year5_Care_Leavers_at_end_of_period)</f>
        <v>111</v>
      </c>
      <c r="I26" s="1205">
        <f t="shared" ref="I26:I31" si="14">AO26</f>
        <v>8.6030711916491878E-2</v>
      </c>
      <c r="J26" s="1184"/>
      <c r="K26" s="901">
        <f>IF(ISNUMBER(D26),D26/Population!J26*10000,NA())</f>
        <v>205.60267283474684</v>
      </c>
      <c r="L26" s="901">
        <f>IF(ISNUMBER(E26),E26/Population!K26*10000,NA())</f>
        <v>215.08162736460224</v>
      </c>
      <c r="M26" s="901">
        <f>IF(ISNUMBER(F26),F26/Population!L26*10000,NA())</f>
        <v>243.09109518935517</v>
      </c>
      <c r="N26" s="901">
        <f>IF(ISNUMBER(G26),G26/Population!M26*10000,NA())</f>
        <v>295.70656809781065</v>
      </c>
      <c r="O26" s="902">
        <f>IF(ISNUMBER(H26),H26/Population!N26*10000,NA())</f>
        <v>309.02004454342983</v>
      </c>
      <c r="P26" s="903">
        <f t="shared" si="1"/>
        <v>309.02004454342983</v>
      </c>
      <c r="Q26" s="904">
        <f t="shared" si="9"/>
        <v>18</v>
      </c>
      <c r="R26" s="46"/>
      <c r="S26" s="905">
        <f t="shared" si="10"/>
        <v>200.14937348871922</v>
      </c>
      <c r="T26" s="906">
        <f t="shared" si="13"/>
        <v>108.87067105471061</v>
      </c>
      <c r="U26" s="89"/>
      <c r="V26" s="103"/>
      <c r="W26" s="115"/>
      <c r="X26" s="51" t="str">
        <f t="shared" si="3"/>
        <v>West Berkshire</v>
      </c>
      <c r="Y26" s="27">
        <f>IF(ISNUMBER(H26),IDACI!D24,0)</f>
        <v>31625</v>
      </c>
      <c r="Z26" s="27">
        <f>IF(ISNUMBER(H26),IDACI!E24,0)</f>
        <v>2751.375</v>
      </c>
      <c r="AA26" s="155">
        <f>IF(ISNUMBER(D26),Population!J26,"")</f>
        <v>3891</v>
      </c>
      <c r="AB26" s="155">
        <f>IF(ISNUMBER(E26),Population!K26,"")</f>
        <v>3859</v>
      </c>
      <c r="AC26" s="155">
        <f>IF(ISNUMBER(F26),Population!L26,"")</f>
        <v>3908</v>
      </c>
      <c r="AD26" s="155">
        <f>IF(ISNUMBER(G26),Population!M26,"")</f>
        <v>3517</v>
      </c>
      <c r="AE26" s="155">
        <f>IF(ISNUMBER(H26),Population!N26,"")</f>
        <v>3592</v>
      </c>
      <c r="AF26" s="51" t="s">
        <v>15</v>
      </c>
      <c r="AG26" s="70">
        <f t="shared" si="4"/>
        <v>309.02004454342983</v>
      </c>
      <c r="AH26" s="156">
        <f t="shared" si="11"/>
        <v>18</v>
      </c>
      <c r="AJ26" s="121"/>
      <c r="AK26" s="480">
        <f t="shared" si="5"/>
        <v>3.7499999999999999E-2</v>
      </c>
      <c r="AL26" s="480">
        <f t="shared" si="6"/>
        <v>0.14457831325301204</v>
      </c>
      <c r="AM26" s="480">
        <f t="shared" si="7"/>
        <v>9.4736842105263161E-2</v>
      </c>
      <c r="AN26" s="480">
        <f t="shared" si="8"/>
        <v>6.7307692307692304E-2</v>
      </c>
      <c r="AO26" s="480">
        <f t="shared" ref="AO26:AO31" si="15">AVERAGE(AK26:AN26)</f>
        <v>8.6030711916491878E-2</v>
      </c>
      <c r="AQ26" s="52"/>
      <c r="AR26" s="52"/>
      <c r="AS26" s="52"/>
      <c r="AT26" s="52"/>
      <c r="AU26" s="52"/>
      <c r="AV26" s="52"/>
    </row>
    <row r="27" spans="1:48" s="61" customFormat="1" ht="15.75" customHeight="1">
      <c r="A27" s="1103">
        <f>VLOOKUP(B27,ReportData!$AQ$4:$AR$25,2,FALSE)</f>
        <v>0</v>
      </c>
      <c r="B27" s="885" t="str">
        <f>ReportData!$K$20</f>
        <v>West Sussex</v>
      </c>
      <c r="C27" s="896"/>
      <c r="D27" s="889">
        <f>IF(Year1_West_Sussex Year1_Care_Leavers_at_end_of_period="","",Year1_West_Sussex Year1_Care_Leavers_at_end_of_period)</f>
        <v>369</v>
      </c>
      <c r="E27" s="889">
        <f>IF(Year2_West_Sussex Year2_Care_Leavers_at_end_of_period="","",Year2_West_Sussex Year2_Care_Leavers_at_end_of_period)</f>
        <v>384</v>
      </c>
      <c r="F27" s="889">
        <f>IF(Year3_West_Sussex Year3_Care_Leavers_at_end_of_period="","",Year3_West_Sussex Year3_Care_Leavers_at_end_of_period)</f>
        <v>384</v>
      </c>
      <c r="G27" s="889">
        <f>IF(Year4_West_Sussex Year4_Care_Leavers_at_end_of_period="","",Year4_West_Sussex Year4_Care_Leavers_at_end_of_period)</f>
        <v>441</v>
      </c>
      <c r="H27" s="890">
        <f>IF(Year5_West_Sussex Year5_Care_Leavers_at_end_of_period="","",Year5_West_Sussex Year5_Care_Leavers_at_end_of_period)</f>
        <v>482</v>
      </c>
      <c r="I27" s="1205">
        <f t="shared" si="14"/>
        <v>7.0514607011503791E-2</v>
      </c>
      <c r="J27" s="1184"/>
      <c r="K27" s="901">
        <f>IF(ISNUMBER(D27),D27/Population!J27*10000,NA())</f>
        <v>160.05899193198576</v>
      </c>
      <c r="L27" s="901">
        <f>IF(ISNUMBER(E27),E27/Population!K27*10000,NA())</f>
        <v>169.27485122327528</v>
      </c>
      <c r="M27" s="901">
        <f>IF(ISNUMBER(F27),F27/Population!L27*10000,NA())</f>
        <v>168.8283139151462</v>
      </c>
      <c r="N27" s="901">
        <f>IF(ISNUMBER(G27),G27/Population!M27*10000,NA())</f>
        <v>204.06274582388599</v>
      </c>
      <c r="O27" s="902">
        <f>IF(ISNUMBER(H27),H27/Population!N27*10000,NA())</f>
        <v>221.90506882740206</v>
      </c>
      <c r="P27" s="903">
        <f t="shared" si="1"/>
        <v>221.90506882740206</v>
      </c>
      <c r="Q27" s="904">
        <f t="shared" si="9"/>
        <v>13</v>
      </c>
      <c r="R27" s="46"/>
      <c r="S27" s="905">
        <f t="shared" si="10"/>
        <v>205.10383366605873</v>
      </c>
      <c r="T27" s="906">
        <f t="shared" si="13"/>
        <v>16.801235161343328</v>
      </c>
      <c r="U27" s="89"/>
      <c r="V27" s="103"/>
      <c r="W27" s="115"/>
      <c r="X27" s="51" t="str">
        <f t="shared" si="3"/>
        <v>West Sussex</v>
      </c>
      <c r="Y27" s="27">
        <f>IF(ISNUMBER(H27),IDACI!D25,0)</f>
        <v>151487</v>
      </c>
      <c r="Z27" s="27">
        <f>IF(ISNUMBER(H27),IDACI!E25,0)</f>
        <v>16663.57</v>
      </c>
      <c r="AA27" s="155">
        <f>IF(ISNUMBER(D27),Population!J27,"")</f>
        <v>23054</v>
      </c>
      <c r="AB27" s="155">
        <f>IF(ISNUMBER(E27),Population!K27,"")</f>
        <v>22685</v>
      </c>
      <c r="AC27" s="155">
        <f>IF(ISNUMBER(F27),Population!L27,"")</f>
        <v>22745</v>
      </c>
      <c r="AD27" s="155">
        <f>IF(ISNUMBER(G27),Population!M27,"")</f>
        <v>21611</v>
      </c>
      <c r="AE27" s="155">
        <f>IF(ISNUMBER(H27),Population!N27,"")</f>
        <v>21721</v>
      </c>
      <c r="AF27" s="51" t="s">
        <v>5</v>
      </c>
      <c r="AG27" s="70">
        <f t="shared" si="4"/>
        <v>221.90506882740206</v>
      </c>
      <c r="AH27" s="156">
        <f t="shared" si="11"/>
        <v>13</v>
      </c>
      <c r="AJ27" s="121"/>
      <c r="AK27" s="480">
        <f t="shared" si="5"/>
        <v>4.065040650406504E-2</v>
      </c>
      <c r="AL27" s="480">
        <f t="shared" si="6"/>
        <v>0</v>
      </c>
      <c r="AM27" s="480">
        <f t="shared" si="7"/>
        <v>0.1484375</v>
      </c>
      <c r="AN27" s="480">
        <f t="shared" si="8"/>
        <v>9.297052154195011E-2</v>
      </c>
      <c r="AO27" s="480">
        <f t="shared" si="15"/>
        <v>7.0514607011503791E-2</v>
      </c>
      <c r="AQ27" s="52"/>
      <c r="AR27" s="52"/>
      <c r="AS27" s="52"/>
      <c r="AT27" s="52"/>
      <c r="AU27" s="52"/>
      <c r="AV27" s="52"/>
    </row>
    <row r="28" spans="1:48" s="61" customFormat="1" ht="15.75" customHeight="1">
      <c r="A28" s="1103">
        <f>VLOOKUP(B28,ReportData!$AQ$4:$AR$25,2,FALSE)</f>
        <v>0</v>
      </c>
      <c r="B28" s="885" t="str">
        <f>ReportData!$K$21</f>
        <v>Windsor &amp; Maidenhead</v>
      </c>
      <c r="C28" s="896"/>
      <c r="D28" s="889">
        <f>IF(Year1_Windsor_and_Maidenhead Year1_Care_Leavers_at_end_of_period="","",Year1_Windsor_and_Maidenhead Year1_Care_Leavers_at_end_of_period)</f>
        <v>56</v>
      </c>
      <c r="E28" s="889">
        <f>IF(Year2_Windsor_and_Maidenhead Year2_Care_Leavers_at_end_of_period="","",Year2_Windsor_and_Maidenhead Year2_Care_Leavers_at_end_of_period)</f>
        <v>60</v>
      </c>
      <c r="F28" s="889">
        <f>IF(Year3_Windsor_and_Maidenhead Year3_Care_Leavers_at_end_of_period="","",Year3_Windsor_and_Maidenhead Year3_Care_Leavers_at_end_of_period)</f>
        <v>67</v>
      </c>
      <c r="G28" s="889">
        <f>IF(Year4_Windsor_and_Maidenhead Year4_Care_Leavers_at_end_of_period="","",Year4_Windsor_and_Maidenhead Year4_Care_Leavers_at_end_of_period)</f>
        <v>61</v>
      </c>
      <c r="H28" s="890">
        <f>IF(Year5_Windsor_and_Maidenhead Year5_Care_Leavers_at_end_of_period="","",Year5_Windsor_and_Maidenhead Year5_Care_Leavers_at_end_of_period)</f>
        <v>67</v>
      </c>
      <c r="I28" s="1205">
        <f t="shared" si="14"/>
        <v>4.922591375674322E-2</v>
      </c>
      <c r="J28" s="1184"/>
      <c r="K28" s="901">
        <f>IF(ISNUMBER(D28),D28/Population!J28*10000,NA())</f>
        <v>162.7906976744186</v>
      </c>
      <c r="L28" s="901">
        <f>IF(ISNUMBER(E28),E28/Population!K28*10000,NA())</f>
        <v>175.43859649122805</v>
      </c>
      <c r="M28" s="901">
        <f>IF(ISNUMBER(F28),F28/Population!L28*10000,NA())</f>
        <v>201.44317498496693</v>
      </c>
      <c r="N28" s="901">
        <f>IF(ISNUMBER(G28),G28/Population!M28*10000,NA())</f>
        <v>188.09744064138141</v>
      </c>
      <c r="O28" s="902">
        <f>IF(ISNUMBER(H28),H28/Population!N28*10000,NA())</f>
        <v>212.63091082196129</v>
      </c>
      <c r="P28" s="903">
        <f t="shared" si="1"/>
        <v>212.63091082196129</v>
      </c>
      <c r="Q28" s="904">
        <f t="shared" si="9"/>
        <v>12</v>
      </c>
      <c r="R28" s="46"/>
      <c r="S28" s="905">
        <f t="shared" si="10"/>
        <v>195.84114724755443</v>
      </c>
      <c r="T28" s="906">
        <f t="shared" si="13"/>
        <v>16.789763574406862</v>
      </c>
      <c r="U28" s="89"/>
      <c r="V28" s="103"/>
      <c r="W28" s="115"/>
      <c r="X28" s="51" t="str">
        <f t="shared" si="3"/>
        <v>Windsor &amp; Maidenhead</v>
      </c>
      <c r="Y28" s="27">
        <f>IF(ISNUMBER(H28),IDACI!D26,0)</f>
        <v>29792</v>
      </c>
      <c r="Z28" s="27">
        <f>IF(ISNUMBER(H28),IDACI!E26,0)</f>
        <v>1996.0640000000001</v>
      </c>
      <c r="AA28" s="155">
        <f>IF(ISNUMBER(D28),Population!J28,"")</f>
        <v>3440</v>
      </c>
      <c r="AB28" s="155">
        <f>IF(ISNUMBER(E28),Population!K28,"")</f>
        <v>3420</v>
      </c>
      <c r="AC28" s="155">
        <f>IF(ISNUMBER(F28),Population!L28,"")</f>
        <v>3326</v>
      </c>
      <c r="AD28" s="155">
        <f>IF(ISNUMBER(G28),Population!M28,"")</f>
        <v>3243</v>
      </c>
      <c r="AE28" s="155">
        <f>IF(ISNUMBER(H28),Population!N28,"")</f>
        <v>3151</v>
      </c>
      <c r="AF28" s="51" t="s">
        <v>27</v>
      </c>
      <c r="AG28" s="70">
        <f t="shared" si="4"/>
        <v>212.63091082196129</v>
      </c>
      <c r="AH28" s="156">
        <f t="shared" si="11"/>
        <v>12</v>
      </c>
      <c r="AJ28" s="121"/>
      <c r="AK28" s="480">
        <f t="shared" si="5"/>
        <v>7.1428571428571425E-2</v>
      </c>
      <c r="AL28" s="480">
        <f t="shared" si="6"/>
        <v>0.11666666666666667</v>
      </c>
      <c r="AM28" s="480">
        <f t="shared" si="7"/>
        <v>-8.9552238805970144E-2</v>
      </c>
      <c r="AN28" s="480">
        <f t="shared" si="8"/>
        <v>9.8360655737704916E-2</v>
      </c>
      <c r="AO28" s="480">
        <f t="shared" si="15"/>
        <v>4.922591375674322E-2</v>
      </c>
      <c r="AQ28" s="52"/>
      <c r="AR28" s="52"/>
      <c r="AS28" s="52"/>
      <c r="AT28" s="52"/>
      <c r="AU28" s="52"/>
      <c r="AV28" s="52"/>
    </row>
    <row r="29" spans="1:48" s="61" customFormat="1" ht="15.75" customHeight="1">
      <c r="A29" s="1103">
        <f>VLOOKUP(B29,ReportData!$AQ$4:$AR$25,2,FALSE)</f>
        <v>0</v>
      </c>
      <c r="B29" s="885" t="str">
        <f>ReportData!$K$22</f>
        <v>Wokingham</v>
      </c>
      <c r="C29" s="896"/>
      <c r="D29" s="889">
        <f>IF(Year1_Wokingham Year1_Care_Leavers_at_end_of_period="","",Year1_Wokingham Year1_Care_Leavers_at_end_of_period)</f>
        <v>51</v>
      </c>
      <c r="E29" s="889">
        <f>IF(Year2_Wokingham Year2_Care_Leavers_at_end_of_period="","",Year2_Wokingham Year2_Care_Leavers_at_end_of_period)</f>
        <v>59</v>
      </c>
      <c r="F29" s="889">
        <f>IF(Year3_Wokingham Year3_Care_Leavers_at_end_of_period="","",Year3_Wokingham Year3_Care_Leavers_at_end_of_period)</f>
        <v>61</v>
      </c>
      <c r="G29" s="889">
        <f>IF(Year4_Wokingham Year4_Care_Leavers_at_end_of_period="","",Year4_Wokingham Year4_Care_Leavers_at_end_of_period)</f>
        <v>60</v>
      </c>
      <c r="H29" s="890">
        <f>IF(Year5_Wokingham Year5_Care_Leavers_at_end_of_period="","",Year5_Wokingham Year5_Care_Leavers_at_end_of_period)</f>
        <v>77</v>
      </c>
      <c r="I29" s="1205">
        <f t="shared" si="14"/>
        <v>0.11442523522329187</v>
      </c>
      <c r="J29" s="1184"/>
      <c r="K29" s="901">
        <f>IF(ISNUMBER(D29),D29/Population!J29*10000,NA())</f>
        <v>115.07220216606498</v>
      </c>
      <c r="L29" s="901">
        <f>IF(ISNUMBER(E29),E29/Population!K29*10000,NA())</f>
        <v>133.84754990925589</v>
      </c>
      <c r="M29" s="901">
        <f>IF(ISNUMBER(F29),F29/Population!L29*10000,NA())</f>
        <v>132.32104121475055</v>
      </c>
      <c r="N29" s="901">
        <f>IF(ISNUMBER(G29),G29/Population!M29*10000,NA())</f>
        <v>129.11555842479018</v>
      </c>
      <c r="O29" s="902">
        <f>IF(ISNUMBER(H29),H29/Population!N29*10000,NA())</f>
        <v>154.80498592681946</v>
      </c>
      <c r="P29" s="903">
        <f t="shared" si="1"/>
        <v>154.80498592681946</v>
      </c>
      <c r="Q29" s="904">
        <f t="shared" si="9"/>
        <v>5</v>
      </c>
      <c r="R29" s="46"/>
      <c r="S29" s="905">
        <f t="shared" si="10"/>
        <v>193.47162281491379</v>
      </c>
      <c r="T29" s="906">
        <f t="shared" si="13"/>
        <v>-38.666636888094331</v>
      </c>
      <c r="U29" s="89"/>
      <c r="V29" s="103"/>
      <c r="W29" s="115"/>
      <c r="X29" s="51" t="str">
        <f t="shared" si="3"/>
        <v>Wokingham</v>
      </c>
      <c r="Y29" s="27">
        <f>IF(ISNUMBER(H29),IDACI!D27,0)</f>
        <v>33327</v>
      </c>
      <c r="Z29" s="27">
        <f>IF(ISNUMBER(H29),IDACI!E27,0)</f>
        <v>1866.3120000000004</v>
      </c>
      <c r="AA29" s="155">
        <f>IF(ISNUMBER(D29),Population!J29,"")</f>
        <v>4432</v>
      </c>
      <c r="AB29" s="155">
        <f>IF(ISNUMBER(E29),Population!K29,"")</f>
        <v>4408</v>
      </c>
      <c r="AC29" s="155">
        <f>IF(ISNUMBER(F29),Population!L29,"")</f>
        <v>4610</v>
      </c>
      <c r="AD29" s="155">
        <f>IF(ISNUMBER(G29),Population!M29,"")</f>
        <v>4647</v>
      </c>
      <c r="AE29" s="155">
        <f>IF(ISNUMBER(H29),Population!N29,"")</f>
        <v>4974</v>
      </c>
      <c r="AF29" s="51" t="s">
        <v>16</v>
      </c>
      <c r="AG29" s="70">
        <f t="shared" si="4"/>
        <v>154.80498592681946</v>
      </c>
      <c r="AH29" s="156">
        <f t="shared" si="11"/>
        <v>5</v>
      </c>
      <c r="AJ29" s="121"/>
      <c r="AK29" s="480">
        <f t="shared" si="5"/>
        <v>0.15686274509803921</v>
      </c>
      <c r="AL29" s="480">
        <f t="shared" si="6"/>
        <v>3.3898305084745763E-2</v>
      </c>
      <c r="AM29" s="480">
        <f t="shared" si="7"/>
        <v>-1.6393442622950821E-2</v>
      </c>
      <c r="AN29" s="480">
        <f t="shared" si="8"/>
        <v>0.28333333333333333</v>
      </c>
      <c r="AO29" s="480">
        <f t="shared" si="15"/>
        <v>0.11442523522329187</v>
      </c>
      <c r="AQ29" s="52"/>
      <c r="AR29" s="52"/>
      <c r="AS29" s="52"/>
      <c r="AT29" s="52"/>
      <c r="AU29" s="52"/>
      <c r="AV29" s="52"/>
    </row>
    <row r="30" spans="1:48" s="61" customFormat="1" ht="15.75" customHeight="1">
      <c r="A30" s="1103"/>
      <c r="B30" s="886" t="str">
        <f>ReportData!$K$23</f>
        <v>South East</v>
      </c>
      <c r="C30" s="896"/>
      <c r="D30" s="892">
        <f>IF(Year1_South_East Year1_Care_Leavers_at_end_of_period="","",Year1_South_East Year1_Care_Leavers_at_end_of_period)</f>
        <v>4825</v>
      </c>
      <c r="E30" s="892">
        <f>IF(Year2_South_East Year2_Care_Leavers_at_end_of_period="","",Year2_South_East Year2_Care_Leavers_at_end_of_period)</f>
        <v>4843</v>
      </c>
      <c r="F30" s="892">
        <f>IF(Year3_South_East Year3_Care_Leavers_at_end_of_period="","",Year3_South_East Year3_Care_Leavers_at_end_of_period)</f>
        <v>5040</v>
      </c>
      <c r="G30" s="892">
        <f>IF(Year4_South_East Year4_Care_Leavers_at_end_of_period="","",Year4_South_East Year4_Care_Leavers_at_end_of_period)</f>
        <v>5300</v>
      </c>
      <c r="H30" s="893">
        <f>IF(Year5_South_East Year5_Care_Leavers_at_end_of_period="","",Year5_South_East Year5_Care_Leavers_at_end_of_period)</f>
        <v>5570</v>
      </c>
      <c r="I30" s="1206">
        <f t="shared" si="14"/>
        <v>4.7931207612329781E-2</v>
      </c>
      <c r="J30" s="1184"/>
      <c r="K30" s="908">
        <f t="shared" ref="K30:O31" si="16">IF(ISNUMBER(D30),D30/AA30*10000,NA())</f>
        <v>155.14569225525565</v>
      </c>
      <c r="L30" s="908">
        <f t="shared" si="16"/>
        <v>158.87387520380014</v>
      </c>
      <c r="M30" s="908">
        <f t="shared" si="16"/>
        <v>167.5726896414144</v>
      </c>
      <c r="N30" s="908">
        <f t="shared" si="16"/>
        <v>178.91624019336459</v>
      </c>
      <c r="O30" s="908">
        <f t="shared" si="16"/>
        <v>187.01190564124605</v>
      </c>
      <c r="P30" s="903">
        <f t="shared" si="1"/>
        <v>187.01190564124605</v>
      </c>
      <c r="Q30" s="910" t="str">
        <f t="shared" ref="Q30:Q31" si="17">IF(ISNA(VLOOKUP(B30,$AF$11:$AH$28,3,FALSE)),"--",IF(ISNUMBER(H30),VLOOKUP(B30,$AF$11:$AH$28,3,FALSE),NA()))</f>
        <v>--</v>
      </c>
      <c r="R30" s="46"/>
      <c r="S30" s="911">
        <f t="shared" si="10"/>
        <v>208.05770059730833</v>
      </c>
      <c r="T30" s="912">
        <f t="shared" si="13"/>
        <v>-21.045794956062281</v>
      </c>
      <c r="U30" s="89"/>
      <c r="V30" s="103"/>
      <c r="W30" s="115"/>
      <c r="X30" s="51" t="str">
        <f t="shared" si="3"/>
        <v>South East</v>
      </c>
      <c r="Y30" s="27">
        <f>SUM(Y24:Y25,Y11:Y23,Y26:Y29)</f>
        <v>1704978</v>
      </c>
      <c r="Z30" s="27">
        <f>SUM(Z24:Z25,Z11:Z23,Z26:Z29)</f>
        <v>210927.40200000003</v>
      </c>
      <c r="AA30" s="155">
        <f>SUM(AA11:AA23,AA24:AA25,AA26:AA29)</f>
        <v>310998</v>
      </c>
      <c r="AB30" s="155">
        <f>SUM(AB11:AB23,AB24:AB25,AB26:AB29)</f>
        <v>304833</v>
      </c>
      <c r="AC30" s="155">
        <f>SUM(AC11:AC23,AC24:AC25,AC26:AC29)</f>
        <v>300765</v>
      </c>
      <c r="AD30" s="155">
        <f>SUM(AD11:AD23,AD24:AD25,AD26:AD29)</f>
        <v>296228</v>
      </c>
      <c r="AE30" s="155">
        <f>SUM(AE11:AE23,AE24:AE25,AE26:AE29)</f>
        <v>297842</v>
      </c>
      <c r="AJ30" s="121"/>
      <c r="AK30" s="581">
        <f t="shared" ref="AK30:AN31" si="18">IF(ISERROR((L30-K30)/K30),"x",(L30-K30)/K30)</f>
        <v>2.4030206023449494E-2</v>
      </c>
      <c r="AL30" s="581">
        <f t="shared" si="18"/>
        <v>5.4752956875103599E-2</v>
      </c>
      <c r="AM30" s="581">
        <f t="shared" si="18"/>
        <v>6.7693313130105112E-2</v>
      </c>
      <c r="AN30" s="581">
        <f t="shared" si="18"/>
        <v>4.5248354420660913E-2</v>
      </c>
      <c r="AO30" s="480">
        <f t="shared" si="15"/>
        <v>4.7931207612329781E-2</v>
      </c>
      <c r="AQ30" s="52"/>
      <c r="AR30" s="52"/>
      <c r="AS30" s="52"/>
      <c r="AT30" s="52"/>
      <c r="AU30" s="52"/>
      <c r="AV30" s="52"/>
    </row>
    <row r="31" spans="1:48" s="61" customFormat="1" ht="15.75" customHeight="1">
      <c r="A31" s="1103"/>
      <c r="B31" s="887" t="str">
        <f>ReportData!$K$24</f>
        <v>England</v>
      </c>
      <c r="C31" s="896"/>
      <c r="D31" s="1214">
        <f>IF(Year1_England Year1_Care_Leavers_at_end_of_period="","",Year1_England Year1_Care_Leavers_at_end_of_period)</f>
        <v>31260</v>
      </c>
      <c r="E31" s="1214">
        <f>IF(Year2_England Year2_Care_Leavers_at_end_of_period="","",Year2_England Year2_Care_Leavers_at_end_of_period)</f>
        <v>32504</v>
      </c>
      <c r="F31" s="1214">
        <f>IF(Year3_England Year3_Care_Leavers_at_end_of_period="","",Year3_England Year3_Care_Leavers_at_end_of_period)</f>
        <v>33590</v>
      </c>
      <c r="G31" s="1214">
        <f>IF(Year4_England Year4_Care_Leavers_at_end_of_period="","",Year4_England Year4_Care_Leavers_at_end_of_period)</f>
        <v>34650</v>
      </c>
      <c r="H31" s="1215">
        <f>IF(Year5_England Year5_Care_Leavers_at_end_of_period="","",Year5_England Year5_Care_Leavers_at_end_of_period)</f>
        <v>36370</v>
      </c>
      <c r="I31" s="1254">
        <f t="shared" si="14"/>
        <v>3.7003530938304094E-2</v>
      </c>
      <c r="J31" s="1184"/>
      <c r="K31" s="1255">
        <f t="shared" si="16"/>
        <v>155.34270060750623</v>
      </c>
      <c r="L31" s="1255">
        <f t="shared" si="16"/>
        <v>164.64348940459578</v>
      </c>
      <c r="M31" s="1255">
        <f t="shared" si="16"/>
        <v>171.27958958167295</v>
      </c>
      <c r="N31" s="1255">
        <f t="shared" si="16"/>
        <v>174.35795764183504</v>
      </c>
      <c r="O31" s="1255">
        <f t="shared" si="16"/>
        <v>179.56476896773216</v>
      </c>
      <c r="P31" s="903">
        <f t="shared" si="1"/>
        <v>179.56476896773216</v>
      </c>
      <c r="Q31" s="1256" t="str">
        <f t="shared" si="17"/>
        <v>--</v>
      </c>
      <c r="R31" s="46"/>
      <c r="S31" s="917">
        <f t="shared" si="10"/>
        <v>208.05770059730833</v>
      </c>
      <c r="T31" s="1087">
        <f t="shared" si="13"/>
        <v>-28.492931629576162</v>
      </c>
      <c r="U31" s="89"/>
      <c r="V31" s="103"/>
      <c r="W31" s="115"/>
      <c r="X31" s="51" t="str">
        <f t="shared" si="3"/>
        <v>England</v>
      </c>
      <c r="Y31" s="27">
        <f>IF(H31&gt;0,IDACI!D29,0)</f>
        <v>10405050</v>
      </c>
      <c r="Z31" s="27">
        <f>IF(H31&gt;0,IDACI!E29,0)</f>
        <v>1777641.7570000088</v>
      </c>
      <c r="AA31" s="155">
        <f>IF(ISNUMBER(D31),Population!J31,"")</f>
        <v>2012325</v>
      </c>
      <c r="AB31" s="155">
        <f>IF(ISNUMBER(E31),Population!K31,"")</f>
        <v>1974205</v>
      </c>
      <c r="AC31" s="155">
        <f>IF(ISNUMBER(F31),Population!L31,"")</f>
        <v>1961121</v>
      </c>
      <c r="AD31" s="155">
        <f>IF(ISNUMBER(G31),Population!M31,"")</f>
        <v>1987291</v>
      </c>
      <c r="AE31" s="155">
        <f>IF(ISNUMBER(H31),Population!N31,"")</f>
        <v>2025453</v>
      </c>
      <c r="AH31" s="141"/>
      <c r="AJ31" s="121"/>
      <c r="AK31" s="581">
        <f t="shared" si="18"/>
        <v>5.9872712143644383E-2</v>
      </c>
      <c r="AL31" s="581">
        <f t="shared" si="18"/>
        <v>4.0305876661600508E-2</v>
      </c>
      <c r="AM31" s="581">
        <f t="shared" si="18"/>
        <v>1.7972766443921227E-2</v>
      </c>
      <c r="AN31" s="581">
        <f t="shared" si="18"/>
        <v>2.9862768504050261E-2</v>
      </c>
      <c r="AO31" s="480">
        <f t="shared" si="15"/>
        <v>3.7003530938304094E-2</v>
      </c>
      <c r="AQ31" s="52"/>
      <c r="AR31" s="52"/>
      <c r="AS31" s="52"/>
      <c r="AT31" s="52"/>
      <c r="AU31" s="52"/>
      <c r="AV31" s="52"/>
    </row>
    <row r="32" spans="1:48" s="56" customFormat="1" ht="12.75" customHeight="1">
      <c r="A32" s="87"/>
      <c r="B32" s="90"/>
      <c r="C32" s="44"/>
      <c r="D32" s="44"/>
      <c r="E32" s="44"/>
      <c r="F32" s="44"/>
      <c r="G32" s="44"/>
      <c r="H32" s="44"/>
      <c r="I32" s="44"/>
      <c r="J32" s="44"/>
      <c r="K32" s="44"/>
      <c r="L32" s="44"/>
      <c r="M32" s="44"/>
      <c r="N32" s="44"/>
      <c r="O32" s="44"/>
      <c r="P32" s="44"/>
      <c r="Q32" s="1091" t="s">
        <v>100</v>
      </c>
      <c r="T32" s="44"/>
      <c r="U32" s="86"/>
      <c r="V32" s="121"/>
      <c r="W32" s="114"/>
      <c r="X32" s="55"/>
      <c r="Y32" s="52"/>
      <c r="Z32" s="52"/>
      <c r="AA32" s="52"/>
      <c r="AB32" s="52"/>
      <c r="AC32" s="52"/>
      <c r="AD32" s="52"/>
      <c r="AE32" s="52"/>
      <c r="AF32" s="52"/>
      <c r="AG32" s="52"/>
      <c r="AI32" s="52"/>
      <c r="AJ32" s="122"/>
    </row>
    <row r="33" spans="1:63" s="56" customFormat="1" ht="7.5" customHeight="1">
      <c r="A33" s="87"/>
      <c r="B33" s="12"/>
      <c r="C33" s="12"/>
      <c r="D33" s="11"/>
      <c r="E33" s="11"/>
      <c r="F33" s="11"/>
      <c r="G33" s="11"/>
      <c r="H33" s="11"/>
      <c r="I33" s="11"/>
      <c r="J33" s="11"/>
      <c r="K33" s="1"/>
      <c r="L33" s="13"/>
      <c r="M33" s="13"/>
      <c r="N33" s="13"/>
      <c r="O33" s="13"/>
      <c r="P33" s="13"/>
      <c r="Q33" s="13"/>
      <c r="R33" s="13"/>
      <c r="S33" s="13"/>
      <c r="T33" s="13"/>
      <c r="U33" s="86"/>
      <c r="V33" s="185"/>
      <c r="W33" s="114"/>
      <c r="Y33" s="141"/>
      <c r="AI33" s="52"/>
      <c r="AJ33" s="119"/>
      <c r="AK33" s="52"/>
      <c r="AL33" s="52"/>
      <c r="AM33" s="52"/>
      <c r="AN33" s="52"/>
      <c r="AO33" s="52"/>
      <c r="AP33" s="52"/>
      <c r="AQ33" s="52"/>
    </row>
    <row r="34" spans="1:63" s="56" customFormat="1" ht="15" customHeight="1">
      <c r="A34" s="1565"/>
      <c r="B34" s="1751"/>
      <c r="C34" s="1751"/>
      <c r="D34" s="1751"/>
      <c r="E34" s="1751"/>
      <c r="F34" s="1751"/>
      <c r="G34" s="1751"/>
      <c r="H34" s="1751"/>
      <c r="I34" s="1751"/>
      <c r="J34" s="1751"/>
      <c r="K34" s="1751"/>
      <c r="L34" s="1751"/>
      <c r="M34" s="1751"/>
      <c r="N34" s="1751"/>
      <c r="O34" s="1751"/>
      <c r="P34" s="1751"/>
      <c r="Q34" s="1751"/>
      <c r="R34" s="1751"/>
      <c r="S34" s="1751"/>
      <c r="T34" s="1751"/>
      <c r="U34" s="1752"/>
      <c r="V34" s="185"/>
      <c r="W34" s="114"/>
      <c r="Y34" s="141"/>
      <c r="AJ34" s="122"/>
      <c r="AL34" s="443">
        <v>10</v>
      </c>
      <c r="AM34" s="443">
        <v>11</v>
      </c>
      <c r="AN34" s="443">
        <v>12</v>
      </c>
      <c r="AO34" s="443">
        <v>13</v>
      </c>
      <c r="AP34" s="443">
        <v>14</v>
      </c>
      <c r="AQ34" s="443">
        <v>19</v>
      </c>
      <c r="AR34" s="443">
        <v>3</v>
      </c>
      <c r="AS34" s="640">
        <v>4</v>
      </c>
      <c r="AT34" s="640">
        <v>5</v>
      </c>
      <c r="AU34" s="640">
        <v>6</v>
      </c>
      <c r="AV34" s="641">
        <v>7</v>
      </c>
      <c r="AW34" s="443">
        <v>3</v>
      </c>
      <c r="AX34" s="640">
        <v>4</v>
      </c>
      <c r="AY34" s="640">
        <v>5</v>
      </c>
      <c r="AZ34" s="640">
        <v>6</v>
      </c>
      <c r="BA34" s="641">
        <v>7</v>
      </c>
      <c r="BB34" s="443">
        <v>3</v>
      </c>
      <c r="BC34" s="640">
        <v>4</v>
      </c>
      <c r="BD34" s="640">
        <v>5</v>
      </c>
      <c r="BE34" s="640">
        <v>6</v>
      </c>
      <c r="BF34" s="641">
        <v>7</v>
      </c>
      <c r="BG34" s="443">
        <v>3</v>
      </c>
      <c r="BH34" s="640">
        <v>4</v>
      </c>
      <c r="BI34" s="640">
        <v>5</v>
      </c>
      <c r="BJ34" s="640">
        <v>6</v>
      </c>
      <c r="BK34" s="641">
        <v>7</v>
      </c>
    </row>
    <row r="35" spans="1:63" s="56" customFormat="1" ht="11.25" customHeight="1">
      <c r="A35" s="1739"/>
      <c r="B35" s="1740"/>
      <c r="C35" s="1740"/>
      <c r="D35" s="1740"/>
      <c r="E35" s="1740"/>
      <c r="F35" s="1740"/>
      <c r="G35" s="1740"/>
      <c r="H35" s="1740"/>
      <c r="I35" s="1742"/>
      <c r="J35" s="1741"/>
      <c r="K35" s="1740"/>
      <c r="L35" s="1740"/>
      <c r="M35" s="1740"/>
      <c r="N35" s="1740"/>
      <c r="O35" s="1740"/>
      <c r="P35" s="1740"/>
      <c r="Q35" s="1742"/>
      <c r="R35" s="1740"/>
      <c r="S35" s="1947"/>
      <c r="T35" s="1740"/>
      <c r="U35" s="1743"/>
      <c r="V35" s="185"/>
      <c r="W35" s="114"/>
      <c r="Y35" s="141"/>
      <c r="AI35" s="52"/>
      <c r="AJ35" s="121"/>
      <c r="AK35" s="61"/>
      <c r="AL35" s="642" t="s">
        <v>85</v>
      </c>
      <c r="AM35" s="643"/>
      <c r="AN35" s="643"/>
      <c r="AO35" s="643"/>
      <c r="AP35" s="643"/>
      <c r="AQ35" s="1983" t="s">
        <v>862</v>
      </c>
      <c r="AR35" s="1982" t="s">
        <v>652</v>
      </c>
      <c r="AS35" s="1982"/>
      <c r="AT35" s="1982"/>
      <c r="AU35" s="1982"/>
      <c r="AV35" s="1982"/>
      <c r="AW35" s="1982" t="s">
        <v>653</v>
      </c>
      <c r="AX35" s="1982"/>
      <c r="AY35" s="1982"/>
      <c r="AZ35" s="1982"/>
      <c r="BA35" s="1982"/>
      <c r="BB35" s="1982" t="s">
        <v>654</v>
      </c>
      <c r="BC35" s="1982"/>
      <c r="BD35" s="1982"/>
      <c r="BE35" s="1982"/>
      <c r="BF35" s="1982"/>
      <c r="BG35" s="1982" t="s">
        <v>893</v>
      </c>
      <c r="BH35" s="1982"/>
      <c r="BI35" s="1982"/>
      <c r="BJ35" s="1982"/>
      <c r="BK35" s="1982"/>
    </row>
    <row r="36" spans="1:63" s="56" customFormat="1" ht="11.25" customHeight="1">
      <c r="A36" s="81"/>
      <c r="B36" s="82"/>
      <c r="C36" s="82"/>
      <c r="D36" s="82"/>
      <c r="E36" s="82"/>
      <c r="F36" s="82"/>
      <c r="G36" s="82"/>
      <c r="H36" s="82"/>
      <c r="I36" s="82"/>
      <c r="J36" s="82"/>
      <c r="K36" s="83"/>
      <c r="L36" s="82"/>
      <c r="M36" s="82"/>
      <c r="N36" s="82"/>
      <c r="O36" s="82"/>
      <c r="P36" s="82"/>
      <c r="Q36" s="82"/>
      <c r="R36" s="82"/>
      <c r="S36" s="82"/>
      <c r="T36" s="82"/>
      <c r="U36" s="84"/>
      <c r="V36" s="102"/>
      <c r="W36" s="1093" t="s">
        <v>94</v>
      </c>
      <c r="X36" s="1113"/>
      <c r="Y36" s="1146"/>
      <c r="Z36" s="1113"/>
      <c r="AA36" s="1113"/>
      <c r="AB36" s="1152"/>
      <c r="AC36" s="1113"/>
      <c r="AD36" s="1113"/>
      <c r="AE36" s="1113"/>
      <c r="AF36" s="1113"/>
      <c r="AG36" s="1113"/>
      <c r="AH36" s="1113"/>
      <c r="AI36" s="360"/>
      <c r="AJ36" s="921"/>
      <c r="AK36" s="61"/>
      <c r="AL36" s="444" t="str">
        <f>ReportData!$D$27</f>
        <v>2019/20</v>
      </c>
      <c r="AM36" s="444" t="str">
        <f>ReportData!$E$27</f>
        <v>2020/21</v>
      </c>
      <c r="AN36" s="444" t="str">
        <f>ReportData!$F$27</f>
        <v>2021/22</v>
      </c>
      <c r="AO36" s="444" t="str">
        <f>ReportData!$G$27</f>
        <v>2022/23</v>
      </c>
      <c r="AP36" s="444" t="str">
        <f>ReportData!$H$27</f>
        <v>2023/24</v>
      </c>
      <c r="AQ36" s="1983"/>
      <c r="AR36" s="444" t="str">
        <f>ReportData!$D$27</f>
        <v>2019/20</v>
      </c>
      <c r="AS36" s="444" t="str">
        <f>ReportData!$E$27</f>
        <v>2020/21</v>
      </c>
      <c r="AT36" s="444" t="str">
        <f>ReportData!$F$27</f>
        <v>2021/22</v>
      </c>
      <c r="AU36" s="444" t="str">
        <f>ReportData!$G$27</f>
        <v>2022/23</v>
      </c>
      <c r="AV36" s="444" t="str">
        <f>ReportData!$H$27</f>
        <v>2023/24</v>
      </c>
      <c r="AW36" s="444" t="str">
        <f>ReportData!$D$27</f>
        <v>2019/20</v>
      </c>
      <c r="AX36" s="444" t="str">
        <f>ReportData!$E$27</f>
        <v>2020/21</v>
      </c>
      <c r="AY36" s="444" t="str">
        <f>ReportData!$F$27</f>
        <v>2021/22</v>
      </c>
      <c r="AZ36" s="444" t="str">
        <f>ReportData!$G$27</f>
        <v>2022/23</v>
      </c>
      <c r="BA36" s="444" t="str">
        <f>ReportData!$H$27</f>
        <v>2023/24</v>
      </c>
      <c r="BB36" s="444" t="str">
        <f>ReportData!$D$27</f>
        <v>2019/20</v>
      </c>
      <c r="BC36" s="444" t="str">
        <f>ReportData!$E$27</f>
        <v>2020/21</v>
      </c>
      <c r="BD36" s="444" t="str">
        <f>ReportData!$F$27</f>
        <v>2021/22</v>
      </c>
      <c r="BE36" s="444" t="str">
        <f>ReportData!$G$27</f>
        <v>2022/23</v>
      </c>
      <c r="BF36" s="444" t="str">
        <f>ReportData!$H$27</f>
        <v>2023/24</v>
      </c>
      <c r="BG36" s="444" t="str">
        <f>ReportData!$D$27</f>
        <v>2019/20</v>
      </c>
      <c r="BH36" s="444" t="str">
        <f>ReportData!$E$27</f>
        <v>2020/21</v>
      </c>
      <c r="BI36" s="444" t="str">
        <f>ReportData!$F$27</f>
        <v>2021/22</v>
      </c>
      <c r="BJ36" s="444" t="str">
        <f>ReportData!$G$27</f>
        <v>2022/23</v>
      </c>
      <c r="BK36" s="444" t="str">
        <f>ReportData!$H$27</f>
        <v>2023/24</v>
      </c>
    </row>
    <row r="37" spans="1:63" s="56" customFormat="1" ht="3.75" customHeight="1">
      <c r="A37" s="85"/>
      <c r="B37" s="5"/>
      <c r="C37" s="5"/>
      <c r="D37" s="5"/>
      <c r="E37" s="5"/>
      <c r="F37" s="5"/>
      <c r="G37" s="5"/>
      <c r="H37" s="5"/>
      <c r="I37" s="5"/>
      <c r="J37" s="5"/>
      <c r="K37" s="1"/>
      <c r="L37" s="5"/>
      <c r="M37" s="5"/>
      <c r="N37" s="5"/>
      <c r="O37" s="5"/>
      <c r="P37" s="5"/>
      <c r="Q37" s="5"/>
      <c r="R37" s="5"/>
      <c r="S37" s="5"/>
      <c r="T37" s="5"/>
      <c r="U37" s="86"/>
      <c r="V37" s="102"/>
      <c r="W37" s="1155"/>
      <c r="X37" s="1113"/>
      <c r="Y37" s="1113"/>
      <c r="Z37" s="1113"/>
      <c r="AA37" s="1113"/>
      <c r="AB37" s="1113"/>
      <c r="AC37" s="1156" t="s">
        <v>762</v>
      </c>
      <c r="AD37" s="1113"/>
      <c r="AE37" s="1113"/>
      <c r="AF37" s="1113"/>
      <c r="AG37" s="1113"/>
      <c r="AH37" s="1113"/>
      <c r="AI37" s="1113"/>
      <c r="AJ37" s="921"/>
      <c r="AK37" s="61"/>
      <c r="AL37" s="444" t="e">
        <f>ReportData!$D$28</f>
        <v>#N/A</v>
      </c>
      <c r="AM37" s="444" t="e">
        <f>ReportData!$E$28</f>
        <v>#N/A</v>
      </c>
      <c r="AN37" s="444" t="e">
        <f>ReportData!$F$28</f>
        <v>#N/A</v>
      </c>
      <c r="AO37" s="444" t="e">
        <f>ReportData!$G$28</f>
        <v>#N/A</v>
      </c>
      <c r="AP37" s="444" t="e">
        <f>ReportData!$H$28</f>
        <v>#N/A</v>
      </c>
      <c r="AQ37" s="1983"/>
      <c r="AR37" s="444" t="e">
        <f>ReportData!$D$28</f>
        <v>#N/A</v>
      </c>
      <c r="AS37" s="444" t="e">
        <f>ReportData!$E$28</f>
        <v>#N/A</v>
      </c>
      <c r="AT37" s="444" t="e">
        <f>ReportData!$F$28</f>
        <v>#N/A</v>
      </c>
      <c r="AU37" s="444" t="e">
        <f>ReportData!$G$28</f>
        <v>#N/A</v>
      </c>
      <c r="AV37" s="444" t="e">
        <f>ReportData!$H$28</f>
        <v>#N/A</v>
      </c>
      <c r="AW37" s="444" t="e">
        <f>ReportData!$D$28</f>
        <v>#N/A</v>
      </c>
      <c r="AX37" s="444" t="e">
        <f>ReportData!$E$28</f>
        <v>#N/A</v>
      </c>
      <c r="AY37" s="444" t="e">
        <f>ReportData!$F$28</f>
        <v>#N/A</v>
      </c>
      <c r="AZ37" s="444" t="e">
        <f>ReportData!$G$28</f>
        <v>#N/A</v>
      </c>
      <c r="BA37" s="444" t="e">
        <f>ReportData!$H$28</f>
        <v>#N/A</v>
      </c>
      <c r="BB37" s="444" t="e">
        <f>ReportData!$D$28</f>
        <v>#N/A</v>
      </c>
      <c r="BC37" s="444" t="e">
        <f>ReportData!$E$28</f>
        <v>#N/A</v>
      </c>
      <c r="BD37" s="444" t="e">
        <f>ReportData!$F$28</f>
        <v>#N/A</v>
      </c>
      <c r="BE37" s="444" t="e">
        <f>ReportData!$G$28</f>
        <v>#N/A</v>
      </c>
      <c r="BF37" s="444" t="e">
        <f>ReportData!$H$28</f>
        <v>#N/A</v>
      </c>
      <c r="BG37" s="444" t="e">
        <f>ReportData!$D$28</f>
        <v>#N/A</v>
      </c>
      <c r="BH37" s="444" t="e">
        <f>ReportData!$E$28</f>
        <v>#N/A</v>
      </c>
      <c r="BI37" s="444" t="e">
        <f>ReportData!$F$28</f>
        <v>#N/A</v>
      </c>
      <c r="BJ37" s="444" t="e">
        <f>ReportData!$G$28</f>
        <v>#N/A</v>
      </c>
      <c r="BK37" s="444" t="e">
        <f>ReportData!$H$28</f>
        <v>#N/A</v>
      </c>
    </row>
    <row r="38" spans="1:63" s="56" customFormat="1" ht="14.25" customHeight="1">
      <c r="A38" s="87"/>
      <c r="B38" s="5"/>
      <c r="C38" s="5"/>
      <c r="D38" s="5"/>
      <c r="E38" s="5"/>
      <c r="F38" s="5"/>
      <c r="G38" s="5"/>
      <c r="H38" s="5"/>
      <c r="I38" s="5"/>
      <c r="J38" s="5"/>
      <c r="K38" s="1"/>
      <c r="L38" s="5"/>
      <c r="M38" s="5"/>
      <c r="N38" s="5"/>
      <c r="O38" s="5"/>
      <c r="P38" s="5"/>
      <c r="Q38" s="5"/>
      <c r="R38" s="5"/>
      <c r="S38" s="5"/>
      <c r="T38" s="5"/>
      <c r="U38" s="86"/>
      <c r="V38" s="102"/>
      <c r="W38" s="1155"/>
      <c r="X38" s="1157" t="s">
        <v>69</v>
      </c>
      <c r="Y38" s="1157" t="s">
        <v>67</v>
      </c>
      <c r="Z38" s="1157" t="s">
        <v>68</v>
      </c>
      <c r="AA38" s="1158">
        <v>3</v>
      </c>
      <c r="AB38" s="1159">
        <f>(AA38*Y39)+Z39</f>
        <v>218.2895492650824</v>
      </c>
      <c r="AC38" s="1160">
        <f>ROUND(ChartLabels!$X51,3)</f>
        <v>1.6E-2</v>
      </c>
      <c r="AD38" s="1113"/>
      <c r="AE38" s="1113"/>
      <c r="AF38" s="1113"/>
      <c r="AG38" s="1113"/>
      <c r="AH38" s="1113"/>
      <c r="AI38" s="1161" t="b">
        <v>1</v>
      </c>
      <c r="AJ38" s="921" t="s">
        <v>0</v>
      </c>
      <c r="AK38" s="61" t="str">
        <f t="shared" ref="AK38:AK58" si="19">IF(AI38=TRUE,B11,"")</f>
        <v>Bracknell Forest</v>
      </c>
      <c r="AL38" s="647">
        <f t="shared" ref="AL38:AP47" si="20">VLOOKUP($AK38,$B$11:$O$30,AL$34,FALSE)</f>
        <v>174.52541334966321</v>
      </c>
      <c r="AM38" s="647">
        <f t="shared" si="20"/>
        <v>189.15510718789406</v>
      </c>
      <c r="AN38" s="647">
        <f t="shared" si="20"/>
        <v>182.4</v>
      </c>
      <c r="AO38" s="647">
        <f t="shared" si="20"/>
        <v>246.65981500513874</v>
      </c>
      <c r="AP38" s="647">
        <f t="shared" si="20"/>
        <v>262.22537207654142</v>
      </c>
      <c r="AQ38" s="648">
        <f>VLOOKUP($AJ38,IDACI!$B$9:$C$29,2,FALSE)</f>
        <v>8.9</v>
      </c>
      <c r="AR38" s="649">
        <f t="shared" ref="AR38:AV47" si="21">VLOOKUP($AK38,$B$109:$H$128,AR$34,FALSE)</f>
        <v>0.91228070175438591</v>
      </c>
      <c r="AS38" s="649">
        <f t="shared" si="21"/>
        <v>0.9</v>
      </c>
      <c r="AT38" s="649">
        <f t="shared" si="21"/>
        <v>0.92982456140350878</v>
      </c>
      <c r="AU38" s="649">
        <f t="shared" si="21"/>
        <v>0.86111111111111116</v>
      </c>
      <c r="AV38" s="649">
        <f t="shared" si="21"/>
        <v>0.93243243243243246</v>
      </c>
      <c r="AW38" s="649">
        <f t="shared" ref="AW38:BA47" si="22">VLOOKUP($AK38,$B$142:$H$161,AW$34,FALSE)</f>
        <v>0.94736842105263153</v>
      </c>
      <c r="AX38" s="649">
        <f t="shared" si="22"/>
        <v>0.81666666666666665</v>
      </c>
      <c r="AY38" s="649">
        <f t="shared" si="22"/>
        <v>0.84210526315789469</v>
      </c>
      <c r="AZ38" s="649">
        <f t="shared" si="22"/>
        <v>0.86111111111111116</v>
      </c>
      <c r="BA38" s="649">
        <f t="shared" si="22"/>
        <v>0.8783783783783784</v>
      </c>
      <c r="BB38" s="649">
        <f t="shared" ref="BB38:BF47" si="23">VLOOKUP($AK38,$B$175:$H$194,BB$34,FALSE)</f>
        <v>0.50877192982456143</v>
      </c>
      <c r="BC38" s="649">
        <f t="shared" si="23"/>
        <v>0.41666666666666669</v>
      </c>
      <c r="BD38" s="649">
        <f t="shared" si="23"/>
        <v>0.54385964912280704</v>
      </c>
      <c r="BE38" s="649">
        <f t="shared" si="23"/>
        <v>0.56944444444444442</v>
      </c>
      <c r="BF38" s="649">
        <f t="shared" si="23"/>
        <v>0.54054054054054057</v>
      </c>
      <c r="BG38" s="649" t="e">
        <f t="shared" ref="BG38:BK47" si="24">VLOOKUP($AK38,$B$206:$H$227,BG$34,FALSE)</f>
        <v>#N/A</v>
      </c>
      <c r="BH38" s="649" t="e">
        <f t="shared" si="24"/>
        <v>#N/A</v>
      </c>
      <c r="BI38" s="649" t="e">
        <f t="shared" si="24"/>
        <v>#N/A</v>
      </c>
      <c r="BJ38" s="649">
        <f t="shared" si="24"/>
        <v>0.58333333333333337</v>
      </c>
      <c r="BK38" s="649">
        <f t="shared" si="24"/>
        <v>0.53846153846153844</v>
      </c>
    </row>
    <row r="39" spans="1:63" s="56" customFormat="1" ht="14.25" customHeight="1">
      <c r="A39" s="87"/>
      <c r="B39" s="5"/>
      <c r="C39" s="5"/>
      <c r="D39" s="5"/>
      <c r="E39" s="5"/>
      <c r="F39" s="5"/>
      <c r="G39" s="5"/>
      <c r="H39" s="5"/>
      <c r="I39" s="5"/>
      <c r="J39" s="5"/>
      <c r="K39" s="1"/>
      <c r="L39" s="5"/>
      <c r="M39" s="5"/>
      <c r="N39" s="5"/>
      <c r="O39" s="5"/>
      <c r="P39" s="5"/>
      <c r="Q39" s="5"/>
      <c r="R39" s="5"/>
      <c r="S39" s="5"/>
      <c r="T39" s="5"/>
      <c r="U39" s="86"/>
      <c r="V39" s="102"/>
      <c r="W39" s="1155"/>
      <c r="X39" s="1162" t="str">
        <f>"Y= "&amp;Y39&amp;"x + "&amp;Z39</f>
        <v>Y= -1.71595522037006x + 223.437414926193</v>
      </c>
      <c r="Y39" s="1163">
        <f>ChartLabels!$V51</f>
        <v>-1.7159552203700559</v>
      </c>
      <c r="Z39" s="1163">
        <f>ChartLabels!$W51</f>
        <v>223.43741492619256</v>
      </c>
      <c r="AA39" s="1164">
        <v>22</v>
      </c>
      <c r="AB39" s="1159">
        <f>(AA39*Y39)+Z39</f>
        <v>185.68640007805132</v>
      </c>
      <c r="AC39" s="1165" t="str">
        <f>AC37&amp;" = "&amp;AC38</f>
        <v>r² = 0.016</v>
      </c>
      <c r="AD39" s="1113"/>
      <c r="AE39" s="1113"/>
      <c r="AF39" s="1113"/>
      <c r="AG39" s="1113"/>
      <c r="AH39" s="1113"/>
      <c r="AI39" s="1161" t="b">
        <v>1</v>
      </c>
      <c r="AJ39" s="921" t="s">
        <v>28</v>
      </c>
      <c r="AK39" s="61" t="str">
        <f t="shared" si="19"/>
        <v>Brighton &amp; Hove</v>
      </c>
      <c r="AL39" s="647">
        <f t="shared" si="20"/>
        <v>116.4860877969378</v>
      </c>
      <c r="AM39" s="647">
        <f t="shared" si="20"/>
        <v>114.81115902124786</v>
      </c>
      <c r="AN39" s="647">
        <f t="shared" si="20"/>
        <v>123.33912653473118</v>
      </c>
      <c r="AO39" s="647">
        <f t="shared" si="20"/>
        <v>109.50434873729435</v>
      </c>
      <c r="AP39" s="647">
        <f t="shared" si="20"/>
        <v>109.25990013348495</v>
      </c>
      <c r="AQ39" s="648">
        <f>VLOOKUP($AJ39,IDACI!$B$9:$C$29,2,FALSE)</f>
        <v>15.299999999999999</v>
      </c>
      <c r="AR39" s="649">
        <f t="shared" si="21"/>
        <v>0.95633187772925765</v>
      </c>
      <c r="AS39" s="649">
        <f t="shared" si="21"/>
        <v>0.93665158371040724</v>
      </c>
      <c r="AT39" s="649">
        <f t="shared" si="21"/>
        <v>0.95454545454545459</v>
      </c>
      <c r="AU39" s="649">
        <f t="shared" si="21"/>
        <v>0.96650717703349287</v>
      </c>
      <c r="AV39" s="649">
        <f t="shared" si="21"/>
        <v>0.95927601809954754</v>
      </c>
      <c r="AW39" s="649">
        <f t="shared" si="22"/>
        <v>0.90393013100436681</v>
      </c>
      <c r="AX39" s="649">
        <f t="shared" si="22"/>
        <v>0.8868778280542986</v>
      </c>
      <c r="AY39" s="649">
        <f t="shared" si="22"/>
        <v>0.87272727272727268</v>
      </c>
      <c r="AZ39" s="649">
        <f t="shared" si="22"/>
        <v>0.90909090909090906</v>
      </c>
      <c r="BA39" s="649">
        <f t="shared" si="22"/>
        <v>0.91855203619909498</v>
      </c>
      <c r="BB39" s="649">
        <f t="shared" si="23"/>
        <v>0.68558951965065507</v>
      </c>
      <c r="BC39" s="649">
        <f t="shared" si="23"/>
        <v>0.64253393665158376</v>
      </c>
      <c r="BD39" s="649">
        <f t="shared" si="23"/>
        <v>0.71363636363636362</v>
      </c>
      <c r="BE39" s="649">
        <f t="shared" si="23"/>
        <v>0.65550239234449759</v>
      </c>
      <c r="BF39" s="649">
        <f t="shared" si="23"/>
        <v>0.64253393665158376</v>
      </c>
      <c r="BG39" s="649">
        <f t="shared" si="24"/>
        <v>0.30158730158730157</v>
      </c>
      <c r="BH39" s="649">
        <f t="shared" si="24"/>
        <v>0.35</v>
      </c>
      <c r="BI39" s="649">
        <f t="shared" si="24"/>
        <v>0.29310344827586204</v>
      </c>
      <c r="BJ39" s="649">
        <f t="shared" si="24"/>
        <v>0.23636363636363636</v>
      </c>
      <c r="BK39" s="649">
        <f t="shared" si="24"/>
        <v>0.27868852459016391</v>
      </c>
    </row>
    <row r="40" spans="1:63" ht="14.25" customHeight="1">
      <c r="A40" s="87"/>
      <c r="B40" s="5"/>
      <c r="C40" s="5"/>
      <c r="D40" s="5"/>
      <c r="E40" s="5"/>
      <c r="F40" s="5"/>
      <c r="G40" s="5"/>
      <c r="H40" s="5"/>
      <c r="I40" s="5"/>
      <c r="J40" s="5"/>
      <c r="K40" s="1"/>
      <c r="L40" s="5"/>
      <c r="M40" s="5"/>
      <c r="N40" s="5"/>
      <c r="O40" s="5"/>
      <c r="P40" s="5"/>
      <c r="Q40" s="5"/>
      <c r="R40" s="5"/>
      <c r="S40" s="5"/>
      <c r="T40" s="5"/>
      <c r="U40" s="86"/>
      <c r="V40" s="102"/>
      <c r="W40" s="1155"/>
      <c r="X40" s="1263" t="str">
        <f>"National Trend "&amp;ReportData!$B$8</f>
        <v>National Trend 2024</v>
      </c>
      <c r="Y40" s="1264" t="s">
        <v>67</v>
      </c>
      <c r="Z40" s="1263" t="s">
        <v>68</v>
      </c>
      <c r="AA40" s="1265">
        <v>3</v>
      </c>
      <c r="AB40" s="1266">
        <f>(AA40*Y41)+Z41</f>
        <v>187.87092870139958</v>
      </c>
      <c r="AC40" s="1267" t="str">
        <f>"r² = "&amp;ROUND(AC41,2)</f>
        <v>r² = 0.02</v>
      </c>
      <c r="AD40" s="1113"/>
      <c r="AE40" s="1113"/>
      <c r="AF40" s="1113"/>
      <c r="AG40" s="1113"/>
      <c r="AH40" s="1113"/>
      <c r="AI40" s="1161" t="b">
        <v>1</v>
      </c>
      <c r="AJ40" s="921" t="s">
        <v>8</v>
      </c>
      <c r="AK40" s="61" t="str">
        <f t="shared" si="19"/>
        <v>Buckinghamshire</v>
      </c>
      <c r="AL40" s="647">
        <f t="shared" si="20"/>
        <v>143.48051179646475</v>
      </c>
      <c r="AM40" s="647">
        <f t="shared" si="20"/>
        <v>152.6773860451394</v>
      </c>
      <c r="AN40" s="647">
        <f t="shared" si="20"/>
        <v>170.36275517697166</v>
      </c>
      <c r="AO40" s="647">
        <f t="shared" si="20"/>
        <v>191.33937562940582</v>
      </c>
      <c r="AP40" s="647">
        <f t="shared" si="20"/>
        <v>196.45888915837983</v>
      </c>
      <c r="AQ40" s="648">
        <f>VLOOKUP($AJ40,IDACI!$B$9:$C$29,2,FALSE)</f>
        <v>8.5</v>
      </c>
      <c r="AR40" s="649">
        <f t="shared" si="21"/>
        <v>0.89175257731958768</v>
      </c>
      <c r="AS40" s="649">
        <f t="shared" si="21"/>
        <v>0.98067632850241548</v>
      </c>
      <c r="AT40" s="649">
        <f t="shared" si="21"/>
        <v>0.96551724137931039</v>
      </c>
      <c r="AU40" s="649">
        <f t="shared" si="21"/>
        <v>0.90688259109311742</v>
      </c>
      <c r="AV40" s="649">
        <f t="shared" si="21"/>
        <v>0.92181069958847739</v>
      </c>
      <c r="AW40" s="649">
        <f t="shared" si="22"/>
        <v>0.82989690721649489</v>
      </c>
      <c r="AX40" s="649">
        <f t="shared" si="22"/>
        <v>0.94202898550724634</v>
      </c>
      <c r="AY40" s="649">
        <f t="shared" si="22"/>
        <v>0.87931034482758619</v>
      </c>
      <c r="AZ40" s="649">
        <f t="shared" si="22"/>
        <v>0.86234817813765186</v>
      </c>
      <c r="BA40" s="649">
        <f t="shared" si="22"/>
        <v>0.88065843621399176</v>
      </c>
      <c r="BB40" s="649">
        <f t="shared" si="23"/>
        <v>0.4845360824742268</v>
      </c>
      <c r="BC40" s="649">
        <f t="shared" si="23"/>
        <v>0.53623188405797106</v>
      </c>
      <c r="BD40" s="649">
        <f t="shared" si="23"/>
        <v>0.61637931034482762</v>
      </c>
      <c r="BE40" s="649">
        <f t="shared" si="23"/>
        <v>0.64372469635627527</v>
      </c>
      <c r="BF40" s="649">
        <f t="shared" si="23"/>
        <v>0.51440329218106995</v>
      </c>
      <c r="BG40" s="649">
        <f t="shared" si="24"/>
        <v>0.3125</v>
      </c>
      <c r="BH40" s="649">
        <f t="shared" si="24"/>
        <v>0.41025641025641024</v>
      </c>
      <c r="BI40" s="649">
        <f t="shared" si="24"/>
        <v>0.34</v>
      </c>
      <c r="BJ40" s="649">
        <f t="shared" si="24"/>
        <v>0.23529411764705882</v>
      </c>
      <c r="BK40" s="649">
        <f t="shared" si="24"/>
        <v>0.22916666666666666</v>
      </c>
    </row>
    <row r="41" spans="1:63" ht="14.25" customHeight="1">
      <c r="A41" s="87"/>
      <c r="B41" s="5"/>
      <c r="C41" s="5"/>
      <c r="D41" s="5"/>
      <c r="E41" s="5"/>
      <c r="F41" s="5"/>
      <c r="G41" s="5"/>
      <c r="H41" s="5"/>
      <c r="I41" s="5"/>
      <c r="J41" s="5"/>
      <c r="K41" s="1"/>
      <c r="L41" s="10"/>
      <c r="M41" s="10"/>
      <c r="N41" s="10"/>
      <c r="O41" s="10"/>
      <c r="P41" s="5"/>
      <c r="Q41" s="5"/>
      <c r="R41" s="5"/>
      <c r="S41" s="5"/>
      <c r="T41" s="5"/>
      <c r="U41" s="86"/>
      <c r="V41" s="102"/>
      <c r="W41" s="1155"/>
      <c r="X41" s="1268" t="str">
        <f>"Y= "&amp;Y41&amp;"x + "&amp;Z41</f>
        <v>Y= 2.15411312058239x + 181.408589339652</v>
      </c>
      <c r="Y41" s="1269">
        <f>ReportData!$F$15</f>
        <v>2.1541131205823936</v>
      </c>
      <c r="Z41" s="1269">
        <f>ReportData!$F$16</f>
        <v>181.40858933965239</v>
      </c>
      <c r="AA41" s="1270">
        <v>22</v>
      </c>
      <c r="AB41" s="1271">
        <f>(AA41*Y41)+Z41</f>
        <v>228.79907799246504</v>
      </c>
      <c r="AC41" s="1269">
        <f>ReportData!$F$17</f>
        <v>2.2343119310193164E-2</v>
      </c>
      <c r="AD41" s="1113"/>
      <c r="AE41" s="1113"/>
      <c r="AF41" s="1113"/>
      <c r="AG41" s="1113"/>
      <c r="AH41" s="1113"/>
      <c r="AI41" s="1161" t="b">
        <v>1</v>
      </c>
      <c r="AJ41" s="921" t="s">
        <v>4</v>
      </c>
      <c r="AK41" s="61" t="str">
        <f t="shared" si="19"/>
        <v>East Sussex</v>
      </c>
      <c r="AL41" s="647">
        <f t="shared" si="20"/>
        <v>138.84043814972441</v>
      </c>
      <c r="AM41" s="647">
        <f t="shared" si="20"/>
        <v>155.63080913610492</v>
      </c>
      <c r="AN41" s="647">
        <f t="shared" si="20"/>
        <v>168.44638291472401</v>
      </c>
      <c r="AO41" s="647">
        <f t="shared" si="20"/>
        <v>191.36902456031609</v>
      </c>
      <c r="AP41" s="647">
        <f t="shared" si="20"/>
        <v>205.35302261190586</v>
      </c>
      <c r="AQ41" s="648">
        <f>VLOOKUP($AJ41,IDACI!$B$9:$C$29,2,FALSE)</f>
        <v>16.100000000000001</v>
      </c>
      <c r="AR41" s="649">
        <f t="shared" si="21"/>
        <v>0.83417085427135673</v>
      </c>
      <c r="AS41" s="649">
        <f t="shared" si="21"/>
        <v>0.86111111111111116</v>
      </c>
      <c r="AT41" s="649">
        <f t="shared" si="21"/>
        <v>0.8928571428571429</v>
      </c>
      <c r="AU41" s="649">
        <f t="shared" si="21"/>
        <v>0.91093117408906887</v>
      </c>
      <c r="AV41" s="649">
        <f t="shared" si="21"/>
        <v>0.92509363295880154</v>
      </c>
      <c r="AW41" s="649">
        <f t="shared" si="22"/>
        <v>0.7839195979899497</v>
      </c>
      <c r="AX41" s="649">
        <f t="shared" si="22"/>
        <v>0.8657407407407407</v>
      </c>
      <c r="AY41" s="649">
        <f t="shared" si="22"/>
        <v>0.8839285714285714</v>
      </c>
      <c r="AZ41" s="649">
        <f t="shared" si="22"/>
        <v>0.87449392712550611</v>
      </c>
      <c r="BA41" s="649">
        <f t="shared" si="22"/>
        <v>0.90636704119850187</v>
      </c>
      <c r="BB41" s="649">
        <f t="shared" si="23"/>
        <v>0.52763819095477382</v>
      </c>
      <c r="BC41" s="649">
        <f t="shared" si="23"/>
        <v>0.46296296296296297</v>
      </c>
      <c r="BD41" s="649">
        <f t="shared" si="23"/>
        <v>0.5491071428571429</v>
      </c>
      <c r="BE41" s="649">
        <f t="shared" si="23"/>
        <v>0.5587044534412956</v>
      </c>
      <c r="BF41" s="649">
        <f t="shared" si="23"/>
        <v>0.58052434456928836</v>
      </c>
      <c r="BG41" s="649">
        <f t="shared" si="24"/>
        <v>0.30508474576271188</v>
      </c>
      <c r="BH41" s="649">
        <f t="shared" si="24"/>
        <v>0.15151515151515152</v>
      </c>
      <c r="BI41" s="649">
        <f t="shared" si="24"/>
        <v>0.15094339622641509</v>
      </c>
      <c r="BJ41" s="649">
        <f t="shared" si="24"/>
        <v>0.38775510204081631</v>
      </c>
      <c r="BK41" s="649">
        <f t="shared" si="24"/>
        <v>0.35714285714285715</v>
      </c>
    </row>
    <row r="42" spans="1:63" ht="14.25" customHeight="1">
      <c r="A42" s="87"/>
      <c r="B42" s="76"/>
      <c r="C42" s="76"/>
      <c r="D42" s="77"/>
      <c r="E42" s="77"/>
      <c r="F42" s="77"/>
      <c r="G42" s="77"/>
      <c r="H42" s="77"/>
      <c r="I42" s="77"/>
      <c r="J42" s="77"/>
      <c r="K42" s="1"/>
      <c r="L42" s="5"/>
      <c r="M42" s="5"/>
      <c r="N42" s="5"/>
      <c r="O42" s="5"/>
      <c r="P42" s="5"/>
      <c r="Q42" s="5"/>
      <c r="R42" s="5"/>
      <c r="S42" s="5"/>
      <c r="T42" s="5"/>
      <c r="U42" s="86"/>
      <c r="V42" s="102"/>
      <c r="W42" s="1155"/>
      <c r="X42" s="1113"/>
      <c r="Y42" s="1146"/>
      <c r="Z42" s="1113"/>
      <c r="AA42" s="1113"/>
      <c r="AB42" s="360"/>
      <c r="AC42" s="1113"/>
      <c r="AD42" s="1113"/>
      <c r="AE42" s="1113"/>
      <c r="AF42" s="1113"/>
      <c r="AG42" s="1113"/>
      <c r="AH42" s="1113"/>
      <c r="AI42" s="1161" t="b">
        <v>1</v>
      </c>
      <c r="AJ42" s="921" t="s">
        <v>6</v>
      </c>
      <c r="AK42" s="61" t="str">
        <f t="shared" si="19"/>
        <v>Hampshire</v>
      </c>
      <c r="AL42" s="647">
        <f t="shared" si="20"/>
        <v>143.4335546010673</v>
      </c>
      <c r="AM42" s="647">
        <f t="shared" si="20"/>
        <v>163.14452562390343</v>
      </c>
      <c r="AN42" s="647">
        <f t="shared" si="20"/>
        <v>182.12967843964157</v>
      </c>
      <c r="AO42" s="647">
        <f t="shared" si="20"/>
        <v>194.6592092997752</v>
      </c>
      <c r="AP42" s="647">
        <f t="shared" si="20"/>
        <v>196.41426558744718</v>
      </c>
      <c r="AQ42" s="648">
        <f>VLOOKUP($AJ42,IDACI!$B$9:$C$29,2,FALSE)</f>
        <v>10.100000000000001</v>
      </c>
      <c r="AR42" s="649">
        <f t="shared" si="21"/>
        <v>0.78221415607985478</v>
      </c>
      <c r="AS42" s="649">
        <f t="shared" si="21"/>
        <v>0.7945425361155698</v>
      </c>
      <c r="AT42" s="649">
        <f t="shared" si="21"/>
        <v>0.78147612156295221</v>
      </c>
      <c r="AU42" s="649">
        <f t="shared" si="21"/>
        <v>0.74507042253521127</v>
      </c>
      <c r="AV42" s="649">
        <f t="shared" si="21"/>
        <v>0.35864978902953587</v>
      </c>
      <c r="AW42" s="649">
        <f t="shared" si="22"/>
        <v>0.70598911070780401</v>
      </c>
      <c r="AX42" s="649">
        <f t="shared" si="22"/>
        <v>0.7640449438202247</v>
      </c>
      <c r="AY42" s="649">
        <f t="shared" si="22"/>
        <v>0.74529667149059331</v>
      </c>
      <c r="AZ42" s="649">
        <f t="shared" si="22"/>
        <v>0.6957746478873239</v>
      </c>
      <c r="BA42" s="649">
        <f t="shared" si="22"/>
        <v>0.3263009845288326</v>
      </c>
      <c r="BB42" s="649">
        <f t="shared" si="23"/>
        <v>0.51361161524500909</v>
      </c>
      <c r="BC42" s="649">
        <f t="shared" si="23"/>
        <v>0.52969502407704649</v>
      </c>
      <c r="BD42" s="649">
        <f t="shared" si="23"/>
        <v>0.55716353111432704</v>
      </c>
      <c r="BE42" s="649">
        <f t="shared" si="23"/>
        <v>0.5056338028169014</v>
      </c>
      <c r="BF42" s="649">
        <f t="shared" si="23"/>
        <v>0.21518987341772153</v>
      </c>
      <c r="BG42" s="649">
        <f t="shared" si="24"/>
        <v>0</v>
      </c>
      <c r="BH42" s="649">
        <f t="shared" si="24"/>
        <v>0</v>
      </c>
      <c r="BI42" s="649">
        <f t="shared" si="24"/>
        <v>0.28260869565217389</v>
      </c>
      <c r="BJ42" s="649">
        <f t="shared" si="24"/>
        <v>0.24539877300613497</v>
      </c>
      <c r="BK42" s="649">
        <f t="shared" si="24"/>
        <v>0.13815789473684212</v>
      </c>
    </row>
    <row r="43" spans="1:63" ht="14.25" customHeight="1">
      <c r="A43" s="87"/>
      <c r="B43" s="77"/>
      <c r="C43" s="77"/>
      <c r="D43" s="77"/>
      <c r="E43" s="77"/>
      <c r="F43" s="77"/>
      <c r="G43" s="77"/>
      <c r="H43" s="77"/>
      <c r="I43" s="77"/>
      <c r="J43" s="77"/>
      <c r="K43" s="1"/>
      <c r="L43" s="5"/>
      <c r="M43" s="5"/>
      <c r="N43" s="5"/>
      <c r="O43" s="5"/>
      <c r="P43" s="5"/>
      <c r="Q43" s="5"/>
      <c r="R43" s="5"/>
      <c r="S43" s="5"/>
      <c r="T43" s="5"/>
      <c r="U43" s="86"/>
      <c r="V43" s="102"/>
      <c r="W43" s="1155"/>
      <c r="X43" s="1113"/>
      <c r="Y43" s="1146"/>
      <c r="Z43" s="1113"/>
      <c r="AA43" s="1113"/>
      <c r="AB43" s="1113"/>
      <c r="AC43" s="1113"/>
      <c r="AD43" s="1113"/>
      <c r="AE43" s="1113"/>
      <c r="AF43" s="1113"/>
      <c r="AG43" s="1113"/>
      <c r="AH43" s="1113"/>
      <c r="AI43" s="1161" t="b">
        <v>1</v>
      </c>
      <c r="AJ43" s="921" t="s">
        <v>1</v>
      </c>
      <c r="AK43" s="61" t="str">
        <f t="shared" si="19"/>
        <v>Isle of Wight</v>
      </c>
      <c r="AL43" s="647">
        <f t="shared" si="20"/>
        <v>243.35664335664336</v>
      </c>
      <c r="AM43" s="647">
        <f t="shared" si="20"/>
        <v>242.47735904177623</v>
      </c>
      <c r="AN43" s="647">
        <f t="shared" si="20"/>
        <v>230.6477093206951</v>
      </c>
      <c r="AO43" s="647">
        <f t="shared" si="20"/>
        <v>261.88835286009646</v>
      </c>
      <c r="AP43" s="647">
        <f t="shared" si="20"/>
        <v>316.1917998610146</v>
      </c>
      <c r="AQ43" s="648">
        <f>VLOOKUP($AJ43,IDACI!$B$9:$C$29,2,FALSE)</f>
        <v>18</v>
      </c>
      <c r="AR43" s="649">
        <f t="shared" si="21"/>
        <v>0.97701149425287359</v>
      </c>
      <c r="AS43" s="649">
        <f t="shared" si="21"/>
        <v>0.95180722891566261</v>
      </c>
      <c r="AT43" s="649">
        <f t="shared" si="21"/>
        <v>0.9726027397260274</v>
      </c>
      <c r="AU43" s="649">
        <f t="shared" si="21"/>
        <v>0.92105263157894735</v>
      </c>
      <c r="AV43" s="649">
        <f t="shared" si="21"/>
        <v>0.92307692307692313</v>
      </c>
      <c r="AW43" s="649">
        <f t="shared" si="22"/>
        <v>0.93103448275862066</v>
      </c>
      <c r="AX43" s="649">
        <f t="shared" si="22"/>
        <v>0.96385542168674698</v>
      </c>
      <c r="AY43" s="649">
        <f t="shared" si="22"/>
        <v>0.9452054794520548</v>
      </c>
      <c r="AZ43" s="649">
        <f t="shared" si="22"/>
        <v>0.89473684210526316</v>
      </c>
      <c r="BA43" s="649">
        <f t="shared" si="22"/>
        <v>0.87912087912087911</v>
      </c>
      <c r="BB43" s="649">
        <f t="shared" si="23"/>
        <v>0.63218390804597702</v>
      </c>
      <c r="BC43" s="649">
        <f t="shared" si="23"/>
        <v>0.66265060240963858</v>
      </c>
      <c r="BD43" s="649">
        <f t="shared" si="23"/>
        <v>0.67123287671232879</v>
      </c>
      <c r="BE43" s="649">
        <f t="shared" si="23"/>
        <v>0.71052631578947367</v>
      </c>
      <c r="BF43" s="649">
        <f t="shared" si="23"/>
        <v>0.68131868131868134</v>
      </c>
      <c r="BG43" s="649">
        <f t="shared" si="24"/>
        <v>0</v>
      </c>
      <c r="BH43" s="649">
        <f t="shared" si="24"/>
        <v>0</v>
      </c>
      <c r="BI43" s="649" t="e">
        <f t="shared" si="24"/>
        <v>#N/A</v>
      </c>
      <c r="BJ43" s="649" t="e">
        <f t="shared" si="24"/>
        <v>#N/A</v>
      </c>
      <c r="BK43" s="649" t="e">
        <f t="shared" si="24"/>
        <v>#N/A</v>
      </c>
    </row>
    <row r="44" spans="1:63" ht="14.25" customHeight="1">
      <c r="A44" s="87"/>
      <c r="B44" s="77"/>
      <c r="C44" s="77"/>
      <c r="D44" s="77"/>
      <c r="E44" s="77"/>
      <c r="F44" s="77"/>
      <c r="G44" s="77"/>
      <c r="H44" s="77"/>
      <c r="I44" s="77"/>
      <c r="J44" s="77"/>
      <c r="K44" s="1"/>
      <c r="L44" s="5"/>
      <c r="M44" s="5"/>
      <c r="N44" s="5"/>
      <c r="O44" s="5"/>
      <c r="P44" s="5"/>
      <c r="Q44" s="5"/>
      <c r="R44" s="5"/>
      <c r="S44" s="5"/>
      <c r="T44" s="5"/>
      <c r="U44" s="86"/>
      <c r="V44" s="102"/>
      <c r="W44" s="1155"/>
      <c r="X44" s="1113"/>
      <c r="Y44" s="1146"/>
      <c r="Z44" s="1113"/>
      <c r="AA44" s="1113"/>
      <c r="AB44" s="1113"/>
      <c r="AC44" s="1170"/>
      <c r="AD44" s="1113"/>
      <c r="AE44" s="1113"/>
      <c r="AF44" s="1113"/>
      <c r="AG44" s="1113"/>
      <c r="AH44" s="1113"/>
      <c r="AI44" s="1161" t="b">
        <v>1</v>
      </c>
      <c r="AJ44" s="921" t="s">
        <v>9</v>
      </c>
      <c r="AK44" s="61" t="str">
        <f t="shared" si="19"/>
        <v>Kent</v>
      </c>
      <c r="AL44" s="647">
        <f t="shared" si="20"/>
        <v>275.80567964262923</v>
      </c>
      <c r="AM44" s="647">
        <f t="shared" si="20"/>
        <v>241.45158638829523</v>
      </c>
      <c r="AN44" s="647">
        <f t="shared" si="20"/>
        <v>247.9111581173982</v>
      </c>
      <c r="AO44" s="647">
        <f t="shared" si="20"/>
        <v>268.61972828251538</v>
      </c>
      <c r="AP44" s="647">
        <f t="shared" si="20"/>
        <v>268.3590613009726</v>
      </c>
      <c r="AQ44" s="648">
        <f>VLOOKUP($AJ44,IDACI!$B$9:$C$29,2,FALSE)</f>
        <v>15.8</v>
      </c>
      <c r="AR44" s="649">
        <f t="shared" si="21"/>
        <v>0.85104844540853219</v>
      </c>
      <c r="AS44" s="649">
        <f t="shared" si="21"/>
        <v>0.88936170212765953</v>
      </c>
      <c r="AT44" s="649">
        <f t="shared" si="21"/>
        <v>0.92235494880546076</v>
      </c>
      <c r="AU44" s="649">
        <f t="shared" si="21"/>
        <v>0.93657331136738053</v>
      </c>
      <c r="AV44" s="649">
        <f t="shared" si="21"/>
        <v>0.92186201163757275</v>
      </c>
      <c r="AW44" s="649">
        <f t="shared" si="22"/>
        <v>0.74620390455531449</v>
      </c>
      <c r="AX44" s="649">
        <f t="shared" si="22"/>
        <v>0.80765957446808512</v>
      </c>
      <c r="AY44" s="649">
        <f t="shared" si="22"/>
        <v>0.85238907849829348</v>
      </c>
      <c r="AZ44" s="649">
        <f t="shared" si="22"/>
        <v>0.87973640856672153</v>
      </c>
      <c r="BA44" s="649">
        <f t="shared" si="22"/>
        <v>0.83624272651704068</v>
      </c>
      <c r="BB44" s="649">
        <f t="shared" si="23"/>
        <v>0.54013015184381774</v>
      </c>
      <c r="BC44" s="649">
        <f t="shared" si="23"/>
        <v>0.50042553191489358</v>
      </c>
      <c r="BD44" s="649">
        <f t="shared" si="23"/>
        <v>0.53668941979522189</v>
      </c>
      <c r="BE44" s="649">
        <f t="shared" si="23"/>
        <v>0.56425041186161451</v>
      </c>
      <c r="BF44" s="649">
        <f t="shared" si="23"/>
        <v>0.55195344970906068</v>
      </c>
      <c r="BG44" s="649">
        <f t="shared" si="24"/>
        <v>0.27102803738317754</v>
      </c>
      <c r="BH44" s="649">
        <f t="shared" si="24"/>
        <v>0.26923076923076922</v>
      </c>
      <c r="BI44" s="649">
        <f t="shared" si="24"/>
        <v>0.25</v>
      </c>
      <c r="BJ44" s="649">
        <f t="shared" si="24"/>
        <v>0.20529801324503311</v>
      </c>
      <c r="BK44" s="649">
        <f t="shared" si="24"/>
        <v>8.8050314465408799E-2</v>
      </c>
    </row>
    <row r="45" spans="1:63" ht="14.25" customHeight="1">
      <c r="A45" s="87"/>
      <c r="B45" s="40"/>
      <c r="C45" s="40"/>
      <c r="D45" s="40"/>
      <c r="E45" s="40"/>
      <c r="F45" s="40"/>
      <c r="G45" s="40"/>
      <c r="H45" s="40"/>
      <c r="I45" s="40"/>
      <c r="J45" s="40"/>
      <c r="K45" s="1"/>
      <c r="L45" s="5"/>
      <c r="M45" s="5"/>
      <c r="N45" s="5"/>
      <c r="O45" s="5"/>
      <c r="P45" s="5"/>
      <c r="Q45" s="5"/>
      <c r="R45" s="5"/>
      <c r="S45" s="5"/>
      <c r="T45" s="5"/>
      <c r="U45" s="86"/>
      <c r="V45" s="102"/>
      <c r="W45" s="1155"/>
      <c r="X45" s="1113"/>
      <c r="Y45" s="1146"/>
      <c r="Z45" s="1113"/>
      <c r="AA45" s="1113"/>
      <c r="AB45" s="1113"/>
      <c r="AC45" s="360"/>
      <c r="AD45" s="1113"/>
      <c r="AE45" s="1113"/>
      <c r="AF45" s="1113"/>
      <c r="AG45" s="1113"/>
      <c r="AH45" s="1113"/>
      <c r="AI45" s="1161" t="b">
        <v>1</v>
      </c>
      <c r="AJ45" s="921" t="s">
        <v>2</v>
      </c>
      <c r="AK45" s="61" t="str">
        <f t="shared" si="19"/>
        <v>Medway</v>
      </c>
      <c r="AL45" s="647">
        <f t="shared" si="20"/>
        <v>126.39715867544135</v>
      </c>
      <c r="AM45" s="647">
        <f t="shared" si="20"/>
        <v>144.36122869857809</v>
      </c>
      <c r="AN45" s="647">
        <f t="shared" si="20"/>
        <v>157.69317413831945</v>
      </c>
      <c r="AO45" s="647">
        <f t="shared" si="20"/>
        <v>171.06947515419526</v>
      </c>
      <c r="AP45" s="647">
        <f t="shared" si="20"/>
        <v>173.36394948335246</v>
      </c>
      <c r="AQ45" s="648">
        <f>VLOOKUP($AJ45,IDACI!$B$9:$C$29,2,FALSE)</f>
        <v>18.899999999999999</v>
      </c>
      <c r="AR45" s="649">
        <f t="shared" si="21"/>
        <v>0.97520661157024791</v>
      </c>
      <c r="AS45" s="649">
        <f t="shared" si="21"/>
        <v>0.96240601503759393</v>
      </c>
      <c r="AT45" s="649">
        <f t="shared" si="21"/>
        <v>0.98571428571428577</v>
      </c>
      <c r="AU45" s="649">
        <f t="shared" si="21"/>
        <v>0.99319727891156462</v>
      </c>
      <c r="AV45" s="649">
        <f t="shared" si="21"/>
        <v>0.9668874172185431</v>
      </c>
      <c r="AW45" s="649">
        <f t="shared" si="22"/>
        <v>0.94214876033057848</v>
      </c>
      <c r="AX45" s="649">
        <f t="shared" si="22"/>
        <v>0.88721804511278191</v>
      </c>
      <c r="AY45" s="649">
        <f t="shared" si="22"/>
        <v>0.90714285714285714</v>
      </c>
      <c r="AZ45" s="649">
        <f t="shared" si="22"/>
        <v>0.93877551020408168</v>
      </c>
      <c r="BA45" s="649">
        <f t="shared" si="22"/>
        <v>0.93377483443708609</v>
      </c>
      <c r="BB45" s="649">
        <f t="shared" si="23"/>
        <v>0.47933884297520662</v>
      </c>
      <c r="BC45" s="649">
        <f t="shared" si="23"/>
        <v>0.45112781954887216</v>
      </c>
      <c r="BD45" s="649">
        <f t="shared" si="23"/>
        <v>0.55714285714285716</v>
      </c>
      <c r="BE45" s="649">
        <f t="shared" si="23"/>
        <v>0.5714285714285714</v>
      </c>
      <c r="BF45" s="649">
        <f t="shared" si="23"/>
        <v>0.49668874172185429</v>
      </c>
      <c r="BG45" s="649">
        <f t="shared" si="24"/>
        <v>0.41666666666666669</v>
      </c>
      <c r="BH45" s="649">
        <f t="shared" si="24"/>
        <v>0.3125</v>
      </c>
      <c r="BI45" s="649">
        <f t="shared" si="24"/>
        <v>0.27027027027027029</v>
      </c>
      <c r="BJ45" s="649">
        <f t="shared" si="24"/>
        <v>0.24390243902439024</v>
      </c>
      <c r="BK45" s="649">
        <f t="shared" si="24"/>
        <v>0.20512820512820512</v>
      </c>
    </row>
    <row r="46" spans="1:63" ht="14.25" customHeight="1">
      <c r="A46" s="87"/>
      <c r="B46" s="40"/>
      <c r="C46" s="40"/>
      <c r="D46" s="49"/>
      <c r="E46" s="50"/>
      <c r="F46" s="49"/>
      <c r="G46" s="50"/>
      <c r="H46" s="50"/>
      <c r="I46" s="50"/>
      <c r="J46" s="50"/>
      <c r="K46" s="1"/>
      <c r="L46" s="5"/>
      <c r="M46" s="5"/>
      <c r="N46" s="5"/>
      <c r="O46" s="5"/>
      <c r="P46" s="5"/>
      <c r="Q46" s="5"/>
      <c r="R46" s="5"/>
      <c r="S46" s="5"/>
      <c r="T46" s="5"/>
      <c r="U46" s="86"/>
      <c r="V46" s="102"/>
      <c r="W46" s="1155"/>
      <c r="X46" s="1113"/>
      <c r="Y46" s="1146"/>
      <c r="Z46" s="1113"/>
      <c r="AA46" s="1113"/>
      <c r="AB46" s="1113"/>
      <c r="AC46" s="1113"/>
      <c r="AD46" s="1113"/>
      <c r="AE46" s="1113"/>
      <c r="AF46" s="1113"/>
      <c r="AG46" s="1113"/>
      <c r="AH46" s="1113"/>
      <c r="AI46" s="1161" t="b">
        <v>1</v>
      </c>
      <c r="AJ46" s="921" t="s">
        <v>10</v>
      </c>
      <c r="AK46" s="61" t="str">
        <f t="shared" si="19"/>
        <v>Milton Keynes</v>
      </c>
      <c r="AL46" s="647">
        <f t="shared" si="20"/>
        <v>218.89095250729636</v>
      </c>
      <c r="AM46" s="647">
        <f t="shared" si="20"/>
        <v>205.72811617587737</v>
      </c>
      <c r="AN46" s="647">
        <f t="shared" si="20"/>
        <v>201.25457396759018</v>
      </c>
      <c r="AO46" s="647">
        <f t="shared" si="20"/>
        <v>237.72682515121679</v>
      </c>
      <c r="AP46" s="647">
        <f t="shared" si="20"/>
        <v>268.49391693469443</v>
      </c>
      <c r="AQ46" s="648">
        <f>VLOOKUP($AJ46,IDACI!$B$9:$C$29,2,FALSE)</f>
        <v>15</v>
      </c>
      <c r="AR46" s="649">
        <f t="shared" si="21"/>
        <v>0.89090909090909087</v>
      </c>
      <c r="AS46" s="649">
        <f t="shared" si="21"/>
        <v>0.88888888888888884</v>
      </c>
      <c r="AT46" s="649">
        <f t="shared" si="21"/>
        <v>0.93506493506493504</v>
      </c>
      <c r="AU46" s="649">
        <f t="shared" si="21"/>
        <v>0.90532544378698221</v>
      </c>
      <c r="AV46" s="649">
        <f t="shared" si="21"/>
        <v>0.92708333333333337</v>
      </c>
      <c r="AW46" s="649">
        <f t="shared" si="22"/>
        <v>0.81818181818181823</v>
      </c>
      <c r="AX46" s="649">
        <f t="shared" si="22"/>
        <v>0.86274509803921573</v>
      </c>
      <c r="AY46" s="649">
        <f t="shared" si="22"/>
        <v>0.87012987012987009</v>
      </c>
      <c r="AZ46" s="649">
        <f t="shared" si="22"/>
        <v>0.86982248520710059</v>
      </c>
      <c r="BA46" s="649">
        <f t="shared" si="22"/>
        <v>0.875</v>
      </c>
      <c r="BB46" s="649">
        <f t="shared" si="23"/>
        <v>0.40606060606060607</v>
      </c>
      <c r="BC46" s="649">
        <f t="shared" si="23"/>
        <v>0.45751633986928103</v>
      </c>
      <c r="BD46" s="649">
        <f t="shared" si="23"/>
        <v>0.51298701298701299</v>
      </c>
      <c r="BE46" s="649">
        <f t="shared" si="23"/>
        <v>0.52071005917159763</v>
      </c>
      <c r="BF46" s="649">
        <f t="shared" si="23"/>
        <v>0.58854166666666663</v>
      </c>
      <c r="BG46" s="649" t="e">
        <f t="shared" si="24"/>
        <v>#N/A</v>
      </c>
      <c r="BH46" s="649" t="e">
        <f t="shared" si="24"/>
        <v>#N/A</v>
      </c>
      <c r="BI46" s="649" t="e">
        <f t="shared" si="24"/>
        <v>#N/A</v>
      </c>
      <c r="BJ46" s="649">
        <f t="shared" si="24"/>
        <v>0.33333333333333331</v>
      </c>
      <c r="BK46" s="649">
        <f t="shared" si="24"/>
        <v>0.34210526315789475</v>
      </c>
    </row>
    <row r="47" spans="1:63" ht="14.25" customHeight="1">
      <c r="A47" s="87"/>
      <c r="B47" s="40"/>
      <c r="C47" s="40"/>
      <c r="D47" s="43"/>
      <c r="E47" s="43"/>
      <c r="F47" s="43"/>
      <c r="G47" s="43"/>
      <c r="H47" s="43"/>
      <c r="I47" s="43"/>
      <c r="J47" s="43"/>
      <c r="K47" s="1"/>
      <c r="L47" s="5"/>
      <c r="M47" s="5"/>
      <c r="N47" s="5"/>
      <c r="O47" s="5"/>
      <c r="P47" s="5"/>
      <c r="Q47" s="5"/>
      <c r="R47" s="5"/>
      <c r="S47" s="5"/>
      <c r="T47" s="5"/>
      <c r="U47" s="86"/>
      <c r="V47" s="102"/>
      <c r="W47" s="1155"/>
      <c r="X47" s="1113"/>
      <c r="Y47" s="1146"/>
      <c r="Z47" s="1113"/>
      <c r="AA47" s="1113"/>
      <c r="AB47" s="1113"/>
      <c r="AC47" s="1113"/>
      <c r="AD47" s="1113"/>
      <c r="AE47" s="1113"/>
      <c r="AF47" s="1113"/>
      <c r="AG47" s="1113"/>
      <c r="AH47" s="1113"/>
      <c r="AI47" s="1161" t="b">
        <v>1</v>
      </c>
      <c r="AJ47" s="921" t="s">
        <v>11</v>
      </c>
      <c r="AK47" s="61" t="str">
        <f t="shared" si="19"/>
        <v>Oxfordshire</v>
      </c>
      <c r="AL47" s="647">
        <f t="shared" si="20"/>
        <v>98.721036740509561</v>
      </c>
      <c r="AM47" s="647">
        <f t="shared" si="20"/>
        <v>104.06582768635043</v>
      </c>
      <c r="AN47" s="647">
        <f t="shared" si="20"/>
        <v>109.1746136139428</v>
      </c>
      <c r="AO47" s="647">
        <f t="shared" si="20"/>
        <v>113.0773653612726</v>
      </c>
      <c r="AP47" s="647">
        <f t="shared" si="20"/>
        <v>121.27479552505406</v>
      </c>
      <c r="AQ47" s="648">
        <f>VLOOKUP($AJ47,IDACI!$B$9:$C$29,2,FALSE)</f>
        <v>10.100000000000001</v>
      </c>
      <c r="AR47" s="649">
        <f t="shared" si="21"/>
        <v>0.83848797250859108</v>
      </c>
      <c r="AS47" s="649">
        <f t="shared" si="21"/>
        <v>0.88372093023255816</v>
      </c>
      <c r="AT47" s="649">
        <f t="shared" si="21"/>
        <v>0.90963855421686746</v>
      </c>
      <c r="AU47" s="649">
        <f t="shared" si="21"/>
        <v>0.92937853107344637</v>
      </c>
      <c r="AV47" s="649">
        <f t="shared" si="21"/>
        <v>0.90180878552971577</v>
      </c>
      <c r="AW47" s="649">
        <f t="shared" si="22"/>
        <v>0.76975945017182135</v>
      </c>
      <c r="AX47" s="649">
        <f t="shared" si="22"/>
        <v>0.86378737541528239</v>
      </c>
      <c r="AY47" s="649">
        <f t="shared" si="22"/>
        <v>0.87349397590361444</v>
      </c>
      <c r="AZ47" s="649">
        <f t="shared" si="22"/>
        <v>0.87570621468926557</v>
      </c>
      <c r="BA47" s="649">
        <f t="shared" si="22"/>
        <v>0.89922480620155043</v>
      </c>
      <c r="BB47" s="649">
        <f t="shared" si="23"/>
        <v>0.45704467353951889</v>
      </c>
      <c r="BC47" s="649">
        <f t="shared" si="23"/>
        <v>0.46843853820598008</v>
      </c>
      <c r="BD47" s="649">
        <f t="shared" si="23"/>
        <v>0.55421686746987953</v>
      </c>
      <c r="BE47" s="649">
        <f t="shared" si="23"/>
        <v>0.57627118644067798</v>
      </c>
      <c r="BF47" s="649">
        <f t="shared" si="23"/>
        <v>0.60723514211886309</v>
      </c>
      <c r="BG47" s="649">
        <f t="shared" si="24"/>
        <v>0.22807017543859648</v>
      </c>
      <c r="BH47" s="649">
        <f t="shared" si="24"/>
        <v>0.28358208955223879</v>
      </c>
      <c r="BI47" s="649">
        <f t="shared" si="24"/>
        <v>0.24561403508771928</v>
      </c>
      <c r="BJ47" s="649">
        <f t="shared" si="24"/>
        <v>0.21739130434782608</v>
      </c>
      <c r="BK47" s="649">
        <f t="shared" si="24"/>
        <v>0.27659574468085107</v>
      </c>
    </row>
    <row r="48" spans="1:63" ht="14.25" customHeight="1">
      <c r="A48" s="87"/>
      <c r="B48" s="48"/>
      <c r="C48" s="48"/>
      <c r="D48" s="40"/>
      <c r="E48" s="40"/>
      <c r="F48" s="40"/>
      <c r="G48" s="40"/>
      <c r="H48" s="40"/>
      <c r="I48" s="40"/>
      <c r="J48" s="40"/>
      <c r="K48" s="1"/>
      <c r="L48" s="5"/>
      <c r="M48" s="5"/>
      <c r="N48" s="5"/>
      <c r="O48" s="5"/>
      <c r="P48" s="5"/>
      <c r="Q48" s="5"/>
      <c r="R48" s="5"/>
      <c r="S48" s="5"/>
      <c r="T48" s="5"/>
      <c r="U48" s="86"/>
      <c r="V48" s="102"/>
      <c r="W48" s="1155"/>
      <c r="X48" s="1113"/>
      <c r="Y48" s="1146"/>
      <c r="Z48" s="1113"/>
      <c r="AA48" s="1113"/>
      <c r="AB48" s="1113"/>
      <c r="AC48" s="1113"/>
      <c r="AD48" s="1113"/>
      <c r="AE48" s="1113"/>
      <c r="AF48" s="1113"/>
      <c r="AG48" s="1113"/>
      <c r="AH48" s="1113"/>
      <c r="AI48" s="1161" t="b">
        <v>1</v>
      </c>
      <c r="AJ48" s="921" t="s">
        <v>12</v>
      </c>
      <c r="AK48" s="61" t="str">
        <f t="shared" si="19"/>
        <v>Portsmouth</v>
      </c>
      <c r="AL48" s="647">
        <f t="shared" ref="AL48:AP57" si="25">VLOOKUP($AK48,$B$11:$O$30,AL$34,FALSE)</f>
        <v>100.16366612111293</v>
      </c>
      <c r="AM48" s="647">
        <f t="shared" si="25"/>
        <v>140.70418778340891</v>
      </c>
      <c r="AN48" s="647">
        <f t="shared" si="25"/>
        <v>178.74396135265701</v>
      </c>
      <c r="AO48" s="647">
        <f t="shared" si="25"/>
        <v>177.03349282296651</v>
      </c>
      <c r="AP48" s="647">
        <f t="shared" si="25"/>
        <v>164.01661653058301</v>
      </c>
      <c r="AQ48" s="648">
        <f>VLOOKUP($AJ48,IDACI!$B$9:$C$29,2,FALSE)</f>
        <v>20.200000000000003</v>
      </c>
      <c r="AR48" s="649">
        <f t="shared" ref="AR48:AV57" si="26">VLOOKUP($AK48,$B$109:$H$128,AR$34,FALSE)</f>
        <v>0.76470588235294112</v>
      </c>
      <c r="AS48" s="649">
        <f t="shared" si="26"/>
        <v>0.77725118483412325</v>
      </c>
      <c r="AT48" s="649">
        <f t="shared" si="26"/>
        <v>0.86486486486486491</v>
      </c>
      <c r="AU48" s="649">
        <f t="shared" si="26"/>
        <v>0.88030888030888033</v>
      </c>
      <c r="AV48" s="649">
        <f t="shared" si="26"/>
        <v>0.93013100436681218</v>
      </c>
      <c r="AW48" s="649">
        <f t="shared" ref="AW48:BA57" si="27">VLOOKUP($AK48,$B$142:$H$161,AW$34,FALSE)</f>
        <v>0.70588235294117652</v>
      </c>
      <c r="AX48" s="649">
        <f t="shared" si="27"/>
        <v>0.71563981042654023</v>
      </c>
      <c r="AY48" s="649">
        <f t="shared" si="27"/>
        <v>0.806949806949807</v>
      </c>
      <c r="AZ48" s="649">
        <f t="shared" si="27"/>
        <v>0.82625482625482627</v>
      </c>
      <c r="BA48" s="649">
        <f t="shared" si="27"/>
        <v>0.85152838427947597</v>
      </c>
      <c r="BB48" s="649">
        <f t="shared" ref="BB48:BF57" si="28">VLOOKUP($AK48,$B$175:$H$194,BB$34,FALSE)</f>
        <v>0.50326797385620914</v>
      </c>
      <c r="BC48" s="649">
        <f t="shared" si="28"/>
        <v>0.46445497630331756</v>
      </c>
      <c r="BD48" s="649">
        <f t="shared" si="28"/>
        <v>0.55212355212355213</v>
      </c>
      <c r="BE48" s="649">
        <f t="shared" si="28"/>
        <v>0.54054054054054057</v>
      </c>
      <c r="BF48" s="649">
        <f t="shared" si="28"/>
        <v>0.51528384279475981</v>
      </c>
      <c r="BG48" s="649">
        <f t="shared" ref="BG48:BK57" si="29">VLOOKUP($AK48,$B$206:$H$227,BG$34,FALSE)</f>
        <v>0.1111111111111111</v>
      </c>
      <c r="BH48" s="649">
        <f t="shared" si="29"/>
        <v>0.10606060606060606</v>
      </c>
      <c r="BI48" s="649">
        <f t="shared" si="29"/>
        <v>0.15625</v>
      </c>
      <c r="BJ48" s="649">
        <f t="shared" si="29"/>
        <v>0.3125</v>
      </c>
      <c r="BK48" s="649">
        <f t="shared" si="29"/>
        <v>0.18461538461538463</v>
      </c>
    </row>
    <row r="49" spans="1:63" ht="14.25" customHeight="1">
      <c r="A49" s="87"/>
      <c r="B49" s="48"/>
      <c r="C49" s="48"/>
      <c r="D49" s="40"/>
      <c r="E49" s="40"/>
      <c r="F49" s="40"/>
      <c r="G49" s="40"/>
      <c r="H49" s="40"/>
      <c r="I49" s="40"/>
      <c r="J49" s="40"/>
      <c r="K49" s="1"/>
      <c r="L49" s="5"/>
      <c r="M49" s="5"/>
      <c r="N49" s="5"/>
      <c r="O49" s="5"/>
      <c r="P49" s="5"/>
      <c r="Q49" s="5"/>
      <c r="R49" s="5"/>
      <c r="S49" s="5"/>
      <c r="T49" s="5"/>
      <c r="U49" s="86"/>
      <c r="V49" s="102"/>
      <c r="W49" s="1155"/>
      <c r="X49" s="1113"/>
      <c r="Y49" s="1146"/>
      <c r="Z49" s="1113"/>
      <c r="AA49" s="1113"/>
      <c r="AB49" s="1113"/>
      <c r="AC49" s="1113"/>
      <c r="AD49" s="1113"/>
      <c r="AE49" s="1113"/>
      <c r="AF49" s="1113"/>
      <c r="AG49" s="1113"/>
      <c r="AH49" s="1113"/>
      <c r="AI49" s="1161" t="b">
        <v>1</v>
      </c>
      <c r="AJ49" s="921" t="s">
        <v>3</v>
      </c>
      <c r="AK49" s="61" t="str">
        <f t="shared" si="19"/>
        <v>Reading</v>
      </c>
      <c r="AL49" s="647">
        <f t="shared" si="25"/>
        <v>104.31728981615369</v>
      </c>
      <c r="AM49" s="647">
        <f t="shared" si="25"/>
        <v>107.41138560687433</v>
      </c>
      <c r="AN49" s="647">
        <f t="shared" si="25"/>
        <v>101.0739102969046</v>
      </c>
      <c r="AO49" s="647">
        <f t="shared" si="25"/>
        <v>114.2232816845451</v>
      </c>
      <c r="AP49" s="647">
        <f t="shared" si="25"/>
        <v>134.06940063091483</v>
      </c>
      <c r="AQ49" s="648">
        <f>VLOOKUP($AJ49,IDACI!$B$9:$C$29,2,FALSE)</f>
        <v>16</v>
      </c>
      <c r="AR49" s="649">
        <f t="shared" si="26"/>
        <v>0.90099009900990101</v>
      </c>
      <c r="AS49" s="649">
        <f t="shared" si="26"/>
        <v>0.98</v>
      </c>
      <c r="AT49" s="649">
        <f t="shared" si="26"/>
        <v>0.90625</v>
      </c>
      <c r="AU49" s="649">
        <f t="shared" si="26"/>
        <v>0.85217391304347823</v>
      </c>
      <c r="AV49" s="649">
        <f t="shared" si="26"/>
        <v>0.8529411764705882</v>
      </c>
      <c r="AW49" s="649">
        <f t="shared" si="27"/>
        <v>0.84158415841584155</v>
      </c>
      <c r="AX49" s="649">
        <f t="shared" si="27"/>
        <v>0.92</v>
      </c>
      <c r="AY49" s="649">
        <f t="shared" si="27"/>
        <v>0.86458333333333337</v>
      </c>
      <c r="AZ49" s="649">
        <f t="shared" si="27"/>
        <v>0.8</v>
      </c>
      <c r="BA49" s="649">
        <f t="shared" si="27"/>
        <v>0.80882352941176472</v>
      </c>
      <c r="BB49" s="649">
        <f t="shared" si="28"/>
        <v>0.46534653465346537</v>
      </c>
      <c r="BC49" s="649">
        <f t="shared" si="28"/>
        <v>0.4</v>
      </c>
      <c r="BD49" s="649">
        <f t="shared" si="28"/>
        <v>0.51041666666666663</v>
      </c>
      <c r="BE49" s="649">
        <f t="shared" si="28"/>
        <v>0.5043478260869565</v>
      </c>
      <c r="BF49" s="649">
        <f t="shared" si="28"/>
        <v>0.43382352941176472</v>
      </c>
      <c r="BG49" s="649">
        <f t="shared" si="29"/>
        <v>0.2857142857142857</v>
      </c>
      <c r="BH49" s="649" t="e">
        <f t="shared" si="29"/>
        <v>#N/A</v>
      </c>
      <c r="BI49" s="649">
        <f t="shared" si="29"/>
        <v>0.5</v>
      </c>
      <c r="BJ49" s="649">
        <f t="shared" si="29"/>
        <v>0.30434782608695654</v>
      </c>
      <c r="BK49" s="649">
        <f t="shared" si="29"/>
        <v>0.36</v>
      </c>
    </row>
    <row r="50" spans="1:63" ht="14.25" customHeight="1">
      <c r="A50" s="87"/>
      <c r="B50" s="48"/>
      <c r="C50" s="48"/>
      <c r="D50" s="40"/>
      <c r="E50" s="40"/>
      <c r="F50" s="40"/>
      <c r="G50" s="40"/>
      <c r="H50" s="40"/>
      <c r="I50" s="40"/>
      <c r="J50" s="40"/>
      <c r="K50" s="1"/>
      <c r="L50" s="5"/>
      <c r="M50" s="5"/>
      <c r="N50" s="5"/>
      <c r="O50" s="5"/>
      <c r="P50" s="5"/>
      <c r="Q50" s="5"/>
      <c r="R50" s="5"/>
      <c r="S50" s="5"/>
      <c r="T50" s="5"/>
      <c r="U50" s="86"/>
      <c r="V50" s="102"/>
      <c r="W50" s="1155"/>
      <c r="X50" s="1113"/>
      <c r="Y50" s="1146"/>
      <c r="Z50" s="1113"/>
      <c r="AA50" s="1113"/>
      <c r="AB50" s="1113"/>
      <c r="AC50" s="1113"/>
      <c r="AD50" s="1113"/>
      <c r="AE50" s="1113"/>
      <c r="AF50" s="1113"/>
      <c r="AG50" s="1113"/>
      <c r="AH50" s="1113"/>
      <c r="AI50" s="1161" t="b">
        <v>1</v>
      </c>
      <c r="AJ50" s="921" t="s">
        <v>13</v>
      </c>
      <c r="AK50" s="61" t="str">
        <f t="shared" si="19"/>
        <v>Slough</v>
      </c>
      <c r="AL50" s="647">
        <f t="shared" si="25"/>
        <v>197.49416011892123</v>
      </c>
      <c r="AM50" s="647">
        <f t="shared" si="25"/>
        <v>214.86892995272882</v>
      </c>
      <c r="AN50" s="647">
        <f t="shared" si="25"/>
        <v>194.63224749026838</v>
      </c>
      <c r="AO50" s="647">
        <f t="shared" si="25"/>
        <v>196.93200663349918</v>
      </c>
      <c r="AP50" s="647">
        <f t="shared" si="25"/>
        <v>234.01587964897618</v>
      </c>
      <c r="AQ50" s="648">
        <f>VLOOKUP($AJ50,IDACI!$B$9:$C$29,2,FALSE)</f>
        <v>14.7</v>
      </c>
      <c r="AR50" s="649">
        <f t="shared" si="26"/>
        <v>0.90322580645161288</v>
      </c>
      <c r="AS50" s="649">
        <f t="shared" si="26"/>
        <v>0.79</v>
      </c>
      <c r="AT50" s="649">
        <f t="shared" si="26"/>
        <v>0.77894736842105261</v>
      </c>
      <c r="AU50" s="649">
        <f t="shared" si="26"/>
        <v>0.78947368421052633</v>
      </c>
      <c r="AV50" s="649">
        <f t="shared" si="26"/>
        <v>0.75</v>
      </c>
      <c r="AW50" s="649">
        <f t="shared" si="27"/>
        <v>0.79569892473118276</v>
      </c>
      <c r="AX50" s="649">
        <f t="shared" si="27"/>
        <v>0.8</v>
      </c>
      <c r="AY50" s="649">
        <f t="shared" si="27"/>
        <v>0.77894736842105261</v>
      </c>
      <c r="AZ50" s="649">
        <f t="shared" si="27"/>
        <v>0.85263157894736841</v>
      </c>
      <c r="BA50" s="649">
        <f t="shared" si="27"/>
        <v>0.8839285714285714</v>
      </c>
      <c r="BB50" s="649">
        <f t="shared" si="28"/>
        <v>0.63440860215053763</v>
      </c>
      <c r="BC50" s="649">
        <f t="shared" si="28"/>
        <v>0.49</v>
      </c>
      <c r="BD50" s="649">
        <f t="shared" si="28"/>
        <v>0.51578947368421058</v>
      </c>
      <c r="BE50" s="649">
        <f t="shared" si="28"/>
        <v>0.49473684210526314</v>
      </c>
      <c r="BF50" s="649">
        <f t="shared" si="28"/>
        <v>0.4375</v>
      </c>
      <c r="BG50" s="649">
        <f t="shared" si="29"/>
        <v>0.4</v>
      </c>
      <c r="BH50" s="649">
        <f t="shared" si="29"/>
        <v>0.47368421052631576</v>
      </c>
      <c r="BI50" s="649" t="e">
        <f t="shared" si="29"/>
        <v>#N/A</v>
      </c>
      <c r="BJ50" s="649">
        <f t="shared" si="29"/>
        <v>0.4</v>
      </c>
      <c r="BK50" s="649">
        <f t="shared" si="29"/>
        <v>0.25</v>
      </c>
    </row>
    <row r="51" spans="1:63" ht="14.25" customHeight="1">
      <c r="A51" s="87"/>
      <c r="B51" s="48"/>
      <c r="C51" s="48"/>
      <c r="D51" s="40"/>
      <c r="E51" s="40"/>
      <c r="F51" s="40"/>
      <c r="G51" s="40"/>
      <c r="H51" s="40"/>
      <c r="I51" s="40"/>
      <c r="J51" s="40"/>
      <c r="K51" s="1"/>
      <c r="L51" s="5"/>
      <c r="M51" s="5"/>
      <c r="N51" s="5"/>
      <c r="O51" s="5"/>
      <c r="P51" s="5"/>
      <c r="Q51" s="5"/>
      <c r="R51" s="5"/>
      <c r="S51" s="5"/>
      <c r="T51" s="5"/>
      <c r="U51" s="86"/>
      <c r="V51" s="102"/>
      <c r="W51" s="1155"/>
      <c r="X51" s="1113"/>
      <c r="Y51" s="1146"/>
      <c r="Z51" s="1113"/>
      <c r="AA51" s="1113"/>
      <c r="AB51" s="1113"/>
      <c r="AC51" s="1113"/>
      <c r="AD51" s="1113"/>
      <c r="AE51" s="1113"/>
      <c r="AF51" s="1113"/>
      <c r="AG51" s="1113"/>
      <c r="AH51" s="1113"/>
      <c r="AI51" s="1161" t="b">
        <v>1</v>
      </c>
      <c r="AJ51" s="921" t="s">
        <v>14</v>
      </c>
      <c r="AK51" s="61" t="str">
        <f t="shared" si="19"/>
        <v>Southampton</v>
      </c>
      <c r="AL51" s="647">
        <f t="shared" si="25"/>
        <v>67.550146960243396</v>
      </c>
      <c r="AM51" s="647">
        <f t="shared" si="25"/>
        <v>78.492067879055895</v>
      </c>
      <c r="AN51" s="647">
        <f t="shared" si="25"/>
        <v>86.775631500742946</v>
      </c>
      <c r="AO51" s="647">
        <f t="shared" si="25"/>
        <v>88.783500606595354</v>
      </c>
      <c r="AP51" s="647">
        <f t="shared" si="25"/>
        <v>102.29633970909478</v>
      </c>
      <c r="AQ51" s="648">
        <f>VLOOKUP($AJ51,IDACI!$B$9:$C$29,2,FALSE)</f>
        <v>20.5</v>
      </c>
      <c r="AR51" s="649">
        <f t="shared" si="26"/>
        <v>0.90839694656488545</v>
      </c>
      <c r="AS51" s="649">
        <f t="shared" si="26"/>
        <v>0.89436619718309862</v>
      </c>
      <c r="AT51" s="649">
        <f t="shared" si="26"/>
        <v>0.88356164383561642</v>
      </c>
      <c r="AU51" s="649">
        <f t="shared" si="26"/>
        <v>0.86956521739130432</v>
      </c>
      <c r="AV51" s="649">
        <f t="shared" si="26"/>
        <v>0.86458333333333337</v>
      </c>
      <c r="AW51" s="649">
        <f t="shared" si="27"/>
        <v>0.79389312977099236</v>
      </c>
      <c r="AX51" s="649">
        <f t="shared" si="27"/>
        <v>0.80281690140845074</v>
      </c>
      <c r="AY51" s="649">
        <f t="shared" si="27"/>
        <v>0.84246575342465757</v>
      </c>
      <c r="AZ51" s="649">
        <f t="shared" si="27"/>
        <v>0.80124223602484468</v>
      </c>
      <c r="BA51" s="649">
        <f t="shared" si="27"/>
        <v>0.78645833333333337</v>
      </c>
      <c r="BB51" s="649">
        <f t="shared" si="28"/>
        <v>0.42748091603053434</v>
      </c>
      <c r="BC51" s="649">
        <f t="shared" si="28"/>
        <v>0.35915492957746481</v>
      </c>
      <c r="BD51" s="649">
        <f t="shared" si="28"/>
        <v>0.43835616438356162</v>
      </c>
      <c r="BE51" s="649">
        <f t="shared" si="28"/>
        <v>0.453416149068323</v>
      </c>
      <c r="BF51" s="649">
        <f t="shared" si="28"/>
        <v>0.44270833333333331</v>
      </c>
      <c r="BG51" s="649">
        <f t="shared" si="29"/>
        <v>0.23529411764705882</v>
      </c>
      <c r="BH51" s="649">
        <f t="shared" si="29"/>
        <v>0.27027027027027029</v>
      </c>
      <c r="BI51" s="649">
        <f t="shared" si="29"/>
        <v>0.37209302325581395</v>
      </c>
      <c r="BJ51" s="649">
        <f t="shared" si="29"/>
        <v>0.47272727272727272</v>
      </c>
      <c r="BK51" s="649">
        <f t="shared" si="29"/>
        <v>0.40909090909090912</v>
      </c>
    </row>
    <row r="52" spans="1:63" ht="14.25" customHeight="1">
      <c r="A52" s="87"/>
      <c r="B52" s="48"/>
      <c r="C52" s="48"/>
      <c r="D52" s="40"/>
      <c r="E52" s="40"/>
      <c r="F52" s="40"/>
      <c r="G52" s="40"/>
      <c r="H52" s="40"/>
      <c r="I52" s="40"/>
      <c r="J52" s="40"/>
      <c r="K52" s="1"/>
      <c r="L52" s="5"/>
      <c r="M52" s="5"/>
      <c r="N52" s="5"/>
      <c r="O52" s="5"/>
      <c r="P52" s="5"/>
      <c r="Q52" s="5"/>
      <c r="R52" s="5"/>
      <c r="S52" s="5"/>
      <c r="T52" s="5"/>
      <c r="U52" s="86"/>
      <c r="V52" s="102"/>
      <c r="W52" s="1155"/>
      <c r="X52" s="1113"/>
      <c r="Y52" s="1146"/>
      <c r="Z52" s="1113"/>
      <c r="AA52" s="1113"/>
      <c r="AB52" s="1113"/>
      <c r="AC52" s="1113"/>
      <c r="AD52" s="1113"/>
      <c r="AE52" s="1113"/>
      <c r="AF52" s="1113"/>
      <c r="AG52" s="1113"/>
      <c r="AH52" s="1113"/>
      <c r="AI52" s="1161" t="b">
        <v>1</v>
      </c>
      <c r="AJ52" s="921" t="s">
        <v>7</v>
      </c>
      <c r="AK52" s="61" t="str">
        <f t="shared" si="19"/>
        <v>Surrey</v>
      </c>
      <c r="AL52" s="647">
        <f t="shared" si="25"/>
        <v>136.62582068525558</v>
      </c>
      <c r="AM52" s="647">
        <f t="shared" si="25"/>
        <v>141.09908762995968</v>
      </c>
      <c r="AN52" s="647">
        <f t="shared" si="25"/>
        <v>145.3706683832207</v>
      </c>
      <c r="AO52" s="647">
        <f t="shared" si="25"/>
        <v>155.16526068316969</v>
      </c>
      <c r="AP52" s="647">
        <f t="shared" si="25"/>
        <v>168.91338754570759</v>
      </c>
      <c r="AQ52" s="648">
        <f>VLOOKUP($AJ52,IDACI!$B$9:$C$29,2,FALSE)</f>
        <v>8.3000000000000007</v>
      </c>
      <c r="AR52" s="649">
        <f t="shared" si="26"/>
        <v>0.8132295719844358</v>
      </c>
      <c r="AS52" s="649">
        <f t="shared" si="26"/>
        <v>0.85902255639097747</v>
      </c>
      <c r="AT52" s="649">
        <f t="shared" si="26"/>
        <v>0.91697416974169743</v>
      </c>
      <c r="AU52" s="649">
        <f t="shared" si="26"/>
        <v>0.946524064171123</v>
      </c>
      <c r="AV52" s="649">
        <f t="shared" si="26"/>
        <v>0.93376413570274641</v>
      </c>
      <c r="AW52" s="649">
        <f t="shared" si="27"/>
        <v>0.78210116731517509</v>
      </c>
      <c r="AX52" s="649">
        <f t="shared" si="27"/>
        <v>0.85902255639097747</v>
      </c>
      <c r="AY52" s="649">
        <f t="shared" si="27"/>
        <v>0.86900369003690037</v>
      </c>
      <c r="AZ52" s="649">
        <f t="shared" si="27"/>
        <v>0.90374331550802134</v>
      </c>
      <c r="BA52" s="649">
        <f t="shared" si="27"/>
        <v>0.88206785137318255</v>
      </c>
      <c r="BB52" s="649">
        <f t="shared" si="28"/>
        <v>0.53307392996108949</v>
      </c>
      <c r="BC52" s="649">
        <f t="shared" si="28"/>
        <v>0.52255639097744366</v>
      </c>
      <c r="BD52" s="649">
        <f t="shared" si="28"/>
        <v>0.60147601476014756</v>
      </c>
      <c r="BE52" s="649">
        <f t="shared" si="28"/>
        <v>0.5757575757575758</v>
      </c>
      <c r="BF52" s="649">
        <f t="shared" si="28"/>
        <v>0.55411954765751215</v>
      </c>
      <c r="BG52" s="649">
        <f t="shared" si="29"/>
        <v>0.17857142857142858</v>
      </c>
      <c r="BH52" s="649">
        <f t="shared" si="29"/>
        <v>0.17796610169491525</v>
      </c>
      <c r="BI52" s="649">
        <f t="shared" si="29"/>
        <v>0.17592592592592593</v>
      </c>
      <c r="BJ52" s="649">
        <f t="shared" si="29"/>
        <v>0.25</v>
      </c>
      <c r="BK52" s="649">
        <f t="shared" si="29"/>
        <v>0.31578947368421051</v>
      </c>
    </row>
    <row r="53" spans="1:63" ht="14.25" customHeight="1">
      <c r="A53" s="87"/>
      <c r="B53" s="48"/>
      <c r="C53" s="48"/>
      <c r="D53" s="40"/>
      <c r="E53" s="40"/>
      <c r="F53" s="40"/>
      <c r="G53" s="40"/>
      <c r="H53" s="40"/>
      <c r="I53" s="40"/>
      <c r="J53" s="40"/>
      <c r="K53" s="1"/>
      <c r="L53" s="5"/>
      <c r="M53" s="5"/>
      <c r="N53" s="5"/>
      <c r="O53" s="5"/>
      <c r="P53" s="5"/>
      <c r="Q53" s="5"/>
      <c r="R53" s="5"/>
      <c r="S53" s="5"/>
      <c r="T53" s="5"/>
      <c r="U53" s="86"/>
      <c r="V53" s="102"/>
      <c r="W53" s="1155"/>
      <c r="X53" s="1113"/>
      <c r="Y53" s="1146"/>
      <c r="Z53" s="1113"/>
      <c r="AA53" s="1113"/>
      <c r="AB53" s="1113"/>
      <c r="AC53" s="1113"/>
      <c r="AD53" s="1113"/>
      <c r="AE53" s="1113"/>
      <c r="AF53" s="1113"/>
      <c r="AG53" s="1113"/>
      <c r="AH53" s="1113"/>
      <c r="AI53" s="1161" t="b">
        <v>1</v>
      </c>
      <c r="AJ53" s="921" t="s">
        <v>15</v>
      </c>
      <c r="AK53" s="61" t="str">
        <f t="shared" si="19"/>
        <v>West Berkshire</v>
      </c>
      <c r="AL53" s="647">
        <f t="shared" si="25"/>
        <v>205.60267283474684</v>
      </c>
      <c r="AM53" s="647">
        <f t="shared" si="25"/>
        <v>215.08162736460224</v>
      </c>
      <c r="AN53" s="647">
        <f t="shared" si="25"/>
        <v>243.09109518935517</v>
      </c>
      <c r="AO53" s="647">
        <f t="shared" si="25"/>
        <v>295.70656809781065</v>
      </c>
      <c r="AP53" s="647">
        <f t="shared" si="25"/>
        <v>309.02004454342983</v>
      </c>
      <c r="AQ53" s="648">
        <f>VLOOKUP($AJ53,IDACI!$B$9:$C$29,2,FALSE)</f>
        <v>8.6999999999999993</v>
      </c>
      <c r="AR53" s="649">
        <f t="shared" si="26"/>
        <v>0.875</v>
      </c>
      <c r="AS53" s="649">
        <f t="shared" si="26"/>
        <v>0.90361445783132532</v>
      </c>
      <c r="AT53" s="649">
        <f t="shared" si="26"/>
        <v>0.91578947368421049</v>
      </c>
      <c r="AU53" s="649">
        <f t="shared" si="26"/>
        <v>0.92307692307692313</v>
      </c>
      <c r="AV53" s="649">
        <f t="shared" si="26"/>
        <v>0.87387387387387383</v>
      </c>
      <c r="AW53" s="649">
        <f t="shared" si="27"/>
        <v>0.96250000000000002</v>
      </c>
      <c r="AX53" s="649">
        <f t="shared" si="27"/>
        <v>0.92771084337349397</v>
      </c>
      <c r="AY53" s="649">
        <f t="shared" si="27"/>
        <v>0.9263157894736842</v>
      </c>
      <c r="AZ53" s="649">
        <f t="shared" si="27"/>
        <v>0.93269230769230771</v>
      </c>
      <c r="BA53" s="649">
        <f t="shared" si="27"/>
        <v>0.87387387387387383</v>
      </c>
      <c r="BB53" s="649">
        <f t="shared" si="28"/>
        <v>0.7</v>
      </c>
      <c r="BC53" s="649">
        <f t="shared" si="28"/>
        <v>0.71084337349397586</v>
      </c>
      <c r="BD53" s="649">
        <f t="shared" si="28"/>
        <v>0.73684210526315785</v>
      </c>
      <c r="BE53" s="649">
        <f t="shared" si="28"/>
        <v>0.64423076923076927</v>
      </c>
      <c r="BF53" s="649">
        <f t="shared" si="28"/>
        <v>0.65765765765765771</v>
      </c>
      <c r="BG53" s="649" t="e">
        <f t="shared" si="29"/>
        <v>#N/A</v>
      </c>
      <c r="BH53" s="649">
        <f t="shared" si="29"/>
        <v>0.52941176470588236</v>
      </c>
      <c r="BI53" s="649">
        <f t="shared" si="29"/>
        <v>0.58333333333333337</v>
      </c>
      <c r="BJ53" s="649">
        <f t="shared" si="29"/>
        <v>0.41666666666666669</v>
      </c>
      <c r="BK53" s="649">
        <f t="shared" si="29"/>
        <v>0.47826086956521741</v>
      </c>
    </row>
    <row r="54" spans="1:63" ht="14.25" customHeight="1">
      <c r="A54" s="208"/>
      <c r="B54" s="48"/>
      <c r="C54" s="48"/>
      <c r="D54" s="40"/>
      <c r="E54" s="40"/>
      <c r="F54" s="40"/>
      <c r="G54" s="40"/>
      <c r="H54" s="40"/>
      <c r="I54" s="40"/>
      <c r="J54" s="40"/>
      <c r="K54" s="1"/>
      <c r="L54" s="5"/>
      <c r="M54" s="5"/>
      <c r="N54" s="5"/>
      <c r="O54" s="5"/>
      <c r="P54" s="5"/>
      <c r="Q54" s="5"/>
      <c r="R54" s="5"/>
      <c r="S54" s="5"/>
      <c r="T54" s="5"/>
      <c r="U54" s="86"/>
      <c r="V54" s="102"/>
      <c r="W54" s="1155"/>
      <c r="X54" s="1113"/>
      <c r="Y54" s="1146"/>
      <c r="Z54" s="1113"/>
      <c r="AA54" s="1113"/>
      <c r="AB54" s="1113"/>
      <c r="AC54" s="1113"/>
      <c r="AD54" s="1113"/>
      <c r="AE54" s="1113"/>
      <c r="AF54" s="1113"/>
      <c r="AG54" s="1113"/>
      <c r="AH54" s="1113"/>
      <c r="AI54" s="1161" t="b">
        <v>1</v>
      </c>
      <c r="AJ54" s="921" t="s">
        <v>5</v>
      </c>
      <c r="AK54" s="61" t="str">
        <f t="shared" si="19"/>
        <v>West Sussex</v>
      </c>
      <c r="AL54" s="647">
        <f t="shared" si="25"/>
        <v>160.05899193198576</v>
      </c>
      <c r="AM54" s="647">
        <f t="shared" si="25"/>
        <v>169.27485122327528</v>
      </c>
      <c r="AN54" s="647">
        <f t="shared" si="25"/>
        <v>168.8283139151462</v>
      </c>
      <c r="AO54" s="647">
        <f t="shared" si="25"/>
        <v>204.06274582388599</v>
      </c>
      <c r="AP54" s="647">
        <f t="shared" si="25"/>
        <v>221.90506882740206</v>
      </c>
      <c r="AQ54" s="648">
        <f>VLOOKUP($AJ54,IDACI!$B$9:$C$29,2,FALSE)</f>
        <v>11</v>
      </c>
      <c r="AR54" s="649">
        <f t="shared" si="26"/>
        <v>0.90243902439024393</v>
      </c>
      <c r="AS54" s="649">
        <f t="shared" si="26"/>
        <v>0.87239583333333337</v>
      </c>
      <c r="AT54" s="649">
        <f t="shared" si="26"/>
        <v>0.9375</v>
      </c>
      <c r="AU54" s="649">
        <f t="shared" si="26"/>
        <v>0.94331065759637189</v>
      </c>
      <c r="AV54" s="649">
        <f t="shared" si="26"/>
        <v>0.95643153526970959</v>
      </c>
      <c r="AW54" s="649">
        <f t="shared" si="27"/>
        <v>0.86178861788617889</v>
      </c>
      <c r="AX54" s="649">
        <f t="shared" si="27"/>
        <v>0.91666666666666663</v>
      </c>
      <c r="AY54" s="649">
        <f t="shared" si="27"/>
        <v>0.9296875</v>
      </c>
      <c r="AZ54" s="649">
        <f t="shared" si="27"/>
        <v>0.90929705215419498</v>
      </c>
      <c r="BA54" s="649">
        <f t="shared" si="27"/>
        <v>0.88796680497925307</v>
      </c>
      <c r="BB54" s="649">
        <f t="shared" si="28"/>
        <v>0.5934959349593496</v>
      </c>
      <c r="BC54" s="649">
        <f t="shared" si="28"/>
        <v>0.5390625</v>
      </c>
      <c r="BD54" s="649">
        <f t="shared" si="28"/>
        <v>0.56770833333333337</v>
      </c>
      <c r="BE54" s="649">
        <f t="shared" si="28"/>
        <v>0.60317460317460314</v>
      </c>
      <c r="BF54" s="649">
        <f t="shared" si="28"/>
        <v>0.56639004149377592</v>
      </c>
      <c r="BG54" s="649">
        <f t="shared" si="29"/>
        <v>0.49382716049382713</v>
      </c>
      <c r="BH54" s="649">
        <f t="shared" si="29"/>
        <v>0.52380952380952384</v>
      </c>
      <c r="BI54" s="649">
        <f t="shared" si="29"/>
        <v>0.39473684210526316</v>
      </c>
      <c r="BJ54" s="649">
        <f t="shared" si="29"/>
        <v>0.38461538461538464</v>
      </c>
      <c r="BK54" s="649">
        <f t="shared" si="29"/>
        <v>0.39325842696629215</v>
      </c>
    </row>
    <row r="55" spans="1:63" ht="14.25" customHeight="1">
      <c r="A55" s="208"/>
      <c r="B55" s="48"/>
      <c r="C55" s="48"/>
      <c r="D55" s="40"/>
      <c r="E55" s="40"/>
      <c r="F55" s="40"/>
      <c r="G55" s="40"/>
      <c r="H55" s="40"/>
      <c r="I55" s="40"/>
      <c r="J55" s="40"/>
      <c r="K55" s="1"/>
      <c r="L55" s="5"/>
      <c r="M55" s="5"/>
      <c r="N55" s="5"/>
      <c r="O55" s="5"/>
      <c r="P55" s="5"/>
      <c r="Q55" s="5"/>
      <c r="R55" s="5"/>
      <c r="S55" s="5"/>
      <c r="T55" s="5"/>
      <c r="U55" s="86"/>
      <c r="V55" s="102"/>
      <c r="W55" s="1155"/>
      <c r="X55" s="1113"/>
      <c r="Y55" s="1146"/>
      <c r="Z55" s="1113"/>
      <c r="AA55" s="1113"/>
      <c r="AB55" s="1113"/>
      <c r="AC55" s="1113"/>
      <c r="AD55" s="1113"/>
      <c r="AE55" s="1113"/>
      <c r="AF55" s="1113"/>
      <c r="AG55" s="1113"/>
      <c r="AH55" s="1113"/>
      <c r="AI55" s="1161" t="b">
        <v>1</v>
      </c>
      <c r="AJ55" s="921" t="s">
        <v>27</v>
      </c>
      <c r="AK55" s="61" t="str">
        <f t="shared" si="19"/>
        <v>Windsor &amp; Maidenhead</v>
      </c>
      <c r="AL55" s="647">
        <f t="shared" si="25"/>
        <v>162.7906976744186</v>
      </c>
      <c r="AM55" s="647">
        <f t="shared" si="25"/>
        <v>175.43859649122805</v>
      </c>
      <c r="AN55" s="647">
        <f t="shared" si="25"/>
        <v>201.44317498496693</v>
      </c>
      <c r="AO55" s="647">
        <f t="shared" si="25"/>
        <v>188.09744064138141</v>
      </c>
      <c r="AP55" s="647">
        <f t="shared" si="25"/>
        <v>212.63091082196129</v>
      </c>
      <c r="AQ55" s="648">
        <f>VLOOKUP($AJ55,IDACI!$B$9:$C$29,2,FALSE)</f>
        <v>6.7</v>
      </c>
      <c r="AR55" s="649">
        <f t="shared" si="26"/>
        <v>0.8928571428571429</v>
      </c>
      <c r="AS55" s="649">
        <f t="shared" si="26"/>
        <v>1</v>
      </c>
      <c r="AT55" s="649">
        <f t="shared" si="26"/>
        <v>0.95522388059701491</v>
      </c>
      <c r="AU55" s="649">
        <f t="shared" si="26"/>
        <v>0.93442622950819676</v>
      </c>
      <c r="AV55" s="649">
        <f t="shared" si="26"/>
        <v>0.97014925373134331</v>
      </c>
      <c r="AW55" s="649">
        <f t="shared" si="27"/>
        <v>0.8035714285714286</v>
      </c>
      <c r="AX55" s="649">
        <f t="shared" si="27"/>
        <v>0.9</v>
      </c>
      <c r="AY55" s="649">
        <f t="shared" si="27"/>
        <v>0.92537313432835822</v>
      </c>
      <c r="AZ55" s="649">
        <f t="shared" si="27"/>
        <v>0.93442622950819676</v>
      </c>
      <c r="BA55" s="649">
        <f t="shared" si="27"/>
        <v>0.89552238805970152</v>
      </c>
      <c r="BB55" s="649">
        <f t="shared" si="28"/>
        <v>0.44642857142857145</v>
      </c>
      <c r="BC55" s="649">
        <f t="shared" si="28"/>
        <v>0.58333333333333337</v>
      </c>
      <c r="BD55" s="649">
        <f t="shared" si="28"/>
        <v>0.68656716417910446</v>
      </c>
      <c r="BE55" s="649">
        <f t="shared" si="28"/>
        <v>0.67213114754098358</v>
      </c>
      <c r="BF55" s="649">
        <f t="shared" si="28"/>
        <v>0.59701492537313428</v>
      </c>
      <c r="BG55" s="649" t="e">
        <f t="shared" si="29"/>
        <v>#N/A</v>
      </c>
      <c r="BH55" s="649" t="e">
        <f t="shared" si="29"/>
        <v>#N/A</v>
      </c>
      <c r="BI55" s="649">
        <f t="shared" si="29"/>
        <v>0.33333333333333331</v>
      </c>
      <c r="BJ55" s="649">
        <f t="shared" si="29"/>
        <v>0.31578947368421051</v>
      </c>
      <c r="BK55" s="649" t="e">
        <f t="shared" si="29"/>
        <v>#N/A</v>
      </c>
    </row>
    <row r="56" spans="1:63" ht="14.25" customHeight="1">
      <c r="A56" s="87"/>
      <c r="B56" s="48"/>
      <c r="C56" s="48"/>
      <c r="D56" s="40"/>
      <c r="E56" s="40"/>
      <c r="F56" s="40"/>
      <c r="G56" s="40"/>
      <c r="H56" s="40"/>
      <c r="I56" s="40"/>
      <c r="J56" s="40"/>
      <c r="K56" s="1"/>
      <c r="L56" s="5"/>
      <c r="M56" s="5"/>
      <c r="N56" s="5"/>
      <c r="O56" s="5"/>
      <c r="P56" s="5"/>
      <c r="Q56" s="5"/>
      <c r="R56" s="5"/>
      <c r="S56" s="5"/>
      <c r="T56" s="5"/>
      <c r="U56" s="86"/>
      <c r="V56" s="102"/>
      <c r="W56" s="1155"/>
      <c r="X56" s="1113"/>
      <c r="Y56" s="1146"/>
      <c r="Z56" s="1113"/>
      <c r="AA56" s="1113"/>
      <c r="AB56" s="1113"/>
      <c r="AC56" s="1113"/>
      <c r="AD56" s="1113"/>
      <c r="AE56" s="1113"/>
      <c r="AF56" s="1113"/>
      <c r="AG56" s="1113"/>
      <c r="AH56" s="1113"/>
      <c r="AI56" s="1161" t="b">
        <v>1</v>
      </c>
      <c r="AJ56" s="921" t="s">
        <v>16</v>
      </c>
      <c r="AK56" s="61" t="str">
        <f t="shared" si="19"/>
        <v>Wokingham</v>
      </c>
      <c r="AL56" s="647">
        <f t="shared" si="25"/>
        <v>115.07220216606498</v>
      </c>
      <c r="AM56" s="647">
        <f t="shared" si="25"/>
        <v>133.84754990925589</v>
      </c>
      <c r="AN56" s="647">
        <f t="shared" si="25"/>
        <v>132.32104121475055</v>
      </c>
      <c r="AO56" s="647">
        <f t="shared" si="25"/>
        <v>129.11555842479018</v>
      </c>
      <c r="AP56" s="647">
        <f t="shared" si="25"/>
        <v>154.80498592681946</v>
      </c>
      <c r="AQ56" s="648">
        <f>VLOOKUP($AJ56,IDACI!$B$9:$C$29,2,FALSE)</f>
        <v>5.6000000000000005</v>
      </c>
      <c r="AR56" s="649">
        <f t="shared" si="26"/>
        <v>0.98039215686274506</v>
      </c>
      <c r="AS56" s="649">
        <f t="shared" si="26"/>
        <v>0.86440677966101698</v>
      </c>
      <c r="AT56" s="649">
        <f t="shared" si="26"/>
        <v>0.83606557377049184</v>
      </c>
      <c r="AU56" s="649">
        <f t="shared" si="26"/>
        <v>0.91666666666666663</v>
      </c>
      <c r="AV56" s="649">
        <f t="shared" si="26"/>
        <v>0.96103896103896103</v>
      </c>
      <c r="AW56" s="649">
        <f t="shared" si="27"/>
        <v>0.94117647058823528</v>
      </c>
      <c r="AX56" s="649">
        <f t="shared" si="27"/>
        <v>0.79661016949152541</v>
      </c>
      <c r="AY56" s="649">
        <f t="shared" si="27"/>
        <v>0.77049180327868849</v>
      </c>
      <c r="AZ56" s="649">
        <f t="shared" si="27"/>
        <v>0.95</v>
      </c>
      <c r="BA56" s="649">
        <f t="shared" si="27"/>
        <v>0.93506493506493504</v>
      </c>
      <c r="BB56" s="649">
        <f t="shared" si="28"/>
        <v>0.56862745098039214</v>
      </c>
      <c r="BC56" s="649">
        <f t="shared" si="28"/>
        <v>0.57627118644067798</v>
      </c>
      <c r="BD56" s="649">
        <f t="shared" si="28"/>
        <v>0.55737704918032782</v>
      </c>
      <c r="BE56" s="649">
        <f t="shared" si="28"/>
        <v>0.56666666666666665</v>
      </c>
      <c r="BF56" s="649">
        <f t="shared" si="28"/>
        <v>0.53246753246753242</v>
      </c>
      <c r="BG56" s="649">
        <f t="shared" si="29"/>
        <v>0.4</v>
      </c>
      <c r="BH56" s="649">
        <f t="shared" si="29"/>
        <v>0.58823529411764708</v>
      </c>
      <c r="BI56" s="649">
        <f t="shared" si="29"/>
        <v>0.47058823529411764</v>
      </c>
      <c r="BJ56" s="649" t="e">
        <f t="shared" si="29"/>
        <v>#N/A</v>
      </c>
      <c r="BK56" s="649" t="e">
        <f t="shared" si="29"/>
        <v>#N/A</v>
      </c>
    </row>
    <row r="57" spans="1:63" ht="14.25" customHeight="1">
      <c r="A57" s="87"/>
      <c r="B57" s="48"/>
      <c r="C57" s="48"/>
      <c r="D57" s="40"/>
      <c r="E57" s="40"/>
      <c r="F57" s="40"/>
      <c r="G57" s="40"/>
      <c r="H57" s="40"/>
      <c r="I57" s="40"/>
      <c r="J57" s="40"/>
      <c r="K57" s="1"/>
      <c r="L57" s="5"/>
      <c r="M57" s="5"/>
      <c r="N57" s="5"/>
      <c r="O57" s="5"/>
      <c r="P57" s="5"/>
      <c r="Q57" s="5"/>
      <c r="R57" s="5"/>
      <c r="S57" s="5"/>
      <c r="T57" s="5"/>
      <c r="U57" s="86"/>
      <c r="V57" s="102"/>
      <c r="W57" s="1155"/>
      <c r="X57" s="1113"/>
      <c r="Y57" s="1146"/>
      <c r="Z57" s="1113"/>
      <c r="AA57" s="1113"/>
      <c r="AB57" s="1113"/>
      <c r="AC57" s="1113"/>
      <c r="AD57" s="1113"/>
      <c r="AE57" s="1113"/>
      <c r="AF57" s="1113"/>
      <c r="AG57" s="1113"/>
      <c r="AH57" s="1113"/>
      <c r="AI57" s="1161" t="b">
        <v>1</v>
      </c>
      <c r="AJ57" s="921" t="s">
        <v>71</v>
      </c>
      <c r="AK57" s="61" t="str">
        <f t="shared" si="19"/>
        <v>South East</v>
      </c>
      <c r="AL57" s="647">
        <f t="shared" si="25"/>
        <v>155.14569225525565</v>
      </c>
      <c r="AM57" s="647">
        <f t="shared" si="25"/>
        <v>158.87387520380014</v>
      </c>
      <c r="AN57" s="647">
        <f t="shared" si="25"/>
        <v>167.5726896414144</v>
      </c>
      <c r="AO57" s="647">
        <f t="shared" si="25"/>
        <v>178.91624019336459</v>
      </c>
      <c r="AP57" s="647">
        <f t="shared" si="25"/>
        <v>187.01190564124605</v>
      </c>
      <c r="AQ57" s="648">
        <f>VLOOKUP($AJ57,IDACI!$B$9:$C$29,2,FALSE)</f>
        <v>12.371268250968637</v>
      </c>
      <c r="AR57" s="649">
        <f t="shared" si="26"/>
        <v>0.85886010362694298</v>
      </c>
      <c r="AS57" s="649">
        <f t="shared" si="26"/>
        <v>0.87652281643609331</v>
      </c>
      <c r="AT57" s="649">
        <f t="shared" si="26"/>
        <v>0.9</v>
      </c>
      <c r="AU57" s="649">
        <f t="shared" si="26"/>
        <v>0.89966050546963405</v>
      </c>
      <c r="AV57" s="649">
        <f t="shared" si="26"/>
        <v>0.84995507637017076</v>
      </c>
      <c r="AW57" s="649">
        <f t="shared" si="27"/>
        <v>0.78963730569948187</v>
      </c>
      <c r="AX57" s="649">
        <f t="shared" si="27"/>
        <v>0.83956225480074331</v>
      </c>
      <c r="AY57" s="649">
        <f t="shared" si="27"/>
        <v>0.85119047619047616</v>
      </c>
      <c r="AZ57" s="649">
        <f t="shared" si="27"/>
        <v>0.85628064881176913</v>
      </c>
      <c r="BA57" s="649">
        <f t="shared" si="27"/>
        <v>0.80143755615453727</v>
      </c>
      <c r="BB57" s="649">
        <f t="shared" si="28"/>
        <v>0.53264248704663208</v>
      </c>
      <c r="BC57" s="649">
        <f t="shared" si="28"/>
        <v>0.51063390460458391</v>
      </c>
      <c r="BD57" s="649">
        <f t="shared" si="28"/>
        <v>0.56686507936507935</v>
      </c>
      <c r="BE57" s="649">
        <f t="shared" si="28"/>
        <v>0.56603773584905659</v>
      </c>
      <c r="BF57" s="649">
        <f t="shared" si="28"/>
        <v>0.51166965888689409</v>
      </c>
      <c r="BG57" s="649">
        <f t="shared" si="29"/>
        <v>0.23148148148148148</v>
      </c>
      <c r="BH57" s="649">
        <f t="shared" si="29"/>
        <v>0.24029574861367836</v>
      </c>
      <c r="BI57" s="649">
        <f t="shared" si="29"/>
        <v>0.27645376549094375</v>
      </c>
      <c r="BJ57" s="649">
        <f t="shared" si="29"/>
        <v>0.28999999999999998</v>
      </c>
      <c r="BK57" s="649">
        <f t="shared" si="29"/>
        <v>0.25714285714285712</v>
      </c>
    </row>
    <row r="58" spans="1:63" s="56" customFormat="1" ht="14.25" customHeight="1">
      <c r="A58" s="87"/>
      <c r="B58" s="48"/>
      <c r="C58" s="48"/>
      <c r="D58" s="40"/>
      <c r="E58" s="40"/>
      <c r="F58" s="40"/>
      <c r="G58" s="40"/>
      <c r="H58" s="40"/>
      <c r="I58" s="40"/>
      <c r="J58" s="40"/>
      <c r="K58" s="1"/>
      <c r="L58" s="5"/>
      <c r="M58" s="5"/>
      <c r="N58" s="5"/>
      <c r="O58" s="5"/>
      <c r="P58" s="5"/>
      <c r="Q58" s="5"/>
      <c r="R58" s="5"/>
      <c r="S58" s="5"/>
      <c r="T58" s="5"/>
      <c r="U58" s="86"/>
      <c r="V58" s="102"/>
      <c r="W58" s="1155"/>
      <c r="X58" s="1113"/>
      <c r="Y58" s="1146"/>
      <c r="Z58" s="1113"/>
      <c r="AA58" s="1113"/>
      <c r="AB58" s="1113"/>
      <c r="AC58" s="1113"/>
      <c r="AD58" s="1113"/>
      <c r="AE58" s="1113"/>
      <c r="AF58" s="1113"/>
      <c r="AG58" s="1113"/>
      <c r="AH58" s="1113"/>
      <c r="AI58" s="1161" t="b">
        <v>1</v>
      </c>
      <c r="AJ58" s="921" t="s">
        <v>109</v>
      </c>
      <c r="AK58" s="61" t="str">
        <f t="shared" si="19"/>
        <v>England</v>
      </c>
      <c r="AL58" s="647">
        <f>VLOOKUP($AK58,$B$11:$O$31,AL$34,FALSE)</f>
        <v>155.34270060750623</v>
      </c>
      <c r="AM58" s="647">
        <f>VLOOKUP($AK58,$B$11:$O$31,AM$34,FALSE)</f>
        <v>164.64348940459578</v>
      </c>
      <c r="AN58" s="647">
        <f>VLOOKUP($AK58,$B$11:$O$31,AN$34,FALSE)</f>
        <v>171.27958958167295</v>
      </c>
      <c r="AO58" s="647">
        <f>VLOOKUP($AK58,$B$11:$O$31,AO$34,FALSE)</f>
        <v>174.35795764183504</v>
      </c>
      <c r="AP58" s="647">
        <f>VLOOKUP($AK58,$B$11:$O$31,AP$34,FALSE)</f>
        <v>179.56476896773216</v>
      </c>
      <c r="AQ58" s="648">
        <f>Z30/Y30*100</f>
        <v>12.371268250968637</v>
      </c>
      <c r="AR58" s="649">
        <f>VLOOKUP($AK58,$B$109:$H$129,AR$34,FALSE)</f>
        <v>0.89763275751759442</v>
      </c>
      <c r="AS58" s="649">
        <f>VLOOKUP($AK58,$B$109:$H$129,AS$34,FALSE)</f>
        <v>0.9140413487570761</v>
      </c>
      <c r="AT58" s="649">
        <f>VLOOKUP($AK58,$B$109:$H$129,AT$34,FALSE)</f>
        <v>0.92110747246204228</v>
      </c>
      <c r="AU58" s="649">
        <f>VLOOKUP($AK58,$B$109:$H$129,AU$34,FALSE)</f>
        <v>0.92496392496392499</v>
      </c>
      <c r="AV58" s="649">
        <f>VLOOKUP($AK58,$B$109:$H$129,AV$34,FALSE)</f>
        <v>0.9188891943909816</v>
      </c>
      <c r="AW58" s="649">
        <f>VLOOKUP($AK58,$B$142:$H$162,AW$34,FALSE)</f>
        <v>0.84325015994881636</v>
      </c>
      <c r="AX58" s="649">
        <f>VLOOKUP($AK58,$B$142:$H$162,AX$34,FALSE)</f>
        <v>0.86973910903273444</v>
      </c>
      <c r="AY58" s="649">
        <f>VLOOKUP($AK58,$B$142:$H$162,AY$34,FALSE)</f>
        <v>0.87139029473057461</v>
      </c>
      <c r="AZ58" s="649">
        <f>VLOOKUP($AK58,$B$142:$H$162,AZ$34,FALSE)</f>
        <v>0.87503607503607506</v>
      </c>
      <c r="BA58" s="649">
        <f>VLOOKUP($AK58,$B$142:$H$162,BA$34,FALSE)</f>
        <v>0.86967280725872975</v>
      </c>
      <c r="BB58" s="649">
        <f>VLOOKUP($AK58,$B$175:$H$195,BB$34,FALSE)</f>
        <v>0.52591170825335898</v>
      </c>
      <c r="BC58" s="649">
        <f>VLOOKUP($AK58,$B$175:$H$195,BC$34,FALSE)</f>
        <v>0.51993600787595373</v>
      </c>
      <c r="BD58" s="649">
        <f>VLOOKUP($AK58,$B$175:$H$195,BD$34,FALSE)</f>
        <v>0.55403393867222384</v>
      </c>
      <c r="BE58" s="649">
        <f>VLOOKUP($AK58,$B$175:$H$195,BE$34,FALSE)</f>
        <v>0.55930735930735931</v>
      </c>
      <c r="BF58" s="649">
        <f>VLOOKUP($AK58,$B$175:$H$195,BF$34,FALSE)</f>
        <v>0.53753093208688485</v>
      </c>
      <c r="BG58" s="649">
        <f>VLOOKUP($AK58,$B$206:$H$228,BG$34,FALSE)</f>
        <v>0.28000000000000003</v>
      </c>
      <c r="BH58" s="649">
        <f>VLOOKUP($AK58,$B$206:$H$228,BH$34,FALSE)</f>
        <v>0.29796511627906974</v>
      </c>
      <c r="BI58" s="649">
        <f>VLOOKUP($AK58,$B$206:$H$228,BI$34,FALSE)</f>
        <v>0.3137535816618911</v>
      </c>
      <c r="BJ58" s="649">
        <f>VLOOKUP($AK58,$B$206:$H$228,BJ$34,FALSE)</f>
        <v>0.31983240223463688</v>
      </c>
      <c r="BK58" s="649">
        <f>VLOOKUP($AK58,$B$206:$H$228,BK$34,FALSE)</f>
        <v>0.32369146005509641</v>
      </c>
    </row>
    <row r="59" spans="1:63" s="56" customFormat="1" ht="14.25" customHeight="1">
      <c r="A59" s="87"/>
      <c r="B59" s="48"/>
      <c r="C59" s="48"/>
      <c r="D59" s="40"/>
      <c r="E59" s="40"/>
      <c r="F59" s="40"/>
      <c r="G59" s="40"/>
      <c r="H59" s="40"/>
      <c r="I59" s="40"/>
      <c r="J59" s="40"/>
      <c r="K59" s="1"/>
      <c r="L59" s="5"/>
      <c r="M59" s="5"/>
      <c r="N59" s="5"/>
      <c r="O59" s="5"/>
      <c r="P59" s="5"/>
      <c r="Q59" s="5"/>
      <c r="R59" s="5"/>
      <c r="S59" s="5"/>
      <c r="T59" s="5"/>
      <c r="U59" s="86"/>
      <c r="V59" s="102"/>
      <c r="W59" s="218"/>
      <c r="Y59" s="141"/>
      <c r="AJ59" s="121"/>
      <c r="AK59" s="52" t="str">
        <f>Z4</f>
        <v>Selected LA- (none)</v>
      </c>
      <c r="AL59" s="650" t="e">
        <f>VLOOKUP($Y4,$B$11:$O$30,AL$34,FALSE)</f>
        <v>#N/A</v>
      </c>
      <c r="AM59" s="650" t="e">
        <f>VLOOKUP($Y4,$B$11:$O$30,AM$34,FALSE)</f>
        <v>#N/A</v>
      </c>
      <c r="AN59" s="650" t="e">
        <f>VLOOKUP($Y4,$B$11:$O$30,AN$34,FALSE)</f>
        <v>#N/A</v>
      </c>
      <c r="AO59" s="650" t="e">
        <f>VLOOKUP($Y4,$B$11:$O$30,AO$34,FALSE)</f>
        <v>#N/A</v>
      </c>
      <c r="AP59" s="650" t="e">
        <f>VLOOKUP($Y4,$B$11:$O$30,AP$34,FALSE)</f>
        <v>#N/A</v>
      </c>
      <c r="AQ59" s="648" t="e">
        <f>VLOOKUP($Y4,IDACI!$B$9:$C$29,2,FALSE)</f>
        <v>#N/A</v>
      </c>
      <c r="AR59" s="651" t="e">
        <f>VLOOKUP($Y$4,$B$109:$H$128,AR$34,FALSE)</f>
        <v>#N/A</v>
      </c>
      <c r="AS59" s="651" t="e">
        <f>VLOOKUP($Y$4,$B$109:$H$128,AS$34,FALSE)</f>
        <v>#N/A</v>
      </c>
      <c r="AT59" s="651" t="e">
        <f>VLOOKUP($Y$4,$B$109:$H$128,AT$34,FALSE)</f>
        <v>#N/A</v>
      </c>
      <c r="AU59" s="651" t="e">
        <f>VLOOKUP($Y$4,$B$109:$H$128,AU$34,FALSE)</f>
        <v>#N/A</v>
      </c>
      <c r="AV59" s="651" t="e">
        <f>VLOOKUP($Y$4,$B$109:$H$128,AV$34,FALSE)</f>
        <v>#N/A</v>
      </c>
      <c r="AW59" s="651" t="e">
        <f>VLOOKUP($Y$4,$B$142:$H$161,AW$34,FALSE)</f>
        <v>#N/A</v>
      </c>
      <c r="AX59" s="651" t="e">
        <f>VLOOKUP($Y$4,$B$142:$H$161,AX$34,FALSE)</f>
        <v>#N/A</v>
      </c>
      <c r="AY59" s="651" t="e">
        <f>VLOOKUP($Y$4,$B$142:$H$161,AY$34,FALSE)</f>
        <v>#N/A</v>
      </c>
      <c r="AZ59" s="651" t="e">
        <f>VLOOKUP($Y$4,$B$142:$H$161,AZ$34,FALSE)</f>
        <v>#N/A</v>
      </c>
      <c r="BA59" s="651" t="e">
        <f>VLOOKUP($Y$4,$B$142:$H$161,BA$34,FALSE)</f>
        <v>#N/A</v>
      </c>
      <c r="BB59" s="651" t="e">
        <f>VLOOKUP($Y$4,$B$175:$H$194,BB$34,FALSE)</f>
        <v>#N/A</v>
      </c>
      <c r="BC59" s="651" t="e">
        <f>VLOOKUP($Y$4,$B$175:$H$194,BC$34,FALSE)</f>
        <v>#N/A</v>
      </c>
      <c r="BD59" s="651" t="e">
        <f>VLOOKUP($Y$4,$B$175:$H$194,BD$34,FALSE)</f>
        <v>#N/A</v>
      </c>
      <c r="BE59" s="651" t="e">
        <f>VLOOKUP($Y$4,$B$175:$H$194,BE$34,FALSE)</f>
        <v>#N/A</v>
      </c>
      <c r="BF59" s="651" t="e">
        <f>VLOOKUP($Y$4,$B$175:$H$194,BF$34,FALSE)</f>
        <v>#N/A</v>
      </c>
      <c r="BG59" s="649" t="e">
        <f>VLOOKUP($Y$4,$B$206:$H$227,BG$34,FALSE)</f>
        <v>#N/A</v>
      </c>
      <c r="BH59" s="649" t="e">
        <f>VLOOKUP($Y$4,$B$206:$H$227,BH$34,FALSE)</f>
        <v>#N/A</v>
      </c>
      <c r="BI59" s="649" t="e">
        <f>VLOOKUP($Y$4,$B$206:$H$227,BI$34,FALSE)</f>
        <v>#N/A</v>
      </c>
      <c r="BJ59" s="649" t="e">
        <f>VLOOKUP($Y$4,$B$206:$H$227,BJ$34,FALSE)</f>
        <v>#N/A</v>
      </c>
      <c r="BK59" s="649" t="e">
        <f>VLOOKUP($Y$4,$B$206:$H$227,BK$34,FALSE)</f>
        <v>#N/A</v>
      </c>
    </row>
    <row r="60" spans="1:63" s="56" customFormat="1" ht="14.25" customHeight="1">
      <c r="A60" s="87"/>
      <c r="B60" s="48"/>
      <c r="C60" s="48"/>
      <c r="D60" s="40"/>
      <c r="E60" s="40"/>
      <c r="F60" s="40"/>
      <c r="G60" s="40"/>
      <c r="H60" s="40"/>
      <c r="I60" s="40"/>
      <c r="J60" s="40"/>
      <c r="K60" s="1"/>
      <c r="L60" s="5"/>
      <c r="M60" s="5"/>
      <c r="N60" s="5"/>
      <c r="O60" s="5"/>
      <c r="P60" s="5"/>
      <c r="Q60" s="5"/>
      <c r="R60" s="5"/>
      <c r="S60" s="5"/>
      <c r="T60" s="5"/>
      <c r="U60" s="86"/>
      <c r="V60" s="102"/>
      <c r="W60" s="218"/>
      <c r="Y60" s="141"/>
      <c r="AJ60" s="758"/>
    </row>
    <row r="61" spans="1:63" s="56" customFormat="1" ht="14.25" customHeight="1">
      <c r="A61" s="87"/>
      <c r="B61" s="48"/>
      <c r="C61" s="48"/>
      <c r="D61" s="40"/>
      <c r="E61" s="40"/>
      <c r="F61" s="40"/>
      <c r="G61" s="40"/>
      <c r="H61" s="40"/>
      <c r="I61" s="40"/>
      <c r="J61" s="40"/>
      <c r="K61" s="1172"/>
      <c r="L61" s="1882" t="s">
        <v>69</v>
      </c>
      <c r="M61" s="1882"/>
      <c r="N61" s="1882"/>
      <c r="O61" s="1882"/>
      <c r="P61" s="1171"/>
      <c r="Q61" s="1753" t="s">
        <v>93</v>
      </c>
      <c r="R61" s="1753"/>
      <c r="S61" s="1753"/>
      <c r="T61" s="1753"/>
      <c r="U61" s="86"/>
      <c r="V61" s="102"/>
      <c r="W61" s="218"/>
      <c r="Y61" s="141"/>
      <c r="AJ61" s="758"/>
    </row>
    <row r="62" spans="1:63" s="56" customFormat="1" ht="14.25" customHeight="1">
      <c r="A62" s="87"/>
      <c r="B62" s="48"/>
      <c r="C62" s="48"/>
      <c r="D62" s="40"/>
      <c r="E62" s="40"/>
      <c r="F62" s="40"/>
      <c r="G62" s="40"/>
      <c r="H62" s="40"/>
      <c r="I62" s="40"/>
      <c r="J62" s="40"/>
      <c r="K62" s="1171"/>
      <c r="L62" s="1753" t="str">
        <f>Z4</f>
        <v>Selected LA- (none)</v>
      </c>
      <c r="M62" s="1753"/>
      <c r="N62" s="1753"/>
      <c r="O62" s="1753"/>
      <c r="P62" s="1172"/>
      <c r="Q62" s="1753" t="s">
        <v>167</v>
      </c>
      <c r="R62" s="1753"/>
      <c r="S62" s="1753"/>
      <c r="T62" s="1753"/>
      <c r="U62" s="86"/>
      <c r="V62" s="102"/>
      <c r="W62" s="114"/>
      <c r="Y62" s="141"/>
      <c r="AJ62" s="758"/>
    </row>
    <row r="63" spans="1:63" s="56" customFormat="1" ht="41.25" customHeight="1">
      <c r="A63" s="87"/>
      <c r="B63" s="48"/>
      <c r="C63" s="48"/>
      <c r="D63" s="40"/>
      <c r="E63" s="40"/>
      <c r="F63" s="40"/>
      <c r="G63" s="40"/>
      <c r="H63" s="40"/>
      <c r="I63" s="40"/>
      <c r="J63" s="40"/>
      <c r="K63" s="1"/>
      <c r="L63" s="5"/>
      <c r="M63" s="5"/>
      <c r="N63" s="5"/>
      <c r="O63" s="5"/>
      <c r="P63" s="5"/>
      <c r="Q63" s="5"/>
      <c r="R63" s="5"/>
      <c r="S63" s="5"/>
      <c r="T63" s="5"/>
      <c r="U63" s="86"/>
      <c r="V63" s="102"/>
      <c r="W63" s="114"/>
      <c r="Y63" s="141"/>
      <c r="AJ63" s="122"/>
    </row>
    <row r="64" spans="1:63" s="61" customFormat="1" ht="42.75" customHeight="1">
      <c r="A64" s="88"/>
      <c r="B64" s="78"/>
      <c r="C64" s="78"/>
      <c r="D64" s="78"/>
      <c r="E64" s="78"/>
      <c r="F64" s="78"/>
      <c r="G64" s="78"/>
      <c r="H64" s="78"/>
      <c r="I64" s="78"/>
      <c r="J64" s="78"/>
      <c r="K64" s="68"/>
      <c r="L64" s="59"/>
      <c r="M64" s="59"/>
      <c r="N64" s="59"/>
      <c r="O64" s="59"/>
      <c r="P64" s="59"/>
      <c r="Q64" s="59"/>
      <c r="R64" s="59"/>
      <c r="S64" s="59"/>
      <c r="T64" s="59"/>
      <c r="U64" s="89"/>
      <c r="V64" s="103"/>
      <c r="W64" s="115"/>
      <c r="X64" s="56"/>
      <c r="Y64" s="141"/>
      <c r="Z64" s="56"/>
      <c r="AA64" s="56"/>
      <c r="AB64" s="56"/>
      <c r="AC64" s="56"/>
      <c r="AD64" s="141"/>
      <c r="AE64" s="141"/>
      <c r="AF64" s="141"/>
      <c r="AG64" s="141"/>
      <c r="AH64" s="141"/>
      <c r="AJ64" s="121"/>
    </row>
    <row r="65" spans="1:76" s="61" customFormat="1" ht="42.75" customHeight="1">
      <c r="A65" s="88"/>
      <c r="B65" s="78"/>
      <c r="C65" s="78"/>
      <c r="D65" s="78"/>
      <c r="E65" s="78"/>
      <c r="F65" s="78"/>
      <c r="G65" s="78"/>
      <c r="H65" s="78"/>
      <c r="I65" s="78"/>
      <c r="J65" s="78"/>
      <c r="K65" s="68"/>
      <c r="L65" s="59"/>
      <c r="M65" s="59"/>
      <c r="N65" s="59"/>
      <c r="O65" s="59"/>
      <c r="P65" s="59"/>
      <c r="Q65" s="59"/>
      <c r="R65" s="59"/>
      <c r="S65" s="59"/>
      <c r="T65" s="59"/>
      <c r="U65" s="89"/>
      <c r="V65" s="121"/>
      <c r="W65" s="115"/>
      <c r="X65" s="56"/>
      <c r="Y65" s="141"/>
      <c r="Z65" s="56"/>
      <c r="AA65" s="56"/>
      <c r="AB65" s="56"/>
      <c r="AC65" s="56"/>
      <c r="AD65" s="141"/>
      <c r="AE65" s="141"/>
      <c r="AF65" s="141"/>
      <c r="AG65" s="141"/>
      <c r="AH65" s="141"/>
      <c r="AJ65" s="121"/>
    </row>
    <row r="66" spans="1:76" ht="7.5" customHeight="1">
      <c r="A66" s="87"/>
      <c r="B66" s="12"/>
      <c r="C66" s="12"/>
      <c r="D66" s="11"/>
      <c r="E66" s="11"/>
      <c r="F66" s="11"/>
      <c r="G66" s="11"/>
      <c r="H66" s="11"/>
      <c r="I66" s="11"/>
      <c r="J66" s="11"/>
      <c r="K66" s="1"/>
      <c r="L66" s="13"/>
      <c r="M66" s="13"/>
      <c r="N66" s="13"/>
      <c r="O66" s="13"/>
      <c r="P66" s="13"/>
      <c r="Q66" s="13"/>
      <c r="R66" s="13"/>
      <c r="S66" s="13"/>
      <c r="T66" s="13"/>
      <c r="U66" s="86"/>
      <c r="V66" s="185"/>
      <c r="W66" s="114"/>
      <c r="Y66" s="141"/>
      <c r="AJ66" s="119"/>
    </row>
    <row r="67" spans="1:76" ht="15" customHeight="1">
      <c r="A67" s="1565"/>
      <c r="B67" s="1751"/>
      <c r="C67" s="1751"/>
      <c r="D67" s="1751"/>
      <c r="E67" s="1751"/>
      <c r="F67" s="1751"/>
      <c r="G67" s="1751"/>
      <c r="H67" s="1751"/>
      <c r="I67" s="1751"/>
      <c r="J67" s="1751"/>
      <c r="K67" s="1751"/>
      <c r="L67" s="1751"/>
      <c r="M67" s="1751"/>
      <c r="N67" s="1751"/>
      <c r="O67" s="1751"/>
      <c r="P67" s="1751"/>
      <c r="Q67" s="1751"/>
      <c r="R67" s="1751"/>
      <c r="S67" s="1751"/>
      <c r="T67" s="1751"/>
      <c r="U67" s="1752"/>
      <c r="V67" s="185"/>
      <c r="W67" s="114"/>
      <c r="Y67" s="141"/>
      <c r="AJ67" s="119"/>
    </row>
    <row r="68" spans="1:76" ht="11.25" customHeight="1">
      <c r="A68" s="1739"/>
      <c r="B68" s="1740"/>
      <c r="C68" s="1740"/>
      <c r="D68" s="1740"/>
      <c r="E68" s="1740"/>
      <c r="F68" s="1740"/>
      <c r="G68" s="1740"/>
      <c r="H68" s="1740"/>
      <c r="I68" s="1742"/>
      <c r="J68" s="1741"/>
      <c r="K68" s="1740"/>
      <c r="L68" s="1740"/>
      <c r="M68" s="1740"/>
      <c r="N68" s="1740"/>
      <c r="O68" s="1740"/>
      <c r="P68" s="1740"/>
      <c r="Q68" s="1742"/>
      <c r="R68" s="1740"/>
      <c r="S68" s="1947"/>
      <c r="T68" s="1740"/>
      <c r="U68" s="1743"/>
      <c r="V68" s="185"/>
      <c r="W68" s="114"/>
      <c r="Y68" s="141"/>
      <c r="AJ68" s="119"/>
    </row>
    <row r="69" spans="1:76" ht="10.5" customHeight="1">
      <c r="A69" s="81"/>
      <c r="B69" s="82"/>
      <c r="C69" s="82"/>
      <c r="D69" s="82"/>
      <c r="E69" s="82"/>
      <c r="F69" s="82"/>
      <c r="G69" s="82"/>
      <c r="H69" s="82"/>
      <c r="I69" s="82"/>
      <c r="J69" s="83"/>
      <c r="K69" s="82"/>
      <c r="L69" s="82"/>
      <c r="M69" s="82"/>
      <c r="N69" s="82"/>
      <c r="O69" s="82"/>
      <c r="P69" s="82"/>
      <c r="Q69" s="82"/>
      <c r="R69" s="82"/>
      <c r="S69" s="82"/>
      <c r="T69" s="82"/>
      <c r="U69" s="84"/>
      <c r="V69" s="102"/>
      <c r="W69" s="114"/>
      <c r="X69" s="52"/>
      <c r="Y69" s="52"/>
      <c r="Z69" s="146"/>
      <c r="AA69" s="146"/>
      <c r="AB69" s="147"/>
      <c r="AC69" s="147"/>
      <c r="AJ69" s="119"/>
    </row>
    <row r="70" spans="1:76" ht="15" customHeight="1">
      <c r="A70" s="87"/>
      <c r="B70" s="41"/>
      <c r="C70" s="47"/>
      <c r="D70" s="47"/>
      <c r="E70" s="47"/>
      <c r="F70" s="47"/>
      <c r="G70" s="47"/>
      <c r="H70" s="47"/>
      <c r="I70" s="47"/>
      <c r="J70" s="50"/>
      <c r="K70" s="50"/>
      <c r="L70" s="50"/>
      <c r="M70" s="50"/>
      <c r="N70" s="224"/>
      <c r="O70" s="50"/>
      <c r="P70" s="50"/>
      <c r="Q70" s="50"/>
      <c r="R70" s="50"/>
      <c r="S70" s="50"/>
      <c r="T70" s="50"/>
      <c r="U70" s="86"/>
      <c r="V70" s="102"/>
      <c r="W70" s="115"/>
      <c r="X70" s="52"/>
      <c r="Y70" s="52"/>
      <c r="Z70" s="146"/>
      <c r="AA70" s="146"/>
      <c r="AB70" s="147"/>
      <c r="AC70" s="147"/>
      <c r="AD70" s="149"/>
      <c r="AE70" s="141"/>
      <c r="AF70" s="141"/>
      <c r="AG70" s="141"/>
      <c r="AH70" s="141"/>
      <c r="AI70" s="61"/>
      <c r="AJ70" s="12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row>
    <row r="71" spans="1:76" ht="13.5" customHeight="1">
      <c r="A71" s="87"/>
      <c r="B71" s="47"/>
      <c r="C71" s="47"/>
      <c r="D71" s="47"/>
      <c r="E71" s="47"/>
      <c r="F71" s="47"/>
      <c r="G71" s="47"/>
      <c r="H71" s="47"/>
      <c r="I71" s="47"/>
      <c r="J71" s="50"/>
      <c r="K71" s="50"/>
      <c r="L71" s="50"/>
      <c r="M71" s="50"/>
      <c r="N71" s="224"/>
      <c r="O71" s="50"/>
      <c r="P71" s="50"/>
      <c r="Q71" s="50"/>
      <c r="R71" s="5"/>
      <c r="S71" s="50"/>
      <c r="T71" s="50"/>
      <c r="U71" s="86"/>
      <c r="V71" s="102"/>
      <c r="W71" s="115"/>
      <c r="X71" s="61"/>
      <c r="Y71" s="241" t="s">
        <v>112</v>
      </c>
      <c r="Z71" s="242" t="s">
        <v>113</v>
      </c>
      <c r="AA71" s="146"/>
      <c r="AB71" s="147"/>
      <c r="AC71" s="147"/>
      <c r="AD71" s="149"/>
      <c r="AE71" s="141"/>
      <c r="AF71" s="141"/>
      <c r="AG71" s="141"/>
      <c r="AH71" s="141"/>
      <c r="AI71" s="61"/>
      <c r="AJ71" s="12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row>
    <row r="72" spans="1:76" s="61" customFormat="1" ht="12" customHeight="1">
      <c r="A72" s="88"/>
      <c r="B72" s="47"/>
      <c r="C72" s="47"/>
      <c r="D72" s="47"/>
      <c r="E72" s="47"/>
      <c r="F72" s="47"/>
      <c r="G72" s="47"/>
      <c r="H72" s="47"/>
      <c r="I72" s="68"/>
      <c r="J72" s="68"/>
      <c r="K72" s="43"/>
      <c r="L72" s="43"/>
      <c r="M72" s="43"/>
      <c r="N72" s="43"/>
      <c r="O72" s="43"/>
      <c r="P72" s="43"/>
      <c r="Q72" s="225"/>
      <c r="R72" s="225"/>
      <c r="S72" s="120"/>
      <c r="T72" s="226"/>
      <c r="U72" s="89"/>
      <c r="V72" s="103"/>
      <c r="W72" s="115"/>
      <c r="X72" s="243" t="str">
        <f t="shared" ref="X72:X92" si="30">B11</f>
        <v>Bracknell Forest</v>
      </c>
      <c r="Y72" s="244" t="e">
        <f t="shared" ref="Y72:Y92" si="31">IF(X72=$Y$4,I11,#N/A)</f>
        <v>#N/A</v>
      </c>
      <c r="Z72" s="244" t="e">
        <f>IF(X72=$Y$4,T11,#N/A)</f>
        <v>#N/A</v>
      </c>
      <c r="AA72" s="146"/>
      <c r="AB72" s="147"/>
      <c r="AC72" s="147"/>
      <c r="AD72" s="149"/>
      <c r="AE72" s="141"/>
      <c r="AF72" s="141"/>
      <c r="AG72" s="141"/>
      <c r="AH72" s="141"/>
      <c r="AJ72" s="121"/>
    </row>
    <row r="73" spans="1:76" s="61" customFormat="1" ht="24" customHeight="1">
      <c r="A73" s="88"/>
      <c r="B73" s="47"/>
      <c r="C73" s="47"/>
      <c r="D73" s="47"/>
      <c r="E73" s="47"/>
      <c r="F73" s="47"/>
      <c r="G73" s="47"/>
      <c r="H73" s="47"/>
      <c r="I73" s="68"/>
      <c r="J73" s="68"/>
      <c r="K73" s="127"/>
      <c r="L73" s="127"/>
      <c r="M73" s="127"/>
      <c r="N73" s="127"/>
      <c r="O73" s="127"/>
      <c r="P73" s="127"/>
      <c r="Q73" s="127"/>
      <c r="R73" s="128"/>
      <c r="S73" s="120"/>
      <c r="T73" s="127"/>
      <c r="U73" s="89"/>
      <c r="V73" s="103"/>
      <c r="W73" s="115"/>
      <c r="X73" s="243" t="str">
        <f t="shared" si="30"/>
        <v>Brighton &amp; Hove</v>
      </c>
      <c r="Y73" s="244" t="e">
        <f t="shared" si="31"/>
        <v>#N/A</v>
      </c>
      <c r="Z73" s="244" t="e">
        <f t="shared" ref="Z73:Z92" si="32">IF(X73=$Y$4,T12,#N/A)</f>
        <v>#N/A</v>
      </c>
      <c r="AA73" s="146"/>
      <c r="AB73" s="147"/>
      <c r="AC73" s="147"/>
      <c r="AD73" s="149"/>
      <c r="AE73" s="141"/>
      <c r="AF73" s="141"/>
      <c r="AG73" s="141"/>
      <c r="AH73" s="141"/>
      <c r="AJ73" s="121"/>
    </row>
    <row r="74" spans="1:76" s="61" customFormat="1" ht="12.75" customHeight="1">
      <c r="A74" s="88"/>
      <c r="B74" s="47"/>
      <c r="C74" s="47"/>
      <c r="D74" s="47"/>
      <c r="E74" s="47"/>
      <c r="F74" s="47"/>
      <c r="G74" s="47"/>
      <c r="H74" s="47"/>
      <c r="I74" s="68"/>
      <c r="J74" s="68"/>
      <c r="K74" s="127"/>
      <c r="L74" s="127"/>
      <c r="M74" s="127"/>
      <c r="N74" s="127"/>
      <c r="O74" s="127"/>
      <c r="P74" s="127"/>
      <c r="Q74" s="127"/>
      <c r="R74" s="128"/>
      <c r="S74" s="120"/>
      <c r="T74" s="127"/>
      <c r="U74" s="89"/>
      <c r="V74" s="103"/>
      <c r="W74" s="115"/>
      <c r="X74" s="243" t="str">
        <f t="shared" si="30"/>
        <v>Buckinghamshire</v>
      </c>
      <c r="Y74" s="244" t="e">
        <f t="shared" si="31"/>
        <v>#N/A</v>
      </c>
      <c r="Z74" s="244" t="e">
        <f t="shared" si="32"/>
        <v>#N/A</v>
      </c>
      <c r="AA74" s="146"/>
      <c r="AB74" s="147"/>
      <c r="AC74" s="147"/>
      <c r="AD74" s="149"/>
      <c r="AE74" s="141"/>
      <c r="AF74" s="141"/>
      <c r="AG74" s="141"/>
      <c r="AH74" s="141"/>
      <c r="AJ74" s="121"/>
    </row>
    <row r="75" spans="1:76" s="61" customFormat="1" ht="12.75" customHeight="1">
      <c r="A75" s="88"/>
      <c r="B75" s="47"/>
      <c r="C75" s="47"/>
      <c r="D75" s="47"/>
      <c r="E75" s="47"/>
      <c r="F75" s="47"/>
      <c r="G75" s="47"/>
      <c r="H75" s="47"/>
      <c r="I75" s="68"/>
      <c r="J75" s="68"/>
      <c r="K75" s="127"/>
      <c r="L75" s="127"/>
      <c r="M75" s="127"/>
      <c r="N75" s="127"/>
      <c r="O75" s="127"/>
      <c r="P75" s="127"/>
      <c r="Q75" s="127"/>
      <c r="R75" s="128"/>
      <c r="S75" s="120"/>
      <c r="T75" s="127"/>
      <c r="U75" s="89"/>
      <c r="V75" s="103"/>
      <c r="W75" s="115"/>
      <c r="X75" s="243" t="str">
        <f t="shared" si="30"/>
        <v>East Sussex</v>
      </c>
      <c r="Y75" s="244" t="e">
        <f t="shared" si="31"/>
        <v>#N/A</v>
      </c>
      <c r="Z75" s="244" t="e">
        <f t="shared" si="32"/>
        <v>#N/A</v>
      </c>
      <c r="AA75" s="146"/>
      <c r="AB75" s="147"/>
      <c r="AC75" s="147"/>
      <c r="AD75" s="149"/>
      <c r="AE75" s="141"/>
      <c r="AF75" s="141"/>
      <c r="AG75" s="141"/>
      <c r="AH75" s="141"/>
      <c r="AJ75" s="121"/>
    </row>
    <row r="76" spans="1:76" s="61" customFormat="1" ht="12.75" customHeight="1">
      <c r="A76" s="88"/>
      <c r="B76" s="47"/>
      <c r="C76" s="47"/>
      <c r="D76" s="47"/>
      <c r="E76" s="47"/>
      <c r="F76" s="47"/>
      <c r="G76" s="47"/>
      <c r="H76" s="47"/>
      <c r="I76" s="68"/>
      <c r="J76" s="68"/>
      <c r="K76" s="127"/>
      <c r="L76" s="127"/>
      <c r="M76" s="127"/>
      <c r="N76" s="127"/>
      <c r="O76" s="127"/>
      <c r="P76" s="127"/>
      <c r="Q76" s="127"/>
      <c r="R76" s="128"/>
      <c r="S76" s="120"/>
      <c r="T76" s="127"/>
      <c r="U76" s="89"/>
      <c r="V76" s="103"/>
      <c r="W76" s="115"/>
      <c r="X76" s="243" t="str">
        <f t="shared" si="30"/>
        <v>Hampshire</v>
      </c>
      <c r="Y76" s="244" t="e">
        <f t="shared" si="31"/>
        <v>#N/A</v>
      </c>
      <c r="Z76" s="244" t="e">
        <f t="shared" si="32"/>
        <v>#N/A</v>
      </c>
      <c r="AA76" s="146"/>
      <c r="AB76" s="147"/>
      <c r="AC76" s="147"/>
      <c r="AD76" s="149"/>
      <c r="AE76" s="141"/>
      <c r="AF76" s="141"/>
      <c r="AG76" s="141"/>
      <c r="AH76" s="141"/>
      <c r="AJ76" s="121"/>
      <c r="AR76" s="61" t="s">
        <v>95</v>
      </c>
    </row>
    <row r="77" spans="1:76" s="61" customFormat="1" ht="12.75" customHeight="1">
      <c r="A77" s="88"/>
      <c r="B77" s="47"/>
      <c r="C77" s="47"/>
      <c r="D77" s="47"/>
      <c r="E77" s="47"/>
      <c r="F77" s="47"/>
      <c r="G77" s="47"/>
      <c r="H77" s="47"/>
      <c r="I77" s="68"/>
      <c r="J77" s="68"/>
      <c r="K77" s="127"/>
      <c r="L77" s="127"/>
      <c r="M77" s="127"/>
      <c r="N77" s="127"/>
      <c r="O77" s="127"/>
      <c r="P77" s="127"/>
      <c r="Q77" s="127"/>
      <c r="R77" s="128"/>
      <c r="S77" s="120"/>
      <c r="T77" s="127"/>
      <c r="U77" s="89"/>
      <c r="V77" s="103"/>
      <c r="W77" s="115"/>
      <c r="X77" s="243" t="str">
        <f t="shared" si="30"/>
        <v>Isle of Wight</v>
      </c>
      <c r="Y77" s="244" t="e">
        <f t="shared" si="31"/>
        <v>#N/A</v>
      </c>
      <c r="Z77" s="244" t="e">
        <f t="shared" si="32"/>
        <v>#N/A</v>
      </c>
      <c r="AA77" s="146"/>
      <c r="AB77" s="147"/>
      <c r="AC77" s="147"/>
      <c r="AD77" s="149"/>
      <c r="AE77" s="141"/>
      <c r="AF77" s="141"/>
      <c r="AG77" s="141"/>
      <c r="AH77" s="141"/>
      <c r="AJ77" s="121"/>
    </row>
    <row r="78" spans="1:76" s="61" customFormat="1" ht="12.75" customHeight="1">
      <c r="A78" s="88"/>
      <c r="B78" s="47"/>
      <c r="C78" s="47"/>
      <c r="D78" s="47"/>
      <c r="E78" s="47"/>
      <c r="F78" s="47"/>
      <c r="G78" s="47"/>
      <c r="H78" s="47"/>
      <c r="I78" s="68"/>
      <c r="J78" s="68"/>
      <c r="K78" s="127"/>
      <c r="L78" s="127"/>
      <c r="M78" s="127"/>
      <c r="N78" s="127"/>
      <c r="O78" s="127"/>
      <c r="P78" s="127"/>
      <c r="Q78" s="127"/>
      <c r="R78" s="128"/>
      <c r="S78" s="120"/>
      <c r="T78" s="127"/>
      <c r="U78" s="89"/>
      <c r="V78" s="103"/>
      <c r="W78" s="115"/>
      <c r="X78" s="243" t="str">
        <f t="shared" si="30"/>
        <v>Kent</v>
      </c>
      <c r="Y78" s="244" t="e">
        <f t="shared" si="31"/>
        <v>#N/A</v>
      </c>
      <c r="Z78" s="244" t="e">
        <f t="shared" si="32"/>
        <v>#N/A</v>
      </c>
      <c r="AA78" s="146"/>
      <c r="AB78" s="147"/>
      <c r="AC78" s="147"/>
      <c r="AD78" s="149"/>
      <c r="AE78" s="141"/>
      <c r="AF78" s="141"/>
      <c r="AG78" s="141"/>
      <c r="AH78" s="141"/>
      <c r="AJ78" s="121"/>
    </row>
    <row r="79" spans="1:76" s="61" customFormat="1" ht="12.75" customHeight="1">
      <c r="A79" s="88"/>
      <c r="B79" s="47"/>
      <c r="C79" s="47"/>
      <c r="D79" s="47"/>
      <c r="E79" s="47"/>
      <c r="F79" s="47"/>
      <c r="G79" s="47"/>
      <c r="H79" s="47"/>
      <c r="I79" s="68"/>
      <c r="J79" s="68"/>
      <c r="K79" s="127"/>
      <c r="L79" s="127"/>
      <c r="M79" s="127"/>
      <c r="N79" s="127"/>
      <c r="O79" s="127"/>
      <c r="P79" s="127"/>
      <c r="Q79" s="127"/>
      <c r="R79" s="128"/>
      <c r="S79" s="120"/>
      <c r="T79" s="127"/>
      <c r="U79" s="89"/>
      <c r="V79" s="103"/>
      <c r="W79" s="115"/>
      <c r="X79" s="243" t="str">
        <f t="shared" si="30"/>
        <v>Medway</v>
      </c>
      <c r="Y79" s="244" t="e">
        <f t="shared" si="31"/>
        <v>#N/A</v>
      </c>
      <c r="Z79" s="244" t="e">
        <f t="shared" si="32"/>
        <v>#N/A</v>
      </c>
      <c r="AA79" s="146"/>
      <c r="AB79" s="147"/>
      <c r="AC79" s="147"/>
      <c r="AD79" s="149"/>
      <c r="AE79" s="141"/>
      <c r="AF79" s="141"/>
      <c r="AG79" s="141"/>
      <c r="AH79" s="141"/>
      <c r="AJ79" s="121"/>
    </row>
    <row r="80" spans="1:76" s="61" customFormat="1" ht="12.75" customHeight="1">
      <c r="A80" s="88"/>
      <c r="B80" s="47"/>
      <c r="C80" s="47"/>
      <c r="D80" s="47"/>
      <c r="E80" s="47"/>
      <c r="F80" s="47"/>
      <c r="G80" s="47"/>
      <c r="H80" s="47"/>
      <c r="I80" s="68"/>
      <c r="J80" s="68"/>
      <c r="K80" s="127"/>
      <c r="L80" s="127"/>
      <c r="M80" s="127"/>
      <c r="N80" s="127"/>
      <c r="O80" s="127"/>
      <c r="P80" s="127"/>
      <c r="Q80" s="127"/>
      <c r="R80" s="128"/>
      <c r="S80" s="120"/>
      <c r="T80" s="127"/>
      <c r="U80" s="89"/>
      <c r="V80" s="103"/>
      <c r="W80" s="115"/>
      <c r="X80" s="243" t="str">
        <f t="shared" si="30"/>
        <v>Milton Keynes</v>
      </c>
      <c r="Y80" s="244" t="e">
        <f t="shared" si="31"/>
        <v>#N/A</v>
      </c>
      <c r="Z80" s="244" t="e">
        <f t="shared" si="32"/>
        <v>#N/A</v>
      </c>
      <c r="AA80" s="146"/>
      <c r="AB80" s="147"/>
      <c r="AC80" s="147"/>
      <c r="AD80" s="149"/>
      <c r="AE80" s="141"/>
      <c r="AF80" s="141"/>
      <c r="AG80" s="141"/>
      <c r="AH80" s="141"/>
      <c r="AJ80" s="121"/>
    </row>
    <row r="81" spans="1:76" s="61" customFormat="1" ht="12.75" customHeight="1">
      <c r="A81" s="88"/>
      <c r="B81" s="47"/>
      <c r="C81" s="47"/>
      <c r="D81" s="47"/>
      <c r="E81" s="47"/>
      <c r="F81" s="47"/>
      <c r="G81" s="47"/>
      <c r="H81" s="47"/>
      <c r="I81" s="68"/>
      <c r="J81" s="68"/>
      <c r="K81" s="127"/>
      <c r="L81" s="127"/>
      <c r="M81" s="127"/>
      <c r="N81" s="127"/>
      <c r="O81" s="127"/>
      <c r="P81" s="127"/>
      <c r="Q81" s="127"/>
      <c r="R81" s="128"/>
      <c r="S81" s="120"/>
      <c r="T81" s="127"/>
      <c r="U81" s="89"/>
      <c r="V81" s="103"/>
      <c r="W81" s="115"/>
      <c r="X81" s="243" t="str">
        <f t="shared" si="30"/>
        <v>Oxfordshire</v>
      </c>
      <c r="Y81" s="244" t="e">
        <f t="shared" si="31"/>
        <v>#N/A</v>
      </c>
      <c r="Z81" s="244" t="e">
        <f t="shared" si="32"/>
        <v>#N/A</v>
      </c>
      <c r="AA81" s="146"/>
      <c r="AB81" s="147"/>
      <c r="AC81" s="147"/>
      <c r="AD81" s="149"/>
      <c r="AE81" s="141"/>
      <c r="AF81" s="141"/>
      <c r="AG81" s="141"/>
      <c r="AH81" s="141"/>
      <c r="AJ81" s="121"/>
    </row>
    <row r="82" spans="1:76" s="61" customFormat="1" ht="12.75" customHeight="1">
      <c r="A82" s="88"/>
      <c r="B82" s="47"/>
      <c r="C82" s="47"/>
      <c r="D82" s="47"/>
      <c r="E82" s="47"/>
      <c r="F82" s="47"/>
      <c r="G82" s="47"/>
      <c r="H82" s="47"/>
      <c r="I82" s="68"/>
      <c r="J82" s="68"/>
      <c r="K82" s="127"/>
      <c r="L82" s="127"/>
      <c r="M82" s="127"/>
      <c r="N82" s="127"/>
      <c r="O82" s="127"/>
      <c r="P82" s="127"/>
      <c r="Q82" s="127"/>
      <c r="R82" s="128"/>
      <c r="S82" s="120"/>
      <c r="T82" s="127"/>
      <c r="U82" s="89"/>
      <c r="V82" s="103"/>
      <c r="W82" s="115"/>
      <c r="X82" s="243" t="str">
        <f t="shared" si="30"/>
        <v>Portsmouth</v>
      </c>
      <c r="Y82" s="244" t="e">
        <f t="shared" si="31"/>
        <v>#N/A</v>
      </c>
      <c r="Z82" s="244" t="e">
        <f t="shared" si="32"/>
        <v>#N/A</v>
      </c>
      <c r="AA82" s="146"/>
      <c r="AB82" s="147"/>
      <c r="AC82" s="147"/>
      <c r="AD82" s="149"/>
      <c r="AE82" s="141"/>
      <c r="AF82" s="141"/>
      <c r="AG82" s="141"/>
      <c r="AH82" s="141"/>
      <c r="AJ82" s="121"/>
    </row>
    <row r="83" spans="1:76" s="61" customFormat="1" ht="12.75" customHeight="1">
      <c r="A83" s="88"/>
      <c r="B83" s="47"/>
      <c r="C83" s="47"/>
      <c r="D83" s="47"/>
      <c r="E83" s="47"/>
      <c r="F83" s="47"/>
      <c r="G83" s="47"/>
      <c r="H83" s="47"/>
      <c r="I83" s="68"/>
      <c r="J83" s="68"/>
      <c r="K83" s="127"/>
      <c r="L83" s="127"/>
      <c r="M83" s="127"/>
      <c r="N83" s="127"/>
      <c r="O83" s="127"/>
      <c r="P83" s="127"/>
      <c r="Q83" s="127"/>
      <c r="R83" s="128"/>
      <c r="S83" s="120"/>
      <c r="T83" s="127"/>
      <c r="U83" s="89"/>
      <c r="V83" s="103"/>
      <c r="W83" s="115"/>
      <c r="X83" s="243" t="str">
        <f t="shared" si="30"/>
        <v>Reading</v>
      </c>
      <c r="Y83" s="244" t="e">
        <f t="shared" si="31"/>
        <v>#N/A</v>
      </c>
      <c r="Z83" s="244" t="e">
        <f t="shared" si="32"/>
        <v>#N/A</v>
      </c>
      <c r="AA83" s="146"/>
      <c r="AB83" s="147"/>
      <c r="AC83" s="147"/>
      <c r="AD83" s="149"/>
      <c r="AE83" s="141"/>
      <c r="AF83" s="141"/>
      <c r="AG83" s="141"/>
      <c r="AH83" s="141"/>
      <c r="AJ83" s="121"/>
    </row>
    <row r="84" spans="1:76" s="61" customFormat="1" ht="12.75" customHeight="1">
      <c r="A84" s="88"/>
      <c r="B84" s="47"/>
      <c r="C84" s="47"/>
      <c r="D84" s="47"/>
      <c r="E84" s="47"/>
      <c r="F84" s="47"/>
      <c r="G84" s="47"/>
      <c r="H84" s="47"/>
      <c r="I84" s="68"/>
      <c r="J84" s="68"/>
      <c r="K84" s="127"/>
      <c r="L84" s="127"/>
      <c r="M84" s="127"/>
      <c r="N84" s="127"/>
      <c r="O84" s="127"/>
      <c r="P84" s="127"/>
      <c r="Q84" s="127"/>
      <c r="R84" s="128"/>
      <c r="S84" s="120"/>
      <c r="T84" s="127"/>
      <c r="U84" s="89"/>
      <c r="V84" s="103"/>
      <c r="W84" s="115"/>
      <c r="X84" s="243" t="str">
        <f t="shared" si="30"/>
        <v>Slough</v>
      </c>
      <c r="Y84" s="244" t="e">
        <f t="shared" si="31"/>
        <v>#N/A</v>
      </c>
      <c r="Z84" s="244" t="e">
        <f t="shared" si="32"/>
        <v>#N/A</v>
      </c>
      <c r="AA84" s="146"/>
      <c r="AB84" s="147"/>
      <c r="AC84" s="147"/>
      <c r="AD84" s="149"/>
      <c r="AE84" s="141"/>
      <c r="AF84" s="141"/>
      <c r="AG84" s="141"/>
      <c r="AH84" s="141"/>
      <c r="AJ84" s="121"/>
    </row>
    <row r="85" spans="1:76" s="61" customFormat="1" ht="12.75" customHeight="1">
      <c r="A85" s="88"/>
      <c r="B85" s="47"/>
      <c r="C85" s="47"/>
      <c r="D85" s="47"/>
      <c r="E85" s="47"/>
      <c r="F85" s="47"/>
      <c r="G85" s="47"/>
      <c r="H85" s="47"/>
      <c r="I85" s="68"/>
      <c r="J85" s="68"/>
      <c r="K85" s="127"/>
      <c r="L85" s="127"/>
      <c r="M85" s="127"/>
      <c r="N85" s="127"/>
      <c r="O85" s="127"/>
      <c r="P85" s="127"/>
      <c r="Q85" s="127"/>
      <c r="R85" s="128"/>
      <c r="S85" s="120"/>
      <c r="T85" s="127"/>
      <c r="U85" s="89"/>
      <c r="V85" s="103"/>
      <c r="W85" s="115"/>
      <c r="X85" s="243" t="str">
        <f t="shared" si="30"/>
        <v>Southampton</v>
      </c>
      <c r="Y85" s="244" t="e">
        <f t="shared" si="31"/>
        <v>#N/A</v>
      </c>
      <c r="Z85" s="244" t="e">
        <f t="shared" si="32"/>
        <v>#N/A</v>
      </c>
      <c r="AA85" s="146"/>
      <c r="AB85" s="147"/>
      <c r="AC85" s="147"/>
      <c r="AD85" s="149"/>
      <c r="AE85" s="141"/>
      <c r="AF85" s="141"/>
      <c r="AG85" s="141"/>
      <c r="AH85" s="141"/>
      <c r="AJ85" s="121"/>
    </row>
    <row r="86" spans="1:76" s="61" customFormat="1" ht="12.75" customHeight="1">
      <c r="A86" s="88"/>
      <c r="B86" s="47"/>
      <c r="C86" s="47"/>
      <c r="D86" s="47"/>
      <c r="E86" s="47"/>
      <c r="F86" s="47"/>
      <c r="G86" s="47"/>
      <c r="H86" s="47"/>
      <c r="I86" s="68"/>
      <c r="J86" s="68"/>
      <c r="K86" s="127"/>
      <c r="L86" s="127"/>
      <c r="M86" s="127"/>
      <c r="N86" s="127"/>
      <c r="O86" s="127"/>
      <c r="P86" s="127"/>
      <c r="Q86" s="127"/>
      <c r="R86" s="128"/>
      <c r="S86" s="120"/>
      <c r="T86" s="127"/>
      <c r="U86" s="89"/>
      <c r="V86" s="103"/>
      <c r="W86" s="115"/>
      <c r="X86" s="243" t="str">
        <f t="shared" si="30"/>
        <v>Surrey</v>
      </c>
      <c r="Y86" s="244" t="e">
        <f t="shared" si="31"/>
        <v>#N/A</v>
      </c>
      <c r="Z86" s="244" t="e">
        <f t="shared" si="32"/>
        <v>#N/A</v>
      </c>
      <c r="AA86" s="146"/>
      <c r="AB86" s="147"/>
      <c r="AC86" s="147"/>
      <c r="AD86" s="149"/>
      <c r="AE86" s="141"/>
      <c r="AF86" s="141"/>
      <c r="AG86" s="141"/>
      <c r="AH86" s="141"/>
      <c r="AJ86" s="121"/>
    </row>
    <row r="87" spans="1:76" s="61" customFormat="1" ht="12.75" customHeight="1">
      <c r="A87" s="88"/>
      <c r="B87" s="47"/>
      <c r="C87" s="47"/>
      <c r="D87" s="47"/>
      <c r="E87" s="47"/>
      <c r="F87" s="47"/>
      <c r="G87" s="47"/>
      <c r="H87" s="47"/>
      <c r="I87" s="68"/>
      <c r="J87" s="68"/>
      <c r="K87" s="127"/>
      <c r="L87" s="127"/>
      <c r="M87" s="127"/>
      <c r="N87" s="127"/>
      <c r="O87" s="127"/>
      <c r="P87" s="127"/>
      <c r="Q87" s="127"/>
      <c r="R87" s="128"/>
      <c r="S87" s="120"/>
      <c r="T87" s="127"/>
      <c r="U87" s="89"/>
      <c r="V87" s="103"/>
      <c r="W87" s="115"/>
      <c r="X87" s="243" t="str">
        <f t="shared" si="30"/>
        <v>West Berkshire</v>
      </c>
      <c r="Y87" s="244" t="e">
        <f t="shared" si="31"/>
        <v>#N/A</v>
      </c>
      <c r="Z87" s="244" t="e">
        <f t="shared" si="32"/>
        <v>#N/A</v>
      </c>
      <c r="AA87" s="146"/>
      <c r="AB87" s="147"/>
      <c r="AC87" s="147"/>
      <c r="AD87" s="149"/>
      <c r="AE87" s="141"/>
      <c r="AF87" s="141"/>
      <c r="AG87" s="141"/>
      <c r="AH87" s="141"/>
      <c r="AJ87" s="121"/>
    </row>
    <row r="88" spans="1:76" s="61" customFormat="1" ht="12.75" customHeight="1">
      <c r="A88" s="88"/>
      <c r="B88" s="47"/>
      <c r="C88" s="47"/>
      <c r="D88" s="47"/>
      <c r="E88" s="47"/>
      <c r="F88" s="47"/>
      <c r="G88" s="47"/>
      <c r="H88" s="47"/>
      <c r="I88" s="68"/>
      <c r="J88" s="68"/>
      <c r="K88" s="127"/>
      <c r="L88" s="127"/>
      <c r="M88" s="127"/>
      <c r="N88" s="127"/>
      <c r="O88" s="127"/>
      <c r="P88" s="127"/>
      <c r="Q88" s="127"/>
      <c r="R88" s="128"/>
      <c r="S88" s="120"/>
      <c r="T88" s="127"/>
      <c r="U88" s="89"/>
      <c r="V88" s="103"/>
      <c r="W88" s="115"/>
      <c r="X88" s="243" t="str">
        <f t="shared" si="30"/>
        <v>West Sussex</v>
      </c>
      <c r="Y88" s="244" t="e">
        <f t="shared" si="31"/>
        <v>#N/A</v>
      </c>
      <c r="Z88" s="244" t="e">
        <f t="shared" si="32"/>
        <v>#N/A</v>
      </c>
      <c r="AA88" s="146"/>
      <c r="AB88" s="147"/>
      <c r="AC88" s="147"/>
      <c r="AD88" s="149"/>
      <c r="AE88" s="141"/>
      <c r="AF88" s="141"/>
      <c r="AG88" s="141"/>
      <c r="AH88" s="141"/>
      <c r="AJ88" s="121"/>
    </row>
    <row r="89" spans="1:76" s="61" customFormat="1" ht="12.75" customHeight="1">
      <c r="A89" s="217"/>
      <c r="B89" s="47"/>
      <c r="C89" s="47"/>
      <c r="D89" s="47"/>
      <c r="E89" s="47"/>
      <c r="F89" s="47"/>
      <c r="G89" s="47"/>
      <c r="H89" s="47"/>
      <c r="I89" s="68"/>
      <c r="J89" s="68"/>
      <c r="K89" s="127"/>
      <c r="L89" s="127"/>
      <c r="M89" s="127"/>
      <c r="N89" s="127"/>
      <c r="O89" s="127"/>
      <c r="P89" s="127"/>
      <c r="Q89" s="127"/>
      <c r="R89" s="128"/>
      <c r="S89" s="120"/>
      <c r="T89" s="127"/>
      <c r="U89" s="89"/>
      <c r="V89" s="103"/>
      <c r="W89" s="115"/>
      <c r="X89" s="243" t="str">
        <f t="shared" si="30"/>
        <v>Windsor &amp; Maidenhead</v>
      </c>
      <c r="Y89" s="244" t="e">
        <f t="shared" si="31"/>
        <v>#N/A</v>
      </c>
      <c r="Z89" s="244" t="e">
        <f t="shared" si="32"/>
        <v>#N/A</v>
      </c>
      <c r="AA89" s="146"/>
      <c r="AB89" s="147"/>
      <c r="AC89" s="147"/>
      <c r="AD89" s="149"/>
      <c r="AF89" s="141"/>
      <c r="AG89" s="141"/>
      <c r="AH89" s="141"/>
      <c r="AJ89" s="121"/>
    </row>
    <row r="90" spans="1:76" s="61" customFormat="1" ht="12.75" customHeight="1">
      <c r="A90" s="217"/>
      <c r="B90" s="47"/>
      <c r="C90" s="47"/>
      <c r="D90" s="47"/>
      <c r="E90" s="47"/>
      <c r="F90" s="47"/>
      <c r="G90" s="47"/>
      <c r="H90" s="47"/>
      <c r="I90" s="68"/>
      <c r="J90" s="68"/>
      <c r="K90" s="127"/>
      <c r="L90" s="127"/>
      <c r="M90" s="127"/>
      <c r="N90" s="127"/>
      <c r="O90" s="127"/>
      <c r="P90" s="127"/>
      <c r="Q90" s="127"/>
      <c r="R90" s="128"/>
      <c r="S90" s="120"/>
      <c r="T90" s="127"/>
      <c r="U90" s="89"/>
      <c r="V90" s="103"/>
      <c r="W90" s="115"/>
      <c r="X90" s="243" t="str">
        <f t="shared" si="30"/>
        <v>Wokingham</v>
      </c>
      <c r="Y90" s="244" t="e">
        <f t="shared" si="31"/>
        <v>#N/A</v>
      </c>
      <c r="Z90" s="244" t="e">
        <f t="shared" si="32"/>
        <v>#N/A</v>
      </c>
      <c r="AA90" s="146"/>
      <c r="AB90" s="147"/>
      <c r="AC90" s="147"/>
      <c r="AD90" s="149"/>
      <c r="AF90" s="141"/>
      <c r="AG90" s="141"/>
      <c r="AH90" s="141"/>
      <c r="AJ90" s="121"/>
    </row>
    <row r="91" spans="1:76" s="61" customFormat="1" ht="12.75" customHeight="1">
      <c r="A91" s="88"/>
      <c r="B91" s="47"/>
      <c r="C91" s="47"/>
      <c r="D91" s="47"/>
      <c r="E91" s="47"/>
      <c r="F91" s="47"/>
      <c r="G91" s="47"/>
      <c r="H91" s="47"/>
      <c r="I91" s="68"/>
      <c r="J91" s="68"/>
      <c r="K91" s="127"/>
      <c r="L91" s="127"/>
      <c r="M91" s="127"/>
      <c r="N91" s="127"/>
      <c r="O91" s="127"/>
      <c r="P91" s="127"/>
      <c r="Q91" s="127"/>
      <c r="R91" s="128"/>
      <c r="S91" s="120"/>
      <c r="T91" s="127"/>
      <c r="U91" s="89"/>
      <c r="V91" s="103"/>
      <c r="W91" s="115"/>
      <c r="X91" s="243" t="str">
        <f t="shared" si="30"/>
        <v>South East</v>
      </c>
      <c r="Y91" s="244" t="e">
        <f t="shared" si="31"/>
        <v>#N/A</v>
      </c>
      <c r="Z91" s="244" t="e">
        <f t="shared" si="32"/>
        <v>#N/A</v>
      </c>
      <c r="AA91" s="146"/>
      <c r="AB91" s="147"/>
      <c r="AC91" s="147"/>
      <c r="AD91" s="149"/>
      <c r="AH91" s="141"/>
      <c r="AJ91" s="121"/>
    </row>
    <row r="92" spans="1:76" s="61" customFormat="1" ht="12.75" customHeight="1">
      <c r="A92" s="88"/>
      <c r="B92" s="47"/>
      <c r="C92" s="47"/>
      <c r="D92" s="47"/>
      <c r="E92" s="47"/>
      <c r="F92" s="47"/>
      <c r="G92" s="47"/>
      <c r="H92" s="47"/>
      <c r="I92" s="68"/>
      <c r="J92" s="68"/>
      <c r="K92" s="127"/>
      <c r="L92" s="127"/>
      <c r="M92" s="127"/>
      <c r="N92" s="127"/>
      <c r="O92" s="127"/>
      <c r="P92" s="127"/>
      <c r="Q92" s="127"/>
      <c r="R92" s="128"/>
      <c r="S92" s="120"/>
      <c r="T92" s="127"/>
      <c r="U92" s="89"/>
      <c r="V92" s="103"/>
      <c r="W92" s="115"/>
      <c r="X92" s="243" t="str">
        <f t="shared" si="30"/>
        <v>England</v>
      </c>
      <c r="Y92" s="244" t="e">
        <f t="shared" si="31"/>
        <v>#N/A</v>
      </c>
      <c r="Z92" s="244" t="e">
        <f t="shared" si="32"/>
        <v>#N/A</v>
      </c>
      <c r="AA92" s="146"/>
      <c r="AB92" s="147"/>
      <c r="AC92" s="147"/>
      <c r="AD92" s="149"/>
      <c r="AH92" s="141"/>
      <c r="AJ92" s="121"/>
    </row>
    <row r="93" spans="1:76" s="61" customFormat="1" ht="12.75" customHeight="1">
      <c r="A93" s="88"/>
      <c r="B93" s="47"/>
      <c r="C93" s="47"/>
      <c r="D93" s="47"/>
      <c r="E93" s="47"/>
      <c r="F93" s="47"/>
      <c r="G93" s="47"/>
      <c r="H93" s="47"/>
      <c r="I93" s="68"/>
      <c r="J93" s="68"/>
      <c r="K93" s="127"/>
      <c r="L93" s="127"/>
      <c r="M93" s="127"/>
      <c r="N93" s="127"/>
      <c r="O93" s="127"/>
      <c r="P93" s="127"/>
      <c r="Q93" s="127"/>
      <c r="R93" s="128"/>
      <c r="S93" s="120"/>
      <c r="T93" s="127"/>
      <c r="U93" s="89"/>
      <c r="V93" s="103"/>
      <c r="W93" s="115"/>
      <c r="AA93" s="146"/>
      <c r="AB93" s="147"/>
      <c r="AC93" s="147"/>
      <c r="AD93" s="149"/>
      <c r="AH93" s="141"/>
      <c r="AJ93" s="121"/>
    </row>
    <row r="94" spans="1:76" s="61" customFormat="1" ht="12.6" customHeight="1">
      <c r="A94" s="88"/>
      <c r="B94" s="47"/>
      <c r="C94" s="47"/>
      <c r="D94" s="47"/>
      <c r="E94" s="47"/>
      <c r="F94" s="47"/>
      <c r="G94" s="47"/>
      <c r="H94" s="47"/>
      <c r="I94" s="68"/>
      <c r="J94" s="68"/>
      <c r="K94" s="127"/>
      <c r="L94" s="127"/>
      <c r="M94" s="127"/>
      <c r="N94" s="127"/>
      <c r="O94" s="127"/>
      <c r="P94" s="127"/>
      <c r="Q94" s="127"/>
      <c r="R94" s="128"/>
      <c r="S94" s="120"/>
      <c r="T94" s="127"/>
      <c r="U94" s="89"/>
      <c r="V94" s="103"/>
      <c r="W94" s="115"/>
      <c r="AA94" s="146"/>
      <c r="AB94" s="147"/>
      <c r="AC94" s="147"/>
      <c r="AD94" s="149"/>
      <c r="AH94" s="141"/>
      <c r="AJ94" s="121"/>
    </row>
    <row r="95" spans="1:76" s="61" customFormat="1" ht="12.75" customHeight="1">
      <c r="A95" s="88"/>
      <c r="B95" s="47"/>
      <c r="C95" s="47"/>
      <c r="D95" s="47"/>
      <c r="E95" s="47"/>
      <c r="F95" s="47"/>
      <c r="G95" s="47"/>
      <c r="H95" s="47"/>
      <c r="I95" s="68"/>
      <c r="J95" s="68"/>
      <c r="K95" s="129"/>
      <c r="L95" s="129"/>
      <c r="M95" s="129"/>
      <c r="N95" s="129"/>
      <c r="O95" s="129"/>
      <c r="P95" s="129"/>
      <c r="Q95" s="129"/>
      <c r="R95" s="130"/>
      <c r="S95" s="120"/>
      <c r="T95" s="131"/>
      <c r="U95" s="89"/>
      <c r="V95" s="103"/>
      <c r="W95" s="115"/>
      <c r="AA95" s="146"/>
      <c r="AB95" s="147"/>
      <c r="AC95" s="147"/>
      <c r="AD95" s="149"/>
      <c r="AH95" s="141"/>
      <c r="AJ95" s="121"/>
    </row>
    <row r="96" spans="1:76" s="61" customFormat="1" ht="12.6" customHeight="1">
      <c r="A96" s="88"/>
      <c r="B96" s="47"/>
      <c r="C96" s="47"/>
      <c r="D96" s="47"/>
      <c r="E96" s="47"/>
      <c r="F96" s="47"/>
      <c r="G96" s="47"/>
      <c r="H96" s="47"/>
      <c r="I96" s="68"/>
      <c r="J96" s="68"/>
      <c r="K96" s="129"/>
      <c r="L96" s="129"/>
      <c r="M96" s="129"/>
      <c r="N96" s="129"/>
      <c r="O96" s="129"/>
      <c r="P96" s="129"/>
      <c r="Q96" s="129"/>
      <c r="R96" s="130"/>
      <c r="S96" s="120"/>
      <c r="T96" s="131"/>
      <c r="U96" s="89"/>
      <c r="V96" s="103"/>
      <c r="W96" s="114"/>
      <c r="X96" s="56"/>
      <c r="Y96" s="56"/>
      <c r="Z96" s="56"/>
      <c r="AA96" s="56"/>
      <c r="AB96" s="56"/>
      <c r="AC96" s="147"/>
      <c r="AD96" s="149"/>
      <c r="AE96" s="52"/>
      <c r="AF96" s="52"/>
      <c r="AG96" s="52"/>
      <c r="AH96" s="56"/>
      <c r="AI96" s="52"/>
      <c r="AJ96" s="122"/>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s="61" customFormat="1" ht="12" customHeight="1">
      <c r="A97" s="217"/>
      <c r="B97" s="47"/>
      <c r="C97" s="47"/>
      <c r="D97" s="47"/>
      <c r="E97" s="47"/>
      <c r="F97" s="47"/>
      <c r="G97" s="47"/>
      <c r="H97" s="47"/>
      <c r="I97" s="68"/>
      <c r="J97" s="68"/>
      <c r="K97" s="129"/>
      <c r="L97" s="129"/>
      <c r="M97" s="129"/>
      <c r="N97" s="129"/>
      <c r="O97" s="129"/>
      <c r="P97" s="129"/>
      <c r="Q97" s="129"/>
      <c r="R97" s="130"/>
      <c r="S97" s="120"/>
      <c r="T97" s="131"/>
      <c r="U97" s="89"/>
      <c r="V97" s="103"/>
      <c r="W97" s="114"/>
      <c r="X97" s="56"/>
      <c r="Y97" s="141"/>
      <c r="Z97" s="56"/>
      <c r="AA97" s="56"/>
      <c r="AB97" s="56"/>
      <c r="AC97" s="56"/>
      <c r="AD97" s="149"/>
      <c r="AE97" s="52"/>
      <c r="AF97" s="52"/>
      <c r="AG97" s="52"/>
      <c r="AH97" s="56"/>
      <c r="AI97" s="52"/>
      <c r="AJ97" s="122"/>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s="56" customFormat="1" ht="36" customHeight="1">
      <c r="A98" s="166"/>
      <c r="B98" s="47"/>
      <c r="C98" s="47"/>
      <c r="D98" s="47"/>
      <c r="E98" s="47"/>
      <c r="F98" s="47"/>
      <c r="G98" s="47"/>
      <c r="H98" s="47"/>
      <c r="I98" s="171"/>
      <c r="J98" s="133"/>
      <c r="K98" s="133"/>
      <c r="L98" s="133"/>
      <c r="M98" s="133"/>
      <c r="N98" s="133"/>
      <c r="O98" s="133"/>
      <c r="P98" s="133"/>
      <c r="Q98" s="133"/>
      <c r="R98" s="101"/>
      <c r="S98" s="133"/>
      <c r="T98" s="133"/>
      <c r="U98" s="86"/>
      <c r="V98" s="102"/>
      <c r="W98" s="114"/>
      <c r="Y98" s="141"/>
      <c r="AD98" s="149"/>
      <c r="AE98" s="52"/>
      <c r="AF98" s="52"/>
      <c r="AG98" s="52"/>
      <c r="AI98" s="52"/>
      <c r="AJ98" s="122"/>
    </row>
    <row r="99" spans="1:76" s="56" customFormat="1" ht="35.450000000000003" customHeight="1">
      <c r="A99" s="166"/>
      <c r="B99" s="47"/>
      <c r="C99" s="47"/>
      <c r="D99" s="47"/>
      <c r="E99" s="47"/>
      <c r="F99" s="47"/>
      <c r="G99" s="47"/>
      <c r="H99" s="47"/>
      <c r="I99" s="171"/>
      <c r="J99" s="133"/>
      <c r="K99" s="133"/>
      <c r="L99" s="133"/>
      <c r="M99" s="133"/>
      <c r="N99" s="133"/>
      <c r="O99" s="133"/>
      <c r="P99" s="133"/>
      <c r="Q99" s="133"/>
      <c r="R99" s="101"/>
      <c r="S99" s="133"/>
      <c r="T99" s="133"/>
      <c r="U99" s="86"/>
      <c r="V99" s="102"/>
      <c r="W99" s="114"/>
      <c r="Y99" s="141"/>
      <c r="AI99" s="52"/>
      <c r="AJ99" s="119"/>
      <c r="AK99" s="52"/>
      <c r="AL99" s="52"/>
      <c r="AM99" s="52"/>
      <c r="AN99" s="52"/>
      <c r="AO99" s="52"/>
      <c r="AP99" s="52"/>
      <c r="AQ99" s="52"/>
    </row>
    <row r="100" spans="1:76" s="56" customFormat="1" ht="45.75" customHeight="1">
      <c r="A100" s="166"/>
      <c r="B100" s="171"/>
      <c r="C100" s="171"/>
      <c r="D100" s="171"/>
      <c r="E100" s="171"/>
      <c r="F100" s="171"/>
      <c r="G100" s="171"/>
      <c r="H100" s="171"/>
      <c r="I100" s="171"/>
      <c r="J100" s="133"/>
      <c r="K100" s="133"/>
      <c r="L100" s="133"/>
      <c r="M100" s="133"/>
      <c r="N100" s="133"/>
      <c r="O100" s="133"/>
      <c r="P100" s="133"/>
      <c r="Q100" s="133"/>
      <c r="R100" s="101"/>
      <c r="S100" s="133"/>
      <c r="T100" s="133"/>
      <c r="U100" s="86"/>
      <c r="V100" s="121"/>
      <c r="W100" s="114"/>
      <c r="X100" s="52"/>
      <c r="Y100" s="52"/>
      <c r="AJ100" s="122"/>
      <c r="AS100" s="52"/>
    </row>
    <row r="101" spans="1:76" s="56" customFormat="1" ht="7.5" customHeight="1">
      <c r="A101" s="87"/>
      <c r="B101" s="12"/>
      <c r="C101" s="12"/>
      <c r="D101" s="11"/>
      <c r="E101" s="11"/>
      <c r="F101" s="11"/>
      <c r="G101" s="11"/>
      <c r="H101" s="11"/>
      <c r="I101" s="11"/>
      <c r="J101" s="1"/>
      <c r="K101" s="13"/>
      <c r="L101" s="13"/>
      <c r="M101" s="13"/>
      <c r="N101" s="13"/>
      <c r="O101" s="13"/>
      <c r="P101" s="13"/>
      <c r="Q101" s="13"/>
      <c r="R101" s="13"/>
      <c r="S101" s="13"/>
      <c r="T101" s="14"/>
      <c r="U101" s="86"/>
      <c r="V101" s="185"/>
      <c r="W101" s="114"/>
      <c r="X101" s="52"/>
      <c r="Y101" s="52"/>
      <c r="AI101" s="52"/>
      <c r="AJ101" s="121"/>
      <c r="AK101" s="61"/>
      <c r="AS101" s="52"/>
    </row>
    <row r="102" spans="1:76" s="56" customFormat="1" ht="15" customHeight="1">
      <c r="A102" s="1565"/>
      <c r="B102" s="1751"/>
      <c r="C102" s="1751"/>
      <c r="D102" s="1751"/>
      <c r="E102" s="1751"/>
      <c r="F102" s="1751"/>
      <c r="G102" s="1751"/>
      <c r="H102" s="1751"/>
      <c r="I102" s="1751"/>
      <c r="J102" s="1751"/>
      <c r="K102" s="1751"/>
      <c r="L102" s="1751"/>
      <c r="M102" s="1751"/>
      <c r="N102" s="1751"/>
      <c r="O102" s="1751"/>
      <c r="P102" s="1751"/>
      <c r="Q102" s="1751"/>
      <c r="R102" s="1751"/>
      <c r="S102" s="1751"/>
      <c r="T102" s="1751"/>
      <c r="U102" s="1752"/>
      <c r="V102" s="185"/>
      <c r="W102" s="114"/>
      <c r="X102" s="52"/>
      <c r="Y102" s="52"/>
      <c r="AI102" s="52"/>
      <c r="AJ102" s="119"/>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row>
    <row r="103" spans="1:76" s="56" customFormat="1" ht="11.25" customHeight="1">
      <c r="A103" s="1739"/>
      <c r="B103" s="1740"/>
      <c r="C103" s="1740"/>
      <c r="D103" s="1740"/>
      <c r="E103" s="1740"/>
      <c r="F103" s="1740"/>
      <c r="G103" s="1740"/>
      <c r="H103" s="1740"/>
      <c r="I103" s="1741"/>
      <c r="J103" s="1740"/>
      <c r="K103" s="1740"/>
      <c r="L103" s="1740"/>
      <c r="M103" s="1740"/>
      <c r="N103" s="1740"/>
      <c r="O103" s="1740"/>
      <c r="P103" s="1742"/>
      <c r="Q103" s="1740"/>
      <c r="R103" s="1740"/>
      <c r="S103" s="1947"/>
      <c r="T103" s="1740"/>
      <c r="U103" s="1743"/>
      <c r="V103" s="185"/>
      <c r="W103" s="114"/>
      <c r="AH103" s="251"/>
      <c r="AJ103" s="119"/>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row>
    <row r="104" spans="1:76" ht="10.5" customHeight="1">
      <c r="A104" s="268"/>
      <c r="B104" s="167"/>
      <c r="C104" s="167"/>
      <c r="D104" s="167"/>
      <c r="E104" s="167"/>
      <c r="F104" s="167"/>
      <c r="G104" s="167"/>
      <c r="H104" s="167"/>
      <c r="I104" s="167"/>
      <c r="J104" s="167"/>
      <c r="K104" s="168"/>
      <c r="L104" s="167"/>
      <c r="M104" s="167"/>
      <c r="N104" s="167"/>
      <c r="O104" s="167"/>
      <c r="P104" s="167"/>
      <c r="Q104" s="167"/>
      <c r="R104" s="167"/>
      <c r="S104" s="167"/>
      <c r="T104" s="167"/>
      <c r="U104" s="169"/>
      <c r="V104" s="586"/>
      <c r="W104" s="114"/>
      <c r="Y104" s="141"/>
      <c r="AJ104" s="119"/>
    </row>
    <row r="105" spans="1:76" ht="18.75" customHeight="1">
      <c r="A105" s="87"/>
      <c r="B105" s="1887" t="s">
        <v>1284</v>
      </c>
      <c r="C105" s="1887"/>
      <c r="D105" s="1887"/>
      <c r="E105" s="1887"/>
      <c r="F105" s="1887"/>
      <c r="G105" s="1887"/>
      <c r="H105" s="1887"/>
      <c r="I105" s="1177"/>
      <c r="J105" s="76"/>
      <c r="K105" s="50"/>
      <c r="L105" s="50"/>
      <c r="M105" s="50"/>
      <c r="N105" s="50"/>
      <c r="O105" s="224"/>
      <c r="P105" s="50"/>
      <c r="Q105" s="50"/>
      <c r="R105" s="50"/>
      <c r="S105" s="50"/>
      <c r="T105" s="50"/>
      <c r="U105" s="86"/>
      <c r="V105" s="102"/>
      <c r="W105" s="114"/>
      <c r="X105" s="52" t="s">
        <v>651</v>
      </c>
      <c r="Y105" s="52"/>
      <c r="Z105" s="52"/>
      <c r="AA105" s="52"/>
      <c r="AB105" s="52"/>
      <c r="AC105" s="52"/>
      <c r="AD105" s="52" t="s">
        <v>882</v>
      </c>
      <c r="AE105" s="52"/>
      <c r="AF105" s="52"/>
      <c r="AG105" s="52"/>
      <c r="AH105" s="52"/>
      <c r="AJ105" s="119"/>
    </row>
    <row r="106" spans="1:76" ht="18.75" customHeight="1">
      <c r="A106" s="87"/>
      <c r="B106" s="1887"/>
      <c r="C106" s="1887"/>
      <c r="D106" s="1887"/>
      <c r="E106" s="1887"/>
      <c r="F106" s="1887"/>
      <c r="G106" s="1887"/>
      <c r="H106" s="1887"/>
      <c r="I106" s="1177"/>
      <c r="J106" s="76"/>
      <c r="K106" s="50"/>
      <c r="L106" s="50"/>
      <c r="M106" s="50"/>
      <c r="N106" s="50"/>
      <c r="O106" s="224"/>
      <c r="P106" s="50"/>
      <c r="Q106" s="50"/>
      <c r="R106" s="50"/>
      <c r="S106" s="5"/>
      <c r="T106" s="50"/>
      <c r="U106" s="86"/>
      <c r="V106" s="102"/>
      <c r="W106" s="114"/>
      <c r="X106" s="251"/>
      <c r="Y106" s="250"/>
      <c r="Z106" s="251"/>
      <c r="AA106" s="251"/>
      <c r="AB106" s="251"/>
      <c r="AD106" s="251"/>
      <c r="AE106" s="250"/>
      <c r="AF106" s="251"/>
      <c r="AG106" s="251"/>
      <c r="AH106" s="251"/>
      <c r="AI106" s="56"/>
      <c r="AJ106" s="119"/>
    </row>
    <row r="107" spans="1:76" s="61" customFormat="1" ht="18.75" customHeight="1">
      <c r="A107" s="1148"/>
      <c r="B107" s="1749" t="s">
        <v>177</v>
      </c>
      <c r="C107" s="1175"/>
      <c r="D107" s="1088" t="str">
        <f>ReportData!$D$27</f>
        <v>2019/20</v>
      </c>
      <c r="E107" s="1088" t="str">
        <f>ReportData!$E$27</f>
        <v>2020/21</v>
      </c>
      <c r="F107" s="1088" t="str">
        <f>ReportData!$F$27</f>
        <v>2021/22</v>
      </c>
      <c r="G107" s="1088" t="str">
        <f>ReportData!$G$27</f>
        <v>2022/23</v>
      </c>
      <c r="H107" s="1089" t="str">
        <f>ReportData!$H$27</f>
        <v>2023/24</v>
      </c>
      <c r="I107" s="43"/>
      <c r="J107" s="68"/>
      <c r="K107" s="68"/>
      <c r="L107" s="43"/>
      <c r="M107" s="43"/>
      <c r="N107" s="43"/>
      <c r="O107" s="43"/>
      <c r="P107" s="43"/>
      <c r="Q107" s="43"/>
      <c r="R107" s="225"/>
      <c r="S107" s="225"/>
      <c r="T107" s="120"/>
      <c r="U107" s="89"/>
      <c r="V107" s="103"/>
      <c r="W107" s="115"/>
      <c r="X107" s="352"/>
      <c r="Y107" s="355" t="str">
        <f>IF(ReportData!$C$3="Annual","",ReportData!$D$28)</f>
        <v/>
      </c>
      <c r="Z107" s="307" t="str">
        <f>IF(ReportData!$C$3="Annual","",ReportData!$E$28)</f>
        <v/>
      </c>
      <c r="AA107" s="307" t="str">
        <f>IF(ReportData!$C$3="Annual","",ReportData!$F$28)</f>
        <v/>
      </c>
      <c r="AB107" s="307" t="str">
        <f>IF(ReportData!$C$3="Annual","",ReportData!$G$28)</f>
        <v/>
      </c>
      <c r="AC107" s="307" t="str">
        <f>IF(ReportData!$C$3="Annual","",ReportData!$H$28)</f>
        <v/>
      </c>
      <c r="AD107" s="352"/>
      <c r="AE107" s="355" t="str">
        <f>IF(ReportData!$C$3="Annual","",ReportData!$D$28)</f>
        <v/>
      </c>
      <c r="AF107" s="307" t="str">
        <f>IF(ReportData!$C$3="Annual","",ReportData!$E$28)</f>
        <v/>
      </c>
      <c r="AG107" s="307" t="str">
        <f>IF(ReportData!$C$3="Annual","",ReportData!$F$28)</f>
        <v/>
      </c>
      <c r="AH107" s="307" t="str">
        <f>IF(ReportData!$C$3="Annual","",ReportData!$G$28)</f>
        <v/>
      </c>
      <c r="AI107" s="307" t="str">
        <f>IF(ReportData!$C$3="Annual","",ReportData!$H$28)</f>
        <v/>
      </c>
      <c r="AJ107" s="121"/>
    </row>
    <row r="108" spans="1:76" s="61" customFormat="1" ht="16.5" customHeight="1">
      <c r="A108" s="1097"/>
      <c r="B108" s="1750"/>
      <c r="C108" s="896"/>
      <c r="D108" s="897" t="e">
        <f>ReportData!$D$28</f>
        <v>#N/A</v>
      </c>
      <c r="E108" s="897" t="e">
        <f>ReportData!$E$28</f>
        <v>#N/A</v>
      </c>
      <c r="F108" s="897" t="e">
        <f>ReportData!$F$28</f>
        <v>#N/A</v>
      </c>
      <c r="G108" s="897" t="e">
        <f>ReportData!$G$28</f>
        <v>#N/A</v>
      </c>
      <c r="H108" s="920" t="e">
        <f>ReportData!$H$28</f>
        <v>#N/A</v>
      </c>
      <c r="I108" s="43"/>
      <c r="J108" s="68"/>
      <c r="K108" s="68"/>
      <c r="L108" s="43"/>
      <c r="M108" s="43"/>
      <c r="N108" s="43"/>
      <c r="O108" s="43"/>
      <c r="P108" s="43"/>
      <c r="Q108" s="43"/>
      <c r="R108" s="225"/>
      <c r="S108" s="225"/>
      <c r="T108" s="120"/>
      <c r="U108" s="89"/>
      <c r="V108" s="103"/>
      <c r="W108" s="115"/>
      <c r="X108" s="352"/>
      <c r="Y108" s="355" t="str">
        <f>ReportData!$D$27</f>
        <v>2019/20</v>
      </c>
      <c r="Z108" s="307" t="str">
        <f>ReportData!$E$27</f>
        <v>2020/21</v>
      </c>
      <c r="AA108" s="307" t="str">
        <f>ReportData!$F$27</f>
        <v>2021/22</v>
      </c>
      <c r="AB108" s="307" t="str">
        <f>ReportData!$G$27</f>
        <v>2022/23</v>
      </c>
      <c r="AC108" s="307" t="str">
        <f>ReportData!$H$27</f>
        <v>2023/24</v>
      </c>
      <c r="AD108" s="352"/>
      <c r="AE108" s="355" t="str">
        <f>ReportData!$D$27</f>
        <v>2019/20</v>
      </c>
      <c r="AF108" s="307" t="str">
        <f>ReportData!$E$27</f>
        <v>2020/21</v>
      </c>
      <c r="AG108" s="307" t="str">
        <f>ReportData!$F$27</f>
        <v>2021/22</v>
      </c>
      <c r="AH108" s="307" t="str">
        <f>ReportData!$G$27</f>
        <v>2022/23</v>
      </c>
      <c r="AI108" s="307" t="str">
        <f>ReportData!$H$27</f>
        <v>2023/24</v>
      </c>
      <c r="AJ108" s="121"/>
    </row>
    <row r="109" spans="1:76" s="61" customFormat="1" ht="13.5" customHeight="1">
      <c r="A109" s="1103">
        <f>VLOOKUP(B109,ReportData!$AQ$4:$AR$25,2,FALSE)</f>
        <v>0</v>
      </c>
      <c r="B109" s="885" t="str">
        <f t="shared" ref="B109:B128" si="33">B11</f>
        <v>Bracknell Forest</v>
      </c>
      <c r="C109" s="896"/>
      <c r="D109" s="922">
        <f t="shared" ref="D109:D127" si="34">IF(AND(ISNUMBER(D11),ISNUMBER(Y109)),Y109/D11,NA())</f>
        <v>0.91228070175438591</v>
      </c>
      <c r="E109" s="922">
        <f t="shared" ref="E109:E127" si="35">IF(AND(ISNUMBER(E11),ISNUMBER(Z109)),Z109/E11,NA())</f>
        <v>0.9</v>
      </c>
      <c r="F109" s="922">
        <f t="shared" ref="F109:F127" si="36">IF(AND(ISNUMBER(F11),ISNUMBER(AA109)),AA109/F11,NA())</f>
        <v>0.92982456140350878</v>
      </c>
      <c r="G109" s="922">
        <f t="shared" ref="G109:G127" si="37">IF(AND(ISNUMBER(G11),ISNUMBER(AB109)),AB109/G11,NA())</f>
        <v>0.86111111111111116</v>
      </c>
      <c r="H109" s="923">
        <f t="shared" ref="H109:H127" si="38">IF(AND(ISNUMBER(H11),ISNUMBER(AC109)),AC109/H11,NA())</f>
        <v>0.93243243243243246</v>
      </c>
      <c r="I109" s="274"/>
      <c r="J109" s="68"/>
      <c r="K109" s="68"/>
      <c r="L109" s="127"/>
      <c r="M109" s="127"/>
      <c r="N109" s="127"/>
      <c r="O109" s="127"/>
      <c r="P109" s="127"/>
      <c r="Q109" s="127"/>
      <c r="R109" s="127"/>
      <c r="S109" s="128"/>
      <c r="T109" s="120"/>
      <c r="U109" s="89"/>
      <c r="V109" s="103"/>
      <c r="W109" s="115"/>
      <c r="X109" s="352" t="str">
        <f t="shared" ref="X109:X129" si="39">B109</f>
        <v>Bracknell Forest</v>
      </c>
      <c r="Y109" s="355">
        <f>IF(Year1_Bracknell_Forest Year1_Care_Leavers_in_touch="","",Year1_Bracknell_Forest Year1_Care_Leavers_in_touch)</f>
        <v>52</v>
      </c>
      <c r="Z109" s="248">
        <f>IF(Year2_Bracknell_Forest Year2_Care_Leavers_in_touch="","",Year2_Bracknell_Forest Year2_Care_Leavers_in_touch)</f>
        <v>54</v>
      </c>
      <c r="AA109" s="248">
        <f>IF(Year3_Bracknell_Forest Year3_Care_Leavers_in_touch="","",Year3_Bracknell_Forest Year3_Care_Leavers_in_touch)</f>
        <v>53</v>
      </c>
      <c r="AB109" s="248">
        <f>IF(Year4_Bracknell_Forest Year4_Care_Leavers_in_touch="","",Year4_Bracknell_Forest Year4_Care_Leavers_in_touch)</f>
        <v>62</v>
      </c>
      <c r="AC109" s="248">
        <f>IF(Year5_Bracknell_Forest Year5_Care_Leavers_in_touch="","",Year5_Bracknell_Forest Year5_Care_Leavers_in_touch)</f>
        <v>69</v>
      </c>
      <c r="AD109" s="352" t="str">
        <f>X109</f>
        <v>Bracknell Forest</v>
      </c>
      <c r="AE109" s="355">
        <f t="shared" ref="AE109:AE127" si="40">IF(Y109="",0,D11)</f>
        <v>57</v>
      </c>
      <c r="AF109" s="355">
        <f t="shared" ref="AF109:AF127" si="41">IF(Z109="",0,E11)</f>
        <v>60</v>
      </c>
      <c r="AG109" s="355">
        <f t="shared" ref="AG109:AG127" si="42">IF(AA109="",0,F11)</f>
        <v>57</v>
      </c>
      <c r="AH109" s="355">
        <f t="shared" ref="AH109:AH127" si="43">IF(AB109="",0,G11)</f>
        <v>72</v>
      </c>
      <c r="AI109" s="355">
        <f t="shared" ref="AI109:AI127" si="44">IF(AC109="",0,H11)</f>
        <v>74</v>
      </c>
      <c r="AJ109" s="121"/>
    </row>
    <row r="110" spans="1:76" s="61" customFormat="1" ht="13.5" customHeight="1">
      <c r="A110" s="1103">
        <f>VLOOKUP(B110,ReportData!$AQ$4:$AR$25,2,FALSE)</f>
        <v>0</v>
      </c>
      <c r="B110" s="885" t="str">
        <f t="shared" si="33"/>
        <v>Brighton &amp; Hove</v>
      </c>
      <c r="C110" s="896"/>
      <c r="D110" s="922">
        <f t="shared" si="34"/>
        <v>0.95633187772925765</v>
      </c>
      <c r="E110" s="922">
        <f t="shared" si="35"/>
        <v>0.93665158371040724</v>
      </c>
      <c r="F110" s="922">
        <f t="shared" si="36"/>
        <v>0.95454545454545459</v>
      </c>
      <c r="G110" s="922">
        <f t="shared" si="37"/>
        <v>0.96650717703349287</v>
      </c>
      <c r="H110" s="923">
        <f t="shared" si="38"/>
        <v>0.95927601809954754</v>
      </c>
      <c r="I110" s="274"/>
      <c r="J110" s="68"/>
      <c r="K110" s="68"/>
      <c r="L110" s="127"/>
      <c r="M110" s="127"/>
      <c r="N110" s="127"/>
      <c r="O110" s="127"/>
      <c r="P110" s="127"/>
      <c r="Q110" s="127"/>
      <c r="R110" s="127"/>
      <c r="S110" s="128"/>
      <c r="T110" s="120"/>
      <c r="U110" s="89"/>
      <c r="V110" s="103"/>
      <c r="W110" s="115"/>
      <c r="X110" s="352" t="str">
        <f t="shared" si="39"/>
        <v>Brighton &amp; Hove</v>
      </c>
      <c r="Y110" s="355">
        <f>IF(Year1_Brighton_and_Hove Year1_Care_Leavers_in_touch="","",Year1_Brighton_and_Hove Year1_Care_Leavers_in_touch)</f>
        <v>219</v>
      </c>
      <c r="Z110" s="248">
        <f>IF(Year2_Brighton_and_Hove Year2_Care_Leavers_in_touch="","",Year2_Brighton_and_Hove Year2_Care_Leavers_in_touch)</f>
        <v>207</v>
      </c>
      <c r="AA110" s="248">
        <f>IF(Year3_Brighton_and_Hove Year3_Care_Leavers_in_touch="","",Year3_Brighton_and_Hove Year3_Care_Leavers_in_touch)</f>
        <v>210</v>
      </c>
      <c r="AB110" s="248">
        <f>IF(Year4_Brighton_and_Hove Year4_Care_Leavers_in_touch="","",Year4_Brighton_and_Hove Year4_Care_Leavers_in_touch)</f>
        <v>202</v>
      </c>
      <c r="AC110" s="248">
        <f>IF(Year5_Brighton_and_Hove Year5_Care_Leavers_in_touch="","",Year5_Brighton_and_Hove Year5_Care_Leavers_in_touch)</f>
        <v>212</v>
      </c>
      <c r="AD110" s="352" t="str">
        <f t="shared" ref="AD110:AD128" si="45">X110</f>
        <v>Brighton &amp; Hove</v>
      </c>
      <c r="AE110" s="355">
        <f t="shared" si="40"/>
        <v>229</v>
      </c>
      <c r="AF110" s="355">
        <f t="shared" si="41"/>
        <v>221</v>
      </c>
      <c r="AG110" s="355">
        <f t="shared" si="42"/>
        <v>220</v>
      </c>
      <c r="AH110" s="355">
        <f t="shared" si="43"/>
        <v>209</v>
      </c>
      <c r="AI110" s="355">
        <f t="shared" si="44"/>
        <v>221</v>
      </c>
      <c r="AJ110" s="121"/>
    </row>
    <row r="111" spans="1:76" s="61" customFormat="1" ht="13.5" customHeight="1">
      <c r="A111" s="1103">
        <f>VLOOKUP(B111,ReportData!$AQ$4:$AR$25,2,FALSE)</f>
        <v>0</v>
      </c>
      <c r="B111" s="885" t="str">
        <f t="shared" si="33"/>
        <v>Buckinghamshire</v>
      </c>
      <c r="C111" s="896"/>
      <c r="D111" s="922">
        <f t="shared" si="34"/>
        <v>0.89175257731958768</v>
      </c>
      <c r="E111" s="922">
        <f t="shared" si="35"/>
        <v>0.98067632850241548</v>
      </c>
      <c r="F111" s="922">
        <f t="shared" si="36"/>
        <v>0.96551724137931039</v>
      </c>
      <c r="G111" s="922">
        <f t="shared" si="37"/>
        <v>0.90688259109311742</v>
      </c>
      <c r="H111" s="923">
        <f t="shared" si="38"/>
        <v>0.92181069958847739</v>
      </c>
      <c r="I111" s="274"/>
      <c r="J111" s="68"/>
      <c r="K111" s="68"/>
      <c r="L111" s="127"/>
      <c r="M111" s="127"/>
      <c r="N111" s="127"/>
      <c r="O111" s="127"/>
      <c r="P111" s="127"/>
      <c r="Q111" s="127"/>
      <c r="R111" s="127"/>
      <c r="S111" s="128"/>
      <c r="T111" s="120"/>
      <c r="U111" s="89"/>
      <c r="V111" s="103"/>
      <c r="W111" s="115"/>
      <c r="X111" s="352" t="str">
        <f t="shared" si="39"/>
        <v>Buckinghamshire</v>
      </c>
      <c r="Y111" s="355">
        <f>IF(Year1_Buckinghamshire Year1_Care_Leavers_in_touch="","",Year1_Buckinghamshire Year1_Care_Leavers_in_touch)</f>
        <v>173</v>
      </c>
      <c r="Z111" s="248">
        <f>IF(Year2_Buckinghamshire Year2_Care_Leavers_in_touch="","",Year2_Buckinghamshire Year2_Care_Leavers_in_touch)</f>
        <v>203</v>
      </c>
      <c r="AA111" s="248">
        <f>IF(Year3_Buckinghamshire Year3_Care_Leavers_in_touch="","",Year3_Buckinghamshire Year3_Care_Leavers_in_touch)</f>
        <v>224</v>
      </c>
      <c r="AB111" s="248">
        <f>IF(Year4_Buckinghamshire Year4_Care_Leavers_in_touch="","",Year4_Buckinghamshire Year4_Care_Leavers_in_touch)</f>
        <v>224</v>
      </c>
      <c r="AC111" s="248">
        <f>IF(Year5_Buckinghamshire Year5_Care_Leavers_in_touch="","",Year5_Buckinghamshire Year5_Care_Leavers_in_touch)</f>
        <v>224</v>
      </c>
      <c r="AD111" s="352" t="str">
        <f t="shared" si="45"/>
        <v>Buckinghamshire</v>
      </c>
      <c r="AE111" s="355">
        <f t="shared" si="40"/>
        <v>194</v>
      </c>
      <c r="AF111" s="355">
        <f t="shared" si="41"/>
        <v>207</v>
      </c>
      <c r="AG111" s="355">
        <f t="shared" si="42"/>
        <v>232</v>
      </c>
      <c r="AH111" s="355">
        <f t="shared" si="43"/>
        <v>247</v>
      </c>
      <c r="AI111" s="355">
        <f t="shared" si="44"/>
        <v>243</v>
      </c>
      <c r="AJ111" s="121"/>
    </row>
    <row r="112" spans="1:76" s="61" customFormat="1" ht="13.5" customHeight="1">
      <c r="A112" s="1103">
        <f>VLOOKUP(B112,ReportData!$AQ$4:$AR$25,2,FALSE)</f>
        <v>0</v>
      </c>
      <c r="B112" s="885" t="str">
        <f t="shared" si="33"/>
        <v>East Sussex</v>
      </c>
      <c r="C112" s="896"/>
      <c r="D112" s="922">
        <f t="shared" si="34"/>
        <v>0.83417085427135673</v>
      </c>
      <c r="E112" s="922">
        <f t="shared" si="35"/>
        <v>0.86111111111111116</v>
      </c>
      <c r="F112" s="922">
        <f t="shared" si="36"/>
        <v>0.8928571428571429</v>
      </c>
      <c r="G112" s="922">
        <f t="shared" si="37"/>
        <v>0.91093117408906887</v>
      </c>
      <c r="H112" s="923">
        <f t="shared" si="38"/>
        <v>0.92509363295880154</v>
      </c>
      <c r="I112" s="274"/>
      <c r="J112" s="68"/>
      <c r="K112" s="68"/>
      <c r="L112" s="127"/>
      <c r="M112" s="127"/>
      <c r="N112" s="127"/>
      <c r="O112" s="127"/>
      <c r="P112" s="127"/>
      <c r="Q112" s="127"/>
      <c r="R112" s="127"/>
      <c r="S112" s="128"/>
      <c r="T112" s="120"/>
      <c r="U112" s="89"/>
      <c r="V112" s="103"/>
      <c r="W112" s="115"/>
      <c r="X112" s="352" t="str">
        <f t="shared" si="39"/>
        <v>East Sussex</v>
      </c>
      <c r="Y112" s="355">
        <f>IF(Year1_East_Sussex Year1_Care_Leavers_in_touch="","",Year1_East_Sussex Year1_Care_Leavers_in_touch)</f>
        <v>166</v>
      </c>
      <c r="Z112" s="248">
        <f>IF(Year2_East_Sussex Year2_Care_Leavers_in_touch="","",Year2_East_Sussex Year2_Care_Leavers_in_touch)</f>
        <v>186</v>
      </c>
      <c r="AA112" s="248">
        <f>IF(Year3_East_Sussex Year3_Care_Leavers_in_touch="","",Year3_East_Sussex Year3_Care_Leavers_in_touch)</f>
        <v>200</v>
      </c>
      <c r="AB112" s="248">
        <f>IF(Year4_East_Sussex Year4_Care_Leavers_in_touch="","",Year4_East_Sussex Year4_Care_Leavers_in_touch)</f>
        <v>225</v>
      </c>
      <c r="AC112" s="248">
        <f>IF(Year5_East_Sussex Year5_Care_Leavers_in_touch="","",Year5_East_Sussex Year5_Care_Leavers_in_touch)</f>
        <v>247</v>
      </c>
      <c r="AD112" s="352" t="str">
        <f t="shared" si="45"/>
        <v>East Sussex</v>
      </c>
      <c r="AE112" s="355">
        <f t="shared" si="40"/>
        <v>199</v>
      </c>
      <c r="AF112" s="355">
        <f t="shared" si="41"/>
        <v>216</v>
      </c>
      <c r="AG112" s="355">
        <f t="shared" si="42"/>
        <v>224</v>
      </c>
      <c r="AH112" s="355">
        <f t="shared" si="43"/>
        <v>247</v>
      </c>
      <c r="AI112" s="355">
        <f t="shared" si="44"/>
        <v>267</v>
      </c>
      <c r="AJ112" s="121"/>
    </row>
    <row r="113" spans="1:44" s="61" customFormat="1" ht="13.5" customHeight="1">
      <c r="A113" s="1103">
        <f>VLOOKUP(B113,ReportData!$AQ$4:$AR$25,2,FALSE)</f>
        <v>0</v>
      </c>
      <c r="B113" s="885" t="str">
        <f t="shared" si="33"/>
        <v>Hampshire</v>
      </c>
      <c r="C113" s="896"/>
      <c r="D113" s="922">
        <f t="shared" si="34"/>
        <v>0.78221415607985478</v>
      </c>
      <c r="E113" s="922">
        <f t="shared" si="35"/>
        <v>0.7945425361155698</v>
      </c>
      <c r="F113" s="922">
        <f t="shared" si="36"/>
        <v>0.78147612156295221</v>
      </c>
      <c r="G113" s="922">
        <f t="shared" si="37"/>
        <v>0.74507042253521127</v>
      </c>
      <c r="H113" s="923">
        <f t="shared" si="38"/>
        <v>0.35864978902953587</v>
      </c>
      <c r="I113" s="274"/>
      <c r="J113" s="68"/>
      <c r="K113" s="68"/>
      <c r="L113" s="127"/>
      <c r="M113" s="127"/>
      <c r="N113" s="127"/>
      <c r="O113" s="127"/>
      <c r="P113" s="127"/>
      <c r="Q113" s="127"/>
      <c r="R113" s="127"/>
      <c r="S113" s="128"/>
      <c r="T113" s="120"/>
      <c r="U113" s="89"/>
      <c r="V113" s="103"/>
      <c r="W113" s="115"/>
      <c r="X113" s="352" t="str">
        <f t="shared" si="39"/>
        <v>Hampshire</v>
      </c>
      <c r="Y113" s="355">
        <f>IF(Year1_Hampshire Year1_Care_Leavers_in_touch="","",Year1_Hampshire Year1_Care_Leavers_in_touch)</f>
        <v>431</v>
      </c>
      <c r="Z113" s="248">
        <f>IF(Year2_Hampshire Year2_Care_Leavers_in_touch="","",Year2_Hampshire Year2_Care_Leavers_in_touch)</f>
        <v>495</v>
      </c>
      <c r="AA113" s="248">
        <f>IF(Year3_Hampshire Year3_Care_Leavers_in_touch="","",Year3_Hampshire Year3_Care_Leavers_in_touch)</f>
        <v>540</v>
      </c>
      <c r="AB113" s="248">
        <f>IF(Year4_Hampshire Year4_Care_Leavers_in_touch="","",Year4_Hampshire Year4_Care_Leavers_in_touch)</f>
        <v>529</v>
      </c>
      <c r="AC113" s="248">
        <f>IF(Year5_Hampshire Year5_Care_Leavers_in_touch="","",Year5_Hampshire Year5_Care_Leavers_in_touch)</f>
        <v>255</v>
      </c>
      <c r="AD113" s="352" t="str">
        <f t="shared" si="45"/>
        <v>Hampshire</v>
      </c>
      <c r="AE113" s="355">
        <f t="shared" si="40"/>
        <v>551</v>
      </c>
      <c r="AF113" s="355">
        <f t="shared" si="41"/>
        <v>623</v>
      </c>
      <c r="AG113" s="355">
        <f t="shared" si="42"/>
        <v>691</v>
      </c>
      <c r="AH113" s="355">
        <f t="shared" si="43"/>
        <v>710</v>
      </c>
      <c r="AI113" s="355">
        <f t="shared" si="44"/>
        <v>711</v>
      </c>
      <c r="AJ113" s="121"/>
    </row>
    <row r="114" spans="1:44" s="61" customFormat="1" ht="13.5" customHeight="1">
      <c r="A114" s="1103">
        <f>VLOOKUP(B114,ReportData!$AQ$4:$AR$25,2,FALSE)</f>
        <v>0</v>
      </c>
      <c r="B114" s="885" t="str">
        <f t="shared" si="33"/>
        <v>Isle of Wight</v>
      </c>
      <c r="C114" s="896"/>
      <c r="D114" s="922">
        <f t="shared" si="34"/>
        <v>0.97701149425287359</v>
      </c>
      <c r="E114" s="922">
        <f t="shared" si="35"/>
        <v>0.95180722891566261</v>
      </c>
      <c r="F114" s="922">
        <f t="shared" si="36"/>
        <v>0.9726027397260274</v>
      </c>
      <c r="G114" s="922">
        <f t="shared" si="37"/>
        <v>0.92105263157894735</v>
      </c>
      <c r="H114" s="923">
        <f t="shared" si="38"/>
        <v>0.92307692307692313</v>
      </c>
      <c r="I114" s="274"/>
      <c r="J114" s="68"/>
      <c r="K114" s="68"/>
      <c r="L114" s="127"/>
      <c r="M114" s="127"/>
      <c r="N114" s="127"/>
      <c r="O114" s="127"/>
      <c r="P114" s="127"/>
      <c r="Q114" s="127"/>
      <c r="R114" s="127"/>
      <c r="S114" s="128"/>
      <c r="T114" s="120"/>
      <c r="U114" s="89"/>
      <c r="V114" s="103"/>
      <c r="W114" s="115"/>
      <c r="X114" s="352" t="str">
        <f t="shared" si="39"/>
        <v>Isle of Wight</v>
      </c>
      <c r="Y114" s="355">
        <f>IF(Year1_Isle_of_Wight Year1_Care_Leavers_in_touch="","",Year1_Isle_of_Wight Year1_Care_Leavers_in_touch)</f>
        <v>85</v>
      </c>
      <c r="Z114" s="248">
        <f>IF(Year2_Isle_of_Wight Year2_Care_Leavers_in_touch="","",Year2_Isle_of_Wight Year2_Care_Leavers_in_touch)</f>
        <v>79</v>
      </c>
      <c r="AA114" s="248">
        <f>IF(Year3_Isle_of_Wight Year3_Care_Leavers_in_touch="","",Year3_Isle_of_Wight Year3_Care_Leavers_in_touch)</f>
        <v>71</v>
      </c>
      <c r="AB114" s="248">
        <f>IF(Year4_Isle_of_Wight Year4_Care_Leavers_in_touch="","",Year4_Isle_of_Wight Year4_Care_Leavers_in_touch)</f>
        <v>70</v>
      </c>
      <c r="AC114" s="248">
        <f>IF(Year5_Isle_of_Wight Year5_Care_Leavers_in_touch="","",Year5_Isle_of_Wight Year5_Care_Leavers_in_touch)</f>
        <v>84</v>
      </c>
      <c r="AD114" s="352" t="str">
        <f t="shared" si="45"/>
        <v>Isle of Wight</v>
      </c>
      <c r="AE114" s="355">
        <f t="shared" si="40"/>
        <v>87</v>
      </c>
      <c r="AF114" s="355">
        <f t="shared" si="41"/>
        <v>83</v>
      </c>
      <c r="AG114" s="355">
        <f t="shared" si="42"/>
        <v>73</v>
      </c>
      <c r="AH114" s="355">
        <f t="shared" si="43"/>
        <v>76</v>
      </c>
      <c r="AI114" s="355">
        <f t="shared" si="44"/>
        <v>91</v>
      </c>
      <c r="AJ114" s="121"/>
      <c r="AR114" s="61" t="s">
        <v>95</v>
      </c>
    </row>
    <row r="115" spans="1:44" s="61" customFormat="1" ht="13.5" customHeight="1">
      <c r="A115" s="1103">
        <f>VLOOKUP(B115,ReportData!$AQ$4:$AR$25,2,FALSE)</f>
        <v>0</v>
      </c>
      <c r="B115" s="885" t="str">
        <f t="shared" si="33"/>
        <v>Kent</v>
      </c>
      <c r="C115" s="896"/>
      <c r="D115" s="922">
        <f t="shared" si="34"/>
        <v>0.85104844540853219</v>
      </c>
      <c r="E115" s="922">
        <f t="shared" si="35"/>
        <v>0.88936170212765953</v>
      </c>
      <c r="F115" s="922">
        <f t="shared" si="36"/>
        <v>0.92235494880546076</v>
      </c>
      <c r="G115" s="922">
        <f t="shared" si="37"/>
        <v>0.93657331136738053</v>
      </c>
      <c r="H115" s="923">
        <f t="shared" si="38"/>
        <v>0.92186201163757275</v>
      </c>
      <c r="I115" s="274"/>
      <c r="J115" s="68"/>
      <c r="K115" s="68"/>
      <c r="L115" s="127"/>
      <c r="M115" s="127"/>
      <c r="N115" s="127"/>
      <c r="O115" s="127"/>
      <c r="P115" s="127"/>
      <c r="Q115" s="127"/>
      <c r="R115" s="127"/>
      <c r="S115" s="128"/>
      <c r="T115" s="120"/>
      <c r="U115" s="89"/>
      <c r="V115" s="103"/>
      <c r="W115" s="115"/>
      <c r="X115" s="352" t="str">
        <f t="shared" si="39"/>
        <v>Kent</v>
      </c>
      <c r="Y115" s="355">
        <f>IF(Year1_Kent Year1_Care_Leavers_in_touch="","",Year1_Kent Year1_Care_Leavers_in_touch)</f>
        <v>1177</v>
      </c>
      <c r="Z115" s="248">
        <f>IF(Year2_Kent Year2_Care_Leavers_in_touch="","",Year2_Kent Year2_Care_Leavers_in_touch)</f>
        <v>1045</v>
      </c>
      <c r="AA115" s="248">
        <f>IF(Year3_Kent Year3_Care_Leavers_in_touch="","",Year3_Kent Year3_Care_Leavers_in_touch)</f>
        <v>1081</v>
      </c>
      <c r="AB115" s="248">
        <f>IF(Year4_Kent Year4_Care_Leavers_in_touch="","",Year4_Kent Year4_Care_Leavers_in_touch)</f>
        <v>1137</v>
      </c>
      <c r="AC115" s="248">
        <f>IF(Year5_Kent Year5_Care_Leavers_in_touch="","",Year5_Kent Year5_Care_Leavers_in_touch)</f>
        <v>1109</v>
      </c>
      <c r="AD115" s="352" t="str">
        <f t="shared" si="45"/>
        <v>Kent</v>
      </c>
      <c r="AE115" s="355">
        <f t="shared" si="40"/>
        <v>1383</v>
      </c>
      <c r="AF115" s="355">
        <f t="shared" si="41"/>
        <v>1175</v>
      </c>
      <c r="AG115" s="355">
        <f t="shared" si="42"/>
        <v>1172</v>
      </c>
      <c r="AH115" s="355">
        <f t="shared" si="43"/>
        <v>1214</v>
      </c>
      <c r="AI115" s="355">
        <f t="shared" si="44"/>
        <v>1203</v>
      </c>
      <c r="AJ115" s="121"/>
    </row>
    <row r="116" spans="1:44" s="61" customFormat="1" ht="13.5" customHeight="1">
      <c r="A116" s="1103">
        <f>VLOOKUP(B116,ReportData!$AQ$4:$AR$25,2,FALSE)</f>
        <v>0</v>
      </c>
      <c r="B116" s="885" t="str">
        <f t="shared" si="33"/>
        <v>Medway</v>
      </c>
      <c r="C116" s="896"/>
      <c r="D116" s="922">
        <f t="shared" si="34"/>
        <v>0.97520661157024791</v>
      </c>
      <c r="E116" s="922">
        <f t="shared" si="35"/>
        <v>0.96240601503759393</v>
      </c>
      <c r="F116" s="922">
        <f t="shared" si="36"/>
        <v>0.98571428571428577</v>
      </c>
      <c r="G116" s="922">
        <f t="shared" si="37"/>
        <v>0.99319727891156462</v>
      </c>
      <c r="H116" s="923">
        <f t="shared" si="38"/>
        <v>0.9668874172185431</v>
      </c>
      <c r="I116" s="274"/>
      <c r="J116" s="68"/>
      <c r="K116" s="68"/>
      <c r="L116" s="127"/>
      <c r="M116" s="127"/>
      <c r="N116" s="127"/>
      <c r="O116" s="127"/>
      <c r="P116" s="127"/>
      <c r="Q116" s="127"/>
      <c r="R116" s="127"/>
      <c r="S116" s="128"/>
      <c r="T116" s="120"/>
      <c r="U116" s="89"/>
      <c r="V116" s="103"/>
      <c r="W116" s="115"/>
      <c r="X116" s="352" t="str">
        <f t="shared" si="39"/>
        <v>Medway</v>
      </c>
      <c r="Y116" s="355">
        <f>IF(Year1_Medway Year1_Care_Leavers_in_touch="","",Year1_Medway Year1_Care_Leavers_in_touch)</f>
        <v>118</v>
      </c>
      <c r="Z116" s="248">
        <f>IF(Year2_Medway Year2_Care_Leavers_in_touch="","",Year2_Medway Year2_Care_Leavers_in_touch)</f>
        <v>128</v>
      </c>
      <c r="AA116" s="248">
        <f>IF(Year3_Medway Year3_Care_Leavers_in_touch="","",Year3_Medway Year3_Care_Leavers_in_touch)</f>
        <v>138</v>
      </c>
      <c r="AB116" s="248">
        <f>IF(Year4_Medway Year4_Care_Leavers_in_touch="","",Year4_Medway Year4_Care_Leavers_in_touch)</f>
        <v>146</v>
      </c>
      <c r="AC116" s="248">
        <f>IF(Year5_Medway Year5_Care_Leavers_in_touch="","",Year5_Medway Year5_Care_Leavers_in_touch)</f>
        <v>146</v>
      </c>
      <c r="AD116" s="352" t="str">
        <f t="shared" si="45"/>
        <v>Medway</v>
      </c>
      <c r="AE116" s="355">
        <f t="shared" si="40"/>
        <v>121</v>
      </c>
      <c r="AF116" s="355">
        <f t="shared" si="41"/>
        <v>133</v>
      </c>
      <c r="AG116" s="355">
        <f t="shared" si="42"/>
        <v>140</v>
      </c>
      <c r="AH116" s="355">
        <f t="shared" si="43"/>
        <v>147</v>
      </c>
      <c r="AI116" s="355">
        <f t="shared" si="44"/>
        <v>151</v>
      </c>
      <c r="AJ116" s="121"/>
    </row>
    <row r="117" spans="1:44" s="61" customFormat="1" ht="13.5" customHeight="1">
      <c r="A117" s="1103">
        <f>VLOOKUP(B117,ReportData!$AQ$4:$AR$25,2,FALSE)</f>
        <v>0</v>
      </c>
      <c r="B117" s="885" t="str">
        <f t="shared" si="33"/>
        <v>Milton Keynes</v>
      </c>
      <c r="C117" s="896"/>
      <c r="D117" s="922">
        <f t="shared" si="34"/>
        <v>0.89090909090909087</v>
      </c>
      <c r="E117" s="922">
        <f t="shared" si="35"/>
        <v>0.88888888888888884</v>
      </c>
      <c r="F117" s="922">
        <f t="shared" si="36"/>
        <v>0.93506493506493504</v>
      </c>
      <c r="G117" s="922">
        <f t="shared" si="37"/>
        <v>0.90532544378698221</v>
      </c>
      <c r="H117" s="923">
        <f t="shared" si="38"/>
        <v>0.92708333333333337</v>
      </c>
      <c r="I117" s="274"/>
      <c r="J117" s="68"/>
      <c r="K117" s="68"/>
      <c r="L117" s="127"/>
      <c r="M117" s="127"/>
      <c r="N117" s="127"/>
      <c r="O117" s="127"/>
      <c r="P117" s="127"/>
      <c r="Q117" s="127"/>
      <c r="R117" s="127"/>
      <c r="S117" s="128"/>
      <c r="T117" s="120"/>
      <c r="U117" s="89"/>
      <c r="V117" s="103"/>
      <c r="W117" s="115"/>
      <c r="X117" s="352" t="str">
        <f t="shared" si="39"/>
        <v>Milton Keynes</v>
      </c>
      <c r="Y117" s="355">
        <f>IF(Year1_Milton_Keynes Year1_Care_Leavers_in_touch="","",Year1_Milton_Keynes Year1_Care_Leavers_in_touch)</f>
        <v>147</v>
      </c>
      <c r="Z117" s="248">
        <f>IF(Year2_Milton_Keynes Year2_Care_Leavers_in_touch="","",Year2_Milton_Keynes Year2_Care_Leavers_in_touch)</f>
        <v>136</v>
      </c>
      <c r="AA117" s="248">
        <f>IF(Year3_Milton_Keynes Year3_Care_Leavers_in_touch="","",Year3_Milton_Keynes Year3_Care_Leavers_in_touch)</f>
        <v>144</v>
      </c>
      <c r="AB117" s="248">
        <f>IF(Year4_Milton_Keynes Year4_Care_Leavers_in_touch="","",Year4_Milton_Keynes Year4_Care_Leavers_in_touch)</f>
        <v>153</v>
      </c>
      <c r="AC117" s="248">
        <f>IF(Year5_Milton_Keynes Year5_Care_Leavers_in_touch="","",Year5_Milton_Keynes Year5_Care_Leavers_in_touch)</f>
        <v>178</v>
      </c>
      <c r="AD117" s="352" t="str">
        <f t="shared" si="45"/>
        <v>Milton Keynes</v>
      </c>
      <c r="AE117" s="355">
        <f t="shared" si="40"/>
        <v>165</v>
      </c>
      <c r="AF117" s="355">
        <f t="shared" si="41"/>
        <v>153</v>
      </c>
      <c r="AG117" s="355">
        <f t="shared" si="42"/>
        <v>154</v>
      </c>
      <c r="AH117" s="355">
        <f t="shared" si="43"/>
        <v>169</v>
      </c>
      <c r="AI117" s="355">
        <f t="shared" si="44"/>
        <v>192</v>
      </c>
      <c r="AJ117" s="121"/>
    </row>
    <row r="118" spans="1:44" s="61" customFormat="1" ht="13.5" customHeight="1">
      <c r="A118" s="1103">
        <f>VLOOKUP(B118,ReportData!$AQ$4:$AR$25,2,FALSE)</f>
        <v>0</v>
      </c>
      <c r="B118" s="885" t="str">
        <f t="shared" si="33"/>
        <v>Oxfordshire</v>
      </c>
      <c r="C118" s="896"/>
      <c r="D118" s="922">
        <f t="shared" si="34"/>
        <v>0.83848797250859108</v>
      </c>
      <c r="E118" s="922">
        <f t="shared" si="35"/>
        <v>0.88372093023255816</v>
      </c>
      <c r="F118" s="922">
        <f t="shared" si="36"/>
        <v>0.90963855421686746</v>
      </c>
      <c r="G118" s="922">
        <f t="shared" si="37"/>
        <v>0.92937853107344637</v>
      </c>
      <c r="H118" s="923">
        <f t="shared" si="38"/>
        <v>0.90180878552971577</v>
      </c>
      <c r="I118" s="274"/>
      <c r="J118" s="68"/>
      <c r="K118" s="68"/>
      <c r="L118" s="127"/>
      <c r="M118" s="127"/>
      <c r="N118" s="127"/>
      <c r="O118" s="127"/>
      <c r="P118" s="127"/>
      <c r="Q118" s="127"/>
      <c r="R118" s="127"/>
      <c r="S118" s="128"/>
      <c r="T118" s="120"/>
      <c r="U118" s="89"/>
      <c r="V118" s="103"/>
      <c r="W118" s="115"/>
      <c r="X118" s="352" t="str">
        <f t="shared" si="39"/>
        <v>Oxfordshire</v>
      </c>
      <c r="Y118" s="355">
        <f>IF(Year1_Oxfordshire Year1_Care_Leavers_in_touch="","",Year1_Oxfordshire Year1_Care_Leavers_in_touch)</f>
        <v>244</v>
      </c>
      <c r="Z118" s="248">
        <f>IF(Year2_Oxfordshire Year2_Care_Leavers_in_touch="","",Year2_Oxfordshire Year2_Care_Leavers_in_touch)</f>
        <v>266</v>
      </c>
      <c r="AA118" s="248">
        <f>IF(Year3_Oxfordshire Year3_Care_Leavers_in_touch="","",Year3_Oxfordshire Year3_Care_Leavers_in_touch)</f>
        <v>302</v>
      </c>
      <c r="AB118" s="248">
        <f>IF(Year4_Oxfordshire Year4_Care_Leavers_in_touch="","",Year4_Oxfordshire Year4_Care_Leavers_in_touch)</f>
        <v>329</v>
      </c>
      <c r="AC118" s="248">
        <f>IF(Year5_Oxfordshire Year5_Care_Leavers_in_touch="","",Year5_Oxfordshire Year5_Care_Leavers_in_touch)</f>
        <v>349</v>
      </c>
      <c r="AD118" s="352" t="str">
        <f t="shared" si="45"/>
        <v>Oxfordshire</v>
      </c>
      <c r="AE118" s="355">
        <f t="shared" si="40"/>
        <v>291</v>
      </c>
      <c r="AF118" s="355">
        <f t="shared" si="41"/>
        <v>301</v>
      </c>
      <c r="AG118" s="355">
        <f t="shared" si="42"/>
        <v>332</v>
      </c>
      <c r="AH118" s="355">
        <f t="shared" si="43"/>
        <v>354</v>
      </c>
      <c r="AI118" s="355">
        <f t="shared" si="44"/>
        <v>387</v>
      </c>
      <c r="AJ118" s="121"/>
    </row>
    <row r="119" spans="1:44" s="61" customFormat="1" ht="13.5" customHeight="1">
      <c r="A119" s="1103">
        <f>VLOOKUP(B119,ReportData!$AQ$4:$AR$25,2,FALSE)</f>
        <v>0</v>
      </c>
      <c r="B119" s="885" t="str">
        <f t="shared" si="33"/>
        <v>Portsmouth</v>
      </c>
      <c r="C119" s="896"/>
      <c r="D119" s="922">
        <f t="shared" si="34"/>
        <v>0.76470588235294112</v>
      </c>
      <c r="E119" s="922">
        <f t="shared" si="35"/>
        <v>0.77725118483412325</v>
      </c>
      <c r="F119" s="922">
        <f t="shared" si="36"/>
        <v>0.86486486486486491</v>
      </c>
      <c r="G119" s="922">
        <f t="shared" si="37"/>
        <v>0.88030888030888033</v>
      </c>
      <c r="H119" s="923">
        <f t="shared" si="38"/>
        <v>0.93013100436681218</v>
      </c>
      <c r="I119" s="274"/>
      <c r="J119" s="68"/>
      <c r="K119" s="68"/>
      <c r="L119" s="127"/>
      <c r="M119" s="127"/>
      <c r="N119" s="127"/>
      <c r="O119" s="127"/>
      <c r="P119" s="127"/>
      <c r="Q119" s="127"/>
      <c r="R119" s="127"/>
      <c r="S119" s="128"/>
      <c r="T119" s="120"/>
      <c r="U119" s="89"/>
      <c r="V119" s="103"/>
      <c r="W119" s="115"/>
      <c r="X119" s="352" t="str">
        <f t="shared" si="39"/>
        <v>Portsmouth</v>
      </c>
      <c r="Y119" s="355">
        <f>IF(Year1_Portsmouth Year1_Care_Leavers_in_touch="","",Year1_Portsmouth Year1_Care_Leavers_in_touch)</f>
        <v>117</v>
      </c>
      <c r="Z119" s="248">
        <f>IF(Year2_Portsmouth Year2_Care_Leavers_in_touch="","",Year2_Portsmouth Year2_Care_Leavers_in_touch)</f>
        <v>164</v>
      </c>
      <c r="AA119" s="248">
        <f>IF(Year3_Portsmouth Year3_Care_Leavers_in_touch="","",Year3_Portsmouth Year3_Care_Leavers_in_touch)</f>
        <v>224</v>
      </c>
      <c r="AB119" s="248">
        <f>IF(Year4_Portsmouth Year4_Care_Leavers_in_touch="","",Year4_Portsmouth Year4_Care_Leavers_in_touch)</f>
        <v>228</v>
      </c>
      <c r="AC119" s="248">
        <f>IF(Year5_Portsmouth Year5_Care_Leavers_in_touch="","",Year5_Portsmouth Year5_Care_Leavers_in_touch)</f>
        <v>213</v>
      </c>
      <c r="AD119" s="352" t="str">
        <f t="shared" si="45"/>
        <v>Portsmouth</v>
      </c>
      <c r="AE119" s="355">
        <f t="shared" si="40"/>
        <v>153</v>
      </c>
      <c r="AF119" s="355">
        <f t="shared" si="41"/>
        <v>211</v>
      </c>
      <c r="AG119" s="355">
        <f t="shared" si="42"/>
        <v>259</v>
      </c>
      <c r="AH119" s="355">
        <f t="shared" si="43"/>
        <v>259</v>
      </c>
      <c r="AI119" s="355">
        <f t="shared" si="44"/>
        <v>229</v>
      </c>
      <c r="AJ119" s="121"/>
    </row>
    <row r="120" spans="1:44" s="61" customFormat="1" ht="13.5" customHeight="1">
      <c r="A120" s="1103">
        <f>VLOOKUP(B120,ReportData!$AQ$4:$AR$25,2,FALSE)</f>
        <v>0</v>
      </c>
      <c r="B120" s="885" t="str">
        <f t="shared" si="33"/>
        <v>Reading</v>
      </c>
      <c r="C120" s="896"/>
      <c r="D120" s="922">
        <f t="shared" si="34"/>
        <v>0.90099009900990101</v>
      </c>
      <c r="E120" s="922">
        <f t="shared" si="35"/>
        <v>0.98</v>
      </c>
      <c r="F120" s="922">
        <f t="shared" si="36"/>
        <v>0.90625</v>
      </c>
      <c r="G120" s="922">
        <f t="shared" si="37"/>
        <v>0.85217391304347823</v>
      </c>
      <c r="H120" s="923">
        <f t="shared" si="38"/>
        <v>0.8529411764705882</v>
      </c>
      <c r="I120" s="274"/>
      <c r="J120" s="68"/>
      <c r="K120" s="68"/>
      <c r="L120" s="127"/>
      <c r="M120" s="127"/>
      <c r="N120" s="127"/>
      <c r="O120" s="127"/>
      <c r="P120" s="127"/>
      <c r="Q120" s="127"/>
      <c r="R120" s="127"/>
      <c r="S120" s="128"/>
      <c r="T120" s="120"/>
      <c r="U120" s="89"/>
      <c r="V120" s="103"/>
      <c r="W120" s="115"/>
      <c r="X120" s="352" t="str">
        <f t="shared" si="39"/>
        <v>Reading</v>
      </c>
      <c r="Y120" s="355">
        <f>IF(Year1_Reading Year1_Care_Leavers_in_touch="","",Year1_Reading Year1_Care_Leavers_in_touch)</f>
        <v>91</v>
      </c>
      <c r="Z120" s="248">
        <f>IF(Year2_Reading Year2_Care_Leavers_in_touch="","",Year2_Reading Year2_Care_Leavers_in_touch)</f>
        <v>98</v>
      </c>
      <c r="AA120" s="248">
        <f>IF(Year3_Reading Year3_Care_Leavers_in_touch="","",Year3_Reading Year3_Care_Leavers_in_touch)</f>
        <v>87</v>
      </c>
      <c r="AB120" s="248">
        <f>IF(Year4_Reading Year4_Care_Leavers_in_touch="","",Year4_Reading Year4_Care_Leavers_in_touch)</f>
        <v>98</v>
      </c>
      <c r="AC120" s="248">
        <f>IF(Year5_Reading Year5_Care_Leavers_in_touch="","",Year5_Reading Year5_Care_Leavers_in_touch)</f>
        <v>116</v>
      </c>
      <c r="AD120" s="352" t="str">
        <f t="shared" si="45"/>
        <v>Reading</v>
      </c>
      <c r="AE120" s="355">
        <f t="shared" si="40"/>
        <v>101</v>
      </c>
      <c r="AF120" s="355">
        <f t="shared" si="41"/>
        <v>100</v>
      </c>
      <c r="AG120" s="355">
        <f t="shared" si="42"/>
        <v>96</v>
      </c>
      <c r="AH120" s="355">
        <f t="shared" si="43"/>
        <v>115</v>
      </c>
      <c r="AI120" s="355">
        <f t="shared" si="44"/>
        <v>136</v>
      </c>
      <c r="AJ120" s="121"/>
    </row>
    <row r="121" spans="1:44" s="61" customFormat="1" ht="13.5" customHeight="1">
      <c r="A121" s="1103">
        <f>VLOOKUP(B121,ReportData!$AQ$4:$AR$25,2,FALSE)</f>
        <v>0</v>
      </c>
      <c r="B121" s="885" t="str">
        <f t="shared" si="33"/>
        <v>Slough</v>
      </c>
      <c r="C121" s="896"/>
      <c r="D121" s="922">
        <f t="shared" si="34"/>
        <v>0.90322580645161288</v>
      </c>
      <c r="E121" s="922">
        <f t="shared" si="35"/>
        <v>0.79</v>
      </c>
      <c r="F121" s="922">
        <f t="shared" si="36"/>
        <v>0.77894736842105261</v>
      </c>
      <c r="G121" s="922">
        <f t="shared" si="37"/>
        <v>0.78947368421052633</v>
      </c>
      <c r="H121" s="923">
        <f t="shared" si="38"/>
        <v>0.75</v>
      </c>
      <c r="I121" s="274"/>
      <c r="J121" s="68"/>
      <c r="K121" s="68"/>
      <c r="L121" s="127"/>
      <c r="M121" s="127"/>
      <c r="N121" s="127"/>
      <c r="O121" s="127"/>
      <c r="P121" s="127"/>
      <c r="Q121" s="127"/>
      <c r="R121" s="127"/>
      <c r="S121" s="128"/>
      <c r="T121" s="120"/>
      <c r="U121" s="89"/>
      <c r="V121" s="103"/>
      <c r="W121" s="115"/>
      <c r="X121" s="352" t="str">
        <f t="shared" si="39"/>
        <v>Slough</v>
      </c>
      <c r="Y121" s="355">
        <f>IF(Year1_Slough Year1_Care_Leavers_in_touch="","",Year1_Slough Year1_Care_Leavers_in_touch)</f>
        <v>84</v>
      </c>
      <c r="Z121" s="248">
        <f>IF(Year2_Slough Year2_Care_Leavers_in_touch="","",Year2_Slough Year2_Care_Leavers_in_touch)</f>
        <v>79</v>
      </c>
      <c r="AA121" s="248">
        <f>IF(Year3_Slough Year3_Care_Leavers_in_touch="","",Year3_Slough Year3_Care_Leavers_in_touch)</f>
        <v>74</v>
      </c>
      <c r="AB121" s="248">
        <f>IF(Year4_Slough Year4_Care_Leavers_in_touch="","",Year4_Slough Year4_Care_Leavers_in_touch)</f>
        <v>75</v>
      </c>
      <c r="AC121" s="248">
        <f>IF(Year5_Slough Year5_Care_Leavers_in_touch="","",Year5_Slough Year5_Care_Leavers_in_touch)</f>
        <v>84</v>
      </c>
      <c r="AD121" s="352" t="str">
        <f t="shared" si="45"/>
        <v>Slough</v>
      </c>
      <c r="AE121" s="355">
        <f t="shared" si="40"/>
        <v>93</v>
      </c>
      <c r="AF121" s="355">
        <f t="shared" si="41"/>
        <v>100</v>
      </c>
      <c r="AG121" s="355">
        <f t="shared" si="42"/>
        <v>95</v>
      </c>
      <c r="AH121" s="355">
        <f t="shared" si="43"/>
        <v>95</v>
      </c>
      <c r="AI121" s="355">
        <f t="shared" si="44"/>
        <v>112</v>
      </c>
      <c r="AJ121" s="121"/>
    </row>
    <row r="122" spans="1:44" s="61" customFormat="1" ht="13.5" customHeight="1">
      <c r="A122" s="1103">
        <f>VLOOKUP(B122,ReportData!$AQ$4:$AR$25,2,FALSE)</f>
        <v>0</v>
      </c>
      <c r="B122" s="885" t="str">
        <f t="shared" si="33"/>
        <v>Southampton</v>
      </c>
      <c r="C122" s="896"/>
      <c r="D122" s="922">
        <f t="shared" si="34"/>
        <v>0.90839694656488545</v>
      </c>
      <c r="E122" s="922">
        <f t="shared" si="35"/>
        <v>0.89436619718309862</v>
      </c>
      <c r="F122" s="922">
        <f t="shared" si="36"/>
        <v>0.88356164383561642</v>
      </c>
      <c r="G122" s="922">
        <f t="shared" si="37"/>
        <v>0.86956521739130432</v>
      </c>
      <c r="H122" s="923">
        <f t="shared" si="38"/>
        <v>0.86458333333333337</v>
      </c>
      <c r="I122" s="274"/>
      <c r="J122" s="68"/>
      <c r="K122" s="68"/>
      <c r="L122" s="127"/>
      <c r="M122" s="127"/>
      <c r="N122" s="127"/>
      <c r="O122" s="127"/>
      <c r="P122" s="127"/>
      <c r="Q122" s="127"/>
      <c r="R122" s="127"/>
      <c r="S122" s="128"/>
      <c r="T122" s="120"/>
      <c r="U122" s="89"/>
      <c r="V122" s="103"/>
      <c r="W122" s="115"/>
      <c r="X122" s="352" t="str">
        <f t="shared" si="39"/>
        <v>Southampton</v>
      </c>
      <c r="Y122" s="355">
        <f>IF(Year1_Southampton Year1_Care_Leavers_in_touch="","",Year1_Southampton Year1_Care_Leavers_in_touch)</f>
        <v>119</v>
      </c>
      <c r="Z122" s="248">
        <f>IF(Year2_Southampton Year2_Care_Leavers_in_touch="","",Year2_Southampton Year2_Care_Leavers_in_touch)</f>
        <v>127</v>
      </c>
      <c r="AA122" s="248">
        <f>IF(Year3_Southampton Year3_Care_Leavers_in_touch="","",Year3_Southampton Year3_Care_Leavers_in_touch)</f>
        <v>129</v>
      </c>
      <c r="AB122" s="248">
        <f>IF(Year4_Southampton Year4_Care_Leavers_in_touch="","",Year4_Southampton Year4_Care_Leavers_in_touch)</f>
        <v>140</v>
      </c>
      <c r="AC122" s="248">
        <f>IF(Year5_Southampton Year5_Care_Leavers_in_touch="","",Year5_Southampton Year5_Care_Leavers_in_touch)</f>
        <v>166</v>
      </c>
      <c r="AD122" s="352" t="str">
        <f t="shared" si="45"/>
        <v>Southampton</v>
      </c>
      <c r="AE122" s="355">
        <f t="shared" si="40"/>
        <v>131</v>
      </c>
      <c r="AF122" s="355">
        <f t="shared" si="41"/>
        <v>142</v>
      </c>
      <c r="AG122" s="355">
        <f t="shared" si="42"/>
        <v>146</v>
      </c>
      <c r="AH122" s="355">
        <f t="shared" si="43"/>
        <v>161</v>
      </c>
      <c r="AI122" s="355">
        <f t="shared" si="44"/>
        <v>192</v>
      </c>
      <c r="AJ122" s="121"/>
    </row>
    <row r="123" spans="1:44" s="61" customFormat="1" ht="13.5" customHeight="1">
      <c r="A123" s="1103">
        <f>VLOOKUP(B123,ReportData!$AQ$4:$AR$25,2,FALSE)</f>
        <v>0</v>
      </c>
      <c r="B123" s="885" t="str">
        <f t="shared" si="33"/>
        <v>Surrey</v>
      </c>
      <c r="C123" s="896"/>
      <c r="D123" s="922">
        <f t="shared" si="34"/>
        <v>0.8132295719844358</v>
      </c>
      <c r="E123" s="922">
        <f t="shared" si="35"/>
        <v>0.85902255639097747</v>
      </c>
      <c r="F123" s="922">
        <f t="shared" si="36"/>
        <v>0.91697416974169743</v>
      </c>
      <c r="G123" s="922">
        <f t="shared" si="37"/>
        <v>0.946524064171123</v>
      </c>
      <c r="H123" s="923">
        <f t="shared" si="38"/>
        <v>0.93376413570274641</v>
      </c>
      <c r="I123" s="274"/>
      <c r="J123" s="68"/>
      <c r="K123" s="68"/>
      <c r="L123" s="127"/>
      <c r="M123" s="127"/>
      <c r="N123" s="127"/>
      <c r="O123" s="127"/>
      <c r="P123" s="127"/>
      <c r="Q123" s="127"/>
      <c r="R123" s="127"/>
      <c r="S123" s="128"/>
      <c r="T123" s="120"/>
      <c r="U123" s="89"/>
      <c r="V123" s="103"/>
      <c r="W123" s="115"/>
      <c r="X123" s="352" t="str">
        <f t="shared" si="39"/>
        <v>Surrey</v>
      </c>
      <c r="Y123" s="355">
        <f>IF(Year1_Surrey Year1_Care_Leavers_in_touch="","",Year1_Surrey Year1_Care_Leavers_in_touch)</f>
        <v>418</v>
      </c>
      <c r="Z123" s="248">
        <f>IF(Year2_Surrey Year2_Care_Leavers_in_touch="","",Year2_Surrey Year2_Care_Leavers_in_touch)</f>
        <v>457</v>
      </c>
      <c r="AA123" s="248">
        <f>IF(Year3_Surrey Year3_Care_Leavers_in_touch="","",Year3_Surrey Year3_Care_Leavers_in_touch)</f>
        <v>497</v>
      </c>
      <c r="AB123" s="248">
        <f>IF(Year4_Surrey Year4_Care_Leavers_in_touch="","",Year4_Surrey Year4_Care_Leavers_in_touch)</f>
        <v>531</v>
      </c>
      <c r="AC123" s="248">
        <f>IF(Year5_Surrey Year5_Care_Leavers_in_touch="","",Year5_Surrey Year5_Care_Leavers_in_touch)</f>
        <v>578</v>
      </c>
      <c r="AD123" s="352" t="str">
        <f t="shared" si="45"/>
        <v>Surrey</v>
      </c>
      <c r="AE123" s="355">
        <f t="shared" si="40"/>
        <v>514</v>
      </c>
      <c r="AF123" s="355">
        <f t="shared" si="41"/>
        <v>532</v>
      </c>
      <c r="AG123" s="355">
        <f t="shared" si="42"/>
        <v>542</v>
      </c>
      <c r="AH123" s="355">
        <f t="shared" si="43"/>
        <v>561</v>
      </c>
      <c r="AI123" s="355">
        <f t="shared" si="44"/>
        <v>619</v>
      </c>
      <c r="AJ123" s="121"/>
    </row>
    <row r="124" spans="1:44" s="61" customFormat="1" ht="13.5" customHeight="1">
      <c r="A124" s="1103">
        <f>VLOOKUP(B124,ReportData!$AQ$4:$AR$25,2,FALSE)</f>
        <v>0</v>
      </c>
      <c r="B124" s="885" t="str">
        <f t="shared" si="33"/>
        <v>West Berkshire</v>
      </c>
      <c r="C124" s="896"/>
      <c r="D124" s="922">
        <f t="shared" si="34"/>
        <v>0.875</v>
      </c>
      <c r="E124" s="922">
        <f t="shared" si="35"/>
        <v>0.90361445783132532</v>
      </c>
      <c r="F124" s="922">
        <f t="shared" si="36"/>
        <v>0.91578947368421049</v>
      </c>
      <c r="G124" s="922">
        <f t="shared" si="37"/>
        <v>0.92307692307692313</v>
      </c>
      <c r="H124" s="923">
        <f t="shared" si="38"/>
        <v>0.87387387387387383</v>
      </c>
      <c r="I124" s="274"/>
      <c r="J124" s="68"/>
      <c r="K124" s="68"/>
      <c r="L124" s="127"/>
      <c r="M124" s="127"/>
      <c r="N124" s="127"/>
      <c r="O124" s="127"/>
      <c r="P124" s="127"/>
      <c r="Q124" s="127"/>
      <c r="R124" s="127"/>
      <c r="S124" s="128"/>
      <c r="T124" s="120"/>
      <c r="U124" s="89"/>
      <c r="V124" s="103"/>
      <c r="W124" s="115"/>
      <c r="X124" s="352" t="str">
        <f t="shared" si="39"/>
        <v>West Berkshire</v>
      </c>
      <c r="Y124" s="355">
        <f>IF(Year1_West_Berkshire Year1_Care_Leavers_in_touch="","",Year1_West_Berkshire Year1_Care_Leavers_in_touch)</f>
        <v>70</v>
      </c>
      <c r="Z124" s="248">
        <f>IF(Year2_West_Berkshire Year2_Care_Leavers_in_touch="","",Year2_West_Berkshire Year2_Care_Leavers_in_touch)</f>
        <v>75</v>
      </c>
      <c r="AA124" s="248">
        <f>IF(Year3_West_Berkshire Year3_Care_Leavers_in_touch="","",Year3_West_Berkshire Year3_Care_Leavers_in_touch)</f>
        <v>87</v>
      </c>
      <c r="AB124" s="248">
        <f>IF(Year4_West_Berkshire Year4_Care_Leavers_in_touch="","",Year4_West_Berkshire Year4_Care_Leavers_in_touch)</f>
        <v>96</v>
      </c>
      <c r="AC124" s="248">
        <f>IF(Year5_West_Berkshire Year5_Care_Leavers_in_touch="","",Year5_West_Berkshire Year5_Care_Leavers_in_touch)</f>
        <v>97</v>
      </c>
      <c r="AD124" s="352" t="str">
        <f t="shared" si="45"/>
        <v>West Berkshire</v>
      </c>
      <c r="AE124" s="355">
        <f t="shared" si="40"/>
        <v>80</v>
      </c>
      <c r="AF124" s="355">
        <f t="shared" si="41"/>
        <v>83</v>
      </c>
      <c r="AG124" s="355">
        <f t="shared" si="42"/>
        <v>95</v>
      </c>
      <c r="AH124" s="355">
        <f t="shared" si="43"/>
        <v>104</v>
      </c>
      <c r="AI124" s="355">
        <f t="shared" si="44"/>
        <v>111</v>
      </c>
      <c r="AJ124" s="121"/>
    </row>
    <row r="125" spans="1:44" s="61" customFormat="1" ht="13.5" customHeight="1">
      <c r="A125" s="1103">
        <f>VLOOKUP(B125,ReportData!$AQ$4:$AR$25,2,FALSE)</f>
        <v>0</v>
      </c>
      <c r="B125" s="885" t="str">
        <f t="shared" si="33"/>
        <v>West Sussex</v>
      </c>
      <c r="C125" s="896"/>
      <c r="D125" s="922">
        <f t="shared" si="34"/>
        <v>0.90243902439024393</v>
      </c>
      <c r="E125" s="922">
        <f t="shared" si="35"/>
        <v>0.87239583333333337</v>
      </c>
      <c r="F125" s="922">
        <f t="shared" si="36"/>
        <v>0.9375</v>
      </c>
      <c r="G125" s="922">
        <f t="shared" si="37"/>
        <v>0.94331065759637189</v>
      </c>
      <c r="H125" s="923">
        <f t="shared" si="38"/>
        <v>0.95643153526970959</v>
      </c>
      <c r="I125" s="274"/>
      <c r="J125" s="68"/>
      <c r="K125" s="68"/>
      <c r="L125" s="127"/>
      <c r="M125" s="127"/>
      <c r="N125" s="127"/>
      <c r="O125" s="127"/>
      <c r="P125" s="127"/>
      <c r="Q125" s="127"/>
      <c r="R125" s="127"/>
      <c r="S125" s="128"/>
      <c r="T125" s="120"/>
      <c r="U125" s="89"/>
      <c r="V125" s="103"/>
      <c r="W125" s="115"/>
      <c r="X125" s="352" t="str">
        <f t="shared" si="39"/>
        <v>West Sussex</v>
      </c>
      <c r="Y125" s="355">
        <f>IF(Year1_West_Sussex Year1_Care_Leavers_in_touch="","",Year1_West_Sussex Year1_Care_Leavers_in_touch)</f>
        <v>333</v>
      </c>
      <c r="Z125" s="248">
        <f>IF(Year2_West_Sussex Year2_Care_Leavers_in_touch="","",Year2_West_Sussex Year2_Care_Leavers_in_touch)</f>
        <v>335</v>
      </c>
      <c r="AA125" s="248">
        <f>IF(Year3_West_Sussex Year3_Care_Leavers_in_touch="","",Year3_West_Sussex Year3_Care_Leavers_in_touch)</f>
        <v>360</v>
      </c>
      <c r="AB125" s="248">
        <f>IF(Year4_West_Sussex Year4_Care_Leavers_in_touch="","",Year4_West_Sussex Year4_Care_Leavers_in_touch)</f>
        <v>416</v>
      </c>
      <c r="AC125" s="248">
        <f>IF(Year5_West_Sussex Year5_Care_Leavers_in_touch="","",Year5_West_Sussex Year5_Care_Leavers_in_touch)</f>
        <v>461</v>
      </c>
      <c r="AD125" s="352" t="str">
        <f t="shared" si="45"/>
        <v>West Sussex</v>
      </c>
      <c r="AE125" s="355">
        <f t="shared" si="40"/>
        <v>369</v>
      </c>
      <c r="AF125" s="355">
        <f t="shared" si="41"/>
        <v>384</v>
      </c>
      <c r="AG125" s="355">
        <f t="shared" si="42"/>
        <v>384</v>
      </c>
      <c r="AH125" s="355">
        <f t="shared" si="43"/>
        <v>441</v>
      </c>
      <c r="AI125" s="355">
        <f t="shared" si="44"/>
        <v>482</v>
      </c>
      <c r="AJ125" s="121"/>
    </row>
    <row r="126" spans="1:44" s="61" customFormat="1" ht="13.5" customHeight="1">
      <c r="A126" s="1103">
        <f>VLOOKUP(B126,ReportData!$AQ$4:$AR$25,2,FALSE)</f>
        <v>0</v>
      </c>
      <c r="B126" s="885" t="str">
        <f t="shared" si="33"/>
        <v>Windsor &amp; Maidenhead</v>
      </c>
      <c r="C126" s="896"/>
      <c r="D126" s="922">
        <f t="shared" si="34"/>
        <v>0.8928571428571429</v>
      </c>
      <c r="E126" s="922">
        <f t="shared" si="35"/>
        <v>1</v>
      </c>
      <c r="F126" s="922">
        <f t="shared" si="36"/>
        <v>0.95522388059701491</v>
      </c>
      <c r="G126" s="922">
        <f t="shared" si="37"/>
        <v>0.93442622950819676</v>
      </c>
      <c r="H126" s="923">
        <f t="shared" si="38"/>
        <v>0.97014925373134331</v>
      </c>
      <c r="I126" s="274"/>
      <c r="J126" s="68"/>
      <c r="K126" s="68"/>
      <c r="L126" s="127"/>
      <c r="M126" s="127"/>
      <c r="N126" s="127"/>
      <c r="O126" s="127"/>
      <c r="P126" s="127"/>
      <c r="Q126" s="127"/>
      <c r="R126" s="127"/>
      <c r="S126" s="128"/>
      <c r="T126" s="120"/>
      <c r="U126" s="89"/>
      <c r="V126" s="103"/>
      <c r="W126" s="115"/>
      <c r="X126" s="352" t="str">
        <f t="shared" si="39"/>
        <v>Windsor &amp; Maidenhead</v>
      </c>
      <c r="Y126" s="355">
        <f>IF(Year1_Windsor_and_Maidenhead Year1_Care_Leavers_in_touch="","",Year1_Windsor_and_Maidenhead Year1_Care_Leavers_in_touch)</f>
        <v>50</v>
      </c>
      <c r="Z126" s="248">
        <f>IF(Year2_Windsor_and_Maidenhead Year2_Care_Leavers_in_touch="","",Year2_Windsor_and_Maidenhead Year2_Care_Leavers_in_touch)</f>
        <v>60</v>
      </c>
      <c r="AA126" s="248">
        <f>IF(Year3_Windsor_and_Maidenhead Year3_Care_Leavers_in_touch="","",Year3_Windsor_and_Maidenhead Year3_Care_Leavers_in_touch)</f>
        <v>64</v>
      </c>
      <c r="AB126" s="248">
        <f>IF(Year4_Windsor_and_Maidenhead Year4_Care_Leavers_in_touch="","",Year4_Windsor_and_Maidenhead Year4_Care_Leavers_in_touch)</f>
        <v>57</v>
      </c>
      <c r="AC126" s="248">
        <f>IF(Year5_Windsor_and_Maidenhead Year5_Care_Leavers_in_touch="","",Year5_Windsor_and_Maidenhead Year5_Care_Leavers_in_touch)</f>
        <v>65</v>
      </c>
      <c r="AD126" s="352" t="str">
        <f t="shared" si="45"/>
        <v>Windsor &amp; Maidenhead</v>
      </c>
      <c r="AE126" s="355">
        <f t="shared" si="40"/>
        <v>56</v>
      </c>
      <c r="AF126" s="355">
        <f t="shared" si="41"/>
        <v>60</v>
      </c>
      <c r="AG126" s="355">
        <f t="shared" si="42"/>
        <v>67</v>
      </c>
      <c r="AH126" s="355">
        <f t="shared" si="43"/>
        <v>61</v>
      </c>
      <c r="AI126" s="355">
        <f t="shared" si="44"/>
        <v>67</v>
      </c>
      <c r="AJ126" s="121"/>
    </row>
    <row r="127" spans="1:44" s="61" customFormat="1" ht="13.5" customHeight="1">
      <c r="A127" s="1103">
        <f>VLOOKUP(B127,ReportData!$AQ$4:$AR$25,2,FALSE)</f>
        <v>0</v>
      </c>
      <c r="B127" s="885" t="str">
        <f t="shared" si="33"/>
        <v>Wokingham</v>
      </c>
      <c r="C127" s="896"/>
      <c r="D127" s="922">
        <f t="shared" si="34"/>
        <v>0.98039215686274506</v>
      </c>
      <c r="E127" s="922">
        <f t="shared" si="35"/>
        <v>0.86440677966101698</v>
      </c>
      <c r="F127" s="922">
        <f t="shared" si="36"/>
        <v>0.83606557377049184</v>
      </c>
      <c r="G127" s="922">
        <f t="shared" si="37"/>
        <v>0.91666666666666663</v>
      </c>
      <c r="H127" s="923">
        <f t="shared" si="38"/>
        <v>0.96103896103896103</v>
      </c>
      <c r="I127" s="274"/>
      <c r="J127" s="68"/>
      <c r="K127" s="68"/>
      <c r="L127" s="127"/>
      <c r="M127" s="127"/>
      <c r="N127" s="127"/>
      <c r="O127" s="127"/>
      <c r="P127" s="127"/>
      <c r="Q127" s="127"/>
      <c r="R127" s="127"/>
      <c r="S127" s="128"/>
      <c r="T127" s="120"/>
      <c r="U127" s="89"/>
      <c r="V127" s="103"/>
      <c r="W127" s="115"/>
      <c r="X127" s="352" t="str">
        <f t="shared" si="39"/>
        <v>Wokingham</v>
      </c>
      <c r="Y127" s="355">
        <f>IF(Year1_Wokingham Year1_Care_Leavers_in_touch="","",Year1_Wokingham Year1_Care_Leavers_in_touch)</f>
        <v>50</v>
      </c>
      <c r="Z127" s="248">
        <f>IF(Year2_Wokingham Year2_Care_Leavers_in_touch="","",Year2_Wokingham Year2_Care_Leavers_in_touch)</f>
        <v>51</v>
      </c>
      <c r="AA127" s="248">
        <f>IF(Year3_Wokingham Year3_Care_Leavers_in_touch="","",Year3_Wokingham Year3_Care_Leavers_in_touch)</f>
        <v>51</v>
      </c>
      <c r="AB127" s="248">
        <f>IF(Year4_Wokingham Year4_Care_Leavers_in_touch="","",Year4_Wokingham Year4_Care_Leavers_in_touch)</f>
        <v>55</v>
      </c>
      <c r="AC127" s="248">
        <f>IF(Year5_Wokingham Year5_Care_Leavers_in_touch="","",Year5_Wokingham Year5_Care_Leavers_in_touch)</f>
        <v>74</v>
      </c>
      <c r="AD127" s="352" t="str">
        <f t="shared" si="45"/>
        <v>Wokingham</v>
      </c>
      <c r="AE127" s="355">
        <f t="shared" si="40"/>
        <v>51</v>
      </c>
      <c r="AF127" s="355">
        <f t="shared" si="41"/>
        <v>59</v>
      </c>
      <c r="AG127" s="355">
        <f t="shared" si="42"/>
        <v>61</v>
      </c>
      <c r="AH127" s="355">
        <f t="shared" si="43"/>
        <v>60</v>
      </c>
      <c r="AI127" s="355">
        <f t="shared" si="44"/>
        <v>77</v>
      </c>
      <c r="AJ127" s="121"/>
    </row>
    <row r="128" spans="1:44" s="61" customFormat="1" ht="13.5" customHeight="1">
      <c r="A128" s="1103"/>
      <c r="B128" s="886" t="str">
        <f t="shared" si="33"/>
        <v>South East</v>
      </c>
      <c r="C128" s="896"/>
      <c r="D128" s="924">
        <f t="shared" ref="D128:H129" si="46">IF(AND(ISNUMBER(AE128),ISNUMBER(Y128)),Y128/AE128,NA())</f>
        <v>0.85886010362694298</v>
      </c>
      <c r="E128" s="924">
        <f t="shared" si="46"/>
        <v>0.87652281643609331</v>
      </c>
      <c r="F128" s="924">
        <f t="shared" si="46"/>
        <v>0.9</v>
      </c>
      <c r="G128" s="924">
        <f t="shared" si="46"/>
        <v>0.89966050546963405</v>
      </c>
      <c r="H128" s="925">
        <f t="shared" si="46"/>
        <v>0.84995507637017076</v>
      </c>
      <c r="I128" s="274"/>
      <c r="J128" s="68"/>
      <c r="K128" s="68"/>
      <c r="L128" s="129"/>
      <c r="M128" s="129"/>
      <c r="N128" s="129"/>
      <c r="O128" s="129"/>
      <c r="P128" s="129"/>
      <c r="Q128" s="129"/>
      <c r="R128" s="129"/>
      <c r="S128" s="130"/>
      <c r="T128" s="120"/>
      <c r="U128" s="89"/>
      <c r="V128" s="103"/>
      <c r="W128" s="115"/>
      <c r="X128" s="352" t="str">
        <f t="shared" si="39"/>
        <v>South East</v>
      </c>
      <c r="Y128" s="252">
        <f>IF(Year1_South_East Year1_Care_Leavers_in_touch="","",Year1_South_East Year1_Care_Leavers_in_touch)</f>
        <v>4144</v>
      </c>
      <c r="Z128" s="248">
        <f>IF(Year2_South_East Year2_Care_Leavers_in_touch="","",Year2_South_East Year2_Care_Leavers_in_touch)</f>
        <v>4245</v>
      </c>
      <c r="AA128" s="248">
        <f>IF(Year3_South_East Year3_Care_Leavers_in_touch="","",Year3_South_East Year3_Care_Leavers_in_touch)</f>
        <v>4536</v>
      </c>
      <c r="AB128" s="248">
        <f>IF(Year4_South_East Year4_Care_Leavers_in_touch="","",Year4_South_East Year4_Care_Leavers_in_touch)</f>
        <v>4770</v>
      </c>
      <c r="AC128" s="248">
        <f>IF(Year5_South_East Year5_Care_Leavers_in_touch="","",Year5_South_East Year5_Care_Leavers_in_touch)</f>
        <v>4730</v>
      </c>
      <c r="AD128" s="352" t="str">
        <f t="shared" si="45"/>
        <v>South East</v>
      </c>
      <c r="AE128" s="252">
        <f>SUM(AE109:AE121,AE122:AE123,AE124:AE127)</f>
        <v>4825</v>
      </c>
      <c r="AF128" s="252">
        <f>SUM(AF109:AF121,AF122:AF123,AF124:AF127)</f>
        <v>4843</v>
      </c>
      <c r="AG128" s="252">
        <f>SUM(AG109:AG121,AG122:AG123,AG124:AG127)</f>
        <v>5040</v>
      </c>
      <c r="AH128" s="252">
        <f>SUM(AH109:AH121,AH122:AH123,AH124:AH127)</f>
        <v>5302</v>
      </c>
      <c r="AI128" s="252">
        <f>SUM(AI109:AI121,AI122:AI123,AI124:AI127)</f>
        <v>5565</v>
      </c>
      <c r="AJ128" s="121"/>
    </row>
    <row r="129" spans="1:45" s="61" customFormat="1" ht="13.5" customHeight="1">
      <c r="A129" s="1103"/>
      <c r="B129" s="887" t="str">
        <f>ReportData!$K$24</f>
        <v>England</v>
      </c>
      <c r="C129" s="896"/>
      <c r="D129" s="926">
        <f t="shared" si="46"/>
        <v>0.89763275751759442</v>
      </c>
      <c r="E129" s="926">
        <f t="shared" si="46"/>
        <v>0.9140413487570761</v>
      </c>
      <c r="F129" s="926">
        <f t="shared" si="46"/>
        <v>0.92110747246204228</v>
      </c>
      <c r="G129" s="926">
        <f t="shared" si="46"/>
        <v>0.92496392496392499</v>
      </c>
      <c r="H129" s="927">
        <f t="shared" si="46"/>
        <v>0.9188891943909816</v>
      </c>
      <c r="I129" s="274"/>
      <c r="J129" s="68"/>
      <c r="K129" s="68"/>
      <c r="L129" s="129"/>
      <c r="M129" s="129"/>
      <c r="N129" s="129"/>
      <c r="O129" s="129"/>
      <c r="P129" s="129"/>
      <c r="Q129" s="129"/>
      <c r="R129" s="129"/>
      <c r="S129" s="130"/>
      <c r="T129" s="120"/>
      <c r="U129" s="89"/>
      <c r="V129" s="103"/>
      <c r="W129" s="115"/>
      <c r="X129" s="352" t="str">
        <f t="shared" si="39"/>
        <v>England</v>
      </c>
      <c r="Y129" s="355">
        <f>IF(Year1_England Year1_Care_Leavers_in_touch="","",Year1_England Year1_Care_Leavers_in_touch)</f>
        <v>28060</v>
      </c>
      <c r="Z129" s="248">
        <f>IF(Year2_England Year2_Care_Leavers_in_touch="","",Year2_England Year2_Care_Leavers_in_touch)</f>
        <v>29710</v>
      </c>
      <c r="AA129" s="248">
        <f>IF(Year3_England Year3_Care_Leavers_in_touch="","",Year3_England Year3_Care_Leavers_in_touch)</f>
        <v>30940</v>
      </c>
      <c r="AB129" s="248">
        <f>IF(Year4_England Year4_Care_Leavers_in_touch="","",Year4_England Year4_Care_Leavers_in_touch)</f>
        <v>32050</v>
      </c>
      <c r="AC129" s="248">
        <f>IF(Year5_England Year5_Care_Leavers_in_touch="","",Year5_England Year5_Care_Leavers_in_touch)</f>
        <v>33420</v>
      </c>
      <c r="AD129" s="352" t="str">
        <f>X129</f>
        <v>England</v>
      </c>
      <c r="AE129" s="355">
        <f>IF(Y129="",0,D31)</f>
        <v>31260</v>
      </c>
      <c r="AF129" s="355">
        <f>IF(Z129="",0,E31)</f>
        <v>32504</v>
      </c>
      <c r="AG129" s="355">
        <f>IF(AA129="",0,F31)</f>
        <v>33590</v>
      </c>
      <c r="AH129" s="355">
        <f>IF(AB129="",0,G31)</f>
        <v>34650</v>
      </c>
      <c r="AI129" s="355">
        <f>IF(AC129="",0,H31)</f>
        <v>36370</v>
      </c>
      <c r="AJ129" s="121"/>
    </row>
    <row r="130" spans="1:45" s="61" customFormat="1" ht="4.5" customHeight="1">
      <c r="A130" s="217"/>
      <c r="B130" s="68"/>
      <c r="C130" s="68"/>
      <c r="D130" s="68"/>
      <c r="E130" s="68"/>
      <c r="F130" s="68"/>
      <c r="G130" s="68"/>
      <c r="H130" s="68"/>
      <c r="I130" s="68"/>
      <c r="J130" s="68"/>
      <c r="K130" s="68"/>
      <c r="L130" s="129"/>
      <c r="M130" s="129"/>
      <c r="N130" s="129"/>
      <c r="O130" s="129"/>
      <c r="P130" s="129"/>
      <c r="Q130" s="129"/>
      <c r="R130" s="129"/>
      <c r="S130" s="130"/>
      <c r="T130" s="120"/>
      <c r="U130" s="89"/>
      <c r="V130" s="103"/>
      <c r="W130" s="115"/>
      <c r="X130" s="52"/>
      <c r="Y130" s="52"/>
      <c r="Z130" s="56"/>
      <c r="AA130" s="56"/>
      <c r="AB130" s="56"/>
      <c r="AC130" s="56"/>
      <c r="AD130" s="56"/>
      <c r="AH130" s="141"/>
      <c r="AJ130" s="121"/>
    </row>
    <row r="131" spans="1:45" s="56" customFormat="1" ht="42" customHeight="1">
      <c r="A131" s="166"/>
      <c r="B131" s="171"/>
      <c r="C131" s="171"/>
      <c r="D131" s="171"/>
      <c r="E131" s="171"/>
      <c r="F131" s="171"/>
      <c r="G131" s="171"/>
      <c r="H131" s="171"/>
      <c r="I131" s="171"/>
      <c r="J131" s="171"/>
      <c r="K131" s="133"/>
      <c r="L131" s="133"/>
      <c r="M131" s="133"/>
      <c r="N131" s="133"/>
      <c r="O131" s="133"/>
      <c r="P131" s="133"/>
      <c r="Q131" s="133"/>
      <c r="R131" s="133"/>
      <c r="S131" s="101"/>
      <c r="T131" s="133"/>
      <c r="U131" s="86"/>
      <c r="V131" s="102"/>
      <c r="W131" s="114"/>
      <c r="AC131" s="147"/>
      <c r="AD131" s="149"/>
      <c r="AE131" s="52"/>
      <c r="AF131" s="52"/>
      <c r="AG131" s="52"/>
      <c r="AI131" s="52"/>
      <c r="AJ131" s="122"/>
    </row>
    <row r="132" spans="1:45" s="56" customFormat="1" ht="42.75" customHeight="1">
      <c r="A132" s="166"/>
      <c r="B132" s="171"/>
      <c r="C132" s="171"/>
      <c r="D132" s="171"/>
      <c r="E132" s="171"/>
      <c r="F132" s="171"/>
      <c r="G132" s="171"/>
      <c r="H132" s="171"/>
      <c r="I132" s="171"/>
      <c r="J132" s="171"/>
      <c r="K132" s="133"/>
      <c r="L132" s="133"/>
      <c r="M132" s="133"/>
      <c r="N132" s="133"/>
      <c r="O132" s="133"/>
      <c r="P132" s="133"/>
      <c r="Q132" s="133"/>
      <c r="R132" s="133"/>
      <c r="S132" s="101"/>
      <c r="T132" s="133"/>
      <c r="U132" s="86"/>
      <c r="V132" s="102"/>
      <c r="W132" s="114"/>
      <c r="AD132" s="149"/>
      <c r="AE132" s="52"/>
      <c r="AF132" s="52"/>
      <c r="AG132" s="52"/>
      <c r="AI132" s="52"/>
      <c r="AJ132" s="122"/>
    </row>
    <row r="133" spans="1:45" s="56" customFormat="1" ht="42" customHeight="1">
      <c r="A133" s="166"/>
      <c r="B133" s="171"/>
      <c r="C133" s="171"/>
      <c r="D133" s="171"/>
      <c r="E133" s="171"/>
      <c r="F133" s="171"/>
      <c r="G133" s="171"/>
      <c r="H133" s="171"/>
      <c r="I133" s="171"/>
      <c r="J133" s="171"/>
      <c r="K133" s="133"/>
      <c r="L133" s="133"/>
      <c r="M133" s="133"/>
      <c r="N133" s="133"/>
      <c r="O133" s="133"/>
      <c r="P133" s="133"/>
      <c r="Q133" s="133"/>
      <c r="R133" s="133"/>
      <c r="S133" s="101"/>
      <c r="T133" s="133"/>
      <c r="U133" s="86"/>
      <c r="V133" s="121"/>
      <c r="W133" s="114"/>
      <c r="AD133" s="149"/>
      <c r="AE133" s="52"/>
      <c r="AF133" s="52"/>
      <c r="AG133" s="52"/>
      <c r="AI133" s="52"/>
      <c r="AJ133" s="122"/>
    </row>
    <row r="134" spans="1:45" s="56" customFormat="1" ht="7.5" customHeight="1">
      <c r="A134" s="87"/>
      <c r="B134" s="12"/>
      <c r="C134" s="12"/>
      <c r="D134" s="11"/>
      <c r="E134" s="11"/>
      <c r="F134" s="11"/>
      <c r="G134" s="11"/>
      <c r="H134" s="11"/>
      <c r="I134" s="11"/>
      <c r="J134" s="11"/>
      <c r="K134" s="1"/>
      <c r="L134" s="13"/>
      <c r="M134" s="13"/>
      <c r="N134" s="13"/>
      <c r="O134" s="13"/>
      <c r="P134" s="13"/>
      <c r="Q134" s="13"/>
      <c r="R134" s="13"/>
      <c r="S134" s="13"/>
      <c r="T134" s="13"/>
      <c r="U134" s="86"/>
      <c r="V134" s="185"/>
      <c r="W134" s="114"/>
      <c r="Y134" s="141"/>
      <c r="AI134" s="52"/>
      <c r="AJ134" s="119"/>
      <c r="AK134" s="52"/>
      <c r="AL134" s="52"/>
      <c r="AM134" s="52"/>
      <c r="AN134" s="52"/>
      <c r="AO134" s="52"/>
      <c r="AP134" s="52"/>
      <c r="AQ134" s="52"/>
    </row>
    <row r="135" spans="1:45" s="56" customFormat="1" ht="15" customHeight="1">
      <c r="A135" s="1565"/>
      <c r="B135" s="1751"/>
      <c r="C135" s="1751"/>
      <c r="D135" s="1751"/>
      <c r="E135" s="1751"/>
      <c r="F135" s="1751"/>
      <c r="G135" s="1751"/>
      <c r="H135" s="1751"/>
      <c r="I135" s="1751"/>
      <c r="J135" s="1751"/>
      <c r="K135" s="1751"/>
      <c r="L135" s="1751"/>
      <c r="M135" s="1751"/>
      <c r="N135" s="1751"/>
      <c r="O135" s="1751"/>
      <c r="P135" s="1751"/>
      <c r="Q135" s="1751"/>
      <c r="R135" s="1751"/>
      <c r="S135" s="1751"/>
      <c r="T135" s="1751"/>
      <c r="U135" s="1752"/>
      <c r="V135" s="185"/>
      <c r="W135" s="114"/>
      <c r="AJ135" s="122"/>
      <c r="AS135" s="52"/>
    </row>
    <row r="136" spans="1:45" s="56" customFormat="1" ht="11.25" customHeight="1">
      <c r="A136" s="1739"/>
      <c r="B136" s="1740"/>
      <c r="C136" s="1740"/>
      <c r="D136" s="1740"/>
      <c r="E136" s="1740"/>
      <c r="F136" s="1740"/>
      <c r="G136" s="1740"/>
      <c r="H136" s="1740"/>
      <c r="I136" s="1742"/>
      <c r="J136" s="1741"/>
      <c r="K136" s="1740"/>
      <c r="L136" s="1740"/>
      <c r="M136" s="1740"/>
      <c r="N136" s="1740"/>
      <c r="O136" s="1740"/>
      <c r="P136" s="1740"/>
      <c r="Q136" s="1742"/>
      <c r="R136" s="1740"/>
      <c r="S136" s="1947"/>
      <c r="T136" s="1740"/>
      <c r="U136" s="1743"/>
      <c r="V136" s="185"/>
      <c r="W136" s="114"/>
      <c r="AI136" s="52"/>
      <c r="AJ136" s="121"/>
      <c r="AK136" s="61"/>
      <c r="AS136" s="52"/>
    </row>
    <row r="137" spans="1:45" ht="10.5" customHeight="1">
      <c r="A137" s="81"/>
      <c r="B137" s="82"/>
      <c r="C137" s="82"/>
      <c r="D137" s="82"/>
      <c r="E137" s="82"/>
      <c r="F137" s="82"/>
      <c r="G137" s="82"/>
      <c r="H137" s="82"/>
      <c r="I137" s="82"/>
      <c r="J137" s="82"/>
      <c r="K137" s="83"/>
      <c r="L137" s="82"/>
      <c r="M137" s="82"/>
      <c r="N137" s="82"/>
      <c r="O137" s="82"/>
      <c r="P137" s="82"/>
      <c r="Q137" s="82"/>
      <c r="R137" s="82"/>
      <c r="S137" s="82"/>
      <c r="T137" s="82"/>
      <c r="U137" s="84"/>
      <c r="V137" s="102"/>
      <c r="W137" s="114"/>
      <c r="X137" s="52"/>
      <c r="Y137" s="52"/>
      <c r="Z137" s="52"/>
      <c r="AA137" s="52"/>
      <c r="AB137" s="52"/>
      <c r="AC137" s="52"/>
      <c r="AJ137" s="122"/>
    </row>
    <row r="138" spans="1:45" ht="18.75" customHeight="1">
      <c r="A138" s="208"/>
      <c r="B138" s="1886" t="s">
        <v>1285</v>
      </c>
      <c r="C138" s="1886"/>
      <c r="D138" s="1886"/>
      <c r="E138" s="1886"/>
      <c r="F138" s="1886"/>
      <c r="G138" s="1886"/>
      <c r="H138" s="1886"/>
      <c r="I138" s="1177"/>
      <c r="J138" s="76"/>
      <c r="K138" s="50"/>
      <c r="L138" s="50"/>
      <c r="M138" s="50"/>
      <c r="N138" s="50"/>
      <c r="O138" s="224"/>
      <c r="P138" s="50"/>
      <c r="Q138" s="50"/>
      <c r="R138" s="50"/>
      <c r="S138" s="50"/>
      <c r="T138" s="50"/>
      <c r="U138" s="86"/>
      <c r="V138" s="102"/>
      <c r="W138" s="114"/>
      <c r="X138" s="52" t="s">
        <v>655</v>
      </c>
      <c r="Y138" s="250"/>
      <c r="Z138" s="251"/>
      <c r="AA138" s="251"/>
      <c r="AB138" s="251"/>
      <c r="AD138" s="52" t="s">
        <v>883</v>
      </c>
      <c r="AE138" s="52"/>
      <c r="AF138" s="52"/>
      <c r="AG138" s="52"/>
      <c r="AH138" s="52"/>
      <c r="AJ138" s="121"/>
    </row>
    <row r="139" spans="1:45" ht="18.75" customHeight="1">
      <c r="A139" s="208"/>
      <c r="B139" s="1886"/>
      <c r="C139" s="1886"/>
      <c r="D139" s="1886"/>
      <c r="E139" s="1886"/>
      <c r="F139" s="1886"/>
      <c r="G139" s="1886"/>
      <c r="H139" s="1886"/>
      <c r="I139" s="1177"/>
      <c r="J139" s="76"/>
      <c r="K139" s="50"/>
      <c r="L139" s="50"/>
      <c r="M139" s="50"/>
      <c r="N139" s="50"/>
      <c r="O139" s="224"/>
      <c r="P139" s="50"/>
      <c r="Q139" s="50"/>
      <c r="R139" s="50"/>
      <c r="S139" s="5"/>
      <c r="T139" s="50"/>
      <c r="U139" s="86"/>
      <c r="V139" s="102"/>
      <c r="W139" s="114"/>
      <c r="X139" s="52"/>
      <c r="Y139" s="52"/>
      <c r="Z139" s="52"/>
      <c r="AA139" s="52"/>
      <c r="AB139" s="52"/>
      <c r="AC139" s="52"/>
      <c r="AD139" s="251"/>
      <c r="AE139" s="250"/>
      <c r="AF139" s="251"/>
      <c r="AG139" s="251"/>
      <c r="AH139" s="251"/>
      <c r="AI139" s="56"/>
      <c r="AJ139" s="122"/>
    </row>
    <row r="140" spans="1:45" s="61" customFormat="1" ht="18.75" customHeight="1">
      <c r="A140" s="1097"/>
      <c r="B140" s="1749" t="s">
        <v>177</v>
      </c>
      <c r="C140" s="1175"/>
      <c r="D140" s="1088" t="str">
        <f>ReportData!$D$27</f>
        <v>2019/20</v>
      </c>
      <c r="E140" s="1088" t="str">
        <f>ReportData!$E$27</f>
        <v>2020/21</v>
      </c>
      <c r="F140" s="1088" t="str">
        <f>ReportData!$F$27</f>
        <v>2021/22</v>
      </c>
      <c r="G140" s="1088" t="str">
        <f>ReportData!$G$27</f>
        <v>2022/23</v>
      </c>
      <c r="H140" s="1089" t="str">
        <f>ReportData!$H$27</f>
        <v>2023/24</v>
      </c>
      <c r="I140" s="43"/>
      <c r="J140" s="68"/>
      <c r="K140" s="68"/>
      <c r="L140" s="43"/>
      <c r="M140" s="43"/>
      <c r="N140" s="43"/>
      <c r="O140" s="43"/>
      <c r="P140" s="43"/>
      <c r="Q140" s="43"/>
      <c r="R140" s="225"/>
      <c r="S140" s="225"/>
      <c r="T140" s="120"/>
      <c r="U140" s="89"/>
      <c r="V140" s="103"/>
      <c r="W140" s="115"/>
      <c r="X140" s="352"/>
      <c r="Y140" s="355" t="str">
        <f>IF(ReportData!$C$3="Annual","",ReportData!$D$28)</f>
        <v/>
      </c>
      <c r="Z140" s="307" t="str">
        <f>IF(ReportData!$C$3="Annual","",ReportData!$E$28)</f>
        <v/>
      </c>
      <c r="AA140" s="307" t="str">
        <f>IF(ReportData!$C$3="Annual","",ReportData!$F$28)</f>
        <v/>
      </c>
      <c r="AB140" s="307" t="str">
        <f>IF(ReportData!$C$3="Annual","",ReportData!$G$28)</f>
        <v/>
      </c>
      <c r="AC140" s="307" t="str">
        <f>IF(ReportData!$C$3="Annual","",ReportData!$H$28)</f>
        <v/>
      </c>
      <c r="AD140" s="352"/>
      <c r="AE140" s="355" t="str">
        <f>IF(ReportData!$C$3="Annual","",ReportData!$D$28)</f>
        <v/>
      </c>
      <c r="AF140" s="307" t="str">
        <f>IF(ReportData!$C$3="Annual","",ReportData!$E$28)</f>
        <v/>
      </c>
      <c r="AG140" s="307" t="str">
        <f>IF(ReportData!$C$3="Annual","",ReportData!$F$28)</f>
        <v/>
      </c>
      <c r="AH140" s="307" t="str">
        <f>IF(ReportData!$C$3="Annual","",ReportData!$G$28)</f>
        <v/>
      </c>
      <c r="AI140" s="307" t="str">
        <f>IF(ReportData!$C$3="Annual","",ReportData!$H$28)</f>
        <v/>
      </c>
      <c r="AJ140" s="121"/>
    </row>
    <row r="141" spans="1:45" s="61" customFormat="1" ht="16.5" customHeight="1">
      <c r="A141" s="1097"/>
      <c r="B141" s="1957"/>
      <c r="C141" s="896"/>
      <c r="D141" s="897" t="e">
        <f>ReportData!$D$28</f>
        <v>#N/A</v>
      </c>
      <c r="E141" s="897" t="e">
        <f>ReportData!$E$28</f>
        <v>#N/A</v>
      </c>
      <c r="F141" s="897" t="e">
        <f>ReportData!$F$28</f>
        <v>#N/A</v>
      </c>
      <c r="G141" s="897" t="e">
        <f>ReportData!$G$28</f>
        <v>#N/A</v>
      </c>
      <c r="H141" s="920" t="e">
        <f>ReportData!$H$28</f>
        <v>#N/A</v>
      </c>
      <c r="I141" s="43"/>
      <c r="J141" s="68"/>
      <c r="K141" s="68"/>
      <c r="L141" s="43"/>
      <c r="M141" s="43"/>
      <c r="N141" s="43"/>
      <c r="O141" s="43"/>
      <c r="P141" s="43"/>
      <c r="Q141" s="43"/>
      <c r="R141" s="225"/>
      <c r="S141" s="225"/>
      <c r="T141" s="120"/>
      <c r="U141" s="89"/>
      <c r="V141" s="103"/>
      <c r="W141" s="115"/>
      <c r="X141" s="352"/>
      <c r="Y141" s="355" t="str">
        <f>ReportData!$D$27</f>
        <v>2019/20</v>
      </c>
      <c r="Z141" s="307" t="str">
        <f>ReportData!$E$27</f>
        <v>2020/21</v>
      </c>
      <c r="AA141" s="307" t="str">
        <f>ReportData!$F$27</f>
        <v>2021/22</v>
      </c>
      <c r="AB141" s="307" t="str">
        <f>ReportData!$G$27</f>
        <v>2022/23</v>
      </c>
      <c r="AC141" s="307" t="str">
        <f>ReportData!$H$27</f>
        <v>2023/24</v>
      </c>
      <c r="AD141" s="352"/>
      <c r="AE141" s="355" t="str">
        <f>ReportData!$D$27</f>
        <v>2019/20</v>
      </c>
      <c r="AF141" s="307" t="str">
        <f>ReportData!$E$27</f>
        <v>2020/21</v>
      </c>
      <c r="AG141" s="307" t="str">
        <f>ReportData!$F$27</f>
        <v>2021/22</v>
      </c>
      <c r="AH141" s="307" t="str">
        <f>ReportData!$G$27</f>
        <v>2022/23</v>
      </c>
      <c r="AI141" s="307" t="str">
        <f>ReportData!$H$27</f>
        <v>2023/24</v>
      </c>
      <c r="AJ141" s="121"/>
    </row>
    <row r="142" spans="1:45" s="61" customFormat="1" ht="13.5" customHeight="1">
      <c r="A142" s="1103">
        <f>VLOOKUP(B142,ReportData!$AQ$4:$AR$25,2,FALSE)</f>
        <v>0</v>
      </c>
      <c r="B142" s="885" t="str">
        <f t="shared" ref="B142:B161" si="47">B11</f>
        <v>Bracknell Forest</v>
      </c>
      <c r="C142" s="896"/>
      <c r="D142" s="922">
        <f t="shared" ref="D142:D160" si="48">IF(AND(ISNUMBER(Y142),ISNUMBER(D11)),Y142/D11,NA())</f>
        <v>0.94736842105263153</v>
      </c>
      <c r="E142" s="922">
        <f t="shared" ref="E142:E160" si="49">IF(AND(ISNUMBER(Z142),ISNUMBER(E11)),Z142/E11,NA())</f>
        <v>0.81666666666666665</v>
      </c>
      <c r="F142" s="922">
        <f t="shared" ref="F142:F160" si="50">IF(AND(ISNUMBER(AA142),ISNUMBER(F11)),AA142/F11,NA())</f>
        <v>0.84210526315789469</v>
      </c>
      <c r="G142" s="922">
        <f t="shared" ref="G142:G160" si="51">IF(AND(ISNUMBER(AB142),ISNUMBER(G11)),AB142/G11,NA())</f>
        <v>0.86111111111111116</v>
      </c>
      <c r="H142" s="923">
        <f t="shared" ref="H142:H160" si="52">IF(AND(ISNUMBER(AC142),ISNUMBER(H11)),AC142/H11,NA())</f>
        <v>0.8783783783783784</v>
      </c>
      <c r="I142" s="274"/>
      <c r="J142" s="68"/>
      <c r="K142" s="68"/>
      <c r="L142" s="127"/>
      <c r="M142" s="127"/>
      <c r="N142" s="127"/>
      <c r="O142" s="127"/>
      <c r="P142" s="127"/>
      <c r="Q142" s="127"/>
      <c r="R142" s="127"/>
      <c r="S142" s="128"/>
      <c r="T142" s="120"/>
      <c r="U142" s="89"/>
      <c r="V142" s="103"/>
      <c r="W142" s="115"/>
      <c r="X142" s="248" t="str">
        <f t="shared" ref="X142:X162" si="53">B142</f>
        <v>Bracknell Forest</v>
      </c>
      <c r="Y142" s="307">
        <f>IF(Year1_Bracknell_Forest Year1_Care_Leavers_in_suitable_accommodation="","",Year1_Bracknell_Forest Year1_Care_Leavers_in_suitable_accommodation)</f>
        <v>54</v>
      </c>
      <c r="Z142" s="248">
        <f>IF(Year2_Bracknell_Forest Year2_Care_Leavers_in_suitable_accommodation="","",Year2_Bracknell_Forest Year2_Care_Leavers_in_suitable_accommodation)</f>
        <v>49</v>
      </c>
      <c r="AA142" s="248">
        <f>IF(Year3_Bracknell_Forest Year3_Care_Leavers_in_suitable_accommodation="","",Year3_Bracknell_Forest Year3_Care_Leavers_in_suitable_accommodation)</f>
        <v>48</v>
      </c>
      <c r="AB142" s="248">
        <f>IF(Year4_Bracknell_Forest Year4_Care_Leavers_in_suitable_accommodation="","",Year4_Bracknell_Forest Year4_Care_Leavers_in_suitable_accommodation)</f>
        <v>62</v>
      </c>
      <c r="AC142" s="248">
        <f>IF(Year5_Bracknell_Forest Year5_Care_Leavers_in_suitable_accommodation="","",Year5_Bracknell_Forest Year5_Care_Leavers_in_suitable_accommodation)</f>
        <v>65</v>
      </c>
      <c r="AD142" s="352" t="str">
        <f>X142</f>
        <v>Bracknell Forest</v>
      </c>
      <c r="AE142" s="355">
        <f t="shared" ref="AE142:AE160" si="54">IF(Y142="",0,D11)</f>
        <v>57</v>
      </c>
      <c r="AF142" s="355">
        <f t="shared" ref="AF142:AF160" si="55">IF(Z142="",0,E11)</f>
        <v>60</v>
      </c>
      <c r="AG142" s="355">
        <f t="shared" ref="AG142:AG160" si="56">IF(AA142="",0,F11)</f>
        <v>57</v>
      </c>
      <c r="AH142" s="355">
        <f t="shared" ref="AH142:AH160" si="57">IF(AB142="",0,G11)</f>
        <v>72</v>
      </c>
      <c r="AI142" s="355">
        <f t="shared" ref="AI142:AI160" si="58">IF(AC142="",0,H11)</f>
        <v>74</v>
      </c>
      <c r="AJ142" s="122"/>
    </row>
    <row r="143" spans="1:45" s="61" customFormat="1" ht="13.5" customHeight="1">
      <c r="A143" s="1103">
        <f>VLOOKUP(B143,ReportData!$AQ$4:$AR$25,2,FALSE)</f>
        <v>0</v>
      </c>
      <c r="B143" s="885" t="str">
        <f t="shared" si="47"/>
        <v>Brighton &amp; Hove</v>
      </c>
      <c r="C143" s="896"/>
      <c r="D143" s="922">
        <f t="shared" si="48"/>
        <v>0.90393013100436681</v>
      </c>
      <c r="E143" s="922">
        <f t="shared" si="49"/>
        <v>0.8868778280542986</v>
      </c>
      <c r="F143" s="922">
        <f t="shared" si="50"/>
        <v>0.87272727272727268</v>
      </c>
      <c r="G143" s="922">
        <f t="shared" si="51"/>
        <v>0.90909090909090906</v>
      </c>
      <c r="H143" s="923">
        <f t="shared" si="52"/>
        <v>0.91855203619909498</v>
      </c>
      <c r="I143" s="274"/>
      <c r="J143" s="68"/>
      <c r="K143" s="68"/>
      <c r="L143" s="127"/>
      <c r="M143" s="127"/>
      <c r="N143" s="127"/>
      <c r="O143" s="127"/>
      <c r="P143" s="127"/>
      <c r="Q143" s="127"/>
      <c r="R143" s="127"/>
      <c r="S143" s="128"/>
      <c r="T143" s="120"/>
      <c r="U143" s="89"/>
      <c r="V143" s="103"/>
      <c r="W143" s="115"/>
      <c r="X143" s="248" t="str">
        <f t="shared" si="53"/>
        <v>Brighton &amp; Hove</v>
      </c>
      <c r="Y143" s="307">
        <f>IF(Year1_Brighton_and_Hove Year1_Care_Leavers_in_suitable_accommodation="","",Year1_Brighton_and_Hove Year1_Care_Leavers_in_suitable_accommodation)</f>
        <v>207</v>
      </c>
      <c r="Z143" s="248">
        <f>IF(Year2_Brighton_and_Hove Year2_Care_Leavers_in_suitable_accommodation="","",Year2_Brighton_and_Hove Year2_Care_Leavers_in_suitable_accommodation)</f>
        <v>196</v>
      </c>
      <c r="AA143" s="248">
        <f>IF(Year3_Brighton_and_Hove Year3_Care_Leavers_in_suitable_accommodation="","",Year3_Brighton_and_Hove Year3_Care_Leavers_in_suitable_accommodation)</f>
        <v>192</v>
      </c>
      <c r="AB143" s="248">
        <f>IF(Year4_Brighton_and_Hove Year4_Care_Leavers_in_suitable_accommodation="","",Year4_Brighton_and_Hove Year4_Care_Leavers_in_suitable_accommodation)</f>
        <v>190</v>
      </c>
      <c r="AC143" s="248">
        <f>IF(Year5_Brighton_and_Hove Year5_Care_Leavers_in_suitable_accommodation="","",Year5_Brighton_and_Hove Year5_Care_Leavers_in_suitable_accommodation)</f>
        <v>203</v>
      </c>
      <c r="AD143" s="352" t="str">
        <f t="shared" ref="AD143:AD161" si="59">X143</f>
        <v>Brighton &amp; Hove</v>
      </c>
      <c r="AE143" s="355">
        <f t="shared" si="54"/>
        <v>229</v>
      </c>
      <c r="AF143" s="355">
        <f t="shared" si="55"/>
        <v>221</v>
      </c>
      <c r="AG143" s="355">
        <f t="shared" si="56"/>
        <v>220</v>
      </c>
      <c r="AH143" s="355">
        <f t="shared" si="57"/>
        <v>209</v>
      </c>
      <c r="AI143" s="355">
        <f t="shared" si="58"/>
        <v>221</v>
      </c>
      <c r="AJ143" s="121"/>
    </row>
    <row r="144" spans="1:45" s="61" customFormat="1" ht="13.5" customHeight="1">
      <c r="A144" s="1103">
        <f>VLOOKUP(B144,ReportData!$AQ$4:$AR$25,2,FALSE)</f>
        <v>0</v>
      </c>
      <c r="B144" s="885" t="str">
        <f t="shared" si="47"/>
        <v>Buckinghamshire</v>
      </c>
      <c r="C144" s="896"/>
      <c r="D144" s="922">
        <f t="shared" si="48"/>
        <v>0.82989690721649489</v>
      </c>
      <c r="E144" s="922">
        <f t="shared" si="49"/>
        <v>0.94202898550724634</v>
      </c>
      <c r="F144" s="922">
        <f t="shared" si="50"/>
        <v>0.87931034482758619</v>
      </c>
      <c r="G144" s="922">
        <f t="shared" si="51"/>
        <v>0.86234817813765186</v>
      </c>
      <c r="H144" s="923">
        <f t="shared" si="52"/>
        <v>0.88065843621399176</v>
      </c>
      <c r="I144" s="274"/>
      <c r="J144" s="68"/>
      <c r="K144" s="68"/>
      <c r="L144" s="127"/>
      <c r="M144" s="127"/>
      <c r="N144" s="127"/>
      <c r="O144" s="127"/>
      <c r="P144" s="127"/>
      <c r="Q144" s="127"/>
      <c r="R144" s="127"/>
      <c r="S144" s="128"/>
      <c r="T144" s="120"/>
      <c r="U144" s="89"/>
      <c r="V144" s="103"/>
      <c r="W144" s="115"/>
      <c r="X144" s="248" t="str">
        <f t="shared" si="53"/>
        <v>Buckinghamshire</v>
      </c>
      <c r="Y144" s="307">
        <f>IF(Year1_Buckinghamshire Year1_Care_Leavers_in_suitable_accommodation="","",Year1_Buckinghamshire Year1_Care_Leavers_in_suitable_accommodation)</f>
        <v>161</v>
      </c>
      <c r="Z144" s="248">
        <f>IF(Year2_Buckinghamshire Year2_Care_Leavers_in_suitable_accommodation="","",Year2_Buckinghamshire Year2_Care_Leavers_in_suitable_accommodation)</f>
        <v>195</v>
      </c>
      <c r="AA144" s="248">
        <f>IF(Year3_Buckinghamshire Year3_Care_Leavers_in_suitable_accommodation="","",Year3_Buckinghamshire Year3_Care_Leavers_in_suitable_accommodation)</f>
        <v>204</v>
      </c>
      <c r="AB144" s="248">
        <f>IF(Year4_Buckinghamshire Year4_Care_Leavers_in_suitable_accommodation="","",Year4_Buckinghamshire Year4_Care_Leavers_in_suitable_accommodation)</f>
        <v>213</v>
      </c>
      <c r="AC144" s="248">
        <f>IF(Year5_Buckinghamshire Year5_Care_Leavers_in_suitable_accommodation="","",Year5_Buckinghamshire Year5_Care_Leavers_in_suitable_accommodation)</f>
        <v>214</v>
      </c>
      <c r="AD144" s="352" t="str">
        <f t="shared" si="59"/>
        <v>Buckinghamshire</v>
      </c>
      <c r="AE144" s="355">
        <f t="shared" si="54"/>
        <v>194</v>
      </c>
      <c r="AF144" s="355">
        <f t="shared" si="55"/>
        <v>207</v>
      </c>
      <c r="AG144" s="355">
        <f t="shared" si="56"/>
        <v>232</v>
      </c>
      <c r="AH144" s="355">
        <f t="shared" si="57"/>
        <v>247</v>
      </c>
      <c r="AI144" s="355">
        <f t="shared" si="58"/>
        <v>243</v>
      </c>
      <c r="AJ144" s="122"/>
    </row>
    <row r="145" spans="1:44" s="61" customFormat="1" ht="13.5" customHeight="1">
      <c r="A145" s="1103">
        <f>VLOOKUP(B145,ReportData!$AQ$4:$AR$25,2,FALSE)</f>
        <v>0</v>
      </c>
      <c r="B145" s="885" t="str">
        <f t="shared" si="47"/>
        <v>East Sussex</v>
      </c>
      <c r="C145" s="896"/>
      <c r="D145" s="922">
        <f t="shared" si="48"/>
        <v>0.7839195979899497</v>
      </c>
      <c r="E145" s="922">
        <f t="shared" si="49"/>
        <v>0.8657407407407407</v>
      </c>
      <c r="F145" s="922">
        <f t="shared" si="50"/>
        <v>0.8839285714285714</v>
      </c>
      <c r="G145" s="922">
        <f t="shared" si="51"/>
        <v>0.87449392712550611</v>
      </c>
      <c r="H145" s="923">
        <f t="shared" si="52"/>
        <v>0.90636704119850187</v>
      </c>
      <c r="I145" s="274"/>
      <c r="J145" s="68"/>
      <c r="K145" s="68"/>
      <c r="L145" s="127"/>
      <c r="M145" s="127"/>
      <c r="N145" s="127"/>
      <c r="O145" s="127"/>
      <c r="P145" s="127"/>
      <c r="Q145" s="127"/>
      <c r="R145" s="127"/>
      <c r="S145" s="128"/>
      <c r="T145" s="120"/>
      <c r="U145" s="89"/>
      <c r="V145" s="103"/>
      <c r="W145" s="115"/>
      <c r="X145" s="248" t="str">
        <f t="shared" si="53"/>
        <v>East Sussex</v>
      </c>
      <c r="Y145" s="307">
        <f>IF(Year1_East_Sussex Year1_Care_Leavers_in_suitable_accommodation="","",Year1_East_Sussex Year1_Care_Leavers_in_suitable_accommodation)</f>
        <v>156</v>
      </c>
      <c r="Z145" s="248">
        <f>IF(Year2_East_Sussex Year2_Care_Leavers_in_suitable_accommodation="","",Year2_East_Sussex Year2_Care_Leavers_in_suitable_accommodation)</f>
        <v>187</v>
      </c>
      <c r="AA145" s="248">
        <f>IF(Year3_East_Sussex Year3_Care_Leavers_in_suitable_accommodation="","",Year3_East_Sussex Year3_Care_Leavers_in_suitable_accommodation)</f>
        <v>198</v>
      </c>
      <c r="AB145" s="248">
        <f>IF(Year4_East_Sussex Year4_Care_Leavers_in_suitable_accommodation="","",Year4_East_Sussex Year4_Care_Leavers_in_suitable_accommodation)</f>
        <v>216</v>
      </c>
      <c r="AC145" s="248">
        <f>IF(Year5_East_Sussex Year5_Care_Leavers_in_suitable_accommodation="","",Year5_East_Sussex Year5_Care_Leavers_in_suitable_accommodation)</f>
        <v>242</v>
      </c>
      <c r="AD145" s="352" t="str">
        <f t="shared" si="59"/>
        <v>East Sussex</v>
      </c>
      <c r="AE145" s="355">
        <f t="shared" si="54"/>
        <v>199</v>
      </c>
      <c r="AF145" s="355">
        <f t="shared" si="55"/>
        <v>216</v>
      </c>
      <c r="AG145" s="355">
        <f t="shared" si="56"/>
        <v>224</v>
      </c>
      <c r="AH145" s="355">
        <f t="shared" si="57"/>
        <v>247</v>
      </c>
      <c r="AI145" s="355">
        <f t="shared" si="58"/>
        <v>267</v>
      </c>
      <c r="AJ145" s="121"/>
    </row>
    <row r="146" spans="1:44" s="61" customFormat="1" ht="13.5" customHeight="1">
      <c r="A146" s="1103">
        <f>VLOOKUP(B146,ReportData!$AQ$4:$AR$25,2,FALSE)</f>
        <v>0</v>
      </c>
      <c r="B146" s="885" t="str">
        <f t="shared" si="47"/>
        <v>Hampshire</v>
      </c>
      <c r="C146" s="896"/>
      <c r="D146" s="922">
        <f t="shared" si="48"/>
        <v>0.70598911070780401</v>
      </c>
      <c r="E146" s="922">
        <f t="shared" si="49"/>
        <v>0.7640449438202247</v>
      </c>
      <c r="F146" s="922">
        <f t="shared" si="50"/>
        <v>0.74529667149059331</v>
      </c>
      <c r="G146" s="922">
        <f t="shared" si="51"/>
        <v>0.6957746478873239</v>
      </c>
      <c r="H146" s="923">
        <f t="shared" si="52"/>
        <v>0.3263009845288326</v>
      </c>
      <c r="I146" s="274"/>
      <c r="J146" s="68"/>
      <c r="K146" s="68"/>
      <c r="L146" s="127"/>
      <c r="M146" s="127"/>
      <c r="N146" s="127"/>
      <c r="O146" s="127"/>
      <c r="P146" s="127"/>
      <c r="Q146" s="127"/>
      <c r="R146" s="127"/>
      <c r="S146" s="128"/>
      <c r="T146" s="120"/>
      <c r="U146" s="89"/>
      <c r="V146" s="103"/>
      <c r="W146" s="115"/>
      <c r="X146" s="248" t="str">
        <f t="shared" si="53"/>
        <v>Hampshire</v>
      </c>
      <c r="Y146" s="307">
        <f>IF(Year1_Hampshire Year1_Care_Leavers_in_suitable_accommodation="","",Year1_Hampshire Year1_Care_Leavers_in_suitable_accommodation)</f>
        <v>389</v>
      </c>
      <c r="Z146" s="248">
        <f>IF(Year2_Hampshire Year2_Care_Leavers_in_suitable_accommodation="","",Year2_Hampshire Year2_Care_Leavers_in_suitable_accommodation)</f>
        <v>476</v>
      </c>
      <c r="AA146" s="248">
        <f>IF(Year3_Hampshire Year3_Care_Leavers_in_suitable_accommodation="","",Year3_Hampshire Year3_Care_Leavers_in_suitable_accommodation)</f>
        <v>515</v>
      </c>
      <c r="AB146" s="248">
        <f>IF(Year4_Hampshire Year4_Care_Leavers_in_suitable_accommodation="","",Year4_Hampshire Year4_Care_Leavers_in_suitable_accommodation)</f>
        <v>494</v>
      </c>
      <c r="AC146" s="248">
        <f>IF(Year5_Hampshire Year5_Care_Leavers_in_suitable_accommodation="","",Year5_Hampshire Year5_Care_Leavers_in_suitable_accommodation)</f>
        <v>232</v>
      </c>
      <c r="AD146" s="352" t="str">
        <f t="shared" si="59"/>
        <v>Hampshire</v>
      </c>
      <c r="AE146" s="355">
        <f t="shared" si="54"/>
        <v>551</v>
      </c>
      <c r="AF146" s="355">
        <f t="shared" si="55"/>
        <v>623</v>
      </c>
      <c r="AG146" s="355">
        <f t="shared" si="56"/>
        <v>691</v>
      </c>
      <c r="AH146" s="355">
        <f t="shared" si="57"/>
        <v>710</v>
      </c>
      <c r="AI146" s="355">
        <f t="shared" si="58"/>
        <v>711</v>
      </c>
      <c r="AJ146" s="122"/>
    </row>
    <row r="147" spans="1:44" s="61" customFormat="1" ht="13.5" customHeight="1">
      <c r="A147" s="1103">
        <f>VLOOKUP(B147,ReportData!$AQ$4:$AR$25,2,FALSE)</f>
        <v>0</v>
      </c>
      <c r="B147" s="885" t="str">
        <f t="shared" si="47"/>
        <v>Isle of Wight</v>
      </c>
      <c r="C147" s="896"/>
      <c r="D147" s="922">
        <f t="shared" si="48"/>
        <v>0.93103448275862066</v>
      </c>
      <c r="E147" s="922">
        <f t="shared" si="49"/>
        <v>0.96385542168674698</v>
      </c>
      <c r="F147" s="922">
        <f t="shared" si="50"/>
        <v>0.9452054794520548</v>
      </c>
      <c r="G147" s="922">
        <f t="shared" si="51"/>
        <v>0.89473684210526316</v>
      </c>
      <c r="H147" s="923">
        <f t="shared" si="52"/>
        <v>0.87912087912087911</v>
      </c>
      <c r="I147" s="274"/>
      <c r="J147" s="68"/>
      <c r="K147" s="68"/>
      <c r="L147" s="127"/>
      <c r="M147" s="127"/>
      <c r="N147" s="127"/>
      <c r="O147" s="127"/>
      <c r="P147" s="127"/>
      <c r="Q147" s="127"/>
      <c r="R147" s="127"/>
      <c r="S147" s="128"/>
      <c r="T147" s="120"/>
      <c r="U147" s="89"/>
      <c r="V147" s="103"/>
      <c r="W147" s="115"/>
      <c r="X147" s="248" t="str">
        <f t="shared" si="53"/>
        <v>Isle of Wight</v>
      </c>
      <c r="Y147" s="307">
        <f>IF(Year1_Isle_of_Wight Year1_Care_Leavers_in_suitable_accommodation="","",Year1_Isle_of_Wight Year1_Care_Leavers_in_suitable_accommodation)</f>
        <v>81</v>
      </c>
      <c r="Z147" s="248">
        <f>IF(Year2_Isle_of_Wight Year2_Care_Leavers_in_suitable_accommodation="","",Year2_Isle_of_Wight Year2_Care_Leavers_in_suitable_accommodation)</f>
        <v>80</v>
      </c>
      <c r="AA147" s="248">
        <f>IF(Year3_Isle_of_Wight Year3_Care_Leavers_in_suitable_accommodation="","",Year3_Isle_of_Wight Year3_Care_Leavers_in_suitable_accommodation)</f>
        <v>69</v>
      </c>
      <c r="AB147" s="248">
        <f>IF(Year4_Isle_of_Wight Year4_Care_Leavers_in_suitable_accommodation="","",Year4_Isle_of_Wight Year4_Care_Leavers_in_suitable_accommodation)</f>
        <v>68</v>
      </c>
      <c r="AC147" s="248">
        <f>IF(Year5_Isle_of_Wight Year5_Care_Leavers_in_suitable_accommodation="","",Year5_Isle_of_Wight Year5_Care_Leavers_in_suitable_accommodation)</f>
        <v>80</v>
      </c>
      <c r="AD147" s="352" t="str">
        <f t="shared" si="59"/>
        <v>Isle of Wight</v>
      </c>
      <c r="AE147" s="355">
        <f t="shared" si="54"/>
        <v>87</v>
      </c>
      <c r="AF147" s="355">
        <f t="shared" si="55"/>
        <v>83</v>
      </c>
      <c r="AG147" s="355">
        <f t="shared" si="56"/>
        <v>73</v>
      </c>
      <c r="AH147" s="355">
        <f t="shared" si="57"/>
        <v>76</v>
      </c>
      <c r="AI147" s="355">
        <f t="shared" si="58"/>
        <v>91</v>
      </c>
      <c r="AJ147" s="121"/>
      <c r="AR147" s="61" t="s">
        <v>95</v>
      </c>
    </row>
    <row r="148" spans="1:44" s="61" customFormat="1" ht="13.5" customHeight="1">
      <c r="A148" s="1103">
        <f>VLOOKUP(B148,ReportData!$AQ$4:$AR$25,2,FALSE)</f>
        <v>0</v>
      </c>
      <c r="B148" s="885" t="str">
        <f t="shared" si="47"/>
        <v>Kent</v>
      </c>
      <c r="C148" s="896"/>
      <c r="D148" s="922">
        <f t="shared" si="48"/>
        <v>0.74620390455531449</v>
      </c>
      <c r="E148" s="922">
        <f t="shared" si="49"/>
        <v>0.80765957446808512</v>
      </c>
      <c r="F148" s="922">
        <f t="shared" si="50"/>
        <v>0.85238907849829348</v>
      </c>
      <c r="G148" s="922">
        <f t="shared" si="51"/>
        <v>0.87973640856672153</v>
      </c>
      <c r="H148" s="923">
        <f t="shared" si="52"/>
        <v>0.83624272651704068</v>
      </c>
      <c r="I148" s="274"/>
      <c r="J148" s="68"/>
      <c r="K148" s="68"/>
      <c r="L148" s="127"/>
      <c r="M148" s="127"/>
      <c r="N148" s="127"/>
      <c r="O148" s="127"/>
      <c r="P148" s="127"/>
      <c r="Q148" s="127"/>
      <c r="R148" s="127"/>
      <c r="S148" s="128"/>
      <c r="T148" s="120"/>
      <c r="U148" s="89"/>
      <c r="V148" s="103"/>
      <c r="W148" s="115"/>
      <c r="X148" s="248" t="str">
        <f t="shared" si="53"/>
        <v>Kent</v>
      </c>
      <c r="Y148" s="307">
        <f>IF(Year1_Kent Year1_Care_Leavers_in_suitable_accommodation="","",Year1_Kent Year1_Care_Leavers_in_suitable_accommodation)</f>
        <v>1032</v>
      </c>
      <c r="Z148" s="248">
        <f>IF(Year2_Kent Year2_Care_Leavers_in_suitable_accommodation="","",Year2_Kent Year2_Care_Leavers_in_suitable_accommodation)</f>
        <v>949</v>
      </c>
      <c r="AA148" s="248">
        <f>IF(Year3_Kent Year3_Care_Leavers_in_suitable_accommodation="","",Year3_Kent Year3_Care_Leavers_in_suitable_accommodation)</f>
        <v>999</v>
      </c>
      <c r="AB148" s="248">
        <f>IF(Year4_Kent Year4_Care_Leavers_in_suitable_accommodation="","",Year4_Kent Year4_Care_Leavers_in_suitable_accommodation)</f>
        <v>1068</v>
      </c>
      <c r="AC148" s="248">
        <f>IF(Year5_Kent Year5_Care_Leavers_in_suitable_accommodation="","",Year5_Kent Year5_Care_Leavers_in_suitable_accommodation)</f>
        <v>1006</v>
      </c>
      <c r="AD148" s="352" t="str">
        <f t="shared" si="59"/>
        <v>Kent</v>
      </c>
      <c r="AE148" s="355">
        <f t="shared" si="54"/>
        <v>1383</v>
      </c>
      <c r="AF148" s="355">
        <f t="shared" si="55"/>
        <v>1175</v>
      </c>
      <c r="AG148" s="355">
        <f t="shared" si="56"/>
        <v>1172</v>
      </c>
      <c r="AH148" s="355">
        <f t="shared" si="57"/>
        <v>1214</v>
      </c>
      <c r="AI148" s="355">
        <f t="shared" si="58"/>
        <v>1203</v>
      </c>
      <c r="AJ148" s="122"/>
    </row>
    <row r="149" spans="1:44" s="61" customFormat="1" ht="13.5" customHeight="1">
      <c r="A149" s="1103">
        <f>VLOOKUP(B149,ReportData!$AQ$4:$AR$25,2,FALSE)</f>
        <v>0</v>
      </c>
      <c r="B149" s="885" t="str">
        <f t="shared" si="47"/>
        <v>Medway</v>
      </c>
      <c r="C149" s="896"/>
      <c r="D149" s="922">
        <f t="shared" si="48"/>
        <v>0.94214876033057848</v>
      </c>
      <c r="E149" s="922">
        <f t="shared" si="49"/>
        <v>0.88721804511278191</v>
      </c>
      <c r="F149" s="922">
        <f t="shared" si="50"/>
        <v>0.90714285714285714</v>
      </c>
      <c r="G149" s="922">
        <f t="shared" si="51"/>
        <v>0.93877551020408168</v>
      </c>
      <c r="H149" s="923">
        <f t="shared" si="52"/>
        <v>0.93377483443708609</v>
      </c>
      <c r="I149" s="274"/>
      <c r="J149" s="68"/>
      <c r="K149" s="68"/>
      <c r="L149" s="127"/>
      <c r="M149" s="127"/>
      <c r="N149" s="127"/>
      <c r="O149" s="127"/>
      <c r="P149" s="127"/>
      <c r="Q149" s="127"/>
      <c r="R149" s="127"/>
      <c r="S149" s="128"/>
      <c r="T149" s="120"/>
      <c r="U149" s="89"/>
      <c r="V149" s="103"/>
      <c r="W149" s="115"/>
      <c r="X149" s="248" t="str">
        <f t="shared" si="53"/>
        <v>Medway</v>
      </c>
      <c r="Y149" s="307">
        <f>IF(Year1_Medway Year1_Care_Leavers_in_suitable_accommodation="","",Year1_Medway Year1_Care_Leavers_in_suitable_accommodation)</f>
        <v>114</v>
      </c>
      <c r="Z149" s="248">
        <f>IF(Year2_Medway Year2_Care_Leavers_in_suitable_accommodation="","",Year2_Medway Year2_Care_Leavers_in_suitable_accommodation)</f>
        <v>118</v>
      </c>
      <c r="AA149" s="248">
        <f>IF(Year3_Medway Year3_Care_Leavers_in_suitable_accommodation="","",Year3_Medway Year3_Care_Leavers_in_suitable_accommodation)</f>
        <v>127</v>
      </c>
      <c r="AB149" s="248">
        <f>IF(Year4_Medway Year4_Care_Leavers_in_suitable_accommodation="","",Year4_Medway Year4_Care_Leavers_in_suitable_accommodation)</f>
        <v>138</v>
      </c>
      <c r="AC149" s="248">
        <f>IF(Year5_Medway Year5_Care_Leavers_in_suitable_accommodation="","",Year5_Medway Year5_Care_Leavers_in_suitable_accommodation)</f>
        <v>141</v>
      </c>
      <c r="AD149" s="352" t="str">
        <f t="shared" si="59"/>
        <v>Medway</v>
      </c>
      <c r="AE149" s="355">
        <f t="shared" si="54"/>
        <v>121</v>
      </c>
      <c r="AF149" s="355">
        <f t="shared" si="55"/>
        <v>133</v>
      </c>
      <c r="AG149" s="355">
        <f t="shared" si="56"/>
        <v>140</v>
      </c>
      <c r="AH149" s="355">
        <f t="shared" si="57"/>
        <v>147</v>
      </c>
      <c r="AI149" s="355">
        <f t="shared" si="58"/>
        <v>151</v>
      </c>
      <c r="AJ149" s="121"/>
    </row>
    <row r="150" spans="1:44" s="61" customFormat="1" ht="13.5" customHeight="1">
      <c r="A150" s="1103">
        <f>VLOOKUP(B150,ReportData!$AQ$4:$AR$25,2,FALSE)</f>
        <v>0</v>
      </c>
      <c r="B150" s="885" t="str">
        <f t="shared" si="47"/>
        <v>Milton Keynes</v>
      </c>
      <c r="C150" s="896"/>
      <c r="D150" s="922">
        <f t="shared" si="48"/>
        <v>0.81818181818181823</v>
      </c>
      <c r="E150" s="922">
        <f t="shared" si="49"/>
        <v>0.86274509803921573</v>
      </c>
      <c r="F150" s="922">
        <f t="shared" si="50"/>
        <v>0.87012987012987009</v>
      </c>
      <c r="G150" s="922">
        <f t="shared" si="51"/>
        <v>0.86982248520710059</v>
      </c>
      <c r="H150" s="923">
        <f t="shared" si="52"/>
        <v>0.875</v>
      </c>
      <c r="I150" s="274"/>
      <c r="J150" s="68"/>
      <c r="K150" s="68"/>
      <c r="L150" s="127"/>
      <c r="M150" s="127"/>
      <c r="N150" s="127"/>
      <c r="O150" s="127"/>
      <c r="P150" s="127"/>
      <c r="Q150" s="127"/>
      <c r="R150" s="127"/>
      <c r="S150" s="128"/>
      <c r="T150" s="120"/>
      <c r="U150" s="89"/>
      <c r="V150" s="103"/>
      <c r="W150" s="115"/>
      <c r="X150" s="248" t="str">
        <f t="shared" si="53"/>
        <v>Milton Keynes</v>
      </c>
      <c r="Y150" s="307">
        <f>IF(Year1_Milton_Keynes Year1_Care_Leavers_in_suitable_accommodation="","",Year1_Milton_Keynes Year1_Care_Leavers_in_suitable_accommodation)</f>
        <v>135</v>
      </c>
      <c r="Z150" s="248">
        <f>IF(Year2_Milton_Keynes Year2_Care_Leavers_in_suitable_accommodation="","",Year2_Milton_Keynes Year2_Care_Leavers_in_suitable_accommodation)</f>
        <v>132</v>
      </c>
      <c r="AA150" s="248">
        <f>IF(Year3_Milton_Keynes Year3_Care_Leavers_in_suitable_accommodation="","",Year3_Milton_Keynes Year3_Care_Leavers_in_suitable_accommodation)</f>
        <v>134</v>
      </c>
      <c r="AB150" s="248">
        <f>IF(Year4_Milton_Keynes Year4_Care_Leavers_in_suitable_accommodation="","",Year4_Milton_Keynes Year4_Care_Leavers_in_suitable_accommodation)</f>
        <v>147</v>
      </c>
      <c r="AC150" s="248">
        <f>IF(Year5_Milton_Keynes Year5_Care_Leavers_in_suitable_accommodation="","",Year5_Milton_Keynes Year5_Care_Leavers_in_suitable_accommodation)</f>
        <v>168</v>
      </c>
      <c r="AD150" s="352" t="str">
        <f t="shared" si="59"/>
        <v>Milton Keynes</v>
      </c>
      <c r="AE150" s="355">
        <f t="shared" si="54"/>
        <v>165</v>
      </c>
      <c r="AF150" s="355">
        <f t="shared" si="55"/>
        <v>153</v>
      </c>
      <c r="AG150" s="355">
        <f t="shared" si="56"/>
        <v>154</v>
      </c>
      <c r="AH150" s="355">
        <f t="shared" si="57"/>
        <v>169</v>
      </c>
      <c r="AI150" s="355">
        <f t="shared" si="58"/>
        <v>192</v>
      </c>
      <c r="AJ150" s="122"/>
    </row>
    <row r="151" spans="1:44" s="61" customFormat="1" ht="13.5" customHeight="1">
      <c r="A151" s="1103">
        <f>VLOOKUP(B151,ReportData!$AQ$4:$AR$25,2,FALSE)</f>
        <v>0</v>
      </c>
      <c r="B151" s="885" t="str">
        <f t="shared" si="47"/>
        <v>Oxfordshire</v>
      </c>
      <c r="C151" s="896"/>
      <c r="D151" s="922">
        <f t="shared" si="48"/>
        <v>0.76975945017182135</v>
      </c>
      <c r="E151" s="922">
        <f t="shared" si="49"/>
        <v>0.86378737541528239</v>
      </c>
      <c r="F151" s="922">
        <f t="shared" si="50"/>
        <v>0.87349397590361444</v>
      </c>
      <c r="G151" s="922">
        <f t="shared" si="51"/>
        <v>0.87570621468926557</v>
      </c>
      <c r="H151" s="923">
        <f t="shared" si="52"/>
        <v>0.89922480620155043</v>
      </c>
      <c r="I151" s="274"/>
      <c r="J151" s="68"/>
      <c r="K151" s="68"/>
      <c r="L151" s="127"/>
      <c r="M151" s="127"/>
      <c r="N151" s="127"/>
      <c r="O151" s="127"/>
      <c r="P151" s="127"/>
      <c r="Q151" s="127"/>
      <c r="R151" s="127"/>
      <c r="S151" s="128"/>
      <c r="T151" s="120"/>
      <c r="U151" s="89"/>
      <c r="V151" s="103"/>
      <c r="W151" s="115"/>
      <c r="X151" s="248" t="str">
        <f t="shared" si="53"/>
        <v>Oxfordshire</v>
      </c>
      <c r="Y151" s="307">
        <f>IF(Year1_Oxfordshire Year1_Care_Leavers_in_suitable_accommodation="","",Year1_Oxfordshire Year1_Care_Leavers_in_suitable_accommodation)</f>
        <v>224</v>
      </c>
      <c r="Z151" s="248">
        <f>IF(Year2_Oxfordshire Year2_Care_Leavers_in_suitable_accommodation="","",Year2_Oxfordshire Year2_Care_Leavers_in_suitable_accommodation)</f>
        <v>260</v>
      </c>
      <c r="AA151" s="248">
        <f>IF(Year3_Oxfordshire Year3_Care_Leavers_in_suitable_accommodation="","",Year3_Oxfordshire Year3_Care_Leavers_in_suitable_accommodation)</f>
        <v>290</v>
      </c>
      <c r="AB151" s="248">
        <f>IF(Year4_Oxfordshire Year4_Care_Leavers_in_suitable_accommodation="","",Year4_Oxfordshire Year4_Care_Leavers_in_suitable_accommodation)</f>
        <v>310</v>
      </c>
      <c r="AC151" s="248">
        <f>IF(Year5_Oxfordshire Year5_Care_Leavers_in_suitable_accommodation="","",Year5_Oxfordshire Year5_Care_Leavers_in_suitable_accommodation)</f>
        <v>348</v>
      </c>
      <c r="AD151" s="352" t="str">
        <f t="shared" si="59"/>
        <v>Oxfordshire</v>
      </c>
      <c r="AE151" s="355">
        <f t="shared" si="54"/>
        <v>291</v>
      </c>
      <c r="AF151" s="355">
        <f t="shared" si="55"/>
        <v>301</v>
      </c>
      <c r="AG151" s="355">
        <f t="shared" si="56"/>
        <v>332</v>
      </c>
      <c r="AH151" s="355">
        <f t="shared" si="57"/>
        <v>354</v>
      </c>
      <c r="AI151" s="355">
        <f t="shared" si="58"/>
        <v>387</v>
      </c>
      <c r="AJ151" s="121"/>
    </row>
    <row r="152" spans="1:44" s="61" customFormat="1" ht="13.5" customHeight="1">
      <c r="A152" s="1103">
        <f>VLOOKUP(B152,ReportData!$AQ$4:$AR$25,2,FALSE)</f>
        <v>0</v>
      </c>
      <c r="B152" s="885" t="str">
        <f t="shared" si="47"/>
        <v>Portsmouth</v>
      </c>
      <c r="C152" s="896"/>
      <c r="D152" s="922">
        <f t="shared" si="48"/>
        <v>0.70588235294117652</v>
      </c>
      <c r="E152" s="922">
        <f t="shared" si="49"/>
        <v>0.71563981042654023</v>
      </c>
      <c r="F152" s="922">
        <f t="shared" si="50"/>
        <v>0.806949806949807</v>
      </c>
      <c r="G152" s="922">
        <f t="shared" si="51"/>
        <v>0.82625482625482627</v>
      </c>
      <c r="H152" s="923">
        <f t="shared" si="52"/>
        <v>0.85152838427947597</v>
      </c>
      <c r="I152" s="274"/>
      <c r="J152" s="68"/>
      <c r="K152" s="68"/>
      <c r="L152" s="127"/>
      <c r="M152" s="127"/>
      <c r="N152" s="127"/>
      <c r="O152" s="127"/>
      <c r="P152" s="127"/>
      <c r="Q152" s="127"/>
      <c r="R152" s="127"/>
      <c r="S152" s="128"/>
      <c r="T152" s="120"/>
      <c r="U152" s="89"/>
      <c r="V152" s="103"/>
      <c r="W152" s="115"/>
      <c r="X152" s="248" t="str">
        <f t="shared" si="53"/>
        <v>Portsmouth</v>
      </c>
      <c r="Y152" s="307">
        <f>IF(Year1_Portsmouth Year1_Care_Leavers_in_suitable_accommodation="","",Year1_Portsmouth Year1_Care_Leavers_in_suitable_accommodation)</f>
        <v>108</v>
      </c>
      <c r="Z152" s="248">
        <f>IF(Year2_Portsmouth Year2_Care_Leavers_in_suitable_accommodation="","",Year2_Portsmouth Year2_Care_Leavers_in_suitable_accommodation)</f>
        <v>151</v>
      </c>
      <c r="AA152" s="248">
        <f>IF(Year3_Portsmouth Year3_Care_Leavers_in_suitable_accommodation="","",Year3_Portsmouth Year3_Care_Leavers_in_suitable_accommodation)</f>
        <v>209</v>
      </c>
      <c r="AB152" s="248">
        <f>IF(Year4_Portsmouth Year4_Care_Leavers_in_suitable_accommodation="","",Year4_Portsmouth Year4_Care_Leavers_in_suitable_accommodation)</f>
        <v>214</v>
      </c>
      <c r="AC152" s="248">
        <f>IF(Year5_Portsmouth Year5_Care_Leavers_in_suitable_accommodation="","",Year5_Portsmouth Year5_Care_Leavers_in_suitable_accommodation)</f>
        <v>195</v>
      </c>
      <c r="AD152" s="352" t="str">
        <f t="shared" si="59"/>
        <v>Portsmouth</v>
      </c>
      <c r="AE152" s="355">
        <f t="shared" si="54"/>
        <v>153</v>
      </c>
      <c r="AF152" s="355">
        <f t="shared" si="55"/>
        <v>211</v>
      </c>
      <c r="AG152" s="355">
        <f t="shared" si="56"/>
        <v>259</v>
      </c>
      <c r="AH152" s="355">
        <f t="shared" si="57"/>
        <v>259</v>
      </c>
      <c r="AI152" s="355">
        <f t="shared" si="58"/>
        <v>229</v>
      </c>
      <c r="AJ152" s="122"/>
    </row>
    <row r="153" spans="1:44" s="61" customFormat="1" ht="13.5" customHeight="1">
      <c r="A153" s="1103">
        <f>VLOOKUP(B153,ReportData!$AQ$4:$AR$25,2,FALSE)</f>
        <v>0</v>
      </c>
      <c r="B153" s="885" t="str">
        <f t="shared" si="47"/>
        <v>Reading</v>
      </c>
      <c r="C153" s="896"/>
      <c r="D153" s="922">
        <f t="shared" si="48"/>
        <v>0.84158415841584155</v>
      </c>
      <c r="E153" s="922">
        <f t="shared" si="49"/>
        <v>0.92</v>
      </c>
      <c r="F153" s="922">
        <f t="shared" si="50"/>
        <v>0.86458333333333337</v>
      </c>
      <c r="G153" s="922">
        <f t="shared" si="51"/>
        <v>0.8</v>
      </c>
      <c r="H153" s="923">
        <f t="shared" si="52"/>
        <v>0.80882352941176472</v>
      </c>
      <c r="I153" s="274"/>
      <c r="J153" s="68"/>
      <c r="K153" s="68"/>
      <c r="L153" s="127"/>
      <c r="M153" s="127"/>
      <c r="N153" s="127"/>
      <c r="O153" s="127"/>
      <c r="P153" s="127"/>
      <c r="Q153" s="127"/>
      <c r="R153" s="127"/>
      <c r="S153" s="128"/>
      <c r="T153" s="120"/>
      <c r="U153" s="89"/>
      <c r="V153" s="103"/>
      <c r="W153" s="115"/>
      <c r="X153" s="248" t="str">
        <f t="shared" si="53"/>
        <v>Reading</v>
      </c>
      <c r="Y153" s="307">
        <f>IF(Year1_Reading Year1_Care_Leavers_in_suitable_accommodation="","",Year1_Reading Year1_Care_Leavers_in_suitable_accommodation)</f>
        <v>85</v>
      </c>
      <c r="Z153" s="248">
        <f>IF(Year2_Reading Year2_Care_Leavers_in_suitable_accommodation="","",Year2_Reading Year2_Care_Leavers_in_suitable_accommodation)</f>
        <v>92</v>
      </c>
      <c r="AA153" s="248">
        <f>IF(Year3_Reading Year3_Care_Leavers_in_suitable_accommodation="","",Year3_Reading Year3_Care_Leavers_in_suitable_accommodation)</f>
        <v>83</v>
      </c>
      <c r="AB153" s="248">
        <f>IF(Year4_Reading Year4_Care_Leavers_in_suitable_accommodation="","",Year4_Reading Year4_Care_Leavers_in_suitable_accommodation)</f>
        <v>92</v>
      </c>
      <c r="AC153" s="248">
        <f>IF(Year5_Reading Year5_Care_Leavers_in_suitable_accommodation="","",Year5_Reading Year5_Care_Leavers_in_suitable_accommodation)</f>
        <v>110</v>
      </c>
      <c r="AD153" s="352" t="str">
        <f t="shared" si="59"/>
        <v>Reading</v>
      </c>
      <c r="AE153" s="355">
        <f t="shared" si="54"/>
        <v>101</v>
      </c>
      <c r="AF153" s="355">
        <f t="shared" si="55"/>
        <v>100</v>
      </c>
      <c r="AG153" s="355">
        <f t="shared" si="56"/>
        <v>96</v>
      </c>
      <c r="AH153" s="355">
        <f t="shared" si="57"/>
        <v>115</v>
      </c>
      <c r="AI153" s="355">
        <f t="shared" si="58"/>
        <v>136</v>
      </c>
      <c r="AJ153" s="121"/>
    </row>
    <row r="154" spans="1:44" s="61" customFormat="1" ht="13.5" customHeight="1">
      <c r="A154" s="1103">
        <f>VLOOKUP(B154,ReportData!$AQ$4:$AR$25,2,FALSE)</f>
        <v>0</v>
      </c>
      <c r="B154" s="885" t="str">
        <f t="shared" si="47"/>
        <v>Slough</v>
      </c>
      <c r="C154" s="896"/>
      <c r="D154" s="922">
        <f t="shared" si="48"/>
        <v>0.79569892473118276</v>
      </c>
      <c r="E154" s="922">
        <f t="shared" si="49"/>
        <v>0.8</v>
      </c>
      <c r="F154" s="922">
        <f t="shared" si="50"/>
        <v>0.77894736842105261</v>
      </c>
      <c r="G154" s="922">
        <f t="shared" si="51"/>
        <v>0.85263157894736841</v>
      </c>
      <c r="H154" s="923">
        <f t="shared" si="52"/>
        <v>0.8839285714285714</v>
      </c>
      <c r="I154" s="274"/>
      <c r="J154" s="68"/>
      <c r="K154" s="68"/>
      <c r="L154" s="127"/>
      <c r="M154" s="127"/>
      <c r="N154" s="127"/>
      <c r="O154" s="127"/>
      <c r="P154" s="127"/>
      <c r="Q154" s="127"/>
      <c r="R154" s="127"/>
      <c r="S154" s="128"/>
      <c r="T154" s="120"/>
      <c r="U154" s="89"/>
      <c r="V154" s="103"/>
      <c r="W154" s="115"/>
      <c r="X154" s="248" t="str">
        <f t="shared" si="53"/>
        <v>Slough</v>
      </c>
      <c r="Y154" s="307">
        <f>IF(Year1_Slough Year1_Care_Leavers_in_suitable_accommodation="","",Year1_Slough Year1_Care_Leavers_in_suitable_accommodation)</f>
        <v>74</v>
      </c>
      <c r="Z154" s="248">
        <f>IF(Year2_Slough Year2_Care_Leavers_in_suitable_accommodation="","",Year2_Slough Year2_Care_Leavers_in_suitable_accommodation)</f>
        <v>80</v>
      </c>
      <c r="AA154" s="248">
        <f>IF(Year3_Slough Year3_Care_Leavers_in_suitable_accommodation="","",Year3_Slough Year3_Care_Leavers_in_suitable_accommodation)</f>
        <v>74</v>
      </c>
      <c r="AB154" s="248">
        <f>IF(Year4_Slough Year4_Care_Leavers_in_suitable_accommodation="","",Year4_Slough Year4_Care_Leavers_in_suitable_accommodation)</f>
        <v>81</v>
      </c>
      <c r="AC154" s="248">
        <f>IF(Year5_Slough Year5_Care_Leavers_in_suitable_accommodation="","",Year5_Slough Year5_Care_Leavers_in_suitable_accommodation)</f>
        <v>99</v>
      </c>
      <c r="AD154" s="352" t="str">
        <f t="shared" si="59"/>
        <v>Slough</v>
      </c>
      <c r="AE154" s="355">
        <f t="shared" si="54"/>
        <v>93</v>
      </c>
      <c r="AF154" s="355">
        <f t="shared" si="55"/>
        <v>100</v>
      </c>
      <c r="AG154" s="355">
        <f t="shared" si="56"/>
        <v>95</v>
      </c>
      <c r="AH154" s="355">
        <f t="shared" si="57"/>
        <v>95</v>
      </c>
      <c r="AI154" s="355">
        <f t="shared" si="58"/>
        <v>112</v>
      </c>
      <c r="AJ154" s="122"/>
    </row>
    <row r="155" spans="1:44" s="61" customFormat="1" ht="13.5" customHeight="1">
      <c r="A155" s="1103">
        <f>VLOOKUP(B155,ReportData!$AQ$4:$AR$25,2,FALSE)</f>
        <v>0</v>
      </c>
      <c r="B155" s="885" t="str">
        <f t="shared" si="47"/>
        <v>Southampton</v>
      </c>
      <c r="C155" s="896"/>
      <c r="D155" s="922">
        <f t="shared" si="48"/>
        <v>0.79389312977099236</v>
      </c>
      <c r="E155" s="922">
        <f t="shared" si="49"/>
        <v>0.80281690140845074</v>
      </c>
      <c r="F155" s="922">
        <f t="shared" si="50"/>
        <v>0.84246575342465757</v>
      </c>
      <c r="G155" s="922">
        <f t="shared" si="51"/>
        <v>0.80124223602484468</v>
      </c>
      <c r="H155" s="923">
        <f t="shared" si="52"/>
        <v>0.78645833333333337</v>
      </c>
      <c r="I155" s="274"/>
      <c r="J155" s="68"/>
      <c r="K155" s="68"/>
      <c r="L155" s="127"/>
      <c r="M155" s="127"/>
      <c r="N155" s="127"/>
      <c r="O155" s="127"/>
      <c r="P155" s="127"/>
      <c r="Q155" s="127"/>
      <c r="R155" s="127"/>
      <c r="S155" s="128"/>
      <c r="T155" s="120"/>
      <c r="U155" s="89"/>
      <c r="V155" s="103"/>
      <c r="W155" s="115"/>
      <c r="X155" s="248" t="str">
        <f t="shared" si="53"/>
        <v>Southampton</v>
      </c>
      <c r="Y155" s="307">
        <f>IF(Year1_Southampton Year1_Care_Leavers_in_suitable_accommodation="","",Year1_Southampton Year1_Care_Leavers_in_suitable_accommodation)</f>
        <v>104</v>
      </c>
      <c r="Z155" s="248">
        <f>IF(Year2_Southampton Year2_Care_Leavers_in_suitable_accommodation="","",Year2_Southampton Year2_Care_Leavers_in_suitable_accommodation)</f>
        <v>114</v>
      </c>
      <c r="AA155" s="248">
        <f>IF(Year3_Southampton Year3_Care_Leavers_in_suitable_accommodation="","",Year3_Southampton Year3_Care_Leavers_in_suitable_accommodation)</f>
        <v>123</v>
      </c>
      <c r="AB155" s="248">
        <f>IF(Year4_Southampton Year4_Care_Leavers_in_suitable_accommodation="","",Year4_Southampton Year4_Care_Leavers_in_suitable_accommodation)</f>
        <v>129</v>
      </c>
      <c r="AC155" s="248">
        <f>IF(Year5_Southampton Year5_Care_Leavers_in_suitable_accommodation="","",Year5_Southampton Year5_Care_Leavers_in_suitable_accommodation)</f>
        <v>151</v>
      </c>
      <c r="AD155" s="352" t="str">
        <f t="shared" si="59"/>
        <v>Southampton</v>
      </c>
      <c r="AE155" s="355">
        <f t="shared" si="54"/>
        <v>131</v>
      </c>
      <c r="AF155" s="355">
        <f t="shared" si="55"/>
        <v>142</v>
      </c>
      <c r="AG155" s="355">
        <f t="shared" si="56"/>
        <v>146</v>
      </c>
      <c r="AH155" s="355">
        <f t="shared" si="57"/>
        <v>161</v>
      </c>
      <c r="AI155" s="355">
        <f t="shared" si="58"/>
        <v>192</v>
      </c>
      <c r="AJ155" s="122"/>
    </row>
    <row r="156" spans="1:44" s="61" customFormat="1" ht="13.5" customHeight="1">
      <c r="A156" s="1103">
        <f>VLOOKUP(B156,ReportData!$AQ$4:$AR$25,2,FALSE)</f>
        <v>0</v>
      </c>
      <c r="B156" s="885" t="str">
        <f t="shared" si="47"/>
        <v>Surrey</v>
      </c>
      <c r="C156" s="896"/>
      <c r="D156" s="922">
        <f t="shared" si="48"/>
        <v>0.78210116731517509</v>
      </c>
      <c r="E156" s="922">
        <f t="shared" si="49"/>
        <v>0.85902255639097747</v>
      </c>
      <c r="F156" s="922">
        <f t="shared" si="50"/>
        <v>0.86900369003690037</v>
      </c>
      <c r="G156" s="922">
        <f t="shared" si="51"/>
        <v>0.90374331550802134</v>
      </c>
      <c r="H156" s="923">
        <f t="shared" si="52"/>
        <v>0.88206785137318255</v>
      </c>
      <c r="I156" s="274"/>
      <c r="J156" s="68"/>
      <c r="K156" s="68"/>
      <c r="L156" s="127"/>
      <c r="M156" s="127"/>
      <c r="N156" s="127"/>
      <c r="O156" s="127"/>
      <c r="P156" s="127"/>
      <c r="Q156" s="127"/>
      <c r="R156" s="127"/>
      <c r="S156" s="128"/>
      <c r="T156" s="120"/>
      <c r="U156" s="89"/>
      <c r="V156" s="103"/>
      <c r="W156" s="115"/>
      <c r="X156" s="248" t="str">
        <f t="shared" si="53"/>
        <v>Surrey</v>
      </c>
      <c r="Y156" s="307">
        <f>IF(Year1_Surrey Year1_Care_Leavers_in_suitable_accommodation="","",Year1_Surrey Year1_Care_Leavers_in_suitable_accommodation)</f>
        <v>402</v>
      </c>
      <c r="Z156" s="248">
        <f>IF(Year2_Surrey Year2_Care_Leavers_in_suitable_accommodation="","",Year2_Surrey Year2_Care_Leavers_in_suitable_accommodation)</f>
        <v>457</v>
      </c>
      <c r="AA156" s="248">
        <f>IF(Year3_Surrey Year3_Care_Leavers_in_suitable_accommodation="","",Year3_Surrey Year3_Care_Leavers_in_suitable_accommodation)</f>
        <v>471</v>
      </c>
      <c r="AB156" s="248">
        <f>IF(Year4_Surrey Year4_Care_Leavers_in_suitable_accommodation="","",Year4_Surrey Year4_Care_Leavers_in_suitable_accommodation)</f>
        <v>507</v>
      </c>
      <c r="AC156" s="248">
        <f>IF(Year5_Surrey Year5_Care_Leavers_in_suitable_accommodation="","",Year5_Surrey Year5_Care_Leavers_in_suitable_accommodation)</f>
        <v>546</v>
      </c>
      <c r="AD156" s="352" t="str">
        <f t="shared" si="59"/>
        <v>Surrey</v>
      </c>
      <c r="AE156" s="355">
        <f t="shared" si="54"/>
        <v>514</v>
      </c>
      <c r="AF156" s="355">
        <f t="shared" si="55"/>
        <v>532</v>
      </c>
      <c r="AG156" s="355">
        <f t="shared" si="56"/>
        <v>542</v>
      </c>
      <c r="AH156" s="355">
        <f t="shared" si="57"/>
        <v>561</v>
      </c>
      <c r="AI156" s="355">
        <f t="shared" si="58"/>
        <v>619</v>
      </c>
      <c r="AJ156" s="121"/>
    </row>
    <row r="157" spans="1:44" s="61" customFormat="1" ht="13.5" customHeight="1">
      <c r="A157" s="1103">
        <f>VLOOKUP(B157,ReportData!$AQ$4:$AR$25,2,FALSE)</f>
        <v>0</v>
      </c>
      <c r="B157" s="885" t="str">
        <f t="shared" si="47"/>
        <v>West Berkshire</v>
      </c>
      <c r="C157" s="896"/>
      <c r="D157" s="922">
        <f t="shared" si="48"/>
        <v>0.96250000000000002</v>
      </c>
      <c r="E157" s="922">
        <f t="shared" si="49"/>
        <v>0.92771084337349397</v>
      </c>
      <c r="F157" s="922">
        <f t="shared" si="50"/>
        <v>0.9263157894736842</v>
      </c>
      <c r="G157" s="922">
        <f t="shared" si="51"/>
        <v>0.93269230769230771</v>
      </c>
      <c r="H157" s="923">
        <f t="shared" si="52"/>
        <v>0.87387387387387383</v>
      </c>
      <c r="I157" s="274"/>
      <c r="J157" s="68"/>
      <c r="K157" s="68"/>
      <c r="L157" s="127"/>
      <c r="M157" s="127"/>
      <c r="N157" s="127"/>
      <c r="O157" s="127"/>
      <c r="P157" s="127"/>
      <c r="Q157" s="127"/>
      <c r="R157" s="127"/>
      <c r="S157" s="128"/>
      <c r="T157" s="120"/>
      <c r="U157" s="89"/>
      <c r="V157" s="103"/>
      <c r="W157" s="115"/>
      <c r="X157" s="248" t="str">
        <f t="shared" si="53"/>
        <v>West Berkshire</v>
      </c>
      <c r="Y157" s="307">
        <f>IF(Year1_West_Berkshire Year1_Care_Leavers_in_suitable_accommodation="","",Year1_West_Berkshire Year1_Care_Leavers_in_suitable_accommodation)</f>
        <v>77</v>
      </c>
      <c r="Z157" s="248">
        <f>IF(Year2_West_Berkshire Year2_Care_Leavers_in_suitable_accommodation="","",Year2_West_Berkshire Year2_Care_Leavers_in_suitable_accommodation)</f>
        <v>77</v>
      </c>
      <c r="AA157" s="248">
        <f>IF(Year3_West_Berkshire Year3_Care_Leavers_in_suitable_accommodation="","",Year3_West_Berkshire Year3_Care_Leavers_in_suitable_accommodation)</f>
        <v>88</v>
      </c>
      <c r="AB157" s="248">
        <f>IF(Year4_West_Berkshire Year4_Care_Leavers_in_suitable_accommodation="","",Year4_West_Berkshire Year4_Care_Leavers_in_suitable_accommodation)</f>
        <v>97</v>
      </c>
      <c r="AC157" s="307">
        <f>IF(Year5_West_Berkshire Year5_Care_Leavers_in_suitable_accommodation="","",Year5_West_Berkshire Year5_Care_Leavers_in_suitable_accommodation)</f>
        <v>97</v>
      </c>
      <c r="AD157" s="352" t="str">
        <f t="shared" si="59"/>
        <v>West Berkshire</v>
      </c>
      <c r="AE157" s="355">
        <f t="shared" si="54"/>
        <v>80</v>
      </c>
      <c r="AF157" s="355">
        <f t="shared" si="55"/>
        <v>83</v>
      </c>
      <c r="AG157" s="355">
        <f t="shared" si="56"/>
        <v>95</v>
      </c>
      <c r="AH157" s="355">
        <f t="shared" si="57"/>
        <v>104</v>
      </c>
      <c r="AI157" s="355">
        <f t="shared" si="58"/>
        <v>111</v>
      </c>
      <c r="AJ157" s="122"/>
    </row>
    <row r="158" spans="1:44" s="61" customFormat="1" ht="13.5" customHeight="1">
      <c r="A158" s="1103">
        <f>VLOOKUP(B158,ReportData!$AQ$4:$AR$25,2,FALSE)</f>
        <v>0</v>
      </c>
      <c r="B158" s="885" t="str">
        <f t="shared" si="47"/>
        <v>West Sussex</v>
      </c>
      <c r="C158" s="896"/>
      <c r="D158" s="922">
        <f t="shared" si="48"/>
        <v>0.86178861788617889</v>
      </c>
      <c r="E158" s="922">
        <f t="shared" si="49"/>
        <v>0.91666666666666663</v>
      </c>
      <c r="F158" s="922">
        <f t="shared" si="50"/>
        <v>0.9296875</v>
      </c>
      <c r="G158" s="922">
        <f t="shared" si="51"/>
        <v>0.90929705215419498</v>
      </c>
      <c r="H158" s="923">
        <f t="shared" si="52"/>
        <v>0.88796680497925307</v>
      </c>
      <c r="I158" s="274"/>
      <c r="J158" s="68"/>
      <c r="K158" s="68"/>
      <c r="L158" s="127"/>
      <c r="M158" s="127"/>
      <c r="N158" s="127"/>
      <c r="O158" s="127"/>
      <c r="P158" s="127"/>
      <c r="Q158" s="127"/>
      <c r="R158" s="127"/>
      <c r="S158" s="128"/>
      <c r="T158" s="120"/>
      <c r="U158" s="89"/>
      <c r="V158" s="103"/>
      <c r="W158" s="115"/>
      <c r="X158" s="248" t="str">
        <f t="shared" si="53"/>
        <v>West Sussex</v>
      </c>
      <c r="Y158" s="307">
        <f>IF(Year1_West_Sussex Year1_Care_Leavers_in_suitable_accommodation="","",Year1_West_Sussex Year1_Care_Leavers_in_suitable_accommodation)</f>
        <v>318</v>
      </c>
      <c r="Z158" s="248">
        <f>IF(Year2_West_Sussex Year2_Care_Leavers_in_suitable_accommodation="","",Year2_West_Sussex Year2_Care_Leavers_in_suitable_accommodation)</f>
        <v>352</v>
      </c>
      <c r="AA158" s="248">
        <f>IF(Year3_West_Sussex Year3_Care_Leavers_in_suitable_accommodation="","",Year3_West_Sussex Year3_Care_Leavers_in_suitable_accommodation)</f>
        <v>357</v>
      </c>
      <c r="AB158" s="248">
        <f>IF(Year4_West_Sussex Year4_Care_Leavers_in_suitable_accommodation="","",Year4_West_Sussex Year4_Care_Leavers_in_suitable_accommodation)</f>
        <v>401</v>
      </c>
      <c r="AC158" s="307">
        <f>IF(Year5_West_Sussex Year5_Care_Leavers_in_suitable_accommodation="","",Year5_West_Sussex Year5_Care_Leavers_in_suitable_accommodation)</f>
        <v>428</v>
      </c>
      <c r="AD158" s="352" t="str">
        <f t="shared" si="59"/>
        <v>West Sussex</v>
      </c>
      <c r="AE158" s="355">
        <f t="shared" si="54"/>
        <v>369</v>
      </c>
      <c r="AF158" s="355">
        <f t="shared" si="55"/>
        <v>384</v>
      </c>
      <c r="AG158" s="355">
        <f t="shared" si="56"/>
        <v>384</v>
      </c>
      <c r="AH158" s="355">
        <f t="shared" si="57"/>
        <v>441</v>
      </c>
      <c r="AI158" s="355">
        <f t="shared" si="58"/>
        <v>482</v>
      </c>
      <c r="AJ158" s="121"/>
    </row>
    <row r="159" spans="1:44" s="61" customFormat="1" ht="13.5" customHeight="1">
      <c r="A159" s="1103">
        <f>VLOOKUP(B159,ReportData!$AQ$4:$AR$25,2,FALSE)</f>
        <v>0</v>
      </c>
      <c r="B159" s="885" t="str">
        <f t="shared" si="47"/>
        <v>Windsor &amp; Maidenhead</v>
      </c>
      <c r="C159" s="896"/>
      <c r="D159" s="922">
        <f t="shared" si="48"/>
        <v>0.8035714285714286</v>
      </c>
      <c r="E159" s="922">
        <f t="shared" si="49"/>
        <v>0.9</v>
      </c>
      <c r="F159" s="922">
        <f t="shared" si="50"/>
        <v>0.92537313432835822</v>
      </c>
      <c r="G159" s="922">
        <f t="shared" si="51"/>
        <v>0.93442622950819676</v>
      </c>
      <c r="H159" s="923">
        <f t="shared" si="52"/>
        <v>0.89552238805970152</v>
      </c>
      <c r="I159" s="274"/>
      <c r="J159" s="68"/>
      <c r="K159" s="68"/>
      <c r="L159" s="127"/>
      <c r="M159" s="127"/>
      <c r="N159" s="127"/>
      <c r="O159" s="127"/>
      <c r="P159" s="127"/>
      <c r="Q159" s="127"/>
      <c r="R159" s="127"/>
      <c r="S159" s="128"/>
      <c r="T159" s="120"/>
      <c r="U159" s="89"/>
      <c r="V159" s="103"/>
      <c r="W159" s="115"/>
      <c r="X159" s="248" t="str">
        <f t="shared" si="53"/>
        <v>Windsor &amp; Maidenhead</v>
      </c>
      <c r="Y159" s="307">
        <f>IF(Year1_Windsor_and_Maidenhead Year1_Care_Leavers_in_suitable_accommodation="","",Year1_Windsor_and_Maidenhead Year1_Care_Leavers_in_suitable_accommodation)</f>
        <v>45</v>
      </c>
      <c r="Z159" s="248">
        <f>IF(Year2_Windsor_and_Maidenhead Year2_Care_Leavers_in_suitable_accommodation="","",Year2_Windsor_and_Maidenhead Year2_Care_Leavers_in_suitable_accommodation)</f>
        <v>54</v>
      </c>
      <c r="AA159" s="248">
        <f>IF(Year3_Windsor_and_Maidenhead Year3_Care_Leavers_in_suitable_accommodation="","",Year3_Windsor_and_Maidenhead Year3_Care_Leavers_in_suitable_accommodation)</f>
        <v>62</v>
      </c>
      <c r="AB159" s="248">
        <f>IF(Year4_Windsor_and_Maidenhead Year4_Care_Leavers_in_suitable_accommodation="","",Year4_Windsor_and_Maidenhead Year4_Care_Leavers_in_suitable_accommodation)</f>
        <v>57</v>
      </c>
      <c r="AC159" s="307">
        <f>IF(Year5_Windsor_and_Maidenhead Year5_Care_Leavers_in_suitable_accommodation="","",Year5_Windsor_and_Maidenhead Year5_Care_Leavers_in_suitable_accommodation)</f>
        <v>60</v>
      </c>
      <c r="AD159" s="352" t="str">
        <f t="shared" si="59"/>
        <v>Windsor &amp; Maidenhead</v>
      </c>
      <c r="AE159" s="355">
        <f t="shared" si="54"/>
        <v>56</v>
      </c>
      <c r="AF159" s="355">
        <f t="shared" si="55"/>
        <v>60</v>
      </c>
      <c r="AG159" s="355">
        <f t="shared" si="56"/>
        <v>67</v>
      </c>
      <c r="AH159" s="355">
        <f t="shared" si="57"/>
        <v>61</v>
      </c>
      <c r="AI159" s="355">
        <f t="shared" si="58"/>
        <v>67</v>
      </c>
      <c r="AJ159" s="122"/>
    </row>
    <row r="160" spans="1:44" s="61" customFormat="1" ht="13.5" customHeight="1">
      <c r="A160" s="1103">
        <f>VLOOKUP(B160,ReportData!$AQ$4:$AR$25,2,FALSE)</f>
        <v>0</v>
      </c>
      <c r="B160" s="885" t="str">
        <f t="shared" si="47"/>
        <v>Wokingham</v>
      </c>
      <c r="C160" s="896"/>
      <c r="D160" s="922">
        <f t="shared" si="48"/>
        <v>0.94117647058823528</v>
      </c>
      <c r="E160" s="922">
        <f t="shared" si="49"/>
        <v>0.79661016949152541</v>
      </c>
      <c r="F160" s="922">
        <f t="shared" si="50"/>
        <v>0.77049180327868849</v>
      </c>
      <c r="G160" s="922">
        <f t="shared" si="51"/>
        <v>0.95</v>
      </c>
      <c r="H160" s="923">
        <f t="shared" si="52"/>
        <v>0.93506493506493504</v>
      </c>
      <c r="I160" s="274"/>
      <c r="J160" s="68"/>
      <c r="K160" s="68"/>
      <c r="L160" s="127"/>
      <c r="M160" s="127"/>
      <c r="N160" s="127"/>
      <c r="O160" s="127"/>
      <c r="P160" s="127"/>
      <c r="Q160" s="127"/>
      <c r="R160" s="127"/>
      <c r="S160" s="128"/>
      <c r="T160" s="120"/>
      <c r="U160" s="89"/>
      <c r="V160" s="103"/>
      <c r="W160" s="115"/>
      <c r="X160" s="248" t="str">
        <f t="shared" si="53"/>
        <v>Wokingham</v>
      </c>
      <c r="Y160" s="307">
        <f>IF(Year1_Wokingham Year1_Care_Leavers_in_suitable_accommodation="","",Year1_Wokingham Year1_Care_Leavers_in_suitable_accommodation)</f>
        <v>48</v>
      </c>
      <c r="Z160" s="248">
        <f>IF(Year2_Wokingham Year2_Care_Leavers_in_suitable_accommodation="","",Year2_Wokingham Year2_Care_Leavers_in_suitable_accommodation)</f>
        <v>47</v>
      </c>
      <c r="AA160" s="248">
        <f>IF(Year3_Wokingham Year3_Care_Leavers_in_suitable_accommodation="","",Year3_Wokingham Year3_Care_Leavers_in_suitable_accommodation)</f>
        <v>47</v>
      </c>
      <c r="AB160" s="248">
        <f>IF(Year4_Wokingham Year4_Care_Leavers_in_suitable_accommodation="","",Year4_Wokingham Year4_Care_Leavers_in_suitable_accommodation)</f>
        <v>57</v>
      </c>
      <c r="AC160" s="307">
        <f>IF(Year5_Wokingham Year5_Care_Leavers_in_suitable_accommodation="","",Year5_Wokingham Year5_Care_Leavers_in_suitable_accommodation)</f>
        <v>72</v>
      </c>
      <c r="AD160" s="352" t="str">
        <f t="shared" si="59"/>
        <v>Wokingham</v>
      </c>
      <c r="AE160" s="355">
        <f t="shared" si="54"/>
        <v>51</v>
      </c>
      <c r="AF160" s="355">
        <f t="shared" si="55"/>
        <v>59</v>
      </c>
      <c r="AG160" s="355">
        <f t="shared" si="56"/>
        <v>61</v>
      </c>
      <c r="AH160" s="355">
        <f t="shared" si="57"/>
        <v>60</v>
      </c>
      <c r="AI160" s="355">
        <f t="shared" si="58"/>
        <v>77</v>
      </c>
      <c r="AJ160" s="121"/>
    </row>
    <row r="161" spans="1:45" s="61" customFormat="1" ht="13.5" customHeight="1">
      <c r="A161" s="1103"/>
      <c r="B161" s="886" t="str">
        <f t="shared" si="47"/>
        <v>South East</v>
      </c>
      <c r="C161" s="896"/>
      <c r="D161" s="924">
        <f t="shared" ref="D161:H162" si="60">IF(AND(ISNUMBER(Y161),ISNUMBER(AE161)),Y161/AE161,NA())</f>
        <v>0.78963730569948187</v>
      </c>
      <c r="E161" s="924">
        <f t="shared" si="60"/>
        <v>0.83956225480074331</v>
      </c>
      <c r="F161" s="924">
        <f t="shared" si="60"/>
        <v>0.85119047619047616</v>
      </c>
      <c r="G161" s="924">
        <f t="shared" si="60"/>
        <v>0.85628064881176913</v>
      </c>
      <c r="H161" s="925">
        <f t="shared" si="60"/>
        <v>0.80143755615453727</v>
      </c>
      <c r="I161" s="274"/>
      <c r="J161" s="68"/>
      <c r="K161" s="68"/>
      <c r="L161" s="129"/>
      <c r="M161" s="129"/>
      <c r="N161" s="129"/>
      <c r="O161" s="129"/>
      <c r="P161" s="129"/>
      <c r="Q161" s="129"/>
      <c r="R161" s="129"/>
      <c r="S161" s="130"/>
      <c r="T161" s="120"/>
      <c r="U161" s="89"/>
      <c r="V161" s="103"/>
      <c r="W161" s="115"/>
      <c r="X161" s="248" t="str">
        <f t="shared" si="53"/>
        <v>South East</v>
      </c>
      <c r="Y161" s="248">
        <f>IF(Year1_South_East Year1_Care_Leavers_in_suitable_accommodation="","",Year1_South_East Year1_Care_Leavers_in_suitable_accommodation)</f>
        <v>3810</v>
      </c>
      <c r="Z161" s="248">
        <f>IF(Year2_South_East Year2_Care_Leavers_in_suitable_accommodation="","",Year2_South_East Year2_Care_Leavers_in_suitable_accommodation)</f>
        <v>4066</v>
      </c>
      <c r="AA161" s="248">
        <f>IF(Year3_South_East Year3_Care_Leavers_in_suitable_accommodation="","",Year3_South_East Year3_Care_Leavers_in_suitable_accommodation)</f>
        <v>4290</v>
      </c>
      <c r="AB161" s="248">
        <f>IF(Year4_South_East Year4_Care_Leavers_in_suitable_accommodation="","",Year4_South_East Year4_Care_Leavers_in_suitable_accommodation)</f>
        <v>4540</v>
      </c>
      <c r="AC161" s="248">
        <f>IF(Year5_South_East Year5_Care_Leavers_in_suitable_accommodation="","",Year5_South_East Year5_Care_Leavers_in_suitable_accommodation)</f>
        <v>4460</v>
      </c>
      <c r="AD161" s="352" t="str">
        <f t="shared" si="59"/>
        <v>South East</v>
      </c>
      <c r="AE161" s="252">
        <f>SUM(AE142:AE154,AE155:AE156,AE157:AE160)</f>
        <v>4825</v>
      </c>
      <c r="AF161" s="252">
        <f>SUM(AF142:AF154,AF155:AF156,AF157:AF160)</f>
        <v>4843</v>
      </c>
      <c r="AG161" s="252">
        <f>SUM(AG142:AG154,AG155:AG156,AG157:AG160)</f>
        <v>5040</v>
      </c>
      <c r="AH161" s="252">
        <f>SUM(AH142:AH154,AH155:AH156,AH157:AH160)</f>
        <v>5302</v>
      </c>
      <c r="AI161" s="252">
        <f>SUM(AI142:AI154,AI155:AI156,AI157:AI160)</f>
        <v>5565</v>
      </c>
      <c r="AJ161" s="122"/>
    </row>
    <row r="162" spans="1:45" s="61" customFormat="1" ht="13.5" customHeight="1">
      <c r="A162" s="1103"/>
      <c r="B162" s="887" t="str">
        <f>ReportData!$K$24</f>
        <v>England</v>
      </c>
      <c r="C162" s="896"/>
      <c r="D162" s="926">
        <f t="shared" si="60"/>
        <v>0.84325015994881636</v>
      </c>
      <c r="E162" s="926">
        <f t="shared" si="60"/>
        <v>0.86973910903273444</v>
      </c>
      <c r="F162" s="926">
        <f t="shared" si="60"/>
        <v>0.87139029473057461</v>
      </c>
      <c r="G162" s="926">
        <f t="shared" si="60"/>
        <v>0.87503607503607506</v>
      </c>
      <c r="H162" s="927">
        <f t="shared" si="60"/>
        <v>0.86967280725872975</v>
      </c>
      <c r="I162" s="274"/>
      <c r="J162" s="68"/>
      <c r="K162" s="68"/>
      <c r="L162" s="129"/>
      <c r="M162" s="129"/>
      <c r="N162" s="129"/>
      <c r="O162" s="129"/>
      <c r="P162" s="129"/>
      <c r="Q162" s="129"/>
      <c r="R162" s="129"/>
      <c r="S162" s="130"/>
      <c r="T162" s="120"/>
      <c r="U162" s="89"/>
      <c r="V162" s="103"/>
      <c r="W162" s="115"/>
      <c r="X162" s="352" t="str">
        <f t="shared" si="53"/>
        <v>England</v>
      </c>
      <c r="Y162" s="307">
        <f>IF(Year1_England Year1_Care_Leavers_in_suitable_accommodation="","",Year1_England Year1_Care_Leavers_in_suitable_accommodation)</f>
        <v>26360</v>
      </c>
      <c r="Z162" s="248">
        <f>IF(Year2_England Year2_Care_Leavers_in_suitable_accommodation="","",Year2_England Year2_Care_Leavers_in_suitable_accommodation)</f>
        <v>28270</v>
      </c>
      <c r="AA162" s="248">
        <f>IF(Year3_England Year3_Care_Leavers_in_suitable_accommodation="","",Year3_England Year3_Care_Leavers_in_suitable_accommodation)</f>
        <v>29270</v>
      </c>
      <c r="AB162" s="248">
        <f>IF(Year4_England Year4_Care_Leavers_in_suitable_accommodation="","",Year4_England Year4_Care_Leavers_in_suitable_accommodation)</f>
        <v>30320</v>
      </c>
      <c r="AC162" s="307">
        <f>IF(Year5_England Year5_Care_Leavers_in_suitable_accommodation="","",Year5_England Year5_Care_Leavers_in_suitable_accommodation)</f>
        <v>31630</v>
      </c>
      <c r="AD162" s="352" t="str">
        <f>X162</f>
        <v>England</v>
      </c>
      <c r="AE162" s="355">
        <f>IF(Y162="",0,D31)</f>
        <v>31260</v>
      </c>
      <c r="AF162" s="355">
        <f>IF(Z162="",0,E31)</f>
        <v>32504</v>
      </c>
      <c r="AG162" s="355">
        <f>IF(AA162="",0,F31)</f>
        <v>33590</v>
      </c>
      <c r="AH162" s="355">
        <f>IF(AB162="",0,G31)</f>
        <v>34650</v>
      </c>
      <c r="AI162" s="355">
        <f>IF(AC162="",0,H31)</f>
        <v>36370</v>
      </c>
      <c r="AJ162" s="122"/>
    </row>
    <row r="163" spans="1:45" s="61" customFormat="1" ht="4.5" customHeight="1">
      <c r="A163" s="217"/>
      <c r="B163" s="68"/>
      <c r="C163" s="68"/>
      <c r="D163" s="68"/>
      <c r="E163" s="68"/>
      <c r="F163" s="68"/>
      <c r="G163" s="68"/>
      <c r="H163" s="68"/>
      <c r="I163" s="68"/>
      <c r="J163" s="68"/>
      <c r="K163" s="68"/>
      <c r="L163" s="129"/>
      <c r="M163" s="129"/>
      <c r="N163" s="129"/>
      <c r="O163" s="129"/>
      <c r="P163" s="129"/>
      <c r="Q163" s="129"/>
      <c r="R163" s="129"/>
      <c r="S163" s="130"/>
      <c r="T163" s="120"/>
      <c r="U163" s="89"/>
      <c r="V163" s="103"/>
      <c r="W163" s="115"/>
      <c r="X163" s="56"/>
      <c r="Y163" s="56"/>
      <c r="Z163" s="146"/>
      <c r="AA163" s="146"/>
      <c r="AB163" s="147"/>
      <c r="AC163" s="147"/>
      <c r="AD163" s="149"/>
      <c r="AH163" s="141"/>
      <c r="AJ163" s="121"/>
    </row>
    <row r="164" spans="1:45" s="56" customFormat="1" ht="42" customHeight="1">
      <c r="A164" s="288"/>
      <c r="B164" s="171"/>
      <c r="C164" s="171"/>
      <c r="D164" s="171"/>
      <c r="E164" s="171"/>
      <c r="F164" s="171"/>
      <c r="G164" s="171"/>
      <c r="H164" s="171"/>
      <c r="I164" s="171"/>
      <c r="J164" s="171"/>
      <c r="K164" s="133"/>
      <c r="L164" s="133"/>
      <c r="M164" s="133"/>
      <c r="N164" s="133"/>
      <c r="O164" s="133"/>
      <c r="P164" s="133"/>
      <c r="Q164" s="133"/>
      <c r="R164" s="133"/>
      <c r="S164" s="101"/>
      <c r="T164" s="133"/>
      <c r="U164" s="86"/>
      <c r="V164" s="102"/>
      <c r="W164" s="114"/>
      <c r="AC164" s="147"/>
      <c r="AD164" s="149"/>
      <c r="AE164" s="52"/>
      <c r="AF164" s="52"/>
      <c r="AG164" s="52"/>
      <c r="AI164" s="52"/>
      <c r="AJ164" s="122"/>
    </row>
    <row r="165" spans="1:45" s="56" customFormat="1" ht="42.75" customHeight="1">
      <c r="A165" s="288"/>
      <c r="B165" s="171"/>
      <c r="C165" s="171"/>
      <c r="D165" s="171"/>
      <c r="E165" s="171"/>
      <c r="F165" s="171"/>
      <c r="G165" s="171"/>
      <c r="H165" s="171"/>
      <c r="I165" s="171"/>
      <c r="J165" s="171"/>
      <c r="K165" s="133"/>
      <c r="L165" s="133"/>
      <c r="M165" s="133"/>
      <c r="N165" s="133"/>
      <c r="O165" s="133"/>
      <c r="P165" s="133"/>
      <c r="Q165" s="133"/>
      <c r="R165" s="133"/>
      <c r="S165" s="101"/>
      <c r="T165" s="133"/>
      <c r="U165" s="86"/>
      <c r="V165" s="102"/>
      <c r="W165" s="114"/>
      <c r="Y165" s="141"/>
      <c r="AD165" s="149"/>
      <c r="AE165" s="52"/>
      <c r="AF165" s="52"/>
      <c r="AG165" s="52"/>
      <c r="AI165" s="52"/>
      <c r="AJ165" s="122"/>
    </row>
    <row r="166" spans="1:45" s="56" customFormat="1" ht="42" customHeight="1">
      <c r="A166" s="288"/>
      <c r="B166" s="171"/>
      <c r="C166" s="171"/>
      <c r="D166" s="171"/>
      <c r="E166" s="171"/>
      <c r="F166" s="171"/>
      <c r="G166" s="171"/>
      <c r="H166" s="171"/>
      <c r="I166" s="171"/>
      <c r="J166" s="171"/>
      <c r="K166" s="133"/>
      <c r="L166" s="133"/>
      <c r="M166" s="133"/>
      <c r="N166" s="133"/>
      <c r="O166" s="133"/>
      <c r="P166" s="133"/>
      <c r="Q166" s="133"/>
      <c r="R166" s="133"/>
      <c r="S166" s="101"/>
      <c r="T166" s="133"/>
      <c r="U166" s="86"/>
      <c r="V166" s="121"/>
      <c r="W166" s="114"/>
      <c r="Y166" s="141"/>
      <c r="AD166" s="149"/>
      <c r="AE166" s="52"/>
      <c r="AF166" s="52"/>
      <c r="AG166" s="52"/>
      <c r="AI166" s="52"/>
      <c r="AJ166" s="122"/>
    </row>
    <row r="167" spans="1:45" s="56" customFormat="1" ht="7.5" customHeight="1">
      <c r="A167" s="208"/>
      <c r="B167" s="12"/>
      <c r="C167" s="12"/>
      <c r="D167" s="11"/>
      <c r="E167" s="11"/>
      <c r="F167" s="11"/>
      <c r="G167" s="11"/>
      <c r="H167" s="11"/>
      <c r="I167" s="11"/>
      <c r="J167" s="11"/>
      <c r="K167" s="1"/>
      <c r="L167" s="13"/>
      <c r="M167" s="13"/>
      <c r="N167" s="13"/>
      <c r="O167" s="13"/>
      <c r="P167" s="13"/>
      <c r="Q167" s="13"/>
      <c r="R167" s="13"/>
      <c r="S167" s="13"/>
      <c r="T167" s="13"/>
      <c r="U167" s="86"/>
      <c r="V167" s="185"/>
      <c r="W167" s="114"/>
      <c r="Y167" s="141"/>
      <c r="AI167" s="52"/>
      <c r="AJ167" s="122"/>
      <c r="AL167" s="52"/>
      <c r="AM167" s="52"/>
      <c r="AN167" s="52"/>
      <c r="AO167" s="52"/>
      <c r="AP167" s="52"/>
      <c r="AQ167" s="52"/>
    </row>
    <row r="168" spans="1:45" ht="11.25" customHeight="1">
      <c r="A168" s="269"/>
      <c r="B168" s="40"/>
      <c r="C168" s="40"/>
      <c r="D168" s="40"/>
      <c r="E168" s="40"/>
      <c r="F168" s="40"/>
      <c r="G168" s="40"/>
      <c r="H168" s="40"/>
      <c r="I168" s="40"/>
      <c r="J168" s="40"/>
      <c r="K168" s="47"/>
      <c r="L168" s="40"/>
      <c r="M168" s="40"/>
      <c r="N168" s="40"/>
      <c r="O168" s="40"/>
      <c r="P168" s="40"/>
      <c r="Q168" s="40"/>
      <c r="R168" s="40"/>
      <c r="S168" s="40"/>
      <c r="T168" s="40"/>
      <c r="U168" s="170"/>
      <c r="V168" s="185"/>
      <c r="W168" s="114"/>
      <c r="AJ168" s="122"/>
      <c r="AK168" s="56"/>
    </row>
    <row r="169" spans="1:45" s="56" customFormat="1" ht="15" customHeight="1">
      <c r="A169" s="1950"/>
      <c r="B169" s="1951"/>
      <c r="C169" s="1951"/>
      <c r="D169" s="1951"/>
      <c r="E169" s="1951"/>
      <c r="F169" s="1951"/>
      <c r="G169" s="1951"/>
      <c r="H169" s="1951"/>
      <c r="I169" s="1951"/>
      <c r="J169" s="1951"/>
      <c r="K169" s="1951"/>
      <c r="L169" s="1951"/>
      <c r="M169" s="1951"/>
      <c r="N169" s="1951"/>
      <c r="O169" s="1951"/>
      <c r="P169" s="1951"/>
      <c r="Q169" s="1951"/>
      <c r="R169" s="1951"/>
      <c r="S169" s="1951"/>
      <c r="T169" s="1951"/>
      <c r="U169" s="1952"/>
      <c r="V169" s="185"/>
      <c r="W169" s="114"/>
      <c r="AJ169" s="122"/>
      <c r="AS169" s="52"/>
    </row>
    <row r="170" spans="1:45" ht="10.5" customHeight="1">
      <c r="A170" s="81"/>
      <c r="B170" s="82"/>
      <c r="C170" s="82"/>
      <c r="D170" s="82"/>
      <c r="E170" s="82"/>
      <c r="F170" s="82"/>
      <c r="G170" s="82"/>
      <c r="H170" s="82"/>
      <c r="I170" s="82"/>
      <c r="J170" s="82"/>
      <c r="K170" s="83"/>
      <c r="L170" s="82"/>
      <c r="M170" s="82"/>
      <c r="N170" s="82"/>
      <c r="O170" s="82"/>
      <c r="P170" s="82"/>
      <c r="Q170" s="82"/>
      <c r="R170" s="82"/>
      <c r="S170" s="82"/>
      <c r="T170" s="82"/>
      <c r="U170" s="84"/>
      <c r="V170" s="102"/>
      <c r="W170" s="114"/>
      <c r="X170" s="148"/>
      <c r="Y170" s="146"/>
      <c r="Z170" s="52"/>
      <c r="AJ170" s="121"/>
    </row>
    <row r="171" spans="1:45" ht="18.75" customHeight="1">
      <c r="A171" s="87"/>
      <c r="B171" s="1903" t="s">
        <v>1286</v>
      </c>
      <c r="C171" s="1903"/>
      <c r="D171" s="1903"/>
      <c r="E171" s="1903"/>
      <c r="F171" s="1903"/>
      <c r="G171" s="1903"/>
      <c r="H171" s="1903"/>
      <c r="I171" s="1177"/>
      <c r="J171" s="76"/>
      <c r="K171" s="50"/>
      <c r="L171" s="50"/>
      <c r="M171" s="50"/>
      <c r="N171" s="50"/>
      <c r="O171" s="224"/>
      <c r="P171" s="50"/>
      <c r="Q171" s="50"/>
      <c r="R171" s="50"/>
      <c r="S171" s="50"/>
      <c r="T171" s="50"/>
      <c r="U171" s="86"/>
      <c r="V171" s="102"/>
      <c r="W171" s="114"/>
      <c r="X171" s="52" t="s">
        <v>656</v>
      </c>
      <c r="Y171" s="250"/>
      <c r="Z171" s="251"/>
      <c r="AA171" s="251"/>
      <c r="AB171" s="251"/>
      <c r="AD171" s="52" t="s">
        <v>883</v>
      </c>
      <c r="AE171" s="52"/>
      <c r="AF171" s="52"/>
      <c r="AG171" s="52"/>
      <c r="AH171" s="52"/>
      <c r="AJ171" s="121"/>
    </row>
    <row r="172" spans="1:45" ht="18.75" customHeight="1">
      <c r="A172" s="87"/>
      <c r="B172" s="1903"/>
      <c r="C172" s="1903"/>
      <c r="D172" s="1903"/>
      <c r="E172" s="1903"/>
      <c r="F172" s="1903"/>
      <c r="G172" s="1903"/>
      <c r="H172" s="1903"/>
      <c r="I172" s="1177"/>
      <c r="J172" s="76"/>
      <c r="K172" s="50"/>
      <c r="L172" s="50"/>
      <c r="M172" s="50"/>
      <c r="N172" s="50"/>
      <c r="O172" s="224"/>
      <c r="P172" s="50"/>
      <c r="Q172" s="50"/>
      <c r="R172" s="50"/>
      <c r="S172" s="5"/>
      <c r="T172" s="50"/>
      <c r="U172" s="86"/>
      <c r="V172" s="102"/>
      <c r="W172" s="114"/>
      <c r="X172" s="52"/>
      <c r="Y172" s="52"/>
      <c r="Z172" s="52"/>
      <c r="AA172" s="52"/>
      <c r="AB172" s="52"/>
      <c r="AC172" s="52"/>
      <c r="AD172" s="251"/>
      <c r="AE172" s="250"/>
      <c r="AF172" s="251"/>
      <c r="AG172" s="251"/>
      <c r="AH172" s="251"/>
      <c r="AI172" s="56"/>
      <c r="AJ172" s="121"/>
    </row>
    <row r="173" spans="1:45" s="61" customFormat="1" ht="18.75" customHeight="1">
      <c r="A173" s="1148"/>
      <c r="B173" s="1749" t="s">
        <v>177</v>
      </c>
      <c r="C173" s="1175"/>
      <c r="D173" s="1088" t="str">
        <f>ReportData!$D$27</f>
        <v>2019/20</v>
      </c>
      <c r="E173" s="1088" t="str">
        <f>ReportData!$E$27</f>
        <v>2020/21</v>
      </c>
      <c r="F173" s="1088" t="str">
        <f>ReportData!$F$27</f>
        <v>2021/22</v>
      </c>
      <c r="G173" s="1088" t="str">
        <f>ReportData!$G$27</f>
        <v>2022/23</v>
      </c>
      <c r="H173" s="1089" t="str">
        <f>ReportData!$H$27</f>
        <v>2023/24</v>
      </c>
      <c r="I173" s="43"/>
      <c r="J173" s="68"/>
      <c r="K173" s="68"/>
      <c r="L173" s="43"/>
      <c r="M173" s="43"/>
      <c r="N173" s="43"/>
      <c r="O173" s="43"/>
      <c r="P173" s="43"/>
      <c r="Q173" s="43"/>
      <c r="R173" s="225"/>
      <c r="S173" s="225"/>
      <c r="T173" s="120"/>
      <c r="U173" s="89"/>
      <c r="V173" s="103"/>
      <c r="W173" s="115"/>
      <c r="X173" s="796"/>
      <c r="Y173" s="307" t="str">
        <f>IF(ReportData!$C$3="Annual","",ReportData!$D$28)</f>
        <v/>
      </c>
      <c r="Z173" s="307" t="str">
        <f>IF(ReportData!$C$3="Annual","",ReportData!$E$28)</f>
        <v/>
      </c>
      <c r="AA173" s="307" t="str">
        <f>IF(ReportData!$C$3="Annual","",ReportData!$F$28)</f>
        <v/>
      </c>
      <c r="AB173" s="307" t="str">
        <f>IF(ReportData!$C$3="Annual","",ReportData!$G$28)</f>
        <v/>
      </c>
      <c r="AC173" s="307" t="str">
        <f>IF(ReportData!$C$3="Annual","",ReportData!$H$28)</f>
        <v/>
      </c>
      <c r="AD173" s="352"/>
      <c r="AE173" s="355" t="str">
        <f>IF(ReportData!$C$3="Annual","",ReportData!$D$28)</f>
        <v/>
      </c>
      <c r="AF173" s="307" t="str">
        <f>IF(ReportData!$C$3="Annual","",ReportData!$E$28)</f>
        <v/>
      </c>
      <c r="AG173" s="307" t="str">
        <f>IF(ReportData!$C$3="Annual","",ReportData!$F$28)</f>
        <v/>
      </c>
      <c r="AH173" s="307" t="str">
        <f>IF(ReportData!$C$3="Annual","",ReportData!$G$28)</f>
        <v/>
      </c>
      <c r="AI173" s="307" t="str">
        <f>IF(ReportData!$C$3="Annual","",ReportData!$H$28)</f>
        <v/>
      </c>
      <c r="AJ173" s="121"/>
    </row>
    <row r="174" spans="1:45" s="61" customFormat="1" ht="16.5" customHeight="1">
      <c r="A174" s="1097"/>
      <c r="B174" s="1750"/>
      <c r="C174" s="896"/>
      <c r="D174" s="897" t="e">
        <f>ReportData!$D$28</f>
        <v>#N/A</v>
      </c>
      <c r="E174" s="897" t="e">
        <f>ReportData!$E$28</f>
        <v>#N/A</v>
      </c>
      <c r="F174" s="897" t="e">
        <f>ReportData!$F$28</f>
        <v>#N/A</v>
      </c>
      <c r="G174" s="897" t="e">
        <f>ReportData!$G$28</f>
        <v>#N/A</v>
      </c>
      <c r="H174" s="920" t="e">
        <f>ReportData!$H$28</f>
        <v>#N/A</v>
      </c>
      <c r="I174" s="43"/>
      <c r="J174" s="68"/>
      <c r="K174" s="68"/>
      <c r="L174" s="43"/>
      <c r="M174" s="43"/>
      <c r="N174" s="43"/>
      <c r="O174" s="43"/>
      <c r="P174" s="43"/>
      <c r="Q174" s="43"/>
      <c r="R174" s="225"/>
      <c r="S174" s="225"/>
      <c r="T174" s="120"/>
      <c r="U174" s="89"/>
      <c r="V174" s="103"/>
      <c r="W174" s="115"/>
      <c r="X174" s="797"/>
      <c r="Y174" s="307" t="str">
        <f>ReportData!$D$27</f>
        <v>2019/20</v>
      </c>
      <c r="Z174" s="307" t="str">
        <f>ReportData!$E$27</f>
        <v>2020/21</v>
      </c>
      <c r="AA174" s="307" t="str">
        <f>ReportData!$F$27</f>
        <v>2021/22</v>
      </c>
      <c r="AB174" s="307" t="str">
        <f>ReportData!$G$27</f>
        <v>2022/23</v>
      </c>
      <c r="AC174" s="307" t="str">
        <f>ReportData!$H$27</f>
        <v>2023/24</v>
      </c>
      <c r="AD174" s="352"/>
      <c r="AE174" s="355" t="str">
        <f>ReportData!$D$27</f>
        <v>2019/20</v>
      </c>
      <c r="AF174" s="307" t="str">
        <f>ReportData!$E$27</f>
        <v>2020/21</v>
      </c>
      <c r="AG174" s="307" t="str">
        <f>ReportData!$F$27</f>
        <v>2021/22</v>
      </c>
      <c r="AH174" s="307" t="str">
        <f>ReportData!$G$27</f>
        <v>2022/23</v>
      </c>
      <c r="AI174" s="307" t="str">
        <f>ReportData!$H$27</f>
        <v>2023/24</v>
      </c>
      <c r="AJ174" s="121"/>
    </row>
    <row r="175" spans="1:45" s="61" customFormat="1" ht="13.5" customHeight="1">
      <c r="A175" s="1103">
        <f>VLOOKUP(B175,ReportData!$AQ$4:$AR$25,2,FALSE)</f>
        <v>0</v>
      </c>
      <c r="B175" s="885" t="str">
        <f t="shared" ref="B175:B194" si="61">B142</f>
        <v>Bracknell Forest</v>
      </c>
      <c r="C175" s="896"/>
      <c r="D175" s="922">
        <f t="shared" ref="D175:D195" si="62">IF(AND(ISNUMBER(D11),ISNUMBER(Y175)),Y175/D11,NA())</f>
        <v>0.50877192982456143</v>
      </c>
      <c r="E175" s="922">
        <f t="shared" ref="E175:E195" si="63">IF(AND(ISNUMBER(E11),ISNUMBER(Z175)),Z175/E11,NA())</f>
        <v>0.41666666666666669</v>
      </c>
      <c r="F175" s="922">
        <f t="shared" ref="F175:F195" si="64">IF(AND(ISNUMBER(F11),ISNUMBER(AA175)),AA175/F11,NA())</f>
        <v>0.54385964912280704</v>
      </c>
      <c r="G175" s="922">
        <f t="shared" ref="G175:G195" si="65">IF(AND(ISNUMBER(G11),ISNUMBER(AB175)),AB175/G11,NA())</f>
        <v>0.56944444444444442</v>
      </c>
      <c r="H175" s="923">
        <f t="shared" ref="H175:H195" si="66">IF(AND(ISNUMBER(H11),ISNUMBER(AC175)),AC175/H11,NA())</f>
        <v>0.54054054054054057</v>
      </c>
      <c r="I175" s="274"/>
      <c r="J175" s="68"/>
      <c r="K175" s="68"/>
      <c r="L175" s="127"/>
      <c r="M175" s="127"/>
      <c r="N175" s="127"/>
      <c r="O175" s="127"/>
      <c r="P175" s="127"/>
      <c r="Q175" s="127"/>
      <c r="R175" s="127"/>
      <c r="S175" s="128"/>
      <c r="T175" s="120"/>
      <c r="U175" s="89"/>
      <c r="V175" s="103"/>
      <c r="W175" s="115"/>
      <c r="X175" s="248" t="str">
        <f t="shared" ref="X175:X195" si="67">B175</f>
        <v>Bracknell Forest</v>
      </c>
      <c r="Y175" s="307">
        <f>IF(Year1_Bracknell_Forest Year1_Care_Leavers_in_EET="","",Year1_Bracknell_Forest Year1_Care_Leavers_in_EET)</f>
        <v>29</v>
      </c>
      <c r="Z175" s="248">
        <f>IF(Year2_Bracknell_Forest Year2_Care_Leavers_in_EET="","",Year2_Bracknell_Forest Year2_Care_Leavers_in_EET)</f>
        <v>25</v>
      </c>
      <c r="AA175" s="248">
        <f>IF(Year3_Bracknell_Forest Year3_Care_Leavers_in_EET="","",Year3_Bracknell_Forest Year3_Care_Leavers_in_EET)</f>
        <v>31</v>
      </c>
      <c r="AB175" s="248">
        <f>IF(Year4_Bracknell_Forest Year4_Care_Leavers_in_EET="","",Year4_Bracknell_Forest Year4_Care_Leavers_in_EET)</f>
        <v>41</v>
      </c>
      <c r="AC175" s="352">
        <f>IF(Year5_Bracknell_Forest Year5_Care_Leavers_in_EET="","",Year5_Bracknell_Forest Year5_Care_Leavers_in_EET)</f>
        <v>40</v>
      </c>
      <c r="AD175" s="352" t="str">
        <f>X175</f>
        <v>Bracknell Forest</v>
      </c>
      <c r="AE175" s="355">
        <f t="shared" ref="AE175:AE193" si="68">IF(Y175="",0,D11)</f>
        <v>57</v>
      </c>
      <c r="AF175" s="355">
        <f t="shared" ref="AF175:AF193" si="69">IF(Z175="",0,E11)</f>
        <v>60</v>
      </c>
      <c r="AG175" s="355">
        <f t="shared" ref="AG175:AG193" si="70">IF(AA175="",0,F11)</f>
        <v>57</v>
      </c>
      <c r="AH175" s="355">
        <f t="shared" ref="AH175:AH193" si="71">IF(AB175="",0,G11)</f>
        <v>72</v>
      </c>
      <c r="AI175" s="355">
        <f t="shared" ref="AI175:AI193" si="72">IF(AC175="",0,H11)</f>
        <v>74</v>
      </c>
      <c r="AJ175" s="121"/>
    </row>
    <row r="176" spans="1:45" s="61" customFormat="1" ht="13.5" customHeight="1">
      <c r="A176" s="1103">
        <f>VLOOKUP(B176,ReportData!$AQ$4:$AR$25,2,FALSE)</f>
        <v>0</v>
      </c>
      <c r="B176" s="885" t="str">
        <f t="shared" si="61"/>
        <v>Brighton &amp; Hove</v>
      </c>
      <c r="C176" s="896"/>
      <c r="D176" s="922">
        <f t="shared" si="62"/>
        <v>0.68558951965065507</v>
      </c>
      <c r="E176" s="922">
        <f t="shared" si="63"/>
        <v>0.64253393665158376</v>
      </c>
      <c r="F176" s="922">
        <f t="shared" si="64"/>
        <v>0.71363636363636362</v>
      </c>
      <c r="G176" s="922">
        <f t="shared" si="65"/>
        <v>0.65550239234449759</v>
      </c>
      <c r="H176" s="923">
        <f t="shared" si="66"/>
        <v>0.64253393665158376</v>
      </c>
      <c r="I176" s="274"/>
      <c r="J176" s="68"/>
      <c r="K176" s="68"/>
      <c r="L176" s="127"/>
      <c r="M176" s="127"/>
      <c r="N176" s="127"/>
      <c r="O176" s="127"/>
      <c r="P176" s="127"/>
      <c r="Q176" s="127"/>
      <c r="R176" s="127"/>
      <c r="S176" s="128"/>
      <c r="T176" s="120"/>
      <c r="U176" s="89"/>
      <c r="V176" s="103"/>
      <c r="W176" s="115"/>
      <c r="X176" s="248" t="str">
        <f t="shared" si="67"/>
        <v>Brighton &amp; Hove</v>
      </c>
      <c r="Y176" s="307">
        <f>IF(Year1_Brighton_and_Hove Year1_Care_Leavers_in_EET="","",Year1_Brighton_and_Hove Year1_Care_Leavers_in_EET)</f>
        <v>157</v>
      </c>
      <c r="Z176" s="248">
        <f>IF(Year2_Brighton_and_Hove Year2_Care_Leavers_in_EET="","",Year2_Brighton_and_Hove Year2_Care_Leavers_in_EET)</f>
        <v>142</v>
      </c>
      <c r="AA176" s="248">
        <f>IF(Year3_Brighton_and_Hove Year3_Care_Leavers_in_EET="","",Year3_Brighton_and_Hove Year3_Care_Leavers_in_EET)</f>
        <v>157</v>
      </c>
      <c r="AB176" s="248">
        <f>IF(Year4_Brighton_and_Hove Year4_Care_Leavers_in_EET="","",Year4_Brighton_and_Hove Year4_Care_Leavers_in_EET)</f>
        <v>137</v>
      </c>
      <c r="AC176" s="352">
        <f>IF(Year5_Brighton_and_Hove Year5_Care_Leavers_in_EET="","",Year5_Brighton_and_Hove Year5_Care_Leavers_in_EET)</f>
        <v>142</v>
      </c>
      <c r="AD176" s="352" t="str">
        <f t="shared" ref="AD176:AD194" si="73">X176</f>
        <v>Brighton &amp; Hove</v>
      </c>
      <c r="AE176" s="355">
        <f t="shared" si="68"/>
        <v>229</v>
      </c>
      <c r="AF176" s="355">
        <f t="shared" si="69"/>
        <v>221</v>
      </c>
      <c r="AG176" s="355">
        <f t="shared" si="70"/>
        <v>220</v>
      </c>
      <c r="AH176" s="355">
        <f t="shared" si="71"/>
        <v>209</v>
      </c>
      <c r="AI176" s="355">
        <f t="shared" si="72"/>
        <v>221</v>
      </c>
      <c r="AJ176" s="121"/>
    </row>
    <row r="177" spans="1:44" s="61" customFormat="1" ht="13.5" customHeight="1">
      <c r="A177" s="1103">
        <f>VLOOKUP(B177,ReportData!$AQ$4:$AR$25,2,FALSE)</f>
        <v>0</v>
      </c>
      <c r="B177" s="885" t="str">
        <f t="shared" si="61"/>
        <v>Buckinghamshire</v>
      </c>
      <c r="C177" s="896"/>
      <c r="D177" s="922">
        <f t="shared" si="62"/>
        <v>0.4845360824742268</v>
      </c>
      <c r="E177" s="922">
        <f t="shared" si="63"/>
        <v>0.53623188405797106</v>
      </c>
      <c r="F177" s="922">
        <f t="shared" si="64"/>
        <v>0.61637931034482762</v>
      </c>
      <c r="G177" s="922">
        <f t="shared" si="65"/>
        <v>0.64372469635627527</v>
      </c>
      <c r="H177" s="923">
        <f t="shared" si="66"/>
        <v>0.51440329218106995</v>
      </c>
      <c r="I177" s="274"/>
      <c r="J177" s="68"/>
      <c r="K177" s="68"/>
      <c r="L177" s="127"/>
      <c r="M177" s="127"/>
      <c r="N177" s="127"/>
      <c r="O177" s="127"/>
      <c r="P177" s="127"/>
      <c r="Q177" s="127"/>
      <c r="R177" s="127"/>
      <c r="S177" s="128"/>
      <c r="T177" s="120"/>
      <c r="U177" s="89"/>
      <c r="V177" s="103"/>
      <c r="W177" s="115"/>
      <c r="X177" s="248" t="str">
        <f t="shared" si="67"/>
        <v>Buckinghamshire</v>
      </c>
      <c r="Y177" s="307">
        <f>IF(Year1_Buckinghamshire Year1_Care_Leavers_in_EET="","",Year1_Buckinghamshire Year1_Care_Leavers_in_EET)</f>
        <v>94</v>
      </c>
      <c r="Z177" s="248">
        <f>IF(Year2_Buckinghamshire Year2_Care_Leavers_in_EET="","",Year2_Buckinghamshire Year2_Care_Leavers_in_EET)</f>
        <v>111</v>
      </c>
      <c r="AA177" s="248">
        <f>IF(Year3_Buckinghamshire Year3_Care_Leavers_in_EET="","",Year3_Buckinghamshire Year3_Care_Leavers_in_EET)</f>
        <v>143</v>
      </c>
      <c r="AB177" s="248">
        <f>IF(Year4_Buckinghamshire Year4_Care_Leavers_in_EET="","",Year4_Buckinghamshire Year4_Care_Leavers_in_EET)</f>
        <v>159</v>
      </c>
      <c r="AC177" s="352">
        <f>IF(Year5_Buckinghamshire Year5_Care_Leavers_in_EET="","",Year5_Buckinghamshire Year5_Care_Leavers_in_EET)</f>
        <v>125</v>
      </c>
      <c r="AD177" s="352" t="str">
        <f t="shared" si="73"/>
        <v>Buckinghamshire</v>
      </c>
      <c r="AE177" s="355">
        <f t="shared" si="68"/>
        <v>194</v>
      </c>
      <c r="AF177" s="355">
        <f t="shared" si="69"/>
        <v>207</v>
      </c>
      <c r="AG177" s="355">
        <f t="shared" si="70"/>
        <v>232</v>
      </c>
      <c r="AH177" s="355">
        <f t="shared" si="71"/>
        <v>247</v>
      </c>
      <c r="AI177" s="355">
        <f t="shared" si="72"/>
        <v>243</v>
      </c>
      <c r="AJ177" s="121"/>
    </row>
    <row r="178" spans="1:44" s="61" customFormat="1" ht="13.5" customHeight="1">
      <c r="A178" s="1103">
        <f>VLOOKUP(B178,ReportData!$AQ$4:$AR$25,2,FALSE)</f>
        <v>0</v>
      </c>
      <c r="B178" s="885" t="str">
        <f t="shared" si="61"/>
        <v>East Sussex</v>
      </c>
      <c r="C178" s="896"/>
      <c r="D178" s="922">
        <f t="shared" si="62"/>
        <v>0.52763819095477382</v>
      </c>
      <c r="E178" s="922">
        <f t="shared" si="63"/>
        <v>0.46296296296296297</v>
      </c>
      <c r="F178" s="922">
        <f t="shared" si="64"/>
        <v>0.5491071428571429</v>
      </c>
      <c r="G178" s="922">
        <f t="shared" si="65"/>
        <v>0.5587044534412956</v>
      </c>
      <c r="H178" s="923">
        <f t="shared" si="66"/>
        <v>0.58052434456928836</v>
      </c>
      <c r="I178" s="274"/>
      <c r="J178" s="68"/>
      <c r="K178" s="68"/>
      <c r="L178" s="127"/>
      <c r="M178" s="127"/>
      <c r="N178" s="127"/>
      <c r="O178" s="127"/>
      <c r="P178" s="127"/>
      <c r="Q178" s="127"/>
      <c r="R178" s="127"/>
      <c r="S178" s="128"/>
      <c r="T178" s="120"/>
      <c r="U178" s="89"/>
      <c r="V178" s="103"/>
      <c r="W178" s="115"/>
      <c r="X178" s="248" t="str">
        <f t="shared" si="67"/>
        <v>East Sussex</v>
      </c>
      <c r="Y178" s="307">
        <f>IF(Year1_East_Sussex Year1_Care_Leavers_in_EET="","",Year1_East_Sussex Year1_Care_Leavers_in_EET)</f>
        <v>105</v>
      </c>
      <c r="Z178" s="248">
        <f>IF(Year2_East_Sussex Year2_Care_Leavers_in_EET="","",Year2_East_Sussex Year2_Care_Leavers_in_EET)</f>
        <v>100</v>
      </c>
      <c r="AA178" s="248">
        <f>IF(Year3_East_Sussex Year3_Care_Leavers_in_EET="","",Year3_East_Sussex Year3_Care_Leavers_in_EET)</f>
        <v>123</v>
      </c>
      <c r="AB178" s="248">
        <f>IF(Year4_East_Sussex Year4_Care_Leavers_in_EET="","",Year4_East_Sussex Year4_Care_Leavers_in_EET)</f>
        <v>138</v>
      </c>
      <c r="AC178" s="352">
        <f>IF(Year5_East_Sussex Year5_Care_Leavers_in_EET="","",Year5_East_Sussex Year5_Care_Leavers_in_EET)</f>
        <v>155</v>
      </c>
      <c r="AD178" s="352" t="str">
        <f t="shared" si="73"/>
        <v>East Sussex</v>
      </c>
      <c r="AE178" s="355">
        <f t="shared" si="68"/>
        <v>199</v>
      </c>
      <c r="AF178" s="355">
        <f t="shared" si="69"/>
        <v>216</v>
      </c>
      <c r="AG178" s="355">
        <f t="shared" si="70"/>
        <v>224</v>
      </c>
      <c r="AH178" s="355">
        <f t="shared" si="71"/>
        <v>247</v>
      </c>
      <c r="AI178" s="355">
        <f t="shared" si="72"/>
        <v>267</v>
      </c>
      <c r="AJ178" s="121"/>
    </row>
    <row r="179" spans="1:44" s="61" customFormat="1" ht="13.5" customHeight="1">
      <c r="A179" s="1103">
        <f>VLOOKUP(B179,ReportData!$AQ$4:$AR$25,2,FALSE)</f>
        <v>0</v>
      </c>
      <c r="B179" s="885" t="str">
        <f t="shared" si="61"/>
        <v>Hampshire</v>
      </c>
      <c r="C179" s="896"/>
      <c r="D179" s="922">
        <f t="shared" si="62"/>
        <v>0.51361161524500909</v>
      </c>
      <c r="E179" s="922">
        <f t="shared" si="63"/>
        <v>0.52969502407704649</v>
      </c>
      <c r="F179" s="922">
        <f t="shared" si="64"/>
        <v>0.55716353111432704</v>
      </c>
      <c r="G179" s="922">
        <f t="shared" si="65"/>
        <v>0.5056338028169014</v>
      </c>
      <c r="H179" s="923">
        <f t="shared" si="66"/>
        <v>0.21518987341772153</v>
      </c>
      <c r="I179" s="274"/>
      <c r="J179" s="68"/>
      <c r="K179" s="68"/>
      <c r="L179" s="127"/>
      <c r="M179" s="127"/>
      <c r="N179" s="127"/>
      <c r="O179" s="127"/>
      <c r="P179" s="127"/>
      <c r="Q179" s="127"/>
      <c r="R179" s="127"/>
      <c r="S179" s="128"/>
      <c r="T179" s="120"/>
      <c r="U179" s="89"/>
      <c r="V179" s="103"/>
      <c r="W179" s="115"/>
      <c r="X179" s="248" t="str">
        <f t="shared" si="67"/>
        <v>Hampshire</v>
      </c>
      <c r="Y179" s="307">
        <f>IF(Year1_Hampshire Year1_Care_Leavers_in_EET="","",Year1_Hampshire Year1_Care_Leavers_in_EET)</f>
        <v>283</v>
      </c>
      <c r="Z179" s="248">
        <f>IF(Year2_Hampshire Year2_Care_Leavers_in_EET="","",Year2_Hampshire Year2_Care_Leavers_in_EET)</f>
        <v>330</v>
      </c>
      <c r="AA179" s="248">
        <f>IF(Year3_Hampshire Year3_Care_Leavers_in_EET="","",Year3_Hampshire Year3_Care_Leavers_in_EET)</f>
        <v>385</v>
      </c>
      <c r="AB179" s="248">
        <f>IF(Year4_Hampshire Year4_Care_Leavers_in_EET="","",Year4_Hampshire Year4_Care_Leavers_in_EET)</f>
        <v>359</v>
      </c>
      <c r="AC179" s="352">
        <f>IF(Year5_Hampshire Year5_Care_Leavers_in_EET="","",Year5_Hampshire Year5_Care_Leavers_in_EET)</f>
        <v>153</v>
      </c>
      <c r="AD179" s="352" t="str">
        <f t="shared" si="73"/>
        <v>Hampshire</v>
      </c>
      <c r="AE179" s="355">
        <f t="shared" si="68"/>
        <v>551</v>
      </c>
      <c r="AF179" s="355">
        <f t="shared" si="69"/>
        <v>623</v>
      </c>
      <c r="AG179" s="355">
        <f t="shared" si="70"/>
        <v>691</v>
      </c>
      <c r="AH179" s="355">
        <f t="shared" si="71"/>
        <v>710</v>
      </c>
      <c r="AI179" s="355">
        <f t="shared" si="72"/>
        <v>711</v>
      </c>
      <c r="AJ179" s="121"/>
    </row>
    <row r="180" spans="1:44" s="61" customFormat="1" ht="13.5" customHeight="1">
      <c r="A180" s="1103">
        <f>VLOOKUP(B180,ReportData!$AQ$4:$AR$25,2,FALSE)</f>
        <v>0</v>
      </c>
      <c r="B180" s="885" t="str">
        <f t="shared" si="61"/>
        <v>Isle of Wight</v>
      </c>
      <c r="C180" s="896"/>
      <c r="D180" s="922">
        <f t="shared" si="62"/>
        <v>0.63218390804597702</v>
      </c>
      <c r="E180" s="922">
        <f t="shared" si="63"/>
        <v>0.66265060240963858</v>
      </c>
      <c r="F180" s="922">
        <f t="shared" si="64"/>
        <v>0.67123287671232879</v>
      </c>
      <c r="G180" s="922">
        <f t="shared" si="65"/>
        <v>0.71052631578947367</v>
      </c>
      <c r="H180" s="923">
        <f t="shared" si="66"/>
        <v>0.68131868131868134</v>
      </c>
      <c r="I180" s="274"/>
      <c r="J180" s="68"/>
      <c r="K180" s="68"/>
      <c r="L180" s="127"/>
      <c r="M180" s="127"/>
      <c r="N180" s="127"/>
      <c r="O180" s="127"/>
      <c r="P180" s="127"/>
      <c r="Q180" s="127"/>
      <c r="R180" s="127"/>
      <c r="S180" s="128"/>
      <c r="T180" s="120"/>
      <c r="U180" s="89"/>
      <c r="V180" s="103"/>
      <c r="W180" s="115"/>
      <c r="X180" s="248" t="str">
        <f t="shared" si="67"/>
        <v>Isle of Wight</v>
      </c>
      <c r="Y180" s="307">
        <f>IF(Year1_Isle_of_Wight Year1_Care_Leavers_in_EET="","",Year1_Isle_of_Wight Year1_Care_Leavers_in_EET)</f>
        <v>55</v>
      </c>
      <c r="Z180" s="248">
        <f>IF(Year2_Isle_of_Wight Year2_Care_Leavers_in_EET="","",Year2_Isle_of_Wight Year2_Care_Leavers_in_EET)</f>
        <v>55</v>
      </c>
      <c r="AA180" s="248">
        <f>IF(Year3_Isle_of_Wight Year3_Care_Leavers_in_EET="","",Year3_Isle_of_Wight Year3_Care_Leavers_in_EET)</f>
        <v>49</v>
      </c>
      <c r="AB180" s="248">
        <f>IF(Year4_Isle_of_Wight Year4_Care_Leavers_in_EET="","",Year4_Isle_of_Wight Year4_Care_Leavers_in_EET)</f>
        <v>54</v>
      </c>
      <c r="AC180" s="352">
        <f>IF(Year5_Isle_of_Wight Year5_Care_Leavers_in_EET="","",Year5_Isle_of_Wight Year5_Care_Leavers_in_EET)</f>
        <v>62</v>
      </c>
      <c r="AD180" s="352" t="str">
        <f t="shared" si="73"/>
        <v>Isle of Wight</v>
      </c>
      <c r="AE180" s="355">
        <f t="shared" si="68"/>
        <v>87</v>
      </c>
      <c r="AF180" s="355">
        <f t="shared" si="69"/>
        <v>83</v>
      </c>
      <c r="AG180" s="355">
        <f t="shared" si="70"/>
        <v>73</v>
      </c>
      <c r="AH180" s="355">
        <f t="shared" si="71"/>
        <v>76</v>
      </c>
      <c r="AI180" s="355">
        <f t="shared" si="72"/>
        <v>91</v>
      </c>
      <c r="AJ180" s="121"/>
      <c r="AR180" s="61" t="s">
        <v>95</v>
      </c>
    </row>
    <row r="181" spans="1:44" s="61" customFormat="1" ht="13.5" customHeight="1">
      <c r="A181" s="1103">
        <f>VLOOKUP(B181,ReportData!$AQ$4:$AR$25,2,FALSE)</f>
        <v>0</v>
      </c>
      <c r="B181" s="885" t="str">
        <f t="shared" si="61"/>
        <v>Kent</v>
      </c>
      <c r="C181" s="896"/>
      <c r="D181" s="922">
        <f t="shared" si="62"/>
        <v>0.54013015184381774</v>
      </c>
      <c r="E181" s="922">
        <f t="shared" si="63"/>
        <v>0.50042553191489358</v>
      </c>
      <c r="F181" s="922">
        <f t="shared" si="64"/>
        <v>0.53668941979522189</v>
      </c>
      <c r="G181" s="922">
        <f t="shared" si="65"/>
        <v>0.56425041186161451</v>
      </c>
      <c r="H181" s="923">
        <f t="shared" si="66"/>
        <v>0.55195344970906068</v>
      </c>
      <c r="I181" s="274"/>
      <c r="J181" s="68"/>
      <c r="K181" s="68"/>
      <c r="L181" s="127"/>
      <c r="M181" s="127"/>
      <c r="N181" s="127"/>
      <c r="O181" s="127"/>
      <c r="P181" s="127"/>
      <c r="Q181" s="127"/>
      <c r="R181" s="127"/>
      <c r="S181" s="128"/>
      <c r="T181" s="120"/>
      <c r="U181" s="89"/>
      <c r="V181" s="103"/>
      <c r="W181" s="115"/>
      <c r="X181" s="248" t="str">
        <f t="shared" si="67"/>
        <v>Kent</v>
      </c>
      <c r="Y181" s="307">
        <f>IF(Year1_Kent Year1_Care_Leavers_in_EET="","",Year1_Kent Year1_Care_Leavers_in_EET)</f>
        <v>747</v>
      </c>
      <c r="Z181" s="248">
        <f>IF(Year2_Kent Year2_Care_Leavers_in_EET="","",Year2_Kent Year2_Care_Leavers_in_EET)</f>
        <v>588</v>
      </c>
      <c r="AA181" s="248">
        <f>IF(Year3_Kent Year3_Care_Leavers_in_EET="","",Year3_Kent Year3_Care_Leavers_in_EET)</f>
        <v>629</v>
      </c>
      <c r="AB181" s="248">
        <f>IF(Year4_Kent Year4_Care_Leavers_in_EET="","",Year4_Kent Year4_Care_Leavers_in_EET)</f>
        <v>685</v>
      </c>
      <c r="AC181" s="352">
        <f>IF(Year5_Kent Year5_Care_Leavers_in_EET="","",Year5_Kent Year5_Care_Leavers_in_EET)</f>
        <v>664</v>
      </c>
      <c r="AD181" s="352" t="str">
        <f t="shared" si="73"/>
        <v>Kent</v>
      </c>
      <c r="AE181" s="355">
        <f t="shared" si="68"/>
        <v>1383</v>
      </c>
      <c r="AF181" s="355">
        <f t="shared" si="69"/>
        <v>1175</v>
      </c>
      <c r="AG181" s="355">
        <f t="shared" si="70"/>
        <v>1172</v>
      </c>
      <c r="AH181" s="355">
        <f t="shared" si="71"/>
        <v>1214</v>
      </c>
      <c r="AI181" s="355">
        <f t="shared" si="72"/>
        <v>1203</v>
      </c>
      <c r="AJ181" s="121"/>
    </row>
    <row r="182" spans="1:44" s="61" customFormat="1" ht="13.5" customHeight="1">
      <c r="A182" s="1103">
        <f>VLOOKUP(B182,ReportData!$AQ$4:$AR$25,2,FALSE)</f>
        <v>0</v>
      </c>
      <c r="B182" s="885" t="str">
        <f t="shared" si="61"/>
        <v>Medway</v>
      </c>
      <c r="C182" s="896"/>
      <c r="D182" s="922">
        <f t="shared" si="62"/>
        <v>0.47933884297520662</v>
      </c>
      <c r="E182" s="922">
        <f t="shared" si="63"/>
        <v>0.45112781954887216</v>
      </c>
      <c r="F182" s="922">
        <f t="shared" si="64"/>
        <v>0.55714285714285716</v>
      </c>
      <c r="G182" s="922">
        <f t="shared" si="65"/>
        <v>0.5714285714285714</v>
      </c>
      <c r="H182" s="923">
        <f t="shared" si="66"/>
        <v>0.49668874172185429</v>
      </c>
      <c r="I182" s="274"/>
      <c r="J182" s="68"/>
      <c r="K182" s="68"/>
      <c r="L182" s="127"/>
      <c r="M182" s="127"/>
      <c r="N182" s="127"/>
      <c r="O182" s="127"/>
      <c r="P182" s="127"/>
      <c r="Q182" s="127"/>
      <c r="R182" s="127"/>
      <c r="S182" s="128"/>
      <c r="T182" s="120"/>
      <c r="U182" s="89"/>
      <c r="V182" s="103"/>
      <c r="W182" s="115"/>
      <c r="X182" s="248" t="str">
        <f t="shared" si="67"/>
        <v>Medway</v>
      </c>
      <c r="Y182" s="307">
        <f>IF(Year1_Medway Year1_Care_Leavers_in_EET="","",Year1_Medway Year1_Care_Leavers_in_EET)</f>
        <v>58</v>
      </c>
      <c r="Z182" s="248">
        <f>IF(Year2_Medway Year2_Care_Leavers_in_EET="","",Year2_Medway Year2_Care_Leavers_in_EET)</f>
        <v>60</v>
      </c>
      <c r="AA182" s="248">
        <f>IF(Year3_Medway Year3_Care_Leavers_in_EET="","",Year3_Medway Year3_Care_Leavers_in_EET)</f>
        <v>78</v>
      </c>
      <c r="AB182" s="248">
        <f>IF(Year4_Medway Year4_Care_Leavers_in_EET="","",Year4_Medway Year4_Care_Leavers_in_EET)</f>
        <v>84</v>
      </c>
      <c r="AC182" s="352">
        <f>IF(Year5_Medway Year5_Care_Leavers_in_EET="","",Year5_Medway Year5_Care_Leavers_in_EET)</f>
        <v>75</v>
      </c>
      <c r="AD182" s="352" t="str">
        <f t="shared" si="73"/>
        <v>Medway</v>
      </c>
      <c r="AE182" s="355">
        <f t="shared" si="68"/>
        <v>121</v>
      </c>
      <c r="AF182" s="355">
        <f t="shared" si="69"/>
        <v>133</v>
      </c>
      <c r="AG182" s="355">
        <f t="shared" si="70"/>
        <v>140</v>
      </c>
      <c r="AH182" s="355">
        <f t="shared" si="71"/>
        <v>147</v>
      </c>
      <c r="AI182" s="355">
        <f t="shared" si="72"/>
        <v>151</v>
      </c>
      <c r="AJ182" s="121"/>
    </row>
    <row r="183" spans="1:44" s="61" customFormat="1" ht="13.5" customHeight="1">
      <c r="A183" s="1103">
        <f>VLOOKUP(B183,ReportData!$AQ$4:$AR$25,2,FALSE)</f>
        <v>0</v>
      </c>
      <c r="B183" s="885" t="str">
        <f t="shared" si="61"/>
        <v>Milton Keynes</v>
      </c>
      <c r="C183" s="896"/>
      <c r="D183" s="922">
        <f t="shared" si="62"/>
        <v>0.40606060606060607</v>
      </c>
      <c r="E183" s="922">
        <f t="shared" si="63"/>
        <v>0.45751633986928103</v>
      </c>
      <c r="F183" s="922">
        <f t="shared" si="64"/>
        <v>0.51298701298701299</v>
      </c>
      <c r="G183" s="922">
        <f t="shared" si="65"/>
        <v>0.52071005917159763</v>
      </c>
      <c r="H183" s="923">
        <f t="shared" si="66"/>
        <v>0.58854166666666663</v>
      </c>
      <c r="I183" s="274"/>
      <c r="J183" s="68"/>
      <c r="K183" s="68"/>
      <c r="L183" s="127"/>
      <c r="M183" s="127"/>
      <c r="N183" s="127"/>
      <c r="O183" s="127"/>
      <c r="P183" s="127"/>
      <c r="Q183" s="127"/>
      <c r="R183" s="127"/>
      <c r="S183" s="128"/>
      <c r="T183" s="120"/>
      <c r="U183" s="89"/>
      <c r="V183" s="103"/>
      <c r="W183" s="115"/>
      <c r="X183" s="248" t="str">
        <f t="shared" si="67"/>
        <v>Milton Keynes</v>
      </c>
      <c r="Y183" s="307">
        <f>IF(Year1_Milton_Keynes Year1_Care_Leavers_in_EET="","",Year1_Milton_Keynes Year1_Care_Leavers_in_EET)</f>
        <v>67</v>
      </c>
      <c r="Z183" s="248">
        <f>IF(Year2_Milton_Keynes Year2_Care_Leavers_in_EET="","",Year2_Milton_Keynes Year2_Care_Leavers_in_EET)</f>
        <v>70</v>
      </c>
      <c r="AA183" s="248">
        <f>IF(Year3_Milton_Keynes Year3_Care_Leavers_in_EET="","",Year3_Milton_Keynes Year3_Care_Leavers_in_EET)</f>
        <v>79</v>
      </c>
      <c r="AB183" s="248">
        <f>IF(Year4_Milton_Keynes Year4_Care_Leavers_in_EET="","",Year4_Milton_Keynes Year4_Care_Leavers_in_EET)</f>
        <v>88</v>
      </c>
      <c r="AC183" s="352">
        <f>IF(Year5_Milton_Keynes Year5_Care_Leavers_in_EET="","",Year5_Milton_Keynes Year5_Care_Leavers_in_EET)</f>
        <v>113</v>
      </c>
      <c r="AD183" s="352" t="str">
        <f t="shared" si="73"/>
        <v>Milton Keynes</v>
      </c>
      <c r="AE183" s="355">
        <f t="shared" si="68"/>
        <v>165</v>
      </c>
      <c r="AF183" s="355">
        <f t="shared" si="69"/>
        <v>153</v>
      </c>
      <c r="AG183" s="355">
        <f t="shared" si="70"/>
        <v>154</v>
      </c>
      <c r="AH183" s="355">
        <f t="shared" si="71"/>
        <v>169</v>
      </c>
      <c r="AI183" s="355">
        <f t="shared" si="72"/>
        <v>192</v>
      </c>
      <c r="AJ183" s="121"/>
    </row>
    <row r="184" spans="1:44" s="61" customFormat="1" ht="13.5" customHeight="1">
      <c r="A184" s="1103">
        <f>VLOOKUP(B184,ReportData!$AQ$4:$AR$25,2,FALSE)</f>
        <v>0</v>
      </c>
      <c r="B184" s="885" t="str">
        <f t="shared" si="61"/>
        <v>Oxfordshire</v>
      </c>
      <c r="C184" s="896"/>
      <c r="D184" s="922">
        <f t="shared" si="62"/>
        <v>0.45704467353951889</v>
      </c>
      <c r="E184" s="922">
        <f t="shared" si="63"/>
        <v>0.46843853820598008</v>
      </c>
      <c r="F184" s="922">
        <f t="shared" si="64"/>
        <v>0.55421686746987953</v>
      </c>
      <c r="G184" s="922">
        <f t="shared" si="65"/>
        <v>0.57627118644067798</v>
      </c>
      <c r="H184" s="923">
        <f t="shared" si="66"/>
        <v>0.60723514211886309</v>
      </c>
      <c r="I184" s="274"/>
      <c r="J184" s="68"/>
      <c r="K184" s="68"/>
      <c r="L184" s="127"/>
      <c r="M184" s="127"/>
      <c r="N184" s="127"/>
      <c r="O184" s="127"/>
      <c r="P184" s="127"/>
      <c r="Q184" s="127"/>
      <c r="R184" s="127"/>
      <c r="S184" s="128"/>
      <c r="T184" s="120"/>
      <c r="U184" s="89"/>
      <c r="V184" s="103"/>
      <c r="W184" s="115"/>
      <c r="X184" s="248" t="str">
        <f t="shared" si="67"/>
        <v>Oxfordshire</v>
      </c>
      <c r="Y184" s="307">
        <f>IF(Year1_Oxfordshire Year1_Care_Leavers_in_EET="","",Year1_Oxfordshire Year1_Care_Leavers_in_EET)</f>
        <v>133</v>
      </c>
      <c r="Z184" s="248">
        <f>IF(Year2_Oxfordshire Year2_Care_Leavers_in_EET="","",Year2_Oxfordshire Year2_Care_Leavers_in_EET)</f>
        <v>141</v>
      </c>
      <c r="AA184" s="248">
        <f>IF(Year3_Oxfordshire Year3_Care_Leavers_in_EET="","",Year3_Oxfordshire Year3_Care_Leavers_in_EET)</f>
        <v>184</v>
      </c>
      <c r="AB184" s="248">
        <f>IF(Year4_Oxfordshire Year4_Care_Leavers_in_EET="","",Year4_Oxfordshire Year4_Care_Leavers_in_EET)</f>
        <v>204</v>
      </c>
      <c r="AC184" s="352">
        <f>IF(Year5_Oxfordshire Year5_Care_Leavers_in_EET="","",Year5_Oxfordshire Year5_Care_Leavers_in_EET)</f>
        <v>235</v>
      </c>
      <c r="AD184" s="352" t="str">
        <f t="shared" si="73"/>
        <v>Oxfordshire</v>
      </c>
      <c r="AE184" s="355">
        <f t="shared" si="68"/>
        <v>291</v>
      </c>
      <c r="AF184" s="355">
        <f t="shared" si="69"/>
        <v>301</v>
      </c>
      <c r="AG184" s="355">
        <f t="shared" si="70"/>
        <v>332</v>
      </c>
      <c r="AH184" s="355">
        <f t="shared" si="71"/>
        <v>354</v>
      </c>
      <c r="AI184" s="355">
        <f t="shared" si="72"/>
        <v>387</v>
      </c>
      <c r="AJ184" s="121"/>
    </row>
    <row r="185" spans="1:44" s="61" customFormat="1" ht="13.5" customHeight="1">
      <c r="A185" s="1103">
        <f>VLOOKUP(B185,ReportData!$AQ$4:$AR$25,2,FALSE)</f>
        <v>0</v>
      </c>
      <c r="B185" s="885" t="str">
        <f t="shared" si="61"/>
        <v>Portsmouth</v>
      </c>
      <c r="C185" s="896"/>
      <c r="D185" s="922">
        <f t="shared" si="62"/>
        <v>0.50326797385620914</v>
      </c>
      <c r="E185" s="922">
        <f t="shared" si="63"/>
        <v>0.46445497630331756</v>
      </c>
      <c r="F185" s="922">
        <f t="shared" si="64"/>
        <v>0.55212355212355213</v>
      </c>
      <c r="G185" s="922">
        <f t="shared" si="65"/>
        <v>0.54054054054054057</v>
      </c>
      <c r="H185" s="923">
        <f t="shared" si="66"/>
        <v>0.51528384279475981</v>
      </c>
      <c r="I185" s="274"/>
      <c r="J185" s="68"/>
      <c r="K185" s="68"/>
      <c r="L185" s="127"/>
      <c r="M185" s="127"/>
      <c r="N185" s="127"/>
      <c r="O185" s="127"/>
      <c r="P185" s="127"/>
      <c r="Q185" s="127"/>
      <c r="R185" s="127"/>
      <c r="S185" s="128"/>
      <c r="T185" s="120"/>
      <c r="U185" s="89"/>
      <c r="V185" s="103"/>
      <c r="W185" s="115"/>
      <c r="X185" s="248" t="str">
        <f t="shared" si="67"/>
        <v>Portsmouth</v>
      </c>
      <c r="Y185" s="307">
        <f>IF(Year1_Portsmouth Year1_Care_Leavers_in_EET="","",Year1_Portsmouth Year1_Care_Leavers_in_EET)</f>
        <v>77</v>
      </c>
      <c r="Z185" s="248">
        <f>IF(Year2_Portsmouth Year2_Care_Leavers_in_EET="","",Year2_Portsmouth Year2_Care_Leavers_in_EET)</f>
        <v>98</v>
      </c>
      <c r="AA185" s="248">
        <f>IF(Year3_Portsmouth Year3_Care_Leavers_in_EET="","",Year3_Portsmouth Year3_Care_Leavers_in_EET)</f>
        <v>143</v>
      </c>
      <c r="AB185" s="248">
        <f>IF(Year4_Portsmouth Year4_Care_Leavers_in_EET="","",Year4_Portsmouth Year4_Care_Leavers_in_EET)</f>
        <v>140</v>
      </c>
      <c r="AC185" s="352">
        <f>IF(Year5_Portsmouth Year5_Care_Leavers_in_EET="","",Year5_Portsmouth Year5_Care_Leavers_in_EET)</f>
        <v>118</v>
      </c>
      <c r="AD185" s="352" t="str">
        <f t="shared" si="73"/>
        <v>Portsmouth</v>
      </c>
      <c r="AE185" s="355">
        <f t="shared" si="68"/>
        <v>153</v>
      </c>
      <c r="AF185" s="355">
        <f t="shared" si="69"/>
        <v>211</v>
      </c>
      <c r="AG185" s="355">
        <f t="shared" si="70"/>
        <v>259</v>
      </c>
      <c r="AH185" s="355">
        <f t="shared" si="71"/>
        <v>259</v>
      </c>
      <c r="AI185" s="355">
        <f t="shared" si="72"/>
        <v>229</v>
      </c>
      <c r="AJ185" s="121"/>
    </row>
    <row r="186" spans="1:44" s="61" customFormat="1" ht="13.5" customHeight="1">
      <c r="A186" s="1103">
        <f>VLOOKUP(B186,ReportData!$AQ$4:$AR$25,2,FALSE)</f>
        <v>0</v>
      </c>
      <c r="B186" s="885" t="str">
        <f t="shared" si="61"/>
        <v>Reading</v>
      </c>
      <c r="C186" s="896"/>
      <c r="D186" s="922">
        <f t="shared" si="62"/>
        <v>0.46534653465346537</v>
      </c>
      <c r="E186" s="922">
        <f t="shared" si="63"/>
        <v>0.4</v>
      </c>
      <c r="F186" s="922">
        <f t="shared" si="64"/>
        <v>0.51041666666666663</v>
      </c>
      <c r="G186" s="922">
        <f t="shared" si="65"/>
        <v>0.5043478260869565</v>
      </c>
      <c r="H186" s="923">
        <f t="shared" si="66"/>
        <v>0.43382352941176472</v>
      </c>
      <c r="I186" s="274"/>
      <c r="J186" s="68"/>
      <c r="K186" s="68"/>
      <c r="L186" s="127"/>
      <c r="M186" s="127"/>
      <c r="N186" s="127"/>
      <c r="O186" s="127"/>
      <c r="P186" s="127"/>
      <c r="Q186" s="127"/>
      <c r="R186" s="127"/>
      <c r="S186" s="128"/>
      <c r="T186" s="120"/>
      <c r="U186" s="89"/>
      <c r="V186" s="103"/>
      <c r="W186" s="115"/>
      <c r="X186" s="248" t="str">
        <f t="shared" si="67"/>
        <v>Reading</v>
      </c>
      <c r="Y186" s="307">
        <f>IF(Year1_Reading Year1_Care_Leavers_in_EET="","",Year1_Reading Year1_Care_Leavers_in_EET)</f>
        <v>47</v>
      </c>
      <c r="Z186" s="248">
        <f>IF(Year2_Reading Year2_Care_Leavers_in_EET="","",Year2_Reading Year2_Care_Leavers_in_EET)</f>
        <v>40</v>
      </c>
      <c r="AA186" s="248">
        <f>IF(Year3_Reading Year3_Care_Leavers_in_EET="","",Year3_Reading Year3_Care_Leavers_in_EET)</f>
        <v>49</v>
      </c>
      <c r="AB186" s="248">
        <f>IF(Year4_Reading Year4_Care_Leavers_in_EET="","",Year4_Reading Year4_Care_Leavers_in_EET)</f>
        <v>58</v>
      </c>
      <c r="AC186" s="352">
        <f>IF(Year5_Reading Year5_Care_Leavers_in_EET="","",Year5_Reading Year5_Care_Leavers_in_EET)</f>
        <v>59</v>
      </c>
      <c r="AD186" s="352" t="str">
        <f t="shared" si="73"/>
        <v>Reading</v>
      </c>
      <c r="AE186" s="355">
        <f t="shared" si="68"/>
        <v>101</v>
      </c>
      <c r="AF186" s="355">
        <f t="shared" si="69"/>
        <v>100</v>
      </c>
      <c r="AG186" s="355">
        <f t="shared" si="70"/>
        <v>96</v>
      </c>
      <c r="AH186" s="355">
        <f t="shared" si="71"/>
        <v>115</v>
      </c>
      <c r="AI186" s="355">
        <f t="shared" si="72"/>
        <v>136</v>
      </c>
      <c r="AJ186" s="121"/>
    </row>
    <row r="187" spans="1:44" s="61" customFormat="1" ht="13.5" customHeight="1">
      <c r="A187" s="1103">
        <f>VLOOKUP(B187,ReportData!$AQ$4:$AR$25,2,FALSE)</f>
        <v>0</v>
      </c>
      <c r="B187" s="885" t="str">
        <f t="shared" si="61"/>
        <v>Slough</v>
      </c>
      <c r="C187" s="896"/>
      <c r="D187" s="922">
        <f t="shared" si="62"/>
        <v>0.63440860215053763</v>
      </c>
      <c r="E187" s="922">
        <f t="shared" si="63"/>
        <v>0.49</v>
      </c>
      <c r="F187" s="922">
        <f t="shared" si="64"/>
        <v>0.51578947368421058</v>
      </c>
      <c r="G187" s="922">
        <f t="shared" si="65"/>
        <v>0.49473684210526314</v>
      </c>
      <c r="H187" s="923">
        <f t="shared" si="66"/>
        <v>0.4375</v>
      </c>
      <c r="I187" s="274"/>
      <c r="J187" s="68"/>
      <c r="K187" s="68"/>
      <c r="L187" s="127"/>
      <c r="M187" s="127"/>
      <c r="N187" s="127"/>
      <c r="O187" s="127"/>
      <c r="P187" s="127"/>
      <c r="Q187" s="127"/>
      <c r="R187" s="127"/>
      <c r="S187" s="128"/>
      <c r="T187" s="120"/>
      <c r="U187" s="89"/>
      <c r="V187" s="103"/>
      <c r="W187" s="115"/>
      <c r="X187" s="248" t="str">
        <f t="shared" si="67"/>
        <v>Slough</v>
      </c>
      <c r="Y187" s="307">
        <f>IF(Year1_Slough Year1_Care_Leavers_in_EET="","",Year1_Slough Year1_Care_Leavers_in_EET)</f>
        <v>59</v>
      </c>
      <c r="Z187" s="248">
        <f>IF(Year2_Slough Year2_Care_Leavers_in_EET="","",Year2_Slough Year2_Care_Leavers_in_EET)</f>
        <v>49</v>
      </c>
      <c r="AA187" s="248">
        <f>IF(Year3_Slough Year3_Care_Leavers_in_EET="","",Year3_Slough Year3_Care_Leavers_in_EET)</f>
        <v>49</v>
      </c>
      <c r="AB187" s="248">
        <f>IF(Year4_Slough Year4_Care_Leavers_in_EET="","",Year4_Slough Year4_Care_Leavers_in_EET)</f>
        <v>47</v>
      </c>
      <c r="AC187" s="352">
        <f>IF(Year5_Slough Year5_Care_Leavers_in_EET="","",Year5_Slough Year5_Care_Leavers_in_EET)</f>
        <v>49</v>
      </c>
      <c r="AD187" s="352" t="str">
        <f t="shared" si="73"/>
        <v>Slough</v>
      </c>
      <c r="AE187" s="355">
        <f t="shared" si="68"/>
        <v>93</v>
      </c>
      <c r="AF187" s="355">
        <f t="shared" si="69"/>
        <v>100</v>
      </c>
      <c r="AG187" s="355">
        <f t="shared" si="70"/>
        <v>95</v>
      </c>
      <c r="AH187" s="355">
        <f t="shared" si="71"/>
        <v>95</v>
      </c>
      <c r="AI187" s="355">
        <f t="shared" si="72"/>
        <v>112</v>
      </c>
      <c r="AJ187" s="121"/>
    </row>
    <row r="188" spans="1:44" s="61" customFormat="1" ht="13.5" customHeight="1">
      <c r="A188" s="1103">
        <f>VLOOKUP(B188,ReportData!$AQ$4:$AR$25,2,FALSE)</f>
        <v>0</v>
      </c>
      <c r="B188" s="885" t="str">
        <f t="shared" si="61"/>
        <v>Southampton</v>
      </c>
      <c r="C188" s="896"/>
      <c r="D188" s="922">
        <f t="shared" si="62"/>
        <v>0.42748091603053434</v>
      </c>
      <c r="E188" s="922">
        <f t="shared" si="63"/>
        <v>0.35915492957746481</v>
      </c>
      <c r="F188" s="922">
        <f t="shared" si="64"/>
        <v>0.43835616438356162</v>
      </c>
      <c r="G188" s="922">
        <f t="shared" si="65"/>
        <v>0.453416149068323</v>
      </c>
      <c r="H188" s="923">
        <f t="shared" si="66"/>
        <v>0.44270833333333331</v>
      </c>
      <c r="I188" s="274"/>
      <c r="J188" s="68"/>
      <c r="K188" s="68"/>
      <c r="L188" s="127"/>
      <c r="M188" s="127"/>
      <c r="N188" s="127"/>
      <c r="O188" s="127"/>
      <c r="P188" s="127"/>
      <c r="Q188" s="127"/>
      <c r="R188" s="127"/>
      <c r="S188" s="128"/>
      <c r="T188" s="120"/>
      <c r="U188" s="89"/>
      <c r="V188" s="103"/>
      <c r="W188" s="115"/>
      <c r="X188" s="248" t="str">
        <f t="shared" si="67"/>
        <v>Southampton</v>
      </c>
      <c r="Y188" s="307">
        <f>IF(Year1_Southampton Year1_Care_Leavers_in_EET="","",Year1_Southampton Year1_Care_Leavers_in_EET)</f>
        <v>56</v>
      </c>
      <c r="Z188" s="248">
        <f>IF(Year2_Southampton Year2_Care_Leavers_in_EET="","",Year2_Southampton Year2_Care_Leavers_in_EET)</f>
        <v>51</v>
      </c>
      <c r="AA188" s="248">
        <f>IF(Year3_Southampton Year3_Care_Leavers_in_EET="","",Year3_Southampton Year3_Care_Leavers_in_EET)</f>
        <v>64</v>
      </c>
      <c r="AB188" s="248">
        <f>IF(Year4_Southampton Year4_Care_Leavers_in_EET="","",Year4_Southampton Year4_Care_Leavers_in_EET)</f>
        <v>73</v>
      </c>
      <c r="AC188" s="352">
        <f>IF(Year5_Southampton Year5_Care_Leavers_in_EET="","",Year5_Southampton Year5_Care_Leavers_in_EET)</f>
        <v>85</v>
      </c>
      <c r="AD188" s="352" t="str">
        <f t="shared" si="73"/>
        <v>Southampton</v>
      </c>
      <c r="AE188" s="355">
        <f t="shared" si="68"/>
        <v>131</v>
      </c>
      <c r="AF188" s="355">
        <f t="shared" si="69"/>
        <v>142</v>
      </c>
      <c r="AG188" s="355">
        <f t="shared" si="70"/>
        <v>146</v>
      </c>
      <c r="AH188" s="355">
        <f t="shared" si="71"/>
        <v>161</v>
      </c>
      <c r="AI188" s="355">
        <f t="shared" si="72"/>
        <v>192</v>
      </c>
      <c r="AJ188" s="121"/>
    </row>
    <row r="189" spans="1:44" s="61" customFormat="1" ht="13.5" customHeight="1">
      <c r="A189" s="1103">
        <f>VLOOKUP(B189,ReportData!$AQ$4:$AR$25,2,FALSE)</f>
        <v>0</v>
      </c>
      <c r="B189" s="885" t="str">
        <f t="shared" si="61"/>
        <v>Surrey</v>
      </c>
      <c r="C189" s="896"/>
      <c r="D189" s="922">
        <f t="shared" si="62"/>
        <v>0.53307392996108949</v>
      </c>
      <c r="E189" s="922">
        <f t="shared" si="63"/>
        <v>0.52255639097744366</v>
      </c>
      <c r="F189" s="922">
        <f t="shared" si="64"/>
        <v>0.60147601476014756</v>
      </c>
      <c r="G189" s="922">
        <f t="shared" si="65"/>
        <v>0.5757575757575758</v>
      </c>
      <c r="H189" s="923">
        <f t="shared" si="66"/>
        <v>0.55411954765751215</v>
      </c>
      <c r="I189" s="274"/>
      <c r="J189" s="68"/>
      <c r="K189" s="68"/>
      <c r="L189" s="127"/>
      <c r="M189" s="127"/>
      <c r="N189" s="127"/>
      <c r="O189" s="127"/>
      <c r="P189" s="127"/>
      <c r="Q189" s="127"/>
      <c r="R189" s="127"/>
      <c r="S189" s="128"/>
      <c r="T189" s="120"/>
      <c r="U189" s="89"/>
      <c r="V189" s="103"/>
      <c r="W189" s="115"/>
      <c r="X189" s="248" t="str">
        <f t="shared" si="67"/>
        <v>Surrey</v>
      </c>
      <c r="Y189" s="307">
        <f>IF(Year1_Surrey Year1_Care_Leavers_in_EET="","",Year1_Surrey Year1_Care_Leavers_in_EET)</f>
        <v>274</v>
      </c>
      <c r="Z189" s="248">
        <f>IF(Year2_Surrey Year2_Care_Leavers_in_EET="","",Year2_Surrey Year2_Care_Leavers_in_EET)</f>
        <v>278</v>
      </c>
      <c r="AA189" s="248">
        <f>IF(Year3_Surrey Year3_Care_Leavers_in_EET="","",Year3_Surrey Year3_Care_Leavers_in_EET)</f>
        <v>326</v>
      </c>
      <c r="AB189" s="248">
        <f>IF(Year4_Surrey Year4_Care_Leavers_in_EET="","",Year4_Surrey Year4_Care_Leavers_in_EET)</f>
        <v>323</v>
      </c>
      <c r="AC189" s="352">
        <f>IF(Year5_Surrey Year5_Care_Leavers_in_EET="","",Year5_Surrey Year5_Care_Leavers_in_EET)</f>
        <v>343</v>
      </c>
      <c r="AD189" s="352" t="str">
        <f t="shared" si="73"/>
        <v>Surrey</v>
      </c>
      <c r="AE189" s="355">
        <f t="shared" si="68"/>
        <v>514</v>
      </c>
      <c r="AF189" s="355">
        <f t="shared" si="69"/>
        <v>532</v>
      </c>
      <c r="AG189" s="355">
        <f t="shared" si="70"/>
        <v>542</v>
      </c>
      <c r="AH189" s="355">
        <f t="shared" si="71"/>
        <v>561</v>
      </c>
      <c r="AI189" s="355">
        <f t="shared" si="72"/>
        <v>619</v>
      </c>
      <c r="AJ189" s="121"/>
    </row>
    <row r="190" spans="1:44" s="61" customFormat="1" ht="13.5" customHeight="1">
      <c r="A190" s="1103">
        <f>VLOOKUP(B190,ReportData!$AQ$4:$AR$25,2,FALSE)</f>
        <v>0</v>
      </c>
      <c r="B190" s="885" t="str">
        <f t="shared" si="61"/>
        <v>West Berkshire</v>
      </c>
      <c r="C190" s="896"/>
      <c r="D190" s="922">
        <f t="shared" si="62"/>
        <v>0.7</v>
      </c>
      <c r="E190" s="922">
        <f t="shared" si="63"/>
        <v>0.71084337349397586</v>
      </c>
      <c r="F190" s="922">
        <f t="shared" si="64"/>
        <v>0.73684210526315785</v>
      </c>
      <c r="G190" s="922">
        <f t="shared" si="65"/>
        <v>0.64423076923076927</v>
      </c>
      <c r="H190" s="923">
        <f t="shared" si="66"/>
        <v>0.65765765765765771</v>
      </c>
      <c r="I190" s="274"/>
      <c r="J190" s="68"/>
      <c r="K190" s="68"/>
      <c r="L190" s="127"/>
      <c r="M190" s="127"/>
      <c r="N190" s="127"/>
      <c r="O190" s="127"/>
      <c r="P190" s="127"/>
      <c r="Q190" s="127"/>
      <c r="R190" s="127"/>
      <c r="S190" s="128"/>
      <c r="T190" s="120"/>
      <c r="U190" s="89"/>
      <c r="V190" s="103"/>
      <c r="W190" s="115"/>
      <c r="X190" s="248" t="str">
        <f t="shared" si="67"/>
        <v>West Berkshire</v>
      </c>
      <c r="Y190" s="307">
        <f>IF(Year1_West_Berkshire Year1_Care_Leavers_in_EET="","",Year1_West_Berkshire Year1_Care_Leavers_in_EET)</f>
        <v>56</v>
      </c>
      <c r="Z190" s="248">
        <f>IF(Year2_West_Berkshire Year2_Care_Leavers_in_EET="","",Year2_West_Berkshire Year2_Care_Leavers_in_EET)</f>
        <v>59</v>
      </c>
      <c r="AA190" s="248">
        <f>IF(Year3_West_Berkshire Year3_Care_Leavers_in_EET="","",Year3_West_Berkshire Year3_Care_Leavers_in_EET)</f>
        <v>70</v>
      </c>
      <c r="AB190" s="248">
        <f>IF(Year4_West_Berkshire Year4_Care_Leavers_in_EET="","",Year4_West_Berkshire Year4_Care_Leavers_in_EET)</f>
        <v>67</v>
      </c>
      <c r="AC190" s="352">
        <f>IF(Year5_West_Berkshire Year5_Care_Leavers_in_EET="","",Year5_West_Berkshire Year5_Care_Leavers_in_EET)</f>
        <v>73</v>
      </c>
      <c r="AD190" s="352" t="str">
        <f t="shared" si="73"/>
        <v>West Berkshire</v>
      </c>
      <c r="AE190" s="355">
        <f t="shared" si="68"/>
        <v>80</v>
      </c>
      <c r="AF190" s="355">
        <f t="shared" si="69"/>
        <v>83</v>
      </c>
      <c r="AG190" s="355">
        <f t="shared" si="70"/>
        <v>95</v>
      </c>
      <c r="AH190" s="355">
        <f t="shared" si="71"/>
        <v>104</v>
      </c>
      <c r="AI190" s="355">
        <f t="shared" si="72"/>
        <v>111</v>
      </c>
      <c r="AJ190" s="121"/>
    </row>
    <row r="191" spans="1:44" s="61" customFormat="1" ht="13.5" customHeight="1">
      <c r="A191" s="1103">
        <f>VLOOKUP(B191,ReportData!$AQ$4:$AR$25,2,FALSE)</f>
        <v>0</v>
      </c>
      <c r="B191" s="885" t="str">
        <f t="shared" si="61"/>
        <v>West Sussex</v>
      </c>
      <c r="C191" s="896"/>
      <c r="D191" s="922">
        <f t="shared" si="62"/>
        <v>0.5934959349593496</v>
      </c>
      <c r="E191" s="922">
        <f t="shared" si="63"/>
        <v>0.5390625</v>
      </c>
      <c r="F191" s="922">
        <f t="shared" si="64"/>
        <v>0.56770833333333337</v>
      </c>
      <c r="G191" s="922">
        <f t="shared" si="65"/>
        <v>0.60317460317460314</v>
      </c>
      <c r="H191" s="923">
        <f t="shared" si="66"/>
        <v>0.56639004149377592</v>
      </c>
      <c r="I191" s="274"/>
      <c r="J191" s="68"/>
      <c r="K191" s="68"/>
      <c r="L191" s="127"/>
      <c r="M191" s="127"/>
      <c r="N191" s="127"/>
      <c r="O191" s="127"/>
      <c r="P191" s="127"/>
      <c r="Q191" s="127"/>
      <c r="R191" s="127"/>
      <c r="S191" s="128"/>
      <c r="T191" s="120"/>
      <c r="U191" s="89"/>
      <c r="V191" s="103"/>
      <c r="W191" s="115"/>
      <c r="X191" s="248" t="str">
        <f t="shared" si="67"/>
        <v>West Sussex</v>
      </c>
      <c r="Y191" s="307">
        <f>IF(Year1_West_Sussex Year1_Care_Leavers_in_EET="","",Year1_West_Sussex Year1_Care_Leavers_in_EET)</f>
        <v>219</v>
      </c>
      <c r="Z191" s="248">
        <f>IF(Year2_West_Sussex Year2_Care_Leavers_in_EET="","",Year2_West_Sussex Year2_Care_Leavers_in_EET)</f>
        <v>207</v>
      </c>
      <c r="AA191" s="248">
        <f>IF(Year3_West_Sussex Year3_Care_Leavers_in_EET="","",Year3_West_Sussex Year3_Care_Leavers_in_EET)</f>
        <v>218</v>
      </c>
      <c r="AB191" s="248">
        <f>IF(Year4_West_Sussex Year4_Care_Leavers_in_EET="","",Year4_West_Sussex Year4_Care_Leavers_in_EET)</f>
        <v>266</v>
      </c>
      <c r="AC191" s="352">
        <f>IF(Year5_West_Sussex Year5_Care_Leavers_in_EET="","",Year5_West_Sussex Year5_Care_Leavers_in_EET)</f>
        <v>273</v>
      </c>
      <c r="AD191" s="352" t="str">
        <f t="shared" si="73"/>
        <v>West Sussex</v>
      </c>
      <c r="AE191" s="355">
        <f t="shared" si="68"/>
        <v>369</v>
      </c>
      <c r="AF191" s="355">
        <f t="shared" si="69"/>
        <v>384</v>
      </c>
      <c r="AG191" s="355">
        <f t="shared" si="70"/>
        <v>384</v>
      </c>
      <c r="AH191" s="355">
        <f t="shared" si="71"/>
        <v>441</v>
      </c>
      <c r="AI191" s="355">
        <f t="shared" si="72"/>
        <v>482</v>
      </c>
      <c r="AJ191" s="121"/>
    </row>
    <row r="192" spans="1:44" s="61" customFormat="1" ht="13.5" customHeight="1">
      <c r="A192" s="1103">
        <f>VLOOKUP(B192,ReportData!$AQ$4:$AR$25,2,FALSE)</f>
        <v>0</v>
      </c>
      <c r="B192" s="885" t="str">
        <f t="shared" si="61"/>
        <v>Windsor &amp; Maidenhead</v>
      </c>
      <c r="C192" s="896"/>
      <c r="D192" s="922">
        <f t="shared" si="62"/>
        <v>0.44642857142857145</v>
      </c>
      <c r="E192" s="922">
        <f t="shared" si="63"/>
        <v>0.58333333333333337</v>
      </c>
      <c r="F192" s="922">
        <f t="shared" si="64"/>
        <v>0.68656716417910446</v>
      </c>
      <c r="G192" s="922">
        <f t="shared" si="65"/>
        <v>0.67213114754098358</v>
      </c>
      <c r="H192" s="923">
        <f t="shared" si="66"/>
        <v>0.59701492537313428</v>
      </c>
      <c r="I192" s="274"/>
      <c r="J192" s="68"/>
      <c r="K192" s="68"/>
      <c r="L192" s="127"/>
      <c r="M192" s="127"/>
      <c r="N192" s="127"/>
      <c r="O192" s="127"/>
      <c r="P192" s="127"/>
      <c r="Q192" s="127"/>
      <c r="R192" s="127"/>
      <c r="S192" s="128"/>
      <c r="T192" s="120"/>
      <c r="U192" s="89"/>
      <c r="V192" s="103"/>
      <c r="W192" s="115"/>
      <c r="X192" s="248" t="str">
        <f t="shared" si="67"/>
        <v>Windsor &amp; Maidenhead</v>
      </c>
      <c r="Y192" s="307">
        <f>IF(Year1_Windsor_and_Maidenhead Year1_Care_Leavers_in_EET="","",Year1_Windsor_and_Maidenhead Year1_Care_Leavers_in_EET)</f>
        <v>25</v>
      </c>
      <c r="Z192" s="248">
        <f>IF(Year2_Windsor_and_Maidenhead Year2_Care_Leavers_in_EET="","",Year2_Windsor_and_Maidenhead Year2_Care_Leavers_in_EET)</f>
        <v>35</v>
      </c>
      <c r="AA192" s="248">
        <f>IF(Year3_Windsor_and_Maidenhead Year3_Care_Leavers_in_EET="","",Year3_Windsor_and_Maidenhead Year3_Care_Leavers_in_EET)</f>
        <v>46</v>
      </c>
      <c r="AB192" s="248">
        <f>IF(Year4_Windsor_and_Maidenhead Year4_Care_Leavers_in_EET="","",Year4_Windsor_and_Maidenhead Year4_Care_Leavers_in_EET)</f>
        <v>41</v>
      </c>
      <c r="AC192" s="352">
        <f>IF(Year5_Windsor_and_Maidenhead Year5_Care_Leavers_in_EET="","",Year5_Windsor_and_Maidenhead Year5_Care_Leavers_in_EET)</f>
        <v>40</v>
      </c>
      <c r="AD192" s="352" t="str">
        <f t="shared" si="73"/>
        <v>Windsor &amp; Maidenhead</v>
      </c>
      <c r="AE192" s="355">
        <f t="shared" si="68"/>
        <v>56</v>
      </c>
      <c r="AF192" s="355">
        <f t="shared" si="69"/>
        <v>60</v>
      </c>
      <c r="AG192" s="355">
        <f t="shared" si="70"/>
        <v>67</v>
      </c>
      <c r="AH192" s="355">
        <f t="shared" si="71"/>
        <v>61</v>
      </c>
      <c r="AI192" s="355">
        <f t="shared" si="72"/>
        <v>67</v>
      </c>
      <c r="AJ192" s="121"/>
    </row>
    <row r="193" spans="1:45" s="61" customFormat="1" ht="13.5" customHeight="1">
      <c r="A193" s="1103">
        <f>VLOOKUP(B193,ReportData!$AQ$4:$AR$25,2,FALSE)</f>
        <v>0</v>
      </c>
      <c r="B193" s="885" t="str">
        <f t="shared" si="61"/>
        <v>Wokingham</v>
      </c>
      <c r="C193" s="896"/>
      <c r="D193" s="922">
        <f t="shared" si="62"/>
        <v>0.56862745098039214</v>
      </c>
      <c r="E193" s="922">
        <f t="shared" si="63"/>
        <v>0.57627118644067798</v>
      </c>
      <c r="F193" s="922">
        <f t="shared" si="64"/>
        <v>0.55737704918032782</v>
      </c>
      <c r="G193" s="922">
        <f t="shared" si="65"/>
        <v>0.56666666666666665</v>
      </c>
      <c r="H193" s="923">
        <f t="shared" si="66"/>
        <v>0.53246753246753242</v>
      </c>
      <c r="I193" s="274"/>
      <c r="J193" s="68"/>
      <c r="K193" s="68"/>
      <c r="L193" s="127"/>
      <c r="M193" s="127"/>
      <c r="N193" s="127"/>
      <c r="O193" s="127"/>
      <c r="P193" s="127"/>
      <c r="Q193" s="127"/>
      <c r="R193" s="127"/>
      <c r="S193" s="128"/>
      <c r="T193" s="120"/>
      <c r="U193" s="89"/>
      <c r="V193" s="103"/>
      <c r="W193" s="115"/>
      <c r="X193" s="248" t="str">
        <f t="shared" si="67"/>
        <v>Wokingham</v>
      </c>
      <c r="Y193" s="307">
        <f>IF(Year1_Wokingham Year1_Care_Leavers_in_EET="","",Year1_Wokingham Year1_Care_Leavers_in_EET)</f>
        <v>29</v>
      </c>
      <c r="Z193" s="248">
        <f>IF(Year2_Wokingham Year2_Care_Leavers_in_EET="","",Year2_Wokingham Year2_Care_Leavers_in_EET)</f>
        <v>34</v>
      </c>
      <c r="AA193" s="248">
        <f>IF(Year3_Wokingham Year3_Care_Leavers_in_EET="","",Year3_Wokingham Year3_Care_Leavers_in_EET)</f>
        <v>34</v>
      </c>
      <c r="AB193" s="248">
        <f>IF(Year4_Wokingham Year4_Care_Leavers_in_EET="","",Year4_Wokingham Year4_Care_Leavers_in_EET)</f>
        <v>34</v>
      </c>
      <c r="AC193" s="352">
        <f>IF(Year5_Wokingham Year5_Care_Leavers_in_EET="","",Year5_Wokingham Year5_Care_Leavers_in_EET)</f>
        <v>41</v>
      </c>
      <c r="AD193" s="352" t="str">
        <f t="shared" si="73"/>
        <v>Wokingham</v>
      </c>
      <c r="AE193" s="355">
        <f t="shared" si="68"/>
        <v>51</v>
      </c>
      <c r="AF193" s="355">
        <f t="shared" si="69"/>
        <v>59</v>
      </c>
      <c r="AG193" s="355">
        <f t="shared" si="70"/>
        <v>61</v>
      </c>
      <c r="AH193" s="355">
        <f t="shared" si="71"/>
        <v>60</v>
      </c>
      <c r="AI193" s="355">
        <f t="shared" si="72"/>
        <v>77</v>
      </c>
      <c r="AJ193" s="121"/>
    </row>
    <row r="194" spans="1:45" s="61" customFormat="1" ht="13.5" customHeight="1">
      <c r="A194" s="1103"/>
      <c r="B194" s="886" t="str">
        <f t="shared" si="61"/>
        <v>South East</v>
      </c>
      <c r="C194" s="896"/>
      <c r="D194" s="924">
        <f t="shared" si="62"/>
        <v>0.53264248704663208</v>
      </c>
      <c r="E194" s="924">
        <f t="shared" si="63"/>
        <v>0.51063390460458391</v>
      </c>
      <c r="F194" s="924">
        <f t="shared" si="64"/>
        <v>0.56686507936507935</v>
      </c>
      <c r="G194" s="924">
        <f t="shared" si="65"/>
        <v>0.56603773584905659</v>
      </c>
      <c r="H194" s="925">
        <f t="shared" si="66"/>
        <v>0.51166965888689409</v>
      </c>
      <c r="I194" s="274"/>
      <c r="J194" s="68"/>
      <c r="K194" s="68"/>
      <c r="L194" s="129"/>
      <c r="M194" s="129"/>
      <c r="N194" s="129"/>
      <c r="O194" s="129"/>
      <c r="P194" s="129"/>
      <c r="Q194" s="129"/>
      <c r="R194" s="129"/>
      <c r="S194" s="130"/>
      <c r="T194" s="120"/>
      <c r="U194" s="89"/>
      <c r="V194" s="103"/>
      <c r="W194" s="115"/>
      <c r="X194" s="248" t="str">
        <f t="shared" si="67"/>
        <v>South East</v>
      </c>
      <c r="Y194" s="248">
        <f>IF(Year1_South_East Year1_Care_Leavers_in_EET="","",Year1_South_East Year1_Care_Leavers_in_EET)</f>
        <v>2570</v>
      </c>
      <c r="Z194" s="248">
        <f>IF(Year2_South_East Year2_Care_Leavers_in_EET="","",Year2_South_East Year2_Care_Leavers_in_EET)</f>
        <v>2473</v>
      </c>
      <c r="AA194" s="248">
        <f>IF(Year3_South_East Year3_Care_Leavers_in_EET="","",Year3_South_East Year3_Care_Leavers_in_EET)</f>
        <v>2857</v>
      </c>
      <c r="AB194" s="248">
        <f>IF(Year4_South_East Year4_Care_Leavers_in_EET="","",Year4_South_East Year4_Care_Leavers_in_EET)</f>
        <v>3000</v>
      </c>
      <c r="AC194" s="352">
        <f>IF(Year5_South_East Year5_Care_Leavers_in_EET="","",Year5_South_East Year5_Care_Leavers_in_EET)</f>
        <v>2850</v>
      </c>
      <c r="AD194" s="352" t="str">
        <f t="shared" si="73"/>
        <v>South East</v>
      </c>
      <c r="AE194" s="252">
        <f>SUM(AE175:AE187,AE188:AE189,AE190:AE193)</f>
        <v>4825</v>
      </c>
      <c r="AF194" s="252">
        <f>SUM(AF175:AF187,AF188:AF189,AF190:AF193)</f>
        <v>4843</v>
      </c>
      <c r="AG194" s="252">
        <f>SUM(AG175:AG187,AG188:AG189,AG190:AG193)</f>
        <v>5040</v>
      </c>
      <c r="AH194" s="252">
        <f>SUM(AH175:AH187,AH188:AH189,AH190:AH193)</f>
        <v>5302</v>
      </c>
      <c r="AI194" s="252">
        <f>SUM(AI175:AI187,AI188:AI189,AI190:AI193)</f>
        <v>5565</v>
      </c>
      <c r="AJ194" s="121"/>
    </row>
    <row r="195" spans="1:45" s="61" customFormat="1" ht="13.5" customHeight="1">
      <c r="A195" s="1103"/>
      <c r="B195" s="887" t="str">
        <f>ReportData!$K$24</f>
        <v>England</v>
      </c>
      <c r="C195" s="896"/>
      <c r="D195" s="926">
        <f t="shared" si="62"/>
        <v>0.52591170825335898</v>
      </c>
      <c r="E195" s="926">
        <f t="shared" si="63"/>
        <v>0.51993600787595373</v>
      </c>
      <c r="F195" s="926">
        <f t="shared" si="64"/>
        <v>0.55403393867222384</v>
      </c>
      <c r="G195" s="926">
        <f t="shared" si="65"/>
        <v>0.55930735930735931</v>
      </c>
      <c r="H195" s="927">
        <f t="shared" si="66"/>
        <v>0.53753093208688485</v>
      </c>
      <c r="I195" s="274"/>
      <c r="J195" s="68"/>
      <c r="K195" s="68"/>
      <c r="L195" s="129"/>
      <c r="M195" s="129"/>
      <c r="N195" s="129"/>
      <c r="O195" s="129"/>
      <c r="P195" s="129"/>
      <c r="Q195" s="129"/>
      <c r="R195" s="129"/>
      <c r="S195" s="130"/>
      <c r="T195" s="120"/>
      <c r="U195" s="89"/>
      <c r="V195" s="103"/>
      <c r="W195" s="115"/>
      <c r="X195" s="248" t="str">
        <f t="shared" si="67"/>
        <v>England</v>
      </c>
      <c r="Y195" s="307">
        <f>IF(Year1_England Year1_Care_Leavers_in_EET="","",Year1_England Year1_Care_Leavers_in_EET)</f>
        <v>16440</v>
      </c>
      <c r="Z195" s="248">
        <f>IF(Year2_England Year2_Care_Leavers_in_EET="","",Year2_England Year2_Care_Leavers_in_EET)</f>
        <v>16900</v>
      </c>
      <c r="AA195" s="248">
        <f>IF(Year3_England Year3_Care_Leavers_in_EET="","",Year3_England Year3_Care_Leavers_in_EET)</f>
        <v>18610</v>
      </c>
      <c r="AB195" s="248">
        <f>IF(Year4_England Year4_Care_Leavers_in_EET="","",Year4_England Year4_Care_Leavers_in_EET)</f>
        <v>19380</v>
      </c>
      <c r="AC195" s="352">
        <f>IF(Year5_England Year5_Care_Leavers_in_EET="","",Year5_England Year5_Care_Leavers_in_EET)</f>
        <v>19550</v>
      </c>
      <c r="AD195" s="352" t="str">
        <f>X195</f>
        <v>England</v>
      </c>
      <c r="AE195" s="355">
        <f>IF(Y195="",0,D31)</f>
        <v>31260</v>
      </c>
      <c r="AF195" s="355">
        <f>IF(Z195="",0,E31)</f>
        <v>32504</v>
      </c>
      <c r="AG195" s="355">
        <f>IF(AA195="",0,F31)</f>
        <v>33590</v>
      </c>
      <c r="AH195" s="355">
        <f>IF(AB195="",0,G31)</f>
        <v>34650</v>
      </c>
      <c r="AI195" s="355">
        <f>IF(AC195="",0,H31)</f>
        <v>36370</v>
      </c>
      <c r="AJ195" s="121"/>
    </row>
    <row r="196" spans="1:45" s="61" customFormat="1" ht="4.5" customHeight="1">
      <c r="A196" s="217"/>
      <c r="B196" s="68"/>
      <c r="C196" s="68"/>
      <c r="D196" s="68"/>
      <c r="E196" s="68"/>
      <c r="F196" s="68"/>
      <c r="G196" s="68"/>
      <c r="H196" s="68"/>
      <c r="I196" s="68"/>
      <c r="J196" s="68"/>
      <c r="K196" s="68"/>
      <c r="L196" s="129"/>
      <c r="M196" s="129"/>
      <c r="N196" s="129"/>
      <c r="O196" s="129"/>
      <c r="P196" s="129"/>
      <c r="Q196" s="129"/>
      <c r="R196" s="129"/>
      <c r="S196" s="130"/>
      <c r="T196" s="120"/>
      <c r="U196" s="89"/>
      <c r="V196" s="103"/>
      <c r="W196" s="115"/>
      <c r="X196" s="56"/>
      <c r="Y196" s="56"/>
      <c r="Z196" s="146"/>
      <c r="AA196" s="146"/>
      <c r="AB196" s="147"/>
      <c r="AC196" s="56"/>
      <c r="AD196" s="56"/>
      <c r="AE196" s="56"/>
      <c r="AF196" s="56"/>
      <c r="AG196" s="56"/>
      <c r="AH196" s="56"/>
      <c r="AI196" s="52"/>
      <c r="AJ196" s="121"/>
    </row>
    <row r="197" spans="1:45" s="56" customFormat="1" ht="42" customHeight="1">
      <c r="A197" s="166"/>
      <c r="B197" s="171"/>
      <c r="C197" s="171"/>
      <c r="D197" s="171"/>
      <c r="E197" s="171"/>
      <c r="F197" s="171"/>
      <c r="G197" s="171"/>
      <c r="H197" s="171"/>
      <c r="I197" s="171"/>
      <c r="J197" s="171"/>
      <c r="K197" s="133"/>
      <c r="L197" s="133"/>
      <c r="M197" s="133"/>
      <c r="N197" s="133"/>
      <c r="O197" s="133"/>
      <c r="P197" s="133"/>
      <c r="Q197" s="133"/>
      <c r="R197" s="133"/>
      <c r="S197" s="101"/>
      <c r="T197" s="133"/>
      <c r="U197" s="86"/>
      <c r="V197" s="102"/>
      <c r="W197" s="114"/>
      <c r="AC197" s="147"/>
      <c r="AD197" s="149"/>
      <c r="AE197" s="52"/>
      <c r="AF197" s="52"/>
      <c r="AG197" s="52"/>
      <c r="AI197" s="52"/>
      <c r="AJ197" s="122"/>
    </row>
    <row r="198" spans="1:45" s="56" customFormat="1" ht="42.75" customHeight="1">
      <c r="A198" s="166"/>
      <c r="B198" s="171"/>
      <c r="C198" s="171"/>
      <c r="D198" s="171"/>
      <c r="E198" s="171"/>
      <c r="F198" s="171"/>
      <c r="G198" s="171"/>
      <c r="H198" s="171"/>
      <c r="I198" s="171"/>
      <c r="J198" s="171"/>
      <c r="K198" s="133"/>
      <c r="L198" s="133"/>
      <c r="M198" s="133"/>
      <c r="N198" s="133"/>
      <c r="O198" s="133"/>
      <c r="P198" s="133"/>
      <c r="Q198" s="133"/>
      <c r="R198" s="133"/>
      <c r="S198" s="101"/>
      <c r="T198" s="133"/>
      <c r="U198" s="86"/>
      <c r="V198" s="102"/>
      <c r="W198" s="114"/>
      <c r="Y198" s="141" t="s">
        <v>867</v>
      </c>
      <c r="AD198" s="149"/>
      <c r="AE198" s="52"/>
      <c r="AF198" s="52"/>
      <c r="AG198" s="52"/>
      <c r="AI198" s="52"/>
      <c r="AJ198" s="122"/>
    </row>
    <row r="199" spans="1:45" s="56" customFormat="1" ht="42" customHeight="1">
      <c r="A199" s="166"/>
      <c r="B199" s="171"/>
      <c r="C199" s="171"/>
      <c r="D199" s="171"/>
      <c r="E199" s="171"/>
      <c r="F199" s="171"/>
      <c r="G199" s="171"/>
      <c r="H199" s="171"/>
      <c r="I199" s="171"/>
      <c r="J199" s="171"/>
      <c r="K199" s="133"/>
      <c r="L199" s="133"/>
      <c r="M199" s="133"/>
      <c r="N199" s="133"/>
      <c r="O199" s="133"/>
      <c r="P199" s="133"/>
      <c r="Q199" s="133"/>
      <c r="R199" s="133"/>
      <c r="S199" s="101"/>
      <c r="T199" s="133"/>
      <c r="U199" s="86"/>
      <c r="V199" s="121"/>
      <c r="W199" s="114"/>
      <c r="Y199" s="141" t="s">
        <v>892</v>
      </c>
      <c r="AD199" s="149"/>
      <c r="AE199" s="52"/>
      <c r="AF199" s="52"/>
      <c r="AG199" s="52"/>
      <c r="AI199" s="52"/>
      <c r="AJ199" s="122"/>
    </row>
    <row r="200" spans="1:45" s="56" customFormat="1" ht="7.5" customHeight="1">
      <c r="A200" s="87"/>
      <c r="B200" s="12"/>
      <c r="C200" s="12"/>
      <c r="D200" s="11"/>
      <c r="E200" s="11"/>
      <c r="F200" s="11"/>
      <c r="G200" s="11"/>
      <c r="H200" s="11"/>
      <c r="I200" s="11"/>
      <c r="J200" s="11"/>
      <c r="K200" s="1"/>
      <c r="L200" s="13"/>
      <c r="M200" s="13"/>
      <c r="N200" s="13"/>
      <c r="O200" s="13"/>
      <c r="P200" s="13"/>
      <c r="Q200" s="13"/>
      <c r="R200" s="13"/>
      <c r="S200" s="13"/>
      <c r="T200" s="13"/>
      <c r="U200" s="86"/>
      <c r="V200" s="185"/>
      <c r="W200" s="114"/>
      <c r="Y200" s="141"/>
      <c r="AI200" s="52"/>
      <c r="AJ200" s="119"/>
      <c r="AK200" s="52"/>
      <c r="AL200" s="52"/>
      <c r="AM200" s="52"/>
      <c r="AN200" s="52"/>
      <c r="AO200" s="52"/>
      <c r="AP200" s="52"/>
      <c r="AQ200" s="52"/>
    </row>
    <row r="201" spans="1:45" s="56" customFormat="1" ht="15" customHeight="1">
      <c r="A201" s="1565"/>
      <c r="B201" s="1751"/>
      <c r="C201" s="1751"/>
      <c r="D201" s="1751"/>
      <c r="E201" s="1751"/>
      <c r="F201" s="1751"/>
      <c r="G201" s="1751"/>
      <c r="H201" s="1751"/>
      <c r="I201" s="1751"/>
      <c r="J201" s="1751"/>
      <c r="K201" s="1751"/>
      <c r="L201" s="1751"/>
      <c r="M201" s="1751"/>
      <c r="N201" s="1751"/>
      <c r="O201" s="1751"/>
      <c r="P201" s="1751"/>
      <c r="Q201" s="1751"/>
      <c r="R201" s="1751"/>
      <c r="S201" s="1751"/>
      <c r="T201" s="1751"/>
      <c r="U201" s="1752"/>
      <c r="V201" s="185"/>
      <c r="W201" s="114"/>
      <c r="AJ201" s="122"/>
      <c r="AS201" s="52"/>
    </row>
    <row r="202" spans="1:45" s="56" customFormat="1" ht="11.25" customHeight="1">
      <c r="A202" s="1739"/>
      <c r="B202" s="1740"/>
      <c r="C202" s="1740"/>
      <c r="D202" s="1740"/>
      <c r="E202" s="1740"/>
      <c r="F202" s="1740"/>
      <c r="G202" s="1740"/>
      <c r="H202" s="1740"/>
      <c r="I202" s="1742"/>
      <c r="J202" s="1741"/>
      <c r="K202" s="1740"/>
      <c r="L202" s="1740"/>
      <c r="M202" s="1740"/>
      <c r="N202" s="1740"/>
      <c r="O202" s="1740"/>
      <c r="P202" s="1740"/>
      <c r="Q202" s="1742"/>
      <c r="R202" s="1740"/>
      <c r="S202" s="1947"/>
      <c r="T202" s="1740"/>
      <c r="U202" s="1743"/>
      <c r="V202" s="185"/>
      <c r="W202" s="114"/>
      <c r="AI202" s="52"/>
      <c r="AJ202" s="121"/>
      <c r="AK202" s="61"/>
      <c r="AS202" s="52"/>
    </row>
    <row r="203" spans="1:45" ht="10.5" customHeight="1">
      <c r="A203" s="81"/>
      <c r="B203" s="82"/>
      <c r="C203" s="82"/>
      <c r="D203" s="82"/>
      <c r="E203" s="82"/>
      <c r="F203" s="82"/>
      <c r="G203" s="82"/>
      <c r="H203" s="82"/>
      <c r="I203" s="82"/>
      <c r="J203" s="82"/>
      <c r="K203" s="83"/>
      <c r="L203" s="82"/>
      <c r="M203" s="82"/>
      <c r="N203" s="82"/>
      <c r="O203" s="82"/>
      <c r="P203" s="82"/>
      <c r="Q203" s="82"/>
      <c r="R203" s="82"/>
      <c r="S203" s="82"/>
      <c r="T203" s="82"/>
      <c r="U203" s="84"/>
      <c r="V203" s="102"/>
      <c r="W203" s="114"/>
      <c r="X203" s="148"/>
      <c r="Y203" s="146"/>
      <c r="Z203" s="52"/>
      <c r="AJ203" s="121"/>
    </row>
    <row r="204" spans="1:45" ht="18.75" customHeight="1">
      <c r="A204" s="87"/>
      <c r="B204" s="1903" t="s">
        <v>1287</v>
      </c>
      <c r="C204" s="1903"/>
      <c r="D204" s="1903"/>
      <c r="E204" s="1903"/>
      <c r="F204" s="1903"/>
      <c r="G204" s="1903"/>
      <c r="H204" s="1903"/>
      <c r="I204" s="1203"/>
      <c r="J204" s="76"/>
      <c r="K204" s="50"/>
      <c r="L204" s="50"/>
      <c r="M204" s="50"/>
      <c r="N204" s="50"/>
      <c r="O204" s="224"/>
      <c r="P204" s="50"/>
      <c r="Q204" s="50"/>
      <c r="R204" s="50"/>
      <c r="S204" s="50"/>
      <c r="T204" s="50"/>
      <c r="U204" s="86"/>
      <c r="V204" s="102"/>
      <c r="W204" s="114"/>
      <c r="X204" s="52" t="s">
        <v>891</v>
      </c>
      <c r="Y204" s="250"/>
      <c r="Z204" s="251"/>
      <c r="AA204" s="251"/>
      <c r="AB204" s="251"/>
      <c r="AD204" s="52" t="s">
        <v>894</v>
      </c>
      <c r="AE204" s="52"/>
      <c r="AF204" s="52"/>
      <c r="AG204" s="52"/>
      <c r="AH204" s="52"/>
      <c r="AJ204" s="121"/>
    </row>
    <row r="205" spans="1:45" ht="18.75" customHeight="1">
      <c r="A205" s="87"/>
      <c r="B205" s="1903"/>
      <c r="C205" s="1903"/>
      <c r="D205" s="1903"/>
      <c r="E205" s="1903"/>
      <c r="F205" s="1903"/>
      <c r="G205" s="1903"/>
      <c r="H205" s="1903"/>
      <c r="I205" s="1203"/>
      <c r="J205" s="76"/>
      <c r="K205" s="50"/>
      <c r="L205" s="50"/>
      <c r="M205" s="50"/>
      <c r="N205" s="50"/>
      <c r="O205" s="224"/>
      <c r="P205" s="50"/>
      <c r="Q205" s="50"/>
      <c r="R205" s="50"/>
      <c r="S205" s="5"/>
      <c r="T205" s="50"/>
      <c r="U205" s="86"/>
      <c r="V205" s="102"/>
      <c r="W205" s="114"/>
      <c r="X205" s="52"/>
      <c r="Y205" s="52"/>
      <c r="Z205" s="52"/>
      <c r="AA205" s="52"/>
      <c r="AB205" s="52"/>
      <c r="AC205" s="52"/>
      <c r="AD205" s="251"/>
      <c r="AE205" s="250"/>
      <c r="AF205" s="251"/>
      <c r="AG205" s="251"/>
      <c r="AH205" s="251"/>
      <c r="AI205" s="56"/>
      <c r="AJ205" s="121"/>
    </row>
    <row r="206" spans="1:45" s="61" customFormat="1" ht="18.75" customHeight="1">
      <c r="A206" s="1148"/>
      <c r="B206" s="1749" t="s">
        <v>177</v>
      </c>
      <c r="C206" s="1175"/>
      <c r="D206" s="1088" t="str">
        <f>ReportData!$D$27</f>
        <v>2019/20</v>
      </c>
      <c r="E206" s="1088" t="str">
        <f>ReportData!$E$27</f>
        <v>2020/21</v>
      </c>
      <c r="F206" s="1088" t="str">
        <f>ReportData!$F$27</f>
        <v>2021/22</v>
      </c>
      <c r="G206" s="1088" t="str">
        <f>ReportData!$G$27</f>
        <v>2022/23</v>
      </c>
      <c r="H206" s="1089" t="str">
        <f>ReportData!$H$27</f>
        <v>2023/24</v>
      </c>
      <c r="I206" s="43"/>
      <c r="J206" s="68"/>
      <c r="K206" s="68"/>
      <c r="L206" s="43"/>
      <c r="M206" s="43"/>
      <c r="N206" s="43"/>
      <c r="O206" s="43"/>
      <c r="P206" s="43"/>
      <c r="Q206" s="43"/>
      <c r="R206" s="225"/>
      <c r="S206" s="225"/>
      <c r="T206" s="120"/>
      <c r="U206" s="89"/>
      <c r="V206" s="103"/>
      <c r="W206" s="115"/>
      <c r="X206" s="796"/>
      <c r="Y206" s="307" t="str">
        <f>IF(ReportData!$C$3="Annual","",ReportData!$D$28)</f>
        <v/>
      </c>
      <c r="Z206" s="307" t="str">
        <f>IF(ReportData!$C$3="Annual","",ReportData!$E$28)</f>
        <v/>
      </c>
      <c r="AA206" s="307" t="str">
        <f>IF(ReportData!$C$3="Annual","",ReportData!$F$28)</f>
        <v/>
      </c>
      <c r="AB206" s="307" t="str">
        <f>IF(ReportData!$C$3="Annual","",ReportData!$G$28)</f>
        <v/>
      </c>
      <c r="AC206" s="307" t="str">
        <f>IF(ReportData!$C$3="Annual","",ReportData!$H$28)</f>
        <v/>
      </c>
      <c r="AD206" s="352"/>
      <c r="AE206" s="355" t="str">
        <f>IF(ReportData!$C$3="Annual","",ReportData!$D$28)</f>
        <v/>
      </c>
      <c r="AF206" s="307" t="str">
        <f>IF(ReportData!$C$3="Annual","",ReportData!$E$28)</f>
        <v/>
      </c>
      <c r="AG206" s="307" t="str">
        <f>IF(ReportData!$C$3="Annual","",ReportData!$F$28)</f>
        <v/>
      </c>
      <c r="AH206" s="307" t="str">
        <f>IF(ReportData!$C$3="Annual","",ReportData!$G$28)</f>
        <v/>
      </c>
      <c r="AI206" s="307" t="str">
        <f>IF(ReportData!$C$3="Annual","",ReportData!$H$28)</f>
        <v/>
      </c>
      <c r="AJ206" s="121"/>
    </row>
    <row r="207" spans="1:45" s="61" customFormat="1" ht="16.5" customHeight="1">
      <c r="A207" s="1097"/>
      <c r="B207" s="1750"/>
      <c r="C207" s="896"/>
      <c r="D207" s="897" t="e">
        <f>ReportData!$D$28</f>
        <v>#N/A</v>
      </c>
      <c r="E207" s="897" t="e">
        <f>ReportData!$E$28</f>
        <v>#N/A</v>
      </c>
      <c r="F207" s="897" t="e">
        <f>ReportData!$F$28</f>
        <v>#N/A</v>
      </c>
      <c r="G207" s="897" t="e">
        <f>ReportData!$G$28</f>
        <v>#N/A</v>
      </c>
      <c r="H207" s="920" t="e">
        <f>ReportData!$H$28</f>
        <v>#N/A</v>
      </c>
      <c r="I207" s="43"/>
      <c r="J207" s="68"/>
      <c r="K207" s="68"/>
      <c r="L207" s="43"/>
      <c r="M207" s="43"/>
      <c r="N207" s="43"/>
      <c r="O207" s="43"/>
      <c r="P207" s="43"/>
      <c r="Q207" s="43"/>
      <c r="R207" s="225"/>
      <c r="S207" s="225"/>
      <c r="T207" s="120"/>
      <c r="U207" s="89"/>
      <c r="V207" s="103"/>
      <c r="W207" s="115"/>
      <c r="X207" s="797"/>
      <c r="Y207" s="307" t="str">
        <f>ReportData!$D$27</f>
        <v>2019/20</v>
      </c>
      <c r="Z207" s="307" t="str">
        <f>ReportData!$E$27</f>
        <v>2020/21</v>
      </c>
      <c r="AA207" s="307" t="str">
        <f>ReportData!$F$27</f>
        <v>2021/22</v>
      </c>
      <c r="AB207" s="307" t="str">
        <f>ReportData!$G$27</f>
        <v>2022/23</v>
      </c>
      <c r="AC207" s="307" t="str">
        <f>ReportData!$H$27</f>
        <v>2023/24</v>
      </c>
      <c r="AD207" s="352"/>
      <c r="AE207" s="355" t="str">
        <f>ReportData!$D$27</f>
        <v>2019/20</v>
      </c>
      <c r="AF207" s="307" t="str">
        <f>ReportData!$E$27</f>
        <v>2020/21</v>
      </c>
      <c r="AG207" s="307" t="str">
        <f>ReportData!$F$27</f>
        <v>2021/22</v>
      </c>
      <c r="AH207" s="307" t="str">
        <f>ReportData!$G$27</f>
        <v>2022/23</v>
      </c>
      <c r="AI207" s="307" t="str">
        <f>ReportData!$H$27</f>
        <v>2023/24</v>
      </c>
      <c r="AJ207" s="121"/>
    </row>
    <row r="208" spans="1:45" s="61" customFormat="1" ht="13.5" customHeight="1">
      <c r="A208" s="1103">
        <f>VLOOKUP(B208,ReportData!$AQ$4:$AR$25,2,FALSE)</f>
        <v>0</v>
      </c>
      <c r="B208" s="885" t="str">
        <f t="shared" ref="B208:B227" si="74">B175</f>
        <v>Bracknell Forest</v>
      </c>
      <c r="C208" s="896"/>
      <c r="D208" s="922" t="e">
        <f>IF(AND(ISNUMBER(AE208),ISNUMBER(Y208)),Y208/AE208,NA())</f>
        <v>#N/A</v>
      </c>
      <c r="E208" s="922" t="e">
        <f>IF(AND(ISNUMBER(AF208),ISNUMBER(Z208)),Z208/AF208,NA())</f>
        <v>#N/A</v>
      </c>
      <c r="F208" s="922" t="e">
        <f>IF(AND(ISNUMBER(AG208),ISNUMBER(AA208)),AA208/AG208,NA())</f>
        <v>#N/A</v>
      </c>
      <c r="G208" s="922">
        <f>IF(AND(ISNUMBER(AH208),ISNUMBER(AB208)),AB208/AH208,NA())</f>
        <v>0.58333333333333337</v>
      </c>
      <c r="H208" s="923">
        <f>IF(AND(ISNUMBER(AI208),ISNUMBER(AC208)),AC208/AI208,NA())</f>
        <v>0.53846153846153844</v>
      </c>
      <c r="I208" s="274"/>
      <c r="J208" s="68"/>
      <c r="K208" s="68"/>
      <c r="L208" s="127"/>
      <c r="M208" s="127"/>
      <c r="N208" s="127"/>
      <c r="O208" s="127"/>
      <c r="P208" s="127"/>
      <c r="Q208" s="127"/>
      <c r="R208" s="127"/>
      <c r="S208" s="128"/>
      <c r="T208" s="120"/>
      <c r="U208" s="89"/>
      <c r="V208" s="103"/>
      <c r="W208" s="115"/>
      <c r="X208" s="248" t="str">
        <f t="shared" ref="X208:X228" si="75">B208</f>
        <v>Bracknell Forest</v>
      </c>
      <c r="Y208" s="307" t="str">
        <f>IF(Year1_Bracknell_Forest Year1_Care_Leavers_19_20_Ceased18_SP="","",Year1_Bracknell_Forest Year1_Care_Leavers_19_20_Ceased18_SP)</f>
        <v>x</v>
      </c>
      <c r="Z208" s="248" t="str">
        <f>IF(Year2_Bracknell_Forest Year2_Care_Leavers_19_20_Ceased18_SP="","",Year2_Bracknell_Forest Year2_Care_Leavers_19_20_Ceased18_SP)</f>
        <v>x</v>
      </c>
      <c r="AA208" s="248" t="str">
        <f>IF(Year3_Bracknell_Forest Year3_Care_Leavers_19_20_Ceased18_SP="","",Year3_Bracknell_Forest Year3_Care_Leavers_19_20_Ceased18_SP)</f>
        <v>c</v>
      </c>
      <c r="AB208" s="248">
        <f>IF(Year4_Bracknell_Forest Year4_Care_Leavers_19_20_Ceased18_SP="","",Year4_Bracknell_Forest Year4_Care_Leavers_19_20_Ceased18_SP)</f>
        <v>7</v>
      </c>
      <c r="AC208" s="352">
        <f>IF(Year5_Bracknell_Forest Year5_Care_Leavers_19_20_Ceased18_SP="","",Year5_Bracknell_Forest Year5_Care_Leavers_19_20_Ceased18_SP)</f>
        <v>7</v>
      </c>
      <c r="AD208" s="352" t="str">
        <f>X208</f>
        <v>Bracknell Forest</v>
      </c>
      <c r="AE208" s="307">
        <f>IF(Year1_Bracknell_Forest Year1_Care_Leavers_19_20_Ceased18="","",Year1_Bracknell_Forest Year1_Care_Leavers_19_20_Ceased18)</f>
        <v>11</v>
      </c>
      <c r="AF208" s="248">
        <f>IF(Year2_Bracknell_Forest Year2_Care_Leavers_19_20_Ceased18="","",Year2_Bracknell_Forest Year2_Care_Leavers_19_20_Ceased18)</f>
        <v>9</v>
      </c>
      <c r="AG208" s="248">
        <f>IF(Year3_Bracknell_Forest Year3_Care_Leavers_19_20_Ceased18="","",Year3_Bracknell_Forest Year3_Care_Leavers_19_20_Ceased18)</f>
        <v>10</v>
      </c>
      <c r="AH208" s="248">
        <f>IF(Year4_Bracknell_Forest Year4_Care_Leavers_19_20_Ceased18="","",Year4_Bracknell_Forest Year4_Care_Leavers_19_20_Ceased18)</f>
        <v>12</v>
      </c>
      <c r="AI208" s="352">
        <f>IF(Year5_Bracknell_Forest Year5_Care_Leavers_19_20_Ceased18="","",Year5_Bracknell_Forest Year5_Care_Leavers_19_20_Ceased18)</f>
        <v>13</v>
      </c>
      <c r="AJ208" s="121"/>
    </row>
    <row r="209" spans="1:44" s="61" customFormat="1" ht="13.5" customHeight="1">
      <c r="A209" s="1103">
        <f>VLOOKUP(B209,ReportData!$AQ$4:$AR$25,2,FALSE)</f>
        <v>0</v>
      </c>
      <c r="B209" s="885" t="str">
        <f t="shared" si="74"/>
        <v>Brighton &amp; Hove</v>
      </c>
      <c r="C209" s="896"/>
      <c r="D209" s="922">
        <f t="shared" ref="D209:D227" si="76">IF(AND(ISNUMBER(AE209),ISNUMBER(Y209)),Y209/AE209,NA())</f>
        <v>0.30158730158730157</v>
      </c>
      <c r="E209" s="922">
        <f t="shared" ref="E209:E227" si="77">IF(AND(ISNUMBER(AF209),ISNUMBER(Z209)),Z209/AF209,NA())</f>
        <v>0.35</v>
      </c>
      <c r="F209" s="922">
        <f t="shared" ref="F209:F227" si="78">IF(AND(ISNUMBER(AG209),ISNUMBER(AA209)),AA209/AG209,NA())</f>
        <v>0.29310344827586204</v>
      </c>
      <c r="G209" s="922">
        <f t="shared" ref="G209:G227" si="79">IF(AND(ISNUMBER(AH209),ISNUMBER(AB209)),AB209/AH209,NA())</f>
        <v>0.23636363636363636</v>
      </c>
      <c r="H209" s="923">
        <f t="shared" ref="H209:H227" si="80">IF(AND(ISNUMBER(AI209),ISNUMBER(AC209)),AC209/AI209,NA())</f>
        <v>0.27868852459016391</v>
      </c>
      <c r="I209" s="274"/>
      <c r="J209" s="68"/>
      <c r="K209" s="68"/>
      <c r="L209" s="127"/>
      <c r="M209" s="127"/>
      <c r="N209" s="127"/>
      <c r="O209" s="127"/>
      <c r="P209" s="127"/>
      <c r="Q209" s="127"/>
      <c r="R209" s="127"/>
      <c r="S209" s="128"/>
      <c r="T209" s="120"/>
      <c r="U209" s="89"/>
      <c r="V209" s="103"/>
      <c r="W209" s="115"/>
      <c r="X209" s="248" t="str">
        <f t="shared" si="75"/>
        <v>Brighton &amp; Hove</v>
      </c>
      <c r="Y209" s="307">
        <f>IF(Year1_Brighton_and_Hove Year1_Care_Leavers_19_20_Ceased18_SP="","",Year1_Brighton_and_Hove Year1_Care_Leavers_19_20_Ceased18_SP)</f>
        <v>19</v>
      </c>
      <c r="Z209" s="248">
        <f>IF(Year2_Brighton_and_Hove Year2_Care_Leavers_19_20_Ceased18_SP="","",Year2_Brighton_and_Hove Year2_Care_Leavers_19_20_Ceased18_SP)</f>
        <v>21</v>
      </c>
      <c r="AA209" s="248">
        <f>IF(Year3_Brighton_and_Hove Year3_Care_Leavers_19_20_Ceased18_SP="","",Year3_Brighton_and_Hove Year3_Care_Leavers_19_20_Ceased18_SP)</f>
        <v>17</v>
      </c>
      <c r="AB209" s="248">
        <f>IF(Year4_Brighton_and_Hove Year4_Care_Leavers_19_20_Ceased18_SP="","",Year4_Brighton_and_Hove Year4_Care_Leavers_19_20_Ceased18_SP)</f>
        <v>13</v>
      </c>
      <c r="AC209" s="352">
        <f>IF(Year5_Brighton_and_Hove Year5_Care_Leavers_19_20_Ceased18_SP="","",Year5_Brighton_and_Hove Year5_Care_Leavers_19_20_Ceased18_SP)</f>
        <v>17</v>
      </c>
      <c r="AD209" s="352" t="str">
        <f t="shared" ref="AD209:AD227" si="81">X209</f>
        <v>Brighton &amp; Hove</v>
      </c>
      <c r="AE209" s="307">
        <f>IF(Year1_Brighton_and_Hove Year1_Care_Leavers_19_20_Ceased18="","",Year1_Brighton_and_Hove Year1_Care_Leavers_19_20_Ceased18)</f>
        <v>63</v>
      </c>
      <c r="AF209" s="248">
        <f>IF(Year2_Brighton_and_Hove Year2_Care_Leavers_19_20_Ceased18="","",Year2_Brighton_and_Hove Year2_Care_Leavers_19_20_Ceased18)</f>
        <v>60</v>
      </c>
      <c r="AG209" s="248">
        <f>IF(Year3_Brighton_and_Hove Year3_Care_Leavers_19_20_Ceased18="","",Year3_Brighton_and_Hove Year3_Care_Leavers_19_20_Ceased18)</f>
        <v>58</v>
      </c>
      <c r="AH209" s="248">
        <f>IF(Year4_Brighton_and_Hove Year4_Care_Leavers_19_20_Ceased18="","",Year4_Brighton_and_Hove Year4_Care_Leavers_19_20_Ceased18)</f>
        <v>55</v>
      </c>
      <c r="AI209" s="352">
        <f>IF(Year5_Brighton_and_Hove Year5_Care_Leavers_19_20_Ceased18="","",Year5_Brighton_and_Hove Year5_Care_Leavers_19_20_Ceased18)</f>
        <v>61</v>
      </c>
      <c r="AJ209" s="121"/>
    </row>
    <row r="210" spans="1:44" s="61" customFormat="1" ht="13.5" customHeight="1">
      <c r="A210" s="1103">
        <f>VLOOKUP(B210,ReportData!$AQ$4:$AR$25,2,FALSE)</f>
        <v>0</v>
      </c>
      <c r="B210" s="885" t="str">
        <f t="shared" si="74"/>
        <v>Buckinghamshire</v>
      </c>
      <c r="C210" s="896"/>
      <c r="D210" s="922">
        <f t="shared" si="76"/>
        <v>0.3125</v>
      </c>
      <c r="E210" s="922">
        <f t="shared" si="77"/>
        <v>0.41025641025641024</v>
      </c>
      <c r="F210" s="922">
        <f t="shared" si="78"/>
        <v>0.34</v>
      </c>
      <c r="G210" s="922">
        <f t="shared" si="79"/>
        <v>0.23529411764705882</v>
      </c>
      <c r="H210" s="923">
        <f t="shared" si="80"/>
        <v>0.22916666666666666</v>
      </c>
      <c r="I210" s="274"/>
      <c r="J210" s="68"/>
      <c r="K210" s="68"/>
      <c r="L210" s="127"/>
      <c r="M210" s="127"/>
      <c r="N210" s="127"/>
      <c r="O210" s="127"/>
      <c r="P210" s="127"/>
      <c r="Q210" s="127"/>
      <c r="R210" s="127"/>
      <c r="S210" s="128"/>
      <c r="T210" s="120"/>
      <c r="U210" s="89"/>
      <c r="V210" s="103"/>
      <c r="W210" s="115"/>
      <c r="X210" s="248" t="str">
        <f t="shared" si="75"/>
        <v>Buckinghamshire</v>
      </c>
      <c r="Y210" s="307">
        <f>IF(Year1_Buckinghamshire Year1_Care_Leavers_19_20_Ceased18_SP="","",Year1_Buckinghamshire Year1_Care_Leavers_19_20_Ceased18_SP)</f>
        <v>10</v>
      </c>
      <c r="Z210" s="248">
        <f>IF(Year2_Buckinghamshire Year2_Care_Leavers_19_20_Ceased18_SP="","",Year2_Buckinghamshire Year2_Care_Leavers_19_20_Ceased18_SP)</f>
        <v>16</v>
      </c>
      <c r="AA210" s="248">
        <f>IF(Year3_Buckinghamshire Year3_Care_Leavers_19_20_Ceased18_SP="","",Year3_Buckinghamshire Year3_Care_Leavers_19_20_Ceased18_SP)</f>
        <v>17</v>
      </c>
      <c r="AB210" s="248">
        <f>IF(Year4_Buckinghamshire Year4_Care_Leavers_19_20_Ceased18_SP="","",Year4_Buckinghamshire Year4_Care_Leavers_19_20_Ceased18_SP)</f>
        <v>12</v>
      </c>
      <c r="AC210" s="352">
        <f>IF(Year5_Buckinghamshire Year5_Care_Leavers_19_20_Ceased18_SP="","",Year5_Buckinghamshire Year5_Care_Leavers_19_20_Ceased18_SP)</f>
        <v>11</v>
      </c>
      <c r="AD210" s="352" t="str">
        <f t="shared" si="81"/>
        <v>Buckinghamshire</v>
      </c>
      <c r="AE210" s="307">
        <f>IF(Year1_Buckinghamshire Year1_Care_Leavers_19_20_Ceased18="","",Year1_Buckinghamshire Year1_Care_Leavers_19_20_Ceased18)</f>
        <v>32</v>
      </c>
      <c r="AF210" s="248">
        <f>IF(Year2_Buckinghamshire Year2_Care_Leavers_19_20_Ceased18="","",Year2_Buckinghamshire Year2_Care_Leavers_19_20_Ceased18)</f>
        <v>39</v>
      </c>
      <c r="AG210" s="248">
        <f>IF(Year3_Buckinghamshire Year3_Care_Leavers_19_20_Ceased18="","",Year3_Buckinghamshire Year3_Care_Leavers_19_20_Ceased18)</f>
        <v>50</v>
      </c>
      <c r="AH210" s="248">
        <f>IF(Year4_Buckinghamshire Year4_Care_Leavers_19_20_Ceased18="","",Year4_Buckinghamshire Year4_Care_Leavers_19_20_Ceased18)</f>
        <v>51</v>
      </c>
      <c r="AI210" s="352">
        <f>IF(Year5_Buckinghamshire Year5_Care_Leavers_19_20_Ceased18="","",Year5_Buckinghamshire Year5_Care_Leavers_19_20_Ceased18)</f>
        <v>48</v>
      </c>
      <c r="AJ210" s="121"/>
    </row>
    <row r="211" spans="1:44" s="61" customFormat="1" ht="13.5" customHeight="1">
      <c r="A211" s="1103">
        <f>VLOOKUP(B211,ReportData!$AQ$4:$AR$25,2,FALSE)</f>
        <v>0</v>
      </c>
      <c r="B211" s="885" t="str">
        <f t="shared" si="74"/>
        <v>East Sussex</v>
      </c>
      <c r="C211" s="896"/>
      <c r="D211" s="922">
        <f t="shared" si="76"/>
        <v>0.30508474576271188</v>
      </c>
      <c r="E211" s="922">
        <f t="shared" si="77"/>
        <v>0.15151515151515152</v>
      </c>
      <c r="F211" s="922">
        <f t="shared" si="78"/>
        <v>0.15094339622641509</v>
      </c>
      <c r="G211" s="922">
        <f t="shared" si="79"/>
        <v>0.38775510204081631</v>
      </c>
      <c r="H211" s="923">
        <f t="shared" si="80"/>
        <v>0.35714285714285715</v>
      </c>
      <c r="I211" s="274"/>
      <c r="J211" s="68"/>
      <c r="K211" s="68"/>
      <c r="L211" s="127"/>
      <c r="M211" s="127"/>
      <c r="N211" s="127"/>
      <c r="O211" s="127"/>
      <c r="P211" s="127"/>
      <c r="Q211" s="127"/>
      <c r="R211" s="127"/>
      <c r="S211" s="128"/>
      <c r="T211" s="120"/>
      <c r="U211" s="89"/>
      <c r="V211" s="103"/>
      <c r="W211" s="115"/>
      <c r="X211" s="248" t="str">
        <f t="shared" si="75"/>
        <v>East Sussex</v>
      </c>
      <c r="Y211" s="307">
        <f>IF(Year1_East_Sussex Year1_Care_Leavers_19_20_Ceased18_SP="","",Year1_East_Sussex Year1_Care_Leavers_19_20_Ceased18_SP)</f>
        <v>18</v>
      </c>
      <c r="Z211" s="248">
        <f>IF(Year2_East_Sussex Year2_Care_Leavers_19_20_Ceased18_SP="","",Year2_East_Sussex Year2_Care_Leavers_19_20_Ceased18_SP)</f>
        <v>10</v>
      </c>
      <c r="AA211" s="248">
        <f>IF(Year3_East_Sussex Year3_Care_Leavers_19_20_Ceased18_SP="","",Year3_East_Sussex Year3_Care_Leavers_19_20_Ceased18_SP)</f>
        <v>8</v>
      </c>
      <c r="AB211" s="248">
        <f>IF(Year4_East_Sussex Year4_Care_Leavers_19_20_Ceased18_SP="","",Year4_East_Sussex Year4_Care_Leavers_19_20_Ceased18_SP)</f>
        <v>19</v>
      </c>
      <c r="AC211" s="352">
        <f>IF(Year5_East_Sussex Year5_Care_Leavers_19_20_Ceased18_SP="","",Year5_East_Sussex Year5_Care_Leavers_19_20_Ceased18_SP)</f>
        <v>20</v>
      </c>
      <c r="AD211" s="352" t="str">
        <f t="shared" si="81"/>
        <v>East Sussex</v>
      </c>
      <c r="AE211" s="307">
        <f>IF(Year1_East_Sussex Year1_Care_Leavers_19_20_Ceased18="","",Year1_East_Sussex Year1_Care_Leavers_19_20_Ceased18)</f>
        <v>59</v>
      </c>
      <c r="AF211" s="248">
        <f>IF(Year2_East_Sussex Year2_Care_Leavers_19_20_Ceased18="","",Year2_East_Sussex Year2_Care_Leavers_19_20_Ceased18)</f>
        <v>66</v>
      </c>
      <c r="AG211" s="248">
        <f>IF(Year3_East_Sussex Year3_Care_Leavers_19_20_Ceased18="","",Year3_East_Sussex Year3_Care_Leavers_19_20_Ceased18)</f>
        <v>53</v>
      </c>
      <c r="AH211" s="248">
        <f>IF(Year4_East_Sussex Year4_Care_Leavers_19_20_Ceased18="","",Year4_East_Sussex Year4_Care_Leavers_19_20_Ceased18)</f>
        <v>49</v>
      </c>
      <c r="AI211" s="352">
        <f>IF(Year5_East_Sussex Year5_Care_Leavers_19_20_Ceased18="","",Year5_East_Sussex Year5_Care_Leavers_19_20_Ceased18)</f>
        <v>56</v>
      </c>
      <c r="AJ211" s="121"/>
    </row>
    <row r="212" spans="1:44" s="61" customFormat="1" ht="13.5" customHeight="1">
      <c r="A212" s="1103">
        <f>VLOOKUP(B212,ReportData!$AQ$4:$AR$25,2,FALSE)</f>
        <v>0</v>
      </c>
      <c r="B212" s="885" t="str">
        <f t="shared" si="74"/>
        <v>Hampshire</v>
      </c>
      <c r="C212" s="896"/>
      <c r="D212" s="922">
        <f t="shared" si="76"/>
        <v>0</v>
      </c>
      <c r="E212" s="922">
        <f t="shared" si="77"/>
        <v>0</v>
      </c>
      <c r="F212" s="922">
        <f t="shared" si="78"/>
        <v>0.28260869565217389</v>
      </c>
      <c r="G212" s="922">
        <f t="shared" si="79"/>
        <v>0.24539877300613497</v>
      </c>
      <c r="H212" s="923">
        <f t="shared" si="80"/>
        <v>0.13815789473684212</v>
      </c>
      <c r="I212" s="274"/>
      <c r="J212" s="68"/>
      <c r="K212" s="68"/>
      <c r="L212" s="127"/>
      <c r="M212" s="127"/>
      <c r="N212" s="127"/>
      <c r="O212" s="127"/>
      <c r="P212" s="127"/>
      <c r="Q212" s="127"/>
      <c r="R212" s="127"/>
      <c r="S212" s="128"/>
      <c r="T212" s="120"/>
      <c r="U212" s="89"/>
      <c r="V212" s="103"/>
      <c r="W212" s="115"/>
      <c r="X212" s="248" t="str">
        <f t="shared" si="75"/>
        <v>Hampshire</v>
      </c>
      <c r="Y212" s="307">
        <f>IF(Year1_Hampshire Year1_Care_Leavers_19_20_Ceased18_SP="","",Year1_Hampshire Year1_Care_Leavers_19_20_Ceased18_SP)</f>
        <v>0</v>
      </c>
      <c r="Z212" s="248">
        <f>IF(Year2_Hampshire Year2_Care_Leavers_19_20_Ceased18_SP="","",Year2_Hampshire Year2_Care_Leavers_19_20_Ceased18_SP)</f>
        <v>0</v>
      </c>
      <c r="AA212" s="248">
        <f>IF(Year3_Hampshire Year3_Care_Leavers_19_20_Ceased18_SP="","",Year3_Hampshire Year3_Care_Leavers_19_20_Ceased18_SP)</f>
        <v>52</v>
      </c>
      <c r="AB212" s="248">
        <f>IF(Year4_Hampshire Year4_Care_Leavers_19_20_Ceased18_SP="","",Year4_Hampshire Year4_Care_Leavers_19_20_Ceased18_SP)</f>
        <v>40</v>
      </c>
      <c r="AC212" s="352">
        <f>IF(Year5_Hampshire Year5_Care_Leavers_19_20_Ceased18_SP="","",Year5_Hampshire Year5_Care_Leavers_19_20_Ceased18_SP)</f>
        <v>21</v>
      </c>
      <c r="AD212" s="352" t="str">
        <f t="shared" si="81"/>
        <v>Hampshire</v>
      </c>
      <c r="AE212" s="307">
        <f>IF(Year1_Hampshire Year1_Care_Leavers_19_20_Ceased18="","",Year1_Hampshire Year1_Care_Leavers_19_20_Ceased18)</f>
        <v>145</v>
      </c>
      <c r="AF212" s="248">
        <f>IF(Year2_Hampshire Year2_Care_Leavers_19_20_Ceased18="","",Year2_Hampshire Year2_Care_Leavers_19_20_Ceased18)</f>
        <v>173</v>
      </c>
      <c r="AG212" s="248">
        <f>IF(Year3_Hampshire Year3_Care_Leavers_19_20_Ceased18="","",Year3_Hampshire Year3_Care_Leavers_19_20_Ceased18)</f>
        <v>184</v>
      </c>
      <c r="AH212" s="248">
        <f>IF(Year4_Hampshire Year4_Care_Leavers_19_20_Ceased18="","",Year4_Hampshire Year4_Care_Leavers_19_20_Ceased18)</f>
        <v>163</v>
      </c>
      <c r="AI212" s="352">
        <f>IF(Year5_Hampshire Year5_Care_Leavers_19_20_Ceased18="","",Year5_Hampshire Year5_Care_Leavers_19_20_Ceased18)</f>
        <v>152</v>
      </c>
      <c r="AJ212" s="121"/>
    </row>
    <row r="213" spans="1:44" s="61" customFormat="1" ht="13.5" customHeight="1">
      <c r="A213" s="1103">
        <f>VLOOKUP(B213,ReportData!$AQ$4:$AR$25,2,FALSE)</f>
        <v>0</v>
      </c>
      <c r="B213" s="885" t="str">
        <f t="shared" si="74"/>
        <v>Isle of Wight</v>
      </c>
      <c r="C213" s="896"/>
      <c r="D213" s="922">
        <f t="shared" si="76"/>
        <v>0</v>
      </c>
      <c r="E213" s="922">
        <f t="shared" si="77"/>
        <v>0</v>
      </c>
      <c r="F213" s="922" t="e">
        <f t="shared" si="78"/>
        <v>#N/A</v>
      </c>
      <c r="G213" s="922" t="e">
        <f t="shared" si="79"/>
        <v>#N/A</v>
      </c>
      <c r="H213" s="923" t="e">
        <f t="shared" si="80"/>
        <v>#N/A</v>
      </c>
      <c r="I213" s="274"/>
      <c r="J213" s="68"/>
      <c r="K213" s="68"/>
      <c r="L213" s="127"/>
      <c r="M213" s="127"/>
      <c r="N213" s="127"/>
      <c r="O213" s="127"/>
      <c r="P213" s="127"/>
      <c r="Q213" s="127"/>
      <c r="R213" s="127"/>
      <c r="S213" s="128"/>
      <c r="T213" s="120"/>
      <c r="U213" s="89"/>
      <c r="V213" s="103"/>
      <c r="W213" s="115"/>
      <c r="X213" s="248" t="str">
        <f t="shared" si="75"/>
        <v>Isle of Wight</v>
      </c>
      <c r="Y213" s="307">
        <f>IF(Year1_Isle_of_Wight Year1_Care_Leavers_19_20_Ceased18_SP="","",Year1_Isle_of_Wight Year1_Care_Leavers_19_20_Ceased18_SP)</f>
        <v>0</v>
      </c>
      <c r="Z213" s="248">
        <f>IF(Year2_Isle_of_Wight Year2_Care_Leavers_19_20_Ceased18_SP="","",Year2_Isle_of_Wight Year2_Care_Leavers_19_20_Ceased18_SP)</f>
        <v>0</v>
      </c>
      <c r="AA213" s="248" t="str">
        <f>IF(Year3_Isle_of_Wight Year3_Care_Leavers_19_20_Ceased18_SP="","",Year3_Isle_of_Wight Year3_Care_Leavers_19_20_Ceased18_SP)</f>
        <v>c</v>
      </c>
      <c r="AB213" s="248" t="str">
        <f>IF(Year4_Isle_of_Wight Year4_Care_Leavers_19_20_Ceased18_SP="","",Year4_Isle_of_Wight Year4_Care_Leavers_19_20_Ceased18_SP)</f>
        <v>c</v>
      </c>
      <c r="AC213" s="352" t="str">
        <f>IF(Year5_Isle_of_Wight Year5_Care_Leavers_19_20_Ceased18_SP="","",Year5_Isle_of_Wight Year5_Care_Leavers_19_20_Ceased18_SP)</f>
        <v>c</v>
      </c>
      <c r="AD213" s="352" t="str">
        <f t="shared" si="81"/>
        <v>Isle of Wight</v>
      </c>
      <c r="AE213" s="307">
        <f>IF(Year1_Isle_of_Wight Year1_Care_Leavers_19_20_Ceased18="","",Year1_Isle_of_Wight Year1_Care_Leavers_19_20_Ceased18)</f>
        <v>22</v>
      </c>
      <c r="AF213" s="248">
        <f>IF(Year2_Isle_of_Wight Year2_Care_Leavers_19_20_Ceased18="","",Year2_Isle_of_Wight Year2_Care_Leavers_19_20_Ceased18)</f>
        <v>19</v>
      </c>
      <c r="AG213" s="248">
        <f>IF(Year3_Isle_of_Wight Year3_Care_Leavers_19_20_Ceased18="","",Year3_Isle_of_Wight Year3_Care_Leavers_19_20_Ceased18)</f>
        <v>22</v>
      </c>
      <c r="AH213" s="248">
        <f>IF(Year4_Isle_of_Wight Year4_Care_Leavers_19_20_Ceased18="","",Year4_Isle_of_Wight Year4_Care_Leavers_19_20_Ceased18)</f>
        <v>18</v>
      </c>
      <c r="AI213" s="352">
        <f>IF(Year5_Isle_of_Wight Year5_Care_Leavers_19_20_Ceased18="","",Year5_Isle_of_Wight Year5_Care_Leavers_19_20_Ceased18)</f>
        <v>21</v>
      </c>
      <c r="AJ213" s="121"/>
      <c r="AR213" s="61" t="s">
        <v>95</v>
      </c>
    </row>
    <row r="214" spans="1:44" s="61" customFormat="1" ht="13.5" customHeight="1">
      <c r="A214" s="1103">
        <f>VLOOKUP(B214,ReportData!$AQ$4:$AR$25,2,FALSE)</f>
        <v>0</v>
      </c>
      <c r="B214" s="885" t="str">
        <f t="shared" si="74"/>
        <v>Kent</v>
      </c>
      <c r="C214" s="896"/>
      <c r="D214" s="922">
        <f t="shared" si="76"/>
        <v>0.27102803738317754</v>
      </c>
      <c r="E214" s="922">
        <f t="shared" si="77"/>
        <v>0.26923076923076922</v>
      </c>
      <c r="F214" s="922">
        <f t="shared" si="78"/>
        <v>0.25</v>
      </c>
      <c r="G214" s="922">
        <f t="shared" si="79"/>
        <v>0.20529801324503311</v>
      </c>
      <c r="H214" s="923">
        <f t="shared" si="80"/>
        <v>8.8050314465408799E-2</v>
      </c>
      <c r="I214" s="274"/>
      <c r="J214" s="68"/>
      <c r="K214" s="68"/>
      <c r="L214" s="127"/>
      <c r="M214" s="127"/>
      <c r="N214" s="127"/>
      <c r="O214" s="127"/>
      <c r="P214" s="127"/>
      <c r="Q214" s="127"/>
      <c r="R214" s="127"/>
      <c r="S214" s="128"/>
      <c r="T214" s="120"/>
      <c r="U214" s="89"/>
      <c r="V214" s="103"/>
      <c r="W214" s="115"/>
      <c r="X214" s="248" t="str">
        <f t="shared" si="75"/>
        <v>Kent</v>
      </c>
      <c r="Y214" s="307">
        <f>IF(Year1_Kent Year1_Care_Leavers_19_20_Ceased18_SP="","",Year1_Kent Year1_Care_Leavers_19_20_Ceased18_SP)</f>
        <v>58</v>
      </c>
      <c r="Z214" s="248">
        <f>IF(Year2_Kent Year2_Care_Leavers_19_20_Ceased18_SP="","",Year2_Kent Year2_Care_Leavers_19_20_Ceased18_SP)</f>
        <v>56</v>
      </c>
      <c r="AA214" s="248">
        <f>IF(Year3_Kent Year3_Care_Leavers_19_20_Ceased18_SP="","",Year3_Kent Year3_Care_Leavers_19_20_Ceased18_SP)</f>
        <v>43</v>
      </c>
      <c r="AB214" s="248">
        <f>IF(Year4_Kent Year4_Care_Leavers_19_20_Ceased18_SP="","",Year4_Kent Year4_Care_Leavers_19_20_Ceased18_SP)</f>
        <v>31</v>
      </c>
      <c r="AC214" s="352">
        <f>IF(Year5_Kent Year5_Care_Leavers_19_20_Ceased18_SP="","",Year5_Kent Year5_Care_Leavers_19_20_Ceased18_SP)</f>
        <v>14</v>
      </c>
      <c r="AD214" s="352" t="str">
        <f t="shared" si="81"/>
        <v>Kent</v>
      </c>
      <c r="AE214" s="307">
        <f>IF(Year1_Kent Year1_Care_Leavers_19_20_Ceased18="","",Year1_Kent Year1_Care_Leavers_19_20_Ceased18)</f>
        <v>214</v>
      </c>
      <c r="AF214" s="248">
        <f>IF(Year2_Kent Year2_Care_Leavers_19_20_Ceased18="","",Year2_Kent Year2_Care_Leavers_19_20_Ceased18)</f>
        <v>208</v>
      </c>
      <c r="AG214" s="248">
        <f>IF(Year3_Kent Year3_Care_Leavers_19_20_Ceased18="","",Year3_Kent Year3_Care_Leavers_19_20_Ceased18)</f>
        <v>172</v>
      </c>
      <c r="AH214" s="248">
        <f>IF(Year4_Kent Year4_Care_Leavers_19_20_Ceased18="","",Year4_Kent Year4_Care_Leavers_19_20_Ceased18)</f>
        <v>151</v>
      </c>
      <c r="AI214" s="352">
        <f>IF(Year5_Kent Year5_Care_Leavers_19_20_Ceased18="","",Year5_Kent Year5_Care_Leavers_19_20_Ceased18)</f>
        <v>159</v>
      </c>
      <c r="AJ214" s="121"/>
    </row>
    <row r="215" spans="1:44" s="61" customFormat="1" ht="13.5" customHeight="1">
      <c r="A215" s="1103">
        <f>VLOOKUP(B215,ReportData!$AQ$4:$AR$25,2,FALSE)</f>
        <v>0</v>
      </c>
      <c r="B215" s="885" t="str">
        <f t="shared" si="74"/>
        <v>Medway</v>
      </c>
      <c r="C215" s="896"/>
      <c r="D215" s="922">
        <f t="shared" si="76"/>
        <v>0.41666666666666669</v>
      </c>
      <c r="E215" s="922">
        <f t="shared" si="77"/>
        <v>0.3125</v>
      </c>
      <c r="F215" s="922">
        <f t="shared" si="78"/>
        <v>0.27027027027027029</v>
      </c>
      <c r="G215" s="922">
        <f t="shared" si="79"/>
        <v>0.24390243902439024</v>
      </c>
      <c r="H215" s="923">
        <f t="shared" si="80"/>
        <v>0.20512820512820512</v>
      </c>
      <c r="I215" s="274"/>
      <c r="J215" s="68"/>
      <c r="K215" s="68"/>
      <c r="L215" s="127"/>
      <c r="M215" s="127"/>
      <c r="N215" s="127"/>
      <c r="O215" s="127"/>
      <c r="P215" s="127"/>
      <c r="Q215" s="127"/>
      <c r="R215" s="127"/>
      <c r="S215" s="128"/>
      <c r="T215" s="120"/>
      <c r="U215" s="89"/>
      <c r="V215" s="103"/>
      <c r="W215" s="115"/>
      <c r="X215" s="248" t="str">
        <f t="shared" si="75"/>
        <v>Medway</v>
      </c>
      <c r="Y215" s="307">
        <f>IF(Year1_Medway Year1_Care_Leavers_19_20_Ceased18_SP="","",Year1_Medway Year1_Care_Leavers_19_20_Ceased18_SP)</f>
        <v>15</v>
      </c>
      <c r="Z215" s="248">
        <f>IF(Year2_Medway Year2_Care_Leavers_19_20_Ceased18_SP="","",Year2_Medway Year2_Care_Leavers_19_20_Ceased18_SP)</f>
        <v>10</v>
      </c>
      <c r="AA215" s="248">
        <f>IF(Year3_Medway Year3_Care_Leavers_19_20_Ceased18_SP="","",Year3_Medway Year3_Care_Leavers_19_20_Ceased18_SP)</f>
        <v>10</v>
      </c>
      <c r="AB215" s="248">
        <f>IF(Year4_Medway Year4_Care_Leavers_19_20_Ceased18_SP="","",Year4_Medway Year4_Care_Leavers_19_20_Ceased18_SP)</f>
        <v>10</v>
      </c>
      <c r="AC215" s="352">
        <f>IF(Year5_Medway Year5_Care_Leavers_19_20_Ceased18_SP="","",Year5_Medway Year5_Care_Leavers_19_20_Ceased18_SP)</f>
        <v>8</v>
      </c>
      <c r="AD215" s="352" t="str">
        <f t="shared" si="81"/>
        <v>Medway</v>
      </c>
      <c r="AE215" s="307">
        <f>IF(Year1_Medway Year1_Care_Leavers_19_20_Ceased18="","",Year1_Medway Year1_Care_Leavers_19_20_Ceased18)</f>
        <v>36</v>
      </c>
      <c r="AF215" s="248">
        <f>IF(Year2_Medway Year2_Care_Leavers_19_20_Ceased18="","",Year2_Medway Year2_Care_Leavers_19_20_Ceased18)</f>
        <v>32</v>
      </c>
      <c r="AG215" s="248">
        <f>IF(Year3_Medway Year3_Care_Leavers_19_20_Ceased18="","",Year3_Medway Year3_Care_Leavers_19_20_Ceased18)</f>
        <v>37</v>
      </c>
      <c r="AH215" s="248">
        <f>IF(Year4_Medway Year4_Care_Leavers_19_20_Ceased18="","",Year4_Medway Year4_Care_Leavers_19_20_Ceased18)</f>
        <v>41</v>
      </c>
      <c r="AI215" s="352">
        <f>IF(Year5_Medway Year5_Care_Leavers_19_20_Ceased18="","",Year5_Medway Year5_Care_Leavers_19_20_Ceased18)</f>
        <v>39</v>
      </c>
      <c r="AJ215" s="121"/>
    </row>
    <row r="216" spans="1:44" s="61" customFormat="1" ht="13.5" customHeight="1">
      <c r="A216" s="1103">
        <f>VLOOKUP(B216,ReportData!$AQ$4:$AR$25,2,FALSE)</f>
        <v>0</v>
      </c>
      <c r="B216" s="885" t="str">
        <f t="shared" si="74"/>
        <v>Milton Keynes</v>
      </c>
      <c r="C216" s="896"/>
      <c r="D216" s="922" t="e">
        <f t="shared" si="76"/>
        <v>#N/A</v>
      </c>
      <c r="E216" s="922" t="e">
        <f t="shared" si="77"/>
        <v>#N/A</v>
      </c>
      <c r="F216" s="922" t="e">
        <f t="shared" si="78"/>
        <v>#N/A</v>
      </c>
      <c r="G216" s="922">
        <f t="shared" si="79"/>
        <v>0.33333333333333331</v>
      </c>
      <c r="H216" s="923">
        <f t="shared" si="80"/>
        <v>0.34210526315789475</v>
      </c>
      <c r="I216" s="274"/>
      <c r="J216" s="68"/>
      <c r="K216" s="68"/>
      <c r="L216" s="127"/>
      <c r="M216" s="127"/>
      <c r="N216" s="127"/>
      <c r="O216" s="127"/>
      <c r="P216" s="127"/>
      <c r="Q216" s="127"/>
      <c r="R216" s="127"/>
      <c r="S216" s="128"/>
      <c r="T216" s="120"/>
      <c r="U216" s="89"/>
      <c r="V216" s="103"/>
      <c r="W216" s="115"/>
      <c r="X216" s="248" t="str">
        <f t="shared" si="75"/>
        <v>Milton Keynes</v>
      </c>
      <c r="Y216" s="307" t="str">
        <f>IF(Year1_Milton_Keynes Year1_Care_Leavers_19_20_Ceased18_SP="","",Year1_Milton_Keynes Year1_Care_Leavers_19_20_Ceased18_SP)</f>
        <v>x</v>
      </c>
      <c r="Z216" s="248" t="str">
        <f>IF(Year2_Milton_Keynes Year2_Care_Leavers_19_20_Ceased18_SP="","",Year2_Milton_Keynes Year2_Care_Leavers_19_20_Ceased18_SP)</f>
        <v>x</v>
      </c>
      <c r="AA216" s="248" t="str">
        <f>IF(Year3_Milton_Keynes Year3_Care_Leavers_19_20_Ceased18_SP="","",Year3_Milton_Keynes Year3_Care_Leavers_19_20_Ceased18_SP)</f>
        <v>c</v>
      </c>
      <c r="AB216" s="248">
        <f>IF(Year4_Milton_Keynes Year4_Care_Leavers_19_20_Ceased18_SP="","",Year4_Milton_Keynes Year4_Care_Leavers_19_20_Ceased18_SP)</f>
        <v>10</v>
      </c>
      <c r="AC216" s="352">
        <f>IF(Year5_Milton_Keynes Year5_Care_Leavers_19_20_Ceased18_SP="","",Year5_Milton_Keynes Year5_Care_Leavers_19_20_Ceased18_SP)</f>
        <v>13</v>
      </c>
      <c r="AD216" s="352" t="str">
        <f t="shared" si="81"/>
        <v>Milton Keynes</v>
      </c>
      <c r="AE216" s="307">
        <f>IF(Year1_Milton_Keynes Year1_Care_Leavers_19_20_Ceased18="","",Year1_Milton_Keynes Year1_Care_Leavers_19_20_Ceased18)</f>
        <v>32</v>
      </c>
      <c r="AF216" s="248">
        <f>IF(Year2_Milton_Keynes Year2_Care_Leavers_19_20_Ceased18="","",Year2_Milton_Keynes Year2_Care_Leavers_19_20_Ceased18)</f>
        <v>22</v>
      </c>
      <c r="AG216" s="248">
        <f>IF(Year3_Milton_Keynes Year3_Care_Leavers_19_20_Ceased18="","",Year3_Milton_Keynes Year3_Care_Leavers_19_20_Ceased18)</f>
        <v>24</v>
      </c>
      <c r="AH216" s="248">
        <f>IF(Year4_Milton_Keynes Year4_Care_Leavers_19_20_Ceased18="","",Year4_Milton_Keynes Year4_Care_Leavers_19_20_Ceased18)</f>
        <v>30</v>
      </c>
      <c r="AI216" s="352">
        <f>IF(Year5_Milton_Keynes Year5_Care_Leavers_19_20_Ceased18="","",Year5_Milton_Keynes Year5_Care_Leavers_19_20_Ceased18)</f>
        <v>38</v>
      </c>
      <c r="AJ216" s="121"/>
    </row>
    <row r="217" spans="1:44" s="61" customFormat="1" ht="13.5" customHeight="1">
      <c r="A217" s="1103">
        <f>VLOOKUP(B217,ReportData!$AQ$4:$AR$25,2,FALSE)</f>
        <v>0</v>
      </c>
      <c r="B217" s="885" t="str">
        <f t="shared" si="74"/>
        <v>Oxfordshire</v>
      </c>
      <c r="C217" s="896"/>
      <c r="D217" s="922">
        <f t="shared" si="76"/>
        <v>0.22807017543859648</v>
      </c>
      <c r="E217" s="922">
        <f t="shared" si="77"/>
        <v>0.28358208955223879</v>
      </c>
      <c r="F217" s="922">
        <f t="shared" si="78"/>
        <v>0.24561403508771928</v>
      </c>
      <c r="G217" s="922">
        <f t="shared" si="79"/>
        <v>0.21739130434782608</v>
      </c>
      <c r="H217" s="923">
        <f t="shared" si="80"/>
        <v>0.27659574468085107</v>
      </c>
      <c r="I217" s="274"/>
      <c r="J217" s="68"/>
      <c r="K217" s="68"/>
      <c r="L217" s="127"/>
      <c r="M217" s="127"/>
      <c r="N217" s="127"/>
      <c r="O217" s="127"/>
      <c r="P217" s="127"/>
      <c r="Q217" s="127"/>
      <c r="R217" s="127"/>
      <c r="S217" s="128"/>
      <c r="T217" s="120"/>
      <c r="U217" s="89"/>
      <c r="V217" s="103"/>
      <c r="W217" s="115"/>
      <c r="X217" s="248" t="str">
        <f t="shared" si="75"/>
        <v>Oxfordshire</v>
      </c>
      <c r="Y217" s="307">
        <f>IF(Year1_Oxfordshire Year1_Care_Leavers_19_20_Ceased18_SP="","",Year1_Oxfordshire Year1_Care_Leavers_19_20_Ceased18_SP)</f>
        <v>13</v>
      </c>
      <c r="Z217" s="248">
        <f>IF(Year2_Oxfordshire Year2_Care_Leavers_19_20_Ceased18_SP="","",Year2_Oxfordshire Year2_Care_Leavers_19_20_Ceased18_SP)</f>
        <v>19</v>
      </c>
      <c r="AA217" s="248">
        <f>IF(Year3_Oxfordshire Year3_Care_Leavers_19_20_Ceased18_SP="","",Year3_Oxfordshire Year3_Care_Leavers_19_20_Ceased18_SP)</f>
        <v>14</v>
      </c>
      <c r="AB217" s="248">
        <f>IF(Year4_Oxfordshire Year4_Care_Leavers_19_20_Ceased18_SP="","",Year4_Oxfordshire Year4_Care_Leavers_19_20_Ceased18_SP)</f>
        <v>10</v>
      </c>
      <c r="AC217" s="352">
        <f>IF(Year5_Oxfordshire Year5_Care_Leavers_19_20_Ceased18_SP="","",Year5_Oxfordshire Year5_Care_Leavers_19_20_Ceased18_SP)</f>
        <v>13</v>
      </c>
      <c r="AD217" s="352" t="str">
        <f t="shared" si="81"/>
        <v>Oxfordshire</v>
      </c>
      <c r="AE217" s="307">
        <f>IF(Year1_Oxfordshire Year1_Care_Leavers_19_20_Ceased18="","",Year1_Oxfordshire Year1_Care_Leavers_19_20_Ceased18)</f>
        <v>57</v>
      </c>
      <c r="AF217" s="248">
        <f>IF(Year2_Oxfordshire Year2_Care_Leavers_19_20_Ceased18="","",Year2_Oxfordshire Year2_Care_Leavers_19_20_Ceased18)</f>
        <v>67</v>
      </c>
      <c r="AG217" s="248">
        <f>IF(Year3_Oxfordshire Year3_Care_Leavers_19_20_Ceased18="","",Year3_Oxfordshire Year3_Care_Leavers_19_20_Ceased18)</f>
        <v>57</v>
      </c>
      <c r="AH217" s="248">
        <f>IF(Year4_Oxfordshire Year4_Care_Leavers_19_20_Ceased18="","",Year4_Oxfordshire Year4_Care_Leavers_19_20_Ceased18)</f>
        <v>46</v>
      </c>
      <c r="AI217" s="352">
        <f>IF(Year5_Oxfordshire Year5_Care_Leavers_19_20_Ceased18="","",Year5_Oxfordshire Year5_Care_Leavers_19_20_Ceased18)</f>
        <v>47</v>
      </c>
      <c r="AJ217" s="121"/>
    </row>
    <row r="218" spans="1:44" s="61" customFormat="1" ht="13.5" customHeight="1">
      <c r="A218" s="1103">
        <f>VLOOKUP(B218,ReportData!$AQ$4:$AR$25,2,FALSE)</f>
        <v>0</v>
      </c>
      <c r="B218" s="885" t="str">
        <f t="shared" si="74"/>
        <v>Portsmouth</v>
      </c>
      <c r="C218" s="896"/>
      <c r="D218" s="922">
        <f t="shared" si="76"/>
        <v>0.1111111111111111</v>
      </c>
      <c r="E218" s="922">
        <f t="shared" si="77"/>
        <v>0.10606060606060606</v>
      </c>
      <c r="F218" s="922">
        <f t="shared" si="78"/>
        <v>0.15625</v>
      </c>
      <c r="G218" s="922">
        <f t="shared" si="79"/>
        <v>0.3125</v>
      </c>
      <c r="H218" s="923">
        <f t="shared" si="80"/>
        <v>0.18461538461538463</v>
      </c>
      <c r="I218" s="274"/>
      <c r="J218" s="68"/>
      <c r="K218" s="68"/>
      <c r="L218" s="127"/>
      <c r="M218" s="127"/>
      <c r="N218" s="127"/>
      <c r="O218" s="127"/>
      <c r="P218" s="127"/>
      <c r="Q218" s="127"/>
      <c r="R218" s="127"/>
      <c r="S218" s="128"/>
      <c r="T218" s="120"/>
      <c r="U218" s="89"/>
      <c r="V218" s="103"/>
      <c r="W218" s="115"/>
      <c r="X218" s="248" t="str">
        <f t="shared" si="75"/>
        <v>Portsmouth</v>
      </c>
      <c r="Y218" s="307">
        <f>IF(Year1_Portsmouth Year1_Care_Leavers_19_20_Ceased18_SP="","",Year1_Portsmouth Year1_Care_Leavers_19_20_Ceased18_SP)</f>
        <v>6</v>
      </c>
      <c r="Z218" s="248">
        <f>IF(Year2_Portsmouth Year2_Care_Leavers_19_20_Ceased18_SP="","",Year2_Portsmouth Year2_Care_Leavers_19_20_Ceased18_SP)</f>
        <v>7</v>
      </c>
      <c r="AA218" s="248">
        <f>IF(Year3_Portsmouth Year3_Care_Leavers_19_20_Ceased18_SP="","",Year3_Portsmouth Year3_Care_Leavers_19_20_Ceased18_SP)</f>
        <v>10</v>
      </c>
      <c r="AB218" s="248">
        <f>IF(Year4_Portsmouth Year4_Care_Leavers_19_20_Ceased18_SP="","",Year4_Portsmouth Year4_Care_Leavers_19_20_Ceased18_SP)</f>
        <v>15</v>
      </c>
      <c r="AC218" s="352">
        <f>IF(Year5_Portsmouth Year5_Care_Leavers_19_20_Ceased18_SP="","",Year5_Portsmouth Year5_Care_Leavers_19_20_Ceased18_SP)</f>
        <v>12</v>
      </c>
      <c r="AD218" s="352" t="str">
        <f t="shared" si="81"/>
        <v>Portsmouth</v>
      </c>
      <c r="AE218" s="307">
        <f>IF(Year1_Portsmouth Year1_Care_Leavers_19_20_Ceased18="","",Year1_Portsmouth Year1_Care_Leavers_19_20_Ceased18)</f>
        <v>54</v>
      </c>
      <c r="AF218" s="248">
        <f>IF(Year2_Portsmouth Year2_Care_Leavers_19_20_Ceased18="","",Year2_Portsmouth Year2_Care_Leavers_19_20_Ceased18)</f>
        <v>66</v>
      </c>
      <c r="AG218" s="248">
        <f>IF(Year3_Portsmouth Year3_Care_Leavers_19_20_Ceased18="","",Year3_Portsmouth Year3_Care_Leavers_19_20_Ceased18)</f>
        <v>64</v>
      </c>
      <c r="AH218" s="248">
        <f>IF(Year4_Portsmouth Year4_Care_Leavers_19_20_Ceased18="","",Year4_Portsmouth Year4_Care_Leavers_19_20_Ceased18)</f>
        <v>48</v>
      </c>
      <c r="AI218" s="352">
        <f>IF(Year5_Portsmouth Year5_Care_Leavers_19_20_Ceased18="","",Year5_Portsmouth Year5_Care_Leavers_19_20_Ceased18)</f>
        <v>65</v>
      </c>
      <c r="AJ218" s="121"/>
    </row>
    <row r="219" spans="1:44" s="61" customFormat="1" ht="13.5" customHeight="1">
      <c r="A219" s="1103">
        <f>VLOOKUP(B219,ReportData!$AQ$4:$AR$25,2,FALSE)</f>
        <v>0</v>
      </c>
      <c r="B219" s="885" t="str">
        <f t="shared" si="74"/>
        <v>Reading</v>
      </c>
      <c r="C219" s="896"/>
      <c r="D219" s="922">
        <f t="shared" si="76"/>
        <v>0.2857142857142857</v>
      </c>
      <c r="E219" s="922" t="e">
        <f t="shared" si="77"/>
        <v>#N/A</v>
      </c>
      <c r="F219" s="922">
        <f t="shared" si="78"/>
        <v>0.5</v>
      </c>
      <c r="G219" s="922">
        <f t="shared" si="79"/>
        <v>0.30434782608695654</v>
      </c>
      <c r="H219" s="923">
        <f t="shared" si="80"/>
        <v>0.36</v>
      </c>
      <c r="I219" s="274"/>
      <c r="J219" s="68"/>
      <c r="K219" s="68"/>
      <c r="L219" s="127"/>
      <c r="M219" s="127"/>
      <c r="N219" s="127"/>
      <c r="O219" s="127"/>
      <c r="P219" s="127"/>
      <c r="Q219" s="127"/>
      <c r="R219" s="127"/>
      <c r="S219" s="128"/>
      <c r="T219" s="120"/>
      <c r="U219" s="89"/>
      <c r="V219" s="103"/>
      <c r="W219" s="115"/>
      <c r="X219" s="248" t="str">
        <f t="shared" si="75"/>
        <v>Reading</v>
      </c>
      <c r="Y219" s="307">
        <f>IF(Year1_Reading Year1_Care_Leavers_19_20_Ceased18_SP="","",Year1_Reading Year1_Care_Leavers_19_20_Ceased18_SP)</f>
        <v>6</v>
      </c>
      <c r="Z219" s="248" t="str">
        <f>IF(Year2_Reading Year2_Care_Leavers_19_20_Ceased18_SP="","",Year2_Reading Year2_Care_Leavers_19_20_Ceased18_SP)</f>
        <v>x</v>
      </c>
      <c r="AA219" s="248">
        <f>IF(Year3_Reading Year3_Care_Leavers_19_20_Ceased18_SP="","",Year3_Reading Year3_Care_Leavers_19_20_Ceased18_SP)</f>
        <v>6</v>
      </c>
      <c r="AB219" s="248">
        <f>IF(Year4_Reading Year4_Care_Leavers_19_20_Ceased18_SP="","",Year4_Reading Year4_Care_Leavers_19_20_Ceased18_SP)</f>
        <v>7</v>
      </c>
      <c r="AC219" s="352">
        <f>IF(Year5_Reading Year5_Care_Leavers_19_20_Ceased18_SP="","",Year5_Reading Year5_Care_Leavers_19_20_Ceased18_SP)</f>
        <v>9</v>
      </c>
      <c r="AD219" s="352" t="str">
        <f t="shared" si="81"/>
        <v>Reading</v>
      </c>
      <c r="AE219" s="307">
        <f>IF(Year1_Reading Year1_Care_Leavers_19_20_Ceased18="","",Year1_Reading Year1_Care_Leavers_19_20_Ceased18)</f>
        <v>21</v>
      </c>
      <c r="AF219" s="248">
        <f>IF(Year2_Reading Year2_Care_Leavers_19_20_Ceased18="","",Year2_Reading Year2_Care_Leavers_19_20_Ceased18)</f>
        <v>11</v>
      </c>
      <c r="AG219" s="248">
        <f>IF(Year3_Reading Year3_Care_Leavers_19_20_Ceased18="","",Year3_Reading Year3_Care_Leavers_19_20_Ceased18)</f>
        <v>12</v>
      </c>
      <c r="AH219" s="248">
        <f>IF(Year4_Reading Year4_Care_Leavers_19_20_Ceased18="","",Year4_Reading Year4_Care_Leavers_19_20_Ceased18)</f>
        <v>23</v>
      </c>
      <c r="AI219" s="352">
        <f>IF(Year5_Reading Year5_Care_Leavers_19_20_Ceased18="","",Year5_Reading Year5_Care_Leavers_19_20_Ceased18)</f>
        <v>25</v>
      </c>
      <c r="AJ219" s="121"/>
    </row>
    <row r="220" spans="1:44" s="61" customFormat="1" ht="13.5" customHeight="1">
      <c r="A220" s="1103">
        <f>VLOOKUP(B220,ReportData!$AQ$4:$AR$25,2,FALSE)</f>
        <v>0</v>
      </c>
      <c r="B220" s="885" t="str">
        <f t="shared" si="74"/>
        <v>Slough</v>
      </c>
      <c r="C220" s="896"/>
      <c r="D220" s="922">
        <f t="shared" si="76"/>
        <v>0.4</v>
      </c>
      <c r="E220" s="922">
        <f t="shared" si="77"/>
        <v>0.47368421052631576</v>
      </c>
      <c r="F220" s="922" t="e">
        <f t="shared" si="78"/>
        <v>#N/A</v>
      </c>
      <c r="G220" s="922">
        <f t="shared" si="79"/>
        <v>0.4</v>
      </c>
      <c r="H220" s="923">
        <f t="shared" si="80"/>
        <v>0.25</v>
      </c>
      <c r="I220" s="274"/>
      <c r="J220" s="68"/>
      <c r="K220" s="68"/>
      <c r="L220" s="127"/>
      <c r="M220" s="127"/>
      <c r="N220" s="127"/>
      <c r="O220" s="127"/>
      <c r="P220" s="127"/>
      <c r="Q220" s="127"/>
      <c r="R220" s="127"/>
      <c r="S220" s="128"/>
      <c r="T220" s="120"/>
      <c r="U220" s="89"/>
      <c r="V220" s="103"/>
      <c r="W220" s="115"/>
      <c r="X220" s="248" t="str">
        <f t="shared" si="75"/>
        <v>Slough</v>
      </c>
      <c r="Y220" s="307">
        <f>IF(Year1_Slough Year1_Care_Leavers_19_20_Ceased18_SP="","",Year1_Slough Year1_Care_Leavers_19_20_Ceased18_SP)</f>
        <v>8</v>
      </c>
      <c r="Z220" s="248">
        <f>IF(Year2_Slough Year2_Care_Leavers_19_20_Ceased18_SP="","",Year2_Slough Year2_Care_Leavers_19_20_Ceased18_SP)</f>
        <v>9</v>
      </c>
      <c r="AA220" s="248" t="str">
        <f>IF(Year3_Slough Year3_Care_Leavers_19_20_Ceased18_SP="","",Year3_Slough Year3_Care_Leavers_19_20_Ceased18_SP)</f>
        <v>c</v>
      </c>
      <c r="AB220" s="248">
        <f>IF(Year4_Slough Year4_Care_Leavers_19_20_Ceased18_SP="","",Year4_Slough Year4_Care_Leavers_19_20_Ceased18_SP)</f>
        <v>8</v>
      </c>
      <c r="AC220" s="352">
        <f>IF(Year5_Slough Year5_Care_Leavers_19_20_Ceased18_SP="","",Year5_Slough Year5_Care_Leavers_19_20_Ceased18_SP)</f>
        <v>6</v>
      </c>
      <c r="AD220" s="352" t="str">
        <f t="shared" si="81"/>
        <v>Slough</v>
      </c>
      <c r="AE220" s="307">
        <f>IF(Year1_Slough Year1_Care_Leavers_19_20_Ceased18="","",Year1_Slough Year1_Care_Leavers_19_20_Ceased18)</f>
        <v>20</v>
      </c>
      <c r="AF220" s="248">
        <f>IF(Year2_Slough Year2_Care_Leavers_19_20_Ceased18="","",Year2_Slough Year2_Care_Leavers_19_20_Ceased18)</f>
        <v>19</v>
      </c>
      <c r="AG220" s="248">
        <f>IF(Year3_Slough Year3_Care_Leavers_19_20_Ceased18="","",Year3_Slough Year3_Care_Leavers_19_20_Ceased18)</f>
        <v>14</v>
      </c>
      <c r="AH220" s="248">
        <f>IF(Year4_Slough Year4_Care_Leavers_19_20_Ceased18="","",Year4_Slough Year4_Care_Leavers_19_20_Ceased18)</f>
        <v>20</v>
      </c>
      <c r="AI220" s="352">
        <f>IF(Year5_Slough Year5_Care_Leavers_19_20_Ceased18="","",Year5_Slough Year5_Care_Leavers_19_20_Ceased18)</f>
        <v>24</v>
      </c>
      <c r="AJ220" s="121"/>
    </row>
    <row r="221" spans="1:44" s="61" customFormat="1" ht="13.5" customHeight="1">
      <c r="A221" s="1103">
        <f>VLOOKUP(B221,ReportData!$AQ$4:$AR$25,2,FALSE)</f>
        <v>0</v>
      </c>
      <c r="B221" s="885" t="str">
        <f t="shared" si="74"/>
        <v>Southampton</v>
      </c>
      <c r="C221" s="896"/>
      <c r="D221" s="922">
        <f t="shared" si="76"/>
        <v>0.23529411764705882</v>
      </c>
      <c r="E221" s="922">
        <f t="shared" si="77"/>
        <v>0.27027027027027029</v>
      </c>
      <c r="F221" s="922">
        <f t="shared" si="78"/>
        <v>0.37209302325581395</v>
      </c>
      <c r="G221" s="922">
        <f t="shared" si="79"/>
        <v>0.47272727272727272</v>
      </c>
      <c r="H221" s="923">
        <f t="shared" si="80"/>
        <v>0.40909090909090912</v>
      </c>
      <c r="I221" s="274"/>
      <c r="J221" s="68"/>
      <c r="K221" s="68"/>
      <c r="L221" s="127"/>
      <c r="M221" s="127"/>
      <c r="N221" s="127"/>
      <c r="O221" s="127"/>
      <c r="P221" s="127"/>
      <c r="Q221" s="127"/>
      <c r="R221" s="127"/>
      <c r="S221" s="128"/>
      <c r="T221" s="120"/>
      <c r="U221" s="89"/>
      <c r="V221" s="103"/>
      <c r="W221" s="115"/>
      <c r="X221" s="248" t="str">
        <f t="shared" si="75"/>
        <v>Southampton</v>
      </c>
      <c r="Y221" s="307">
        <f>IF(Year1_Southampton Year1_Care_Leavers_19_20_Ceased18_SP="","",Year1_Southampton Year1_Care_Leavers_19_20_Ceased18_SP)</f>
        <v>8</v>
      </c>
      <c r="Z221" s="248">
        <f>IF(Year2_Southampton Year2_Care_Leavers_19_20_Ceased18_SP="","",Year2_Southampton Year2_Care_Leavers_19_20_Ceased18_SP)</f>
        <v>10</v>
      </c>
      <c r="AA221" s="248">
        <f>IF(Year3_Southampton Year3_Care_Leavers_19_20_Ceased18_SP="","",Year3_Southampton Year3_Care_Leavers_19_20_Ceased18_SP)</f>
        <v>16</v>
      </c>
      <c r="AB221" s="248">
        <f>IF(Year4_Southampton Year4_Care_Leavers_19_20_Ceased18_SP="","",Year4_Southampton Year4_Care_Leavers_19_20_Ceased18_SP)</f>
        <v>26</v>
      </c>
      <c r="AC221" s="352">
        <f>IF(Year5_Southampton Year5_Care_Leavers_19_20_Ceased18_SP="","",Year5_Southampton Year5_Care_Leavers_19_20_Ceased18_SP)</f>
        <v>27</v>
      </c>
      <c r="AD221" s="352" t="str">
        <f t="shared" si="81"/>
        <v>Southampton</v>
      </c>
      <c r="AE221" s="307">
        <f>IF(Year1_Southampton Year1_Care_Leavers_19_20_Ceased18="","",Year1_Southampton Year1_Care_Leavers_19_20_Ceased18)</f>
        <v>34</v>
      </c>
      <c r="AF221" s="248">
        <f>IF(Year2_Southampton Year2_Care_Leavers_19_20_Ceased18="","",Year2_Southampton Year2_Care_Leavers_19_20_Ceased18)</f>
        <v>37</v>
      </c>
      <c r="AG221" s="248">
        <f>IF(Year3_Southampton Year3_Care_Leavers_19_20_Ceased18="","",Year3_Southampton Year3_Care_Leavers_19_20_Ceased18)</f>
        <v>43</v>
      </c>
      <c r="AH221" s="248">
        <f>IF(Year4_Southampton Year4_Care_Leavers_19_20_Ceased18="","",Year4_Southampton Year4_Care_Leavers_19_20_Ceased18)</f>
        <v>55</v>
      </c>
      <c r="AI221" s="352">
        <f>IF(Year5_Southampton Year5_Care_Leavers_19_20_Ceased18="","",Year5_Southampton Year5_Care_Leavers_19_20_Ceased18)</f>
        <v>66</v>
      </c>
      <c r="AJ221" s="121"/>
    </row>
    <row r="222" spans="1:44" s="61" customFormat="1" ht="13.5" customHeight="1">
      <c r="A222" s="1103">
        <f>VLOOKUP(B222,ReportData!$AQ$4:$AR$25,2,FALSE)</f>
        <v>0</v>
      </c>
      <c r="B222" s="885" t="str">
        <f t="shared" si="74"/>
        <v>Surrey</v>
      </c>
      <c r="C222" s="896"/>
      <c r="D222" s="922">
        <f t="shared" si="76"/>
        <v>0.17857142857142858</v>
      </c>
      <c r="E222" s="922">
        <f t="shared" si="77"/>
        <v>0.17796610169491525</v>
      </c>
      <c r="F222" s="922">
        <f t="shared" si="78"/>
        <v>0.17592592592592593</v>
      </c>
      <c r="G222" s="922">
        <f t="shared" si="79"/>
        <v>0.25</v>
      </c>
      <c r="H222" s="923">
        <f t="shared" si="80"/>
        <v>0.31578947368421051</v>
      </c>
      <c r="I222" s="274"/>
      <c r="J222" s="68"/>
      <c r="K222" s="68"/>
      <c r="L222" s="127"/>
      <c r="M222" s="127"/>
      <c r="N222" s="127"/>
      <c r="O222" s="127"/>
      <c r="P222" s="127"/>
      <c r="Q222" s="127"/>
      <c r="R222" s="127"/>
      <c r="S222" s="128"/>
      <c r="T222" s="120"/>
      <c r="U222" s="89"/>
      <c r="V222" s="103"/>
      <c r="W222" s="115"/>
      <c r="X222" s="248" t="str">
        <f t="shared" si="75"/>
        <v>Surrey</v>
      </c>
      <c r="Y222" s="307">
        <f>IF(Year1_Surrey Year1_Care_Leavers_19_20_Ceased18_SP="","",Year1_Surrey Year1_Care_Leavers_19_20_Ceased18_SP)</f>
        <v>25</v>
      </c>
      <c r="Z222" s="248">
        <f>IF(Year2_Surrey Year2_Care_Leavers_19_20_Ceased18_SP="","",Year2_Surrey Year2_Care_Leavers_19_20_Ceased18_SP)</f>
        <v>21</v>
      </c>
      <c r="AA222" s="248">
        <f>IF(Year3_Surrey Year3_Care_Leavers_19_20_Ceased18_SP="","",Year3_Surrey Year3_Care_Leavers_19_20_Ceased18_SP)</f>
        <v>19</v>
      </c>
      <c r="AB222" s="248">
        <f>IF(Year4_Surrey Year4_Care_Leavers_19_20_Ceased18_SP="","",Year4_Surrey Year4_Care_Leavers_19_20_Ceased18_SP)</f>
        <v>25</v>
      </c>
      <c r="AC222" s="352">
        <f>IF(Year5_Surrey Year5_Care_Leavers_19_20_Ceased18_SP="","",Year5_Surrey Year5_Care_Leavers_19_20_Ceased18_SP)</f>
        <v>30</v>
      </c>
      <c r="AD222" s="352" t="str">
        <f t="shared" si="81"/>
        <v>Surrey</v>
      </c>
      <c r="AE222" s="307">
        <f>IF(Year1_Surrey Year1_Care_Leavers_19_20_Ceased18="","",Year1_Surrey Year1_Care_Leavers_19_20_Ceased18)</f>
        <v>140</v>
      </c>
      <c r="AF222" s="248">
        <f>IF(Year2_Surrey Year2_Care_Leavers_19_20_Ceased18="","",Year2_Surrey Year2_Care_Leavers_19_20_Ceased18)</f>
        <v>118</v>
      </c>
      <c r="AG222" s="248">
        <f>IF(Year3_Surrey Year3_Care_Leavers_19_20_Ceased18="","",Year3_Surrey Year3_Care_Leavers_19_20_Ceased18)</f>
        <v>108</v>
      </c>
      <c r="AH222" s="248">
        <f>IF(Year4_Surrey Year4_Care_Leavers_19_20_Ceased18="","",Year4_Surrey Year4_Care_Leavers_19_20_Ceased18)</f>
        <v>100</v>
      </c>
      <c r="AI222" s="352">
        <f>IF(Year5_Surrey Year5_Care_Leavers_19_20_Ceased18="","",Year5_Surrey Year5_Care_Leavers_19_20_Ceased18)</f>
        <v>95</v>
      </c>
      <c r="AJ222" s="121"/>
    </row>
    <row r="223" spans="1:44" s="61" customFormat="1" ht="13.5" customHeight="1">
      <c r="A223" s="1103">
        <f>VLOOKUP(B223,ReportData!$AQ$4:$AR$25,2,FALSE)</f>
        <v>0</v>
      </c>
      <c r="B223" s="885" t="str">
        <f t="shared" si="74"/>
        <v>West Berkshire</v>
      </c>
      <c r="C223" s="896"/>
      <c r="D223" s="922" t="e">
        <f t="shared" si="76"/>
        <v>#N/A</v>
      </c>
      <c r="E223" s="922">
        <f t="shared" si="77"/>
        <v>0.52941176470588236</v>
      </c>
      <c r="F223" s="922">
        <f t="shared" si="78"/>
        <v>0.58333333333333337</v>
      </c>
      <c r="G223" s="922">
        <f t="shared" si="79"/>
        <v>0.41666666666666669</v>
      </c>
      <c r="H223" s="923">
        <f t="shared" si="80"/>
        <v>0.47826086956521741</v>
      </c>
      <c r="I223" s="274"/>
      <c r="J223" s="68"/>
      <c r="K223" s="68"/>
      <c r="L223" s="127"/>
      <c r="M223" s="127"/>
      <c r="N223" s="127"/>
      <c r="O223" s="127"/>
      <c r="P223" s="127"/>
      <c r="Q223" s="127"/>
      <c r="R223" s="127"/>
      <c r="S223" s="128"/>
      <c r="T223" s="120"/>
      <c r="U223" s="89"/>
      <c r="V223" s="103"/>
      <c r="W223" s="115"/>
      <c r="X223" s="248" t="str">
        <f t="shared" si="75"/>
        <v>West Berkshire</v>
      </c>
      <c r="Y223" s="307" t="str">
        <f>IF(Year1_West_Berkshire Year1_Care_Leavers_19_20_Ceased18_SP="","",Year1_West_Berkshire Year1_Care_Leavers_19_20_Ceased18_SP)</f>
        <v>x</v>
      </c>
      <c r="Z223" s="248">
        <f>IF(Year2_West_Berkshire Year2_Care_Leavers_19_20_Ceased18_SP="","",Year2_West_Berkshire Year2_Care_Leavers_19_20_Ceased18_SP)</f>
        <v>9</v>
      </c>
      <c r="AA223" s="248">
        <f>IF(Year3_West_Berkshire Year3_Care_Leavers_19_20_Ceased18_SP="","",Year3_West_Berkshire Year3_Care_Leavers_19_20_Ceased18_SP)</f>
        <v>14</v>
      </c>
      <c r="AB223" s="248">
        <f>IF(Year4_West_Berkshire Year4_Care_Leavers_19_20_Ceased18_SP="","",Year4_West_Berkshire Year4_Care_Leavers_19_20_Ceased18_SP)</f>
        <v>10</v>
      </c>
      <c r="AC223" s="352">
        <f>IF(Year5_West_Berkshire Year5_Care_Leavers_19_20_Ceased18_SP="","",Year5_West_Berkshire Year5_Care_Leavers_19_20_Ceased18_SP)</f>
        <v>11</v>
      </c>
      <c r="AD223" s="352" t="str">
        <f t="shared" si="81"/>
        <v>West Berkshire</v>
      </c>
      <c r="AE223" s="307">
        <f>IF(Year1_West_Berkshire Year1_Care_Leavers_19_20_Ceased18="","",Year1_West_Berkshire Year1_Care_Leavers_19_20_Ceased18)</f>
        <v>18</v>
      </c>
      <c r="AF223" s="248">
        <f>IF(Year2_West_Berkshire Year2_Care_Leavers_19_20_Ceased18="","",Year2_West_Berkshire Year2_Care_Leavers_19_20_Ceased18)</f>
        <v>17</v>
      </c>
      <c r="AG223" s="248">
        <f>IF(Year3_West_Berkshire Year3_Care_Leavers_19_20_Ceased18="","",Year3_West_Berkshire Year3_Care_Leavers_19_20_Ceased18)</f>
        <v>24</v>
      </c>
      <c r="AH223" s="248">
        <f>IF(Year4_West_Berkshire Year4_Care_Leavers_19_20_Ceased18="","",Year4_West_Berkshire Year4_Care_Leavers_19_20_Ceased18)</f>
        <v>24</v>
      </c>
      <c r="AI223" s="352">
        <f>IF(Year5_West_Berkshire Year5_Care_Leavers_19_20_Ceased18="","",Year5_West_Berkshire Year5_Care_Leavers_19_20_Ceased18)</f>
        <v>23</v>
      </c>
      <c r="AJ223" s="121"/>
    </row>
    <row r="224" spans="1:44" s="61" customFormat="1" ht="13.5" customHeight="1">
      <c r="A224" s="1103">
        <f>VLOOKUP(B224,ReportData!$AQ$4:$AR$25,2,FALSE)</f>
        <v>0</v>
      </c>
      <c r="B224" s="885" t="str">
        <f t="shared" si="74"/>
        <v>West Sussex</v>
      </c>
      <c r="C224" s="896"/>
      <c r="D224" s="922">
        <f t="shared" si="76"/>
        <v>0.49382716049382713</v>
      </c>
      <c r="E224" s="922">
        <f t="shared" si="77"/>
        <v>0.52380952380952384</v>
      </c>
      <c r="F224" s="922">
        <f t="shared" si="78"/>
        <v>0.39473684210526316</v>
      </c>
      <c r="G224" s="922">
        <f t="shared" si="79"/>
        <v>0.38461538461538464</v>
      </c>
      <c r="H224" s="923">
        <f t="shared" si="80"/>
        <v>0.39325842696629215</v>
      </c>
      <c r="I224" s="274"/>
      <c r="J224" s="68"/>
      <c r="K224" s="68"/>
      <c r="L224" s="127"/>
      <c r="M224" s="127"/>
      <c r="N224" s="127"/>
      <c r="O224" s="127"/>
      <c r="P224" s="127"/>
      <c r="Q224" s="127"/>
      <c r="R224" s="127"/>
      <c r="S224" s="128"/>
      <c r="T224" s="120"/>
      <c r="U224" s="89"/>
      <c r="V224" s="103"/>
      <c r="W224" s="115"/>
      <c r="X224" s="248" t="str">
        <f t="shared" si="75"/>
        <v>West Sussex</v>
      </c>
      <c r="Y224" s="307">
        <f>IF(Year1_West_Sussex Year1_Care_Leavers_19_20_Ceased18_SP="","",Year1_West_Sussex Year1_Care_Leavers_19_20_Ceased18_SP)</f>
        <v>40</v>
      </c>
      <c r="Z224" s="248">
        <f>IF(Year2_West_Sussex Year2_Care_Leavers_19_20_Ceased18_SP="","",Year2_West_Sussex Year2_Care_Leavers_19_20_Ceased18_SP)</f>
        <v>44</v>
      </c>
      <c r="AA224" s="248">
        <f>IF(Year3_West_Sussex Year3_Care_Leavers_19_20_Ceased18_SP="","",Year3_West_Sussex Year3_Care_Leavers_19_20_Ceased18_SP)</f>
        <v>30</v>
      </c>
      <c r="AB224" s="248">
        <f>IF(Year4_West_Sussex Year4_Care_Leavers_19_20_Ceased18_SP="","",Year4_West_Sussex Year4_Care_Leavers_19_20_Ceased18_SP)</f>
        <v>30</v>
      </c>
      <c r="AC224" s="352">
        <f>IF(Year5_West_Sussex Year5_Care_Leavers_19_20_Ceased18_SP="","",Year5_West_Sussex Year5_Care_Leavers_19_20_Ceased18_SP)</f>
        <v>35</v>
      </c>
      <c r="AD224" s="352" t="str">
        <f t="shared" si="81"/>
        <v>West Sussex</v>
      </c>
      <c r="AE224" s="307">
        <f>IF(Year1_West_Sussex Year1_Care_Leavers_19_20_Ceased18="","",Year1_West_Sussex Year1_Care_Leavers_19_20_Ceased18)</f>
        <v>81</v>
      </c>
      <c r="AF224" s="248">
        <f>IF(Year2_West_Sussex Year2_Care_Leavers_19_20_Ceased18="","",Year2_West_Sussex Year2_Care_Leavers_19_20_Ceased18)</f>
        <v>84</v>
      </c>
      <c r="AG224" s="248">
        <f>IF(Year3_West_Sussex Year3_Care_Leavers_19_20_Ceased18="","",Year3_West_Sussex Year3_Care_Leavers_19_20_Ceased18)</f>
        <v>76</v>
      </c>
      <c r="AH224" s="248">
        <f>IF(Year4_West_Sussex Year4_Care_Leavers_19_20_Ceased18="","",Year4_West_Sussex Year4_Care_Leavers_19_20_Ceased18)</f>
        <v>78</v>
      </c>
      <c r="AI224" s="352">
        <f>IF(Year5_West_Sussex Year5_Care_Leavers_19_20_Ceased18="","",Year5_West_Sussex Year5_Care_Leavers_19_20_Ceased18)</f>
        <v>89</v>
      </c>
      <c r="AJ224" s="121"/>
    </row>
    <row r="225" spans="1:58" s="61" customFormat="1" ht="13.5" customHeight="1">
      <c r="A225" s="1103">
        <f>VLOOKUP(B225,ReportData!$AQ$4:$AR$25,2,FALSE)</f>
        <v>0</v>
      </c>
      <c r="B225" s="885" t="str">
        <f t="shared" si="74"/>
        <v>Windsor &amp; Maidenhead</v>
      </c>
      <c r="C225" s="896"/>
      <c r="D225" s="922" t="e">
        <f t="shared" si="76"/>
        <v>#N/A</v>
      </c>
      <c r="E225" s="922" t="e">
        <f t="shared" si="77"/>
        <v>#N/A</v>
      </c>
      <c r="F225" s="922">
        <f t="shared" si="78"/>
        <v>0.33333333333333331</v>
      </c>
      <c r="G225" s="922">
        <f t="shared" si="79"/>
        <v>0.31578947368421051</v>
      </c>
      <c r="H225" s="923" t="e">
        <f t="shared" si="80"/>
        <v>#N/A</v>
      </c>
      <c r="I225" s="274"/>
      <c r="J225" s="68"/>
      <c r="K225" s="68"/>
      <c r="L225" s="127"/>
      <c r="M225" s="127"/>
      <c r="N225" s="127"/>
      <c r="O225" s="127"/>
      <c r="P225" s="127"/>
      <c r="Q225" s="127"/>
      <c r="R225" s="127"/>
      <c r="S225" s="128"/>
      <c r="T225" s="120"/>
      <c r="U225" s="89"/>
      <c r="V225" s="103"/>
      <c r="W225" s="115"/>
      <c r="X225" s="248" t="str">
        <f t="shared" si="75"/>
        <v>Windsor &amp; Maidenhead</v>
      </c>
      <c r="Y225" s="307" t="str">
        <f>IF(Year1_Windsor_and_Maidenhead Year1_Care_Leavers_19_20_Ceased18_SP="","",Year1_Windsor_and_Maidenhead Year1_Care_Leavers_19_20_Ceased18_SP)</f>
        <v>x</v>
      </c>
      <c r="Z225" s="248" t="str">
        <f>IF(Year2_Windsor_and_Maidenhead Year2_Care_Leavers_19_20_Ceased18_SP="","",Year2_Windsor_and_Maidenhead Year2_Care_Leavers_19_20_Ceased18_SP)</f>
        <v>x</v>
      </c>
      <c r="AA225" s="248">
        <f>IF(Year3_Windsor_and_Maidenhead Year3_Care_Leavers_19_20_Ceased18_SP="","",Year3_Windsor_and_Maidenhead Year3_Care_Leavers_19_20_Ceased18_SP)</f>
        <v>8</v>
      </c>
      <c r="AB225" s="248">
        <f>IF(Year4_Windsor_and_Maidenhead Year4_Care_Leavers_19_20_Ceased18_SP="","",Year4_Windsor_and_Maidenhead Year4_Care_Leavers_19_20_Ceased18_SP)</f>
        <v>6</v>
      </c>
      <c r="AC225" s="352" t="str">
        <f>IF(Year5_Windsor_and_Maidenhead Year5_Care_Leavers_19_20_Ceased18_SP="","",Year5_Windsor_and_Maidenhead Year5_Care_Leavers_19_20_Ceased18_SP)</f>
        <v>c</v>
      </c>
      <c r="AD225" s="352" t="str">
        <f t="shared" si="81"/>
        <v>Windsor &amp; Maidenhead</v>
      </c>
      <c r="AE225" s="307">
        <f>IF(Year1_Windsor_and_Maidenhead Year1_Care_Leavers_19_20_Ceased18="","",Year1_Windsor_and_Maidenhead Year1_Care_Leavers_19_20_Ceased18)</f>
        <v>19</v>
      </c>
      <c r="AF225" s="248">
        <f>IF(Year2_Windsor_and_Maidenhead Year2_Care_Leavers_19_20_Ceased18="","",Year2_Windsor_and_Maidenhead Year2_Care_Leavers_19_20_Ceased18)</f>
        <v>18</v>
      </c>
      <c r="AG225" s="248">
        <f>IF(Year3_Windsor_and_Maidenhead Year3_Care_Leavers_19_20_Ceased18="","",Year3_Windsor_and_Maidenhead Year3_Care_Leavers_19_20_Ceased18)</f>
        <v>24</v>
      </c>
      <c r="AH225" s="248">
        <f>IF(Year4_Windsor_and_Maidenhead Year4_Care_Leavers_19_20_Ceased18="","",Year4_Windsor_and_Maidenhead Year4_Care_Leavers_19_20_Ceased18)</f>
        <v>19</v>
      </c>
      <c r="AI225" s="352">
        <f>IF(Year5_Windsor_and_Maidenhead Year5_Care_Leavers_19_20_Ceased18="","",Year5_Windsor_and_Maidenhead Year5_Care_Leavers_19_20_Ceased18)</f>
        <v>11</v>
      </c>
      <c r="AJ225" s="121"/>
    </row>
    <row r="226" spans="1:58" s="61" customFormat="1" ht="13.5" customHeight="1">
      <c r="A226" s="1103">
        <f>VLOOKUP(B226,ReportData!$AQ$4:$AR$25,2,FALSE)</f>
        <v>0</v>
      </c>
      <c r="B226" s="885" t="str">
        <f t="shared" si="74"/>
        <v>Wokingham</v>
      </c>
      <c r="C226" s="896"/>
      <c r="D226" s="922">
        <f t="shared" si="76"/>
        <v>0.4</v>
      </c>
      <c r="E226" s="922">
        <f t="shared" si="77"/>
        <v>0.58823529411764708</v>
      </c>
      <c r="F226" s="922">
        <f t="shared" si="78"/>
        <v>0.47058823529411764</v>
      </c>
      <c r="G226" s="922" t="e">
        <f t="shared" si="79"/>
        <v>#N/A</v>
      </c>
      <c r="H226" s="923" t="e">
        <f t="shared" si="80"/>
        <v>#N/A</v>
      </c>
      <c r="I226" s="274"/>
      <c r="J226" s="68"/>
      <c r="K226" s="68"/>
      <c r="L226" s="127"/>
      <c r="M226" s="127"/>
      <c r="N226" s="127"/>
      <c r="O226" s="127"/>
      <c r="P226" s="127"/>
      <c r="Q226" s="127"/>
      <c r="R226" s="127"/>
      <c r="S226" s="128"/>
      <c r="T226" s="120"/>
      <c r="U226" s="89"/>
      <c r="V226" s="103"/>
      <c r="W226" s="115"/>
      <c r="X226" s="248" t="str">
        <f t="shared" si="75"/>
        <v>Wokingham</v>
      </c>
      <c r="Y226" s="307">
        <f>IF(Year1_Wokingham Year1_Care_Leavers_19_20_Ceased18_SP="","",Year1_Wokingham Year1_Care_Leavers_19_20_Ceased18_SP)</f>
        <v>8</v>
      </c>
      <c r="Z226" s="248">
        <f>IF(Year2_Wokingham Year2_Care_Leavers_19_20_Ceased18_SP="","",Year2_Wokingham Year2_Care_Leavers_19_20_Ceased18_SP)</f>
        <v>10</v>
      </c>
      <c r="AA226" s="248">
        <f>IF(Year3_Wokingham Year3_Care_Leavers_19_20_Ceased18_SP="","",Year3_Wokingham Year3_Care_Leavers_19_20_Ceased18_SP)</f>
        <v>8</v>
      </c>
      <c r="AB226" s="248" t="str">
        <f>IF(Year4_Wokingham Year4_Care_Leavers_19_20_Ceased18_SP="","",Year4_Wokingham Year4_Care_Leavers_19_20_Ceased18_SP)</f>
        <v>c</v>
      </c>
      <c r="AC226" s="352" t="str">
        <f>IF(Year5_Wokingham Year5_Care_Leavers_19_20_Ceased18_SP="","",Year5_Wokingham Year5_Care_Leavers_19_20_Ceased18_SP)</f>
        <v>c</v>
      </c>
      <c r="AD226" s="352" t="str">
        <f t="shared" si="81"/>
        <v>Wokingham</v>
      </c>
      <c r="AE226" s="307">
        <f>IF(Year1_Wokingham Year1_Care_Leavers_19_20_Ceased18="","",Year1_Wokingham Year1_Care_Leavers_19_20_Ceased18)</f>
        <v>20</v>
      </c>
      <c r="AF226" s="248">
        <f>IF(Year2_Wokingham Year2_Care_Leavers_19_20_Ceased18="","",Year2_Wokingham Year2_Care_Leavers_19_20_Ceased18)</f>
        <v>17</v>
      </c>
      <c r="AG226" s="248">
        <f>IF(Year3_Wokingham Year3_Care_Leavers_19_20_Ceased18="","",Year3_Wokingham Year3_Care_Leavers_19_20_Ceased18)</f>
        <v>17</v>
      </c>
      <c r="AH226" s="248">
        <f>IF(Year4_Wokingham Year4_Care_Leavers_19_20_Ceased18="","",Year4_Wokingham Year4_Care_Leavers_19_20_Ceased18)</f>
        <v>16</v>
      </c>
      <c r="AI226" s="352">
        <f>IF(Year5_Wokingham Year5_Care_Leavers_19_20_Ceased18="","",Year5_Wokingham Year5_Care_Leavers_19_20_Ceased18)</f>
        <v>15</v>
      </c>
      <c r="AJ226" s="121"/>
    </row>
    <row r="227" spans="1:58" s="61" customFormat="1" ht="13.5" customHeight="1">
      <c r="A227" s="1103"/>
      <c r="B227" s="886" t="str">
        <f t="shared" si="74"/>
        <v>South East</v>
      </c>
      <c r="C227" s="896"/>
      <c r="D227" s="924">
        <f t="shared" si="76"/>
        <v>0.23148148148148148</v>
      </c>
      <c r="E227" s="924">
        <f t="shared" si="77"/>
        <v>0.24029574861367836</v>
      </c>
      <c r="F227" s="924">
        <f t="shared" si="78"/>
        <v>0.27645376549094375</v>
      </c>
      <c r="G227" s="924">
        <f t="shared" si="79"/>
        <v>0.28999999999999998</v>
      </c>
      <c r="H227" s="925">
        <f t="shared" si="80"/>
        <v>0.25714285714285712</v>
      </c>
      <c r="I227" s="274"/>
      <c r="J227" s="68"/>
      <c r="K227" s="68"/>
      <c r="L227" s="129"/>
      <c r="M227" s="129"/>
      <c r="N227" s="129"/>
      <c r="O227" s="129"/>
      <c r="P227" s="129"/>
      <c r="Q227" s="129"/>
      <c r="R227" s="129"/>
      <c r="S227" s="130"/>
      <c r="T227" s="120"/>
      <c r="U227" s="89"/>
      <c r="V227" s="103"/>
      <c r="W227" s="115"/>
      <c r="X227" s="248" t="str">
        <f t="shared" si="75"/>
        <v>South East</v>
      </c>
      <c r="Y227" s="248">
        <f>IF(Year1_South_East Year1_Care_Leavers_19_20_Ceased18_SP="","",Year1_South_East Year1_Care_Leavers_19_20_Ceased18_SP)</f>
        <v>250</v>
      </c>
      <c r="Z227" s="248">
        <f>IF(Year2_South_East Year2_Care_Leavers_19_20_Ceased18_SP="","",Year2_South_East Year2_Care_Leavers_19_20_Ceased18_SP)</f>
        <v>260</v>
      </c>
      <c r="AA227" s="248">
        <f>IF(Year3_South_East Year3_Care_Leavers_19_20_Ceased18_SP="","",Year3_South_East Year3_Care_Leavers_19_20_Ceased18_SP)</f>
        <v>290</v>
      </c>
      <c r="AB227" s="248">
        <f>IF(Year4_South_East Year4_Care_Leavers_19_20_Ceased18_SP="","",Year4_South_East Year4_Care_Leavers_19_20_Ceased18_SP)</f>
        <v>290</v>
      </c>
      <c r="AC227" s="352">
        <f>IF(Year5_South_East Year5_Care_Leavers_19_20_Ceased18_SP="","",Year5_South_East Year5_Care_Leavers_19_20_Ceased18_SP)</f>
        <v>270</v>
      </c>
      <c r="AD227" s="352" t="str">
        <f t="shared" si="81"/>
        <v>South East</v>
      </c>
      <c r="AE227" s="248">
        <f>IF(Year1_South_East Year1_Care_Leavers_19_20_Ceased18="","",Year1_South_East Year1_Care_Leavers_19_20_Ceased18)</f>
        <v>1080</v>
      </c>
      <c r="AF227" s="248">
        <f>IF(Year2_South_East Year2_Care_Leavers_19_20_Ceased18="","",Year2_South_East Year2_Care_Leavers_19_20_Ceased18)</f>
        <v>1082</v>
      </c>
      <c r="AG227" s="248">
        <f>IF(Year3_South_East Year3_Care_Leavers_19_20_Ceased18="","",Year3_South_East Year3_Care_Leavers_19_20_Ceased18)</f>
        <v>1049</v>
      </c>
      <c r="AH227" s="248">
        <f>IF(Year4_South_East Year4_Care_Leavers_19_20_Ceased18="","",Year4_South_East Year4_Care_Leavers_19_20_Ceased18)</f>
        <v>1000</v>
      </c>
      <c r="AI227" s="352">
        <f>IF(Year5_South_East Year5_Care_Leavers_19_20_Ceased18="","",Year5_South_East Year5_Care_Leavers_19_20_Ceased18)</f>
        <v>1050</v>
      </c>
      <c r="AJ227" s="121"/>
    </row>
    <row r="228" spans="1:58" s="61" customFormat="1" ht="13.5" customHeight="1">
      <c r="A228" s="1103"/>
      <c r="B228" s="887" t="str">
        <f>ReportData!$K$24</f>
        <v>England</v>
      </c>
      <c r="C228" s="896"/>
      <c r="D228" s="926">
        <f>IF(AND(ISNUMBER(AE228),ISNUMBER(Y228)),Y228/AE228,NA())</f>
        <v>0.28000000000000003</v>
      </c>
      <c r="E228" s="926">
        <f>IF(AND(ISNUMBER(AF228),ISNUMBER(Z228)),Z228/AF228,NA())</f>
        <v>0.29796511627906974</v>
      </c>
      <c r="F228" s="926">
        <f>IF(AND(ISNUMBER(AG228),ISNUMBER(AA228)),AA228/AG228,NA())</f>
        <v>0.3137535816618911</v>
      </c>
      <c r="G228" s="926">
        <f>IF(AND(ISNUMBER(AH228),ISNUMBER(AB228)),AB228/AH228,NA())</f>
        <v>0.31983240223463688</v>
      </c>
      <c r="H228" s="927">
        <f>IF(AND(ISNUMBER(AI228),ISNUMBER(AC228)),AC228/AI228,NA())</f>
        <v>0.32369146005509641</v>
      </c>
      <c r="I228" s="274"/>
      <c r="J228" s="68"/>
      <c r="K228" s="68"/>
      <c r="L228" s="129"/>
      <c r="M228" s="129"/>
      <c r="N228" s="129"/>
      <c r="O228" s="129"/>
      <c r="P228" s="129"/>
      <c r="Q228" s="129"/>
      <c r="R228" s="129"/>
      <c r="S228" s="130"/>
      <c r="T228" s="120"/>
      <c r="U228" s="89"/>
      <c r="V228" s="103"/>
      <c r="W228" s="115"/>
      <c r="X228" s="248" t="str">
        <f t="shared" si="75"/>
        <v>England</v>
      </c>
      <c r="Y228" s="307">
        <f>IF(Year1_England Year1_Care_Leavers_19_20_Ceased18_SP="","",Year1_England Year1_Care_Leavers_19_20_Ceased18_SP)</f>
        <v>1890</v>
      </c>
      <c r="Z228" s="248">
        <f>IF(Year2_England Year2_Care_Leavers_19_20_Ceased18_SP="","",Year2_England Year2_Care_Leavers_19_20_Ceased18_SP)</f>
        <v>2050</v>
      </c>
      <c r="AA228" s="248">
        <f>IF(Year3_England Year3_Care_Leavers_19_20_Ceased18_SP="","",Year3_England Year3_Care_Leavers_19_20_Ceased18_SP)</f>
        <v>2190</v>
      </c>
      <c r="AB228" s="248">
        <f>IF(Year4_England Year4_Care_Leavers_19_20_Ceased18_SP="","",Year4_England Year4_Care_Leavers_19_20_Ceased18_SP)</f>
        <v>2290</v>
      </c>
      <c r="AC228" s="352">
        <f>IF(Year5_England Year5_Care_Leavers_19_20_Ceased18_SP="","",Year5_England Year5_Care_Leavers_19_20_Ceased18_SP)</f>
        <v>2350</v>
      </c>
      <c r="AD228" s="352" t="str">
        <f>X228</f>
        <v>England</v>
      </c>
      <c r="AE228" s="307">
        <f>IF(Year1_England Year1_Care_Leavers_19_20_Ceased18="","",Year1_England Year1_Care_Leavers_19_20_Ceased18)</f>
        <v>6750</v>
      </c>
      <c r="AF228" s="248">
        <f>IF(Year2_England Year2_Care_Leavers_19_20_Ceased18="","",Year2_England Year2_Care_Leavers_19_20_Ceased18)</f>
        <v>6880</v>
      </c>
      <c r="AG228" s="248">
        <f>IF(Year3_England Year3_Care_Leavers_19_20_Ceased18="","",Year3_England Year3_Care_Leavers_19_20_Ceased18)</f>
        <v>6980</v>
      </c>
      <c r="AH228" s="248">
        <f>IF(Year4_England Year4_Care_Leavers_19_20_Ceased18="","",Year4_England Year4_Care_Leavers_19_20_Ceased18)</f>
        <v>7160</v>
      </c>
      <c r="AI228" s="352">
        <f>IF(Year5_England Year5_Care_Leavers_19_20_Ceased18="","",Year5_England Year5_Care_Leavers_19_20_Ceased18)</f>
        <v>7260</v>
      </c>
      <c r="AJ228" s="121"/>
    </row>
    <row r="229" spans="1:58" s="61" customFormat="1" ht="4.5" customHeight="1">
      <c r="A229" s="217"/>
      <c r="B229" s="68"/>
      <c r="C229" s="68"/>
      <c r="D229" s="68"/>
      <c r="E229" s="68"/>
      <c r="F229" s="68"/>
      <c r="G229" s="68"/>
      <c r="H229" s="68"/>
      <c r="I229" s="68"/>
      <c r="J229" s="68"/>
      <c r="K229" s="68"/>
      <c r="L229" s="129"/>
      <c r="M229" s="129"/>
      <c r="N229" s="129"/>
      <c r="O229" s="129"/>
      <c r="P229" s="129"/>
      <c r="Q229" s="129"/>
      <c r="R229" s="129"/>
      <c r="S229" s="130"/>
      <c r="T229" s="120"/>
      <c r="U229" s="89"/>
      <c r="V229" s="103"/>
      <c r="W229" s="115"/>
      <c r="X229" s="56"/>
      <c r="Y229" s="56"/>
      <c r="Z229" s="146"/>
      <c r="AA229" s="146"/>
      <c r="AB229" s="147"/>
      <c r="AC229" s="56"/>
      <c r="AD229" s="56"/>
      <c r="AE229" s="56"/>
      <c r="AF229" s="56"/>
      <c r="AG229" s="56"/>
      <c r="AH229" s="56"/>
      <c r="AI229" s="52"/>
      <c r="AJ229" s="121"/>
    </row>
    <row r="230" spans="1:58" s="56" customFormat="1" ht="42" customHeight="1">
      <c r="A230" s="166"/>
      <c r="B230" s="171"/>
      <c r="C230" s="171"/>
      <c r="D230" s="171"/>
      <c r="E230" s="171"/>
      <c r="F230" s="171"/>
      <c r="G230" s="171"/>
      <c r="H230" s="171"/>
      <c r="I230" s="171"/>
      <c r="J230" s="171"/>
      <c r="K230" s="133"/>
      <c r="L230" s="133"/>
      <c r="M230" s="133"/>
      <c r="N230" s="133"/>
      <c r="O230" s="133"/>
      <c r="P230" s="133"/>
      <c r="Q230" s="133"/>
      <c r="R230" s="133"/>
      <c r="S230" s="101"/>
      <c r="T230" s="133"/>
      <c r="U230" s="86"/>
      <c r="V230" s="102"/>
      <c r="W230" s="114"/>
      <c r="AC230" s="147"/>
      <c r="AD230" s="149"/>
      <c r="AE230" s="52"/>
      <c r="AF230" s="52"/>
      <c r="AG230" s="52"/>
      <c r="AI230" s="52"/>
      <c r="AJ230" s="122"/>
    </row>
    <row r="231" spans="1:58" s="56" customFormat="1" ht="42.75" customHeight="1">
      <c r="A231" s="166"/>
      <c r="B231" s="171"/>
      <c r="C231" s="171"/>
      <c r="D231" s="171"/>
      <c r="E231" s="171"/>
      <c r="F231" s="171"/>
      <c r="G231" s="171"/>
      <c r="H231" s="171"/>
      <c r="I231" s="171"/>
      <c r="J231" s="171"/>
      <c r="K231" s="133"/>
      <c r="L231" s="133"/>
      <c r="M231" s="133"/>
      <c r="N231" s="133"/>
      <c r="O231" s="133"/>
      <c r="P231" s="133"/>
      <c r="Q231" s="133"/>
      <c r="R231" s="133"/>
      <c r="S231" s="101"/>
      <c r="T231" s="133"/>
      <c r="U231" s="86"/>
      <c r="V231" s="102"/>
      <c r="W231" s="114"/>
      <c r="Y231" s="141"/>
      <c r="AD231" s="149"/>
      <c r="AE231" s="52"/>
      <c r="AF231" s="52"/>
      <c r="AG231" s="52"/>
      <c r="AI231" s="52"/>
      <c r="AJ231" s="122"/>
    </row>
    <row r="232" spans="1:58" s="56" customFormat="1" ht="42" customHeight="1">
      <c r="A232" s="166"/>
      <c r="B232" s="171"/>
      <c r="C232" s="171"/>
      <c r="D232" s="171"/>
      <c r="E232" s="171"/>
      <c r="F232" s="171"/>
      <c r="G232" s="171"/>
      <c r="H232" s="171"/>
      <c r="I232" s="171"/>
      <c r="J232" s="171"/>
      <c r="K232" s="133"/>
      <c r="L232" s="133"/>
      <c r="M232" s="133"/>
      <c r="N232" s="133"/>
      <c r="O232" s="133"/>
      <c r="P232" s="133"/>
      <c r="Q232" s="133"/>
      <c r="R232" s="133"/>
      <c r="S232" s="101"/>
      <c r="T232" s="133"/>
      <c r="U232" s="86"/>
      <c r="V232" s="121"/>
      <c r="W232" s="114"/>
      <c r="Y232" s="141"/>
      <c r="AD232" s="149"/>
      <c r="AE232" s="52"/>
      <c r="AF232" s="52"/>
      <c r="AG232" s="52"/>
      <c r="AI232" s="52"/>
      <c r="AJ232" s="122"/>
    </row>
    <row r="233" spans="1:58" s="56" customFormat="1" ht="7.5" customHeight="1">
      <c r="A233" s="87"/>
      <c r="B233" s="12"/>
      <c r="C233" s="12"/>
      <c r="D233" s="11"/>
      <c r="E233" s="11"/>
      <c r="F233" s="11"/>
      <c r="G233" s="11"/>
      <c r="H233" s="11"/>
      <c r="I233" s="11"/>
      <c r="J233" s="11"/>
      <c r="K233" s="1"/>
      <c r="L233" s="13"/>
      <c r="M233" s="13"/>
      <c r="N233" s="13"/>
      <c r="O233" s="13"/>
      <c r="P233" s="13"/>
      <c r="Q233" s="13"/>
      <c r="R233" s="13"/>
      <c r="S233" s="13"/>
      <c r="T233" s="13"/>
      <c r="U233" s="86"/>
      <c r="V233" s="185"/>
      <c r="W233" s="114"/>
      <c r="Y233" s="141"/>
      <c r="AI233" s="52"/>
      <c r="AJ233" s="119"/>
      <c r="AK233" s="52"/>
      <c r="AL233" s="52"/>
      <c r="AM233" s="52"/>
      <c r="AN233" s="52"/>
      <c r="AO233" s="52"/>
      <c r="AP233" s="52"/>
      <c r="AQ233" s="52"/>
    </row>
    <row r="234" spans="1:58" s="56" customFormat="1" ht="15" customHeight="1">
      <c r="A234" s="1565"/>
      <c r="B234" s="1751"/>
      <c r="C234" s="1751"/>
      <c r="D234" s="1751"/>
      <c r="E234" s="1751"/>
      <c r="F234" s="1751"/>
      <c r="G234" s="1751"/>
      <c r="H234" s="1751"/>
      <c r="I234" s="1751"/>
      <c r="J234" s="1751"/>
      <c r="K234" s="1751"/>
      <c r="L234" s="1751"/>
      <c r="M234" s="1751"/>
      <c r="N234" s="1751"/>
      <c r="O234" s="1751"/>
      <c r="P234" s="1751"/>
      <c r="Q234" s="1751"/>
      <c r="R234" s="1751"/>
      <c r="S234" s="1751"/>
      <c r="T234" s="1751"/>
      <c r="U234" s="1752"/>
      <c r="V234" s="185"/>
      <c r="W234" s="114"/>
      <c r="AJ234" s="122"/>
      <c r="AS234" s="52"/>
    </row>
    <row r="235" spans="1:58" s="56" customFormat="1" ht="11.25" customHeight="1">
      <c r="A235" s="1739"/>
      <c r="B235" s="1740"/>
      <c r="C235" s="1740"/>
      <c r="D235" s="1740"/>
      <c r="E235" s="1740"/>
      <c r="F235" s="1740"/>
      <c r="G235" s="1740"/>
      <c r="H235" s="1740"/>
      <c r="I235" s="1742"/>
      <c r="J235" s="1741"/>
      <c r="K235" s="1740"/>
      <c r="L235" s="1740"/>
      <c r="M235" s="1740"/>
      <c r="N235" s="1740"/>
      <c r="O235" s="1740"/>
      <c r="P235" s="1740"/>
      <c r="Q235" s="1742"/>
      <c r="R235" s="1740"/>
      <c r="S235" s="1947"/>
      <c r="T235" s="1740"/>
      <c r="U235" s="1743"/>
      <c r="V235" s="185"/>
      <c r="W235" s="114"/>
      <c r="AI235" s="52"/>
      <c r="AJ235" s="121"/>
      <c r="AK235" s="61"/>
      <c r="AS235" s="52"/>
    </row>
    <row r="236" spans="1:58" ht="11.25" customHeight="1">
      <c r="A236" s="106"/>
      <c r="B236" s="705"/>
      <c r="C236" s="5"/>
      <c r="D236" s="5"/>
      <c r="E236" s="9"/>
      <c r="F236" s="5"/>
      <c r="G236" s="40"/>
      <c r="H236" s="554"/>
      <c r="I236" s="40"/>
      <c r="J236" s="40"/>
      <c r="K236" s="40"/>
      <c r="L236" s="40"/>
      <c r="M236" s="40"/>
      <c r="N236" s="40"/>
      <c r="O236" s="40"/>
      <c r="P236" s="40"/>
      <c r="Q236" s="40"/>
      <c r="R236" s="40"/>
      <c r="S236" s="40"/>
      <c r="T236" s="40"/>
      <c r="U236" s="40"/>
      <c r="V236" s="40"/>
      <c r="W236" s="116"/>
      <c r="AE236" s="57"/>
      <c r="AH236" s="52"/>
      <c r="AJ236" s="119"/>
      <c r="AR236" s="56"/>
      <c r="AS236" s="56"/>
      <c r="AT236" s="56"/>
      <c r="AU236" s="56"/>
      <c r="AV236" s="56"/>
      <c r="AW236" s="56"/>
      <c r="AX236" s="56"/>
      <c r="AY236" s="56"/>
      <c r="AZ236" s="56"/>
      <c r="BA236" s="56"/>
      <c r="BB236" s="56"/>
      <c r="BC236" s="56"/>
      <c r="BD236" s="56"/>
      <c r="BE236" s="56"/>
      <c r="BF236" s="56"/>
    </row>
    <row r="237" spans="1:58" ht="11.25" customHeight="1">
      <c r="A237" s="106"/>
      <c r="B237" s="705"/>
      <c r="C237" s="5"/>
      <c r="D237" s="5"/>
      <c r="E237" s="9"/>
      <c r="F237" s="5"/>
      <c r="G237" s="40"/>
      <c r="H237" s="554"/>
      <c r="I237" s="40"/>
      <c r="J237" s="40"/>
      <c r="K237" s="40"/>
      <c r="L237" s="40"/>
      <c r="M237" s="40"/>
      <c r="N237" s="40"/>
      <c r="O237" s="40"/>
      <c r="P237" s="40"/>
      <c r="Q237" s="40"/>
      <c r="R237" s="40"/>
      <c r="S237" s="40"/>
      <c r="T237" s="40"/>
      <c r="U237" s="40"/>
      <c r="V237" s="40"/>
      <c r="W237" s="116"/>
      <c r="AE237" s="57"/>
      <c r="AH237" s="52"/>
      <c r="AJ237" s="119"/>
      <c r="AL237" s="56"/>
      <c r="AM237" s="56"/>
      <c r="AN237" s="56"/>
      <c r="AO237" s="56"/>
      <c r="AP237" s="56"/>
      <c r="AQ237" s="56"/>
    </row>
    <row r="238" spans="1:58" ht="11.25" customHeight="1">
      <c r="A238" s="106"/>
      <c r="B238" s="1317"/>
      <c r="C238" s="5"/>
      <c r="D238" s="5"/>
      <c r="E238" s="9"/>
      <c r="F238" s="5"/>
      <c r="G238" s="40"/>
      <c r="H238" s="554"/>
      <c r="I238" s="40"/>
      <c r="J238" s="40"/>
      <c r="K238" s="40"/>
      <c r="L238" s="40"/>
      <c r="M238" s="40"/>
      <c r="N238" s="40"/>
      <c r="O238" s="40"/>
      <c r="P238" s="40"/>
      <c r="Q238" s="40"/>
      <c r="R238" s="40"/>
      <c r="S238" s="40"/>
      <c r="T238" s="40"/>
      <c r="U238" s="40"/>
      <c r="V238" s="40"/>
      <c r="W238" s="116"/>
      <c r="AE238" s="57"/>
      <c r="AH238" s="52"/>
      <c r="AJ238" s="119"/>
      <c r="AL238" s="56"/>
      <c r="AM238" s="56"/>
      <c r="AN238" s="56"/>
      <c r="AO238" s="56"/>
      <c r="AP238" s="56"/>
      <c r="AQ238" s="56"/>
    </row>
    <row r="239" spans="1:58" ht="11.25" customHeight="1">
      <c r="A239" s="106"/>
      <c r="B239" s="1318"/>
      <c r="C239" s="5"/>
      <c r="D239" s="5"/>
      <c r="E239" s="9"/>
      <c r="F239" s="2"/>
      <c r="G239" s="554"/>
      <c r="H239" s="554"/>
      <c r="I239" s="40"/>
      <c r="J239" s="40"/>
      <c r="K239" s="40"/>
      <c r="L239" s="40"/>
      <c r="M239" s="40"/>
      <c r="N239" s="40"/>
      <c r="O239" s="40"/>
      <c r="P239" s="40"/>
      <c r="Q239" s="40"/>
      <c r="R239" s="40"/>
      <c r="S239" s="40"/>
      <c r="T239" s="40"/>
      <c r="U239" s="40"/>
      <c r="V239" s="40"/>
      <c r="W239" s="116"/>
      <c r="AE239" s="57"/>
      <c r="AH239" s="52"/>
      <c r="AJ239" s="119"/>
    </row>
    <row r="240" spans="1:58" ht="11.25" customHeight="1">
      <c r="A240" s="106"/>
      <c r="B240" s="420"/>
      <c r="C240" s="420"/>
      <c r="D240" s="420"/>
      <c r="E240" s="420"/>
      <c r="F240" s="420"/>
      <c r="G240" s="420"/>
      <c r="H240" s="554"/>
      <c r="I240" s="40"/>
      <c r="J240" s="40"/>
      <c r="K240" s="40"/>
      <c r="L240" s="40"/>
      <c r="M240" s="40"/>
      <c r="N240" s="40"/>
      <c r="O240" s="40"/>
      <c r="P240" s="40"/>
      <c r="Q240" s="40"/>
      <c r="R240" s="40"/>
      <c r="S240" s="40"/>
      <c r="T240" s="40"/>
      <c r="U240" s="40"/>
      <c r="V240" s="40"/>
      <c r="W240" s="116"/>
      <c r="AE240" s="57"/>
      <c r="AH240" s="52"/>
      <c r="AJ240" s="119"/>
    </row>
    <row r="241" spans="1:36" ht="11.25" customHeight="1">
      <c r="A241" s="106"/>
      <c r="B241" s="420"/>
      <c r="C241" s="420"/>
      <c r="D241" s="420"/>
      <c r="E241" s="420"/>
      <c r="F241" s="420"/>
      <c r="G241" s="420"/>
      <c r="H241" s="554"/>
      <c r="I241" s="40"/>
      <c r="J241" s="40"/>
      <c r="K241" s="40"/>
      <c r="L241" s="40"/>
      <c r="M241" s="40"/>
      <c r="N241" s="40"/>
      <c r="O241" s="40"/>
      <c r="P241" s="40"/>
      <c r="Q241" s="40"/>
      <c r="R241" s="40"/>
      <c r="S241" s="40"/>
      <c r="T241" s="40"/>
      <c r="U241" s="40"/>
      <c r="V241" s="40"/>
      <c r="W241" s="116"/>
      <c r="AE241" s="57"/>
      <c r="AH241" s="52"/>
      <c r="AJ241" s="119"/>
    </row>
    <row r="242" spans="1:36" ht="11.25" customHeight="1">
      <c r="A242" s="106"/>
      <c r="B242" s="420"/>
      <c r="C242" s="420"/>
      <c r="D242" s="420"/>
      <c r="E242" s="420"/>
      <c r="F242" s="420"/>
      <c r="G242" s="420"/>
      <c r="H242" s="554"/>
      <c r="I242" s="40"/>
      <c r="J242" s="40"/>
      <c r="K242" s="40"/>
      <c r="L242" s="40"/>
      <c r="M242" s="40"/>
      <c r="N242" s="40"/>
      <c r="O242" s="40"/>
      <c r="P242" s="40"/>
      <c r="Q242" s="40"/>
      <c r="R242" s="40"/>
      <c r="S242" s="40"/>
      <c r="T242" s="40"/>
      <c r="U242" s="40"/>
      <c r="V242" s="40"/>
      <c r="W242" s="116"/>
      <c r="AE242" s="57"/>
      <c r="AH242" s="52"/>
      <c r="AJ242" s="119"/>
    </row>
    <row r="243" spans="1:36" ht="11.25" customHeight="1">
      <c r="A243" s="106"/>
      <c r="B243" s="420"/>
      <c r="C243" s="420"/>
      <c r="D243" s="420"/>
      <c r="E243" s="420"/>
      <c r="F243" s="420"/>
      <c r="G243" s="420"/>
      <c r="H243" s="554"/>
      <c r="I243" s="40"/>
      <c r="J243" s="40"/>
      <c r="K243" s="40"/>
      <c r="L243" s="40"/>
      <c r="M243" s="40"/>
      <c r="N243" s="40"/>
      <c r="O243" s="40"/>
      <c r="P243" s="40"/>
      <c r="Q243" s="40"/>
      <c r="R243" s="40"/>
      <c r="S243" s="40"/>
      <c r="T243" s="40"/>
      <c r="U243" s="40"/>
      <c r="V243" s="40"/>
      <c r="W243" s="116"/>
      <c r="AE243" s="57"/>
      <c r="AH243" s="52"/>
      <c r="AJ243" s="119"/>
    </row>
    <row r="244" spans="1:36" ht="11.25" customHeight="1">
      <c r="A244" s="106"/>
      <c r="B244" s="420"/>
      <c r="C244" s="420"/>
      <c r="D244" s="420"/>
      <c r="E244" s="420"/>
      <c r="F244" s="420"/>
      <c r="G244" s="420"/>
      <c r="H244" s="554"/>
      <c r="I244" s="40"/>
      <c r="J244" s="40"/>
      <c r="K244" s="40"/>
      <c r="L244" s="40"/>
      <c r="M244" s="40"/>
      <c r="N244" s="40"/>
      <c r="O244" s="40"/>
      <c r="P244" s="40"/>
      <c r="Q244" s="40"/>
      <c r="R244" s="40"/>
      <c r="S244" s="40"/>
      <c r="T244" s="40"/>
      <c r="U244" s="40"/>
      <c r="V244" s="40"/>
      <c r="W244" s="116"/>
      <c r="AE244" s="57"/>
      <c r="AH244" s="52"/>
      <c r="AJ244" s="119"/>
    </row>
    <row r="245" spans="1:36" ht="11.25" customHeight="1">
      <c r="A245" s="106"/>
      <c r="B245" s="420"/>
      <c r="C245" s="420"/>
      <c r="D245" s="420"/>
      <c r="E245" s="420"/>
      <c r="F245" s="420"/>
      <c r="G245" s="420"/>
      <c r="H245" s="554"/>
      <c r="I245" s="40"/>
      <c r="J245" s="40"/>
      <c r="K245" s="40"/>
      <c r="L245" s="40"/>
      <c r="M245" s="40"/>
      <c r="N245" s="40"/>
      <c r="O245" s="40"/>
      <c r="P245" s="40"/>
      <c r="Q245" s="40"/>
      <c r="R245" s="40"/>
      <c r="S245" s="40"/>
      <c r="T245" s="40"/>
      <c r="U245" s="40"/>
      <c r="V245" s="40"/>
      <c r="W245" s="116"/>
      <c r="AE245" s="57"/>
      <c r="AH245" s="52"/>
      <c r="AJ245" s="119"/>
    </row>
    <row r="246" spans="1:36" ht="11.25" customHeight="1">
      <c r="A246" s="106"/>
      <c r="B246" s="420"/>
      <c r="C246" s="420"/>
      <c r="D246" s="420"/>
      <c r="E246" s="420"/>
      <c r="F246" s="420"/>
      <c r="G246" s="420"/>
      <c r="H246" s="554"/>
      <c r="I246" s="40"/>
      <c r="J246" s="40"/>
      <c r="K246" s="40"/>
      <c r="L246" s="40"/>
      <c r="M246" s="40"/>
      <c r="N246" s="40"/>
      <c r="O246" s="40"/>
      <c r="P246" s="40"/>
      <c r="Q246" s="40"/>
      <c r="R246" s="40"/>
      <c r="S246" s="40"/>
      <c r="T246" s="40"/>
      <c r="U246" s="40"/>
      <c r="V246" s="40"/>
      <c r="W246" s="116"/>
      <c r="Z246" s="52"/>
      <c r="AA246" s="52"/>
      <c r="AE246" s="57"/>
      <c r="AH246" s="52"/>
      <c r="AJ246" s="119"/>
    </row>
    <row r="247" spans="1:36" ht="11.25" customHeight="1">
      <c r="A247" s="106"/>
      <c r="B247" s="420"/>
      <c r="C247" s="420"/>
      <c r="D247" s="420"/>
      <c r="E247" s="420"/>
      <c r="F247" s="420"/>
      <c r="G247" s="420"/>
      <c r="H247" s="554"/>
      <c r="I247" s="40"/>
      <c r="J247" s="40"/>
      <c r="K247" s="40"/>
      <c r="L247" s="40"/>
      <c r="M247" s="40"/>
      <c r="N247" s="40"/>
      <c r="O247" s="40"/>
      <c r="P247" s="40"/>
      <c r="Q247" s="40"/>
      <c r="R247" s="40"/>
      <c r="S247" s="40"/>
      <c r="T247" s="40"/>
      <c r="U247" s="40"/>
      <c r="V247" s="40"/>
      <c r="W247" s="116"/>
      <c r="Z247" s="52"/>
      <c r="AA247" s="52"/>
      <c r="AE247" s="57"/>
      <c r="AH247" s="52"/>
      <c r="AJ247" s="119"/>
    </row>
    <row r="248" spans="1:36" ht="11.25" customHeight="1">
      <c r="A248" s="106"/>
      <c r="B248" s="420"/>
      <c r="C248" s="420"/>
      <c r="D248" s="420"/>
      <c r="E248" s="420"/>
      <c r="F248" s="420"/>
      <c r="G248" s="420"/>
      <c r="H248" s="554"/>
      <c r="I248" s="40"/>
      <c r="J248" s="40"/>
      <c r="K248" s="40"/>
      <c r="L248" s="40"/>
      <c r="M248" s="40"/>
      <c r="N248" s="40"/>
      <c r="O248" s="40"/>
      <c r="P248" s="40"/>
      <c r="Q248" s="40"/>
      <c r="R248" s="40"/>
      <c r="S248" s="40"/>
      <c r="T248" s="40"/>
      <c r="U248" s="40"/>
      <c r="V248" s="40"/>
      <c r="W248" s="116"/>
      <c r="Z248" s="52"/>
      <c r="AA248" s="52"/>
      <c r="AE248" s="57"/>
      <c r="AH248" s="52"/>
      <c r="AJ248" s="119"/>
    </row>
    <row r="249" spans="1:36" ht="11.25" customHeight="1">
      <c r="A249" s="106"/>
      <c r="B249" s="420"/>
      <c r="C249" s="420"/>
      <c r="D249" s="420"/>
      <c r="E249" s="420"/>
      <c r="F249" s="420"/>
      <c r="G249" s="420"/>
      <c r="H249" s="554"/>
      <c r="I249" s="40"/>
      <c r="J249" s="40"/>
      <c r="K249" s="40"/>
      <c r="L249" s="40"/>
      <c r="M249" s="40"/>
      <c r="N249" s="40"/>
      <c r="O249" s="40"/>
      <c r="P249" s="40"/>
      <c r="Q249" s="40"/>
      <c r="R249" s="40"/>
      <c r="S249" s="40"/>
      <c r="T249" s="40"/>
      <c r="U249" s="40"/>
      <c r="V249" s="40"/>
      <c r="W249" s="116"/>
      <c r="Z249" s="52"/>
      <c r="AA249" s="52"/>
      <c r="AE249" s="57"/>
      <c r="AH249" s="52"/>
      <c r="AJ249" s="119"/>
    </row>
    <row r="250" spans="1:36" ht="11.25" customHeight="1">
      <c r="A250" s="106"/>
      <c r="B250" s="420"/>
      <c r="C250" s="420"/>
      <c r="D250" s="420"/>
      <c r="E250" s="420"/>
      <c r="F250" s="420"/>
      <c r="G250" s="420"/>
      <c r="H250" s="554"/>
      <c r="I250" s="40"/>
      <c r="J250" s="40"/>
      <c r="K250" s="40"/>
      <c r="L250" s="40"/>
      <c r="M250" s="40"/>
      <c r="N250" s="40"/>
      <c r="O250" s="40"/>
      <c r="P250" s="40"/>
      <c r="Q250" s="40"/>
      <c r="R250" s="40"/>
      <c r="S250" s="40"/>
      <c r="T250" s="40"/>
      <c r="U250" s="40"/>
      <c r="V250" s="40"/>
      <c r="W250" s="116"/>
      <c r="Z250" s="52"/>
      <c r="AA250" s="52"/>
      <c r="AE250" s="57"/>
      <c r="AH250" s="52"/>
      <c r="AJ250" s="119"/>
    </row>
    <row r="251" spans="1:36" ht="11.25" customHeight="1">
      <c r="A251" s="106"/>
      <c r="B251" s="420"/>
      <c r="C251" s="420"/>
      <c r="D251" s="420"/>
      <c r="E251" s="420"/>
      <c r="F251" s="420"/>
      <c r="G251" s="420"/>
      <c r="H251" s="554"/>
      <c r="I251" s="40"/>
      <c r="J251" s="40"/>
      <c r="K251" s="40"/>
      <c r="L251" s="40"/>
      <c r="M251" s="40"/>
      <c r="N251" s="40"/>
      <c r="O251" s="40"/>
      <c r="P251" s="40"/>
      <c r="Q251" s="40"/>
      <c r="R251" s="40"/>
      <c r="S251" s="40"/>
      <c r="T251" s="40"/>
      <c r="U251" s="40"/>
      <c r="V251" s="40"/>
      <c r="W251" s="116"/>
      <c r="Z251" s="52"/>
      <c r="AA251" s="52"/>
      <c r="AE251" s="57"/>
      <c r="AH251" s="52"/>
      <c r="AJ251" s="119"/>
    </row>
    <row r="252" spans="1:36" ht="11.25" customHeight="1">
      <c r="A252" s="106"/>
      <c r="B252" s="420"/>
      <c r="C252" s="420"/>
      <c r="D252" s="420"/>
      <c r="E252" s="420"/>
      <c r="F252" s="420"/>
      <c r="G252" s="420"/>
      <c r="H252" s="554"/>
      <c r="I252" s="40"/>
      <c r="J252" s="40"/>
      <c r="K252" s="40"/>
      <c r="L252" s="40"/>
      <c r="M252" s="40"/>
      <c r="N252" s="40"/>
      <c r="O252" s="40"/>
      <c r="P252" s="40"/>
      <c r="Q252" s="40"/>
      <c r="R252" s="40"/>
      <c r="S252" s="40"/>
      <c r="T252" s="40"/>
      <c r="U252" s="40"/>
      <c r="V252" s="40"/>
      <c r="W252" s="116"/>
      <c r="AE252" s="57"/>
      <c r="AH252" s="52"/>
      <c r="AJ252" s="119"/>
    </row>
    <row r="253" spans="1:36" ht="11.25" customHeight="1">
      <c r="A253" s="106"/>
      <c r="B253" s="420"/>
      <c r="C253" s="420"/>
      <c r="D253" s="420"/>
      <c r="E253" s="420"/>
      <c r="F253" s="420"/>
      <c r="G253" s="420"/>
      <c r="H253" s="554"/>
      <c r="I253" s="40"/>
      <c r="J253" s="40"/>
      <c r="K253" s="40"/>
      <c r="L253" s="40"/>
      <c r="M253" s="40"/>
      <c r="N253" s="40"/>
      <c r="O253" s="40"/>
      <c r="P253" s="40"/>
      <c r="Q253" s="40"/>
      <c r="R253" s="40"/>
      <c r="S253" s="40"/>
      <c r="T253" s="40"/>
      <c r="U253" s="40"/>
      <c r="V253" s="40"/>
      <c r="W253" s="116"/>
      <c r="AE253" s="57"/>
      <c r="AH253" s="52"/>
      <c r="AJ253" s="119"/>
    </row>
    <row r="254" spans="1:36" ht="11.25" customHeight="1">
      <c r="A254" s="106"/>
      <c r="B254" s="420"/>
      <c r="C254" s="420"/>
      <c r="D254" s="420"/>
      <c r="E254" s="420"/>
      <c r="F254" s="420"/>
      <c r="G254" s="420"/>
      <c r="H254" s="554"/>
      <c r="I254" s="40"/>
      <c r="J254" s="40"/>
      <c r="K254" s="40"/>
      <c r="L254" s="40"/>
      <c r="M254" s="40"/>
      <c r="N254" s="40"/>
      <c r="O254" s="40"/>
      <c r="P254" s="40"/>
      <c r="Q254" s="40"/>
      <c r="R254" s="40"/>
      <c r="S254" s="40"/>
      <c r="T254" s="40"/>
      <c r="U254" s="40"/>
      <c r="V254" s="40"/>
      <c r="W254" s="116"/>
      <c r="AE254" s="57"/>
      <c r="AH254" s="52"/>
      <c r="AJ254" s="119"/>
    </row>
    <row r="255" spans="1:36" ht="11.25" customHeight="1">
      <c r="A255" s="106"/>
      <c r="B255" s="420"/>
      <c r="C255" s="420"/>
      <c r="D255" s="420"/>
      <c r="E255" s="420"/>
      <c r="F255" s="420"/>
      <c r="G255" s="420"/>
      <c r="H255" s="554"/>
      <c r="I255" s="40"/>
      <c r="J255" s="40"/>
      <c r="K255" s="40"/>
      <c r="L255" s="40"/>
      <c r="M255" s="40"/>
      <c r="N255" s="40"/>
      <c r="O255" s="40"/>
      <c r="P255" s="40"/>
      <c r="Q255" s="40"/>
      <c r="R255" s="40"/>
      <c r="S255" s="40"/>
      <c r="T255" s="40"/>
      <c r="U255" s="40"/>
      <c r="V255" s="40"/>
      <c r="W255" s="116"/>
      <c r="AE255" s="57"/>
      <c r="AH255" s="52"/>
      <c r="AJ255" s="119"/>
    </row>
    <row r="256" spans="1:36" ht="11.25" customHeight="1">
      <c r="A256" s="106"/>
      <c r="B256" s="420"/>
      <c r="C256" s="420"/>
      <c r="D256" s="420"/>
      <c r="E256" s="420"/>
      <c r="F256" s="420"/>
      <c r="G256" s="420"/>
      <c r="H256" s="554"/>
      <c r="I256" s="40"/>
      <c r="J256" s="40"/>
      <c r="K256" s="40"/>
      <c r="L256" s="40"/>
      <c r="M256" s="40"/>
      <c r="N256" s="40"/>
      <c r="O256" s="40"/>
      <c r="P256" s="40"/>
      <c r="Q256" s="40"/>
      <c r="R256" s="40"/>
      <c r="S256" s="40"/>
      <c r="T256" s="40"/>
      <c r="U256" s="40"/>
      <c r="V256" s="40"/>
      <c r="W256" s="116"/>
      <c r="AE256" s="57"/>
      <c r="AH256" s="52"/>
      <c r="AJ256" s="119"/>
    </row>
    <row r="257" spans="1:60" ht="11.25" customHeight="1">
      <c r="A257" s="106"/>
      <c r="B257" s="420"/>
      <c r="C257" s="420"/>
      <c r="D257" s="420"/>
      <c r="E257" s="420"/>
      <c r="F257" s="420"/>
      <c r="G257" s="420"/>
      <c r="H257" s="554"/>
      <c r="I257" s="40"/>
      <c r="J257" s="40"/>
      <c r="K257" s="40"/>
      <c r="L257" s="40"/>
      <c r="M257" s="40"/>
      <c r="N257" s="40"/>
      <c r="O257" s="40"/>
      <c r="P257" s="40"/>
      <c r="Q257" s="40"/>
      <c r="R257" s="40"/>
      <c r="S257" s="40"/>
      <c r="T257" s="40"/>
      <c r="U257" s="40"/>
      <c r="V257" s="40"/>
      <c r="W257" s="116"/>
      <c r="AE257" s="57"/>
      <c r="AH257" s="52"/>
      <c r="AJ257" s="119"/>
    </row>
    <row r="258" spans="1:60" ht="11.25" customHeight="1">
      <c r="A258" s="106"/>
      <c r="B258" s="420"/>
      <c r="C258" s="420"/>
      <c r="D258" s="420"/>
      <c r="E258" s="420"/>
      <c r="F258" s="420"/>
      <c r="G258" s="420"/>
      <c r="H258" s="554"/>
      <c r="I258" s="40"/>
      <c r="J258" s="40"/>
      <c r="K258" s="40"/>
      <c r="L258" s="40"/>
      <c r="M258" s="40"/>
      <c r="N258" s="40"/>
      <c r="O258" s="40"/>
      <c r="P258" s="40"/>
      <c r="Q258" s="40"/>
      <c r="R258" s="40"/>
      <c r="S258" s="40"/>
      <c r="T258" s="40"/>
      <c r="U258" s="40"/>
      <c r="V258" s="40"/>
      <c r="W258" s="116"/>
      <c r="AE258" s="57"/>
      <c r="AH258" s="52"/>
      <c r="AJ258" s="119"/>
    </row>
    <row r="259" spans="1:60" ht="11.25" customHeight="1">
      <c r="A259" s="106"/>
      <c r="B259" s="420"/>
      <c r="C259" s="420"/>
      <c r="D259" s="420"/>
      <c r="E259" s="420"/>
      <c r="F259" s="420"/>
      <c r="G259" s="420"/>
      <c r="H259" s="554"/>
      <c r="I259" s="40"/>
      <c r="J259" s="40"/>
      <c r="K259" s="40"/>
      <c r="L259" s="40"/>
      <c r="M259" s="40"/>
      <c r="N259" s="40"/>
      <c r="O259" s="40"/>
      <c r="P259" s="40"/>
      <c r="Q259" s="40"/>
      <c r="R259" s="40"/>
      <c r="S259" s="40"/>
      <c r="T259" s="40"/>
      <c r="U259" s="40"/>
      <c r="V259" s="40"/>
      <c r="W259" s="116"/>
      <c r="AE259" s="57"/>
      <c r="AH259" s="52"/>
      <c r="AJ259" s="119"/>
    </row>
    <row r="260" spans="1:60" ht="11.25" customHeight="1">
      <c r="A260" s="106"/>
      <c r="B260" s="420"/>
      <c r="C260" s="420"/>
      <c r="D260" s="420"/>
      <c r="E260" s="420"/>
      <c r="F260" s="420"/>
      <c r="G260" s="420"/>
      <c r="H260" s="554"/>
      <c r="I260" s="40"/>
      <c r="J260" s="40"/>
      <c r="K260" s="40"/>
      <c r="L260" s="40"/>
      <c r="M260" s="40"/>
      <c r="N260" s="40"/>
      <c r="O260" s="40"/>
      <c r="P260" s="40"/>
      <c r="Q260" s="40"/>
      <c r="R260" s="40"/>
      <c r="S260" s="40"/>
      <c r="T260" s="40"/>
      <c r="U260" s="40"/>
      <c r="V260" s="40"/>
      <c r="W260" s="116"/>
      <c r="AE260" s="57"/>
      <c r="AH260" s="52"/>
      <c r="AJ260" s="119"/>
    </row>
    <row r="261" spans="1:60" ht="11.25" customHeight="1">
      <c r="A261" s="106"/>
      <c r="B261" s="420"/>
      <c r="C261" s="420"/>
      <c r="D261" s="420"/>
      <c r="E261" s="420"/>
      <c r="F261" s="420"/>
      <c r="G261" s="420"/>
      <c r="H261" s="554"/>
      <c r="I261" s="40"/>
      <c r="J261" s="40"/>
      <c r="K261" s="40"/>
      <c r="L261" s="40"/>
      <c r="M261" s="40"/>
      <c r="N261" s="40"/>
      <c r="O261" s="40"/>
      <c r="P261" s="40"/>
      <c r="Q261" s="40"/>
      <c r="R261" s="40"/>
      <c r="S261" s="40"/>
      <c r="T261" s="40"/>
      <c r="U261" s="40"/>
      <c r="V261" s="40"/>
      <c r="W261" s="116"/>
      <c r="AE261" s="57"/>
      <c r="AH261" s="52"/>
      <c r="AJ261" s="119"/>
    </row>
    <row r="262" spans="1:60" ht="11.25" customHeight="1">
      <c r="A262" s="106"/>
      <c r="B262" s="420"/>
      <c r="C262" s="420"/>
      <c r="D262" s="420"/>
      <c r="E262" s="420"/>
      <c r="F262" s="420"/>
      <c r="G262" s="420"/>
      <c r="H262" s="554"/>
      <c r="I262" s="40"/>
      <c r="J262" s="40"/>
      <c r="K262" s="40"/>
      <c r="L262" s="40"/>
      <c r="M262" s="40"/>
      <c r="N262" s="40"/>
      <c r="O262" s="40"/>
      <c r="P262" s="40"/>
      <c r="Q262" s="40"/>
      <c r="R262" s="40"/>
      <c r="S262" s="40"/>
      <c r="T262" s="40"/>
      <c r="U262" s="40"/>
      <c r="V262" s="40"/>
      <c r="W262" s="116"/>
      <c r="AE262" s="57"/>
      <c r="AH262" s="52"/>
      <c r="AJ262" s="119"/>
    </row>
    <row r="263" spans="1:60" ht="11.25" customHeight="1">
      <c r="A263" s="106"/>
      <c r="B263" s="420"/>
      <c r="C263" s="420"/>
      <c r="D263" s="420"/>
      <c r="E263" s="420"/>
      <c r="F263" s="420"/>
      <c r="G263" s="420"/>
      <c r="H263" s="554"/>
      <c r="I263" s="40"/>
      <c r="J263" s="40"/>
      <c r="K263" s="40"/>
      <c r="L263" s="40"/>
      <c r="M263" s="40"/>
      <c r="N263" s="40"/>
      <c r="O263" s="40"/>
      <c r="P263" s="40"/>
      <c r="Q263" s="40"/>
      <c r="R263" s="40"/>
      <c r="S263" s="40"/>
      <c r="T263" s="40"/>
      <c r="U263" s="40"/>
      <c r="V263" s="40"/>
      <c r="W263" s="116"/>
      <c r="AE263" s="57"/>
      <c r="AH263" s="52"/>
      <c r="AJ263" s="119"/>
    </row>
    <row r="264" spans="1:60" ht="11.25" customHeight="1">
      <c r="A264" s="106"/>
      <c r="B264" s="420"/>
      <c r="C264" s="420"/>
      <c r="D264" s="420"/>
      <c r="E264" s="420"/>
      <c r="F264" s="420"/>
      <c r="G264" s="420"/>
      <c r="H264" s="554"/>
      <c r="I264" s="40"/>
      <c r="J264" s="40"/>
      <c r="K264" s="40"/>
      <c r="L264" s="40"/>
      <c r="M264" s="40"/>
      <c r="N264" s="40"/>
      <c r="O264" s="40"/>
      <c r="P264" s="40"/>
      <c r="Q264" s="40"/>
      <c r="R264" s="40"/>
      <c r="S264" s="40"/>
      <c r="T264" s="40"/>
      <c r="U264" s="40"/>
      <c r="V264" s="40"/>
      <c r="W264" s="116"/>
      <c r="AE264" s="57"/>
      <c r="AH264" s="52"/>
      <c r="AJ264" s="119"/>
    </row>
    <row r="265" spans="1:60" ht="11.25" customHeight="1">
      <c r="A265" s="106"/>
      <c r="B265" s="420"/>
      <c r="C265" s="420"/>
      <c r="D265" s="420"/>
      <c r="E265" s="420"/>
      <c r="F265" s="420"/>
      <c r="G265" s="420"/>
      <c r="H265" s="554"/>
      <c r="I265" s="40"/>
      <c r="J265" s="40"/>
      <c r="K265" s="40"/>
      <c r="L265" s="40"/>
      <c r="M265" s="40"/>
      <c r="N265" s="40"/>
      <c r="O265" s="40"/>
      <c r="P265" s="40"/>
      <c r="Q265" s="40"/>
      <c r="R265" s="40"/>
      <c r="S265" s="40"/>
      <c r="T265" s="40"/>
      <c r="U265" s="40"/>
      <c r="V265" s="40"/>
      <c r="W265" s="116"/>
      <c r="AE265" s="57"/>
      <c r="AH265" s="52"/>
      <c r="AJ265" s="119"/>
    </row>
    <row r="266" spans="1:60" ht="11.25" customHeight="1">
      <c r="A266" s="106"/>
      <c r="B266" s="420"/>
      <c r="C266" s="420"/>
      <c r="D266" s="420"/>
      <c r="E266" s="420"/>
      <c r="F266" s="420"/>
      <c r="G266" s="420"/>
      <c r="H266" s="554"/>
      <c r="I266" s="40"/>
      <c r="J266" s="40"/>
      <c r="K266" s="40"/>
      <c r="L266" s="40"/>
      <c r="M266" s="40"/>
      <c r="N266" s="40"/>
      <c r="O266" s="40"/>
      <c r="P266" s="40"/>
      <c r="Q266" s="40"/>
      <c r="R266" s="40"/>
      <c r="S266" s="40"/>
      <c r="T266" s="40"/>
      <c r="U266" s="40"/>
      <c r="V266" s="40"/>
      <c r="W266" s="116"/>
      <c r="AE266" s="57"/>
      <c r="AH266" s="52"/>
      <c r="AJ266" s="119"/>
    </row>
    <row r="267" spans="1:60" ht="11.25" customHeight="1">
      <c r="A267" s="106"/>
      <c r="B267" s="420"/>
      <c r="C267" s="420"/>
      <c r="D267" s="420"/>
      <c r="E267" s="420"/>
      <c r="F267" s="420"/>
      <c r="G267" s="420"/>
      <c r="H267" s="554"/>
      <c r="I267" s="40"/>
      <c r="J267" s="40"/>
      <c r="K267" s="40"/>
      <c r="L267" s="40"/>
      <c r="M267" s="40"/>
      <c r="N267" s="40"/>
      <c r="O267" s="40"/>
      <c r="P267" s="40"/>
      <c r="Q267" s="40"/>
      <c r="R267" s="40"/>
      <c r="S267" s="40"/>
      <c r="T267" s="40"/>
      <c r="U267" s="40"/>
      <c r="V267" s="40"/>
      <c r="W267" s="116"/>
      <c r="AE267" s="57"/>
      <c r="AH267" s="52"/>
      <c r="AJ267" s="119"/>
    </row>
    <row r="268" spans="1:60" ht="11.25" customHeight="1">
      <c r="A268" s="106"/>
      <c r="B268" s="420"/>
      <c r="C268" s="420"/>
      <c r="D268" s="420"/>
      <c r="E268" s="420"/>
      <c r="F268" s="420"/>
      <c r="G268" s="420"/>
      <c r="H268" s="554"/>
      <c r="I268" s="40"/>
      <c r="J268" s="40"/>
      <c r="K268" s="40"/>
      <c r="L268" s="40"/>
      <c r="M268" s="40"/>
      <c r="N268" s="40"/>
      <c r="O268" s="40"/>
      <c r="P268" s="40"/>
      <c r="Q268" s="40"/>
      <c r="R268" s="40"/>
      <c r="S268" s="40"/>
      <c r="T268" s="40"/>
      <c r="U268" s="40"/>
      <c r="V268" s="40"/>
      <c r="W268" s="116"/>
      <c r="AE268" s="57"/>
      <c r="AH268" s="52"/>
      <c r="AJ268" s="119"/>
    </row>
    <row r="269" spans="1:60" ht="11.25" customHeight="1">
      <c r="A269" s="106"/>
      <c r="B269" s="420"/>
      <c r="C269" s="420"/>
      <c r="D269" s="420"/>
      <c r="E269" s="420"/>
      <c r="F269" s="420"/>
      <c r="G269" s="420"/>
      <c r="H269" s="554"/>
      <c r="I269" s="40"/>
      <c r="J269" s="40"/>
      <c r="K269" s="40"/>
      <c r="L269" s="40"/>
      <c r="M269" s="40"/>
      <c r="N269" s="40"/>
      <c r="O269" s="40"/>
      <c r="P269" s="40"/>
      <c r="Q269" s="40"/>
      <c r="R269" s="40"/>
      <c r="S269" s="40"/>
      <c r="T269" s="40"/>
      <c r="U269" s="40"/>
      <c r="V269" s="40"/>
      <c r="W269" s="116"/>
      <c r="AE269" s="57"/>
      <c r="AH269" s="52"/>
      <c r="AJ269" s="119"/>
    </row>
    <row r="270" spans="1:60" ht="11.25" customHeight="1">
      <c r="A270" s="106"/>
      <c r="B270" s="420"/>
      <c r="C270" s="420"/>
      <c r="D270" s="420"/>
      <c r="E270" s="420"/>
      <c r="F270" s="420"/>
      <c r="G270" s="420"/>
      <c r="H270" s="554"/>
      <c r="I270" s="40"/>
      <c r="J270" s="40"/>
      <c r="K270" s="40"/>
      <c r="L270" s="40"/>
      <c r="M270" s="40"/>
      <c r="N270" s="40"/>
      <c r="O270" s="40"/>
      <c r="P270" s="40"/>
      <c r="Q270" s="40"/>
      <c r="R270" s="40"/>
      <c r="S270" s="40"/>
      <c r="T270" s="40"/>
      <c r="U270" s="40"/>
      <c r="V270" s="40"/>
      <c r="W270" s="116"/>
      <c r="AE270" s="57"/>
      <c r="AH270" s="52"/>
      <c r="AJ270" s="119"/>
    </row>
    <row r="271" spans="1:60" ht="11.25" customHeight="1">
      <c r="A271" s="106"/>
      <c r="B271" s="420"/>
      <c r="C271" s="420"/>
      <c r="D271" s="420"/>
      <c r="E271" s="420"/>
      <c r="F271" s="420"/>
      <c r="G271" s="420"/>
      <c r="H271" s="554"/>
      <c r="I271" s="40"/>
      <c r="J271" s="40"/>
      <c r="K271" s="40"/>
      <c r="L271" s="40"/>
      <c r="M271" s="40"/>
      <c r="N271" s="40"/>
      <c r="O271" s="40"/>
      <c r="P271" s="40"/>
      <c r="Q271" s="40"/>
      <c r="R271" s="40"/>
      <c r="S271" s="40"/>
      <c r="T271" s="40"/>
      <c r="U271" s="40"/>
      <c r="V271" s="40"/>
      <c r="W271" s="116"/>
      <c r="AE271" s="57"/>
      <c r="AH271" s="52"/>
      <c r="AJ271" s="119"/>
    </row>
    <row r="272" spans="1:60" s="55" customFormat="1" ht="11.25" customHeight="1">
      <c r="A272" s="106"/>
      <c r="B272" s="420"/>
      <c r="C272" s="420"/>
      <c r="D272" s="420"/>
      <c r="E272" s="420"/>
      <c r="F272" s="420"/>
      <c r="G272" s="420"/>
      <c r="H272" s="554"/>
      <c r="I272" s="40"/>
      <c r="J272" s="40"/>
      <c r="K272" s="40"/>
      <c r="L272" s="40"/>
      <c r="M272" s="40"/>
      <c r="N272" s="40"/>
      <c r="O272" s="40"/>
      <c r="P272" s="40"/>
      <c r="Q272" s="40"/>
      <c r="R272" s="40"/>
      <c r="S272" s="40"/>
      <c r="T272" s="40"/>
      <c r="U272" s="40"/>
      <c r="V272" s="40"/>
      <c r="W272" s="116"/>
      <c r="X272" s="56"/>
      <c r="Y272" s="56"/>
      <c r="Z272" s="56"/>
      <c r="AA272" s="56"/>
      <c r="AB272" s="56"/>
      <c r="AC272" s="56"/>
      <c r="AD272" s="56"/>
      <c r="AE272" s="57"/>
      <c r="AF272" s="56"/>
      <c r="AG272" s="56"/>
      <c r="AH272" s="52"/>
      <c r="AI272" s="52"/>
      <c r="AJ272" s="119"/>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row>
    <row r="273" spans="1:36" ht="11.25" customHeight="1">
      <c r="A273" s="711"/>
      <c r="B273" s="712"/>
      <c r="C273" s="713"/>
      <c r="D273" s="713"/>
      <c r="E273" s="713"/>
      <c r="F273" s="152"/>
      <c r="G273" s="152"/>
      <c r="H273" s="714"/>
      <c r="I273" s="152"/>
      <c r="J273" s="152"/>
      <c r="K273" s="152"/>
      <c r="L273" s="152"/>
      <c r="M273" s="152"/>
      <c r="N273" s="152"/>
      <c r="O273" s="152"/>
      <c r="P273" s="152"/>
      <c r="Q273" s="152"/>
      <c r="R273" s="152"/>
      <c r="S273" s="152"/>
      <c r="T273" s="859"/>
      <c r="U273" s="151"/>
      <c r="V273" s="151"/>
      <c r="W273" s="871"/>
      <c r="X273" s="289"/>
      <c r="Y273" s="289"/>
      <c r="Z273" s="289"/>
      <c r="AA273" s="289"/>
      <c r="AB273" s="289"/>
      <c r="AC273" s="289"/>
      <c r="AD273" s="289"/>
      <c r="AE273" s="710"/>
      <c r="AF273" s="289"/>
      <c r="AG273" s="289"/>
      <c r="AH273" s="363"/>
      <c r="AI273" s="363"/>
      <c r="AJ273" s="119"/>
    </row>
    <row r="274" spans="1:36" ht="11.25" customHeight="1">
      <c r="K274" s="52"/>
      <c r="V274" s="52"/>
      <c r="W274" s="52"/>
      <c r="AJ274" s="136"/>
    </row>
    <row r="275" spans="1:36" ht="11.25" customHeight="1">
      <c r="K275" s="52"/>
      <c r="V275" s="52"/>
      <c r="W275" s="52"/>
    </row>
    <row r="276" spans="1:36" ht="11.25" customHeight="1">
      <c r="K276" s="52"/>
      <c r="V276" s="52"/>
      <c r="W276" s="52"/>
    </row>
    <row r="277" spans="1:36" ht="11.25" customHeight="1">
      <c r="K277" s="52"/>
      <c r="V277" s="52"/>
      <c r="W277" s="52"/>
      <c r="AE277" s="57"/>
      <c r="AH277" s="52"/>
    </row>
    <row r="278" spans="1:36" ht="11.25" customHeight="1">
      <c r="K278" s="52"/>
      <c r="V278" s="52"/>
      <c r="W278" s="52"/>
      <c r="AE278" s="57"/>
      <c r="AH278" s="52"/>
    </row>
    <row r="279" spans="1:36" ht="11.25" customHeight="1">
      <c r="K279" s="52"/>
      <c r="V279" s="52"/>
      <c r="W279" s="52"/>
      <c r="AE279" s="57"/>
      <c r="AH279" s="52"/>
    </row>
    <row r="280" spans="1:36" ht="11.25" customHeight="1">
      <c r="K280" s="52"/>
      <c r="V280" s="52"/>
      <c r="W280" s="52"/>
      <c r="AE280" s="57"/>
      <c r="AH280" s="52"/>
    </row>
    <row r="281" spans="1:36" ht="11.25" customHeight="1">
      <c r="K281" s="52"/>
      <c r="V281" s="52"/>
      <c r="W281" s="52"/>
      <c r="AE281" s="57"/>
      <c r="AH281" s="52"/>
    </row>
    <row r="282" spans="1:36" ht="11.25" customHeight="1">
      <c r="K282" s="52"/>
      <c r="V282" s="52"/>
      <c r="W282" s="52"/>
      <c r="AE282" s="57"/>
      <c r="AH282" s="52"/>
    </row>
    <row r="283" spans="1:36" ht="11.25" customHeight="1">
      <c r="K283" s="52"/>
      <c r="V283" s="52"/>
      <c r="W283" s="52"/>
      <c r="AE283" s="57"/>
      <c r="AH283" s="52"/>
    </row>
    <row r="284" spans="1:36" ht="11.25" customHeight="1">
      <c r="K284" s="52"/>
      <c r="V284" s="52"/>
      <c r="W284" s="52"/>
      <c r="AE284" s="57"/>
      <c r="AH284" s="52"/>
    </row>
    <row r="285" spans="1:36" ht="11.25" customHeight="1">
      <c r="K285" s="52"/>
      <c r="V285" s="52"/>
      <c r="W285" s="52"/>
    </row>
  </sheetData>
  <sheetProtection sheet="1" objects="1" scenarios="1"/>
  <mergeCells count="52">
    <mergeCell ref="B5:T6"/>
    <mergeCell ref="B7:B10"/>
    <mergeCell ref="D7:H7"/>
    <mergeCell ref="M8:M9"/>
    <mergeCell ref="N8:N9"/>
    <mergeCell ref="O8:P9"/>
    <mergeCell ref="O10:P10"/>
    <mergeCell ref="S7:T9"/>
    <mergeCell ref="AA7:AE7"/>
    <mergeCell ref="A34:U34"/>
    <mergeCell ref="A35:U35"/>
    <mergeCell ref="Y7:Z7"/>
    <mergeCell ref="Z8:Z10"/>
    <mergeCell ref="I7:I10"/>
    <mergeCell ref="K7:P7"/>
    <mergeCell ref="Q7:Q10"/>
    <mergeCell ref="D8:D9"/>
    <mergeCell ref="E8:E9"/>
    <mergeCell ref="F8:F9"/>
    <mergeCell ref="G8:G9"/>
    <mergeCell ref="H8:H9"/>
    <mergeCell ref="K8:K9"/>
    <mergeCell ref="L8:L9"/>
    <mergeCell ref="Y8:Y10"/>
    <mergeCell ref="BG35:BK35"/>
    <mergeCell ref="BB35:BF35"/>
    <mergeCell ref="AW35:BA35"/>
    <mergeCell ref="AR35:AV35"/>
    <mergeCell ref="AQ35:AQ37"/>
    <mergeCell ref="A67:U67"/>
    <mergeCell ref="Q61:T61"/>
    <mergeCell ref="L62:O62"/>
    <mergeCell ref="L61:O61"/>
    <mergeCell ref="A68:U68"/>
    <mergeCell ref="Q62:T62"/>
    <mergeCell ref="A102:U102"/>
    <mergeCell ref="A103:U103"/>
    <mergeCell ref="A202:U202"/>
    <mergeCell ref="B206:B207"/>
    <mergeCell ref="A234:U234"/>
    <mergeCell ref="A201:U201"/>
    <mergeCell ref="B107:B108"/>
    <mergeCell ref="B140:B141"/>
    <mergeCell ref="A135:U135"/>
    <mergeCell ref="A136:U136"/>
    <mergeCell ref="A169:U169"/>
    <mergeCell ref="B173:B174"/>
    <mergeCell ref="A235:U235"/>
    <mergeCell ref="B105:H106"/>
    <mergeCell ref="B138:H139"/>
    <mergeCell ref="B171:H172"/>
    <mergeCell ref="B204:H205"/>
  </mergeCells>
  <conditionalFormatting sqref="A1:A167">
    <cfRule type="containsErrors" dxfId="145" priority="6">
      <formula>ISERROR(A1)</formula>
    </cfRule>
  </conditionalFormatting>
  <conditionalFormatting sqref="A11:A31 A109:A129 A142:A162 A175:A195 A208:A228">
    <cfRule type="cellIs" dxfId="144" priority="94" operator="equal">
      <formula>0</formula>
    </cfRule>
  </conditionalFormatting>
  <conditionalFormatting sqref="A35">
    <cfRule type="cellIs" dxfId="143" priority="76" operator="equal">
      <formula>0</formula>
    </cfRule>
  </conditionalFormatting>
  <conditionalFormatting sqref="A68">
    <cfRule type="cellIs" dxfId="142" priority="74" operator="equal">
      <formula>0</formula>
    </cfRule>
  </conditionalFormatting>
  <conditionalFormatting sqref="A103">
    <cfRule type="cellIs" dxfId="141" priority="5" operator="equal">
      <formula>0</formula>
    </cfRule>
  </conditionalFormatting>
  <conditionalFormatting sqref="A136">
    <cfRule type="cellIs" dxfId="140" priority="70" operator="equal">
      <formula>0</formula>
    </cfRule>
  </conditionalFormatting>
  <conditionalFormatting sqref="A169:A235">
    <cfRule type="containsErrors" dxfId="139" priority="19">
      <formula>ISERROR(A169)</formula>
    </cfRule>
  </conditionalFormatting>
  <conditionalFormatting sqref="A202">
    <cfRule type="cellIs" dxfId="138" priority="66" operator="equal">
      <formula>0</formula>
    </cfRule>
  </conditionalFormatting>
  <conditionalFormatting sqref="A235">
    <cfRule type="cellIs" dxfId="137" priority="18" operator="equal">
      <formula>0</formula>
    </cfRule>
  </conditionalFormatting>
  <conditionalFormatting sqref="A286:A1048576">
    <cfRule type="containsErrors" dxfId="136" priority="86">
      <formula>ISERROR(A286)</formula>
    </cfRule>
  </conditionalFormatting>
  <conditionalFormatting sqref="B11:B29 K11:O29 Q11:Q29 P11:P31 B48:C63 B142:B160 D142:H160">
    <cfRule type="expression" dxfId="135" priority="5312">
      <formula>$B11=$Y$4</formula>
    </cfRule>
  </conditionalFormatting>
  <conditionalFormatting sqref="B109:B127 D109:H127 B175:B193 D175:H193 B208:B226 D208:H226">
    <cfRule type="containsErrors" dxfId="134" priority="5299">
      <formula>ISERROR(B109)</formula>
    </cfRule>
    <cfRule type="expression" dxfId="133" priority="5298">
      <formula>$B109=$Y$4</formula>
    </cfRule>
  </conditionalFormatting>
  <conditionalFormatting sqref="D8:H8">
    <cfRule type="containsErrors" dxfId="132" priority="9">
      <formula>ISERROR(D8)</formula>
    </cfRule>
  </conditionalFormatting>
  <conditionalFormatting sqref="D10:H10">
    <cfRule type="containsErrors" dxfId="131" priority="10">
      <formula>ISERROR(D10)</formula>
    </cfRule>
  </conditionalFormatting>
  <conditionalFormatting sqref="D107:H107">
    <cfRule type="containsErrors" dxfId="130" priority="33">
      <formula>ISERROR(D107)</formula>
    </cfRule>
  </conditionalFormatting>
  <conditionalFormatting sqref="D108:H108">
    <cfRule type="containsErrors" dxfId="129" priority="34">
      <formula>ISERROR(D108)</formula>
    </cfRule>
  </conditionalFormatting>
  <conditionalFormatting sqref="D129:H129 D162:H162 D195:H195 D228:H228">
    <cfRule type="containsErrors" dxfId="128" priority="13">
      <formula>ISERROR(D129)</formula>
    </cfRule>
  </conditionalFormatting>
  <conditionalFormatting sqref="D140:H140">
    <cfRule type="containsErrors" dxfId="127" priority="31">
      <formula>ISERROR(D140)</formula>
    </cfRule>
  </conditionalFormatting>
  <conditionalFormatting sqref="D141:H141">
    <cfRule type="containsErrors" dxfId="126" priority="32">
      <formula>ISERROR(D141)</formula>
    </cfRule>
  </conditionalFormatting>
  <conditionalFormatting sqref="D173:H173">
    <cfRule type="containsErrors" dxfId="125" priority="29">
      <formula>ISERROR(D173)</formula>
    </cfRule>
  </conditionalFormatting>
  <conditionalFormatting sqref="D174:H174">
    <cfRule type="containsErrors" dxfId="124" priority="30">
      <formula>ISERROR(D174)</formula>
    </cfRule>
  </conditionalFormatting>
  <conditionalFormatting sqref="D194:H194">
    <cfRule type="containsErrors" dxfId="123" priority="12">
      <formula>ISERROR(D194)</formula>
    </cfRule>
  </conditionalFormatting>
  <conditionalFormatting sqref="D206:H206">
    <cfRule type="containsErrors" dxfId="122" priority="16">
      <formula>ISERROR(D206)</formula>
    </cfRule>
  </conditionalFormatting>
  <conditionalFormatting sqref="D207:H207">
    <cfRule type="containsErrors" dxfId="121" priority="17">
      <formula>ISERROR(D207)</formula>
    </cfRule>
  </conditionalFormatting>
  <conditionalFormatting sqref="D11:I29">
    <cfRule type="expression" dxfId="120" priority="5311">
      <formula>$B11=$Y$4</formula>
    </cfRule>
  </conditionalFormatting>
  <conditionalFormatting sqref="I11:I29">
    <cfRule type="containsErrors" dxfId="119" priority="5310">
      <formula>ISERROR(I11)</formula>
    </cfRule>
  </conditionalFormatting>
  <conditionalFormatting sqref="I30:I31">
    <cfRule type="containsErrors" dxfId="118" priority="35">
      <formula>ISERROR(I30)</formula>
    </cfRule>
  </conditionalFormatting>
  <conditionalFormatting sqref="K8:O8">
    <cfRule type="containsErrors" dxfId="117" priority="8">
      <formula>ISERROR(K8)</formula>
    </cfRule>
  </conditionalFormatting>
  <conditionalFormatting sqref="K10:O10">
    <cfRule type="containsErrors" dxfId="116" priority="11">
      <formula>ISERROR(K10)</formula>
    </cfRule>
  </conditionalFormatting>
  <conditionalFormatting sqref="K31:O31">
    <cfRule type="containsErrors" dxfId="115" priority="14">
      <formula>ISERROR(K31)</formula>
    </cfRule>
  </conditionalFormatting>
  <conditionalFormatting sqref="P11:P31">
    <cfRule type="containsErrors" dxfId="114" priority="4405">
      <formula>ISERROR(P11)</formula>
    </cfRule>
    <cfRule type="dataBar" priority="4406">
      <dataBar showValue="0">
        <cfvo type="min"/>
        <cfvo type="max"/>
        <color theme="9"/>
      </dataBar>
      <extLst>
        <ext xmlns:x14="http://schemas.microsoft.com/office/spreadsheetml/2009/9/main" uri="{B025F937-C7B1-47D3-B67F-A62EFF666E3E}">
          <x14:id>{6E339818-BE0E-4C9B-8126-03E9EC6F1A0C}</x14:id>
        </ext>
      </extLst>
    </cfRule>
  </conditionalFormatting>
  <conditionalFormatting sqref="P30:P31">
    <cfRule type="containsErrors" dxfId="113" priority="51">
      <formula>ISERROR(P30)</formula>
    </cfRule>
  </conditionalFormatting>
  <conditionalFormatting sqref="Q11:Q29 B11:B29 D11:I29 K11:O29 AG11:AG29 B48:C63 B142:B160 D142:H160">
    <cfRule type="containsErrors" dxfId="112" priority="116">
      <formula>ISERROR(B11)</formula>
    </cfRule>
  </conditionalFormatting>
  <conditionalFormatting sqref="Q11:Q29">
    <cfRule type="containsErrors" dxfId="111" priority="114">
      <formula>ISERROR(Q11)</formula>
    </cfRule>
  </conditionalFormatting>
  <conditionalFormatting sqref="S11:T29">
    <cfRule type="containsErrors" dxfId="110" priority="3">
      <formula>ISERROR(S11)</formula>
    </cfRule>
    <cfRule type="expression" dxfId="109" priority="4">
      <formula>$B11=$Y$4</formula>
    </cfRule>
  </conditionalFormatting>
  <conditionalFormatting sqref="S31:T31">
    <cfRule type="containsErrors" dxfId="108" priority="2">
      <formula>ISERROR(S31)</formula>
    </cfRule>
  </conditionalFormatting>
  <conditionalFormatting sqref="T30">
    <cfRule type="containsErrors" dxfId="107" priority="1">
      <formula>ISERROR(T30)</formula>
    </cfRule>
  </conditionalFormatting>
  <conditionalFormatting sqref="X2:AC3">
    <cfRule type="containsErrors" dxfId="106" priority="43">
      <formula>ISERROR(X2)</formula>
    </cfRule>
  </conditionalFormatting>
  <conditionalFormatting sqref="AA10:AE10">
    <cfRule type="cellIs" dxfId="105" priority="42" stopIfTrue="1" operator="equal">
      <formula>0</formula>
    </cfRule>
  </conditionalFormatting>
  <conditionalFormatting sqref="AG11:AG29">
    <cfRule type="expression" dxfId="104" priority="84">
      <formula>$B11=$W$4</formula>
    </cfRule>
  </conditionalFormatting>
  <conditionalFormatting sqref="AL37:AP37">
    <cfRule type="cellIs" dxfId="103" priority="27" stopIfTrue="1" operator="equal">
      <formula>0</formula>
    </cfRule>
  </conditionalFormatting>
  <conditionalFormatting sqref="AR37:BK37">
    <cfRule type="cellIs" dxfId="102" priority="15" stopIfTrue="1" operator="equal">
      <formula>0</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4" manualBreakCount="4">
    <brk id="35" max="20" man="1"/>
    <brk id="103" max="20" man="1"/>
    <brk id="136" max="20" man="1"/>
    <brk id="169" max="20" man="1"/>
  </rowBreaks>
  <ignoredErrors>
    <ignoredError sqref="Z73 Y75:Z92 D108:H108 D141:H141 D174:H174 D207:H207 D10" evalError="1"/>
    <ignoredError sqref="AE128:AI128 AE161:AI161 AE194:AI19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68961" r:id="rId4" name="Check Box 1">
              <controlPr defaultSize="0" autoFill="0" autoLine="0" autoPict="0" macro="[0]!CheckBox1_Click" altText="">
                <anchor>
                  <from>
                    <xdr:col>22</xdr:col>
                    <xdr:colOff>85725</xdr:colOff>
                    <xdr:row>36</xdr:row>
                    <xdr:rowOff>19050</xdr:rowOff>
                  </from>
                  <to>
                    <xdr:col>35</xdr:col>
                    <xdr:colOff>57150</xdr:colOff>
                    <xdr:row>38</xdr:row>
                    <xdr:rowOff>9525</xdr:rowOff>
                  </to>
                </anchor>
              </controlPr>
            </control>
          </mc:Choice>
        </mc:AlternateContent>
        <mc:AlternateContent xmlns:mc="http://schemas.openxmlformats.org/markup-compatibility/2006">
          <mc:Choice Requires="x14">
            <control shapeId="168962" r:id="rId5" name="Check Box 2">
              <controlPr defaultSize="0" autoFill="0" autoLine="0" autoPict="0" macro="[0]!CheckBox1_Click" altText="">
                <anchor>
                  <from>
                    <xdr:col>22</xdr:col>
                    <xdr:colOff>85725</xdr:colOff>
                    <xdr:row>37</xdr:row>
                    <xdr:rowOff>142875</xdr:rowOff>
                  </from>
                  <to>
                    <xdr:col>35</xdr:col>
                    <xdr:colOff>57150</xdr:colOff>
                    <xdr:row>39</xdr:row>
                    <xdr:rowOff>9525</xdr:rowOff>
                  </to>
                </anchor>
              </controlPr>
            </control>
          </mc:Choice>
        </mc:AlternateContent>
        <mc:AlternateContent xmlns:mc="http://schemas.openxmlformats.org/markup-compatibility/2006">
          <mc:Choice Requires="x14">
            <control shapeId="168963" r:id="rId6" name="Check Box 3">
              <controlPr defaultSize="0" autoFill="0" autoLine="0" autoPict="0" macro="[0]!CheckBox1_Click" altText="">
                <anchor>
                  <from>
                    <xdr:col>22</xdr:col>
                    <xdr:colOff>85725</xdr:colOff>
                    <xdr:row>38</xdr:row>
                    <xdr:rowOff>142875</xdr:rowOff>
                  </from>
                  <to>
                    <xdr:col>35</xdr:col>
                    <xdr:colOff>57150</xdr:colOff>
                    <xdr:row>40</xdr:row>
                    <xdr:rowOff>9525</xdr:rowOff>
                  </to>
                </anchor>
              </controlPr>
            </control>
          </mc:Choice>
        </mc:AlternateContent>
        <mc:AlternateContent xmlns:mc="http://schemas.openxmlformats.org/markup-compatibility/2006">
          <mc:Choice Requires="x14">
            <control shapeId="168964" r:id="rId7" name="Check Box 4">
              <controlPr defaultSize="0" autoFill="0" autoLine="0" autoPict="0" macro="[0]!CheckBox1_Click" altText="">
                <anchor>
                  <from>
                    <xdr:col>22</xdr:col>
                    <xdr:colOff>85725</xdr:colOff>
                    <xdr:row>39</xdr:row>
                    <xdr:rowOff>142875</xdr:rowOff>
                  </from>
                  <to>
                    <xdr:col>35</xdr:col>
                    <xdr:colOff>57150</xdr:colOff>
                    <xdr:row>41</xdr:row>
                    <xdr:rowOff>9525</xdr:rowOff>
                  </to>
                </anchor>
              </controlPr>
            </control>
          </mc:Choice>
        </mc:AlternateContent>
        <mc:AlternateContent xmlns:mc="http://schemas.openxmlformats.org/markup-compatibility/2006">
          <mc:Choice Requires="x14">
            <control shapeId="168965" r:id="rId8" name="Check Box 5">
              <controlPr defaultSize="0" autoFill="0" autoLine="0" autoPict="0" macro="[0]!CheckBox1_Click" altText="">
                <anchor>
                  <from>
                    <xdr:col>22</xdr:col>
                    <xdr:colOff>85725</xdr:colOff>
                    <xdr:row>40</xdr:row>
                    <xdr:rowOff>142875</xdr:rowOff>
                  </from>
                  <to>
                    <xdr:col>35</xdr:col>
                    <xdr:colOff>57150</xdr:colOff>
                    <xdr:row>42</xdr:row>
                    <xdr:rowOff>9525</xdr:rowOff>
                  </to>
                </anchor>
              </controlPr>
            </control>
          </mc:Choice>
        </mc:AlternateContent>
        <mc:AlternateContent xmlns:mc="http://schemas.openxmlformats.org/markup-compatibility/2006">
          <mc:Choice Requires="x14">
            <control shapeId="168966" r:id="rId9" name="Check Box 6">
              <controlPr defaultSize="0" autoFill="0" autoLine="0" autoPict="0" macro="[0]!CheckBox1_Click" altText="">
                <anchor>
                  <from>
                    <xdr:col>22</xdr:col>
                    <xdr:colOff>85725</xdr:colOff>
                    <xdr:row>41</xdr:row>
                    <xdr:rowOff>142875</xdr:rowOff>
                  </from>
                  <to>
                    <xdr:col>35</xdr:col>
                    <xdr:colOff>57150</xdr:colOff>
                    <xdr:row>43</xdr:row>
                    <xdr:rowOff>9525</xdr:rowOff>
                  </to>
                </anchor>
              </controlPr>
            </control>
          </mc:Choice>
        </mc:AlternateContent>
        <mc:AlternateContent xmlns:mc="http://schemas.openxmlformats.org/markup-compatibility/2006">
          <mc:Choice Requires="x14">
            <control shapeId="168967" r:id="rId10" name="Check Box 7">
              <controlPr defaultSize="0" autoFill="0" autoLine="0" autoPict="0" macro="[0]!CheckBox1_Click" altText="">
                <anchor>
                  <from>
                    <xdr:col>22</xdr:col>
                    <xdr:colOff>85725</xdr:colOff>
                    <xdr:row>42</xdr:row>
                    <xdr:rowOff>142875</xdr:rowOff>
                  </from>
                  <to>
                    <xdr:col>35</xdr:col>
                    <xdr:colOff>57150</xdr:colOff>
                    <xdr:row>44</xdr:row>
                    <xdr:rowOff>9525</xdr:rowOff>
                  </to>
                </anchor>
              </controlPr>
            </control>
          </mc:Choice>
        </mc:AlternateContent>
        <mc:AlternateContent xmlns:mc="http://schemas.openxmlformats.org/markup-compatibility/2006">
          <mc:Choice Requires="x14">
            <control shapeId="168968" r:id="rId11" name="Check Box 8">
              <controlPr defaultSize="0" autoFill="0" autoLine="0" autoPict="0" macro="[0]!CheckBox1_Click" altText="">
                <anchor>
                  <from>
                    <xdr:col>22</xdr:col>
                    <xdr:colOff>85725</xdr:colOff>
                    <xdr:row>43</xdr:row>
                    <xdr:rowOff>142875</xdr:rowOff>
                  </from>
                  <to>
                    <xdr:col>35</xdr:col>
                    <xdr:colOff>57150</xdr:colOff>
                    <xdr:row>45</xdr:row>
                    <xdr:rowOff>9525</xdr:rowOff>
                  </to>
                </anchor>
              </controlPr>
            </control>
          </mc:Choice>
        </mc:AlternateContent>
        <mc:AlternateContent xmlns:mc="http://schemas.openxmlformats.org/markup-compatibility/2006">
          <mc:Choice Requires="x14">
            <control shapeId="168969" r:id="rId12" name="Check Box 9">
              <controlPr defaultSize="0" autoFill="0" autoLine="0" autoPict="0" macro="[0]!CheckBox1_Click" altText="">
                <anchor>
                  <from>
                    <xdr:col>22</xdr:col>
                    <xdr:colOff>85725</xdr:colOff>
                    <xdr:row>44</xdr:row>
                    <xdr:rowOff>142875</xdr:rowOff>
                  </from>
                  <to>
                    <xdr:col>35</xdr:col>
                    <xdr:colOff>57150</xdr:colOff>
                    <xdr:row>46</xdr:row>
                    <xdr:rowOff>9525</xdr:rowOff>
                  </to>
                </anchor>
              </controlPr>
            </control>
          </mc:Choice>
        </mc:AlternateContent>
        <mc:AlternateContent xmlns:mc="http://schemas.openxmlformats.org/markup-compatibility/2006">
          <mc:Choice Requires="x14">
            <control shapeId="168970" r:id="rId13" name="Check Box 10">
              <controlPr defaultSize="0" autoFill="0" autoLine="0" autoPict="0" macro="[0]!CheckBox1_Click" altText="">
                <anchor>
                  <from>
                    <xdr:col>22</xdr:col>
                    <xdr:colOff>85725</xdr:colOff>
                    <xdr:row>45</xdr:row>
                    <xdr:rowOff>142875</xdr:rowOff>
                  </from>
                  <to>
                    <xdr:col>35</xdr:col>
                    <xdr:colOff>57150</xdr:colOff>
                    <xdr:row>47</xdr:row>
                    <xdr:rowOff>9525</xdr:rowOff>
                  </to>
                </anchor>
              </controlPr>
            </control>
          </mc:Choice>
        </mc:AlternateContent>
        <mc:AlternateContent xmlns:mc="http://schemas.openxmlformats.org/markup-compatibility/2006">
          <mc:Choice Requires="x14">
            <control shapeId="168971" r:id="rId14" name="Check Box 11">
              <controlPr defaultSize="0" autoFill="0" autoLine="0" autoPict="0" macro="[0]!CheckBox1_Click" altText="">
                <anchor>
                  <from>
                    <xdr:col>22</xdr:col>
                    <xdr:colOff>85725</xdr:colOff>
                    <xdr:row>46</xdr:row>
                    <xdr:rowOff>142875</xdr:rowOff>
                  </from>
                  <to>
                    <xdr:col>35</xdr:col>
                    <xdr:colOff>57150</xdr:colOff>
                    <xdr:row>48</xdr:row>
                    <xdr:rowOff>9525</xdr:rowOff>
                  </to>
                </anchor>
              </controlPr>
            </control>
          </mc:Choice>
        </mc:AlternateContent>
        <mc:AlternateContent xmlns:mc="http://schemas.openxmlformats.org/markup-compatibility/2006">
          <mc:Choice Requires="x14">
            <control shapeId="168972" r:id="rId15" name="Check Box 12">
              <controlPr defaultSize="0" autoFill="0" autoLine="0" autoPict="0" macro="[0]!CheckBox1_Click" altText="">
                <anchor>
                  <from>
                    <xdr:col>22</xdr:col>
                    <xdr:colOff>85725</xdr:colOff>
                    <xdr:row>47</xdr:row>
                    <xdr:rowOff>142875</xdr:rowOff>
                  </from>
                  <to>
                    <xdr:col>35</xdr:col>
                    <xdr:colOff>57150</xdr:colOff>
                    <xdr:row>49</xdr:row>
                    <xdr:rowOff>9525</xdr:rowOff>
                  </to>
                </anchor>
              </controlPr>
            </control>
          </mc:Choice>
        </mc:AlternateContent>
        <mc:AlternateContent xmlns:mc="http://schemas.openxmlformats.org/markup-compatibility/2006">
          <mc:Choice Requires="x14">
            <control shapeId="168973" r:id="rId16" name="Check Box 13">
              <controlPr defaultSize="0" autoFill="0" autoLine="0" autoPict="0" macro="[0]!CheckBox1_Click" altText="">
                <anchor>
                  <from>
                    <xdr:col>22</xdr:col>
                    <xdr:colOff>85725</xdr:colOff>
                    <xdr:row>48</xdr:row>
                    <xdr:rowOff>142875</xdr:rowOff>
                  </from>
                  <to>
                    <xdr:col>35</xdr:col>
                    <xdr:colOff>57150</xdr:colOff>
                    <xdr:row>50</xdr:row>
                    <xdr:rowOff>9525</xdr:rowOff>
                  </to>
                </anchor>
              </controlPr>
            </control>
          </mc:Choice>
        </mc:AlternateContent>
        <mc:AlternateContent xmlns:mc="http://schemas.openxmlformats.org/markup-compatibility/2006">
          <mc:Choice Requires="x14">
            <control shapeId="168975" r:id="rId17" name="Check Box 15">
              <controlPr defaultSize="0" autoFill="0" autoLine="0" autoPict="0" macro="[0]!CheckBox1_Click" altText="">
                <anchor>
                  <from>
                    <xdr:col>22</xdr:col>
                    <xdr:colOff>85725</xdr:colOff>
                    <xdr:row>49</xdr:row>
                    <xdr:rowOff>152400</xdr:rowOff>
                  </from>
                  <to>
                    <xdr:col>35</xdr:col>
                    <xdr:colOff>57150</xdr:colOff>
                    <xdr:row>51</xdr:row>
                    <xdr:rowOff>19050</xdr:rowOff>
                  </to>
                </anchor>
              </controlPr>
            </control>
          </mc:Choice>
        </mc:AlternateContent>
        <mc:AlternateContent xmlns:mc="http://schemas.openxmlformats.org/markup-compatibility/2006">
          <mc:Choice Requires="x14">
            <control shapeId="168976" r:id="rId18" name="Check Box 16">
              <controlPr defaultSize="0" autoFill="0" autoLine="0" autoPict="0" macro="[0]!CheckBox1_Click" altText="">
                <anchor>
                  <from>
                    <xdr:col>22</xdr:col>
                    <xdr:colOff>85725</xdr:colOff>
                    <xdr:row>50</xdr:row>
                    <xdr:rowOff>152400</xdr:rowOff>
                  </from>
                  <to>
                    <xdr:col>35</xdr:col>
                    <xdr:colOff>57150</xdr:colOff>
                    <xdr:row>52</xdr:row>
                    <xdr:rowOff>19050</xdr:rowOff>
                  </to>
                </anchor>
              </controlPr>
            </control>
          </mc:Choice>
        </mc:AlternateContent>
        <mc:AlternateContent xmlns:mc="http://schemas.openxmlformats.org/markup-compatibility/2006">
          <mc:Choice Requires="x14">
            <control shapeId="168977" r:id="rId19" name="Check Box 17">
              <controlPr defaultSize="0" autoFill="0" autoLine="0" autoPict="0" macro="[0]!CheckBox1_Click" altText="">
                <anchor>
                  <from>
                    <xdr:col>22</xdr:col>
                    <xdr:colOff>85725</xdr:colOff>
                    <xdr:row>51</xdr:row>
                    <xdr:rowOff>161925</xdr:rowOff>
                  </from>
                  <to>
                    <xdr:col>35</xdr:col>
                    <xdr:colOff>57150</xdr:colOff>
                    <xdr:row>53</xdr:row>
                    <xdr:rowOff>28575</xdr:rowOff>
                  </to>
                </anchor>
              </controlPr>
            </control>
          </mc:Choice>
        </mc:AlternateContent>
        <mc:AlternateContent xmlns:mc="http://schemas.openxmlformats.org/markup-compatibility/2006">
          <mc:Choice Requires="x14">
            <control shapeId="168978" r:id="rId20" name="Check Box 18">
              <controlPr defaultSize="0" autoFill="0" autoLine="0" autoPict="0" macro="[0]!CheckBox1_Click" altText="">
                <anchor>
                  <from>
                    <xdr:col>22</xdr:col>
                    <xdr:colOff>85725</xdr:colOff>
                    <xdr:row>52</xdr:row>
                    <xdr:rowOff>161925</xdr:rowOff>
                  </from>
                  <to>
                    <xdr:col>35</xdr:col>
                    <xdr:colOff>57150</xdr:colOff>
                    <xdr:row>54</xdr:row>
                    <xdr:rowOff>28575</xdr:rowOff>
                  </to>
                </anchor>
              </controlPr>
            </control>
          </mc:Choice>
        </mc:AlternateContent>
        <mc:AlternateContent xmlns:mc="http://schemas.openxmlformats.org/markup-compatibility/2006">
          <mc:Choice Requires="x14">
            <control shapeId="168979" r:id="rId21" name="Check Box 19">
              <controlPr defaultSize="0" autoFill="0" autoLine="0" autoPict="0" macro="[0]!CheckBox1_Click" altText="">
                <anchor>
                  <from>
                    <xdr:col>22</xdr:col>
                    <xdr:colOff>85725</xdr:colOff>
                    <xdr:row>53</xdr:row>
                    <xdr:rowOff>161925</xdr:rowOff>
                  </from>
                  <to>
                    <xdr:col>35</xdr:col>
                    <xdr:colOff>57150</xdr:colOff>
                    <xdr:row>55</xdr:row>
                    <xdr:rowOff>28575</xdr:rowOff>
                  </to>
                </anchor>
              </controlPr>
            </control>
          </mc:Choice>
        </mc:AlternateContent>
        <mc:AlternateContent xmlns:mc="http://schemas.openxmlformats.org/markup-compatibility/2006">
          <mc:Choice Requires="x14">
            <control shapeId="168980" r:id="rId22" name="Check Box 20">
              <controlPr defaultSize="0" autoFill="0" autoLine="0" autoPict="0" macro="[0]!CheckBox1_Click" altText="">
                <anchor>
                  <from>
                    <xdr:col>22</xdr:col>
                    <xdr:colOff>85725</xdr:colOff>
                    <xdr:row>54</xdr:row>
                    <xdr:rowOff>161925</xdr:rowOff>
                  </from>
                  <to>
                    <xdr:col>35</xdr:col>
                    <xdr:colOff>57150</xdr:colOff>
                    <xdr:row>56</xdr:row>
                    <xdr:rowOff>28575</xdr:rowOff>
                  </to>
                </anchor>
              </controlPr>
            </control>
          </mc:Choice>
        </mc:AlternateContent>
        <mc:AlternateContent xmlns:mc="http://schemas.openxmlformats.org/markup-compatibility/2006">
          <mc:Choice Requires="x14">
            <control shapeId="168981" r:id="rId23" name="Check Box 21">
              <controlPr defaultSize="0" autoFill="0" autoLine="0" autoPict="0" macro="[0]!CheckBox1_Click" altText="">
                <anchor>
                  <from>
                    <xdr:col>22</xdr:col>
                    <xdr:colOff>85725</xdr:colOff>
                    <xdr:row>55</xdr:row>
                    <xdr:rowOff>161925</xdr:rowOff>
                  </from>
                  <to>
                    <xdr:col>35</xdr:col>
                    <xdr:colOff>57150</xdr:colOff>
                    <xdr:row>57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6E339818-BE0E-4C9B-8126-03E9EC6F1A0C}">
            <x14:dataBar minLength="0" maxLength="100" gradient="0" negativeBarColorSameAsPositive="1">
              <x14:cfvo type="autoMin"/>
              <x14:cfvo type="autoMax"/>
              <x14:axisColor rgb="FF000000"/>
            </x14:dataBar>
          </x14:cfRule>
          <xm:sqref>P11:P31</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6">
    <tabColor rgb="FFFFC000"/>
  </sheetPr>
  <dimension ref="A1:BP306"/>
  <sheetViews>
    <sheetView workbookViewId="0"/>
  </sheetViews>
  <sheetFormatPr defaultColWidth="9.140625" defaultRowHeight="11.25" customHeight="1"/>
  <cols>
    <col min="1" max="1" width="2.140625" style="52" customWidth="1"/>
    <col min="2" max="2" width="17.140625" style="52" customWidth="1"/>
    <col min="3" max="3" width="1.42578125" style="52" customWidth="1"/>
    <col min="4" max="10" width="7.42578125" style="52" customWidth="1"/>
    <col min="11" max="11" width="1.42578125" customWidth="1"/>
    <col min="12" max="18" width="7.42578125" style="52" customWidth="1"/>
    <col min="19" max="19" width="1.42578125" style="52" customWidth="1"/>
    <col min="20" max="20" width="8" style="52" customWidth="1"/>
    <col min="21" max="21" width="2.140625" style="52" customWidth="1"/>
    <col min="22" max="22" width="6.42578125" style="55" customWidth="1"/>
    <col min="23" max="23" width="4.85546875" style="55" customWidth="1"/>
    <col min="24" max="24" width="17.85546875" style="56" hidden="1" customWidth="1"/>
    <col min="25" max="25" width="19.42578125" style="56" hidden="1" customWidth="1"/>
    <col min="26" max="26" width="19.85546875" style="56" hidden="1" customWidth="1"/>
    <col min="27" max="28" width="16.5703125" style="56" hidden="1" customWidth="1"/>
    <col min="29" max="29" width="8.5703125" style="56" hidden="1" customWidth="1"/>
    <col min="30" max="30" width="17" style="56" hidden="1" customWidth="1"/>
    <col min="31" max="31" width="8.5703125" style="56" hidden="1" customWidth="1"/>
    <col min="32" max="32" width="3.85546875" style="56" hidden="1" customWidth="1"/>
    <col min="33" max="33" width="17" style="56" hidden="1" customWidth="1"/>
    <col min="34" max="34" width="6.5703125" style="56" hidden="1" customWidth="1"/>
    <col min="35" max="35" width="6.5703125" style="52" hidden="1" customWidth="1"/>
    <col min="36" max="36" width="31.5703125" style="52" customWidth="1"/>
    <col min="37" max="37" width="17" style="52" hidden="1" customWidth="1"/>
    <col min="38" max="42" width="13.5703125" style="52" hidden="1" customWidth="1"/>
    <col min="43" max="48" width="9.140625" style="52" hidden="1" customWidth="1"/>
    <col min="49" max="68" width="9.140625" style="52" customWidth="1"/>
    <col min="69" max="16384" width="9.140625" style="52"/>
  </cols>
  <sheetData>
    <row r="1" spans="1:49" ht="18.75" customHeight="1" thickBot="1">
      <c r="A1" s="81"/>
      <c r="B1" s="82"/>
      <c r="C1" s="82"/>
      <c r="D1" s="82"/>
      <c r="E1" s="82"/>
      <c r="F1" s="82"/>
      <c r="G1" s="82"/>
      <c r="H1" s="82"/>
      <c r="I1" s="82"/>
      <c r="J1" s="82"/>
      <c r="K1" s="83"/>
      <c r="L1" s="82"/>
      <c r="M1" s="82"/>
      <c r="N1" s="82"/>
      <c r="O1" s="82"/>
      <c r="P1" s="82"/>
      <c r="Q1" s="82"/>
      <c r="R1" s="82"/>
      <c r="S1" s="82"/>
      <c r="T1" s="82"/>
      <c r="U1" s="84"/>
      <c r="V1" s="207"/>
      <c r="W1" s="117"/>
      <c r="X1" s="135"/>
      <c r="Y1" s="534" t="str">
        <f>IF(ReportData!$C$3="Annual"," at 31st March"," at last day in quarter")</f>
        <v xml:space="preserve"> at 31st March</v>
      </c>
      <c r="Z1" s="135"/>
      <c r="AA1" s="135"/>
      <c r="AB1" s="135"/>
      <c r="AC1" s="135"/>
      <c r="AD1" s="135"/>
      <c r="AE1" s="135"/>
      <c r="AF1" s="135"/>
      <c r="AG1" s="135"/>
      <c r="AH1" s="135"/>
      <c r="AI1" s="136"/>
      <c r="AJ1" s="260"/>
    </row>
    <row r="2" spans="1:49" ht="18.75" customHeight="1">
      <c r="A2" s="87"/>
      <c r="B2" s="95" t="s">
        <v>665</v>
      </c>
      <c r="C2" s="5"/>
      <c r="D2" s="5"/>
      <c r="E2" s="5"/>
      <c r="F2" s="5"/>
      <c r="G2" s="5"/>
      <c r="H2" s="5"/>
      <c r="I2" s="5"/>
      <c r="J2" s="5"/>
      <c r="K2" s="1"/>
      <c r="L2" s="5"/>
      <c r="M2" s="5"/>
      <c r="N2" s="5"/>
      <c r="O2" s="5"/>
      <c r="P2" s="5"/>
      <c r="Q2" s="5"/>
      <c r="R2" s="5"/>
      <c r="S2" s="5"/>
      <c r="T2" s="5"/>
      <c r="U2" s="86"/>
      <c r="V2" s="122"/>
      <c r="W2" s="114"/>
      <c r="X2" s="483">
        <f>IF(ReportData!$C$3="Annual",1,4)</f>
        <v>1</v>
      </c>
      <c r="Y2" s="461" t="str">
        <f>IF(ReportData!$C$3="Annual","",ReportData!$D$28)</f>
        <v/>
      </c>
      <c r="Z2" s="462" t="str">
        <f>IF(ReportData!$C$3="Annual","",ReportData!$E$28)</f>
        <v/>
      </c>
      <c r="AA2" s="462" t="str">
        <f>IF(ReportData!$C$3="Annual","",ReportData!$F$28)</f>
        <v/>
      </c>
      <c r="AB2" s="462" t="str">
        <f>IF(ReportData!$C$3="Annual","",ReportData!$G$28)</f>
        <v/>
      </c>
      <c r="AC2" s="463" t="str">
        <f>IF(ReportData!$C$3="Annual","",ReportData!$H$28)</f>
        <v/>
      </c>
      <c r="AJ2" s="119"/>
    </row>
    <row r="3" spans="1:49" ht="18.75" customHeight="1" thickBot="1">
      <c r="A3" s="91"/>
      <c r="B3" s="92"/>
      <c r="C3" s="92"/>
      <c r="D3" s="92"/>
      <c r="E3" s="92"/>
      <c r="F3" s="92"/>
      <c r="G3" s="92"/>
      <c r="H3" s="92"/>
      <c r="I3" s="200"/>
      <c r="J3" s="329"/>
      <c r="K3" s="93"/>
      <c r="L3" s="92"/>
      <c r="M3" s="92"/>
      <c r="N3" s="92"/>
      <c r="O3" s="92"/>
      <c r="P3" s="92"/>
      <c r="Q3" s="329"/>
      <c r="R3" s="92"/>
      <c r="S3" s="92"/>
      <c r="T3" s="92"/>
      <c r="U3" s="94"/>
      <c r="V3" s="122"/>
      <c r="W3" s="114"/>
      <c r="X3" s="464"/>
      <c r="Y3" s="464" t="str">
        <f>ReportData!$D$27</f>
        <v>2019/20</v>
      </c>
      <c r="Z3" s="465" t="str">
        <f>ReportData!$E$27</f>
        <v>2020/21</v>
      </c>
      <c r="AA3" s="465" t="str">
        <f>ReportData!$F$27</f>
        <v>2021/22</v>
      </c>
      <c r="AB3" s="465" t="str">
        <f>ReportData!$G$27</f>
        <v>2022/23</v>
      </c>
      <c r="AC3" s="466" t="str">
        <f>ReportData!$H$27</f>
        <v>2023/24</v>
      </c>
      <c r="AJ3" s="119"/>
    </row>
    <row r="4" spans="1:49" ht="11.25" customHeight="1">
      <c r="A4" s="81"/>
      <c r="B4" s="82"/>
      <c r="C4" s="82"/>
      <c r="D4" s="82"/>
      <c r="E4" s="82"/>
      <c r="F4" s="82"/>
      <c r="G4" s="82"/>
      <c r="H4" s="82"/>
      <c r="I4" s="82"/>
      <c r="J4" s="82"/>
      <c r="K4" s="83"/>
      <c r="L4" s="82"/>
      <c r="M4" s="82"/>
      <c r="N4" s="82"/>
      <c r="O4" s="82"/>
      <c r="P4" s="82"/>
      <c r="Q4" s="82"/>
      <c r="R4" s="82"/>
      <c r="S4" s="82"/>
      <c r="T4" s="82"/>
      <c r="U4" s="84"/>
      <c r="V4" s="102"/>
      <c r="W4" s="114"/>
      <c r="X4" s="140"/>
      <c r="Y4" s="140" t="str">
        <f>Home!$D$5</f>
        <v>(none)</v>
      </c>
      <c r="Z4" s="25" t="str">
        <f>"Selected LA- "&amp;Y4</f>
        <v>Selected LA- (none)</v>
      </c>
      <c r="AJ4" s="119"/>
    </row>
    <row r="5" spans="1:49" ht="15" customHeight="1">
      <c r="A5" s="87"/>
      <c r="B5" s="1948" t="str">
        <f>"Number of Children Missing Education"&amp;$Y1</f>
        <v>Number of Children Missing Education at 31st March</v>
      </c>
      <c r="C5" s="1948"/>
      <c r="D5" s="1948"/>
      <c r="E5" s="1948"/>
      <c r="F5" s="1948"/>
      <c r="G5" s="1948"/>
      <c r="H5" s="1948"/>
      <c r="I5" s="1948"/>
      <c r="J5" s="1948"/>
      <c r="K5" s="1948"/>
      <c r="L5" s="1948"/>
      <c r="M5" s="1948"/>
      <c r="N5" s="1948"/>
      <c r="O5" s="1948"/>
      <c r="P5" s="1948"/>
      <c r="Q5" s="1948"/>
      <c r="R5" s="1948"/>
      <c r="S5" s="1948"/>
      <c r="T5" s="1948"/>
      <c r="U5" s="86"/>
      <c r="V5" s="102"/>
      <c r="W5" s="114"/>
      <c r="X5" s="52"/>
      <c r="Y5" s="52"/>
      <c r="Z5" s="52"/>
      <c r="AA5" s="52"/>
      <c r="AB5" s="52"/>
      <c r="AC5" s="52"/>
      <c r="AD5" s="52"/>
      <c r="AE5" s="52"/>
      <c r="AF5" s="52"/>
      <c r="AG5" s="52"/>
      <c r="AH5" s="52"/>
      <c r="AJ5" s="119"/>
      <c r="AQ5" s="530"/>
    </row>
    <row r="6" spans="1:49" ht="13.5" customHeight="1">
      <c r="A6" s="87"/>
      <c r="B6" s="1948"/>
      <c r="C6" s="1948"/>
      <c r="D6" s="1948"/>
      <c r="E6" s="1948"/>
      <c r="F6" s="1948"/>
      <c r="G6" s="1948"/>
      <c r="H6" s="1948"/>
      <c r="I6" s="1948"/>
      <c r="J6" s="1948"/>
      <c r="K6" s="1948"/>
      <c r="L6" s="1948"/>
      <c r="M6" s="1948"/>
      <c r="N6" s="1948"/>
      <c r="O6" s="1948"/>
      <c r="P6" s="1948"/>
      <c r="Q6" s="1948"/>
      <c r="R6" s="1948"/>
      <c r="S6" s="1948"/>
      <c r="T6" s="1948"/>
      <c r="U6" s="86"/>
      <c r="V6" s="102"/>
      <c r="W6" s="114"/>
      <c r="Y6" s="141"/>
      <c r="AJ6" s="119"/>
    </row>
    <row r="7" spans="1:49" s="61" customFormat="1" ht="12.75" customHeight="1">
      <c r="A7" s="88"/>
      <c r="B7" s="1996" t="s">
        <v>177</v>
      </c>
      <c r="C7" s="59"/>
      <c r="D7" s="1822" t="s">
        <v>84</v>
      </c>
      <c r="E7" s="1998"/>
      <c r="F7" s="1998"/>
      <c r="G7" s="1998"/>
      <c r="H7" s="1999"/>
      <c r="I7" s="1988" t="str">
        <f>"Average "&amp;ReportData!C3&amp;" Change "</f>
        <v xml:space="preserve">Average Annual Change </v>
      </c>
      <c r="J7" s="1989"/>
      <c r="K7" s="68"/>
      <c r="L7" s="2000" t="s">
        <v>670</v>
      </c>
      <c r="M7" s="2001"/>
      <c r="N7" s="2001"/>
      <c r="O7" s="2001"/>
      <c r="P7" s="2001"/>
      <c r="Q7" s="2001"/>
      <c r="R7" s="2002" t="str">
        <f>IF(ISNA(P9),"SE Rank "&amp;P8,"SE Rank "&amp;P9)</f>
        <v>SE Rank 2023/24</v>
      </c>
      <c r="S7" s="50"/>
      <c r="T7" s="1993" t="s">
        <v>75</v>
      </c>
      <c r="U7" s="89"/>
      <c r="V7" s="103"/>
      <c r="W7" s="115"/>
      <c r="Y7" s="2015" t="s">
        <v>671</v>
      </c>
      <c r="Z7" s="2016"/>
      <c r="AA7" s="2017" t="s">
        <v>76</v>
      </c>
      <c r="AB7" s="2017"/>
      <c r="AC7" s="2017"/>
      <c r="AD7" s="2017"/>
      <c r="AE7" s="2018"/>
      <c r="AG7" s="154" t="s">
        <v>88</v>
      </c>
      <c r="AH7" s="141"/>
      <c r="AI7" s="141"/>
      <c r="AJ7" s="121"/>
      <c r="AK7" s="350"/>
      <c r="AL7" s="350"/>
      <c r="AM7" s="350"/>
      <c r="AN7" s="350"/>
      <c r="AO7" s="350"/>
      <c r="AP7" s="52"/>
    </row>
    <row r="8" spans="1:49" s="61" customFormat="1" ht="12.75" customHeight="1">
      <c r="A8" s="217"/>
      <c r="B8" s="1996"/>
      <c r="C8" s="59"/>
      <c r="D8" s="457" t="str">
        <f>ReportData!$D$27</f>
        <v>2019/20</v>
      </c>
      <c r="E8" s="457" t="str">
        <f>ReportData!$E$27</f>
        <v>2020/21</v>
      </c>
      <c r="F8" s="457" t="str">
        <f>ReportData!$F$27</f>
        <v>2021/22</v>
      </c>
      <c r="G8" s="457" t="str">
        <f>ReportData!$G$27</f>
        <v>2022/23</v>
      </c>
      <c r="H8" s="458" t="str">
        <f>ReportData!$H$27</f>
        <v>2023/24</v>
      </c>
      <c r="I8" s="1990"/>
      <c r="J8" s="1991"/>
      <c r="K8" s="68"/>
      <c r="L8" s="470" t="str">
        <f>ReportData!$D$27</f>
        <v>2019/20</v>
      </c>
      <c r="M8" s="470" t="str">
        <f>ReportData!$E$27</f>
        <v>2020/21</v>
      </c>
      <c r="N8" s="470" t="str">
        <f>ReportData!$F$27</f>
        <v>2021/22</v>
      </c>
      <c r="O8" s="470" t="str">
        <f>ReportData!$G$27</f>
        <v>2022/23</v>
      </c>
      <c r="P8" s="2005" t="str">
        <f>ReportData!$H$27</f>
        <v>2023/24</v>
      </c>
      <c r="Q8" s="2006"/>
      <c r="R8" s="2003"/>
      <c r="S8" s="50"/>
      <c r="T8" s="1994"/>
      <c r="U8" s="89"/>
      <c r="V8" s="103"/>
      <c r="W8" s="115"/>
      <c r="Y8" s="1960" t="s">
        <v>73</v>
      </c>
      <c r="Z8" s="1963" t="s">
        <v>74</v>
      </c>
      <c r="AA8" s="618" t="str">
        <f>ReportData!$D$27</f>
        <v>2019/20</v>
      </c>
      <c r="AB8" s="444" t="str">
        <f>ReportData!$E$27</f>
        <v>2020/21</v>
      </c>
      <c r="AC8" s="444" t="str">
        <f>ReportData!$F$27</f>
        <v>2021/22</v>
      </c>
      <c r="AD8" s="444" t="str">
        <f>ReportData!$G$27</f>
        <v>2022/23</v>
      </c>
      <c r="AE8" s="444" t="str">
        <f>ReportData!$H$27</f>
        <v>2023/24</v>
      </c>
      <c r="AG8" s="154"/>
      <c r="AH8" s="141"/>
      <c r="AI8" s="141"/>
      <c r="AJ8" s="121"/>
      <c r="AK8" s="2020" t="str">
        <f>CONCATENATE($I$7,"in Number of "&amp;$B2)</f>
        <v>Average Annual Change in Number of Children Missing from Education (CME)</v>
      </c>
      <c r="AL8" s="2021"/>
      <c r="AM8" s="2021"/>
      <c r="AN8" s="2021"/>
      <c r="AO8" s="2022"/>
    </row>
    <row r="9" spans="1:49" s="61" customFormat="1" ht="12.75" customHeight="1">
      <c r="A9" s="88"/>
      <c r="B9" s="1997"/>
      <c r="C9" s="59"/>
      <c r="D9" s="459" t="e">
        <f>ReportData!$D$28</f>
        <v>#N/A</v>
      </c>
      <c r="E9" s="459" t="e">
        <f>ReportData!$E$28</f>
        <v>#N/A</v>
      </c>
      <c r="F9" s="459" t="e">
        <f>ReportData!$F$28</f>
        <v>#N/A</v>
      </c>
      <c r="G9" s="459" t="e">
        <f>ReportData!$G$28</f>
        <v>#N/A</v>
      </c>
      <c r="H9" s="460" t="e">
        <f>ReportData!$H$28</f>
        <v>#N/A</v>
      </c>
      <c r="I9" s="1990"/>
      <c r="J9" s="1992"/>
      <c r="K9" s="68"/>
      <c r="L9" s="459" t="e">
        <f>ReportData!$D$28</f>
        <v>#N/A</v>
      </c>
      <c r="M9" s="459" t="e">
        <f>ReportData!$E$28</f>
        <v>#N/A</v>
      </c>
      <c r="N9" s="459" t="e">
        <f>ReportData!$F$28</f>
        <v>#N/A</v>
      </c>
      <c r="O9" s="459" t="e">
        <f>ReportData!$G$28</f>
        <v>#N/A</v>
      </c>
      <c r="P9" s="2007" t="e">
        <f>ReportData!$H$28</f>
        <v>#N/A</v>
      </c>
      <c r="Q9" s="2008"/>
      <c r="R9" s="2004"/>
      <c r="S9" s="50"/>
      <c r="T9" s="1995"/>
      <c r="U9" s="89"/>
      <c r="V9" s="103"/>
      <c r="W9" s="115"/>
      <c r="Y9" s="1962"/>
      <c r="Z9" s="1965"/>
      <c r="AA9" s="618" t="e">
        <f>ReportData!$D$28</f>
        <v>#N/A</v>
      </c>
      <c r="AB9" s="444" t="e">
        <f>ReportData!$E$28</f>
        <v>#N/A</v>
      </c>
      <c r="AC9" s="444" t="e">
        <f>ReportData!$F$28</f>
        <v>#N/A</v>
      </c>
      <c r="AD9" s="444" t="e">
        <f>ReportData!$G$28</f>
        <v>#N/A</v>
      </c>
      <c r="AE9" s="444" t="e">
        <f>ReportData!$H$28</f>
        <v>#N/A</v>
      </c>
      <c r="AG9" s="141"/>
      <c r="AH9" s="141">
        <f>COLUMNS($B$4:P$4)</f>
        <v>15</v>
      </c>
      <c r="AI9" s="141"/>
      <c r="AJ9" s="121"/>
      <c r="AK9" s="479" t="s">
        <v>598</v>
      </c>
      <c r="AL9" s="479" t="s">
        <v>599</v>
      </c>
      <c r="AM9" s="479" t="s">
        <v>600</v>
      </c>
      <c r="AN9" s="479" t="s">
        <v>601</v>
      </c>
      <c r="AO9" s="479" t="s">
        <v>602</v>
      </c>
      <c r="AQ9" s="579"/>
      <c r="AR9" s="579"/>
      <c r="AS9" s="579"/>
      <c r="AT9" s="579"/>
      <c r="AU9" s="580"/>
      <c r="AV9" s="580"/>
      <c r="AW9" s="580"/>
    </row>
    <row r="10" spans="1:49" s="61" customFormat="1" ht="13.5" customHeight="1">
      <c r="A10" s="306">
        <f>VLOOKUP(B10,ReportData!$AQ$4:$AR$25,2,FALSE)</f>
        <v>0</v>
      </c>
      <c r="B10" s="65" t="str">
        <f>ReportData!$K$4</f>
        <v>Bracknell Forest</v>
      </c>
      <c r="C10" s="59"/>
      <c r="D10" s="66" t="str">
        <f>IF(Year1_Bracknell_Forest Year1_Children_missing_Education="","",Year1_Bracknell_Forest Year1_Children_missing_Education)</f>
        <v/>
      </c>
      <c r="E10" s="66" t="str">
        <f>IF(Year2_Bracknell_Forest Year2_Children_missing_Education="","",Year2_Bracknell_Forest Year2_Children_missing_Education)</f>
        <v/>
      </c>
      <c r="F10" s="66" t="str">
        <f>IF(Year3_Bracknell_Forest Year3_Children_missing_Education="","",Year3_Bracknell_Forest Year3_Children_missing_Education)</f>
        <v/>
      </c>
      <c r="G10" s="66" t="str">
        <f>IF(Year4_Bracknell_Forest Year4_Children_missing_Education="","",Year4_Bracknell_Forest Year4_Children_missing_Education)</f>
        <v/>
      </c>
      <c r="H10" s="67" t="str">
        <f>IF(Year5_Bracknell_Forest Year5_Children_missing_Education="","",Year5_Bracknell_Forest Year5_Children_missing_Education)</f>
        <v/>
      </c>
      <c r="I10" s="615" t="e">
        <f>AO10</f>
        <v>#DIV/0!</v>
      </c>
      <c r="J10" s="482" t="e">
        <f t="shared" ref="J10:J26" si="0">I10</f>
        <v>#DIV/0!</v>
      </c>
      <c r="K10" s="68"/>
      <c r="L10" s="69" t="e">
        <f>IF(ISNUMBER(D10),D10/Population!P44*10000,NA())</f>
        <v>#N/A</v>
      </c>
      <c r="M10" s="69" t="e">
        <f>IF(ISNUMBER(E10),E10/Population!Q44*10000,NA())</f>
        <v>#N/A</v>
      </c>
      <c r="N10" s="69" t="e">
        <f>IF(ISNUMBER(F10),F10/Population!R44*10000,NA())</f>
        <v>#N/A</v>
      </c>
      <c r="O10" s="69" t="e">
        <f>IF(ISNUMBER(G10),G10/Population!S44*10000,NA())</f>
        <v>#N/A</v>
      </c>
      <c r="P10" s="70" t="e">
        <f>IF(ISNUMBER(H10),H10/Population!T44*10000,NA())</f>
        <v>#N/A</v>
      </c>
      <c r="Q10" s="71" t="str">
        <f>IF(ISNUMBER(P10),P10,"")</f>
        <v/>
      </c>
      <c r="R10" s="529" t="e">
        <f t="shared" ref="R10:R26" si="1">IF(ISNA(VLOOKUP(B10,$AG$10:$AI$28,3,FALSE)),"--",IF(ISNUMBER(H10),VLOOKUP(B10,$AG$10:$AI$28,3,FALSE),NA()))</f>
        <v>#N/A</v>
      </c>
      <c r="S10" s="50"/>
      <c r="T10" s="439">
        <f>IDACI!C9</f>
        <v>8.9</v>
      </c>
      <c r="U10" s="89"/>
      <c r="V10" s="103"/>
      <c r="W10" s="115"/>
      <c r="X10" s="595" t="str">
        <f>ReportData!$K$4</f>
        <v>Bracknell Forest</v>
      </c>
      <c r="Y10" s="620">
        <f>IF(ISNUMBER(H10),IDACI!D9,0)</f>
        <v>0</v>
      </c>
      <c r="Z10" s="621">
        <f>IF(ISNUMBER(H10),IDACI!E9,0)</f>
        <v>0</v>
      </c>
      <c r="AA10" s="619" t="str">
        <f>IF(ISNUMBER(D10),Population!P44,"")</f>
        <v/>
      </c>
      <c r="AB10" s="155" t="str">
        <f>IF(ISNUMBER(E10),Population!Q44,"")</f>
        <v/>
      </c>
      <c r="AC10" s="155" t="str">
        <f>IF(ISNUMBER(F10),Population!R44,"")</f>
        <v/>
      </c>
      <c r="AD10" s="155" t="str">
        <f>IF(ISNUMBER(G10),Population!S44,"")</f>
        <v/>
      </c>
      <c r="AE10" s="155" t="str">
        <f>IF(ISNUMBER(H10),Population!T44,"")</f>
        <v/>
      </c>
      <c r="AG10" s="65" t="str">
        <f>B10</f>
        <v>Bracknell Forest</v>
      </c>
      <c r="AH10" s="70" t="str">
        <f t="shared" ref="AH10:AH28" si="2">IFERROR(VLOOKUP(AG10,$B$10:$P$30,AH$9,FALSE),"")</f>
        <v/>
      </c>
      <c r="AI10" s="156" t="e">
        <f t="shared" ref="AI10:AI28" si="3">RANK(AH10,$AH$10:$AH$28,1)</f>
        <v>#VALUE!</v>
      </c>
      <c r="AJ10" s="121"/>
      <c r="AK10" s="480" t="str">
        <f t="shared" ref="AK10:AK26" si="4">IF(ISERROR((E10-D10)/D10),"x",(E10-D10)/D10)</f>
        <v>x</v>
      </c>
      <c r="AL10" s="480" t="str">
        <f t="shared" ref="AL10:AL26" si="5">IF(ISERROR((F10-E10)/E10),"x",(F10-E10)/E10)</f>
        <v>x</v>
      </c>
      <c r="AM10" s="480" t="str">
        <f t="shared" ref="AM10:AM26" si="6">IF(ISERROR((G10-F10)/F10),"x",(G10-F10)/F10)</f>
        <v>x</v>
      </c>
      <c r="AN10" s="480" t="str">
        <f t="shared" ref="AN10:AN26" si="7">IF(ISERROR((H10-G10)/G10),"x",(H10-G10)/G10)</f>
        <v>x</v>
      </c>
      <c r="AO10" s="480" t="e">
        <f>AVERAGE(AK10:AN10)</f>
        <v>#DIV/0!</v>
      </c>
      <c r="AQ10" s="110"/>
      <c r="AR10" s="110"/>
      <c r="AS10" s="110"/>
      <c r="AT10" s="110"/>
      <c r="AU10" s="110"/>
      <c r="AW10" s="110"/>
    </row>
    <row r="11" spans="1:49" s="61" customFormat="1" ht="13.5" customHeight="1">
      <c r="A11" s="306">
        <f>VLOOKUP(B11,ReportData!$AQ$4:$AR$25,2,FALSE)</f>
        <v>0</v>
      </c>
      <c r="B11" s="65" t="str">
        <f>ReportData!$K$5</f>
        <v>Brighton &amp; Hove</v>
      </c>
      <c r="C11" s="59"/>
      <c r="D11" s="66" t="e">
        <f>IF(Year1_Brighton_Hove Year1_Children_missing_Education="","",Year1_Brighton_Hove Year1_Children_missing_Education)</f>
        <v>#NAME?</v>
      </c>
      <c r="E11" s="66" t="e">
        <f>IF(Year2_Brighton_Hove Year2_Children_missing_Education="","",Year2_Brighton_Hove Year2_Children_missing_Education)</f>
        <v>#NAME?</v>
      </c>
      <c r="F11" s="66" t="e">
        <f>IF(Year3_Brighton_Hove Year3_Children_missing_Education="","",Year3_Brighton_Hove Year3_Children_missing_Education)</f>
        <v>#NAME?</v>
      </c>
      <c r="G11" s="66" t="e">
        <f>IF(Year4_Brighton_Hove Year4_Children_missing_Education="","",Year4_Brighton_Hove Year4_Children_missing_Education)</f>
        <v>#NAME?</v>
      </c>
      <c r="H11" s="67" t="e">
        <f>IF(Year5_Brighton_Hove Year5_Children_missing_Education="","",Year5_Brighton_Hove Year5_Children_missing_Education)</f>
        <v>#NAME?</v>
      </c>
      <c r="I11" s="616" t="e">
        <f t="shared" ref="I11:I26" si="8">AO11</f>
        <v>#DIV/0!</v>
      </c>
      <c r="J11" s="482" t="e">
        <f t="shared" si="0"/>
        <v>#DIV/0!</v>
      </c>
      <c r="K11" s="68"/>
      <c r="L11" s="69" t="e">
        <f>IF(ISNUMBER(D11),D11/Population!P45*10000,NA())</f>
        <v>#N/A</v>
      </c>
      <c r="M11" s="69" t="e">
        <f>IF(ISNUMBER(E11),E11/Population!Q45*10000,NA())</f>
        <v>#N/A</v>
      </c>
      <c r="N11" s="69" t="e">
        <f>IF(ISNUMBER(F11),F11/Population!R45*10000,NA())</f>
        <v>#N/A</v>
      </c>
      <c r="O11" s="69" t="e">
        <f>IF(ISNUMBER(G11),G11/Population!S45*10000,NA())</f>
        <v>#N/A</v>
      </c>
      <c r="P11" s="70" t="e">
        <f>IF(ISNUMBER(H11),H11/Population!T45*10000,NA())</f>
        <v>#N/A</v>
      </c>
      <c r="Q11" s="71" t="str">
        <f t="shared" ref="Q11:Q26" si="9">IF(ISNUMBER(P11),P11,"")</f>
        <v/>
      </c>
      <c r="R11" s="529" t="e">
        <f t="shared" si="1"/>
        <v>#N/A</v>
      </c>
      <c r="S11" s="50"/>
      <c r="T11" s="439">
        <f>IDACI!C10</f>
        <v>15.299999999999999</v>
      </c>
      <c r="U11" s="89"/>
      <c r="V11" s="103"/>
      <c r="W11" s="115"/>
      <c r="X11" s="595" t="str">
        <f>ReportData!$K$5</f>
        <v>Brighton &amp; Hove</v>
      </c>
      <c r="Y11" s="620">
        <f>IF(ISNUMBER(H11),IDACI!D10,0)</f>
        <v>0</v>
      </c>
      <c r="Z11" s="621">
        <f>IF(ISNUMBER(H11),IDACI!E10,0)</f>
        <v>0</v>
      </c>
      <c r="AA11" s="619" t="str">
        <f>IF(ISNUMBER(D11),Population!P45,"")</f>
        <v/>
      </c>
      <c r="AB11" s="155" t="str">
        <f>IF(ISNUMBER(E11),Population!Q45,"")</f>
        <v/>
      </c>
      <c r="AC11" s="155" t="str">
        <f>IF(ISNUMBER(F11),Population!R45,"")</f>
        <v/>
      </c>
      <c r="AD11" s="155" t="str">
        <f>IF(ISNUMBER(G11),Population!S45,"")</f>
        <v/>
      </c>
      <c r="AE11" s="155" t="str">
        <f>IF(ISNUMBER(H11),Population!T45,"")</f>
        <v/>
      </c>
      <c r="AG11" s="65" t="s">
        <v>28</v>
      </c>
      <c r="AH11" s="70" t="str">
        <f t="shared" si="2"/>
        <v/>
      </c>
      <c r="AI11" s="156" t="e">
        <f t="shared" si="3"/>
        <v>#VALUE!</v>
      </c>
      <c r="AJ11" s="121"/>
      <c r="AK11" s="480" t="str">
        <f t="shared" si="4"/>
        <v>x</v>
      </c>
      <c r="AL11" s="480" t="str">
        <f t="shared" si="5"/>
        <v>x</v>
      </c>
      <c r="AM11" s="480" t="str">
        <f t="shared" si="6"/>
        <v>x</v>
      </c>
      <c r="AN11" s="480" t="str">
        <f t="shared" si="7"/>
        <v>x</v>
      </c>
      <c r="AO11" s="480" t="e">
        <f t="shared" ref="AO11:AO26" si="10">AVERAGE(AK11:AN11)</f>
        <v>#DIV/0!</v>
      </c>
      <c r="AQ11" s="110"/>
      <c r="AR11" s="110"/>
      <c r="AS11" s="110"/>
      <c r="AT11" s="110"/>
      <c r="AU11" s="110"/>
      <c r="AW11" s="110"/>
    </row>
    <row r="12" spans="1:49" s="61" customFormat="1" ht="13.5" customHeight="1">
      <c r="A12" s="306">
        <f>VLOOKUP(B12,ReportData!$AQ$4:$AR$25,2,FALSE)</f>
        <v>0</v>
      </c>
      <c r="B12" s="65" t="str">
        <f>ReportData!$K$6</f>
        <v>Buckinghamshire</v>
      </c>
      <c r="C12" s="59"/>
      <c r="D12" s="66" t="str">
        <f>IF(Year1_Buckinghamshire Year1_Children_missing_Education="","",Year1_Buckinghamshire Year1_Children_missing_Education)</f>
        <v/>
      </c>
      <c r="E12" s="66" t="str">
        <f>IF(Year2_Buckinghamshire Year2_Children_missing_Education="","",Year2_Buckinghamshire Year2_Children_missing_Education)</f>
        <v/>
      </c>
      <c r="F12" s="66" t="str">
        <f>IF(Year3_Buckinghamshire Year3_Children_missing_Education="","",Year3_Buckinghamshire Year3_Children_missing_Education)</f>
        <v/>
      </c>
      <c r="G12" s="66" t="str">
        <f>IF(Year4_Buckinghamshire Year4_Children_missing_Education="","",Year4_Buckinghamshire Year4_Children_missing_Education)</f>
        <v/>
      </c>
      <c r="H12" s="67" t="str">
        <f>IF(Year5_Buckinghamshire Year5_Children_missing_Education="","",Year5_Buckinghamshire Year5_Children_missing_Education)</f>
        <v/>
      </c>
      <c r="I12" s="616" t="e">
        <f t="shared" si="8"/>
        <v>#DIV/0!</v>
      </c>
      <c r="J12" s="482" t="e">
        <f t="shared" si="0"/>
        <v>#DIV/0!</v>
      </c>
      <c r="K12" s="68"/>
      <c r="L12" s="69" t="e">
        <f>IF(ISNUMBER(D12),D12/Population!P46*10000,NA())</f>
        <v>#N/A</v>
      </c>
      <c r="M12" s="69" t="e">
        <f>IF(ISNUMBER(E12),E12/Population!Q46*10000,NA())</f>
        <v>#N/A</v>
      </c>
      <c r="N12" s="69" t="e">
        <f>IF(ISNUMBER(F12),F12/Population!R46*10000,NA())</f>
        <v>#N/A</v>
      </c>
      <c r="O12" s="69" t="e">
        <f>IF(ISNUMBER(G12),G12/Population!S46*10000,NA())</f>
        <v>#N/A</v>
      </c>
      <c r="P12" s="70" t="e">
        <f>IF(ISNUMBER(H12),H12/Population!T46*10000,NA())</f>
        <v>#N/A</v>
      </c>
      <c r="Q12" s="71" t="str">
        <f t="shared" si="9"/>
        <v/>
      </c>
      <c r="R12" s="529" t="e">
        <f t="shared" si="1"/>
        <v>#N/A</v>
      </c>
      <c r="S12" s="50"/>
      <c r="T12" s="439">
        <f>IDACI!C11</f>
        <v>8.5</v>
      </c>
      <c r="U12" s="89"/>
      <c r="V12" s="103"/>
      <c r="W12" s="115"/>
      <c r="X12" s="595" t="str">
        <f>ReportData!$K$6</f>
        <v>Buckinghamshire</v>
      </c>
      <c r="Y12" s="620">
        <f>IF(ISNUMBER(H12),IDACI!D11,0)</f>
        <v>0</v>
      </c>
      <c r="Z12" s="621">
        <f>IF(ISNUMBER(H12),IDACI!E11,0)</f>
        <v>0</v>
      </c>
      <c r="AA12" s="619" t="str">
        <f>IF(ISNUMBER(D12),Population!P46,"")</f>
        <v/>
      </c>
      <c r="AB12" s="155" t="str">
        <f>IF(ISNUMBER(E12),Population!Q46,"")</f>
        <v/>
      </c>
      <c r="AC12" s="155" t="str">
        <f>IF(ISNUMBER(F12),Population!R46,"")</f>
        <v/>
      </c>
      <c r="AD12" s="155" t="str">
        <f>IF(ISNUMBER(G12),Population!S46,"")</f>
        <v/>
      </c>
      <c r="AE12" s="155" t="str">
        <f>IF(ISNUMBER(H12),Population!T46,"")</f>
        <v/>
      </c>
      <c r="AG12" s="65" t="s">
        <v>8</v>
      </c>
      <c r="AH12" s="70" t="str">
        <f t="shared" si="2"/>
        <v/>
      </c>
      <c r="AI12" s="156" t="e">
        <f t="shared" si="3"/>
        <v>#VALUE!</v>
      </c>
      <c r="AJ12" s="121"/>
      <c r="AK12" s="480" t="str">
        <f t="shared" si="4"/>
        <v>x</v>
      </c>
      <c r="AL12" s="480" t="str">
        <f t="shared" si="5"/>
        <v>x</v>
      </c>
      <c r="AM12" s="480" t="str">
        <f t="shared" si="6"/>
        <v>x</v>
      </c>
      <c r="AN12" s="480" t="str">
        <f t="shared" si="7"/>
        <v>x</v>
      </c>
      <c r="AO12" s="480" t="e">
        <f t="shared" si="10"/>
        <v>#DIV/0!</v>
      </c>
      <c r="AQ12" s="110"/>
      <c r="AR12" s="110"/>
      <c r="AS12" s="110"/>
      <c r="AT12" s="110"/>
      <c r="AU12" s="110"/>
      <c r="AW12" s="110"/>
    </row>
    <row r="13" spans="1:49" s="61" customFormat="1" ht="13.5" customHeight="1">
      <c r="A13" s="306">
        <f>VLOOKUP(B13,ReportData!$AQ$4:$AR$25,2,FALSE)</f>
        <v>0</v>
      </c>
      <c r="B13" s="65" t="str">
        <f>ReportData!$K$7</f>
        <v>East Sussex</v>
      </c>
      <c r="C13" s="59"/>
      <c r="D13" s="66" t="str">
        <f>IF(Year1_East_Sussex Year1_Children_missing_Education="","",Year1_East_Sussex Year1_Children_missing_Education)</f>
        <v/>
      </c>
      <c r="E13" s="66" t="str">
        <f>IF(Year2_East_Sussex Year2_Children_missing_Education="","",Year2_East_Sussex Year2_Children_missing_Education)</f>
        <v/>
      </c>
      <c r="F13" s="66" t="str">
        <f>IF(Year3_East_Sussex Year3_Children_missing_Education="","",Year3_East_Sussex Year3_Children_missing_Education)</f>
        <v/>
      </c>
      <c r="G13" s="66" t="str">
        <f>IF(Year4_East_Sussex Year4_Children_missing_Education="","",Year4_East_Sussex Year4_Children_missing_Education)</f>
        <v/>
      </c>
      <c r="H13" s="67" t="str">
        <f>IF(Year5_East_Sussex Year5_Children_missing_Education="","",Year5_East_Sussex Year5_Children_missing_Education)</f>
        <v/>
      </c>
      <c r="I13" s="616" t="e">
        <f t="shared" si="8"/>
        <v>#DIV/0!</v>
      </c>
      <c r="J13" s="482" t="e">
        <f t="shared" si="0"/>
        <v>#DIV/0!</v>
      </c>
      <c r="K13" s="68"/>
      <c r="L13" s="69" t="e">
        <f>IF(ISNUMBER(D13),D13/Population!P47*10000,NA())</f>
        <v>#N/A</v>
      </c>
      <c r="M13" s="69" t="e">
        <f>IF(ISNUMBER(E13),E13/Population!Q47*10000,NA())</f>
        <v>#N/A</v>
      </c>
      <c r="N13" s="69" t="e">
        <f>IF(ISNUMBER(F13),F13/Population!R47*10000,NA())</f>
        <v>#N/A</v>
      </c>
      <c r="O13" s="69" t="e">
        <f>IF(ISNUMBER(G13),G13/Population!S47*10000,NA())</f>
        <v>#N/A</v>
      </c>
      <c r="P13" s="70" t="e">
        <f>IF(ISNUMBER(H13),H13/Population!T47*10000,NA())</f>
        <v>#N/A</v>
      </c>
      <c r="Q13" s="71" t="str">
        <f t="shared" si="9"/>
        <v/>
      </c>
      <c r="R13" s="529" t="e">
        <f t="shared" si="1"/>
        <v>#N/A</v>
      </c>
      <c r="S13" s="50"/>
      <c r="T13" s="439">
        <f>IDACI!C12</f>
        <v>16.100000000000001</v>
      </c>
      <c r="U13" s="89"/>
      <c r="V13" s="103"/>
      <c r="W13" s="115"/>
      <c r="X13" s="595" t="str">
        <f>ReportData!$K$7</f>
        <v>East Sussex</v>
      </c>
      <c r="Y13" s="620">
        <f>IF(ISNUMBER(H13),IDACI!D12,0)</f>
        <v>0</v>
      </c>
      <c r="Z13" s="621">
        <f>IF(ISNUMBER(H13),IDACI!E12,0)</f>
        <v>0</v>
      </c>
      <c r="AA13" s="619" t="str">
        <f>IF(ISNUMBER(D13),Population!P47,"")</f>
        <v/>
      </c>
      <c r="AB13" s="155" t="str">
        <f>IF(ISNUMBER(E13),Population!Q47,"")</f>
        <v/>
      </c>
      <c r="AC13" s="155" t="str">
        <f>IF(ISNUMBER(F13),Population!R47,"")</f>
        <v/>
      </c>
      <c r="AD13" s="155" t="str">
        <f>IF(ISNUMBER(G13),Population!S47,"")</f>
        <v/>
      </c>
      <c r="AE13" s="155" t="str">
        <f>IF(ISNUMBER(H13),Population!T47,"")</f>
        <v/>
      </c>
      <c r="AG13" s="65" t="s">
        <v>4</v>
      </c>
      <c r="AH13" s="70" t="str">
        <f t="shared" si="2"/>
        <v/>
      </c>
      <c r="AI13" s="156" t="e">
        <f t="shared" si="3"/>
        <v>#VALUE!</v>
      </c>
      <c r="AJ13" s="121"/>
      <c r="AK13" s="480" t="str">
        <f t="shared" si="4"/>
        <v>x</v>
      </c>
      <c r="AL13" s="480" t="str">
        <f t="shared" si="5"/>
        <v>x</v>
      </c>
      <c r="AM13" s="480" t="str">
        <f t="shared" si="6"/>
        <v>x</v>
      </c>
      <c r="AN13" s="480" t="str">
        <f t="shared" si="7"/>
        <v>x</v>
      </c>
      <c r="AO13" s="480" t="e">
        <f t="shared" si="10"/>
        <v>#DIV/0!</v>
      </c>
      <c r="AQ13" s="110"/>
      <c r="AR13" s="110"/>
      <c r="AS13" s="110"/>
      <c r="AT13" s="110"/>
      <c r="AU13" s="110"/>
      <c r="AW13" s="110"/>
    </row>
    <row r="14" spans="1:49" s="61" customFormat="1" ht="13.5" customHeight="1">
      <c r="A14" s="306">
        <f>VLOOKUP(B14,ReportData!$AQ$4:$AR$25,2,FALSE)</f>
        <v>0</v>
      </c>
      <c r="B14" s="65" t="str">
        <f>ReportData!$K$8</f>
        <v>Hampshire</v>
      </c>
      <c r="C14" s="59"/>
      <c r="D14" s="66" t="str">
        <f>IF(Year1_Hampshire Year1_Children_missing_Education="","",Year1_Hampshire Year1_Children_missing_Education)</f>
        <v/>
      </c>
      <c r="E14" s="66" t="str">
        <f>IF(Year2_Hampshire Year2_Children_missing_Education="","",Year2_Hampshire Year2_Children_missing_Education)</f>
        <v/>
      </c>
      <c r="F14" s="72" t="str">
        <f>IF(Year3_Hampshire Year3_Children_missing_Education="","",Year3_Hampshire Year3_Children_missing_Education)</f>
        <v/>
      </c>
      <c r="G14" s="72" t="str">
        <f>IF(Year4_Hampshire Year4_Children_missing_Education="","",Year4_Hampshire Year4_Children_missing_Education)</f>
        <v/>
      </c>
      <c r="H14" s="67" t="str">
        <f>IF(Year5_Hampshire Year5_Children_missing_Education="","",Year5_Hampshire Year5_Children_missing_Education)</f>
        <v/>
      </c>
      <c r="I14" s="616" t="e">
        <f t="shared" si="8"/>
        <v>#DIV/0!</v>
      </c>
      <c r="J14" s="482" t="e">
        <f t="shared" si="0"/>
        <v>#DIV/0!</v>
      </c>
      <c r="K14" s="68"/>
      <c r="L14" s="69" t="e">
        <f>IF(ISNUMBER(D14),D14/Population!P48*10000,NA())</f>
        <v>#N/A</v>
      </c>
      <c r="M14" s="69" t="e">
        <f>IF(ISNUMBER(E14),E14/Population!Q48*10000,NA())</f>
        <v>#N/A</v>
      </c>
      <c r="N14" s="69" t="e">
        <f>IF(ISNUMBER(F14),F14/Population!R48*10000,NA())</f>
        <v>#N/A</v>
      </c>
      <c r="O14" s="69" t="e">
        <f>IF(ISNUMBER(G14),G14/Population!S48*10000,NA())</f>
        <v>#N/A</v>
      </c>
      <c r="P14" s="70" t="e">
        <f>IF(ISNUMBER(H14),H14/Population!T48*10000,NA())</f>
        <v>#N/A</v>
      </c>
      <c r="Q14" s="71" t="str">
        <f t="shared" si="9"/>
        <v/>
      </c>
      <c r="R14" s="529" t="e">
        <f t="shared" si="1"/>
        <v>#N/A</v>
      </c>
      <c r="S14" s="50"/>
      <c r="T14" s="439">
        <f>IDACI!C13</f>
        <v>10.100000000000001</v>
      </c>
      <c r="U14" s="89"/>
      <c r="V14" s="103"/>
      <c r="W14" s="115"/>
      <c r="X14" s="595" t="str">
        <f>ReportData!$K$8</f>
        <v>Hampshire</v>
      </c>
      <c r="Y14" s="620">
        <f>IF(ISNUMBER(H14),IDACI!D13,0)</f>
        <v>0</v>
      </c>
      <c r="Z14" s="621">
        <f>IF(ISNUMBER(H14),IDACI!E13,0)</f>
        <v>0</v>
      </c>
      <c r="AA14" s="619" t="str">
        <f>IF(ISNUMBER(D14),Population!P48,"")</f>
        <v/>
      </c>
      <c r="AB14" s="155" t="str">
        <f>IF(ISNUMBER(E14),Population!Q48,"")</f>
        <v/>
      </c>
      <c r="AC14" s="155" t="str">
        <f>IF(ISNUMBER(F14),Population!R48,"")</f>
        <v/>
      </c>
      <c r="AD14" s="155" t="str">
        <f>IF(ISNUMBER(G14),Population!S48,"")</f>
        <v/>
      </c>
      <c r="AE14" s="155" t="str">
        <f>IF(ISNUMBER(H14),Population!T48,"")</f>
        <v/>
      </c>
      <c r="AG14" s="65" t="s">
        <v>6</v>
      </c>
      <c r="AH14" s="70" t="str">
        <f t="shared" si="2"/>
        <v/>
      </c>
      <c r="AI14" s="156" t="e">
        <f t="shared" si="3"/>
        <v>#VALUE!</v>
      </c>
      <c r="AJ14" s="121"/>
      <c r="AK14" s="480" t="str">
        <f t="shared" si="4"/>
        <v>x</v>
      </c>
      <c r="AL14" s="480" t="str">
        <f t="shared" si="5"/>
        <v>x</v>
      </c>
      <c r="AM14" s="480" t="str">
        <f t="shared" si="6"/>
        <v>x</v>
      </c>
      <c r="AN14" s="480" t="str">
        <f t="shared" si="7"/>
        <v>x</v>
      </c>
      <c r="AO14" s="480" t="e">
        <f t="shared" si="10"/>
        <v>#DIV/0!</v>
      </c>
      <c r="AQ14" s="110"/>
      <c r="AR14" s="110"/>
      <c r="AS14" s="110"/>
      <c r="AT14" s="110"/>
      <c r="AU14" s="110"/>
      <c r="AW14" s="110"/>
    </row>
    <row r="15" spans="1:49" s="61" customFormat="1" ht="13.5" customHeight="1">
      <c r="A15" s="306">
        <f>VLOOKUP(B15,ReportData!$AQ$4:$AR$25,2,FALSE)</f>
        <v>0</v>
      </c>
      <c r="B15" s="65" t="str">
        <f>ReportData!$K$9</f>
        <v>Isle of Wight</v>
      </c>
      <c r="C15" s="59"/>
      <c r="D15" s="66" t="str">
        <f>IF(Year1_Isle_of_Wight Year1_Children_missing_Education="","",Year1_Isle_of_Wight Year1_Children_missing_Education)</f>
        <v/>
      </c>
      <c r="E15" s="66" t="str">
        <f>IF(Year2_Isle_of_Wight Year2_Children_missing_Education="","",Year2_Isle_of_Wight Year2_Children_missing_Education)</f>
        <v/>
      </c>
      <c r="F15" s="66" t="str">
        <f>IF(Year3_Isle_of_Wight Year3_Children_missing_Education="","",Year3_Isle_of_Wight Year3_Children_missing_Education)</f>
        <v/>
      </c>
      <c r="G15" s="66" t="str">
        <f>IF(Year4_Isle_of_Wight Year4_Children_missing_Education="","",Year4_Isle_of_Wight Year4_Children_missing_Education)</f>
        <v/>
      </c>
      <c r="H15" s="67" t="str">
        <f>IF(Year5_Isle_of_Wight Year5_Children_missing_Education="","",Year5_Isle_of_Wight Year5_Children_missing_Education)</f>
        <v/>
      </c>
      <c r="I15" s="616" t="e">
        <f t="shared" si="8"/>
        <v>#DIV/0!</v>
      </c>
      <c r="J15" s="482" t="e">
        <f t="shared" si="0"/>
        <v>#DIV/0!</v>
      </c>
      <c r="K15" s="68"/>
      <c r="L15" s="69" t="e">
        <f>IF(ISNUMBER(D15),D15/Population!P49*10000,NA())</f>
        <v>#N/A</v>
      </c>
      <c r="M15" s="69" t="e">
        <f>IF(ISNUMBER(E15),E15/Population!Q49*10000,NA())</f>
        <v>#N/A</v>
      </c>
      <c r="N15" s="69" t="e">
        <f>IF(ISNUMBER(F15),F15/Population!R49*10000,NA())</f>
        <v>#N/A</v>
      </c>
      <c r="O15" s="69" t="e">
        <f>IF(ISNUMBER(G15),G15/Population!S49*10000,NA())</f>
        <v>#N/A</v>
      </c>
      <c r="P15" s="70" t="e">
        <f>IF(ISNUMBER(H15),H15/Population!T49*10000,NA())</f>
        <v>#N/A</v>
      </c>
      <c r="Q15" s="71" t="str">
        <f t="shared" si="9"/>
        <v/>
      </c>
      <c r="R15" s="529" t="e">
        <f t="shared" si="1"/>
        <v>#N/A</v>
      </c>
      <c r="S15" s="50"/>
      <c r="T15" s="439">
        <f>IDACI!C14</f>
        <v>18</v>
      </c>
      <c r="U15" s="89"/>
      <c r="V15" s="103"/>
      <c r="W15" s="115"/>
      <c r="X15" s="595" t="str">
        <f>ReportData!$K$9</f>
        <v>Isle of Wight</v>
      </c>
      <c r="Y15" s="620">
        <f>IF(ISNUMBER(H15),IDACI!D14,0)</f>
        <v>0</v>
      </c>
      <c r="Z15" s="621">
        <f>IF(ISNUMBER(H15),IDACI!E14,0)</f>
        <v>0</v>
      </c>
      <c r="AA15" s="619" t="str">
        <f>IF(ISNUMBER(D15),Population!P49,"")</f>
        <v/>
      </c>
      <c r="AB15" s="155" t="str">
        <f>IF(ISNUMBER(E15),Population!Q49,"")</f>
        <v/>
      </c>
      <c r="AC15" s="155" t="str">
        <f>IF(ISNUMBER(F15),Population!R49,"")</f>
        <v/>
      </c>
      <c r="AD15" s="155" t="str">
        <f>IF(ISNUMBER(G15),Population!S49,"")</f>
        <v/>
      </c>
      <c r="AE15" s="155" t="str">
        <f>IF(ISNUMBER(H15),Population!T49,"")</f>
        <v/>
      </c>
      <c r="AG15" s="65" t="s">
        <v>1</v>
      </c>
      <c r="AH15" s="70" t="str">
        <f t="shared" si="2"/>
        <v/>
      </c>
      <c r="AI15" s="156" t="e">
        <f t="shared" si="3"/>
        <v>#VALUE!</v>
      </c>
      <c r="AJ15" s="121"/>
      <c r="AK15" s="480" t="str">
        <f t="shared" si="4"/>
        <v>x</v>
      </c>
      <c r="AL15" s="480" t="str">
        <f t="shared" si="5"/>
        <v>x</v>
      </c>
      <c r="AM15" s="480" t="str">
        <f t="shared" si="6"/>
        <v>x</v>
      </c>
      <c r="AN15" s="480" t="str">
        <f t="shared" si="7"/>
        <v>x</v>
      </c>
      <c r="AO15" s="480" t="e">
        <f t="shared" si="10"/>
        <v>#DIV/0!</v>
      </c>
      <c r="AQ15" s="110"/>
      <c r="AR15" s="110"/>
      <c r="AS15" s="110"/>
      <c r="AT15" s="110"/>
      <c r="AU15" s="110"/>
      <c r="AW15" s="110"/>
    </row>
    <row r="16" spans="1:49" s="61" customFormat="1" ht="13.5" customHeight="1">
      <c r="A16" s="306">
        <f>VLOOKUP(B16,ReportData!$AQ$4:$AR$25,2,FALSE)</f>
        <v>0</v>
      </c>
      <c r="B16" s="65" t="str">
        <f>ReportData!$K$10</f>
        <v>Kent</v>
      </c>
      <c r="C16" s="59"/>
      <c r="D16" s="66" t="str">
        <f>IF(Year1_Kent Year1_Children_missing_Education="","",Year1_Kent Year1_Children_missing_Education)</f>
        <v/>
      </c>
      <c r="E16" s="66" t="str">
        <f>IF(Year2_Kent Year2_Children_missing_Education="","",Year2_Kent Year2_Children_missing_Education)</f>
        <v/>
      </c>
      <c r="F16" s="66" t="str">
        <f>IF(Year3_Kent Year3_Children_missing_Education="","",Year3_Kent Year3_Children_missing_Education)</f>
        <v/>
      </c>
      <c r="G16" s="66" t="str">
        <f>IF(Year4_Kent Year4_Children_missing_Education="","",Year4_Kent Year4_Children_missing_Education)</f>
        <v/>
      </c>
      <c r="H16" s="67" t="str">
        <f>IF(Year5_Kent Year5_Children_missing_Education="","",Year5_Kent Year5_Children_missing_Education)</f>
        <v/>
      </c>
      <c r="I16" s="616" t="e">
        <f t="shared" si="8"/>
        <v>#DIV/0!</v>
      </c>
      <c r="J16" s="482" t="e">
        <f t="shared" si="0"/>
        <v>#DIV/0!</v>
      </c>
      <c r="K16" s="68"/>
      <c r="L16" s="69" t="e">
        <f>IF(ISNUMBER(D16),D16/Population!P50*10000,NA())</f>
        <v>#N/A</v>
      </c>
      <c r="M16" s="69" t="e">
        <f>IF(ISNUMBER(E16),E16/Population!Q50*10000,NA())</f>
        <v>#N/A</v>
      </c>
      <c r="N16" s="69" t="e">
        <f>IF(ISNUMBER(F16),F16/Population!R50*10000,NA())</f>
        <v>#N/A</v>
      </c>
      <c r="O16" s="69" t="e">
        <f>IF(ISNUMBER(G16),G16/Population!S50*10000,NA())</f>
        <v>#N/A</v>
      </c>
      <c r="P16" s="70" t="e">
        <f>IF(ISNUMBER(H16),H16/Population!T50*10000,NA())</f>
        <v>#N/A</v>
      </c>
      <c r="Q16" s="71" t="str">
        <f t="shared" si="9"/>
        <v/>
      </c>
      <c r="R16" s="529" t="e">
        <f t="shared" si="1"/>
        <v>#N/A</v>
      </c>
      <c r="S16" s="50"/>
      <c r="T16" s="439">
        <f>IDACI!C15</f>
        <v>15.8</v>
      </c>
      <c r="U16" s="89"/>
      <c r="V16" s="103"/>
      <c r="W16" s="115"/>
      <c r="X16" s="595" t="str">
        <f>ReportData!$K$10</f>
        <v>Kent</v>
      </c>
      <c r="Y16" s="620">
        <f>IF(ISNUMBER(H16),IDACI!D15,0)</f>
        <v>0</v>
      </c>
      <c r="Z16" s="621">
        <f>IF(ISNUMBER(H16),IDACI!E15,0)</f>
        <v>0</v>
      </c>
      <c r="AA16" s="619" t="str">
        <f>IF(ISNUMBER(D16),Population!P50,"")</f>
        <v/>
      </c>
      <c r="AB16" s="155" t="str">
        <f>IF(ISNUMBER(E16),Population!Q50,"")</f>
        <v/>
      </c>
      <c r="AC16" s="155" t="str">
        <f>IF(ISNUMBER(F16),Population!R50,"")</f>
        <v/>
      </c>
      <c r="AD16" s="155" t="str">
        <f>IF(ISNUMBER(G16),Population!S50,"")</f>
        <v/>
      </c>
      <c r="AE16" s="155" t="str">
        <f>IF(ISNUMBER(H16),Population!T50,"")</f>
        <v/>
      </c>
      <c r="AG16" s="65" t="s">
        <v>9</v>
      </c>
      <c r="AH16" s="70" t="str">
        <f t="shared" si="2"/>
        <v/>
      </c>
      <c r="AI16" s="156" t="e">
        <f t="shared" si="3"/>
        <v>#VALUE!</v>
      </c>
      <c r="AJ16" s="121"/>
      <c r="AK16" s="480" t="str">
        <f t="shared" si="4"/>
        <v>x</v>
      </c>
      <c r="AL16" s="480" t="str">
        <f t="shared" si="5"/>
        <v>x</v>
      </c>
      <c r="AM16" s="480" t="str">
        <f t="shared" si="6"/>
        <v>x</v>
      </c>
      <c r="AN16" s="480" t="str">
        <f t="shared" si="7"/>
        <v>x</v>
      </c>
      <c r="AO16" s="480" t="e">
        <f t="shared" si="10"/>
        <v>#DIV/0!</v>
      </c>
      <c r="AQ16" s="110"/>
      <c r="AR16" s="110"/>
      <c r="AS16" s="110"/>
      <c r="AT16" s="110"/>
      <c r="AU16" s="110"/>
      <c r="AW16" s="110"/>
    </row>
    <row r="17" spans="1:49" s="61" customFormat="1" ht="13.5" customHeight="1">
      <c r="A17" s="306">
        <f>VLOOKUP(B17,ReportData!$AQ$4:$AR$25,2,FALSE)</f>
        <v>0</v>
      </c>
      <c r="B17" s="65" t="str">
        <f>ReportData!$K$11</f>
        <v>Medway</v>
      </c>
      <c r="C17" s="59"/>
      <c r="D17" s="66" t="str">
        <f>IF(Year1_Medway Year1_Children_missing_Education="","",Year1_Medway Year1_Children_missing_Education)</f>
        <v/>
      </c>
      <c r="E17" s="220" t="str">
        <f>IF(Year2_Medway Year2_Children_missing_Education="","",Year2_Medway Year2_Children_missing_Education)</f>
        <v/>
      </c>
      <c r="F17" s="220" t="str">
        <f>IF(Year3_Medway Year3_Children_missing_Education="","",Year3_Medway Year3_Children_missing_Education)</f>
        <v/>
      </c>
      <c r="G17" s="220" t="str">
        <f>IF(Year4_Medway Year4_Children_missing_Education="","",Year4_Medway Year4_Children_missing_Education)</f>
        <v/>
      </c>
      <c r="H17" s="221" t="str">
        <f>IF(Year5_Medway Year5_Children_missing_Education="","",Year5_Medway Year5_Children_missing_Education)</f>
        <v/>
      </c>
      <c r="I17" s="616" t="e">
        <f t="shared" si="8"/>
        <v>#DIV/0!</v>
      </c>
      <c r="J17" s="482" t="e">
        <f t="shared" si="0"/>
        <v>#DIV/0!</v>
      </c>
      <c r="K17" s="68"/>
      <c r="L17" s="69" t="e">
        <f>IF(ISNUMBER(D17),D17/Population!P51*10000,NA())</f>
        <v>#N/A</v>
      </c>
      <c r="M17" s="69" t="e">
        <f>IF(ISNUMBER(E17),E17/Population!Q51*10000,NA())</f>
        <v>#N/A</v>
      </c>
      <c r="N17" s="69" t="e">
        <f>IF(ISNUMBER(F17),F17/Population!R51*10000,NA())</f>
        <v>#N/A</v>
      </c>
      <c r="O17" s="69" t="e">
        <f>IF(ISNUMBER(G17),G17/Population!S51*10000,NA())</f>
        <v>#N/A</v>
      </c>
      <c r="P17" s="70" t="e">
        <f>IF(ISNUMBER(H17),H17/Population!T51*10000,NA())</f>
        <v>#N/A</v>
      </c>
      <c r="Q17" s="71" t="str">
        <f t="shared" si="9"/>
        <v/>
      </c>
      <c r="R17" s="529" t="e">
        <f t="shared" si="1"/>
        <v>#N/A</v>
      </c>
      <c r="S17" s="50"/>
      <c r="T17" s="439">
        <f>IDACI!C16</f>
        <v>18.899999999999999</v>
      </c>
      <c r="U17" s="89"/>
      <c r="V17" s="103"/>
      <c r="W17" s="115"/>
      <c r="X17" s="595" t="str">
        <f>ReportData!$K$11</f>
        <v>Medway</v>
      </c>
      <c r="Y17" s="620">
        <f>IF(ISNUMBER(H17),IDACI!D16,0)</f>
        <v>0</v>
      </c>
      <c r="Z17" s="621">
        <f>IF(ISNUMBER(H17),IDACI!E16,0)</f>
        <v>0</v>
      </c>
      <c r="AA17" s="619" t="str">
        <f>IF(ISNUMBER(D17),Population!P51,"")</f>
        <v/>
      </c>
      <c r="AB17" s="155" t="str">
        <f>IF(ISNUMBER(E17),Population!Q51,"")</f>
        <v/>
      </c>
      <c r="AC17" s="155" t="str">
        <f>IF(ISNUMBER(F17),Population!R51,"")</f>
        <v/>
      </c>
      <c r="AD17" s="155" t="str">
        <f>IF(ISNUMBER(G17),Population!S51,"")</f>
        <v/>
      </c>
      <c r="AE17" s="155" t="str">
        <f>IF(ISNUMBER(H17),Population!T51,"")</f>
        <v/>
      </c>
      <c r="AG17" s="65" t="s">
        <v>2</v>
      </c>
      <c r="AH17" s="70" t="str">
        <f t="shared" si="2"/>
        <v/>
      </c>
      <c r="AI17" s="156" t="e">
        <f t="shared" si="3"/>
        <v>#VALUE!</v>
      </c>
      <c r="AJ17" s="121"/>
      <c r="AK17" s="480" t="str">
        <f t="shared" si="4"/>
        <v>x</v>
      </c>
      <c r="AL17" s="480" t="str">
        <f t="shared" si="5"/>
        <v>x</v>
      </c>
      <c r="AM17" s="480" t="str">
        <f t="shared" si="6"/>
        <v>x</v>
      </c>
      <c r="AN17" s="480" t="str">
        <f t="shared" si="7"/>
        <v>x</v>
      </c>
      <c r="AO17" s="480" t="e">
        <f t="shared" si="10"/>
        <v>#DIV/0!</v>
      </c>
      <c r="AQ17" s="110"/>
      <c r="AR17" s="110"/>
      <c r="AS17" s="110"/>
      <c r="AT17" s="110"/>
      <c r="AU17" s="110"/>
      <c r="AW17" s="110"/>
    </row>
    <row r="18" spans="1:49" s="61" customFormat="1" ht="13.5" customHeight="1">
      <c r="A18" s="306">
        <f>VLOOKUP(B18,ReportData!$AQ$4:$AR$25,2,FALSE)</f>
        <v>0</v>
      </c>
      <c r="B18" s="65" t="str">
        <f>ReportData!$K$12</f>
        <v>Milton Keynes</v>
      </c>
      <c r="C18" s="59"/>
      <c r="D18" s="66" t="str">
        <f>IF(Year1_Milton_Keynes Year1_Children_missing_Education="","",Year1_Milton_Keynes Year1_Children_missing_Education)</f>
        <v/>
      </c>
      <c r="E18" s="66" t="str">
        <f>IF(Year2_Milton_Keynes Year2_Children_missing_Education="","",Year2_Milton_Keynes Year2_Children_missing_Education)</f>
        <v/>
      </c>
      <c r="F18" s="66" t="str">
        <f>IF(Year3_Milton_Keynes Year3_Children_missing_Education="","",Year3_Milton_Keynes Year3_Children_missing_Education)</f>
        <v/>
      </c>
      <c r="G18" s="66" t="str">
        <f>IF(Year4_Milton_Keynes Year4_Children_missing_Education="","",Year4_Milton_Keynes Year4_Children_missing_Education)</f>
        <v/>
      </c>
      <c r="H18" s="67" t="str">
        <f>IF(Year5_Milton_Keynes Year5_Children_missing_Education="","",Year5_Milton_Keynes Year5_Children_missing_Education)</f>
        <v/>
      </c>
      <c r="I18" s="616" t="e">
        <f t="shared" si="8"/>
        <v>#DIV/0!</v>
      </c>
      <c r="J18" s="482" t="e">
        <f t="shared" si="0"/>
        <v>#DIV/0!</v>
      </c>
      <c r="K18" s="68"/>
      <c r="L18" s="69" t="e">
        <f>IF(ISNUMBER(D18),D18/Population!P52*10000,NA())</f>
        <v>#N/A</v>
      </c>
      <c r="M18" s="69" t="e">
        <f>IF(ISNUMBER(E18),E18/Population!Q52*10000,NA())</f>
        <v>#N/A</v>
      </c>
      <c r="N18" s="69" t="e">
        <f>IF(ISNUMBER(F18),F18/Population!R52*10000,NA())</f>
        <v>#N/A</v>
      </c>
      <c r="O18" s="69" t="e">
        <f>IF(ISNUMBER(G18),G18/Population!S52*10000,NA())</f>
        <v>#N/A</v>
      </c>
      <c r="P18" s="70" t="e">
        <f>IF(ISNUMBER(H18),H18/Population!T52*10000,NA())</f>
        <v>#N/A</v>
      </c>
      <c r="Q18" s="71" t="str">
        <f t="shared" si="9"/>
        <v/>
      </c>
      <c r="R18" s="529" t="e">
        <f t="shared" si="1"/>
        <v>#N/A</v>
      </c>
      <c r="S18" s="50"/>
      <c r="T18" s="439">
        <f>IDACI!C17</f>
        <v>15</v>
      </c>
      <c r="U18" s="89"/>
      <c r="V18" s="103"/>
      <c r="W18" s="115"/>
      <c r="X18" s="595" t="str">
        <f>ReportData!$K$12</f>
        <v>Milton Keynes</v>
      </c>
      <c r="Y18" s="620">
        <f>IF(ISNUMBER(H18),IDACI!D17,0)</f>
        <v>0</v>
      </c>
      <c r="Z18" s="621">
        <f>IF(ISNUMBER(H18),IDACI!E17,0)</f>
        <v>0</v>
      </c>
      <c r="AA18" s="619" t="str">
        <f>IF(ISNUMBER(D18),Population!P52,"")</f>
        <v/>
      </c>
      <c r="AB18" s="155" t="str">
        <f>IF(ISNUMBER(E18),Population!Q52,"")</f>
        <v/>
      </c>
      <c r="AC18" s="155" t="str">
        <f>IF(ISNUMBER(F18),Population!R52,"")</f>
        <v/>
      </c>
      <c r="AD18" s="155" t="str">
        <f>IF(ISNUMBER(G18),Population!S52,"")</f>
        <v/>
      </c>
      <c r="AE18" s="155" t="str">
        <f>IF(ISNUMBER(H18),Population!T52,"")</f>
        <v/>
      </c>
      <c r="AG18" s="65" t="s">
        <v>10</v>
      </c>
      <c r="AH18" s="70" t="str">
        <f t="shared" si="2"/>
        <v/>
      </c>
      <c r="AI18" s="156" t="e">
        <f t="shared" si="3"/>
        <v>#VALUE!</v>
      </c>
      <c r="AJ18" s="121"/>
      <c r="AK18" s="480" t="str">
        <f t="shared" si="4"/>
        <v>x</v>
      </c>
      <c r="AL18" s="480" t="str">
        <f t="shared" si="5"/>
        <v>x</v>
      </c>
      <c r="AM18" s="480" t="str">
        <f t="shared" si="6"/>
        <v>x</v>
      </c>
      <c r="AN18" s="480" t="str">
        <f t="shared" si="7"/>
        <v>x</v>
      </c>
      <c r="AO18" s="480" t="e">
        <f t="shared" si="10"/>
        <v>#DIV/0!</v>
      </c>
      <c r="AQ18" s="110"/>
      <c r="AR18" s="110"/>
      <c r="AS18" s="110"/>
      <c r="AT18" s="110"/>
      <c r="AU18" s="110"/>
      <c r="AW18" s="110"/>
    </row>
    <row r="19" spans="1:49" s="61" customFormat="1" ht="13.5" customHeight="1">
      <c r="A19" s="306">
        <f>VLOOKUP(B19,ReportData!$AQ$4:$AR$25,2,FALSE)</f>
        <v>0</v>
      </c>
      <c r="B19" s="65" t="str">
        <f>ReportData!$K$13</f>
        <v>Oxfordshire</v>
      </c>
      <c r="C19" s="59"/>
      <c r="D19" s="66" t="str">
        <f>IF(Year1_Oxfordshire Year1_Children_missing_Education="","",Year1_Oxfordshire Year1_Children_missing_Education)</f>
        <v/>
      </c>
      <c r="E19" s="66" t="str">
        <f>IF(Year2_Oxfordshire Year2_Children_missing_Education="","",Year2_Oxfordshire Year2_Children_missing_Education)</f>
        <v/>
      </c>
      <c r="F19" s="66" t="str">
        <f>IF(Year3_Oxfordshire Year3_Children_missing_Education="","",Year3_Oxfordshire Year3_Children_missing_Education)</f>
        <v/>
      </c>
      <c r="G19" s="66" t="str">
        <f>IF(Year4_Oxfordshire Year4_Children_missing_Education="","",Year4_Oxfordshire Year4_Children_missing_Education)</f>
        <v/>
      </c>
      <c r="H19" s="67" t="str">
        <f>IF(Year5_Oxfordshire Year5_Children_missing_Education="","",Year5_Oxfordshire Year5_Children_missing_Education)</f>
        <v/>
      </c>
      <c r="I19" s="616" t="e">
        <f t="shared" si="8"/>
        <v>#DIV/0!</v>
      </c>
      <c r="J19" s="482" t="e">
        <f t="shared" si="0"/>
        <v>#DIV/0!</v>
      </c>
      <c r="K19" s="68"/>
      <c r="L19" s="69" t="e">
        <f>IF(ISNUMBER(D19),D19/Population!P53*10000,NA())</f>
        <v>#N/A</v>
      </c>
      <c r="M19" s="69" t="e">
        <f>IF(ISNUMBER(E19),E19/Population!Q53*10000,NA())</f>
        <v>#N/A</v>
      </c>
      <c r="N19" s="69" t="e">
        <f>IF(ISNUMBER(F19),F19/Population!R53*10000,NA())</f>
        <v>#N/A</v>
      </c>
      <c r="O19" s="69" t="e">
        <f>IF(ISNUMBER(G19),G19/Population!S53*10000,NA())</f>
        <v>#N/A</v>
      </c>
      <c r="P19" s="70" t="e">
        <f>IF(ISNUMBER(H19),H19/Population!T53*10000,NA())</f>
        <v>#N/A</v>
      </c>
      <c r="Q19" s="71" t="str">
        <f t="shared" si="9"/>
        <v/>
      </c>
      <c r="R19" s="529" t="e">
        <f t="shared" si="1"/>
        <v>#N/A</v>
      </c>
      <c r="S19" s="50"/>
      <c r="T19" s="439">
        <f>IDACI!C18</f>
        <v>10.100000000000001</v>
      </c>
      <c r="U19" s="89"/>
      <c r="V19" s="103"/>
      <c r="W19" s="115"/>
      <c r="X19" s="595" t="str">
        <f>ReportData!$K$13</f>
        <v>Oxfordshire</v>
      </c>
      <c r="Y19" s="620">
        <f>IF(ISNUMBER(H19),IDACI!D18,0)</f>
        <v>0</v>
      </c>
      <c r="Z19" s="621">
        <f>IF(ISNUMBER(H19),IDACI!E18,0)</f>
        <v>0</v>
      </c>
      <c r="AA19" s="619" t="str">
        <f>IF(ISNUMBER(D19),Population!P53,"")</f>
        <v/>
      </c>
      <c r="AB19" s="155" t="str">
        <f>IF(ISNUMBER(E19),Population!Q53,"")</f>
        <v/>
      </c>
      <c r="AC19" s="155" t="str">
        <f>IF(ISNUMBER(F19),Population!R53,"")</f>
        <v/>
      </c>
      <c r="AD19" s="155" t="str">
        <f>IF(ISNUMBER(G19),Population!S53,"")</f>
        <v/>
      </c>
      <c r="AE19" s="155" t="str">
        <f>IF(ISNUMBER(H19),Population!T53,"")</f>
        <v/>
      </c>
      <c r="AG19" s="65" t="s">
        <v>11</v>
      </c>
      <c r="AH19" s="70" t="str">
        <f t="shared" si="2"/>
        <v/>
      </c>
      <c r="AI19" s="156" t="e">
        <f t="shared" si="3"/>
        <v>#VALUE!</v>
      </c>
      <c r="AJ19" s="121"/>
      <c r="AK19" s="480" t="str">
        <f t="shared" si="4"/>
        <v>x</v>
      </c>
      <c r="AL19" s="480" t="str">
        <f t="shared" si="5"/>
        <v>x</v>
      </c>
      <c r="AM19" s="480" t="str">
        <f t="shared" si="6"/>
        <v>x</v>
      </c>
      <c r="AN19" s="480" t="str">
        <f t="shared" si="7"/>
        <v>x</v>
      </c>
      <c r="AO19" s="480" t="e">
        <f t="shared" si="10"/>
        <v>#DIV/0!</v>
      </c>
      <c r="AQ19" s="110"/>
      <c r="AR19" s="110"/>
      <c r="AS19" s="110"/>
      <c r="AT19" s="110"/>
      <c r="AU19" s="110"/>
      <c r="AW19" s="110"/>
    </row>
    <row r="20" spans="1:49" s="61" customFormat="1" ht="13.5" customHeight="1">
      <c r="A20" s="306">
        <f>VLOOKUP(B20,ReportData!$AQ$4:$AR$25,2,FALSE)</f>
        <v>0</v>
      </c>
      <c r="B20" s="65" t="str">
        <f>ReportData!$K$14</f>
        <v>Portsmouth</v>
      </c>
      <c r="C20" s="59"/>
      <c r="D20" s="66" t="str">
        <f>IF(Year1_Portsmouth Year1_Children_missing_Education="","",Year1_Portsmouth Year1_Children_missing_Education)</f>
        <v/>
      </c>
      <c r="E20" s="66" t="str">
        <f>IF(Year2_Portsmouth Year2_Children_missing_Education="","",Year2_Portsmouth Year2_Children_missing_Education)</f>
        <v/>
      </c>
      <c r="F20" s="66" t="str">
        <f>IF(Year3_Portsmouth Year3_Children_missing_Education="","",Year3_Portsmouth Year3_Children_missing_Education)</f>
        <v/>
      </c>
      <c r="G20" s="66" t="str">
        <f>IF(Year4_Portsmouth Year4_Children_missing_Education="","",Year4_Portsmouth Year4_Children_missing_Education)</f>
        <v/>
      </c>
      <c r="H20" s="67" t="str">
        <f>IF(Year5_Portsmouth Year5_Children_missing_Education="","",Year5_Portsmouth Year5_Children_missing_Education)</f>
        <v/>
      </c>
      <c r="I20" s="616" t="e">
        <f t="shared" si="8"/>
        <v>#DIV/0!</v>
      </c>
      <c r="J20" s="482" t="e">
        <f t="shared" si="0"/>
        <v>#DIV/0!</v>
      </c>
      <c r="K20" s="68"/>
      <c r="L20" s="69" t="e">
        <f>IF(ISNUMBER(D20),D20/Population!P54*10000,NA())</f>
        <v>#N/A</v>
      </c>
      <c r="M20" s="69" t="e">
        <f>IF(ISNUMBER(E20),E20/Population!Q54*10000,NA())</f>
        <v>#N/A</v>
      </c>
      <c r="N20" s="69" t="e">
        <f>IF(ISNUMBER(F20),F20/Population!R54*10000,NA())</f>
        <v>#N/A</v>
      </c>
      <c r="O20" s="69" t="e">
        <f>IF(ISNUMBER(G20),G20/Population!S54*10000,NA())</f>
        <v>#N/A</v>
      </c>
      <c r="P20" s="70" t="e">
        <f>IF(ISNUMBER(H20),H20/Population!T54*10000,NA())</f>
        <v>#N/A</v>
      </c>
      <c r="Q20" s="71" t="str">
        <f t="shared" si="9"/>
        <v/>
      </c>
      <c r="R20" s="529" t="e">
        <f t="shared" si="1"/>
        <v>#N/A</v>
      </c>
      <c r="S20" s="50"/>
      <c r="T20" s="439">
        <f>IDACI!C19</f>
        <v>20.200000000000003</v>
      </c>
      <c r="U20" s="89"/>
      <c r="V20" s="103"/>
      <c r="W20" s="115"/>
      <c r="X20" s="595" t="str">
        <f>ReportData!$K$14</f>
        <v>Portsmouth</v>
      </c>
      <c r="Y20" s="620">
        <f>IF(ISNUMBER(H20),IDACI!D19,0)</f>
        <v>0</v>
      </c>
      <c r="Z20" s="621">
        <f>IF(ISNUMBER(H20),IDACI!E19,0)</f>
        <v>0</v>
      </c>
      <c r="AA20" s="619" t="str">
        <f>IF(ISNUMBER(D20),Population!P54,"")</f>
        <v/>
      </c>
      <c r="AB20" s="155" t="str">
        <f>IF(ISNUMBER(E20),Population!Q54,"")</f>
        <v/>
      </c>
      <c r="AC20" s="155" t="str">
        <f>IF(ISNUMBER(F20),Population!R54,"")</f>
        <v/>
      </c>
      <c r="AD20" s="155" t="str">
        <f>IF(ISNUMBER(G20),Population!S54,"")</f>
        <v/>
      </c>
      <c r="AE20" s="155" t="str">
        <f>IF(ISNUMBER(H20),Population!T54,"")</f>
        <v/>
      </c>
      <c r="AG20" s="65" t="s">
        <v>12</v>
      </c>
      <c r="AH20" s="70" t="str">
        <f t="shared" si="2"/>
        <v/>
      </c>
      <c r="AI20" s="156" t="e">
        <f t="shared" si="3"/>
        <v>#VALUE!</v>
      </c>
      <c r="AJ20" s="121"/>
      <c r="AK20" s="480" t="str">
        <f t="shared" si="4"/>
        <v>x</v>
      </c>
      <c r="AL20" s="480" t="str">
        <f t="shared" si="5"/>
        <v>x</v>
      </c>
      <c r="AM20" s="480" t="str">
        <f t="shared" si="6"/>
        <v>x</v>
      </c>
      <c r="AN20" s="480" t="str">
        <f t="shared" si="7"/>
        <v>x</v>
      </c>
      <c r="AO20" s="480" t="e">
        <f t="shared" si="10"/>
        <v>#DIV/0!</v>
      </c>
      <c r="AQ20" s="110"/>
      <c r="AR20" s="110"/>
      <c r="AS20" s="110"/>
      <c r="AT20" s="110"/>
      <c r="AU20" s="110"/>
      <c r="AW20" s="110"/>
    </row>
    <row r="21" spans="1:49" s="61" customFormat="1" ht="13.5" customHeight="1">
      <c r="A21" s="306">
        <f>VLOOKUP(B21,ReportData!$AQ$4:$AR$25,2,FALSE)</f>
        <v>0</v>
      </c>
      <c r="B21" s="65" t="str">
        <f>ReportData!$K$15</f>
        <v>Reading</v>
      </c>
      <c r="C21" s="59"/>
      <c r="D21" s="66" t="str">
        <f>IF(Year1_Reading Year1_Children_missing_Education="","",Year1_Reading Year1_Children_missing_Education)</f>
        <v/>
      </c>
      <c r="E21" s="66" t="str">
        <f>IF(Year2_Reading Year2_Children_missing_Education="","",Year2_Reading Year2_Children_missing_Education)</f>
        <v/>
      </c>
      <c r="F21" s="66" t="str">
        <f>IF(Year3_Reading Year3_Children_missing_Education="","",Year3_Reading Year3_Children_missing_Education)</f>
        <v/>
      </c>
      <c r="G21" s="66" t="str">
        <f>IF(Year4_Reading Year4_Children_missing_Education="","",Year4_Reading Year4_Children_missing_Education)</f>
        <v/>
      </c>
      <c r="H21" s="67" t="str">
        <f>IF(Year5_Reading Year5_Children_missing_Education="","",Year5_Reading Year5_Children_missing_Education)</f>
        <v/>
      </c>
      <c r="I21" s="616" t="e">
        <f t="shared" si="8"/>
        <v>#DIV/0!</v>
      </c>
      <c r="J21" s="482" t="e">
        <f t="shared" si="0"/>
        <v>#DIV/0!</v>
      </c>
      <c r="K21" s="68"/>
      <c r="L21" s="69" t="e">
        <f>IF(ISNUMBER(D21),D21/Population!P55*10000,NA())</f>
        <v>#N/A</v>
      </c>
      <c r="M21" s="69" t="e">
        <f>IF(ISNUMBER(E21),E21/Population!Q55*10000,NA())</f>
        <v>#N/A</v>
      </c>
      <c r="N21" s="69" t="e">
        <f>IF(ISNUMBER(F21),F21/Population!R55*10000,NA())</f>
        <v>#N/A</v>
      </c>
      <c r="O21" s="69" t="e">
        <f>IF(ISNUMBER(G21),G21/Population!S55*10000,NA())</f>
        <v>#N/A</v>
      </c>
      <c r="P21" s="70" t="e">
        <f>IF(ISNUMBER(H21),H21/Population!T55*10000,NA())</f>
        <v>#N/A</v>
      </c>
      <c r="Q21" s="71" t="str">
        <f t="shared" si="9"/>
        <v/>
      </c>
      <c r="R21" s="529" t="e">
        <f t="shared" si="1"/>
        <v>#N/A</v>
      </c>
      <c r="S21" s="50"/>
      <c r="T21" s="439">
        <f>IDACI!C20</f>
        <v>16</v>
      </c>
      <c r="U21" s="89"/>
      <c r="V21" s="103"/>
      <c r="W21" s="115"/>
      <c r="X21" s="595" t="str">
        <f>ReportData!$K$15</f>
        <v>Reading</v>
      </c>
      <c r="Y21" s="620">
        <f>IF(ISNUMBER(H21),IDACI!D20,0)</f>
        <v>0</v>
      </c>
      <c r="Z21" s="621">
        <f>IF(ISNUMBER(H21),IDACI!E20,0)</f>
        <v>0</v>
      </c>
      <c r="AA21" s="619" t="str">
        <f>IF(ISNUMBER(D21),Population!P55,"")</f>
        <v/>
      </c>
      <c r="AB21" s="155" t="str">
        <f>IF(ISNUMBER(E21),Population!Q55,"")</f>
        <v/>
      </c>
      <c r="AC21" s="155" t="str">
        <f>IF(ISNUMBER(F21),Population!R55,"")</f>
        <v/>
      </c>
      <c r="AD21" s="155" t="str">
        <f>IF(ISNUMBER(G21),Population!S55,"")</f>
        <v/>
      </c>
      <c r="AE21" s="155" t="str">
        <f>IF(ISNUMBER(H21),Population!T55,"")</f>
        <v/>
      </c>
      <c r="AG21" s="65" t="s">
        <v>3</v>
      </c>
      <c r="AH21" s="70" t="str">
        <f t="shared" si="2"/>
        <v/>
      </c>
      <c r="AI21" s="156" t="e">
        <f t="shared" si="3"/>
        <v>#VALUE!</v>
      </c>
      <c r="AJ21" s="121"/>
      <c r="AK21" s="480" t="str">
        <f t="shared" si="4"/>
        <v>x</v>
      </c>
      <c r="AL21" s="480" t="str">
        <f t="shared" si="5"/>
        <v>x</v>
      </c>
      <c r="AM21" s="480" t="str">
        <f t="shared" si="6"/>
        <v>x</v>
      </c>
      <c r="AN21" s="480" t="str">
        <f t="shared" si="7"/>
        <v>x</v>
      </c>
      <c r="AO21" s="480" t="e">
        <f t="shared" si="10"/>
        <v>#DIV/0!</v>
      </c>
      <c r="AQ21" s="110"/>
      <c r="AR21" s="110"/>
      <c r="AS21" s="110"/>
      <c r="AT21" s="110"/>
      <c r="AU21" s="110"/>
      <c r="AW21" s="110"/>
    </row>
    <row r="22" spans="1:49" s="61" customFormat="1" ht="13.5" customHeight="1">
      <c r="A22" s="306">
        <f>VLOOKUP(B22,ReportData!$AQ$4:$AR$25,2,FALSE)</f>
        <v>0</v>
      </c>
      <c r="B22" s="65" t="str">
        <f>ReportData!$K$16</f>
        <v>Slough</v>
      </c>
      <c r="C22" s="59"/>
      <c r="D22" s="66" t="str">
        <f>IF(Year1_Slough Year1_Children_missing_Education="","",Year1_Slough Year1_Children_missing_Education)</f>
        <v/>
      </c>
      <c r="E22" s="66" t="str">
        <f>IF(Year2_Slough Year2_Children_missing_Education="","",Year2_Slough Year2_Children_missing_Education)</f>
        <v/>
      </c>
      <c r="F22" s="66" t="str">
        <f>IF(Year3_Slough Year3_Children_missing_Education="","",Year3_Slough Year3_Children_missing_Education)</f>
        <v/>
      </c>
      <c r="G22" s="66" t="str">
        <f>IF(Year4_Slough Year4_Children_missing_Education="","",Year4_Slough Year4_Children_missing_Education)</f>
        <v/>
      </c>
      <c r="H22" s="67" t="str">
        <f>IF(Year5_Slough Year5_Children_missing_Education="","",Year5_Slough Year5_Children_missing_Education)</f>
        <v/>
      </c>
      <c r="I22" s="616" t="e">
        <f t="shared" si="8"/>
        <v>#DIV/0!</v>
      </c>
      <c r="J22" s="482" t="e">
        <f t="shared" si="0"/>
        <v>#DIV/0!</v>
      </c>
      <c r="K22" s="68"/>
      <c r="L22" s="69" t="e">
        <f>IF(ISNUMBER(D22),D22/Population!P56*10000,NA())</f>
        <v>#N/A</v>
      </c>
      <c r="M22" s="69" t="e">
        <f>IF(ISNUMBER(E22),E22/Population!Q56*10000,NA())</f>
        <v>#N/A</v>
      </c>
      <c r="N22" s="69" t="e">
        <f>IF(ISNUMBER(F22),F22/Population!R56*10000,NA())</f>
        <v>#N/A</v>
      </c>
      <c r="O22" s="69" t="e">
        <f>IF(ISNUMBER(G22),G22/Population!S56*10000,NA())</f>
        <v>#N/A</v>
      </c>
      <c r="P22" s="70" t="e">
        <f>IF(ISNUMBER(H22),H22/Population!T56*10000,NA())</f>
        <v>#N/A</v>
      </c>
      <c r="Q22" s="71" t="str">
        <f t="shared" si="9"/>
        <v/>
      </c>
      <c r="R22" s="529" t="e">
        <f t="shared" si="1"/>
        <v>#N/A</v>
      </c>
      <c r="S22" s="50"/>
      <c r="T22" s="439">
        <f>IDACI!C21</f>
        <v>14.7</v>
      </c>
      <c r="U22" s="89"/>
      <c r="V22" s="103"/>
      <c r="W22" s="115"/>
      <c r="X22" s="595" t="str">
        <f>ReportData!$K$16</f>
        <v>Slough</v>
      </c>
      <c r="Y22" s="620">
        <f>IF(ISNUMBER(H22),IDACI!D21,0)</f>
        <v>0</v>
      </c>
      <c r="Z22" s="621">
        <f>IF(ISNUMBER(H22),IDACI!E21,0)</f>
        <v>0</v>
      </c>
      <c r="AA22" s="619" t="str">
        <f>IF(ISNUMBER(D22),Population!P56,"")</f>
        <v/>
      </c>
      <c r="AB22" s="155" t="str">
        <f>IF(ISNUMBER(E22),Population!Q56,"")</f>
        <v/>
      </c>
      <c r="AC22" s="155" t="str">
        <f>IF(ISNUMBER(F22),Population!R56,"")</f>
        <v/>
      </c>
      <c r="AD22" s="155" t="str">
        <f>IF(ISNUMBER(G22),Population!S56,"")</f>
        <v/>
      </c>
      <c r="AE22" s="155" t="str">
        <f>IF(ISNUMBER(H22),Population!T56,"")</f>
        <v/>
      </c>
      <c r="AG22" s="65" t="s">
        <v>13</v>
      </c>
      <c r="AH22" s="70" t="str">
        <f t="shared" si="2"/>
        <v/>
      </c>
      <c r="AI22" s="156" t="e">
        <f t="shared" si="3"/>
        <v>#VALUE!</v>
      </c>
      <c r="AJ22" s="121"/>
      <c r="AK22" s="480" t="str">
        <f t="shared" si="4"/>
        <v>x</v>
      </c>
      <c r="AL22" s="480" t="str">
        <f t="shared" si="5"/>
        <v>x</v>
      </c>
      <c r="AM22" s="480" t="str">
        <f t="shared" si="6"/>
        <v>x</v>
      </c>
      <c r="AN22" s="480" t="str">
        <f t="shared" si="7"/>
        <v>x</v>
      </c>
      <c r="AO22" s="480" t="e">
        <f t="shared" si="10"/>
        <v>#DIV/0!</v>
      </c>
      <c r="AQ22" s="110"/>
      <c r="AR22" s="110"/>
      <c r="AS22" s="110"/>
      <c r="AT22" s="110"/>
      <c r="AU22" s="110"/>
      <c r="AW22" s="110"/>
    </row>
    <row r="23" spans="1:49" s="61" customFormat="1" ht="13.5" customHeight="1">
      <c r="A23" s="306" t="e">
        <f>VLOOKUP(B23,ReportData!$AQ$4:$AR$25,2,FALSE)</f>
        <v>#REF!</v>
      </c>
      <c r="B23" s="65" t="e">
        <f>ReportData!#REF!</f>
        <v>#REF!</v>
      </c>
      <c r="C23" s="59"/>
      <c r="D23" s="66" t="e">
        <f>IF(Year1_Somerset Year1_Children_missing_Education="","",Year1_Somerset Year1_Children_missing_Education)</f>
        <v>#NAME?</v>
      </c>
      <c r="E23" s="66" t="e">
        <f>IF(Year2_Somerset Year2_Children_missing_Education="","",Year2_Somerset Year2_Children_missing_Education)</f>
        <v>#NAME?</v>
      </c>
      <c r="F23" s="66" t="e">
        <f>IF(Year3_Somerset Year3_Children_missing_Education="","",Year3_Somerset Year3_Children_missing_Education)</f>
        <v>#NAME?</v>
      </c>
      <c r="G23" s="66" t="e">
        <f>IF(Year4_Somerset Year4_Children_missing_Education="","",Year4_Somerset Year4_Children_missing_Education)</f>
        <v>#NAME?</v>
      </c>
      <c r="H23" s="67" t="e">
        <f>IF(Year5_Somerset Year5_Children_missing_Education="","",Year5_Somerset Year5_Children_missing_Education)</f>
        <v>#NAME?</v>
      </c>
      <c r="I23" s="616" t="e">
        <f t="shared" si="8"/>
        <v>#DIV/0!</v>
      </c>
      <c r="J23" s="482" t="e">
        <f t="shared" si="0"/>
        <v>#DIV/0!</v>
      </c>
      <c r="K23" s="68"/>
      <c r="L23" s="69" t="e">
        <f>IF(ISNUMBER(D23),D23/Population!#REF!*10000,NA())</f>
        <v>#N/A</v>
      </c>
      <c r="M23" s="69" t="e">
        <f>IF(ISNUMBER(E23),E23/Population!#REF!*10000,NA())</f>
        <v>#N/A</v>
      </c>
      <c r="N23" s="69" t="e">
        <f>IF(ISNUMBER(F23),F23/Population!#REF!*10000,NA())</f>
        <v>#N/A</v>
      </c>
      <c r="O23" s="69" t="e">
        <f>IF(ISNUMBER(G23),G23/Population!#REF!*10000,NA())</f>
        <v>#N/A</v>
      </c>
      <c r="P23" s="70" t="e">
        <f>IF(ISNUMBER(H23),H23/Population!#REF!*10000,NA())</f>
        <v>#N/A</v>
      </c>
      <c r="Q23" s="71" t="str">
        <f t="shared" si="9"/>
        <v/>
      </c>
      <c r="R23" s="246" t="e">
        <f t="shared" si="1"/>
        <v>#N/A</v>
      </c>
      <c r="S23" s="50"/>
      <c r="T23" s="439" t="e">
        <f>IDACI!#REF!</f>
        <v>#REF!</v>
      </c>
      <c r="U23" s="89"/>
      <c r="V23" s="103"/>
      <c r="W23" s="115"/>
      <c r="X23" s="595" t="e">
        <f>ReportData!#REF!</f>
        <v>#REF!</v>
      </c>
      <c r="Y23" s="620">
        <f>IF(ISNUMBER(H23),IDACI!#REF!,0)</f>
        <v>0</v>
      </c>
      <c r="Z23" s="621">
        <f>IF(ISNUMBER(H23),IDACI!#REF!,0)</f>
        <v>0</v>
      </c>
      <c r="AA23" s="619" t="str">
        <f>IF(ISNUMBER(D23),Population!#REF!,"")</f>
        <v/>
      </c>
      <c r="AB23" s="155" t="str">
        <f>IF(ISNUMBER(E23),Population!#REF!,"")</f>
        <v/>
      </c>
      <c r="AC23" s="155" t="str">
        <f>IF(ISNUMBER(F23),Population!#REF!,"")</f>
        <v/>
      </c>
      <c r="AD23" s="155" t="str">
        <f>IF(ISNUMBER(G23),Population!#REF!,"")</f>
        <v/>
      </c>
      <c r="AE23" s="155" t="str">
        <f>IF(ISNUMBER(H23),Population!#REF!,"")</f>
        <v/>
      </c>
      <c r="AG23" s="65" t="s">
        <v>14</v>
      </c>
      <c r="AH23" s="70" t="str">
        <f t="shared" si="2"/>
        <v/>
      </c>
      <c r="AI23" s="156" t="e">
        <f t="shared" si="3"/>
        <v>#VALUE!</v>
      </c>
      <c r="AJ23" s="121"/>
      <c r="AK23" s="480" t="str">
        <f t="shared" si="4"/>
        <v>x</v>
      </c>
      <c r="AL23" s="480" t="str">
        <f t="shared" si="5"/>
        <v>x</v>
      </c>
      <c r="AM23" s="480" t="str">
        <f t="shared" si="6"/>
        <v>x</v>
      </c>
      <c r="AN23" s="480" t="str">
        <f t="shared" si="7"/>
        <v>x</v>
      </c>
      <c r="AO23" s="480" t="e">
        <f t="shared" si="10"/>
        <v>#DIV/0!</v>
      </c>
      <c r="AQ23" s="110"/>
      <c r="AR23" s="110"/>
      <c r="AS23" s="110"/>
      <c r="AT23" s="110"/>
      <c r="AU23" s="110"/>
      <c r="AW23" s="110"/>
    </row>
    <row r="24" spans="1:49" s="61" customFormat="1" ht="13.5" customHeight="1">
      <c r="A24" s="306">
        <f>VLOOKUP(B24,ReportData!$AQ$4:$AR$25,2,FALSE)</f>
        <v>0</v>
      </c>
      <c r="B24" s="65" t="str">
        <f>ReportData!$K$17</f>
        <v>Southampton</v>
      </c>
      <c r="C24" s="59"/>
      <c r="D24" s="66" t="str">
        <f>IF(Year1_Southampton Year1_Children_missing_Education="","",Year1_Southampton Year1_Children_missing_Education)</f>
        <v/>
      </c>
      <c r="E24" s="66" t="str">
        <f>IF(Year2_Southampton Year2_Children_missing_Education="","",Year2_Southampton Year2_Children_missing_Education)</f>
        <v/>
      </c>
      <c r="F24" s="66" t="str">
        <f>IF(Year3_Southampton Year3_Children_missing_Education="","",Year3_Southampton Year3_Children_missing_Education)</f>
        <v/>
      </c>
      <c r="G24" s="66" t="str">
        <f>IF(Year4_Southampton Year4_Children_missing_Education="","",Year4_Southampton Year4_Children_missing_Education)</f>
        <v/>
      </c>
      <c r="H24" s="67" t="str">
        <f>IF(Year5_Southampton Year5_Children_missing_Education="","",Year5_Southampton Year5_Children_missing_Education)</f>
        <v/>
      </c>
      <c r="I24" s="616" t="e">
        <f t="shared" si="8"/>
        <v>#DIV/0!</v>
      </c>
      <c r="J24" s="482" t="e">
        <f t="shared" si="0"/>
        <v>#DIV/0!</v>
      </c>
      <c r="K24" s="68"/>
      <c r="L24" s="69" t="e">
        <f>IF(ISNUMBER(D24),D24/Population!P57*10000,NA())</f>
        <v>#N/A</v>
      </c>
      <c r="M24" s="69" t="e">
        <f>IF(ISNUMBER(E24),E24/Population!Q57*10000,NA())</f>
        <v>#N/A</v>
      </c>
      <c r="N24" s="69" t="e">
        <f>IF(ISNUMBER(F24),F24/Population!R57*10000,NA())</f>
        <v>#N/A</v>
      </c>
      <c r="O24" s="69" t="e">
        <f>IF(ISNUMBER(G24),G24/Population!S57*10000,NA())</f>
        <v>#N/A</v>
      </c>
      <c r="P24" s="70" t="e">
        <f>IF(ISNUMBER(H24),H24/Population!T57*10000,NA())</f>
        <v>#N/A</v>
      </c>
      <c r="Q24" s="71" t="str">
        <f t="shared" si="9"/>
        <v/>
      </c>
      <c r="R24" s="529" t="e">
        <f t="shared" si="1"/>
        <v>#N/A</v>
      </c>
      <c r="S24" s="50"/>
      <c r="T24" s="439">
        <f>IDACI!C22</f>
        <v>20.5</v>
      </c>
      <c r="U24" s="89"/>
      <c r="V24" s="103"/>
      <c r="W24" s="115"/>
      <c r="X24" s="595" t="str">
        <f>ReportData!$K$17</f>
        <v>Southampton</v>
      </c>
      <c r="Y24" s="620">
        <f>IF(ISNUMBER(H24),IDACI!D22,0)</f>
        <v>0</v>
      </c>
      <c r="Z24" s="621">
        <f>IF(ISNUMBER(H24),IDACI!E22,0)</f>
        <v>0</v>
      </c>
      <c r="AA24" s="619" t="str">
        <f>IF(ISNUMBER(D24),Population!P57,"")</f>
        <v/>
      </c>
      <c r="AB24" s="155" t="str">
        <f>IF(ISNUMBER(E24),Population!Q57,"")</f>
        <v/>
      </c>
      <c r="AC24" s="155" t="str">
        <f>IF(ISNUMBER(F24),Population!R57,"")</f>
        <v/>
      </c>
      <c r="AD24" s="155" t="str">
        <f>IF(ISNUMBER(G24),Population!S57,"")</f>
        <v/>
      </c>
      <c r="AE24" s="155" t="str">
        <f>IF(ISNUMBER(H24),Population!T57,"")</f>
        <v/>
      </c>
      <c r="AG24" s="65" t="s">
        <v>7</v>
      </c>
      <c r="AH24" s="70" t="str">
        <f t="shared" si="2"/>
        <v/>
      </c>
      <c r="AI24" s="156" t="e">
        <f t="shared" si="3"/>
        <v>#VALUE!</v>
      </c>
      <c r="AJ24" s="121"/>
      <c r="AK24" s="480" t="str">
        <f t="shared" si="4"/>
        <v>x</v>
      </c>
      <c r="AL24" s="480" t="str">
        <f t="shared" si="5"/>
        <v>x</v>
      </c>
      <c r="AM24" s="480" t="str">
        <f t="shared" si="6"/>
        <v>x</v>
      </c>
      <c r="AN24" s="480" t="str">
        <f t="shared" si="7"/>
        <v>x</v>
      </c>
      <c r="AO24" s="480" t="e">
        <f t="shared" si="10"/>
        <v>#DIV/0!</v>
      </c>
      <c r="AQ24" s="110"/>
      <c r="AR24" s="110"/>
      <c r="AS24" s="110"/>
      <c r="AT24" s="110"/>
      <c r="AU24" s="110"/>
      <c r="AW24" s="110"/>
    </row>
    <row r="25" spans="1:49" s="61" customFormat="1" ht="13.5" customHeight="1">
      <c r="A25" s="306">
        <f>VLOOKUP(B25,ReportData!$AQ$4:$AR$25,2,FALSE)</f>
        <v>0</v>
      </c>
      <c r="B25" s="65" t="str">
        <f>ReportData!$K$18</f>
        <v>Surrey</v>
      </c>
      <c r="C25" s="59"/>
      <c r="D25" s="66" t="str">
        <f>IF(Year1_Surrey Year1_Children_missing_Education="","",Year1_Surrey Year1_Children_missing_Education)</f>
        <v/>
      </c>
      <c r="E25" s="66" t="str">
        <f>IF(Year2_Surrey Year2_Children_missing_Education="","",Year2_Surrey Year2_Children_missing_Education)</f>
        <v/>
      </c>
      <c r="F25" s="66" t="str">
        <f>IF(Year3_Surrey Year3_Children_missing_Education="","",Year3_Surrey Year3_Children_missing_Education)</f>
        <v/>
      </c>
      <c r="G25" s="66" t="str">
        <f>IF(Year4_Surrey Year4_Children_missing_Education="","",Year4_Surrey Year4_Children_missing_Education)</f>
        <v/>
      </c>
      <c r="H25" s="67" t="str">
        <f>IF(Year5_Surrey Year5_Children_missing_Education="","",Year5_Surrey Year5_Children_missing_Education)</f>
        <v/>
      </c>
      <c r="I25" s="616" t="e">
        <f t="shared" si="8"/>
        <v>#DIV/0!</v>
      </c>
      <c r="J25" s="482" t="e">
        <f t="shared" si="0"/>
        <v>#DIV/0!</v>
      </c>
      <c r="K25" s="68"/>
      <c r="L25" s="69" t="e">
        <f>IF(ISNUMBER(D25),D25/Population!P58*10000,NA())</f>
        <v>#N/A</v>
      </c>
      <c r="M25" s="69" t="e">
        <f>IF(ISNUMBER(E25),E25/Population!Q58*10000,NA())</f>
        <v>#N/A</v>
      </c>
      <c r="N25" s="69" t="e">
        <f>IF(ISNUMBER(F25),F25/Population!R58*10000,NA())</f>
        <v>#N/A</v>
      </c>
      <c r="O25" s="69" t="e">
        <f>IF(ISNUMBER(G25),G25/Population!S58*10000,NA())</f>
        <v>#N/A</v>
      </c>
      <c r="P25" s="70" t="e">
        <f>IF(ISNUMBER(H25),H25/Population!T58*10000,NA())</f>
        <v>#N/A</v>
      </c>
      <c r="Q25" s="71" t="str">
        <f t="shared" si="9"/>
        <v/>
      </c>
      <c r="R25" s="529" t="e">
        <f t="shared" si="1"/>
        <v>#N/A</v>
      </c>
      <c r="S25" s="50"/>
      <c r="T25" s="439">
        <f>IDACI!C23</f>
        <v>8.3000000000000007</v>
      </c>
      <c r="U25" s="89"/>
      <c r="V25" s="103"/>
      <c r="W25" s="115"/>
      <c r="X25" s="595" t="str">
        <f>ReportData!$K$18</f>
        <v>Surrey</v>
      </c>
      <c r="Y25" s="620">
        <f>IF(ISNUMBER(H25),IDACI!D23,0)</f>
        <v>0</v>
      </c>
      <c r="Z25" s="621">
        <f>IF(ISNUMBER(H25),IDACI!E23,0)</f>
        <v>0</v>
      </c>
      <c r="AA25" s="619" t="str">
        <f>IF(ISNUMBER(D25),Population!P58,"")</f>
        <v/>
      </c>
      <c r="AB25" s="155" t="str">
        <f>IF(ISNUMBER(E25),Population!Q58,"")</f>
        <v/>
      </c>
      <c r="AC25" s="155" t="str">
        <f>IF(ISNUMBER(F25),Population!R58,"")</f>
        <v/>
      </c>
      <c r="AD25" s="155" t="str">
        <f>IF(ISNUMBER(G25),Population!S58,"")</f>
        <v/>
      </c>
      <c r="AE25" s="155" t="str">
        <f>IF(ISNUMBER(H25),Population!T58,"")</f>
        <v/>
      </c>
      <c r="AG25" s="65" t="s">
        <v>15</v>
      </c>
      <c r="AH25" s="70" t="str">
        <f t="shared" si="2"/>
        <v/>
      </c>
      <c r="AI25" s="156" t="e">
        <f t="shared" si="3"/>
        <v>#VALUE!</v>
      </c>
      <c r="AJ25" s="121"/>
      <c r="AK25" s="480" t="str">
        <f t="shared" si="4"/>
        <v>x</v>
      </c>
      <c r="AL25" s="480" t="str">
        <f t="shared" si="5"/>
        <v>x</v>
      </c>
      <c r="AM25" s="480" t="str">
        <f t="shared" si="6"/>
        <v>x</v>
      </c>
      <c r="AN25" s="480" t="str">
        <f t="shared" si="7"/>
        <v>x</v>
      </c>
      <c r="AO25" s="480" t="e">
        <f t="shared" si="10"/>
        <v>#DIV/0!</v>
      </c>
      <c r="AQ25" s="110"/>
      <c r="AR25" s="110"/>
      <c r="AS25" s="110"/>
      <c r="AT25" s="110"/>
      <c r="AU25" s="110"/>
      <c r="AW25" s="110"/>
    </row>
    <row r="26" spans="1:49" s="61" customFormat="1" ht="13.5" customHeight="1">
      <c r="A26" s="306" t="e">
        <f>VLOOKUP(B26,ReportData!$AQ$4:$AR$25,2,FALSE)</f>
        <v>#REF!</v>
      </c>
      <c r="B26" s="65" t="e">
        <f>ReportData!#REF!</f>
        <v>#REF!</v>
      </c>
      <c r="C26" s="59"/>
      <c r="D26" s="66" t="e">
        <f>IF(Year1_Swindon Year1_Children_missing_Education="","",Year1_Swindon Year1_Children_missing_Education)</f>
        <v>#NAME?</v>
      </c>
      <c r="E26" s="66" t="e">
        <f>IF(Year2_Swindon Year2_Children_missing_Education="","",Year2_Swindon Year2_Children_missing_Education)</f>
        <v>#NAME?</v>
      </c>
      <c r="F26" s="66" t="e">
        <f>IF(Year3_Swindon Year3_Children_missing_Education="","",Year3_Swindon Year3_Children_missing_Education)</f>
        <v>#NAME?</v>
      </c>
      <c r="G26" s="66" t="e">
        <f>IF(Year4_Swindon Year4_Children_missing_Education="","",Year4_Swindon Year4_Children_missing_Education)</f>
        <v>#NAME?</v>
      </c>
      <c r="H26" s="67" t="e">
        <f>IF(Year5_Swindon Year5_Children_missing_Education="","",Year5_Swindon Year5_Children_missing_Education)</f>
        <v>#NAME?</v>
      </c>
      <c r="I26" s="616" t="e">
        <f t="shared" si="8"/>
        <v>#DIV/0!</v>
      </c>
      <c r="J26" s="482" t="e">
        <f t="shared" si="0"/>
        <v>#DIV/0!</v>
      </c>
      <c r="K26" s="68"/>
      <c r="L26" s="69" t="e">
        <f>IF(ISNUMBER(D26),D26/Population!#REF!*10000,NA())</f>
        <v>#N/A</v>
      </c>
      <c r="M26" s="69" t="e">
        <f>IF(ISNUMBER(E26),E26/Population!#REF!*10000,NA())</f>
        <v>#N/A</v>
      </c>
      <c r="N26" s="69" t="e">
        <f>IF(ISNUMBER(F26),F26/Population!#REF!*10000,NA())</f>
        <v>#N/A</v>
      </c>
      <c r="O26" s="69" t="e">
        <f>IF(ISNUMBER(G26),G26/Population!#REF!*10000,NA())</f>
        <v>#N/A</v>
      </c>
      <c r="P26" s="70" t="e">
        <f>IF(ISNUMBER(H26),H26/Population!#REF!*10000,NA())</f>
        <v>#N/A</v>
      </c>
      <c r="Q26" s="71" t="str">
        <f t="shared" si="9"/>
        <v/>
      </c>
      <c r="R26" s="246" t="e">
        <f t="shared" si="1"/>
        <v>#N/A</v>
      </c>
      <c r="S26" s="50"/>
      <c r="T26" s="439" t="e">
        <f>IDACI!#REF!</f>
        <v>#REF!</v>
      </c>
      <c r="U26" s="89"/>
      <c r="V26" s="103"/>
      <c r="W26" s="115"/>
      <c r="X26" s="595" t="e">
        <f>ReportData!#REF!</f>
        <v>#REF!</v>
      </c>
      <c r="Y26" s="620">
        <f>IF(ISNUMBER(H26),IDACI!#REF!,0)</f>
        <v>0</v>
      </c>
      <c r="Z26" s="621">
        <f>IF(ISNUMBER(H26),IDACI!#REF!,0)</f>
        <v>0</v>
      </c>
      <c r="AA26" s="619" t="str">
        <f>IF(ISNUMBER(D26),Population!#REF!,"")</f>
        <v/>
      </c>
      <c r="AB26" s="155" t="str">
        <f>IF(ISNUMBER(E26),Population!#REF!,"")</f>
        <v/>
      </c>
      <c r="AC26" s="155" t="str">
        <f>IF(ISNUMBER(F26),Population!#REF!,"")</f>
        <v/>
      </c>
      <c r="AD26" s="155" t="str">
        <f>IF(ISNUMBER(G26),Population!#REF!,"")</f>
        <v/>
      </c>
      <c r="AE26" s="155" t="str">
        <f>IF(ISNUMBER(H26),Population!#REF!,"")</f>
        <v/>
      </c>
      <c r="AG26" s="65" t="s">
        <v>5</v>
      </c>
      <c r="AH26" s="70" t="str">
        <f t="shared" si="2"/>
        <v/>
      </c>
      <c r="AI26" s="156" t="e">
        <f t="shared" si="3"/>
        <v>#VALUE!</v>
      </c>
      <c r="AJ26" s="121"/>
      <c r="AK26" s="480" t="str">
        <f t="shared" si="4"/>
        <v>x</v>
      </c>
      <c r="AL26" s="480" t="str">
        <f t="shared" si="5"/>
        <v>x</v>
      </c>
      <c r="AM26" s="480" t="str">
        <f t="shared" si="6"/>
        <v>x</v>
      </c>
      <c r="AN26" s="480" t="str">
        <f t="shared" si="7"/>
        <v>x</v>
      </c>
      <c r="AO26" s="480" t="e">
        <f t="shared" si="10"/>
        <v>#DIV/0!</v>
      </c>
      <c r="AQ26" s="110"/>
      <c r="AR26" s="110"/>
      <c r="AS26" s="110"/>
      <c r="AT26" s="110"/>
      <c r="AU26" s="110"/>
      <c r="AW26" s="110"/>
    </row>
    <row r="27" spans="1:49" s="61" customFormat="1" ht="13.5" customHeight="1">
      <c r="A27" s="306">
        <f>VLOOKUP(B27,ReportData!$AQ$4:$AR$25,2,FALSE)</f>
        <v>0</v>
      </c>
      <c r="B27" s="65" t="str">
        <f>ReportData!$K$19</f>
        <v>West Berkshire</v>
      </c>
      <c r="C27" s="59"/>
      <c r="D27" s="66" t="str">
        <f>IF(Year1_West_Berkshire Year1_Children_missing_Education="","",Year1_West_Berkshire Year1_Children_missing_Education)</f>
        <v/>
      </c>
      <c r="E27" s="66" t="str">
        <f>IF(Year2_West_Berkshire Year2_Children_missing_Education="","",Year2_West_Berkshire Year2_Children_missing_Education)</f>
        <v/>
      </c>
      <c r="F27" s="66" t="str">
        <f>IF(Year3_West_Berkshire Year3_Children_missing_Education="","",Year3_West_Berkshire Year3_Children_missing_Education)</f>
        <v/>
      </c>
      <c r="G27" s="66" t="str">
        <f>IF(Year4_West_Berkshire Year4_Children_missing_Education="","",Year4_West_Berkshire Year4_Children_missing_Education)</f>
        <v/>
      </c>
      <c r="H27" s="67" t="str">
        <f>IF(Year5_West_Berkshire Year5_Children_missing_Education="","",Year5_West_Berkshire Year5_Children_missing_Education)</f>
        <v/>
      </c>
      <c r="I27" s="616" t="e">
        <f t="shared" ref="I27:I32" si="11">AO27</f>
        <v>#DIV/0!</v>
      </c>
      <c r="J27" s="482" t="e">
        <f>I27</f>
        <v>#DIV/0!</v>
      </c>
      <c r="K27" s="68"/>
      <c r="L27" s="69" t="e">
        <f>IF(ISNUMBER(D27),D27/Population!P59*10000,NA())</f>
        <v>#N/A</v>
      </c>
      <c r="M27" s="69" t="e">
        <f>IF(ISNUMBER(E27),E27/Population!Q59*10000,NA())</f>
        <v>#N/A</v>
      </c>
      <c r="N27" s="69" t="e">
        <f>IF(ISNUMBER(F27),F27/Population!R59*10000,NA())</f>
        <v>#N/A</v>
      </c>
      <c r="O27" s="69" t="e">
        <f>IF(ISNUMBER(G27),G27/Population!S59*10000,NA())</f>
        <v>#N/A</v>
      </c>
      <c r="P27" s="70" t="e">
        <f>IF(ISNUMBER(H27),H27/Population!T59*10000,NA())</f>
        <v>#N/A</v>
      </c>
      <c r="Q27" s="71" t="str">
        <f>IF(ISNUMBER(P27),P27,"")</f>
        <v/>
      </c>
      <c r="R27" s="529" t="e">
        <f t="shared" ref="R27:R32" si="12">IF(ISNA(VLOOKUP(B27,$AG$10:$AI$28,3,FALSE)),"--",IF(ISNUMBER(H27),VLOOKUP(B27,$AG$10:$AI$28,3,FALSE),NA()))</f>
        <v>#N/A</v>
      </c>
      <c r="S27" s="50"/>
      <c r="T27" s="439">
        <f>IDACI!C24</f>
        <v>8.6999999999999993</v>
      </c>
      <c r="U27" s="89"/>
      <c r="V27" s="103"/>
      <c r="W27" s="115"/>
      <c r="X27" s="595" t="str">
        <f>ReportData!$K$19</f>
        <v>West Berkshire</v>
      </c>
      <c r="Y27" s="620">
        <f>IF(ISNUMBER(H27),IDACI!D24,0)</f>
        <v>0</v>
      </c>
      <c r="Z27" s="621">
        <f>IF(ISNUMBER(H27),IDACI!E24,0)</f>
        <v>0</v>
      </c>
      <c r="AA27" s="619" t="str">
        <f>IF(ISNUMBER(D27),Population!P59,"")</f>
        <v/>
      </c>
      <c r="AB27" s="155" t="str">
        <f>IF(ISNUMBER(E27),Population!Q59,"")</f>
        <v/>
      </c>
      <c r="AC27" s="155" t="str">
        <f>IF(ISNUMBER(F27),Population!R59,"")</f>
        <v/>
      </c>
      <c r="AD27" s="155" t="str">
        <f>IF(ISNUMBER(G27),Population!S59,"")</f>
        <v/>
      </c>
      <c r="AE27" s="155" t="str">
        <f>IF(ISNUMBER(H27),Population!T59,"")</f>
        <v/>
      </c>
      <c r="AG27" s="65" t="s">
        <v>27</v>
      </c>
      <c r="AH27" s="70" t="str">
        <f t="shared" si="2"/>
        <v/>
      </c>
      <c r="AI27" s="156" t="e">
        <f t="shared" si="3"/>
        <v>#VALUE!</v>
      </c>
      <c r="AJ27" s="121"/>
      <c r="AK27" s="480" t="str">
        <f t="shared" ref="AK27:AN32" si="13">IF(ISERROR((E27-D27)/D27),"x",(E27-D27)/D27)</f>
        <v>x</v>
      </c>
      <c r="AL27" s="480" t="str">
        <f t="shared" si="13"/>
        <v>x</v>
      </c>
      <c r="AM27" s="480" t="str">
        <f t="shared" si="13"/>
        <v>x</v>
      </c>
      <c r="AN27" s="480" t="str">
        <f t="shared" si="13"/>
        <v>x</v>
      </c>
      <c r="AO27" s="480" t="e">
        <f t="shared" ref="AO27:AO32" si="14">AVERAGE(AK27:AN27)</f>
        <v>#DIV/0!</v>
      </c>
      <c r="AQ27" s="110"/>
      <c r="AR27" s="110"/>
      <c r="AS27" s="110"/>
      <c r="AT27" s="110"/>
      <c r="AU27" s="110"/>
      <c r="AW27" s="110"/>
    </row>
    <row r="28" spans="1:49" s="61" customFormat="1" ht="13.5" customHeight="1">
      <c r="A28" s="306">
        <f>VLOOKUP(B28,ReportData!$AQ$4:$AR$25,2,FALSE)</f>
        <v>0</v>
      </c>
      <c r="B28" s="65" t="str">
        <f>ReportData!$K$20</f>
        <v>West Sussex</v>
      </c>
      <c r="C28" s="59"/>
      <c r="D28" s="66" t="str">
        <f>IF(Year1_West_Sussex Year1_Children_missing_Education="","",Year1_West_Sussex Year1_Children_missing_Education)</f>
        <v/>
      </c>
      <c r="E28" s="66" t="str">
        <f>IF(Year2_West_Sussex Year2_Children_missing_Education="","",Year2_West_Sussex Year2_Children_missing_Education)</f>
        <v/>
      </c>
      <c r="F28" s="66" t="str">
        <f>IF(Year3_West_Sussex Year3_Children_missing_Education="","",Year3_West_Sussex Year3_Children_missing_Education)</f>
        <v/>
      </c>
      <c r="G28" s="66" t="str">
        <f>IF(Year4_West_Sussex Year4_Children_missing_Education="","",Year4_West_Sussex Year4_Children_missing_Education)</f>
        <v/>
      </c>
      <c r="H28" s="67" t="str">
        <f>IF(Year5_West_Sussex Year5_Children_missing_Education="","",Year5_West_Sussex Year5_Children_missing_Education)</f>
        <v/>
      </c>
      <c r="I28" s="616" t="e">
        <f t="shared" si="11"/>
        <v>#DIV/0!</v>
      </c>
      <c r="J28" s="482" t="e">
        <f>I28</f>
        <v>#DIV/0!</v>
      </c>
      <c r="K28" s="68"/>
      <c r="L28" s="69" t="e">
        <f>IF(ISNUMBER(D28),D28/Population!P60*10000,NA())</f>
        <v>#N/A</v>
      </c>
      <c r="M28" s="69" t="e">
        <f>IF(ISNUMBER(E28),E28/Population!Q60*10000,NA())</f>
        <v>#N/A</v>
      </c>
      <c r="N28" s="69" t="e">
        <f>IF(ISNUMBER(F28),F28/Population!R60*10000,NA())</f>
        <v>#N/A</v>
      </c>
      <c r="O28" s="69" t="e">
        <f>IF(ISNUMBER(G28),G28/Population!S60*10000,NA())</f>
        <v>#N/A</v>
      </c>
      <c r="P28" s="70" t="e">
        <f>IF(ISNUMBER(H28),H28/Population!T60*10000,NA())</f>
        <v>#N/A</v>
      </c>
      <c r="Q28" s="71" t="str">
        <f>IF(ISNUMBER(P28),P28,"")</f>
        <v/>
      </c>
      <c r="R28" s="529" t="e">
        <f t="shared" si="12"/>
        <v>#N/A</v>
      </c>
      <c r="S28" s="50"/>
      <c r="T28" s="439">
        <f>IDACI!C25</f>
        <v>11</v>
      </c>
      <c r="U28" s="89"/>
      <c r="V28" s="103"/>
      <c r="W28" s="115"/>
      <c r="X28" s="595" t="str">
        <f>ReportData!$K$20</f>
        <v>West Sussex</v>
      </c>
      <c r="Y28" s="620">
        <f>IF(ISNUMBER(H28),IDACI!D25,0)</f>
        <v>0</v>
      </c>
      <c r="Z28" s="621">
        <f>IF(ISNUMBER(H28),IDACI!E25,0)</f>
        <v>0</v>
      </c>
      <c r="AA28" s="619" t="str">
        <f>IF(ISNUMBER(D28),Population!P60,"")</f>
        <v/>
      </c>
      <c r="AB28" s="155" t="str">
        <f>IF(ISNUMBER(E28),Population!Q60,"")</f>
        <v/>
      </c>
      <c r="AC28" s="155" t="str">
        <f>IF(ISNUMBER(F28),Population!R60,"")</f>
        <v/>
      </c>
      <c r="AD28" s="155" t="str">
        <f>IF(ISNUMBER(G28),Population!S60,"")</f>
        <v/>
      </c>
      <c r="AE28" s="155" t="str">
        <f>IF(ISNUMBER(H28),Population!T60,"")</f>
        <v/>
      </c>
      <c r="AG28" s="65" t="s">
        <v>16</v>
      </c>
      <c r="AH28" s="70" t="str">
        <f t="shared" si="2"/>
        <v/>
      </c>
      <c r="AI28" s="156" t="e">
        <f t="shared" si="3"/>
        <v>#VALUE!</v>
      </c>
      <c r="AJ28" s="121"/>
      <c r="AK28" s="480" t="str">
        <f t="shared" si="13"/>
        <v>x</v>
      </c>
      <c r="AL28" s="480" t="str">
        <f t="shared" si="13"/>
        <v>x</v>
      </c>
      <c r="AM28" s="480" t="str">
        <f t="shared" si="13"/>
        <v>x</v>
      </c>
      <c r="AN28" s="480" t="str">
        <f t="shared" si="13"/>
        <v>x</v>
      </c>
      <c r="AO28" s="480" t="e">
        <f t="shared" si="14"/>
        <v>#DIV/0!</v>
      </c>
      <c r="AQ28" s="110"/>
      <c r="AR28" s="110"/>
      <c r="AS28" s="110"/>
      <c r="AT28" s="110"/>
      <c r="AU28" s="110"/>
      <c r="AW28" s="110"/>
    </row>
    <row r="29" spans="1:49" s="61" customFormat="1" ht="13.5" customHeight="1">
      <c r="A29" s="306">
        <f>VLOOKUP(B29,ReportData!$AQ$4:$AR$25,2,FALSE)</f>
        <v>0</v>
      </c>
      <c r="B29" s="65" t="str">
        <f>ReportData!$K$21</f>
        <v>Windsor &amp; Maidenhead</v>
      </c>
      <c r="C29" s="59"/>
      <c r="D29" s="66" t="e">
        <f>IF(Year1_Windsor_Maidenhead Year1_Children_missing_Education="","",Year1_Windsor_Maidenhead Year1_Children_missing_Education)</f>
        <v>#NAME?</v>
      </c>
      <c r="E29" s="66" t="e">
        <f>IF(Year2_Windsor_Maidenhead Year2_Children_missing_Education="","",Year2_Windsor_Maidenhead Year2_Children_missing_Education)</f>
        <v>#NAME?</v>
      </c>
      <c r="F29" s="66" t="e">
        <f>IF(Year3_Windsor_Maidenhead Year3_Children_missing_Education="","",Year3_Windsor_Maidenhead Year3_Children_missing_Education)</f>
        <v>#NAME?</v>
      </c>
      <c r="G29" s="66" t="e">
        <f>IF(Year4_Windsor_Maidenhead Year4_Children_missing_Education="","",Year4_Windsor_Maidenhead Year4_Children_missing_Education)</f>
        <v>#NAME?</v>
      </c>
      <c r="H29" s="67" t="e">
        <f>IF(Year5_Windsor_Maidenhead Year5_Children_missing_Education="","",Year5_Windsor_Maidenhead Year5_Children_missing_Education)</f>
        <v>#NAME?</v>
      </c>
      <c r="I29" s="616" t="e">
        <f t="shared" si="11"/>
        <v>#DIV/0!</v>
      </c>
      <c r="J29" s="482" t="e">
        <f>I29</f>
        <v>#DIV/0!</v>
      </c>
      <c r="K29" s="68"/>
      <c r="L29" s="69" t="e">
        <f>IF(ISNUMBER(D29),D29/Population!P61*10000,NA())</f>
        <v>#N/A</v>
      </c>
      <c r="M29" s="69" t="e">
        <f>IF(ISNUMBER(E29),E29/Population!Q61*10000,NA())</f>
        <v>#N/A</v>
      </c>
      <c r="N29" s="69" t="e">
        <f>IF(ISNUMBER(F29),F29/Population!R61*10000,NA())</f>
        <v>#N/A</v>
      </c>
      <c r="O29" s="69" t="e">
        <f>IF(ISNUMBER(G29),G29/Population!S61*10000,NA())</f>
        <v>#N/A</v>
      </c>
      <c r="P29" s="70" t="e">
        <f>IF(ISNUMBER(H29),H29/Population!T61*10000,NA())</f>
        <v>#N/A</v>
      </c>
      <c r="Q29" s="71" t="str">
        <f>IF(ISNUMBER(P29),P29,"")</f>
        <v/>
      </c>
      <c r="R29" s="529" t="e">
        <f t="shared" si="12"/>
        <v>#N/A</v>
      </c>
      <c r="S29" s="50"/>
      <c r="T29" s="439">
        <f>IDACI!C26</f>
        <v>6.7</v>
      </c>
      <c r="U29" s="89"/>
      <c r="V29" s="103"/>
      <c r="W29" s="115"/>
      <c r="X29" s="595" t="str">
        <f>ReportData!$K$21</f>
        <v>Windsor &amp; Maidenhead</v>
      </c>
      <c r="Y29" s="620">
        <f>IF(ISNUMBER(H29),IDACI!D26,0)</f>
        <v>0</v>
      </c>
      <c r="Z29" s="621">
        <f>IF(ISNUMBER(H29),IDACI!E26,0)</f>
        <v>0</v>
      </c>
      <c r="AA29" s="619" t="str">
        <f>IF(ISNUMBER(D29),Population!P61,"")</f>
        <v/>
      </c>
      <c r="AB29" s="155" t="str">
        <f>IF(ISNUMBER(E29),Population!Q61,"")</f>
        <v/>
      </c>
      <c r="AC29" s="155" t="str">
        <f>IF(ISNUMBER(F29),Population!R61,"")</f>
        <v/>
      </c>
      <c r="AD29" s="155" t="str">
        <f>IF(ISNUMBER(G29),Population!S61,"")</f>
        <v/>
      </c>
      <c r="AE29" s="155" t="str">
        <f>IF(ISNUMBER(H29),Population!T61,"")</f>
        <v/>
      </c>
      <c r="AH29" s="141"/>
      <c r="AJ29" s="121"/>
      <c r="AK29" s="480" t="str">
        <f t="shared" si="13"/>
        <v>x</v>
      </c>
      <c r="AL29" s="480" t="str">
        <f t="shared" si="13"/>
        <v>x</v>
      </c>
      <c r="AM29" s="480" t="str">
        <f t="shared" si="13"/>
        <v>x</v>
      </c>
      <c r="AN29" s="480" t="str">
        <f t="shared" si="13"/>
        <v>x</v>
      </c>
      <c r="AO29" s="480" t="e">
        <f t="shared" si="14"/>
        <v>#DIV/0!</v>
      </c>
      <c r="AQ29" s="110"/>
      <c r="AR29" s="110"/>
      <c r="AS29" s="110"/>
      <c r="AT29" s="110"/>
      <c r="AU29" s="110"/>
      <c r="AW29" s="110"/>
    </row>
    <row r="30" spans="1:49" s="61" customFormat="1" ht="13.5" customHeight="1">
      <c r="A30" s="306">
        <f>VLOOKUP(B30,ReportData!$AQ$4:$AR$25,2,FALSE)</f>
        <v>0</v>
      </c>
      <c r="B30" s="65" t="str">
        <f>ReportData!$K$22</f>
        <v>Wokingham</v>
      </c>
      <c r="C30" s="59"/>
      <c r="D30" s="66" t="str">
        <f>IF(Year1_Wokingham Year1_Children_missing_Education="","",Year1_Wokingham Year1_Children_missing_Education)</f>
        <v/>
      </c>
      <c r="E30" s="66" t="str">
        <f>IF(Year2_Wokingham Year2_Children_missing_Education="","",Year2_Wokingham Year2_Children_missing_Education)</f>
        <v/>
      </c>
      <c r="F30" s="66" t="str">
        <f>IF(Year3_Wokingham Year3_Children_missing_Education="","",Year3_Wokingham Year3_Children_missing_Education)</f>
        <v/>
      </c>
      <c r="G30" s="66" t="str">
        <f>IF(Year4_Wokingham Year4_Children_missing_Education="","",Year4_Wokingham Year4_Children_missing_Education)</f>
        <v/>
      </c>
      <c r="H30" s="67" t="str">
        <f>IF(Year5_Wokingham Year5_Children_missing_Education="","",Year5_Wokingham Year5_Children_missing_Education)</f>
        <v/>
      </c>
      <c r="I30" s="616" t="e">
        <f t="shared" si="11"/>
        <v>#DIV/0!</v>
      </c>
      <c r="J30" s="482" t="e">
        <f>I30</f>
        <v>#DIV/0!</v>
      </c>
      <c r="K30" s="68"/>
      <c r="L30" s="69" t="e">
        <f>IF(ISNUMBER(D30),D30/Population!P62*10000,NA())</f>
        <v>#N/A</v>
      </c>
      <c r="M30" s="69" t="e">
        <f>IF(ISNUMBER(E30),E30/Population!Q62*10000,NA())</f>
        <v>#N/A</v>
      </c>
      <c r="N30" s="69" t="e">
        <f>IF(ISNUMBER(F30),F30/Population!R62*10000,NA())</f>
        <v>#N/A</v>
      </c>
      <c r="O30" s="69" t="e">
        <f>IF(ISNUMBER(G30),G30/Population!S62*10000,NA())</f>
        <v>#N/A</v>
      </c>
      <c r="P30" s="70" t="e">
        <f>IF(ISNUMBER(H30),H30/Population!T62*10000,NA())</f>
        <v>#N/A</v>
      </c>
      <c r="Q30" s="71" t="str">
        <f>IF(ISNUMBER(P30),P30,"")</f>
        <v/>
      </c>
      <c r="R30" s="529" t="e">
        <f t="shared" si="12"/>
        <v>#N/A</v>
      </c>
      <c r="S30" s="50"/>
      <c r="T30" s="439">
        <f>IDACI!C27</f>
        <v>5.6000000000000005</v>
      </c>
      <c r="U30" s="89"/>
      <c r="V30" s="103"/>
      <c r="W30" s="115"/>
      <c r="X30" s="595" t="str">
        <f>ReportData!$K$22</f>
        <v>Wokingham</v>
      </c>
      <c r="Y30" s="620">
        <f>IF(ISNUMBER(H30),IDACI!D27,0)</f>
        <v>0</v>
      </c>
      <c r="Z30" s="621">
        <f>IF(ISNUMBER(H30),IDACI!E27,0)</f>
        <v>0</v>
      </c>
      <c r="AA30" s="619" t="str">
        <f>IF(ISNUMBER(D30),Population!P62,"")</f>
        <v/>
      </c>
      <c r="AB30" s="155" t="str">
        <f>IF(ISNUMBER(E30),Population!Q62,"")</f>
        <v/>
      </c>
      <c r="AC30" s="155" t="str">
        <f>IF(ISNUMBER(F30),Population!R62,"")</f>
        <v/>
      </c>
      <c r="AD30" s="155" t="str">
        <f>IF(ISNUMBER(G30),Population!S62,"")</f>
        <v/>
      </c>
      <c r="AE30" s="155" t="str">
        <f>IF(ISNUMBER(H30),Population!T62,"")</f>
        <v/>
      </c>
      <c r="AH30" s="141"/>
      <c r="AJ30" s="121"/>
      <c r="AK30" s="480" t="str">
        <f t="shared" si="13"/>
        <v>x</v>
      </c>
      <c r="AL30" s="480" t="str">
        <f t="shared" si="13"/>
        <v>x</v>
      </c>
      <c r="AM30" s="480" t="str">
        <f t="shared" si="13"/>
        <v>x</v>
      </c>
      <c r="AN30" s="480" t="str">
        <f t="shared" si="13"/>
        <v>x</v>
      </c>
      <c r="AO30" s="480" t="e">
        <f t="shared" si="14"/>
        <v>#DIV/0!</v>
      </c>
      <c r="AQ30" s="110"/>
      <c r="AR30" s="110"/>
      <c r="AS30" s="110"/>
      <c r="AT30" s="110"/>
      <c r="AU30" s="110"/>
      <c r="AW30" s="110"/>
    </row>
    <row r="31" spans="1:49" s="61" customFormat="1" ht="13.5" customHeight="1">
      <c r="A31" s="306">
        <f>VLOOKUP(B30,ReportData!$AQ$4:$AR$25,2,FALSE)</f>
        <v>0</v>
      </c>
      <c r="B31" s="96" t="str">
        <f>ReportData!$K$23</f>
        <v>South East</v>
      </c>
      <c r="C31" s="59"/>
      <c r="D31" s="97" t="e">
        <f>IF(Year1_SouthEast Year1_Children_missing_Education="","",Year1_SouthEast Year1_Children_missing_Education)</f>
        <v>#NAME?</v>
      </c>
      <c r="E31" s="97" t="e">
        <f>IF(Year2_SouthEast Year2_Children_missing_Education="","",Year2_SouthEast Year2_Children_missing_Education)</f>
        <v>#NAME?</v>
      </c>
      <c r="F31" s="97" t="e">
        <f>IF(Year3_SouthEast Year3_Children_missing_Education="","",Year3_SouthEast Year3_Children_missing_Education)</f>
        <v>#NAME?</v>
      </c>
      <c r="G31" s="97" t="e">
        <f>IF(Year4_SouthEast Year4_Children_missing_Education="","",Year4_SouthEast Year4_Children_missing_Education)</f>
        <v>#NAME?</v>
      </c>
      <c r="H31" s="98" t="e">
        <f>IF(Year5_SouthEast Year5_Children_missing_Education="","",Year5_SouthEast Year5_Children_missing_Education)</f>
        <v>#NAME?</v>
      </c>
      <c r="I31" s="481" t="e">
        <f t="shared" si="11"/>
        <v>#DIV/0!</v>
      </c>
      <c r="J31" s="482" t="e">
        <f>I31</f>
        <v>#DIV/0!</v>
      </c>
      <c r="K31" s="68"/>
      <c r="L31" s="99" t="e">
        <f>IF(D31&gt;0,D31/AA31*10000,NA())</f>
        <v>#NAME?</v>
      </c>
      <c r="M31" s="99" t="e">
        <f>IF(AB31&gt;0,E31/AB31*10000,NA())</f>
        <v>#N/A</v>
      </c>
      <c r="N31" s="99" t="e">
        <f>IF(AC31&gt;0,F31/AC31*10000,NA())</f>
        <v>#N/A</v>
      </c>
      <c r="O31" s="99" t="e">
        <f>IF(AD31&gt;0,G31/AD31*10000,NA())</f>
        <v>#N/A</v>
      </c>
      <c r="P31" s="100" t="e">
        <f>IF(AE31&gt;0,H31/AE31*10000,NA())</f>
        <v>#N/A</v>
      </c>
      <c r="Q31" s="71" t="str">
        <f>IF(ISNUMBER(P31),P31,"")</f>
        <v/>
      </c>
      <c r="R31" s="235" t="str">
        <f t="shared" si="12"/>
        <v>--</v>
      </c>
      <c r="S31" s="50"/>
      <c r="T31" s="440" t="e">
        <f>Z31/Y31*100</f>
        <v>#DIV/0!</v>
      </c>
      <c r="U31" s="89"/>
      <c r="V31" s="103"/>
      <c r="W31" s="115"/>
      <c r="X31" s="596" t="str">
        <f>ReportData!$K$23</f>
        <v>South East</v>
      </c>
      <c r="Y31" s="620">
        <f>SUM(Y24:Y25,Y10:Y22,Y27:Y30)</f>
        <v>0</v>
      </c>
      <c r="Z31" s="621">
        <f>SUM(Z24:Z25,Z10:Z22,Z27:Z30)</f>
        <v>0</v>
      </c>
      <c r="AA31" s="619">
        <f>SUM(AA10:AA22,AA24:AA25,AA27:AA30)</f>
        <v>0</v>
      </c>
      <c r="AB31" s="155">
        <f>SUM(AB10:AB22,AB24:AB25,AB27:AB30)</f>
        <v>0</v>
      </c>
      <c r="AC31" s="155">
        <f>SUM(AC10:AC22,AC24:AC25,AC27:AC30)</f>
        <v>0</v>
      </c>
      <c r="AD31" s="155">
        <f>SUM(AD10:AD22,AD24:AD25,AD27:AD30)</f>
        <v>0</v>
      </c>
      <c r="AE31" s="155">
        <f>SUM(AE10:AE22,AE24:AE25,AE27:AE30)</f>
        <v>0</v>
      </c>
      <c r="AH31" s="141"/>
      <c r="AJ31" s="121"/>
      <c r="AK31" s="480" t="str">
        <f t="shared" si="13"/>
        <v>x</v>
      </c>
      <c r="AL31" s="480" t="str">
        <f t="shared" si="13"/>
        <v>x</v>
      </c>
      <c r="AM31" s="480" t="str">
        <f t="shared" si="13"/>
        <v>x</v>
      </c>
      <c r="AN31" s="480" t="str">
        <f t="shared" si="13"/>
        <v>x</v>
      </c>
      <c r="AO31" s="480" t="e">
        <f t="shared" si="14"/>
        <v>#DIV/0!</v>
      </c>
      <c r="AQ31" s="110"/>
      <c r="AR31" s="110"/>
      <c r="AS31" s="110"/>
      <c r="AT31" s="110"/>
      <c r="AU31" s="110"/>
      <c r="AW31" s="110"/>
    </row>
    <row r="32" spans="1:49" s="61" customFormat="1" ht="13.5" hidden="1" customHeight="1">
      <c r="A32" s="88"/>
      <c r="B32" s="231" t="str">
        <f>ReportData!$K$24</f>
        <v>England</v>
      </c>
      <c r="C32" s="59"/>
      <c r="D32" s="232" t="str">
        <f>IF(Year1_England Year1_Children_missing_Education="","",Year1_England Year1_Children_missing_Education)</f>
        <v/>
      </c>
      <c r="E32" s="232" t="str">
        <f>IF(Year2_England Year2_Children_missing_Education="","",Year2_England Year2_Children_missing_Education)</f>
        <v/>
      </c>
      <c r="F32" s="232" t="str">
        <f>IF(Year3_England Year3_Children_missing_Education="","",Year3_England Year3_Children_missing_Education)</f>
        <v/>
      </c>
      <c r="G32" s="232" t="str">
        <f>IF(Year4_England Year4_Children_missing_Education="","",Year4_England Year4_Children_missing_Education)</f>
        <v/>
      </c>
      <c r="H32" s="233" t="str">
        <f>IF(Year5_England Year5_Children_missing_Education="","",Year5_England Year5_Children_missing_Education)</f>
        <v/>
      </c>
      <c r="I32" s="233" t="e">
        <f t="shared" si="11"/>
        <v>#DIV/0!</v>
      </c>
      <c r="J32" s="245" t="str">
        <f>IF(ISNUMBER(H32),(H32-E32)/E32,"")</f>
        <v/>
      </c>
      <c r="K32" s="68"/>
      <c r="L32" s="234" t="e">
        <f>IF(ISNUMBER(D32),D32/Population!P64*10000,NA())</f>
        <v>#N/A</v>
      </c>
      <c r="M32" s="234" t="e">
        <f>IF(ISNUMBER(E32),E32/Population!Q64*10000,NA())</f>
        <v>#N/A</v>
      </c>
      <c r="N32" s="234" t="e">
        <f>IF(ISNUMBER(F32),F32/Population!R64*10000,NA())</f>
        <v>#N/A</v>
      </c>
      <c r="O32" s="234" t="e">
        <f>IF(ISNUMBER(G32),G32/Population!S64*10000,NA())</f>
        <v>#N/A</v>
      </c>
      <c r="P32" s="240" t="e">
        <f>IF(ISNUMBER(H32),H32/Population!T64*10000,NA())</f>
        <v>#N/A</v>
      </c>
      <c r="Q32" s="441"/>
      <c r="R32" s="236" t="str">
        <f t="shared" si="12"/>
        <v>--</v>
      </c>
      <c r="S32" s="50"/>
      <c r="T32" s="441">
        <f>IDACI!C29</f>
        <v>17.084413405029373</v>
      </c>
      <c r="U32" s="89"/>
      <c r="V32" s="103"/>
      <c r="W32" s="115"/>
      <c r="X32" s="597" t="str">
        <f>ReportData!$K$24</f>
        <v>England</v>
      </c>
      <c r="Y32" s="620">
        <f>IF(H32&gt;0,IDACI!D29,0)</f>
        <v>10405050</v>
      </c>
      <c r="Z32" s="621">
        <f>IF(H32&gt;0,IDACI!E29,0)</f>
        <v>1777641.7570000088</v>
      </c>
      <c r="AA32" s="619" t="str">
        <f>IF(ISNUMBER(D32),Population!P64,"")</f>
        <v/>
      </c>
      <c r="AB32" s="155" t="str">
        <f>IF(ISNUMBER(E32),Population!Q64,"")</f>
        <v/>
      </c>
      <c r="AC32" s="155" t="str">
        <f>IF(ISNUMBER(F32),Population!R64,"")</f>
        <v/>
      </c>
      <c r="AD32" s="155" t="str">
        <f>IF(ISNUMBER(G32),Population!S64,"")</f>
        <v/>
      </c>
      <c r="AE32" s="155" t="str">
        <f>IF(ISNUMBER(H32),Population!T64,"")</f>
        <v/>
      </c>
      <c r="AH32" s="141"/>
      <c r="AJ32" s="121"/>
      <c r="AK32" s="480" t="str">
        <f t="shared" si="13"/>
        <v>x</v>
      </c>
      <c r="AL32" s="480" t="str">
        <f t="shared" si="13"/>
        <v>x</v>
      </c>
      <c r="AM32" s="480" t="str">
        <f t="shared" si="13"/>
        <v>x</v>
      </c>
      <c r="AN32" s="480" t="str">
        <f t="shared" si="13"/>
        <v>x</v>
      </c>
      <c r="AO32" s="480" t="e">
        <f t="shared" si="14"/>
        <v>#DIV/0!</v>
      </c>
      <c r="AQ32" s="110"/>
      <c r="AR32" s="110"/>
      <c r="AS32" s="110"/>
      <c r="AT32" s="110"/>
      <c r="AU32" s="110"/>
      <c r="AW32" s="110"/>
    </row>
    <row r="33" spans="1:68" s="56" customFormat="1" ht="13.5" customHeight="1">
      <c r="A33" s="87"/>
      <c r="B33" s="90" t="s">
        <v>86</v>
      </c>
      <c r="C33" s="44"/>
      <c r="D33" s="44"/>
      <c r="E33" s="44"/>
      <c r="F33" s="44"/>
      <c r="G33" s="44"/>
      <c r="H33" s="44"/>
      <c r="I33" s="44"/>
      <c r="J33" s="44"/>
      <c r="K33" s="44"/>
      <c r="L33" s="44"/>
      <c r="M33" s="44"/>
      <c r="N33" s="44"/>
      <c r="O33" s="44"/>
      <c r="P33" s="44"/>
      <c r="Q33" s="44"/>
      <c r="R33" s="101" t="s">
        <v>100</v>
      </c>
      <c r="T33" s="44"/>
      <c r="U33" s="86"/>
      <c r="V33" s="102"/>
      <c r="W33" s="114"/>
      <c r="X33" s="55"/>
      <c r="Y33" s="52"/>
      <c r="Z33" s="52"/>
      <c r="AA33" s="52"/>
      <c r="AB33" s="52"/>
      <c r="AC33" s="52"/>
      <c r="AD33" s="52"/>
      <c r="AE33" s="52"/>
      <c r="AF33" s="52"/>
      <c r="AG33" s="52"/>
      <c r="AI33" s="52"/>
      <c r="AJ33" s="122"/>
    </row>
    <row r="34" spans="1:68" s="56" customFormat="1" ht="53.25" customHeight="1">
      <c r="A34" s="87"/>
      <c r="B34" s="2009"/>
      <c r="C34" s="2010"/>
      <c r="D34" s="2010"/>
      <c r="E34" s="2010"/>
      <c r="F34" s="2010"/>
      <c r="G34" s="2010"/>
      <c r="H34" s="2010"/>
      <c r="I34" s="2010"/>
      <c r="J34" s="2010"/>
      <c r="K34" s="2010"/>
      <c r="L34" s="2010"/>
      <c r="M34" s="2010"/>
      <c r="N34" s="2010"/>
      <c r="O34" s="2010"/>
      <c r="P34" s="2010"/>
      <c r="Q34" s="2010"/>
      <c r="R34" s="2010"/>
      <c r="S34" s="2010"/>
      <c r="T34" s="2011"/>
      <c r="U34" s="86"/>
      <c r="V34" s="102"/>
      <c r="W34" s="114"/>
      <c r="X34" s="614"/>
      <c r="Y34" s="52"/>
      <c r="Z34" s="614"/>
      <c r="AA34" s="52"/>
      <c r="AB34" s="52"/>
      <c r="AC34" s="52"/>
      <c r="AD34" s="52"/>
      <c r="AE34" s="52"/>
      <c r="AF34" s="52"/>
      <c r="AG34" s="52"/>
      <c r="AI34" s="52"/>
      <c r="AJ34" s="119"/>
      <c r="AK34" s="52"/>
      <c r="AL34" s="52"/>
      <c r="AM34" s="52"/>
      <c r="AN34" s="52"/>
      <c r="AO34" s="52"/>
      <c r="AP34" s="52"/>
      <c r="AQ34" s="52"/>
    </row>
    <row r="35" spans="1:68" s="56" customFormat="1" ht="7.5" customHeight="1">
      <c r="A35" s="87"/>
      <c r="B35" s="12"/>
      <c r="C35" s="12"/>
      <c r="D35" s="11"/>
      <c r="E35" s="11"/>
      <c r="F35" s="11"/>
      <c r="G35" s="11"/>
      <c r="H35" s="11"/>
      <c r="I35" s="11"/>
      <c r="J35" s="11"/>
      <c r="K35" s="1"/>
      <c r="L35" s="13"/>
      <c r="M35" s="13"/>
      <c r="N35" s="13"/>
      <c r="O35" s="13"/>
      <c r="P35" s="13"/>
      <c r="Q35" s="13"/>
      <c r="R35" s="13"/>
      <c r="S35" s="13"/>
      <c r="T35" s="13"/>
      <c r="U35" s="86"/>
      <c r="V35" s="102"/>
      <c r="W35" s="114"/>
      <c r="Y35" s="141"/>
      <c r="AI35" s="52"/>
      <c r="AJ35" s="119"/>
      <c r="AK35" s="52"/>
      <c r="AL35" s="52"/>
      <c r="AM35" s="52"/>
      <c r="AN35" s="52"/>
      <c r="AO35" s="52"/>
      <c r="AP35" s="52"/>
      <c r="AQ35" s="52"/>
    </row>
    <row r="36" spans="1:68" s="56" customFormat="1" ht="15" customHeight="1">
      <c r="A36" s="1565"/>
      <c r="B36" s="1751"/>
      <c r="C36" s="1751"/>
      <c r="D36" s="1751"/>
      <c r="E36" s="1751"/>
      <c r="F36" s="1751"/>
      <c r="G36" s="1751"/>
      <c r="H36" s="1751"/>
      <c r="I36" s="1751"/>
      <c r="J36" s="1751"/>
      <c r="K36" s="1751"/>
      <c r="L36" s="1751"/>
      <c r="M36" s="1751"/>
      <c r="N36" s="1751"/>
      <c r="O36" s="1751"/>
      <c r="P36" s="1751"/>
      <c r="Q36" s="1751"/>
      <c r="R36" s="1751"/>
      <c r="S36" s="1751"/>
      <c r="T36" s="1751"/>
      <c r="U36" s="1752"/>
      <c r="V36" s="102"/>
      <c r="W36" s="114"/>
      <c r="Y36" s="141"/>
      <c r="AJ36" s="122"/>
      <c r="AL36" s="56">
        <f>COLUMNS($B$4:L$4)</f>
        <v>11</v>
      </c>
      <c r="AM36" s="56">
        <f>COLUMNS($B$4:M$4)</f>
        <v>12</v>
      </c>
      <c r="AN36" s="56">
        <f>COLUMNS($B$4:N$4)</f>
        <v>13</v>
      </c>
      <c r="AO36" s="56">
        <f>COLUMNS($B$4:O$4)</f>
        <v>14</v>
      </c>
      <c r="AP36" s="56">
        <f>COLUMNS($B$4:P$4)</f>
        <v>15</v>
      </c>
      <c r="AQ36" s="56">
        <f>COLUMNS($B$4:T$4)</f>
        <v>19</v>
      </c>
      <c r="AS36" s="146"/>
      <c r="AT36" s="146"/>
      <c r="AU36" s="146"/>
      <c r="AV36" s="147"/>
      <c r="AX36" s="146"/>
      <c r="AY36" s="146"/>
      <c r="AZ36" s="146"/>
      <c r="BA36" s="147"/>
      <c r="BC36" s="146"/>
      <c r="BD36" s="146"/>
      <c r="BE36" s="146"/>
      <c r="BF36" s="147"/>
      <c r="BH36" s="146"/>
      <c r="BI36" s="146"/>
      <c r="BJ36" s="146"/>
      <c r="BK36" s="147"/>
      <c r="BM36" s="146"/>
      <c r="BN36" s="146"/>
      <c r="BO36" s="146"/>
      <c r="BP36" s="147"/>
    </row>
    <row r="37" spans="1:68" s="56" customFormat="1" ht="11.25" customHeight="1">
      <c r="A37" s="1739" t="e">
        <f>Home!#REF!</f>
        <v>#REF!</v>
      </c>
      <c r="B37" s="1740"/>
      <c r="C37" s="1740"/>
      <c r="D37" s="1740"/>
      <c r="E37" s="1740"/>
      <c r="F37" s="1740"/>
      <c r="G37" s="1740"/>
      <c r="H37" s="1740"/>
      <c r="I37" s="1741"/>
      <c r="J37" s="1742"/>
      <c r="K37" s="1740"/>
      <c r="L37" s="1740"/>
      <c r="M37" s="1740"/>
      <c r="N37" s="1740"/>
      <c r="O37" s="1740"/>
      <c r="P37" s="1740"/>
      <c r="Q37" s="1742"/>
      <c r="R37" s="1740"/>
      <c r="S37" s="1740"/>
      <c r="T37" s="1740"/>
      <c r="U37" s="1743"/>
      <c r="V37" s="102"/>
      <c r="W37" s="114"/>
      <c r="Y37" s="141"/>
      <c r="AI37" s="52"/>
      <c r="AJ37" s="121"/>
      <c r="AK37" s="61"/>
      <c r="AL37" s="1738" t="s">
        <v>85</v>
      </c>
      <c r="AM37" s="1738"/>
      <c r="AN37" s="1738"/>
      <c r="AO37" s="1738"/>
      <c r="AP37" s="1738"/>
      <c r="AQ37" s="275" t="s">
        <v>862</v>
      </c>
      <c r="AR37" s="148"/>
      <c r="AS37" s="146"/>
      <c r="AT37" s="146"/>
      <c r="AU37" s="146"/>
      <c r="AV37" s="147"/>
      <c r="AW37" s="148"/>
      <c r="AX37" s="146"/>
      <c r="AY37" s="146"/>
      <c r="AZ37" s="146"/>
      <c r="BA37" s="147"/>
      <c r="BB37" s="148"/>
      <c r="BC37" s="146"/>
      <c r="BD37" s="146"/>
      <c r="BE37" s="146"/>
      <c r="BF37" s="147"/>
      <c r="BG37" s="148"/>
      <c r="BH37" s="146"/>
      <c r="BI37" s="146"/>
      <c r="BJ37" s="146"/>
      <c r="BK37" s="147"/>
      <c r="BL37" s="172"/>
    </row>
    <row r="38" spans="1:68" s="56" customFormat="1" ht="11.25" customHeight="1">
      <c r="A38" s="81"/>
      <c r="B38" s="82"/>
      <c r="C38" s="82"/>
      <c r="D38" s="82"/>
      <c r="E38" s="82"/>
      <c r="F38" s="82"/>
      <c r="G38" s="82"/>
      <c r="H38" s="82"/>
      <c r="I38" s="82"/>
      <c r="J38" s="82"/>
      <c r="K38" s="83"/>
      <c r="L38" s="82"/>
      <c r="M38" s="82"/>
      <c r="N38" s="82"/>
      <c r="O38" s="82"/>
      <c r="P38" s="82"/>
      <c r="Q38" s="82"/>
      <c r="R38" s="82"/>
      <c r="S38" s="82"/>
      <c r="T38" s="82"/>
      <c r="U38" s="84"/>
      <c r="V38" s="102"/>
      <c r="W38" s="113" t="s">
        <v>94</v>
      </c>
      <c r="X38" s="147"/>
      <c r="Y38" s="147"/>
      <c r="Z38" s="147"/>
      <c r="AA38" s="147"/>
      <c r="AB38" s="147"/>
      <c r="AI38" s="52"/>
      <c r="AJ38" s="121"/>
      <c r="AK38" s="61"/>
      <c r="AL38" s="109" t="str">
        <f>IF(ReportData!$C$3="Annual","",ReportData!$D$28)</f>
        <v/>
      </c>
      <c r="AM38" s="109" t="str">
        <f>IF(ReportData!$C$3="Annual","",ReportData!$E$28)</f>
        <v/>
      </c>
      <c r="AN38" s="109" t="str">
        <f>IF(ReportData!$C$3="Annual","",ReportData!$F$28)</f>
        <v/>
      </c>
      <c r="AO38" s="109" t="str">
        <f>IF(ReportData!$C$3="Annual","",ReportData!$G$28)</f>
        <v/>
      </c>
      <c r="AP38" s="109" t="str">
        <f>IF(ReportData!$C$3="Annual","",ReportData!$H$28)</f>
        <v/>
      </c>
      <c r="AQ38" s="276"/>
      <c r="AR38" s="613"/>
      <c r="AS38" s="613"/>
      <c r="AT38" s="613"/>
      <c r="AU38" s="613"/>
      <c r="AV38" s="613"/>
      <c r="AW38" s="613"/>
      <c r="AX38" s="613"/>
      <c r="AY38" s="613"/>
      <c r="AZ38" s="613"/>
      <c r="BA38" s="613"/>
      <c r="BB38" s="613"/>
      <c r="BC38" s="613"/>
      <c r="BD38" s="613"/>
      <c r="BE38" s="613"/>
      <c r="BF38" s="613"/>
      <c r="BG38" s="613"/>
      <c r="BH38" s="613"/>
      <c r="BI38" s="613"/>
      <c r="BJ38" s="613"/>
      <c r="BK38" s="613"/>
    </row>
    <row r="39" spans="1:68" s="56" customFormat="1" ht="3.75" customHeight="1">
      <c r="A39" s="85"/>
      <c r="B39" s="5"/>
      <c r="C39" s="5"/>
      <c r="D39" s="5"/>
      <c r="E39" s="5"/>
      <c r="F39" s="5"/>
      <c r="G39" s="5"/>
      <c r="H39" s="5"/>
      <c r="I39" s="5"/>
      <c r="J39" s="5"/>
      <c r="K39" s="1"/>
      <c r="L39" s="5"/>
      <c r="M39" s="5"/>
      <c r="N39" s="5"/>
      <c r="O39" s="5"/>
      <c r="P39" s="5"/>
      <c r="Q39" s="5"/>
      <c r="R39" s="5"/>
      <c r="S39" s="5"/>
      <c r="T39" s="5"/>
      <c r="U39" s="86"/>
      <c r="V39" s="102"/>
      <c r="W39" s="218"/>
      <c r="AC39" s="748" t="s">
        <v>762</v>
      </c>
      <c r="AJ39" s="121"/>
      <c r="AK39" s="61"/>
      <c r="AL39" s="109" t="str">
        <f>ReportData!$D$27</f>
        <v>2019/20</v>
      </c>
      <c r="AM39" s="109" t="str">
        <f>ReportData!$E$27</f>
        <v>2020/21</v>
      </c>
      <c r="AN39" s="109" t="str">
        <f>ReportData!$F$27</f>
        <v>2021/22</v>
      </c>
      <c r="AO39" s="109" t="str">
        <f>ReportData!$G$27</f>
        <v>2022/23</v>
      </c>
      <c r="AP39" s="109" t="str">
        <f>ReportData!$H$27</f>
        <v>2023/24</v>
      </c>
      <c r="AQ39" s="276"/>
      <c r="AR39" s="613"/>
      <c r="AS39" s="613"/>
      <c r="AT39" s="613"/>
      <c r="AU39" s="613"/>
      <c r="AV39" s="613"/>
      <c r="AW39" s="613"/>
      <c r="AX39" s="613"/>
      <c r="AY39" s="613"/>
      <c r="AZ39" s="613"/>
      <c r="BA39" s="613"/>
      <c r="BB39" s="613"/>
      <c r="BC39" s="613"/>
      <c r="BD39" s="613"/>
      <c r="BE39" s="613"/>
      <c r="BF39" s="613"/>
      <c r="BG39" s="613"/>
      <c r="BH39" s="613"/>
      <c r="BI39" s="613"/>
      <c r="BJ39" s="613"/>
      <c r="BK39" s="613"/>
      <c r="BL39" s="613"/>
      <c r="BM39" s="613"/>
      <c r="BN39" s="613"/>
      <c r="BO39" s="613"/>
      <c r="BP39" s="613"/>
    </row>
    <row r="40" spans="1:68" s="56" customFormat="1" ht="14.25" customHeight="1">
      <c r="A40" s="87"/>
      <c r="B40" s="5"/>
      <c r="C40" s="5"/>
      <c r="D40" s="5"/>
      <c r="E40" s="5"/>
      <c r="F40" s="5"/>
      <c r="G40" s="5"/>
      <c r="H40" s="5"/>
      <c r="I40" s="5"/>
      <c r="J40" s="5"/>
      <c r="K40" s="1"/>
      <c r="L40" s="5"/>
      <c r="M40" s="5"/>
      <c r="N40" s="5"/>
      <c r="O40" s="5"/>
      <c r="P40" s="5"/>
      <c r="Q40" s="5"/>
      <c r="R40" s="5"/>
      <c r="S40" s="5"/>
      <c r="T40" s="5"/>
      <c r="U40" s="86"/>
      <c r="V40" s="102"/>
      <c r="W40" s="218"/>
      <c r="X40" s="26" t="s">
        <v>69</v>
      </c>
      <c r="Y40" s="26" t="s">
        <v>67</v>
      </c>
      <c r="Z40" s="26" t="s">
        <v>68</v>
      </c>
      <c r="AA40" s="693">
        <v>3</v>
      </c>
      <c r="AB40" s="165" t="e">
        <f>(AA40*Y41)+Z41</f>
        <v>#REF!</v>
      </c>
      <c r="AC40" s="156" t="e">
        <f>ROUND(ChartLabels!#REF!,3)</f>
        <v>#REF!</v>
      </c>
      <c r="AI40" s="361" t="b">
        <v>1</v>
      </c>
      <c r="AJ40" s="121" t="s">
        <v>0</v>
      </c>
      <c r="AK40" s="61" t="str">
        <f t="shared" ref="AK40:AK62" si="15">IF(AI40=TRUE,B10,"")</f>
        <v>Bracknell Forest</v>
      </c>
      <c r="AL40" s="110" t="e">
        <f t="shared" ref="AL40:AP49" si="16">VLOOKUP($AK40,$B$10:$P$32,AL$36,FALSE)</f>
        <v>#N/A</v>
      </c>
      <c r="AM40" s="110" t="e">
        <f t="shared" si="16"/>
        <v>#N/A</v>
      </c>
      <c r="AN40" s="110" t="e">
        <f t="shared" si="16"/>
        <v>#N/A</v>
      </c>
      <c r="AO40" s="110" t="e">
        <f t="shared" si="16"/>
        <v>#N/A</v>
      </c>
      <c r="AP40" s="110" t="e">
        <f t="shared" si="16"/>
        <v>#N/A</v>
      </c>
      <c r="AQ40" s="111">
        <f t="shared" ref="AQ40:AQ62" si="17">VLOOKUP(AK40,$B$10:$T$32,$AQ$36,FALSE)</f>
        <v>8.9</v>
      </c>
      <c r="AR40" s="237"/>
      <c r="AS40" s="237"/>
      <c r="AT40" s="237"/>
      <c r="AU40" s="237"/>
      <c r="AV40" s="237"/>
      <c r="AW40" s="237"/>
      <c r="AX40" s="237"/>
      <c r="AY40" s="237"/>
      <c r="AZ40" s="237"/>
      <c r="BA40" s="237"/>
      <c r="BB40" s="237"/>
      <c r="BC40" s="237"/>
      <c r="BD40" s="237"/>
      <c r="BE40" s="237"/>
      <c r="BF40" s="237"/>
      <c r="BG40" s="237"/>
      <c r="BH40" s="237"/>
      <c r="BI40" s="237"/>
      <c r="BJ40" s="237"/>
      <c r="BK40" s="237"/>
      <c r="BL40" s="237"/>
      <c r="BM40" s="237"/>
      <c r="BN40" s="237"/>
      <c r="BO40" s="237"/>
      <c r="BP40" s="237"/>
    </row>
    <row r="41" spans="1:68" s="56" customFormat="1" ht="14.25" customHeight="1">
      <c r="A41" s="87"/>
      <c r="B41" s="5"/>
      <c r="C41" s="5"/>
      <c r="D41" s="5"/>
      <c r="E41" s="5"/>
      <c r="F41" s="5"/>
      <c r="G41" s="5"/>
      <c r="H41" s="5"/>
      <c r="I41" s="5"/>
      <c r="J41" s="5"/>
      <c r="K41" s="1"/>
      <c r="L41" s="5"/>
      <c r="M41" s="5"/>
      <c r="N41" s="5"/>
      <c r="O41" s="5"/>
      <c r="P41" s="5"/>
      <c r="Q41" s="5"/>
      <c r="R41" s="5"/>
      <c r="S41" s="5"/>
      <c r="T41" s="5"/>
      <c r="U41" s="86"/>
      <c r="V41" s="102"/>
      <c r="W41" s="218"/>
      <c r="X41" s="161" t="e">
        <f>"Y= "&amp;Y41&amp;"x + "&amp;Z41</f>
        <v>#REF!</v>
      </c>
      <c r="Y41" s="433" t="e">
        <f>ChartLabels!#REF!</f>
        <v>#REF!</v>
      </c>
      <c r="Z41" s="433" t="e">
        <f>ChartLabels!#REF!</f>
        <v>#REF!</v>
      </c>
      <c r="AA41" s="164">
        <v>22</v>
      </c>
      <c r="AB41" s="165" t="e">
        <f>(AA41*Y41)+Z41</f>
        <v>#REF!</v>
      </c>
      <c r="AC41" s="747" t="e">
        <f>AC39&amp;" = "&amp;AC40</f>
        <v>#REF!</v>
      </c>
      <c r="AI41" s="361" t="b">
        <v>1</v>
      </c>
      <c r="AJ41" s="121" t="s">
        <v>28</v>
      </c>
      <c r="AK41" s="61" t="str">
        <f t="shared" si="15"/>
        <v>Brighton &amp; Hove</v>
      </c>
      <c r="AL41" s="110" t="e">
        <f t="shared" si="16"/>
        <v>#N/A</v>
      </c>
      <c r="AM41" s="110" t="e">
        <f t="shared" si="16"/>
        <v>#N/A</v>
      </c>
      <c r="AN41" s="110" t="e">
        <f t="shared" si="16"/>
        <v>#N/A</v>
      </c>
      <c r="AO41" s="110" t="e">
        <f t="shared" si="16"/>
        <v>#N/A</v>
      </c>
      <c r="AP41" s="110" t="e">
        <f t="shared" si="16"/>
        <v>#N/A</v>
      </c>
      <c r="AQ41" s="111">
        <f t="shared" si="17"/>
        <v>15.299999999999999</v>
      </c>
      <c r="AR41" s="237"/>
      <c r="AS41" s="237"/>
      <c r="AT41" s="237"/>
      <c r="AU41" s="237"/>
      <c r="AV41" s="237"/>
      <c r="AW41" s="237"/>
      <c r="AX41" s="237"/>
      <c r="AY41" s="237"/>
      <c r="AZ41" s="237"/>
      <c r="BA41" s="237"/>
      <c r="BB41" s="237"/>
      <c r="BC41" s="237"/>
      <c r="BD41" s="237"/>
      <c r="BE41" s="237"/>
      <c r="BF41" s="237"/>
      <c r="BG41" s="237"/>
      <c r="BH41" s="237"/>
      <c r="BI41" s="237"/>
      <c r="BJ41" s="237"/>
      <c r="BK41" s="237"/>
      <c r="BL41" s="237"/>
      <c r="BM41" s="237"/>
      <c r="BN41" s="237"/>
      <c r="BO41" s="237"/>
      <c r="BP41" s="237"/>
    </row>
    <row r="42" spans="1:68" ht="14.25" customHeight="1">
      <c r="A42" s="87"/>
      <c r="B42" s="5"/>
      <c r="C42" s="5"/>
      <c r="D42" s="5"/>
      <c r="E42" s="5"/>
      <c r="F42" s="5"/>
      <c r="G42" s="5"/>
      <c r="H42" s="5"/>
      <c r="I42" s="5"/>
      <c r="J42" s="5"/>
      <c r="K42" s="1"/>
      <c r="L42" s="5"/>
      <c r="M42" s="5"/>
      <c r="N42" s="5"/>
      <c r="O42" s="5"/>
      <c r="P42" s="5"/>
      <c r="Q42" s="5"/>
      <c r="R42" s="5"/>
      <c r="S42" s="5"/>
      <c r="T42" s="5"/>
      <c r="U42" s="86"/>
      <c r="V42" s="102"/>
      <c r="W42" s="218"/>
      <c r="X42" s="750"/>
      <c r="Y42" s="751"/>
      <c r="Z42" s="752"/>
      <c r="AA42" s="753"/>
      <c r="AB42" s="754"/>
      <c r="AC42" s="755"/>
      <c r="AI42" s="361" t="b">
        <v>1</v>
      </c>
      <c r="AJ42" s="121" t="s">
        <v>8</v>
      </c>
      <c r="AK42" s="61" t="str">
        <f t="shared" si="15"/>
        <v>Buckinghamshire</v>
      </c>
      <c r="AL42" s="110" t="e">
        <f t="shared" si="16"/>
        <v>#N/A</v>
      </c>
      <c r="AM42" s="110" t="e">
        <f t="shared" si="16"/>
        <v>#N/A</v>
      </c>
      <c r="AN42" s="110" t="e">
        <f t="shared" si="16"/>
        <v>#N/A</v>
      </c>
      <c r="AO42" s="110" t="e">
        <f t="shared" si="16"/>
        <v>#N/A</v>
      </c>
      <c r="AP42" s="110" t="e">
        <f t="shared" si="16"/>
        <v>#N/A</v>
      </c>
      <c r="AQ42" s="111">
        <f t="shared" si="17"/>
        <v>8.5</v>
      </c>
      <c r="AR42" s="237"/>
      <c r="AS42" s="237"/>
      <c r="AT42" s="237"/>
      <c r="AU42" s="237"/>
      <c r="AV42" s="237"/>
      <c r="AW42" s="237"/>
      <c r="AX42" s="237"/>
      <c r="AY42" s="237"/>
      <c r="AZ42" s="237"/>
      <c r="BA42" s="237"/>
      <c r="BB42" s="237"/>
      <c r="BC42" s="237"/>
      <c r="BD42" s="237"/>
      <c r="BE42" s="237"/>
      <c r="BF42" s="237"/>
      <c r="BG42" s="237"/>
      <c r="BH42" s="237"/>
      <c r="BI42" s="237"/>
      <c r="BJ42" s="237"/>
      <c r="BK42" s="237"/>
      <c r="BL42" s="237"/>
      <c r="BM42" s="237"/>
      <c r="BN42" s="237"/>
      <c r="BO42" s="237"/>
      <c r="BP42" s="237"/>
    </row>
    <row r="43" spans="1:68" ht="14.25" customHeight="1">
      <c r="A43" s="87"/>
      <c r="B43" s="5"/>
      <c r="C43" s="5"/>
      <c r="D43" s="5"/>
      <c r="E43" s="5"/>
      <c r="F43" s="5"/>
      <c r="G43" s="5"/>
      <c r="H43" s="5"/>
      <c r="I43" s="5"/>
      <c r="J43" s="5"/>
      <c r="K43" s="1"/>
      <c r="L43" s="10"/>
      <c r="M43" s="10"/>
      <c r="N43" s="10"/>
      <c r="O43" s="10"/>
      <c r="P43" s="5"/>
      <c r="Q43" s="5"/>
      <c r="R43" s="5"/>
      <c r="S43" s="5"/>
      <c r="T43" s="5"/>
      <c r="U43" s="86"/>
      <c r="V43" s="102"/>
      <c r="W43" s="218"/>
      <c r="X43" s="467"/>
      <c r="Y43" s="756"/>
      <c r="Z43" s="757"/>
      <c r="AA43" s="468"/>
      <c r="AB43" s="469"/>
      <c r="AC43" s="755"/>
      <c r="AI43" s="361" t="b">
        <v>1</v>
      </c>
      <c r="AJ43" s="121" t="s">
        <v>4</v>
      </c>
      <c r="AK43" s="61" t="str">
        <f t="shared" si="15"/>
        <v>East Sussex</v>
      </c>
      <c r="AL43" s="110" t="e">
        <f t="shared" si="16"/>
        <v>#N/A</v>
      </c>
      <c r="AM43" s="110" t="e">
        <f t="shared" si="16"/>
        <v>#N/A</v>
      </c>
      <c r="AN43" s="110" t="e">
        <f t="shared" si="16"/>
        <v>#N/A</v>
      </c>
      <c r="AO43" s="110" t="e">
        <f t="shared" si="16"/>
        <v>#N/A</v>
      </c>
      <c r="AP43" s="110" t="e">
        <f t="shared" si="16"/>
        <v>#N/A</v>
      </c>
      <c r="AQ43" s="111">
        <f t="shared" si="17"/>
        <v>16.100000000000001</v>
      </c>
      <c r="AR43" s="237"/>
      <c r="AS43" s="237"/>
      <c r="AT43" s="237"/>
      <c r="AU43" s="237"/>
      <c r="AV43" s="237"/>
      <c r="AW43" s="237"/>
      <c r="AX43" s="237"/>
      <c r="AY43" s="237"/>
      <c r="AZ43" s="237"/>
      <c r="BA43" s="237"/>
      <c r="BB43" s="237"/>
      <c r="BC43" s="237"/>
      <c r="BD43" s="237"/>
      <c r="BE43" s="237"/>
      <c r="BF43" s="237"/>
      <c r="BG43" s="237"/>
      <c r="BH43" s="237"/>
      <c r="BI43" s="237"/>
      <c r="BJ43" s="237"/>
      <c r="BK43" s="237"/>
      <c r="BL43" s="237"/>
      <c r="BM43" s="237"/>
      <c r="BN43" s="237"/>
      <c r="BO43" s="237"/>
      <c r="BP43" s="237"/>
    </row>
    <row r="44" spans="1:68" ht="14.25" customHeight="1">
      <c r="A44" s="87"/>
      <c r="B44" s="76"/>
      <c r="C44" s="76"/>
      <c r="D44" s="77"/>
      <c r="E44" s="77"/>
      <c r="F44" s="77"/>
      <c r="G44" s="77"/>
      <c r="H44" s="77"/>
      <c r="I44" s="77"/>
      <c r="J44" s="77"/>
      <c r="K44" s="1"/>
      <c r="L44" s="5"/>
      <c r="M44" s="5"/>
      <c r="N44" s="5"/>
      <c r="O44" s="5"/>
      <c r="P44" s="5"/>
      <c r="Q44" s="5"/>
      <c r="R44" s="5"/>
      <c r="S44" s="5"/>
      <c r="T44" s="5"/>
      <c r="U44" s="86"/>
      <c r="V44" s="102"/>
      <c r="W44" s="218"/>
      <c r="X44" s="52"/>
      <c r="Y44" s="52"/>
      <c r="Z44" s="147"/>
      <c r="AA44" s="52"/>
      <c r="AB44" s="52"/>
      <c r="AI44" s="361" t="b">
        <v>1</v>
      </c>
      <c r="AJ44" s="121" t="s">
        <v>6</v>
      </c>
      <c r="AK44" s="61" t="str">
        <f t="shared" si="15"/>
        <v>Hampshire</v>
      </c>
      <c r="AL44" s="110" t="e">
        <f t="shared" si="16"/>
        <v>#N/A</v>
      </c>
      <c r="AM44" s="110" t="e">
        <f t="shared" si="16"/>
        <v>#N/A</v>
      </c>
      <c r="AN44" s="110" t="e">
        <f t="shared" si="16"/>
        <v>#N/A</v>
      </c>
      <c r="AO44" s="110" t="e">
        <f t="shared" si="16"/>
        <v>#N/A</v>
      </c>
      <c r="AP44" s="110" t="e">
        <f t="shared" si="16"/>
        <v>#N/A</v>
      </c>
      <c r="AQ44" s="111">
        <f t="shared" si="17"/>
        <v>10.100000000000001</v>
      </c>
      <c r="AR44" s="237"/>
      <c r="AS44" s="237"/>
      <c r="AT44" s="237"/>
      <c r="AU44" s="237"/>
      <c r="AV44" s="237"/>
      <c r="AW44" s="237"/>
      <c r="AX44" s="237"/>
      <c r="AY44" s="237"/>
      <c r="AZ44" s="237"/>
      <c r="BA44" s="237"/>
      <c r="BB44" s="237"/>
      <c r="BC44" s="237"/>
      <c r="BD44" s="237"/>
      <c r="BE44" s="237"/>
      <c r="BF44" s="237"/>
      <c r="BG44" s="237"/>
      <c r="BH44" s="237"/>
      <c r="BI44" s="237"/>
      <c r="BJ44" s="237"/>
      <c r="BK44" s="237"/>
      <c r="BL44" s="237"/>
      <c r="BM44" s="237"/>
      <c r="BN44" s="237"/>
      <c r="BO44" s="237"/>
      <c r="BP44" s="237"/>
    </row>
    <row r="45" spans="1:68" ht="14.25" customHeight="1">
      <c r="A45" s="87"/>
      <c r="B45" s="77"/>
      <c r="C45" s="77"/>
      <c r="D45" s="77"/>
      <c r="E45" s="77"/>
      <c r="F45" s="77"/>
      <c r="G45" s="77"/>
      <c r="H45" s="77"/>
      <c r="I45" s="77"/>
      <c r="J45" s="77"/>
      <c r="K45" s="1"/>
      <c r="L45" s="5"/>
      <c r="M45" s="5"/>
      <c r="N45" s="5"/>
      <c r="O45" s="5"/>
      <c r="P45" s="5"/>
      <c r="Q45" s="5"/>
      <c r="R45" s="5"/>
      <c r="S45" s="5"/>
      <c r="T45" s="5"/>
      <c r="U45" s="86"/>
      <c r="V45" s="102"/>
      <c r="W45" s="218"/>
      <c r="Z45" s="147"/>
      <c r="AI45" s="361" t="b">
        <v>1</v>
      </c>
      <c r="AJ45" s="121" t="s">
        <v>1</v>
      </c>
      <c r="AK45" s="61" t="str">
        <f t="shared" si="15"/>
        <v>Isle of Wight</v>
      </c>
      <c r="AL45" s="110" t="e">
        <f t="shared" si="16"/>
        <v>#N/A</v>
      </c>
      <c r="AM45" s="110" t="e">
        <f t="shared" si="16"/>
        <v>#N/A</v>
      </c>
      <c r="AN45" s="110" t="e">
        <f t="shared" si="16"/>
        <v>#N/A</v>
      </c>
      <c r="AO45" s="110" t="e">
        <f t="shared" si="16"/>
        <v>#N/A</v>
      </c>
      <c r="AP45" s="110" t="e">
        <f t="shared" si="16"/>
        <v>#N/A</v>
      </c>
      <c r="AQ45" s="111">
        <f t="shared" si="17"/>
        <v>18</v>
      </c>
      <c r="AR45" s="237"/>
      <c r="AS45" s="237"/>
      <c r="AT45" s="237"/>
      <c r="AU45" s="237"/>
      <c r="AV45" s="237"/>
      <c r="AW45" s="237"/>
      <c r="AX45" s="237"/>
      <c r="AY45" s="237"/>
      <c r="AZ45" s="237"/>
      <c r="BA45" s="237"/>
      <c r="BB45" s="237"/>
      <c r="BC45" s="237"/>
      <c r="BD45" s="237"/>
      <c r="BE45" s="237"/>
      <c r="BF45" s="237"/>
      <c r="BG45" s="237"/>
      <c r="BH45" s="237"/>
      <c r="BI45" s="237"/>
      <c r="BJ45" s="237"/>
      <c r="BK45" s="237"/>
      <c r="BL45" s="237"/>
      <c r="BM45" s="237"/>
      <c r="BN45" s="237"/>
      <c r="BO45" s="237"/>
      <c r="BP45" s="237"/>
    </row>
    <row r="46" spans="1:68" ht="14.25" customHeight="1">
      <c r="A46" s="87"/>
      <c r="B46" s="77"/>
      <c r="C46" s="77"/>
      <c r="D46" s="77"/>
      <c r="E46" s="77"/>
      <c r="F46" s="77"/>
      <c r="G46" s="77"/>
      <c r="H46" s="77"/>
      <c r="I46" s="77"/>
      <c r="J46" s="77"/>
      <c r="K46" s="1"/>
      <c r="L46" s="5"/>
      <c r="M46" s="5"/>
      <c r="N46" s="5"/>
      <c r="O46" s="5"/>
      <c r="P46" s="5"/>
      <c r="Q46" s="5"/>
      <c r="R46" s="5"/>
      <c r="S46" s="5"/>
      <c r="T46" s="5"/>
      <c r="U46" s="86"/>
      <c r="V46" s="102"/>
      <c r="W46" s="218"/>
      <c r="Z46" s="147"/>
      <c r="AC46" s="157"/>
      <c r="AI46" s="361" t="b">
        <v>1</v>
      </c>
      <c r="AJ46" s="121" t="s">
        <v>9</v>
      </c>
      <c r="AK46" s="61" t="str">
        <f t="shared" si="15"/>
        <v>Kent</v>
      </c>
      <c r="AL46" s="110" t="e">
        <f t="shared" si="16"/>
        <v>#N/A</v>
      </c>
      <c r="AM46" s="110" t="e">
        <f t="shared" si="16"/>
        <v>#N/A</v>
      </c>
      <c r="AN46" s="110" t="e">
        <f t="shared" si="16"/>
        <v>#N/A</v>
      </c>
      <c r="AO46" s="110" t="e">
        <f t="shared" si="16"/>
        <v>#N/A</v>
      </c>
      <c r="AP46" s="110" t="e">
        <f t="shared" si="16"/>
        <v>#N/A</v>
      </c>
      <c r="AQ46" s="111">
        <f t="shared" si="17"/>
        <v>15.8</v>
      </c>
      <c r="AR46" s="237"/>
      <c r="AS46" s="237"/>
      <c r="AT46" s="237"/>
      <c r="AU46" s="237"/>
      <c r="AV46" s="237"/>
      <c r="AW46" s="237"/>
      <c r="AX46" s="237"/>
      <c r="AY46" s="237"/>
      <c r="AZ46" s="237"/>
      <c r="BA46" s="237"/>
      <c r="BB46" s="237"/>
      <c r="BC46" s="237"/>
      <c r="BD46" s="237"/>
      <c r="BE46" s="237"/>
      <c r="BF46" s="237"/>
      <c r="BG46" s="237"/>
      <c r="BH46" s="237"/>
      <c r="BI46" s="237"/>
      <c r="BJ46" s="237"/>
      <c r="BK46" s="237"/>
      <c r="BL46" s="237"/>
      <c r="BM46" s="237"/>
      <c r="BN46" s="237"/>
      <c r="BO46" s="237"/>
      <c r="BP46" s="237"/>
    </row>
    <row r="47" spans="1:68" ht="14.25" customHeight="1">
      <c r="A47" s="87"/>
      <c r="B47" s="40"/>
      <c r="C47" s="40"/>
      <c r="D47" s="40"/>
      <c r="E47" s="40"/>
      <c r="F47" s="40"/>
      <c r="G47" s="40"/>
      <c r="H47" s="40"/>
      <c r="I47" s="40"/>
      <c r="J47" s="40"/>
      <c r="K47" s="1"/>
      <c r="L47" s="5"/>
      <c r="M47" s="5"/>
      <c r="N47" s="5"/>
      <c r="O47" s="5"/>
      <c r="P47" s="5"/>
      <c r="Q47" s="5"/>
      <c r="R47" s="5"/>
      <c r="S47" s="5"/>
      <c r="T47" s="5"/>
      <c r="U47" s="86"/>
      <c r="V47" s="102"/>
      <c r="W47" s="218"/>
      <c r="Z47" s="147"/>
      <c r="AC47" s="52"/>
      <c r="AI47" s="361" t="b">
        <v>1</v>
      </c>
      <c r="AJ47" s="121" t="s">
        <v>2</v>
      </c>
      <c r="AK47" s="61" t="str">
        <f t="shared" si="15"/>
        <v>Medway</v>
      </c>
      <c r="AL47" s="110" t="e">
        <f t="shared" si="16"/>
        <v>#N/A</v>
      </c>
      <c r="AM47" s="110" t="e">
        <f t="shared" si="16"/>
        <v>#N/A</v>
      </c>
      <c r="AN47" s="110" t="e">
        <f t="shared" si="16"/>
        <v>#N/A</v>
      </c>
      <c r="AO47" s="110" t="e">
        <f t="shared" si="16"/>
        <v>#N/A</v>
      </c>
      <c r="AP47" s="110" t="e">
        <f t="shared" si="16"/>
        <v>#N/A</v>
      </c>
      <c r="AQ47" s="111">
        <f t="shared" si="17"/>
        <v>18.899999999999999</v>
      </c>
      <c r="AR47" s="237"/>
      <c r="AS47" s="237"/>
      <c r="AT47" s="237"/>
      <c r="AU47" s="237"/>
      <c r="AV47" s="237"/>
      <c r="AW47" s="237"/>
      <c r="AX47" s="237"/>
      <c r="AY47" s="237"/>
      <c r="AZ47" s="237"/>
      <c r="BA47" s="237"/>
      <c r="BB47" s="237"/>
      <c r="BC47" s="237"/>
      <c r="BD47" s="237"/>
      <c r="BE47" s="237"/>
      <c r="BF47" s="237"/>
      <c r="BG47" s="237"/>
      <c r="BH47" s="237"/>
      <c r="BI47" s="237"/>
      <c r="BJ47" s="237"/>
      <c r="BK47" s="237"/>
      <c r="BL47" s="237"/>
      <c r="BM47" s="237"/>
      <c r="BN47" s="237"/>
      <c r="BO47" s="237"/>
      <c r="BP47" s="237"/>
    </row>
    <row r="48" spans="1:68" ht="14.25" customHeight="1">
      <c r="A48" s="87"/>
      <c r="B48" s="40"/>
      <c r="C48" s="40"/>
      <c r="D48" s="49"/>
      <c r="E48" s="50"/>
      <c r="F48" s="49"/>
      <c r="G48" s="50"/>
      <c r="H48" s="50"/>
      <c r="I48" s="50"/>
      <c r="J48" s="50"/>
      <c r="K48" s="1"/>
      <c r="L48" s="5"/>
      <c r="M48" s="5"/>
      <c r="N48" s="5"/>
      <c r="O48" s="5"/>
      <c r="P48" s="5"/>
      <c r="Q48" s="5"/>
      <c r="R48" s="5"/>
      <c r="S48" s="5"/>
      <c r="T48" s="5"/>
      <c r="U48" s="86"/>
      <c r="V48" s="102"/>
      <c r="W48" s="218"/>
      <c r="Z48" s="147"/>
      <c r="AI48" s="361" t="b">
        <v>1</v>
      </c>
      <c r="AJ48" s="121" t="s">
        <v>10</v>
      </c>
      <c r="AK48" s="61" t="str">
        <f t="shared" si="15"/>
        <v>Milton Keynes</v>
      </c>
      <c r="AL48" s="110" t="e">
        <f t="shared" si="16"/>
        <v>#N/A</v>
      </c>
      <c r="AM48" s="110" t="e">
        <f t="shared" si="16"/>
        <v>#N/A</v>
      </c>
      <c r="AN48" s="110" t="e">
        <f t="shared" si="16"/>
        <v>#N/A</v>
      </c>
      <c r="AO48" s="110" t="e">
        <f t="shared" si="16"/>
        <v>#N/A</v>
      </c>
      <c r="AP48" s="110" t="e">
        <f t="shared" si="16"/>
        <v>#N/A</v>
      </c>
      <c r="AQ48" s="111">
        <f t="shared" si="17"/>
        <v>15</v>
      </c>
      <c r="AR48" s="237"/>
      <c r="AS48" s="237"/>
      <c r="AT48" s="237"/>
      <c r="AU48" s="237"/>
      <c r="AV48" s="237"/>
      <c r="AW48" s="237"/>
      <c r="AX48" s="237"/>
      <c r="AY48" s="237"/>
      <c r="AZ48" s="237"/>
      <c r="BA48" s="237"/>
      <c r="BB48" s="237"/>
      <c r="BC48" s="237"/>
      <c r="BD48" s="237"/>
      <c r="BE48" s="237"/>
      <c r="BF48" s="237"/>
      <c r="BG48" s="237"/>
      <c r="BH48" s="237"/>
      <c r="BI48" s="237"/>
      <c r="BJ48" s="237"/>
      <c r="BK48" s="237"/>
      <c r="BL48" s="237"/>
      <c r="BM48" s="237"/>
      <c r="BN48" s="237"/>
      <c r="BO48" s="237"/>
      <c r="BP48" s="237"/>
    </row>
    <row r="49" spans="1:68" ht="14.25" customHeight="1">
      <c r="A49" s="87"/>
      <c r="B49" s="40"/>
      <c r="C49" s="40"/>
      <c r="D49" s="43"/>
      <c r="E49" s="43"/>
      <c r="F49" s="43"/>
      <c r="G49" s="43"/>
      <c r="H49" s="43"/>
      <c r="I49" s="43"/>
      <c r="J49" s="43"/>
      <c r="K49" s="1"/>
      <c r="L49" s="5"/>
      <c r="M49" s="5"/>
      <c r="N49" s="5"/>
      <c r="O49" s="5"/>
      <c r="P49" s="5"/>
      <c r="Q49" s="5"/>
      <c r="R49" s="5"/>
      <c r="S49" s="5"/>
      <c r="T49" s="5"/>
      <c r="U49" s="86"/>
      <c r="V49" s="102"/>
      <c r="W49" s="218"/>
      <c r="Z49" s="147"/>
      <c r="AI49" s="361" t="b">
        <v>1</v>
      </c>
      <c r="AJ49" s="121" t="s">
        <v>11</v>
      </c>
      <c r="AK49" s="61" t="str">
        <f t="shared" si="15"/>
        <v>Oxfordshire</v>
      </c>
      <c r="AL49" s="110" t="e">
        <f t="shared" si="16"/>
        <v>#N/A</v>
      </c>
      <c r="AM49" s="110" t="e">
        <f t="shared" si="16"/>
        <v>#N/A</v>
      </c>
      <c r="AN49" s="110" t="e">
        <f t="shared" si="16"/>
        <v>#N/A</v>
      </c>
      <c r="AO49" s="110" t="e">
        <f t="shared" si="16"/>
        <v>#N/A</v>
      </c>
      <c r="AP49" s="110" t="e">
        <f t="shared" si="16"/>
        <v>#N/A</v>
      </c>
      <c r="AQ49" s="111">
        <f t="shared" si="17"/>
        <v>10.100000000000001</v>
      </c>
      <c r="AR49" s="237"/>
      <c r="AS49" s="237"/>
      <c r="AT49" s="237"/>
      <c r="AU49" s="237"/>
      <c r="AV49" s="237"/>
      <c r="AW49" s="237"/>
      <c r="AX49" s="237"/>
      <c r="AY49" s="237"/>
      <c r="AZ49" s="237"/>
      <c r="BA49" s="237"/>
      <c r="BB49" s="237"/>
      <c r="BC49" s="237"/>
      <c r="BD49" s="237"/>
      <c r="BE49" s="237"/>
      <c r="BF49" s="237"/>
      <c r="BG49" s="237"/>
      <c r="BH49" s="237"/>
      <c r="BI49" s="237"/>
      <c r="BJ49" s="237"/>
      <c r="BK49" s="237"/>
      <c r="BL49" s="237"/>
      <c r="BM49" s="237"/>
      <c r="BN49" s="237"/>
      <c r="BO49" s="237"/>
      <c r="BP49" s="237"/>
    </row>
    <row r="50" spans="1:68" ht="14.25" customHeight="1">
      <c r="A50" s="87"/>
      <c r="B50" s="48"/>
      <c r="C50" s="48"/>
      <c r="D50" s="40"/>
      <c r="E50" s="40"/>
      <c r="F50" s="40"/>
      <c r="G50" s="40"/>
      <c r="H50" s="40"/>
      <c r="I50" s="40"/>
      <c r="J50" s="40"/>
      <c r="K50" s="1"/>
      <c r="L50" s="5"/>
      <c r="M50" s="5"/>
      <c r="N50" s="5"/>
      <c r="O50" s="5"/>
      <c r="P50" s="5"/>
      <c r="Q50" s="5"/>
      <c r="R50" s="5"/>
      <c r="S50" s="5"/>
      <c r="T50" s="5"/>
      <c r="U50" s="86"/>
      <c r="V50" s="102"/>
      <c r="W50" s="218"/>
      <c r="Z50" s="147"/>
      <c r="AI50" s="361" t="b">
        <v>1</v>
      </c>
      <c r="AJ50" s="121" t="s">
        <v>12</v>
      </c>
      <c r="AK50" s="61" t="str">
        <f t="shared" si="15"/>
        <v>Portsmouth</v>
      </c>
      <c r="AL50" s="110" t="e">
        <f t="shared" ref="AL50:AP62" si="18">VLOOKUP($AK50,$B$10:$P$32,AL$36,FALSE)</f>
        <v>#N/A</v>
      </c>
      <c r="AM50" s="110" t="e">
        <f t="shared" si="18"/>
        <v>#N/A</v>
      </c>
      <c r="AN50" s="110" t="e">
        <f t="shared" si="18"/>
        <v>#N/A</v>
      </c>
      <c r="AO50" s="110" t="e">
        <f t="shared" si="18"/>
        <v>#N/A</v>
      </c>
      <c r="AP50" s="110" t="e">
        <f t="shared" si="18"/>
        <v>#N/A</v>
      </c>
      <c r="AQ50" s="111">
        <f t="shared" si="17"/>
        <v>20.200000000000003</v>
      </c>
      <c r="AR50" s="237"/>
      <c r="AS50" s="237"/>
      <c r="AT50" s="237"/>
      <c r="AU50" s="237"/>
      <c r="AV50" s="237"/>
      <c r="AW50" s="237"/>
      <c r="AX50" s="237"/>
      <c r="AY50" s="237"/>
      <c r="AZ50" s="237"/>
      <c r="BA50" s="237"/>
      <c r="BB50" s="237"/>
      <c r="BC50" s="237"/>
      <c r="BD50" s="237"/>
      <c r="BE50" s="237"/>
      <c r="BF50" s="237"/>
      <c r="BG50" s="237"/>
      <c r="BH50" s="237"/>
      <c r="BI50" s="237"/>
      <c r="BJ50" s="237"/>
      <c r="BK50" s="237"/>
      <c r="BL50" s="237"/>
      <c r="BM50" s="237"/>
      <c r="BN50" s="237"/>
      <c r="BO50" s="237"/>
      <c r="BP50" s="237"/>
    </row>
    <row r="51" spans="1:68" ht="14.25" customHeight="1">
      <c r="A51" s="87"/>
      <c r="B51" s="48"/>
      <c r="C51" s="48"/>
      <c r="D51" s="40"/>
      <c r="E51" s="40"/>
      <c r="F51" s="40"/>
      <c r="G51" s="40"/>
      <c r="H51" s="40"/>
      <c r="I51" s="40"/>
      <c r="J51" s="40"/>
      <c r="K51" s="1"/>
      <c r="L51" s="5"/>
      <c r="M51" s="5"/>
      <c r="N51" s="5"/>
      <c r="O51" s="5"/>
      <c r="P51" s="5"/>
      <c r="Q51" s="5"/>
      <c r="R51" s="5"/>
      <c r="S51" s="5"/>
      <c r="T51" s="5"/>
      <c r="U51" s="86"/>
      <c r="V51" s="102"/>
      <c r="W51" s="218"/>
      <c r="Z51" s="147"/>
      <c r="AI51" s="361" t="b">
        <v>1</v>
      </c>
      <c r="AJ51" s="121" t="s">
        <v>3</v>
      </c>
      <c r="AK51" s="61" t="str">
        <f t="shared" si="15"/>
        <v>Reading</v>
      </c>
      <c r="AL51" s="110" t="e">
        <f t="shared" si="18"/>
        <v>#N/A</v>
      </c>
      <c r="AM51" s="110" t="e">
        <f t="shared" si="18"/>
        <v>#N/A</v>
      </c>
      <c r="AN51" s="110" t="e">
        <f t="shared" si="18"/>
        <v>#N/A</v>
      </c>
      <c r="AO51" s="110" t="e">
        <f t="shared" si="18"/>
        <v>#N/A</v>
      </c>
      <c r="AP51" s="110" t="e">
        <f t="shared" si="18"/>
        <v>#N/A</v>
      </c>
      <c r="AQ51" s="111">
        <f t="shared" si="17"/>
        <v>16</v>
      </c>
      <c r="AR51" s="237"/>
      <c r="AS51" s="237"/>
      <c r="AT51" s="237"/>
      <c r="AU51" s="237"/>
      <c r="AV51" s="237"/>
      <c r="AW51" s="237"/>
      <c r="AX51" s="237"/>
      <c r="AY51" s="237"/>
      <c r="AZ51" s="237"/>
      <c r="BA51" s="237"/>
      <c r="BB51" s="237"/>
      <c r="BC51" s="237"/>
      <c r="BD51" s="237"/>
      <c r="BE51" s="237"/>
      <c r="BF51" s="237"/>
      <c r="BG51" s="237"/>
      <c r="BH51" s="237"/>
      <c r="BI51" s="237"/>
      <c r="BJ51" s="237"/>
      <c r="BK51" s="237"/>
      <c r="BL51" s="237"/>
      <c r="BM51" s="237"/>
      <c r="BN51" s="237"/>
      <c r="BO51" s="237"/>
      <c r="BP51" s="237"/>
    </row>
    <row r="52" spans="1:68" ht="14.25" customHeight="1">
      <c r="A52" s="87"/>
      <c r="B52" s="48"/>
      <c r="C52" s="48"/>
      <c r="D52" s="40"/>
      <c r="E52" s="40"/>
      <c r="F52" s="40"/>
      <c r="G52" s="40"/>
      <c r="H52" s="40"/>
      <c r="I52" s="40"/>
      <c r="J52" s="40"/>
      <c r="K52" s="1"/>
      <c r="L52" s="5"/>
      <c r="M52" s="5"/>
      <c r="N52" s="5"/>
      <c r="O52" s="5"/>
      <c r="P52" s="5"/>
      <c r="Q52" s="5"/>
      <c r="R52" s="5"/>
      <c r="S52" s="5"/>
      <c r="T52" s="5"/>
      <c r="U52" s="86"/>
      <c r="V52" s="102"/>
      <c r="W52" s="218"/>
      <c r="Z52" s="147"/>
      <c r="AI52" s="361" t="b">
        <v>1</v>
      </c>
      <c r="AJ52" s="121" t="s">
        <v>13</v>
      </c>
      <c r="AK52" s="61" t="str">
        <f t="shared" si="15"/>
        <v>Slough</v>
      </c>
      <c r="AL52" s="110" t="e">
        <f t="shared" si="18"/>
        <v>#N/A</v>
      </c>
      <c r="AM52" s="110" t="e">
        <f t="shared" si="18"/>
        <v>#N/A</v>
      </c>
      <c r="AN52" s="110" t="e">
        <f t="shared" si="18"/>
        <v>#N/A</v>
      </c>
      <c r="AO52" s="110" t="e">
        <f t="shared" si="18"/>
        <v>#N/A</v>
      </c>
      <c r="AP52" s="110" t="e">
        <f t="shared" si="18"/>
        <v>#N/A</v>
      </c>
      <c r="AQ52" s="111">
        <f t="shared" si="17"/>
        <v>14.7</v>
      </c>
      <c r="AR52" s="237"/>
      <c r="AS52" s="237"/>
      <c r="AT52" s="237"/>
      <c r="AU52" s="237"/>
      <c r="AV52" s="237"/>
      <c r="AW52" s="237"/>
      <c r="AX52" s="237"/>
      <c r="AY52" s="237"/>
      <c r="AZ52" s="237"/>
      <c r="BA52" s="237"/>
      <c r="BB52" s="237"/>
      <c r="BC52" s="237"/>
      <c r="BD52" s="237"/>
      <c r="BE52" s="237"/>
      <c r="BF52" s="237"/>
      <c r="BG52" s="237"/>
      <c r="BH52" s="237"/>
      <c r="BI52" s="237"/>
      <c r="BJ52" s="237"/>
      <c r="BK52" s="237"/>
      <c r="BL52" s="237"/>
      <c r="BM52" s="237"/>
      <c r="BN52" s="237"/>
      <c r="BO52" s="237"/>
      <c r="BP52" s="237"/>
    </row>
    <row r="53" spans="1:68" ht="14.25" customHeight="1">
      <c r="A53" s="87"/>
      <c r="B53" s="48"/>
      <c r="C53" s="48"/>
      <c r="D53" s="40"/>
      <c r="E53" s="40"/>
      <c r="F53" s="40"/>
      <c r="G53" s="40"/>
      <c r="H53" s="40"/>
      <c r="I53" s="40"/>
      <c r="J53" s="40"/>
      <c r="K53" s="1"/>
      <c r="L53" s="5"/>
      <c r="M53" s="5"/>
      <c r="N53" s="5"/>
      <c r="O53" s="5"/>
      <c r="P53" s="5"/>
      <c r="Q53" s="5"/>
      <c r="R53" s="5"/>
      <c r="S53" s="5"/>
      <c r="T53" s="5"/>
      <c r="U53" s="86"/>
      <c r="V53" s="102"/>
      <c r="W53" s="218"/>
      <c r="Z53" s="147"/>
      <c r="AI53" s="361" t="b">
        <v>1</v>
      </c>
      <c r="AJ53" s="121" t="s">
        <v>89</v>
      </c>
      <c r="AK53" s="61" t="e">
        <f t="shared" si="15"/>
        <v>#REF!</v>
      </c>
      <c r="AL53" s="110" t="e">
        <f t="shared" si="18"/>
        <v>#REF!</v>
      </c>
      <c r="AM53" s="110" t="e">
        <f t="shared" si="18"/>
        <v>#REF!</v>
      </c>
      <c r="AN53" s="110" t="e">
        <f t="shared" si="18"/>
        <v>#REF!</v>
      </c>
      <c r="AO53" s="110" t="e">
        <f t="shared" si="18"/>
        <v>#REF!</v>
      </c>
      <c r="AP53" s="110" t="e">
        <f t="shared" si="18"/>
        <v>#REF!</v>
      </c>
      <c r="AQ53" s="111" t="e">
        <f t="shared" si="17"/>
        <v>#REF!</v>
      </c>
      <c r="AR53" s="237"/>
      <c r="AS53" s="237"/>
      <c r="AT53" s="237"/>
      <c r="AU53" s="237"/>
      <c r="AV53" s="237"/>
      <c r="AW53" s="237"/>
      <c r="AX53" s="237"/>
      <c r="AY53" s="237"/>
      <c r="AZ53" s="237"/>
      <c r="BA53" s="237"/>
      <c r="BB53" s="237"/>
      <c r="BC53" s="237"/>
      <c r="BD53" s="237"/>
      <c r="BE53" s="237"/>
      <c r="BF53" s="237"/>
      <c r="BG53" s="237"/>
      <c r="BH53" s="237"/>
      <c r="BI53" s="237"/>
      <c r="BJ53" s="237"/>
      <c r="BK53" s="237"/>
      <c r="BL53" s="237"/>
      <c r="BM53" s="237"/>
      <c r="BN53" s="237"/>
      <c r="BO53" s="237"/>
      <c r="BP53" s="237"/>
    </row>
    <row r="54" spans="1:68" ht="14.25" customHeight="1">
      <c r="A54" s="87"/>
      <c r="B54" s="48"/>
      <c r="C54" s="48"/>
      <c r="D54" s="40"/>
      <c r="E54" s="40"/>
      <c r="F54" s="40"/>
      <c r="G54" s="40"/>
      <c r="H54" s="40"/>
      <c r="I54" s="40"/>
      <c r="J54" s="40"/>
      <c r="K54" s="1"/>
      <c r="L54" s="5"/>
      <c r="M54" s="5"/>
      <c r="N54" s="5"/>
      <c r="O54" s="5"/>
      <c r="P54" s="5"/>
      <c r="Q54" s="5"/>
      <c r="R54" s="5"/>
      <c r="S54" s="5"/>
      <c r="T54" s="5"/>
      <c r="U54" s="86"/>
      <c r="V54" s="102"/>
      <c r="W54" s="218"/>
      <c r="Z54" s="147"/>
      <c r="AI54" s="361" t="b">
        <v>1</v>
      </c>
      <c r="AJ54" s="121" t="s">
        <v>14</v>
      </c>
      <c r="AK54" s="61" t="str">
        <f t="shared" si="15"/>
        <v>Southampton</v>
      </c>
      <c r="AL54" s="110" t="e">
        <f t="shared" si="18"/>
        <v>#N/A</v>
      </c>
      <c r="AM54" s="110" t="e">
        <f t="shared" si="18"/>
        <v>#N/A</v>
      </c>
      <c r="AN54" s="110" t="e">
        <f t="shared" si="18"/>
        <v>#N/A</v>
      </c>
      <c r="AO54" s="110" t="e">
        <f t="shared" si="18"/>
        <v>#N/A</v>
      </c>
      <c r="AP54" s="110" t="e">
        <f t="shared" si="18"/>
        <v>#N/A</v>
      </c>
      <c r="AQ54" s="111">
        <f t="shared" si="17"/>
        <v>20.5</v>
      </c>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row>
    <row r="55" spans="1:68" ht="14.25" customHeight="1">
      <c r="A55" s="87"/>
      <c r="B55" s="48"/>
      <c r="C55" s="48"/>
      <c r="D55" s="40"/>
      <c r="E55" s="40"/>
      <c r="F55" s="40"/>
      <c r="G55" s="40"/>
      <c r="H55" s="40"/>
      <c r="I55" s="40"/>
      <c r="J55" s="40"/>
      <c r="K55" s="1"/>
      <c r="L55" s="5"/>
      <c r="M55" s="5"/>
      <c r="N55" s="5"/>
      <c r="O55" s="5"/>
      <c r="P55" s="5"/>
      <c r="Q55" s="5"/>
      <c r="R55" s="5"/>
      <c r="S55" s="5"/>
      <c r="T55" s="5"/>
      <c r="U55" s="86"/>
      <c r="V55" s="102"/>
      <c r="W55" s="218"/>
      <c r="Z55" s="147"/>
      <c r="AI55" s="361" t="b">
        <v>1</v>
      </c>
      <c r="AJ55" s="121" t="s">
        <v>7</v>
      </c>
      <c r="AK55" s="61" t="str">
        <f t="shared" si="15"/>
        <v>Surrey</v>
      </c>
      <c r="AL55" s="110" t="e">
        <f t="shared" si="18"/>
        <v>#N/A</v>
      </c>
      <c r="AM55" s="110" t="e">
        <f t="shared" si="18"/>
        <v>#N/A</v>
      </c>
      <c r="AN55" s="110" t="e">
        <f t="shared" si="18"/>
        <v>#N/A</v>
      </c>
      <c r="AO55" s="110" t="e">
        <f t="shared" si="18"/>
        <v>#N/A</v>
      </c>
      <c r="AP55" s="110" t="e">
        <f t="shared" si="18"/>
        <v>#N/A</v>
      </c>
      <c r="AQ55" s="111">
        <f t="shared" si="17"/>
        <v>8.3000000000000007</v>
      </c>
      <c r="AR55" s="237"/>
      <c r="AS55" s="237"/>
      <c r="AT55" s="237"/>
      <c r="AU55" s="237"/>
      <c r="AV55" s="237"/>
      <c r="AW55" s="237"/>
      <c r="AX55" s="237"/>
      <c r="AY55" s="237"/>
      <c r="AZ55" s="237"/>
      <c r="BA55" s="237"/>
      <c r="BB55" s="237"/>
      <c r="BC55" s="237"/>
      <c r="BD55" s="237"/>
      <c r="BE55" s="237"/>
      <c r="BF55" s="237"/>
      <c r="BG55" s="237"/>
      <c r="BH55" s="237"/>
      <c r="BI55" s="237"/>
      <c r="BJ55" s="237"/>
      <c r="BK55" s="237"/>
      <c r="BL55" s="237"/>
      <c r="BM55" s="237"/>
      <c r="BN55" s="237"/>
      <c r="BO55" s="237"/>
      <c r="BP55" s="237"/>
    </row>
    <row r="56" spans="1:68" ht="14.25" customHeight="1">
      <c r="A56" s="208"/>
      <c r="B56" s="48"/>
      <c r="C56" s="48"/>
      <c r="D56" s="40"/>
      <c r="E56" s="40"/>
      <c r="F56" s="40"/>
      <c r="G56" s="40"/>
      <c r="H56" s="40"/>
      <c r="I56" s="40"/>
      <c r="J56" s="40"/>
      <c r="K56" s="1"/>
      <c r="L56" s="5"/>
      <c r="M56" s="5"/>
      <c r="N56" s="5"/>
      <c r="O56" s="5"/>
      <c r="P56" s="5"/>
      <c r="Q56" s="5"/>
      <c r="R56" s="5"/>
      <c r="S56" s="5"/>
      <c r="T56" s="5"/>
      <c r="U56" s="86"/>
      <c r="V56" s="102"/>
      <c r="W56" s="218"/>
      <c r="Z56" s="147"/>
      <c r="AI56" s="361" t="b">
        <v>1</v>
      </c>
      <c r="AJ56" s="121" t="s">
        <v>104</v>
      </c>
      <c r="AK56" s="61" t="e">
        <f t="shared" si="15"/>
        <v>#REF!</v>
      </c>
      <c r="AL56" s="110" t="e">
        <f t="shared" si="18"/>
        <v>#REF!</v>
      </c>
      <c r="AM56" s="110" t="e">
        <f t="shared" si="18"/>
        <v>#REF!</v>
      </c>
      <c r="AN56" s="110" t="e">
        <f t="shared" si="18"/>
        <v>#REF!</v>
      </c>
      <c r="AO56" s="110" t="e">
        <f t="shared" si="18"/>
        <v>#REF!</v>
      </c>
      <c r="AP56" s="110" t="e">
        <f t="shared" si="18"/>
        <v>#REF!</v>
      </c>
      <c r="AQ56" s="111" t="e">
        <f t="shared" si="17"/>
        <v>#REF!</v>
      </c>
      <c r="AR56" s="237"/>
      <c r="AS56" s="237"/>
      <c r="AT56" s="237"/>
      <c r="AU56" s="237"/>
      <c r="AV56" s="237"/>
      <c r="AW56" s="237"/>
      <c r="AX56" s="237"/>
      <c r="AY56" s="237"/>
      <c r="AZ56" s="237"/>
      <c r="BA56" s="237"/>
      <c r="BB56" s="237"/>
      <c r="BC56" s="237"/>
      <c r="BD56" s="237"/>
      <c r="BE56" s="237"/>
      <c r="BF56" s="237"/>
      <c r="BG56" s="237"/>
      <c r="BH56" s="237"/>
      <c r="BI56" s="237"/>
      <c r="BJ56" s="237"/>
      <c r="BK56" s="237"/>
      <c r="BL56" s="237"/>
      <c r="BM56" s="237"/>
      <c r="BN56" s="237"/>
      <c r="BO56" s="237"/>
      <c r="BP56" s="237"/>
    </row>
    <row r="57" spans="1:68" ht="14.25" customHeight="1">
      <c r="A57" s="208"/>
      <c r="B57" s="48"/>
      <c r="C57" s="48"/>
      <c r="D57" s="40"/>
      <c r="E57" s="40"/>
      <c r="F57" s="40"/>
      <c r="G57" s="40"/>
      <c r="H57" s="40"/>
      <c r="I57" s="40"/>
      <c r="J57" s="40"/>
      <c r="K57" s="1"/>
      <c r="L57" s="5"/>
      <c r="M57" s="5"/>
      <c r="N57" s="5"/>
      <c r="O57" s="5"/>
      <c r="P57" s="5"/>
      <c r="Q57" s="5"/>
      <c r="R57" s="5"/>
      <c r="S57" s="5"/>
      <c r="T57" s="5"/>
      <c r="U57" s="86"/>
      <c r="V57" s="102"/>
      <c r="W57" s="218"/>
      <c r="Z57" s="147"/>
      <c r="AI57" s="361" t="b">
        <v>1</v>
      </c>
      <c r="AJ57" s="121" t="s">
        <v>15</v>
      </c>
      <c r="AK57" s="61" t="str">
        <f t="shared" si="15"/>
        <v>West Berkshire</v>
      </c>
      <c r="AL57" s="110" t="e">
        <f t="shared" si="18"/>
        <v>#N/A</v>
      </c>
      <c r="AM57" s="110" t="e">
        <f t="shared" si="18"/>
        <v>#N/A</v>
      </c>
      <c r="AN57" s="110" t="e">
        <f t="shared" si="18"/>
        <v>#N/A</v>
      </c>
      <c r="AO57" s="110" t="e">
        <f t="shared" si="18"/>
        <v>#N/A</v>
      </c>
      <c r="AP57" s="110" t="e">
        <f t="shared" si="18"/>
        <v>#N/A</v>
      </c>
      <c r="AQ57" s="111">
        <f t="shared" si="17"/>
        <v>8.6999999999999993</v>
      </c>
      <c r="AR57" s="237"/>
      <c r="AS57" s="237"/>
      <c r="AT57" s="237"/>
      <c r="AU57" s="237"/>
      <c r="AV57" s="237"/>
      <c r="AW57" s="237"/>
      <c r="AX57" s="237"/>
      <c r="AY57" s="237"/>
      <c r="AZ57" s="237"/>
      <c r="BA57" s="237"/>
      <c r="BB57" s="237"/>
      <c r="BC57" s="237"/>
      <c r="BD57" s="237"/>
      <c r="BE57" s="237"/>
      <c r="BF57" s="237"/>
      <c r="BG57" s="237"/>
      <c r="BH57" s="237"/>
      <c r="BI57" s="237"/>
      <c r="BJ57" s="237"/>
      <c r="BK57" s="237"/>
      <c r="BL57" s="237"/>
      <c r="BM57" s="237"/>
      <c r="BN57" s="237"/>
      <c r="BO57" s="237"/>
      <c r="BP57" s="237"/>
    </row>
    <row r="58" spans="1:68" ht="14.25" customHeight="1">
      <c r="A58" s="87"/>
      <c r="B58" s="48"/>
      <c r="C58" s="48"/>
      <c r="D58" s="40"/>
      <c r="E58" s="40"/>
      <c r="F58" s="40"/>
      <c r="G58" s="40"/>
      <c r="H58" s="40"/>
      <c r="I58" s="40"/>
      <c r="J58" s="40"/>
      <c r="K58" s="1"/>
      <c r="L58" s="5"/>
      <c r="M58" s="5"/>
      <c r="N58" s="5"/>
      <c r="O58" s="5"/>
      <c r="P58" s="5"/>
      <c r="Q58" s="5"/>
      <c r="R58" s="5"/>
      <c r="S58" s="5"/>
      <c r="T58" s="5"/>
      <c r="U58" s="86"/>
      <c r="V58" s="102"/>
      <c r="W58" s="218"/>
      <c r="Z58" s="147"/>
      <c r="AI58" s="361" t="b">
        <v>1</v>
      </c>
      <c r="AJ58" s="121" t="s">
        <v>5</v>
      </c>
      <c r="AK58" s="61" t="str">
        <f t="shared" si="15"/>
        <v>West Sussex</v>
      </c>
      <c r="AL58" s="110" t="e">
        <f t="shared" si="18"/>
        <v>#N/A</v>
      </c>
      <c r="AM58" s="110" t="e">
        <f t="shared" si="18"/>
        <v>#N/A</v>
      </c>
      <c r="AN58" s="110" t="e">
        <f t="shared" si="18"/>
        <v>#N/A</v>
      </c>
      <c r="AO58" s="110" t="e">
        <f t="shared" si="18"/>
        <v>#N/A</v>
      </c>
      <c r="AP58" s="110" t="e">
        <f t="shared" si="18"/>
        <v>#N/A</v>
      </c>
      <c r="AQ58" s="111">
        <f t="shared" si="17"/>
        <v>11</v>
      </c>
      <c r="AR58" s="237"/>
      <c r="AS58" s="237"/>
      <c r="AT58" s="237"/>
      <c r="AU58" s="237"/>
      <c r="AV58" s="237"/>
      <c r="AW58" s="237"/>
      <c r="AX58" s="237"/>
      <c r="AY58" s="237"/>
      <c r="AZ58" s="237"/>
      <c r="BA58" s="237"/>
      <c r="BB58" s="237"/>
      <c r="BC58" s="237"/>
      <c r="BD58" s="237"/>
      <c r="BE58" s="237"/>
      <c r="BF58" s="237"/>
      <c r="BG58" s="237"/>
      <c r="BH58" s="237"/>
      <c r="BI58" s="237"/>
      <c r="BJ58" s="237"/>
      <c r="BK58" s="237"/>
      <c r="BL58" s="237"/>
      <c r="BM58" s="237"/>
      <c r="BN58" s="237"/>
      <c r="BO58" s="237"/>
      <c r="BP58" s="237"/>
    </row>
    <row r="59" spans="1:68" ht="14.25" customHeight="1">
      <c r="A59" s="87"/>
      <c r="B59" s="48"/>
      <c r="C59" s="48"/>
      <c r="D59" s="40"/>
      <c r="E59" s="40"/>
      <c r="F59" s="40"/>
      <c r="G59" s="40"/>
      <c r="H59" s="40"/>
      <c r="I59" s="40"/>
      <c r="J59" s="40"/>
      <c r="K59" s="1"/>
      <c r="L59" s="5"/>
      <c r="M59" s="5"/>
      <c r="N59" s="5"/>
      <c r="O59" s="5"/>
      <c r="P59" s="5"/>
      <c r="Q59" s="5"/>
      <c r="R59" s="5"/>
      <c r="S59" s="5"/>
      <c r="T59" s="5"/>
      <c r="U59" s="86"/>
      <c r="V59" s="102"/>
      <c r="W59" s="218"/>
      <c r="Z59" s="147"/>
      <c r="AI59" s="361" t="b">
        <v>1</v>
      </c>
      <c r="AJ59" s="121" t="s">
        <v>27</v>
      </c>
      <c r="AK59" s="61" t="str">
        <f t="shared" si="15"/>
        <v>Windsor &amp; Maidenhead</v>
      </c>
      <c r="AL59" s="110" t="e">
        <f t="shared" si="18"/>
        <v>#N/A</v>
      </c>
      <c r="AM59" s="110" t="e">
        <f t="shared" si="18"/>
        <v>#N/A</v>
      </c>
      <c r="AN59" s="110" t="e">
        <f t="shared" si="18"/>
        <v>#N/A</v>
      </c>
      <c r="AO59" s="110" t="e">
        <f t="shared" si="18"/>
        <v>#N/A</v>
      </c>
      <c r="AP59" s="110" t="e">
        <f t="shared" si="18"/>
        <v>#N/A</v>
      </c>
      <c r="AQ59" s="111">
        <f t="shared" si="17"/>
        <v>6.7</v>
      </c>
      <c r="AR59" s="237"/>
      <c r="AS59" s="237"/>
      <c r="AT59" s="237"/>
      <c r="AU59" s="237"/>
      <c r="AV59" s="237"/>
      <c r="AW59" s="237"/>
      <c r="AX59" s="237"/>
      <c r="AY59" s="237"/>
      <c r="AZ59" s="237"/>
      <c r="BA59" s="237"/>
      <c r="BB59" s="237"/>
      <c r="BC59" s="237"/>
      <c r="BD59" s="237"/>
      <c r="BE59" s="237"/>
      <c r="BF59" s="237"/>
      <c r="BG59" s="237"/>
      <c r="BH59" s="237"/>
      <c r="BI59" s="237"/>
      <c r="BJ59" s="237"/>
      <c r="BK59" s="237"/>
      <c r="BL59" s="237"/>
      <c r="BM59" s="237"/>
      <c r="BN59" s="237"/>
      <c r="BO59" s="237"/>
      <c r="BP59" s="237"/>
    </row>
    <row r="60" spans="1:68" s="56" customFormat="1" ht="14.25" customHeight="1">
      <c r="A60" s="87"/>
      <c r="B60" s="48"/>
      <c r="C60" s="48"/>
      <c r="D60" s="40"/>
      <c r="E60" s="40"/>
      <c r="F60" s="40"/>
      <c r="G60" s="40"/>
      <c r="H60" s="40"/>
      <c r="I60" s="40"/>
      <c r="J60" s="40"/>
      <c r="K60" s="1"/>
      <c r="L60" s="5"/>
      <c r="M60" s="5"/>
      <c r="N60" s="5"/>
      <c r="O60" s="5"/>
      <c r="P60" s="5"/>
      <c r="Q60" s="5"/>
      <c r="R60" s="5"/>
      <c r="S60" s="5"/>
      <c r="T60" s="5"/>
      <c r="U60" s="86"/>
      <c r="V60" s="102"/>
      <c r="W60" s="218"/>
      <c r="Z60" s="147"/>
      <c r="AI60" s="361" t="b">
        <v>1</v>
      </c>
      <c r="AJ60" s="121" t="s">
        <v>16</v>
      </c>
      <c r="AK60" s="61" t="str">
        <f t="shared" si="15"/>
        <v>Wokingham</v>
      </c>
      <c r="AL60" s="110" t="e">
        <f t="shared" si="18"/>
        <v>#N/A</v>
      </c>
      <c r="AM60" s="110" t="e">
        <f t="shared" si="18"/>
        <v>#N/A</v>
      </c>
      <c r="AN60" s="110" t="e">
        <f t="shared" si="18"/>
        <v>#N/A</v>
      </c>
      <c r="AO60" s="110" t="e">
        <f t="shared" si="18"/>
        <v>#N/A</v>
      </c>
      <c r="AP60" s="110" t="e">
        <f t="shared" si="18"/>
        <v>#N/A</v>
      </c>
      <c r="AQ60" s="111">
        <f t="shared" si="17"/>
        <v>5.6000000000000005</v>
      </c>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237"/>
      <c r="BN60" s="237"/>
      <c r="BO60" s="237"/>
      <c r="BP60" s="237"/>
    </row>
    <row r="61" spans="1:68" s="56" customFormat="1" ht="14.25" customHeight="1">
      <c r="A61" s="87"/>
      <c r="B61" s="48"/>
      <c r="C61" s="48"/>
      <c r="D61" s="40"/>
      <c r="E61" s="40"/>
      <c r="F61" s="40"/>
      <c r="G61" s="40"/>
      <c r="H61" s="40"/>
      <c r="I61" s="40"/>
      <c r="J61" s="40"/>
      <c r="K61" s="1"/>
      <c r="L61" s="5"/>
      <c r="M61" s="5"/>
      <c r="N61" s="5"/>
      <c r="O61" s="5"/>
      <c r="P61" s="5"/>
      <c r="Q61" s="5"/>
      <c r="R61" s="5"/>
      <c r="S61" s="5"/>
      <c r="T61" s="5"/>
      <c r="U61" s="86"/>
      <c r="V61" s="102"/>
      <c r="W61" s="218"/>
      <c r="Z61" s="147"/>
      <c r="AI61" s="361" t="b">
        <v>1</v>
      </c>
      <c r="AJ61" s="121" t="s">
        <v>71</v>
      </c>
      <c r="AK61" s="61" t="str">
        <f t="shared" si="15"/>
        <v>South East</v>
      </c>
      <c r="AL61" s="110" t="e">
        <f>IF(ISERROR(VLOOKUP($AK61,$B$10:$P$32,AL$36,FALSE)),NA(),VLOOKUP($AK61,$B$10:$P$32,AL$36,FALSE))</f>
        <v>#N/A</v>
      </c>
      <c r="AM61" s="110" t="e">
        <f t="shared" si="18"/>
        <v>#N/A</v>
      </c>
      <c r="AN61" s="110" t="e">
        <f t="shared" si="18"/>
        <v>#N/A</v>
      </c>
      <c r="AO61" s="110" t="e">
        <f t="shared" si="18"/>
        <v>#N/A</v>
      </c>
      <c r="AP61" s="110" t="e">
        <f t="shared" si="18"/>
        <v>#N/A</v>
      </c>
      <c r="AQ61" s="111" t="e">
        <f t="shared" si="17"/>
        <v>#DIV/0!</v>
      </c>
      <c r="AR61" s="237"/>
      <c r="AS61" s="237"/>
      <c r="AT61" s="237"/>
      <c r="AU61" s="237"/>
      <c r="AV61" s="237"/>
      <c r="AW61" s="237"/>
      <c r="AX61" s="237"/>
      <c r="AY61" s="237"/>
      <c r="AZ61" s="237"/>
      <c r="BA61" s="237"/>
      <c r="BB61" s="237"/>
      <c r="BC61" s="237"/>
      <c r="BD61" s="237"/>
      <c r="BE61" s="237"/>
      <c r="BF61" s="237"/>
      <c r="BG61" s="237"/>
      <c r="BH61" s="237"/>
      <c r="BI61" s="237"/>
      <c r="BJ61" s="237"/>
      <c r="BK61" s="237"/>
      <c r="BL61" s="237"/>
      <c r="BM61" s="237"/>
      <c r="BN61" s="237"/>
      <c r="BO61" s="237"/>
      <c r="BP61" s="237"/>
    </row>
    <row r="62" spans="1:68" s="56" customFormat="1" ht="14.25" customHeight="1">
      <c r="A62" s="87"/>
      <c r="B62" s="48"/>
      <c r="C62" s="48"/>
      <c r="D62" s="40"/>
      <c r="E62" s="40"/>
      <c r="F62" s="40"/>
      <c r="G62" s="40"/>
      <c r="H62" s="40"/>
      <c r="I62" s="40"/>
      <c r="J62" s="40"/>
      <c r="K62" s="1"/>
      <c r="L62" s="5"/>
      <c r="M62" s="5"/>
      <c r="N62" s="5"/>
      <c r="O62" s="5"/>
      <c r="P62" s="5"/>
      <c r="Q62" s="5"/>
      <c r="R62" s="5"/>
      <c r="S62" s="5"/>
      <c r="T62" s="5"/>
      <c r="U62" s="86"/>
      <c r="V62" s="102"/>
      <c r="W62" s="218"/>
      <c r="Z62" s="147"/>
      <c r="AI62" s="361" t="b">
        <v>1</v>
      </c>
      <c r="AJ62" s="121" t="s">
        <v>109</v>
      </c>
      <c r="AK62" s="61" t="str">
        <f t="shared" si="15"/>
        <v>England</v>
      </c>
      <c r="AL62" s="110" t="e">
        <f t="shared" si="18"/>
        <v>#N/A</v>
      </c>
      <c r="AM62" s="110" t="e">
        <f t="shared" si="18"/>
        <v>#N/A</v>
      </c>
      <c r="AN62" s="110" t="e">
        <f t="shared" si="18"/>
        <v>#N/A</v>
      </c>
      <c r="AO62" s="110" t="e">
        <f t="shared" si="18"/>
        <v>#N/A</v>
      </c>
      <c r="AP62" s="110" t="e">
        <f t="shared" si="18"/>
        <v>#N/A</v>
      </c>
      <c r="AQ62" s="111">
        <f t="shared" si="17"/>
        <v>17.084413405029373</v>
      </c>
      <c r="AR62" s="237"/>
      <c r="AS62" s="237"/>
      <c r="AT62" s="237"/>
      <c r="AU62" s="237"/>
      <c r="AV62" s="237"/>
      <c r="AW62" s="237"/>
      <c r="AX62" s="237"/>
      <c r="AY62" s="237"/>
      <c r="AZ62" s="237"/>
      <c r="BA62" s="237"/>
      <c r="BB62" s="237"/>
      <c r="BC62" s="237"/>
      <c r="BD62" s="237"/>
      <c r="BE62" s="237"/>
      <c r="BF62" s="237"/>
      <c r="BG62" s="237"/>
      <c r="BH62" s="237"/>
      <c r="BI62" s="237"/>
      <c r="BJ62" s="237"/>
      <c r="BK62" s="237"/>
      <c r="BL62" s="237"/>
      <c r="BM62" s="237"/>
      <c r="BN62" s="237"/>
      <c r="BO62" s="237"/>
      <c r="BP62" s="237"/>
    </row>
    <row r="63" spans="1:68" s="56" customFormat="1" ht="14.25" customHeight="1">
      <c r="A63" s="87"/>
      <c r="B63" s="48"/>
      <c r="C63" s="48"/>
      <c r="D63" s="40"/>
      <c r="E63" s="40"/>
      <c r="F63" s="40"/>
      <c r="G63" s="40"/>
      <c r="H63" s="40"/>
      <c r="I63" s="40"/>
      <c r="J63" s="40"/>
      <c r="K63" s="1"/>
      <c r="L63" s="79"/>
      <c r="M63" s="1902" t="s">
        <v>69</v>
      </c>
      <c r="N63" s="1902"/>
      <c r="O63" s="1902"/>
      <c r="P63" s="80"/>
      <c r="Q63" s="1901" t="s">
        <v>93</v>
      </c>
      <c r="R63" s="1901"/>
      <c r="S63" s="1901"/>
      <c r="T63" s="1901"/>
      <c r="U63" s="86"/>
      <c r="V63" s="102"/>
      <c r="W63" s="218"/>
      <c r="Z63" s="147"/>
      <c r="AJ63" s="122"/>
      <c r="AK63" s="52" t="str">
        <f>$Z$4</f>
        <v>Selected LA- (none)</v>
      </c>
      <c r="AL63" s="112" t="e">
        <f>VLOOKUP($Y4,$B$10:$P$31,AL$36,FALSE)</f>
        <v>#N/A</v>
      </c>
      <c r="AM63" s="112" t="e">
        <f>VLOOKUP($Y4,$B$10:$P$31,AM$36,FALSE)</f>
        <v>#N/A</v>
      </c>
      <c r="AN63" s="112" t="e">
        <f>VLOOKUP($Y4,$B$10:$P$31,AN$36,FALSE)</f>
        <v>#N/A</v>
      </c>
      <c r="AO63" s="112" t="e">
        <f>VLOOKUP($Y4,$B$10:$P$31,AO$36,FALSE)</f>
        <v>#N/A</v>
      </c>
      <c r="AP63" s="112" t="e">
        <f>VLOOKUP($Y4,$B$10:$P$31,AP$36,FALSE)</f>
        <v>#N/A</v>
      </c>
      <c r="AQ63" s="111" t="e">
        <f>VLOOKUP(Y4,$B$10:$T$31,$AQ$36,FALSE)</f>
        <v>#N/A</v>
      </c>
      <c r="AR63" s="237"/>
      <c r="AS63" s="237"/>
      <c r="AT63" s="237"/>
      <c r="AU63" s="237"/>
      <c r="AV63" s="237"/>
      <c r="AW63" s="237"/>
      <c r="AX63" s="237"/>
      <c r="AY63" s="237"/>
      <c r="AZ63" s="237"/>
      <c r="BA63" s="237"/>
      <c r="BB63" s="237"/>
      <c r="BC63" s="237"/>
      <c r="BD63" s="237"/>
      <c r="BE63" s="237"/>
      <c r="BF63" s="237"/>
      <c r="BG63" s="237"/>
      <c r="BH63" s="237"/>
      <c r="BI63" s="237"/>
      <c r="BJ63" s="237"/>
      <c r="BK63" s="237"/>
      <c r="BL63" s="237"/>
      <c r="BM63" s="237"/>
      <c r="BN63" s="237"/>
      <c r="BO63" s="237"/>
      <c r="BP63" s="237"/>
    </row>
    <row r="64" spans="1:68" s="56" customFormat="1" ht="14.25" customHeight="1">
      <c r="A64" s="87"/>
      <c r="B64" s="48"/>
      <c r="C64" s="48"/>
      <c r="D64" s="40"/>
      <c r="E64" s="40"/>
      <c r="F64" s="40"/>
      <c r="G64" s="40"/>
      <c r="H64" s="40"/>
      <c r="I64" s="40"/>
      <c r="J64" s="40"/>
      <c r="K64" s="1"/>
      <c r="L64" s="80"/>
      <c r="M64" s="1901" t="str">
        <f>Z4</f>
        <v>Selected LA- (none)</v>
      </c>
      <c r="N64" s="1901"/>
      <c r="O64" s="1901"/>
      <c r="P64" s="1901"/>
      <c r="Q64" s="1901"/>
      <c r="R64" s="1901"/>
      <c r="S64" s="1901"/>
      <c r="T64" s="1901"/>
      <c r="U64" s="86"/>
      <c r="V64" s="102"/>
      <c r="W64" s="114"/>
      <c r="Z64" s="147"/>
      <c r="AR64" s="132"/>
      <c r="AS64" s="132"/>
      <c r="AT64" s="132"/>
      <c r="AU64" s="132"/>
      <c r="AV64" s="132"/>
      <c r="AW64" s="132"/>
      <c r="AX64" s="132"/>
      <c r="AY64" s="132"/>
      <c r="AZ64" s="132"/>
      <c r="BA64" s="132"/>
      <c r="BB64" s="132"/>
      <c r="BC64" s="132"/>
      <c r="BD64" s="132"/>
      <c r="BE64" s="132"/>
      <c r="BF64" s="132"/>
      <c r="BG64" s="237"/>
      <c r="BH64" s="237"/>
      <c r="BI64" s="237"/>
      <c r="BJ64" s="237"/>
      <c r="BK64" s="237"/>
      <c r="BL64" s="237"/>
      <c r="BM64" s="237"/>
      <c r="BN64" s="237"/>
      <c r="BO64" s="237"/>
      <c r="BP64" s="237"/>
    </row>
    <row r="65" spans="1:49" s="56" customFormat="1" ht="42" customHeight="1">
      <c r="A65" s="87"/>
      <c r="B65" s="48"/>
      <c r="C65" s="48"/>
      <c r="D65" s="40"/>
      <c r="E65" s="40"/>
      <c r="F65" s="40"/>
      <c r="G65" s="40"/>
      <c r="H65" s="40"/>
      <c r="I65" s="40"/>
      <c r="J65" s="40"/>
      <c r="K65" s="1"/>
      <c r="L65" s="5"/>
      <c r="M65" s="5"/>
      <c r="N65" s="5"/>
      <c r="O65" s="5"/>
      <c r="P65" s="5"/>
      <c r="Q65" s="5"/>
      <c r="R65" s="5"/>
      <c r="S65" s="5"/>
      <c r="T65" s="5"/>
      <c r="U65" s="86"/>
      <c r="V65" s="102"/>
      <c r="W65" s="114"/>
      <c r="AJ65" s="122"/>
    </row>
    <row r="66" spans="1:49" s="61" customFormat="1" ht="42" customHeight="1">
      <c r="A66" s="88"/>
      <c r="B66" s="78"/>
      <c r="C66" s="78"/>
      <c r="D66" s="78"/>
      <c r="E66" s="78"/>
      <c r="F66" s="78"/>
      <c r="G66" s="78"/>
      <c r="H66" s="78"/>
      <c r="I66" s="78"/>
      <c r="J66" s="78"/>
      <c r="K66" s="68"/>
      <c r="L66" s="59"/>
      <c r="M66" s="59"/>
      <c r="N66" s="59"/>
      <c r="O66" s="59"/>
      <c r="P66" s="59"/>
      <c r="Q66" s="59"/>
      <c r="R66" s="59"/>
      <c r="S66" s="59"/>
      <c r="T66" s="59"/>
      <c r="U66" s="89"/>
      <c r="V66" s="103"/>
      <c r="W66" s="115"/>
      <c r="AD66" s="141"/>
      <c r="AE66" s="141"/>
      <c r="AF66" s="141"/>
      <c r="AG66" s="141"/>
      <c r="AH66" s="141"/>
      <c r="AJ66" s="121"/>
    </row>
    <row r="67" spans="1:49" s="61" customFormat="1" ht="42.75" customHeight="1">
      <c r="A67" s="88"/>
      <c r="B67" s="78"/>
      <c r="C67" s="78"/>
      <c r="D67" s="78"/>
      <c r="E67" s="78"/>
      <c r="F67" s="78"/>
      <c r="G67" s="78"/>
      <c r="H67" s="78"/>
      <c r="I67" s="78"/>
      <c r="J67" s="78"/>
      <c r="K67" s="68"/>
      <c r="L67" s="59"/>
      <c r="M67" s="59"/>
      <c r="N67" s="59"/>
      <c r="O67" s="59"/>
      <c r="P67" s="59"/>
      <c r="Q67" s="59"/>
      <c r="R67" s="59"/>
      <c r="S67" s="59"/>
      <c r="T67" s="59"/>
      <c r="U67" s="89"/>
      <c r="V67" s="103"/>
      <c r="W67" s="115"/>
      <c r="AD67" s="141"/>
      <c r="AE67" s="141"/>
      <c r="AF67" s="141"/>
      <c r="AG67" s="141"/>
      <c r="AH67" s="141"/>
      <c r="AJ67" s="121"/>
    </row>
    <row r="68" spans="1:49" ht="7.5" customHeight="1">
      <c r="A68" s="87"/>
      <c r="B68" s="12"/>
      <c r="C68" s="12"/>
      <c r="D68" s="11"/>
      <c r="E68" s="11"/>
      <c r="F68" s="11"/>
      <c r="G68" s="11"/>
      <c r="H68" s="11"/>
      <c r="I68" s="11"/>
      <c r="J68" s="11"/>
      <c r="K68" s="1"/>
      <c r="L68" s="13"/>
      <c r="M68" s="13"/>
      <c r="N68" s="13"/>
      <c r="O68" s="13"/>
      <c r="P68" s="13"/>
      <c r="Q68" s="13"/>
      <c r="R68" s="13"/>
      <c r="S68" s="13"/>
      <c r="T68" s="13"/>
      <c r="U68" s="86"/>
      <c r="V68" s="102"/>
      <c r="W68" s="114"/>
      <c r="AJ68" s="119"/>
    </row>
    <row r="69" spans="1:49" ht="15" customHeight="1">
      <c r="A69" s="1565"/>
      <c r="B69" s="1751"/>
      <c r="C69" s="1751"/>
      <c r="D69" s="1751"/>
      <c r="E69" s="1751"/>
      <c r="F69" s="1751"/>
      <c r="G69" s="1751"/>
      <c r="H69" s="1751"/>
      <c r="I69" s="1751"/>
      <c r="J69" s="1751"/>
      <c r="K69" s="1751"/>
      <c r="L69" s="1751"/>
      <c r="M69" s="1751"/>
      <c r="N69" s="1751"/>
      <c r="O69" s="1751"/>
      <c r="P69" s="1751"/>
      <c r="Q69" s="1751"/>
      <c r="R69" s="1751"/>
      <c r="S69" s="1751"/>
      <c r="T69" s="1751"/>
      <c r="U69" s="1752"/>
      <c r="V69" s="102"/>
      <c r="W69" s="114"/>
      <c r="AJ69" s="119"/>
    </row>
    <row r="70" spans="1:49" ht="11.25" customHeight="1">
      <c r="A70" s="1739" t="e">
        <f>Home!#REF!</f>
        <v>#REF!</v>
      </c>
      <c r="B70" s="1740"/>
      <c r="C70" s="1740"/>
      <c r="D70" s="1740"/>
      <c r="E70" s="1740"/>
      <c r="F70" s="1740"/>
      <c r="G70" s="1740"/>
      <c r="H70" s="1740"/>
      <c r="I70" s="1741"/>
      <c r="J70" s="1742"/>
      <c r="K70" s="1740"/>
      <c r="L70" s="1740"/>
      <c r="M70" s="1740"/>
      <c r="N70" s="1740"/>
      <c r="O70" s="1740"/>
      <c r="P70" s="1740"/>
      <c r="Q70" s="1742"/>
      <c r="R70" s="1740"/>
      <c r="S70" s="1740"/>
      <c r="T70" s="1740"/>
      <c r="U70" s="1743"/>
      <c r="V70" s="102"/>
      <c r="W70" s="114"/>
      <c r="AJ70" s="119"/>
    </row>
    <row r="71" spans="1:49" ht="18.75" customHeight="1">
      <c r="A71" s="81"/>
      <c r="B71" s="82"/>
      <c r="C71" s="82"/>
      <c r="D71" s="82"/>
      <c r="E71" s="82"/>
      <c r="F71" s="82"/>
      <c r="G71" s="82"/>
      <c r="H71" s="82"/>
      <c r="I71" s="82"/>
      <c r="J71" s="82"/>
      <c r="K71" s="83"/>
      <c r="L71" s="82"/>
      <c r="M71" s="82"/>
      <c r="N71" s="82"/>
      <c r="O71" s="82"/>
      <c r="P71" s="82"/>
      <c r="Q71" s="82"/>
      <c r="R71" s="82"/>
      <c r="S71" s="82"/>
      <c r="T71" s="82"/>
      <c r="U71" s="84"/>
      <c r="V71" s="600"/>
      <c r="W71" s="114"/>
      <c r="AJ71" s="119"/>
    </row>
    <row r="72" spans="1:49" ht="18.75" customHeight="1">
      <c r="A72" s="87"/>
      <c r="B72" s="95" t="s">
        <v>666</v>
      </c>
      <c r="C72" s="5"/>
      <c r="D72" s="5"/>
      <c r="E72" s="5"/>
      <c r="F72" s="5"/>
      <c r="G72" s="5"/>
      <c r="H72" s="5"/>
      <c r="I72" s="5"/>
      <c r="J72" s="5"/>
      <c r="K72" s="1"/>
      <c r="L72" s="5"/>
      <c r="M72" s="5"/>
      <c r="N72" s="5"/>
      <c r="O72" s="5"/>
      <c r="P72" s="5"/>
      <c r="Q72" s="5"/>
      <c r="R72" s="5"/>
      <c r="S72" s="5"/>
      <c r="T72" s="5"/>
      <c r="U72" s="86"/>
      <c r="V72" s="600"/>
      <c r="W72" s="114"/>
      <c r="AB72" s="52"/>
      <c r="AC72" s="52"/>
      <c r="AJ72" s="119"/>
    </row>
    <row r="73" spans="1:49" ht="18.75" customHeight="1">
      <c r="A73" s="91"/>
      <c r="B73" s="92"/>
      <c r="C73" s="92"/>
      <c r="D73" s="92"/>
      <c r="E73" s="92"/>
      <c r="F73" s="92"/>
      <c r="G73" s="92"/>
      <c r="H73" s="92"/>
      <c r="I73" s="200"/>
      <c r="J73" s="329"/>
      <c r="K73" s="93"/>
      <c r="L73" s="92"/>
      <c r="M73" s="92"/>
      <c r="N73" s="92"/>
      <c r="O73" s="92"/>
      <c r="P73" s="92"/>
      <c r="Q73" s="329"/>
      <c r="R73" s="92"/>
      <c r="S73" s="92"/>
      <c r="T73" s="92"/>
      <c r="U73" s="94"/>
      <c r="V73" s="600"/>
      <c r="W73" s="114"/>
      <c r="AB73" s="52"/>
      <c r="AC73" s="52"/>
      <c r="AJ73" s="119"/>
    </row>
    <row r="74" spans="1:49" ht="11.25" customHeight="1">
      <c r="A74" s="81"/>
      <c r="B74" s="82"/>
      <c r="C74" s="82"/>
      <c r="D74" s="82"/>
      <c r="E74" s="82"/>
      <c r="F74" s="82"/>
      <c r="G74" s="82"/>
      <c r="H74" s="82"/>
      <c r="I74" s="82"/>
      <c r="J74" s="82"/>
      <c r="K74" s="83"/>
      <c r="L74" s="82"/>
      <c r="M74" s="82"/>
      <c r="N74" s="82"/>
      <c r="O74" s="82"/>
      <c r="P74" s="82"/>
      <c r="Q74" s="82"/>
      <c r="R74" s="82"/>
      <c r="S74" s="82"/>
      <c r="T74" s="82"/>
      <c r="U74" s="84"/>
      <c r="V74" s="102"/>
      <c r="W74" s="114"/>
      <c r="AB74" s="52"/>
      <c r="AC74" s="52"/>
      <c r="AJ74" s="119"/>
    </row>
    <row r="75" spans="1:49" ht="15" customHeight="1">
      <c r="A75" s="87"/>
      <c r="B75" s="1948" t="str">
        <f>"Number of Children who were Electively Home Educated"&amp;$Y1</f>
        <v>Number of Children who were Electively Home Educated at 31st March</v>
      </c>
      <c r="C75" s="1948"/>
      <c r="D75" s="1948"/>
      <c r="E75" s="1948"/>
      <c r="F75" s="1948"/>
      <c r="G75" s="1948"/>
      <c r="H75" s="1948"/>
      <c r="I75" s="1948"/>
      <c r="J75" s="1948"/>
      <c r="K75" s="1948"/>
      <c r="L75" s="1948"/>
      <c r="M75" s="1948"/>
      <c r="N75" s="1948"/>
      <c r="O75" s="1948"/>
      <c r="P75" s="1948"/>
      <c r="Q75" s="1948"/>
      <c r="R75" s="1948"/>
      <c r="S75" s="1948"/>
      <c r="T75" s="1948"/>
      <c r="U75" s="86"/>
      <c r="V75" s="102"/>
      <c r="W75" s="114"/>
      <c r="AB75" s="52"/>
      <c r="AC75" s="52"/>
      <c r="AD75" s="52"/>
      <c r="AE75" s="52"/>
      <c r="AF75" s="52"/>
      <c r="AG75" s="52"/>
      <c r="AH75" s="52"/>
      <c r="AJ75" s="119"/>
    </row>
    <row r="76" spans="1:49" ht="13.5" customHeight="1">
      <c r="A76" s="87"/>
      <c r="B76" s="1948"/>
      <c r="C76" s="1948"/>
      <c r="D76" s="1948"/>
      <c r="E76" s="1948"/>
      <c r="F76" s="1948"/>
      <c r="G76" s="1948"/>
      <c r="H76" s="1948"/>
      <c r="I76" s="1948"/>
      <c r="J76" s="1948"/>
      <c r="K76" s="1948"/>
      <c r="L76" s="1948"/>
      <c r="M76" s="1948"/>
      <c r="N76" s="1948"/>
      <c r="O76" s="1948"/>
      <c r="P76" s="1948"/>
      <c r="Q76" s="1948"/>
      <c r="R76" s="1948"/>
      <c r="S76" s="1948"/>
      <c r="T76" s="1948"/>
      <c r="U76" s="86"/>
      <c r="V76" s="102"/>
      <c r="W76" s="114"/>
      <c r="Y76" s="141"/>
      <c r="AJ76" s="119"/>
    </row>
    <row r="77" spans="1:49" s="61" customFormat="1" ht="12.75" customHeight="1">
      <c r="A77" s="88"/>
      <c r="B77" s="1996" t="s">
        <v>177</v>
      </c>
      <c r="C77" s="59"/>
      <c r="D77" s="1822" t="s">
        <v>84</v>
      </c>
      <c r="E77" s="1998"/>
      <c r="F77" s="1998"/>
      <c r="G77" s="1998"/>
      <c r="H77" s="1999"/>
      <c r="I77" s="1988" t="str">
        <f>"Average "&amp;ReportData!C3&amp;" Change "</f>
        <v xml:space="preserve">Average Annual Change </v>
      </c>
      <c r="J77" s="1989"/>
      <c r="K77" s="68"/>
      <c r="L77" s="2000" t="s">
        <v>670</v>
      </c>
      <c r="M77" s="2001"/>
      <c r="N77" s="2001"/>
      <c r="O77" s="2001"/>
      <c r="P77" s="2001"/>
      <c r="Q77" s="2001"/>
      <c r="R77" s="2002" t="str">
        <f>IF(ISNA(P79),"SE Rank "&amp;P78,"SE Rank "&amp;P79)</f>
        <v>SE Rank 2023/24</v>
      </c>
      <c r="S77" s="50"/>
      <c r="T77" s="1993" t="s">
        <v>75</v>
      </c>
      <c r="U77" s="89"/>
      <c r="V77" s="103"/>
      <c r="W77" s="115"/>
      <c r="Y77" s="2015" t="s">
        <v>671</v>
      </c>
      <c r="Z77" s="2016"/>
      <c r="AA77" s="2015" t="s">
        <v>76</v>
      </c>
      <c r="AB77" s="2019"/>
      <c r="AC77" s="2019"/>
      <c r="AD77" s="2019"/>
      <c r="AE77" s="2016"/>
      <c r="AG77" s="154" t="s">
        <v>88</v>
      </c>
      <c r="AH77" s="141"/>
      <c r="AI77" s="141"/>
      <c r="AJ77" s="121"/>
      <c r="AK77" s="52" t="str">
        <f>CONCATENATE($I$7,"in Number of "&amp;$B75)</f>
        <v>Average Annual Change in Number of Number of Children who were Electively Home Educated at 31st March</v>
      </c>
      <c r="AL77" s="52"/>
      <c r="AM77" s="52"/>
      <c r="AN77" s="52"/>
      <c r="AO77" s="52"/>
      <c r="AP77" s="52"/>
      <c r="AQ77" s="52"/>
      <c r="AR77" s="52"/>
      <c r="AS77" s="52"/>
      <c r="AT77" s="52"/>
      <c r="AU77" s="52"/>
      <c r="AV77" s="52"/>
      <c r="AW77" s="52"/>
    </row>
    <row r="78" spans="1:49" s="61" customFormat="1" ht="12.75" customHeight="1">
      <c r="A78" s="217"/>
      <c r="B78" s="1996"/>
      <c r="C78" s="59"/>
      <c r="D78" s="457" t="str">
        <f>ReportData!$D$27</f>
        <v>2019/20</v>
      </c>
      <c r="E78" s="457" t="str">
        <f>ReportData!$E$27</f>
        <v>2020/21</v>
      </c>
      <c r="F78" s="457" t="str">
        <f>ReportData!$F$27</f>
        <v>2021/22</v>
      </c>
      <c r="G78" s="457" t="str">
        <f>ReportData!$G$27</f>
        <v>2022/23</v>
      </c>
      <c r="H78" s="458" t="str">
        <f>ReportData!$H$27</f>
        <v>2023/24</v>
      </c>
      <c r="I78" s="1990"/>
      <c r="J78" s="1991"/>
      <c r="K78" s="68"/>
      <c r="L78" s="470" t="str">
        <f>ReportData!$D$27</f>
        <v>2019/20</v>
      </c>
      <c r="M78" s="470" t="str">
        <f>ReportData!$E$27</f>
        <v>2020/21</v>
      </c>
      <c r="N78" s="470" t="str">
        <f>ReportData!$F$27</f>
        <v>2021/22</v>
      </c>
      <c r="O78" s="470" t="str">
        <f>ReportData!$G$27</f>
        <v>2022/23</v>
      </c>
      <c r="P78" s="2005" t="str">
        <f>ReportData!$H$27</f>
        <v>2023/24</v>
      </c>
      <c r="Q78" s="2006"/>
      <c r="R78" s="2003"/>
      <c r="S78" s="50"/>
      <c r="T78" s="1994"/>
      <c r="U78" s="89"/>
      <c r="V78" s="103"/>
      <c r="W78" s="115"/>
      <c r="Y78" s="1985" t="s">
        <v>73</v>
      </c>
      <c r="Z78" s="1984" t="s">
        <v>74</v>
      </c>
      <c r="AA78" s="626" t="str">
        <f>ReportData!$D$27</f>
        <v>2019/20</v>
      </c>
      <c r="AB78" s="444" t="str">
        <f>ReportData!$E$27</f>
        <v>2020/21</v>
      </c>
      <c r="AC78" s="444" t="str">
        <f>ReportData!$F$27</f>
        <v>2021/22</v>
      </c>
      <c r="AD78" s="444" t="str">
        <f>ReportData!$G$27</f>
        <v>2022/23</v>
      </c>
      <c r="AE78" s="627" t="str">
        <f>ReportData!$H$27</f>
        <v>2023/24</v>
      </c>
      <c r="AG78" s="154"/>
      <c r="AH78" s="141"/>
      <c r="AI78" s="141"/>
      <c r="AJ78" s="121"/>
      <c r="AQ78" s="52"/>
      <c r="AR78" s="52"/>
      <c r="AS78" s="52"/>
      <c r="AT78" s="52"/>
      <c r="AU78" s="52"/>
      <c r="AV78" s="52"/>
      <c r="AW78" s="52"/>
    </row>
    <row r="79" spans="1:49" s="61" customFormat="1" ht="12.75" customHeight="1">
      <c r="A79" s="88"/>
      <c r="B79" s="1997"/>
      <c r="C79" s="59"/>
      <c r="D79" s="459" t="e">
        <f>ReportData!$D$28</f>
        <v>#N/A</v>
      </c>
      <c r="E79" s="459" t="e">
        <f>ReportData!$E$28</f>
        <v>#N/A</v>
      </c>
      <c r="F79" s="459" t="e">
        <f>ReportData!$F$28</f>
        <v>#N/A</v>
      </c>
      <c r="G79" s="459" t="e">
        <f>ReportData!$G$28</f>
        <v>#N/A</v>
      </c>
      <c r="H79" s="460" t="e">
        <f>ReportData!$H$28</f>
        <v>#N/A</v>
      </c>
      <c r="I79" s="1990"/>
      <c r="J79" s="1992"/>
      <c r="K79" s="68"/>
      <c r="L79" s="459" t="e">
        <f>ReportData!$D$28</f>
        <v>#N/A</v>
      </c>
      <c r="M79" s="459" t="e">
        <f>ReportData!$E$28</f>
        <v>#N/A</v>
      </c>
      <c r="N79" s="459" t="e">
        <f>ReportData!$F$28</f>
        <v>#N/A</v>
      </c>
      <c r="O79" s="459" t="e">
        <f>ReportData!$G$28</f>
        <v>#N/A</v>
      </c>
      <c r="P79" s="2007" t="e">
        <f>ReportData!$H$28</f>
        <v>#N/A</v>
      </c>
      <c r="Q79" s="2008"/>
      <c r="R79" s="2004"/>
      <c r="S79" s="50"/>
      <c r="T79" s="1995"/>
      <c r="U79" s="89"/>
      <c r="V79" s="103"/>
      <c r="W79" s="115"/>
      <c r="Y79" s="1985"/>
      <c r="Z79" s="1984"/>
      <c r="AA79" s="626" t="e">
        <f>ReportData!$D$28</f>
        <v>#N/A</v>
      </c>
      <c r="AB79" s="444" t="e">
        <f>ReportData!$E$28</f>
        <v>#N/A</v>
      </c>
      <c r="AC79" s="444" t="e">
        <f>ReportData!$F$28</f>
        <v>#N/A</v>
      </c>
      <c r="AD79" s="444" t="e">
        <f>ReportData!$G$28</f>
        <v>#N/A</v>
      </c>
      <c r="AE79" s="627" t="e">
        <f>ReportData!$H$28</f>
        <v>#N/A</v>
      </c>
      <c r="AG79" s="141"/>
      <c r="AH79" s="141">
        <f>COLUMNS($B$4:P$4)</f>
        <v>15</v>
      </c>
      <c r="AI79" s="141"/>
      <c r="AJ79" s="121"/>
      <c r="AK79" s="479" t="s">
        <v>598</v>
      </c>
      <c r="AL79" s="479" t="s">
        <v>599</v>
      </c>
      <c r="AM79" s="479" t="s">
        <v>600</v>
      </c>
      <c r="AN79" s="479" t="s">
        <v>601</v>
      </c>
      <c r="AO79" s="479" t="s">
        <v>602</v>
      </c>
      <c r="AQ79" s="52"/>
      <c r="AR79" s="52"/>
      <c r="AS79" s="52"/>
      <c r="AT79" s="52"/>
      <c r="AU79" s="52"/>
      <c r="AV79" s="52"/>
      <c r="AW79" s="52"/>
    </row>
    <row r="80" spans="1:49" s="61" customFormat="1" ht="13.5" customHeight="1">
      <c r="A80" s="306">
        <f>VLOOKUP(B80,ReportData!$AQ$4:$AR$25,2,FALSE)</f>
        <v>0</v>
      </c>
      <c r="B80" s="65" t="str">
        <f>ReportData!$K$4</f>
        <v>Bracknell Forest</v>
      </c>
      <c r="C80" s="59"/>
      <c r="D80" s="66" t="str">
        <f>IF(Year1_Bracknell_Forest Year1__electively_home_educated="","",Year1_Bracknell_Forest Year1__electively_home_educated)</f>
        <v/>
      </c>
      <c r="E80" s="66" t="str">
        <f>IF(Year2_Bracknell_Forest Year2__electively_home_educated="","",Year2_Bracknell_Forest Year2__electively_home_educated)</f>
        <v/>
      </c>
      <c r="F80" s="66" t="str">
        <f>IF(Year3_Bracknell_Forest Year3__electively_home_educated="","",Year3_Bracknell_Forest Year3__electively_home_educated)</f>
        <v/>
      </c>
      <c r="G80" s="66" t="str">
        <f>IF(Year4_Bracknell_Forest Year4__electively_home_educated="","",Year4_Bracknell_Forest Year4__electively_home_educated)</f>
        <v/>
      </c>
      <c r="H80" s="67" t="str">
        <f>IF(Year5_Bracknell_Forest Year5__electively_home_educated="","",Year5_Bracknell_Forest Year5__electively_home_educated)</f>
        <v/>
      </c>
      <c r="I80" s="615" t="e">
        <f>AO80</f>
        <v>#DIV/0!</v>
      </c>
      <c r="J80" s="482" t="e">
        <f t="shared" ref="J80:J96" si="19">I80</f>
        <v>#DIV/0!</v>
      </c>
      <c r="K80" s="68"/>
      <c r="L80" s="69" t="e">
        <f>IF(ISNUMBER(D80),D80/Population!P44*10000,NA())</f>
        <v>#N/A</v>
      </c>
      <c r="M80" s="69" t="e">
        <f>IF(ISNUMBER(E80),E80/Population!Q44*10000,NA())</f>
        <v>#N/A</v>
      </c>
      <c r="N80" s="69" t="e">
        <f>IF(ISNUMBER(F80),F80/Population!R44*10000,NA())</f>
        <v>#N/A</v>
      </c>
      <c r="O80" s="69" t="e">
        <f>IF(ISNUMBER(G80),G80/Population!S44*10000,NA())</f>
        <v>#N/A</v>
      </c>
      <c r="P80" s="69" t="e">
        <f>IF(ISNUMBER(H80),H80/Population!T44*10000,NA())</f>
        <v>#N/A</v>
      </c>
      <c r="Q80" s="71" t="str">
        <f>IF(ISNUMBER(P80),P80,"")</f>
        <v/>
      </c>
      <c r="R80" s="529" t="e">
        <f t="shared" ref="R80:R96" si="20">IF(ISNA(VLOOKUP(B80,$AG$10:$AI$28,3,FALSE)),"--",IF(ISNUMBER(H80),VLOOKUP(B80,$AG$10:$AI$28,3,FALSE),NA()))</f>
        <v>#N/A</v>
      </c>
      <c r="S80" s="50"/>
      <c r="T80" s="439">
        <f>IDACI!C9</f>
        <v>8.9</v>
      </c>
      <c r="U80" s="89"/>
      <c r="V80" s="103"/>
      <c r="W80" s="115"/>
      <c r="X80" s="622" t="str">
        <f t="shared" ref="X80:X96" si="21">B80</f>
        <v>Bracknell Forest</v>
      </c>
      <c r="Y80" s="620">
        <f>IF(ISNUMBER(H80),IDACI!D9,0)</f>
        <v>0</v>
      </c>
      <c r="Z80" s="621">
        <f>IF(ISNUMBER(I80),IDACI!E9,0)</f>
        <v>0</v>
      </c>
      <c r="AA80" s="628" t="str">
        <f>IF(ISNUMBER(D80),Population!P44,"")</f>
        <v/>
      </c>
      <c r="AB80" s="155" t="str">
        <f>IF(ISNUMBER(E80),Population!Q44,"")</f>
        <v/>
      </c>
      <c r="AC80" s="155" t="str">
        <f>IF(ISNUMBER(F80),Population!R44,"")</f>
        <v/>
      </c>
      <c r="AD80" s="155" t="str">
        <f>IF(ISNUMBER(G80),Population!S44,"")</f>
        <v/>
      </c>
      <c r="AE80" s="629" t="str">
        <f>IF(ISNUMBER(H80),Population!T44,"")</f>
        <v/>
      </c>
      <c r="AG80" s="623" t="str">
        <f>B80</f>
        <v>Bracknell Forest</v>
      </c>
      <c r="AH80" s="70" t="str">
        <f t="shared" ref="AH80:AH98" si="22">IFERROR(VLOOKUP(AG80,$B$80:$P$102,$AH$79,FALSE),"")</f>
        <v/>
      </c>
      <c r="AI80" s="156" t="e">
        <f t="shared" ref="AI80:AI98" si="23">RANK(AH80,$AH$80:$AH$98,1)</f>
        <v>#VALUE!</v>
      </c>
      <c r="AJ80" s="121"/>
      <c r="AK80" s="480" t="str">
        <f t="shared" ref="AK80:AK96" si="24">IF(ISERROR((E80-D80)/D80),"x",(E80-D80)/D80)</f>
        <v>x</v>
      </c>
      <c r="AL80" s="480" t="str">
        <f t="shared" ref="AL80:AL96" si="25">IF(ISERROR((F80-E80)/E80),"x",(F80-E80)/E80)</f>
        <v>x</v>
      </c>
      <c r="AM80" s="480" t="str">
        <f t="shared" ref="AM80:AM96" si="26">IF(ISERROR((G80-F80)/F80),"x",(G80-F80)/F80)</f>
        <v>x</v>
      </c>
      <c r="AN80" s="480" t="str">
        <f t="shared" ref="AN80:AN96" si="27">IF(ISERROR((H80-G80)/G80),"x",(H80-G80)/G80)</f>
        <v>x</v>
      </c>
      <c r="AO80" s="480" t="e">
        <f>AVERAGE(AK80:AN80)</f>
        <v>#DIV/0!</v>
      </c>
      <c r="AQ80" s="52"/>
      <c r="AR80" s="52"/>
      <c r="AS80" s="52"/>
      <c r="AT80" s="52"/>
      <c r="AU80" s="52"/>
      <c r="AV80" s="52"/>
      <c r="AW80" s="52"/>
    </row>
    <row r="81" spans="1:49" s="61" customFormat="1" ht="13.5" customHeight="1">
      <c r="A81" s="306">
        <f>VLOOKUP(B81,ReportData!$AQ$4:$AR$25,2,FALSE)</f>
        <v>0</v>
      </c>
      <c r="B81" s="65" t="str">
        <f>ReportData!$K$5</f>
        <v>Brighton &amp; Hove</v>
      </c>
      <c r="C81" s="59"/>
      <c r="D81" s="66" t="e">
        <f>IF(Year1_Brighton_Hove Year1__electively_home_educated="","",Year1_Brighton_Hove Year1__electively_home_educated)</f>
        <v>#NAME?</v>
      </c>
      <c r="E81" s="66" t="e">
        <f>IF(Year2_Brighton_Hove Year2__electively_home_educated="","",Year2_Brighton_Hove Year2__electively_home_educated)</f>
        <v>#NAME?</v>
      </c>
      <c r="F81" s="66" t="e">
        <f>IF(Year3_Brighton_Hove Year3__electively_home_educated="","",Year3_Brighton_Hove Year3__electively_home_educated)</f>
        <v>#NAME?</v>
      </c>
      <c r="G81" s="66" t="e">
        <f>IF(Year4_Brighton_Hove Year4__electively_home_educated="","",Year4_Brighton_Hove Year4__electively_home_educated)</f>
        <v>#NAME?</v>
      </c>
      <c r="H81" s="67" t="e">
        <f>IF(Year5_Brighton_Hove Year5__electively_home_educated="","",Year5_Brighton_Hove Year5__electively_home_educated)</f>
        <v>#NAME?</v>
      </c>
      <c r="I81" s="616" t="e">
        <f t="shared" ref="I81:I96" si="28">AO81</f>
        <v>#DIV/0!</v>
      </c>
      <c r="J81" s="482" t="e">
        <f t="shared" si="19"/>
        <v>#DIV/0!</v>
      </c>
      <c r="K81" s="68"/>
      <c r="L81" s="69" t="e">
        <f>IF(ISNUMBER(D81),D81/Population!P45*10000,NA())</f>
        <v>#N/A</v>
      </c>
      <c r="M81" s="69" t="e">
        <f>IF(ISNUMBER(E81),E81/Population!Q45*10000,NA())</f>
        <v>#N/A</v>
      </c>
      <c r="N81" s="69" t="e">
        <f>IF(ISNUMBER(F81),F81/Population!R45*10000,NA())</f>
        <v>#N/A</v>
      </c>
      <c r="O81" s="69" t="e">
        <f>IF(ISNUMBER(G81),G81/Population!S45*10000,NA())</f>
        <v>#N/A</v>
      </c>
      <c r="P81" s="70" t="e">
        <f>IF(ISNUMBER(H81),H81/Population!T45*10000,NA())</f>
        <v>#N/A</v>
      </c>
      <c r="Q81" s="71" t="str">
        <f t="shared" ref="Q81:Q96" si="29">IF(ISNUMBER(P81),P81,"")</f>
        <v/>
      </c>
      <c r="R81" s="529" t="e">
        <f t="shared" si="20"/>
        <v>#N/A</v>
      </c>
      <c r="S81" s="50"/>
      <c r="T81" s="439">
        <f>IDACI!C10</f>
        <v>15.299999999999999</v>
      </c>
      <c r="U81" s="89"/>
      <c r="V81" s="103"/>
      <c r="W81" s="115"/>
      <c r="X81" s="622" t="str">
        <f t="shared" si="21"/>
        <v>Brighton &amp; Hove</v>
      </c>
      <c r="Y81" s="620">
        <f>IF(ISNUMBER(H81),IDACI!D10,0)</f>
        <v>0</v>
      </c>
      <c r="Z81" s="621">
        <f>IF(ISNUMBER(I81),IDACI!E10,0)</f>
        <v>0</v>
      </c>
      <c r="AA81" s="628" t="str">
        <f>IF(ISNUMBER(D81),Population!P45,"")</f>
        <v/>
      </c>
      <c r="AB81" s="155" t="str">
        <f>IF(ISNUMBER(E81),Population!Q45,"")</f>
        <v/>
      </c>
      <c r="AC81" s="155" t="str">
        <f>IF(ISNUMBER(F81),Population!R45,"")</f>
        <v/>
      </c>
      <c r="AD81" s="155" t="str">
        <f>IF(ISNUMBER(G81),Population!S45,"")</f>
        <v/>
      </c>
      <c r="AE81" s="629" t="str">
        <f>IF(ISNUMBER(H81),Population!T45,"")</f>
        <v/>
      </c>
      <c r="AG81" s="623" t="s">
        <v>28</v>
      </c>
      <c r="AH81" s="70" t="str">
        <f t="shared" si="22"/>
        <v/>
      </c>
      <c r="AI81" s="156" t="e">
        <f t="shared" si="23"/>
        <v>#VALUE!</v>
      </c>
      <c r="AJ81" s="121"/>
      <c r="AK81" s="480" t="str">
        <f t="shared" si="24"/>
        <v>x</v>
      </c>
      <c r="AL81" s="480" t="str">
        <f t="shared" si="25"/>
        <v>x</v>
      </c>
      <c r="AM81" s="480" t="str">
        <f t="shared" si="26"/>
        <v>x</v>
      </c>
      <c r="AN81" s="480" t="str">
        <f t="shared" si="27"/>
        <v>x</v>
      </c>
      <c r="AO81" s="480" t="e">
        <f t="shared" ref="AO81:AO96" si="30">AVERAGE(AK81:AN81)</f>
        <v>#DIV/0!</v>
      </c>
      <c r="AQ81" s="52"/>
      <c r="AR81" s="52"/>
      <c r="AS81" s="52"/>
      <c r="AT81" s="52"/>
      <c r="AU81" s="52"/>
      <c r="AV81" s="52"/>
      <c r="AW81" s="52"/>
    </row>
    <row r="82" spans="1:49" s="61" customFormat="1" ht="13.5" customHeight="1">
      <c r="A82" s="306">
        <f>VLOOKUP(B82,ReportData!$AQ$4:$AR$25,2,FALSE)</f>
        <v>0</v>
      </c>
      <c r="B82" s="65" t="str">
        <f>ReportData!$K$6</f>
        <v>Buckinghamshire</v>
      </c>
      <c r="C82" s="59"/>
      <c r="D82" s="66" t="str">
        <f>IF(Year1_Buckinghamshire Year1__electively_home_educated="","",Year1_Buckinghamshire Year1__electively_home_educated)</f>
        <v/>
      </c>
      <c r="E82" s="66" t="str">
        <f>IF(Year2_Buckinghamshire Year2__electively_home_educated="","",Year2_Buckinghamshire Year2__electively_home_educated)</f>
        <v/>
      </c>
      <c r="F82" s="66" t="str">
        <f>IF(Year3_Buckinghamshire Year3__electively_home_educated="","",Year3_Buckinghamshire Year3__electively_home_educated)</f>
        <v/>
      </c>
      <c r="G82" s="66" t="str">
        <f>IF(Year4_Buckinghamshire Year4__electively_home_educated="","",Year4_Buckinghamshire Year4__electively_home_educated)</f>
        <v/>
      </c>
      <c r="H82" s="67" t="str">
        <f>IF(Year5_Buckinghamshire Year5__electively_home_educated="","",Year5_Buckinghamshire Year5__electively_home_educated)</f>
        <v/>
      </c>
      <c r="I82" s="616" t="e">
        <f t="shared" si="28"/>
        <v>#DIV/0!</v>
      </c>
      <c r="J82" s="482" t="e">
        <f t="shared" si="19"/>
        <v>#DIV/0!</v>
      </c>
      <c r="K82" s="68"/>
      <c r="L82" s="69" t="e">
        <f>IF(ISNUMBER(D82),D82/Population!P46*10000,NA())</f>
        <v>#N/A</v>
      </c>
      <c r="M82" s="69" t="e">
        <f>IF(ISNUMBER(E82),E82/Population!Q46*10000,NA())</f>
        <v>#N/A</v>
      </c>
      <c r="N82" s="69" t="e">
        <f>IF(ISNUMBER(F82),F82/Population!R46*10000,NA())</f>
        <v>#N/A</v>
      </c>
      <c r="O82" s="69" t="e">
        <f>IF(ISNUMBER(G82),G82/Population!S46*10000,NA())</f>
        <v>#N/A</v>
      </c>
      <c r="P82" s="70" t="e">
        <f>IF(ISNUMBER(H82),H82/Population!T46*10000,NA())</f>
        <v>#N/A</v>
      </c>
      <c r="Q82" s="71" t="str">
        <f t="shared" si="29"/>
        <v/>
      </c>
      <c r="R82" s="529" t="e">
        <f t="shared" si="20"/>
        <v>#N/A</v>
      </c>
      <c r="S82" s="50"/>
      <c r="T82" s="439">
        <f>IDACI!C11</f>
        <v>8.5</v>
      </c>
      <c r="U82" s="89"/>
      <c r="V82" s="103"/>
      <c r="W82" s="115"/>
      <c r="X82" s="622" t="str">
        <f t="shared" si="21"/>
        <v>Buckinghamshire</v>
      </c>
      <c r="Y82" s="620">
        <f>IF(ISNUMBER(H82),IDACI!D11,0)</f>
        <v>0</v>
      </c>
      <c r="Z82" s="621">
        <f>IF(ISNUMBER(I82),IDACI!E11,0)</f>
        <v>0</v>
      </c>
      <c r="AA82" s="628" t="str">
        <f>IF(ISNUMBER(D82),Population!P46,"")</f>
        <v/>
      </c>
      <c r="AB82" s="155" t="str">
        <f>IF(ISNUMBER(E82),Population!Q46,"")</f>
        <v/>
      </c>
      <c r="AC82" s="155" t="str">
        <f>IF(ISNUMBER(F82),Population!R46,"")</f>
        <v/>
      </c>
      <c r="AD82" s="155" t="str">
        <f>IF(ISNUMBER(G82),Population!S46,"")</f>
        <v/>
      </c>
      <c r="AE82" s="629" t="str">
        <f>IF(ISNUMBER(H82),Population!T46,"")</f>
        <v/>
      </c>
      <c r="AG82" s="623" t="s">
        <v>8</v>
      </c>
      <c r="AH82" s="70" t="str">
        <f t="shared" si="22"/>
        <v/>
      </c>
      <c r="AI82" s="156" t="e">
        <f t="shared" si="23"/>
        <v>#VALUE!</v>
      </c>
      <c r="AJ82" s="121"/>
      <c r="AK82" s="480" t="str">
        <f t="shared" si="24"/>
        <v>x</v>
      </c>
      <c r="AL82" s="480" t="str">
        <f t="shared" si="25"/>
        <v>x</v>
      </c>
      <c r="AM82" s="480" t="str">
        <f t="shared" si="26"/>
        <v>x</v>
      </c>
      <c r="AN82" s="480" t="str">
        <f t="shared" si="27"/>
        <v>x</v>
      </c>
      <c r="AO82" s="480" t="e">
        <f t="shared" si="30"/>
        <v>#DIV/0!</v>
      </c>
      <c r="AQ82" s="52"/>
      <c r="AR82" s="52"/>
      <c r="AS82" s="52"/>
      <c r="AT82" s="52"/>
      <c r="AU82" s="52"/>
      <c r="AV82" s="52"/>
      <c r="AW82" s="52"/>
    </row>
    <row r="83" spans="1:49" s="61" customFormat="1" ht="13.5" customHeight="1">
      <c r="A83" s="306">
        <f>VLOOKUP(B83,ReportData!$AQ$4:$AR$25,2,FALSE)</f>
        <v>0</v>
      </c>
      <c r="B83" s="65" t="str">
        <f>ReportData!$K$7</f>
        <v>East Sussex</v>
      </c>
      <c r="C83" s="59"/>
      <c r="D83" s="66" t="str">
        <f>IF(Year1_East_Sussex Year1__electively_home_educated="","",Year1_East_Sussex Year1__electively_home_educated)</f>
        <v/>
      </c>
      <c r="E83" s="66" t="str">
        <f>IF(Year2_East_Sussex Year2__electively_home_educated="","",Year2_East_Sussex Year2__electively_home_educated)</f>
        <v/>
      </c>
      <c r="F83" s="66" t="str">
        <f>IF(Year3_East_Sussex Year3__electively_home_educated="","",Year3_East_Sussex Year3__electively_home_educated)</f>
        <v/>
      </c>
      <c r="G83" s="66" t="str">
        <f>IF(Year4_East_Sussex Year4__electively_home_educated="","",Year4_East_Sussex Year4__electively_home_educated)</f>
        <v/>
      </c>
      <c r="H83" s="67" t="str">
        <f>IF(Year5_East_Sussex Year5__electively_home_educated="","",Year5_East_Sussex Year5__electively_home_educated)</f>
        <v/>
      </c>
      <c r="I83" s="616" t="e">
        <f t="shared" si="28"/>
        <v>#DIV/0!</v>
      </c>
      <c r="J83" s="482" t="e">
        <f t="shared" si="19"/>
        <v>#DIV/0!</v>
      </c>
      <c r="K83" s="68"/>
      <c r="L83" s="69" t="e">
        <f>IF(ISNUMBER(D83),D83/Population!P47*10000,NA())</f>
        <v>#N/A</v>
      </c>
      <c r="M83" s="69" t="e">
        <f>IF(ISNUMBER(E83),E83/Population!Q47*10000,NA())</f>
        <v>#N/A</v>
      </c>
      <c r="N83" s="69" t="e">
        <f>IF(ISNUMBER(F83),F83/Population!R47*10000,NA())</f>
        <v>#N/A</v>
      </c>
      <c r="O83" s="69" t="e">
        <f>IF(ISNUMBER(G83),G83/Population!S47*10000,NA())</f>
        <v>#N/A</v>
      </c>
      <c r="P83" s="70" t="e">
        <f>IF(ISNUMBER(H83),H83/Population!T47*10000,NA())</f>
        <v>#N/A</v>
      </c>
      <c r="Q83" s="71" t="str">
        <f t="shared" si="29"/>
        <v/>
      </c>
      <c r="R83" s="529" t="e">
        <f t="shared" si="20"/>
        <v>#N/A</v>
      </c>
      <c r="S83" s="50"/>
      <c r="T83" s="439">
        <f>IDACI!C12</f>
        <v>16.100000000000001</v>
      </c>
      <c r="U83" s="89"/>
      <c r="V83" s="103"/>
      <c r="W83" s="115"/>
      <c r="X83" s="622" t="str">
        <f t="shared" si="21"/>
        <v>East Sussex</v>
      </c>
      <c r="Y83" s="620">
        <f>IF(ISNUMBER(H83),IDACI!D12,0)</f>
        <v>0</v>
      </c>
      <c r="Z83" s="621">
        <f>IF(ISNUMBER(I83),IDACI!E12,0)</f>
        <v>0</v>
      </c>
      <c r="AA83" s="628" t="str">
        <f>IF(ISNUMBER(D83),Population!P47,"")</f>
        <v/>
      </c>
      <c r="AB83" s="155" t="str">
        <f>IF(ISNUMBER(E83),Population!Q47,"")</f>
        <v/>
      </c>
      <c r="AC83" s="155" t="str">
        <f>IF(ISNUMBER(F83),Population!R47,"")</f>
        <v/>
      </c>
      <c r="AD83" s="155" t="str">
        <f>IF(ISNUMBER(G83),Population!S47,"")</f>
        <v/>
      </c>
      <c r="AE83" s="629" t="str">
        <f>IF(ISNUMBER(H83),Population!T47,"")</f>
        <v/>
      </c>
      <c r="AG83" s="623" t="s">
        <v>4</v>
      </c>
      <c r="AH83" s="70" t="str">
        <f t="shared" si="22"/>
        <v/>
      </c>
      <c r="AI83" s="156" t="e">
        <f t="shared" si="23"/>
        <v>#VALUE!</v>
      </c>
      <c r="AJ83" s="121"/>
      <c r="AK83" s="480" t="str">
        <f t="shared" si="24"/>
        <v>x</v>
      </c>
      <c r="AL83" s="480" t="str">
        <f t="shared" si="25"/>
        <v>x</v>
      </c>
      <c r="AM83" s="480" t="str">
        <f t="shared" si="26"/>
        <v>x</v>
      </c>
      <c r="AN83" s="480" t="str">
        <f t="shared" si="27"/>
        <v>x</v>
      </c>
      <c r="AO83" s="480" t="e">
        <f t="shared" si="30"/>
        <v>#DIV/0!</v>
      </c>
      <c r="AQ83" s="52"/>
      <c r="AR83" s="52"/>
      <c r="AS83" s="52"/>
      <c r="AT83" s="52"/>
      <c r="AU83" s="52"/>
      <c r="AV83" s="52"/>
      <c r="AW83" s="52"/>
    </row>
    <row r="84" spans="1:49" s="61" customFormat="1" ht="13.5" customHeight="1">
      <c r="A84" s="306">
        <f>VLOOKUP(B84,ReportData!$AQ$4:$AR$25,2,FALSE)</f>
        <v>0</v>
      </c>
      <c r="B84" s="65" t="str">
        <f>ReportData!$K$8</f>
        <v>Hampshire</v>
      </c>
      <c r="C84" s="59"/>
      <c r="D84" s="66" t="str">
        <f>IF(Year1_Hampshire Year1__electively_home_educated="","",Year1_Hampshire Year1__electively_home_educated)</f>
        <v/>
      </c>
      <c r="E84" s="66" t="str">
        <f>IF(Year2_Hampshire Year2__electively_home_educated="","",Year2_Hampshire Year2__electively_home_educated)</f>
        <v/>
      </c>
      <c r="F84" s="72" t="str">
        <f>IF(Year3_Hampshire Year3__electively_home_educated="","",Year3_Hampshire Year3__electively_home_educated)</f>
        <v/>
      </c>
      <c r="G84" s="72" t="str">
        <f>IF(Year4_Hampshire Year4__electively_home_educated="","",Year4_Hampshire Year4__electively_home_educated)</f>
        <v/>
      </c>
      <c r="H84" s="67" t="str">
        <f>IF(Year5_Hampshire Year5__electively_home_educated="","",Year5_Hampshire Year5__electively_home_educated)</f>
        <v/>
      </c>
      <c r="I84" s="616" t="e">
        <f t="shared" si="28"/>
        <v>#DIV/0!</v>
      </c>
      <c r="J84" s="482" t="e">
        <f t="shared" si="19"/>
        <v>#DIV/0!</v>
      </c>
      <c r="K84" s="68"/>
      <c r="L84" s="69" t="e">
        <f>IF(ISNUMBER(D84),D84/Population!P48*10000,NA())</f>
        <v>#N/A</v>
      </c>
      <c r="M84" s="69" t="e">
        <f>IF(ISNUMBER(E84),E84/Population!Q48*10000,NA())</f>
        <v>#N/A</v>
      </c>
      <c r="N84" s="69" t="e">
        <f>IF(ISNUMBER(F84),F84/Population!R48*10000,NA())</f>
        <v>#N/A</v>
      </c>
      <c r="O84" s="69" t="e">
        <f>IF(ISNUMBER(G84),G84/Population!S48*10000,NA())</f>
        <v>#N/A</v>
      </c>
      <c r="P84" s="70" t="e">
        <f>IF(ISNUMBER(H84),H84/Population!T48*10000,NA())</f>
        <v>#N/A</v>
      </c>
      <c r="Q84" s="71" t="str">
        <f t="shared" si="29"/>
        <v/>
      </c>
      <c r="R84" s="529" t="e">
        <f t="shared" si="20"/>
        <v>#N/A</v>
      </c>
      <c r="S84" s="50"/>
      <c r="T84" s="439">
        <f>IDACI!C13</f>
        <v>10.100000000000001</v>
      </c>
      <c r="U84" s="89"/>
      <c r="V84" s="103"/>
      <c r="W84" s="115"/>
      <c r="X84" s="622" t="str">
        <f t="shared" si="21"/>
        <v>Hampshire</v>
      </c>
      <c r="Y84" s="620">
        <f>IF(ISNUMBER(H84),IDACI!D13,0)</f>
        <v>0</v>
      </c>
      <c r="Z84" s="621">
        <f>IF(ISNUMBER(I84),IDACI!E13,0)</f>
        <v>0</v>
      </c>
      <c r="AA84" s="628" t="str">
        <f>IF(ISNUMBER(D84),Population!P48,"")</f>
        <v/>
      </c>
      <c r="AB84" s="155" t="str">
        <f>IF(ISNUMBER(E84),Population!Q48,"")</f>
        <v/>
      </c>
      <c r="AC84" s="155" t="str">
        <f>IF(ISNUMBER(F84),Population!R48,"")</f>
        <v/>
      </c>
      <c r="AD84" s="155" t="str">
        <f>IF(ISNUMBER(G84),Population!S48,"")</f>
        <v/>
      </c>
      <c r="AE84" s="629" t="str">
        <f>IF(ISNUMBER(H84),Population!T48,"")</f>
        <v/>
      </c>
      <c r="AG84" s="623" t="s">
        <v>6</v>
      </c>
      <c r="AH84" s="70" t="str">
        <f t="shared" si="22"/>
        <v/>
      </c>
      <c r="AI84" s="156" t="e">
        <f t="shared" si="23"/>
        <v>#VALUE!</v>
      </c>
      <c r="AJ84" s="121"/>
      <c r="AK84" s="480" t="str">
        <f t="shared" si="24"/>
        <v>x</v>
      </c>
      <c r="AL84" s="480" t="str">
        <f t="shared" si="25"/>
        <v>x</v>
      </c>
      <c r="AM84" s="480" t="str">
        <f t="shared" si="26"/>
        <v>x</v>
      </c>
      <c r="AN84" s="480" t="str">
        <f t="shared" si="27"/>
        <v>x</v>
      </c>
      <c r="AO84" s="480" t="e">
        <f t="shared" si="30"/>
        <v>#DIV/0!</v>
      </c>
      <c r="AQ84" s="52"/>
      <c r="AR84" s="52"/>
      <c r="AS84" s="52"/>
      <c r="AT84" s="52"/>
      <c r="AU84" s="52"/>
      <c r="AV84" s="52"/>
      <c r="AW84" s="52"/>
    </row>
    <row r="85" spans="1:49" s="61" customFormat="1" ht="13.5" customHeight="1">
      <c r="A85" s="306">
        <f>VLOOKUP(B85,ReportData!$AQ$4:$AR$25,2,FALSE)</f>
        <v>0</v>
      </c>
      <c r="B85" s="65" t="str">
        <f>ReportData!$K$9</f>
        <v>Isle of Wight</v>
      </c>
      <c r="C85" s="59"/>
      <c r="D85" s="66" t="str">
        <f>IF(Year1_Isle_of_Wight Year1__electively_home_educated="","",Year1_Isle_of_Wight Year1__electively_home_educated)</f>
        <v/>
      </c>
      <c r="E85" s="66" t="str">
        <f>IF(Year2_Isle_of_Wight Year2__electively_home_educated="","",Year2_Isle_of_Wight Year2__electively_home_educated)</f>
        <v/>
      </c>
      <c r="F85" s="66" t="str">
        <f>IF(Year3_Isle_of_Wight Year3__electively_home_educated="","",Year3_Isle_of_Wight Year3__electively_home_educated)</f>
        <v/>
      </c>
      <c r="G85" s="66" t="str">
        <f>IF(Year4_Isle_of_Wight Year4__electively_home_educated="","",Year4_Isle_of_Wight Year4__electively_home_educated)</f>
        <v/>
      </c>
      <c r="H85" s="67" t="str">
        <f>IF(Year5_Isle_of_Wight Year5__electively_home_educated="","",Year5_Isle_of_Wight Year5__electively_home_educated)</f>
        <v/>
      </c>
      <c r="I85" s="616" t="e">
        <f t="shared" si="28"/>
        <v>#DIV/0!</v>
      </c>
      <c r="J85" s="482" t="e">
        <f t="shared" si="19"/>
        <v>#DIV/0!</v>
      </c>
      <c r="K85" s="68"/>
      <c r="L85" s="69" t="e">
        <f>IF(ISNUMBER(D85),D85/Population!P49*10000,NA())</f>
        <v>#N/A</v>
      </c>
      <c r="M85" s="69" t="e">
        <f>IF(ISNUMBER(E85),E85/Population!Q49*10000,NA())</f>
        <v>#N/A</v>
      </c>
      <c r="N85" s="69" t="e">
        <f>IF(ISNUMBER(F85),F85/Population!R49*10000,NA())</f>
        <v>#N/A</v>
      </c>
      <c r="O85" s="69" t="e">
        <f>IF(ISNUMBER(G85),G85/Population!S49*10000,NA())</f>
        <v>#N/A</v>
      </c>
      <c r="P85" s="70" t="e">
        <f>IF(ISNUMBER(H85),H85/Population!T49*10000,NA())</f>
        <v>#N/A</v>
      </c>
      <c r="Q85" s="71" t="str">
        <f t="shared" si="29"/>
        <v/>
      </c>
      <c r="R85" s="529" t="e">
        <f t="shared" si="20"/>
        <v>#N/A</v>
      </c>
      <c r="S85" s="50"/>
      <c r="T85" s="439">
        <f>IDACI!C14</f>
        <v>18</v>
      </c>
      <c r="U85" s="89"/>
      <c r="V85" s="103"/>
      <c r="W85" s="115"/>
      <c r="X85" s="622" t="str">
        <f t="shared" si="21"/>
        <v>Isle of Wight</v>
      </c>
      <c r="Y85" s="620">
        <f>IF(ISNUMBER(H85),IDACI!D14,0)</f>
        <v>0</v>
      </c>
      <c r="Z85" s="621">
        <f>IF(ISNUMBER(I85),IDACI!E14,0)</f>
        <v>0</v>
      </c>
      <c r="AA85" s="628" t="str">
        <f>IF(ISNUMBER(D85),Population!P49,"")</f>
        <v/>
      </c>
      <c r="AB85" s="155" t="str">
        <f>IF(ISNUMBER(E85),Population!Q49,"")</f>
        <v/>
      </c>
      <c r="AC85" s="155" t="str">
        <f>IF(ISNUMBER(F85),Population!R49,"")</f>
        <v/>
      </c>
      <c r="AD85" s="155" t="str">
        <f>IF(ISNUMBER(G85),Population!S49,"")</f>
        <v/>
      </c>
      <c r="AE85" s="629" t="str">
        <f>IF(ISNUMBER(H85),Population!T49,"")</f>
        <v/>
      </c>
      <c r="AG85" s="623" t="s">
        <v>1</v>
      </c>
      <c r="AH85" s="70" t="str">
        <f t="shared" si="22"/>
        <v/>
      </c>
      <c r="AI85" s="156" t="e">
        <f t="shared" si="23"/>
        <v>#VALUE!</v>
      </c>
      <c r="AJ85" s="121"/>
      <c r="AK85" s="480" t="str">
        <f t="shared" si="24"/>
        <v>x</v>
      </c>
      <c r="AL85" s="480" t="str">
        <f t="shared" si="25"/>
        <v>x</v>
      </c>
      <c r="AM85" s="480" t="str">
        <f t="shared" si="26"/>
        <v>x</v>
      </c>
      <c r="AN85" s="480" t="str">
        <f t="shared" si="27"/>
        <v>x</v>
      </c>
      <c r="AO85" s="480" t="e">
        <f t="shared" si="30"/>
        <v>#DIV/0!</v>
      </c>
      <c r="AQ85" s="52"/>
      <c r="AR85" s="52"/>
      <c r="AS85" s="52"/>
      <c r="AT85" s="52"/>
      <c r="AU85" s="52"/>
      <c r="AV85" s="52"/>
      <c r="AW85" s="52"/>
    </row>
    <row r="86" spans="1:49" s="61" customFormat="1" ht="13.5" customHeight="1">
      <c r="A86" s="306">
        <f>VLOOKUP(B86,ReportData!$AQ$4:$AR$25,2,FALSE)</f>
        <v>0</v>
      </c>
      <c r="B86" s="65" t="str">
        <f>ReportData!$K$10</f>
        <v>Kent</v>
      </c>
      <c r="C86" s="59"/>
      <c r="D86" s="66" t="str">
        <f>IF(Year1_Kent Year1__electively_home_educated="","",Year1_Kent Year1__electively_home_educated)</f>
        <v/>
      </c>
      <c r="E86" s="66" t="str">
        <f>IF(Year2_Kent Year2__electively_home_educated="","",Year2_Kent Year2__electively_home_educated)</f>
        <v/>
      </c>
      <c r="F86" s="66" t="str">
        <f>IF(Year3_Kent Year3__electively_home_educated="","",Year3_Kent Year3__electively_home_educated)</f>
        <v/>
      </c>
      <c r="G86" s="66" t="str">
        <f>IF(Year4_Kent Year4__electively_home_educated="","",Year4_Kent Year4__electively_home_educated)</f>
        <v/>
      </c>
      <c r="H86" s="67" t="str">
        <f>IF(Year5_Kent Year5__electively_home_educated="","",Year5_Kent Year5__electively_home_educated)</f>
        <v/>
      </c>
      <c r="I86" s="616" t="e">
        <f t="shared" si="28"/>
        <v>#DIV/0!</v>
      </c>
      <c r="J86" s="482" t="e">
        <f t="shared" si="19"/>
        <v>#DIV/0!</v>
      </c>
      <c r="K86" s="68"/>
      <c r="L86" s="69" t="e">
        <f>IF(ISNUMBER(D86),D86/Population!P50*10000,NA())</f>
        <v>#N/A</v>
      </c>
      <c r="M86" s="69" t="e">
        <f>IF(ISNUMBER(E86),E86/Population!Q50*10000,NA())</f>
        <v>#N/A</v>
      </c>
      <c r="N86" s="69" t="e">
        <f>IF(ISNUMBER(F86),F86/Population!R50*10000,NA())</f>
        <v>#N/A</v>
      </c>
      <c r="O86" s="69" t="e">
        <f>IF(ISNUMBER(G86),G86/Population!S50*10000,NA())</f>
        <v>#N/A</v>
      </c>
      <c r="P86" s="70" t="e">
        <f>IF(ISNUMBER(H86),H86/Population!T50*10000,NA())</f>
        <v>#N/A</v>
      </c>
      <c r="Q86" s="71" t="str">
        <f t="shared" si="29"/>
        <v/>
      </c>
      <c r="R86" s="529" t="e">
        <f t="shared" si="20"/>
        <v>#N/A</v>
      </c>
      <c r="S86" s="50"/>
      <c r="T86" s="439">
        <f>IDACI!C15</f>
        <v>15.8</v>
      </c>
      <c r="U86" s="89"/>
      <c r="V86" s="103"/>
      <c r="W86" s="115"/>
      <c r="X86" s="622" t="str">
        <f t="shared" si="21"/>
        <v>Kent</v>
      </c>
      <c r="Y86" s="620">
        <f>IF(ISNUMBER(H86),IDACI!D15,0)</f>
        <v>0</v>
      </c>
      <c r="Z86" s="621">
        <f>IF(ISNUMBER(I86),IDACI!E15,0)</f>
        <v>0</v>
      </c>
      <c r="AA86" s="628" t="str">
        <f>IF(ISNUMBER(D86),Population!P50,"")</f>
        <v/>
      </c>
      <c r="AB86" s="155" t="str">
        <f>IF(ISNUMBER(E86),Population!Q50,"")</f>
        <v/>
      </c>
      <c r="AC86" s="155" t="str">
        <f>IF(ISNUMBER(F86),Population!R50,"")</f>
        <v/>
      </c>
      <c r="AD86" s="155" t="str">
        <f>IF(ISNUMBER(G86),Population!S50,"")</f>
        <v/>
      </c>
      <c r="AE86" s="629" t="str">
        <f>IF(ISNUMBER(H86),Population!T50,"")</f>
        <v/>
      </c>
      <c r="AG86" s="623" t="s">
        <v>9</v>
      </c>
      <c r="AH86" s="70" t="str">
        <f t="shared" si="22"/>
        <v/>
      </c>
      <c r="AI86" s="156" t="e">
        <f t="shared" si="23"/>
        <v>#VALUE!</v>
      </c>
      <c r="AJ86" s="121"/>
      <c r="AK86" s="480" t="str">
        <f t="shared" si="24"/>
        <v>x</v>
      </c>
      <c r="AL86" s="480" t="str">
        <f t="shared" si="25"/>
        <v>x</v>
      </c>
      <c r="AM86" s="480" t="str">
        <f t="shared" si="26"/>
        <v>x</v>
      </c>
      <c r="AN86" s="480" t="str">
        <f t="shared" si="27"/>
        <v>x</v>
      </c>
      <c r="AO86" s="480" t="e">
        <f t="shared" si="30"/>
        <v>#DIV/0!</v>
      </c>
      <c r="AQ86" s="52"/>
      <c r="AR86" s="52"/>
      <c r="AS86" s="52"/>
      <c r="AT86" s="52"/>
      <c r="AU86" s="52"/>
      <c r="AV86" s="52"/>
      <c r="AW86" s="52"/>
    </row>
    <row r="87" spans="1:49" s="61" customFormat="1" ht="13.5" customHeight="1">
      <c r="A87" s="306">
        <f>VLOOKUP(B87,ReportData!$AQ$4:$AR$25,2,FALSE)</f>
        <v>0</v>
      </c>
      <c r="B87" s="65" t="str">
        <f>ReportData!$K$11</f>
        <v>Medway</v>
      </c>
      <c r="C87" s="59"/>
      <c r="D87" s="66" t="str">
        <f>IF(Year1_Medway Year1__electively_home_educated="","",Year1_Medway Year1__electively_home_educated)</f>
        <v/>
      </c>
      <c r="E87" s="220" t="str">
        <f>IF(Year2_Medway Year2__electively_home_educated="","",Year2_Medway Year2__electively_home_educated)</f>
        <v/>
      </c>
      <c r="F87" s="220" t="str">
        <f>IF(Year3_Medway Year3__electively_home_educated="","",Year3_Medway Year3__electively_home_educated)</f>
        <v/>
      </c>
      <c r="G87" s="220" t="str">
        <f>IF(Year4_Medway Year4__electively_home_educated="","",Year4_Medway Year4__electively_home_educated)</f>
        <v/>
      </c>
      <c r="H87" s="221" t="str">
        <f>IF(Year5_Medway Year5__electively_home_educated="","",Year5_Medway Year5__electively_home_educated)</f>
        <v/>
      </c>
      <c r="I87" s="616" t="e">
        <f t="shared" si="28"/>
        <v>#DIV/0!</v>
      </c>
      <c r="J87" s="482" t="e">
        <f t="shared" si="19"/>
        <v>#DIV/0!</v>
      </c>
      <c r="K87" s="68"/>
      <c r="L87" s="69" t="e">
        <f>IF(ISNUMBER(D87),D87/Population!P51*10000,NA())</f>
        <v>#N/A</v>
      </c>
      <c r="M87" s="69" t="e">
        <f>IF(ISNUMBER(E87),E87/Population!Q51*10000,NA())</f>
        <v>#N/A</v>
      </c>
      <c r="N87" s="69" t="e">
        <f>IF(ISNUMBER(F87),F87/Population!R51*10000,NA())</f>
        <v>#N/A</v>
      </c>
      <c r="O87" s="69" t="e">
        <f>IF(ISNUMBER(G87),G87/Population!S51*10000,NA())</f>
        <v>#N/A</v>
      </c>
      <c r="P87" s="70" t="e">
        <f>IF(ISNUMBER(H87),H87/Population!T51*10000,NA())</f>
        <v>#N/A</v>
      </c>
      <c r="Q87" s="71" t="str">
        <f t="shared" si="29"/>
        <v/>
      </c>
      <c r="R87" s="529" t="e">
        <f t="shared" si="20"/>
        <v>#N/A</v>
      </c>
      <c r="S87" s="50"/>
      <c r="T87" s="439">
        <f>IDACI!C16</f>
        <v>18.899999999999999</v>
      </c>
      <c r="U87" s="89"/>
      <c r="V87" s="103"/>
      <c r="W87" s="115"/>
      <c r="X87" s="622" t="str">
        <f t="shared" si="21"/>
        <v>Medway</v>
      </c>
      <c r="Y87" s="620">
        <f>IF(ISNUMBER(H87),IDACI!D16,0)</f>
        <v>0</v>
      </c>
      <c r="Z87" s="621">
        <f>IF(ISNUMBER(I87),IDACI!E16,0)</f>
        <v>0</v>
      </c>
      <c r="AA87" s="628" t="str">
        <f>IF(ISNUMBER(D87),Population!P51,"")</f>
        <v/>
      </c>
      <c r="AB87" s="155" t="str">
        <f>IF(ISNUMBER(E87),Population!Q51,"")</f>
        <v/>
      </c>
      <c r="AC87" s="155" t="str">
        <f>IF(ISNUMBER(F87),Population!R51,"")</f>
        <v/>
      </c>
      <c r="AD87" s="155" t="str">
        <f>IF(ISNUMBER(G87),Population!S51,"")</f>
        <v/>
      </c>
      <c r="AE87" s="629" t="str">
        <f>IF(ISNUMBER(H87),Population!T51,"")</f>
        <v/>
      </c>
      <c r="AG87" s="623" t="s">
        <v>2</v>
      </c>
      <c r="AH87" s="70" t="str">
        <f t="shared" si="22"/>
        <v/>
      </c>
      <c r="AI87" s="156" t="e">
        <f t="shared" si="23"/>
        <v>#VALUE!</v>
      </c>
      <c r="AJ87" s="121"/>
      <c r="AK87" s="480" t="str">
        <f t="shared" si="24"/>
        <v>x</v>
      </c>
      <c r="AL87" s="480" t="str">
        <f t="shared" si="25"/>
        <v>x</v>
      </c>
      <c r="AM87" s="480" t="str">
        <f t="shared" si="26"/>
        <v>x</v>
      </c>
      <c r="AN87" s="480" t="str">
        <f t="shared" si="27"/>
        <v>x</v>
      </c>
      <c r="AO87" s="480" t="e">
        <f t="shared" si="30"/>
        <v>#DIV/0!</v>
      </c>
      <c r="AQ87" s="52"/>
      <c r="AR87" s="52"/>
      <c r="AS87" s="52"/>
      <c r="AT87" s="52"/>
      <c r="AU87" s="52"/>
      <c r="AV87" s="52"/>
      <c r="AW87" s="52"/>
    </row>
    <row r="88" spans="1:49" s="61" customFormat="1" ht="13.5" customHeight="1">
      <c r="A88" s="306">
        <f>VLOOKUP(B88,ReportData!$AQ$4:$AR$25,2,FALSE)</f>
        <v>0</v>
      </c>
      <c r="B88" s="65" t="str">
        <f>ReportData!$K$12</f>
        <v>Milton Keynes</v>
      </c>
      <c r="C88" s="59"/>
      <c r="D88" s="66" t="str">
        <f>IF(Year1_Milton_Keynes Year1__electively_home_educated="","",Year1_Milton_Keynes Year1__electively_home_educated)</f>
        <v/>
      </c>
      <c r="E88" s="66" t="str">
        <f>IF(Year2_Milton_Keynes Year2__electively_home_educated="","",Year2_Milton_Keynes Year2__electively_home_educated)</f>
        <v/>
      </c>
      <c r="F88" s="66" t="str">
        <f>IF(Year3_Milton_Keynes Year3__electively_home_educated="","",Year3_Milton_Keynes Year3__electively_home_educated)</f>
        <v/>
      </c>
      <c r="G88" s="66" t="str">
        <f>IF(Year4_Milton_Keynes Year4__electively_home_educated="","",Year4_Milton_Keynes Year4__electively_home_educated)</f>
        <v/>
      </c>
      <c r="H88" s="67" t="str">
        <f>IF(Year5_Milton_Keynes Year5__electively_home_educated="","",Year5_Milton_Keynes Year5__electively_home_educated)</f>
        <v/>
      </c>
      <c r="I88" s="616" t="e">
        <f t="shared" si="28"/>
        <v>#DIV/0!</v>
      </c>
      <c r="J88" s="482" t="e">
        <f t="shared" si="19"/>
        <v>#DIV/0!</v>
      </c>
      <c r="K88" s="68"/>
      <c r="L88" s="69" t="e">
        <f>IF(ISNUMBER(D88),D88/Population!P52*10000,NA())</f>
        <v>#N/A</v>
      </c>
      <c r="M88" s="69" t="e">
        <f>IF(ISNUMBER(E88),E88/Population!Q52*10000,NA())</f>
        <v>#N/A</v>
      </c>
      <c r="N88" s="69" t="e">
        <f>IF(ISNUMBER(F88),F88/Population!R52*10000,NA())</f>
        <v>#N/A</v>
      </c>
      <c r="O88" s="69" t="e">
        <f>IF(ISNUMBER(G88),G88/Population!S52*10000,NA())</f>
        <v>#N/A</v>
      </c>
      <c r="P88" s="70" t="e">
        <f>IF(ISNUMBER(H88),H88/Population!T52*10000,NA())</f>
        <v>#N/A</v>
      </c>
      <c r="Q88" s="71" t="str">
        <f t="shared" si="29"/>
        <v/>
      </c>
      <c r="R88" s="529" t="e">
        <f t="shared" si="20"/>
        <v>#N/A</v>
      </c>
      <c r="S88" s="50"/>
      <c r="T88" s="439">
        <f>IDACI!C17</f>
        <v>15</v>
      </c>
      <c r="U88" s="89"/>
      <c r="V88" s="103"/>
      <c r="W88" s="115"/>
      <c r="X88" s="622" t="str">
        <f t="shared" si="21"/>
        <v>Milton Keynes</v>
      </c>
      <c r="Y88" s="620">
        <f>IF(ISNUMBER(H88),IDACI!D17,0)</f>
        <v>0</v>
      </c>
      <c r="Z88" s="621">
        <f>IF(ISNUMBER(I88),IDACI!E17,0)</f>
        <v>0</v>
      </c>
      <c r="AA88" s="628" t="str">
        <f>IF(ISNUMBER(D88),Population!P52,"")</f>
        <v/>
      </c>
      <c r="AB88" s="155" t="str">
        <f>IF(ISNUMBER(E88),Population!Q52,"")</f>
        <v/>
      </c>
      <c r="AC88" s="155" t="str">
        <f>IF(ISNUMBER(F88),Population!R52,"")</f>
        <v/>
      </c>
      <c r="AD88" s="155" t="str">
        <f>IF(ISNUMBER(G88),Population!S52,"")</f>
        <v/>
      </c>
      <c r="AE88" s="629" t="str">
        <f>IF(ISNUMBER(H88),Population!T52,"")</f>
        <v/>
      </c>
      <c r="AG88" s="623" t="s">
        <v>10</v>
      </c>
      <c r="AH88" s="70" t="str">
        <f t="shared" si="22"/>
        <v/>
      </c>
      <c r="AI88" s="156" t="e">
        <f t="shared" si="23"/>
        <v>#VALUE!</v>
      </c>
      <c r="AJ88" s="121"/>
      <c r="AK88" s="480" t="str">
        <f t="shared" si="24"/>
        <v>x</v>
      </c>
      <c r="AL88" s="480" t="str">
        <f t="shared" si="25"/>
        <v>x</v>
      </c>
      <c r="AM88" s="480" t="str">
        <f t="shared" si="26"/>
        <v>x</v>
      </c>
      <c r="AN88" s="480" t="str">
        <f t="shared" si="27"/>
        <v>x</v>
      </c>
      <c r="AO88" s="480" t="e">
        <f t="shared" si="30"/>
        <v>#DIV/0!</v>
      </c>
      <c r="AQ88" s="52"/>
      <c r="AR88" s="52"/>
      <c r="AS88" s="52"/>
      <c r="AT88" s="52"/>
      <c r="AU88" s="52"/>
      <c r="AV88" s="52"/>
      <c r="AW88" s="52"/>
    </row>
    <row r="89" spans="1:49" s="61" customFormat="1" ht="13.5" customHeight="1">
      <c r="A89" s="306">
        <f>VLOOKUP(B89,ReportData!$AQ$4:$AR$25,2,FALSE)</f>
        <v>0</v>
      </c>
      <c r="B89" s="65" t="str">
        <f>ReportData!$K$13</f>
        <v>Oxfordshire</v>
      </c>
      <c r="C89" s="59"/>
      <c r="D89" s="66" t="str">
        <f>IF(Year1_Oxfordshire Year1__electively_home_educated="","",Year1_Oxfordshire Year1__electively_home_educated)</f>
        <v/>
      </c>
      <c r="E89" s="66" t="str">
        <f>IF(Year2_Oxfordshire Year2__electively_home_educated="","",Year2_Oxfordshire Year2__electively_home_educated)</f>
        <v/>
      </c>
      <c r="F89" s="66" t="str">
        <f>IF(Year3_Oxfordshire Year3__electively_home_educated="","",Year3_Oxfordshire Year3__electively_home_educated)</f>
        <v/>
      </c>
      <c r="G89" s="66" t="str">
        <f>IF(Year4_Oxfordshire Year4__electively_home_educated="","",Year4_Oxfordshire Year4__electively_home_educated)</f>
        <v/>
      </c>
      <c r="H89" s="67" t="str">
        <f>IF(Year5_Oxfordshire Year5__electively_home_educated="","",Year5_Oxfordshire Year5__electively_home_educated)</f>
        <v/>
      </c>
      <c r="I89" s="616" t="e">
        <f t="shared" si="28"/>
        <v>#DIV/0!</v>
      </c>
      <c r="J89" s="482" t="e">
        <f t="shared" si="19"/>
        <v>#DIV/0!</v>
      </c>
      <c r="K89" s="68"/>
      <c r="L89" s="69" t="e">
        <f>IF(ISNUMBER(D89),D89/Population!P53*10000,NA())</f>
        <v>#N/A</v>
      </c>
      <c r="M89" s="69" t="e">
        <f>IF(ISNUMBER(E89),E89/Population!Q53*10000,NA())</f>
        <v>#N/A</v>
      </c>
      <c r="N89" s="69" t="e">
        <f>IF(ISNUMBER(F89),F89/Population!R53*10000,NA())</f>
        <v>#N/A</v>
      </c>
      <c r="O89" s="69" t="e">
        <f>IF(ISNUMBER(G89),G89/Population!S53*10000,NA())</f>
        <v>#N/A</v>
      </c>
      <c r="P89" s="70" t="e">
        <f>IF(ISNUMBER(H89),H89/Population!T53*10000,NA())</f>
        <v>#N/A</v>
      </c>
      <c r="Q89" s="71" t="str">
        <f t="shared" si="29"/>
        <v/>
      </c>
      <c r="R89" s="529" t="e">
        <f t="shared" si="20"/>
        <v>#N/A</v>
      </c>
      <c r="S89" s="50"/>
      <c r="T89" s="439">
        <f>IDACI!C18</f>
        <v>10.100000000000001</v>
      </c>
      <c r="U89" s="89"/>
      <c r="V89" s="103"/>
      <c r="W89" s="115"/>
      <c r="X89" s="622" t="str">
        <f t="shared" si="21"/>
        <v>Oxfordshire</v>
      </c>
      <c r="Y89" s="620">
        <f>IF(ISNUMBER(H89),IDACI!D18,0)</f>
        <v>0</v>
      </c>
      <c r="Z89" s="621">
        <f>IF(ISNUMBER(I89),IDACI!E18,0)</f>
        <v>0</v>
      </c>
      <c r="AA89" s="628" t="str">
        <f>IF(ISNUMBER(D89),Population!P53,"")</f>
        <v/>
      </c>
      <c r="AB89" s="155" t="str">
        <f>IF(ISNUMBER(E89),Population!Q53,"")</f>
        <v/>
      </c>
      <c r="AC89" s="155" t="str">
        <f>IF(ISNUMBER(F89),Population!R53,"")</f>
        <v/>
      </c>
      <c r="AD89" s="155" t="str">
        <f>IF(ISNUMBER(G89),Population!S53,"")</f>
        <v/>
      </c>
      <c r="AE89" s="629" t="str">
        <f>IF(ISNUMBER(H89),Population!T53,"")</f>
        <v/>
      </c>
      <c r="AG89" s="623" t="s">
        <v>11</v>
      </c>
      <c r="AH89" s="70" t="str">
        <f t="shared" si="22"/>
        <v/>
      </c>
      <c r="AI89" s="156" t="e">
        <f t="shared" si="23"/>
        <v>#VALUE!</v>
      </c>
      <c r="AJ89" s="121"/>
      <c r="AK89" s="480" t="str">
        <f t="shared" si="24"/>
        <v>x</v>
      </c>
      <c r="AL89" s="480" t="str">
        <f t="shared" si="25"/>
        <v>x</v>
      </c>
      <c r="AM89" s="480" t="str">
        <f t="shared" si="26"/>
        <v>x</v>
      </c>
      <c r="AN89" s="480" t="str">
        <f t="shared" si="27"/>
        <v>x</v>
      </c>
      <c r="AO89" s="480" t="e">
        <f t="shared" si="30"/>
        <v>#DIV/0!</v>
      </c>
      <c r="AQ89" s="52"/>
      <c r="AR89" s="52"/>
      <c r="AS89" s="52"/>
      <c r="AT89" s="52"/>
      <c r="AU89" s="52"/>
      <c r="AV89" s="52"/>
      <c r="AW89" s="52"/>
    </row>
    <row r="90" spans="1:49" s="61" customFormat="1" ht="13.5" customHeight="1">
      <c r="A90" s="306">
        <f>VLOOKUP(B90,ReportData!$AQ$4:$AR$25,2,FALSE)</f>
        <v>0</v>
      </c>
      <c r="B90" s="65" t="str">
        <f>ReportData!$K$14</f>
        <v>Portsmouth</v>
      </c>
      <c r="C90" s="59"/>
      <c r="D90" s="66" t="str">
        <f>IF(Year1_Portsmouth Year1__electively_home_educated="","",Year1_Portsmouth Year1__electively_home_educated)</f>
        <v/>
      </c>
      <c r="E90" s="66" t="str">
        <f>IF(Year2_Portsmouth Year2__electively_home_educated="","",Year2_Portsmouth Year2__electively_home_educated)</f>
        <v/>
      </c>
      <c r="F90" s="66" t="str">
        <f>IF(Year3_Portsmouth Year3__electively_home_educated="","",Year3_Portsmouth Year3__electively_home_educated)</f>
        <v/>
      </c>
      <c r="G90" s="66" t="str">
        <f>IF(Year4_Portsmouth Year4__electively_home_educated="","",Year4_Portsmouth Year4__electively_home_educated)</f>
        <v/>
      </c>
      <c r="H90" s="67" t="str">
        <f>IF(Year5_Portsmouth Year5__electively_home_educated="","",Year5_Portsmouth Year5__electively_home_educated)</f>
        <v/>
      </c>
      <c r="I90" s="616" t="e">
        <f t="shared" si="28"/>
        <v>#DIV/0!</v>
      </c>
      <c r="J90" s="482" t="e">
        <f t="shared" si="19"/>
        <v>#DIV/0!</v>
      </c>
      <c r="K90" s="68"/>
      <c r="L90" s="69" t="e">
        <f>IF(ISNUMBER(D90),D90/Population!P54*10000,NA())</f>
        <v>#N/A</v>
      </c>
      <c r="M90" s="69" t="e">
        <f>IF(ISNUMBER(E90),E90/Population!Q54*10000,NA())</f>
        <v>#N/A</v>
      </c>
      <c r="N90" s="69" t="e">
        <f>IF(ISNUMBER(F90),F90/Population!R54*10000,NA())</f>
        <v>#N/A</v>
      </c>
      <c r="O90" s="69" t="e">
        <f>IF(ISNUMBER(G90),G90/Population!S54*10000,NA())</f>
        <v>#N/A</v>
      </c>
      <c r="P90" s="70" t="e">
        <f>IF(ISNUMBER(H90),H90/Population!T54*10000,NA())</f>
        <v>#N/A</v>
      </c>
      <c r="Q90" s="71" t="str">
        <f t="shared" si="29"/>
        <v/>
      </c>
      <c r="R90" s="529" t="e">
        <f t="shared" si="20"/>
        <v>#N/A</v>
      </c>
      <c r="S90" s="50"/>
      <c r="T90" s="439">
        <f>IDACI!C19</f>
        <v>20.200000000000003</v>
      </c>
      <c r="U90" s="89"/>
      <c r="V90" s="103"/>
      <c r="W90" s="115"/>
      <c r="X90" s="622" t="str">
        <f t="shared" si="21"/>
        <v>Portsmouth</v>
      </c>
      <c r="Y90" s="620">
        <f>IF(ISNUMBER(H90),IDACI!D19,0)</f>
        <v>0</v>
      </c>
      <c r="Z90" s="621">
        <f>IF(ISNUMBER(I90),IDACI!E19,0)</f>
        <v>0</v>
      </c>
      <c r="AA90" s="628" t="str">
        <f>IF(ISNUMBER(D90),Population!P54,"")</f>
        <v/>
      </c>
      <c r="AB90" s="155" t="str">
        <f>IF(ISNUMBER(E90),Population!Q54,"")</f>
        <v/>
      </c>
      <c r="AC90" s="155" t="str">
        <f>IF(ISNUMBER(F90),Population!R54,"")</f>
        <v/>
      </c>
      <c r="AD90" s="155" t="str">
        <f>IF(ISNUMBER(G90),Population!S54,"")</f>
        <v/>
      </c>
      <c r="AE90" s="629" t="str">
        <f>IF(ISNUMBER(H90),Population!T54,"")</f>
        <v/>
      </c>
      <c r="AG90" s="623" t="s">
        <v>12</v>
      </c>
      <c r="AH90" s="70" t="str">
        <f t="shared" si="22"/>
        <v/>
      </c>
      <c r="AI90" s="156" t="e">
        <f t="shared" si="23"/>
        <v>#VALUE!</v>
      </c>
      <c r="AJ90" s="121"/>
      <c r="AK90" s="480" t="str">
        <f t="shared" si="24"/>
        <v>x</v>
      </c>
      <c r="AL90" s="480" t="str">
        <f t="shared" si="25"/>
        <v>x</v>
      </c>
      <c r="AM90" s="480" t="str">
        <f t="shared" si="26"/>
        <v>x</v>
      </c>
      <c r="AN90" s="480" t="str">
        <f t="shared" si="27"/>
        <v>x</v>
      </c>
      <c r="AO90" s="480" t="e">
        <f t="shared" si="30"/>
        <v>#DIV/0!</v>
      </c>
      <c r="AQ90" s="52"/>
      <c r="AR90" s="52"/>
      <c r="AS90" s="52"/>
      <c r="AT90" s="52"/>
      <c r="AU90" s="52"/>
      <c r="AV90" s="52"/>
      <c r="AW90" s="52"/>
    </row>
    <row r="91" spans="1:49" s="61" customFormat="1" ht="13.5" customHeight="1">
      <c r="A91" s="306">
        <f>VLOOKUP(B91,ReportData!$AQ$4:$AR$25,2,FALSE)</f>
        <v>0</v>
      </c>
      <c r="B91" s="65" t="str">
        <f>ReportData!$K$15</f>
        <v>Reading</v>
      </c>
      <c r="C91" s="59"/>
      <c r="D91" s="66" t="str">
        <f>IF(Year1_Reading Year1__electively_home_educated="","",Year1_Reading Year1__electively_home_educated)</f>
        <v/>
      </c>
      <c r="E91" s="66" t="str">
        <f>IF(Year2_Reading Year2__electively_home_educated="","",Year2_Reading Year2__electively_home_educated)</f>
        <v/>
      </c>
      <c r="F91" s="66" t="str">
        <f>IF(Year3_Reading Year3__electively_home_educated="","",Year3_Reading Year3__electively_home_educated)</f>
        <v/>
      </c>
      <c r="G91" s="66" t="str">
        <f>IF(Year4_Reading Year4__electively_home_educated="","",Year4_Reading Year4__electively_home_educated)</f>
        <v/>
      </c>
      <c r="H91" s="67" t="str">
        <f>IF(Year5_Reading Year5__electively_home_educated="","",Year5_Reading Year5__electively_home_educated)</f>
        <v/>
      </c>
      <c r="I91" s="616" t="e">
        <f t="shared" si="28"/>
        <v>#DIV/0!</v>
      </c>
      <c r="J91" s="482" t="e">
        <f t="shared" si="19"/>
        <v>#DIV/0!</v>
      </c>
      <c r="K91" s="68"/>
      <c r="L91" s="69" t="e">
        <f>IF(ISNUMBER(D91),D91/Population!P55*10000,NA())</f>
        <v>#N/A</v>
      </c>
      <c r="M91" s="69" t="e">
        <f>IF(ISNUMBER(E91),E91/Population!Q55*10000,NA())</f>
        <v>#N/A</v>
      </c>
      <c r="N91" s="69" t="e">
        <f>IF(ISNUMBER(F91),F91/Population!R55*10000,NA())</f>
        <v>#N/A</v>
      </c>
      <c r="O91" s="69" t="e">
        <f>IF(ISNUMBER(G91),G91/Population!S55*10000,NA())</f>
        <v>#N/A</v>
      </c>
      <c r="P91" s="70" t="e">
        <f>IF(ISNUMBER(H91),H91/Population!T55*10000,NA())</f>
        <v>#N/A</v>
      </c>
      <c r="Q91" s="71" t="str">
        <f t="shared" si="29"/>
        <v/>
      </c>
      <c r="R91" s="529" t="e">
        <f t="shared" si="20"/>
        <v>#N/A</v>
      </c>
      <c r="S91" s="50"/>
      <c r="T91" s="439">
        <f>IDACI!C20</f>
        <v>16</v>
      </c>
      <c r="U91" s="89"/>
      <c r="V91" s="103"/>
      <c r="W91" s="115"/>
      <c r="X91" s="622" t="str">
        <f t="shared" si="21"/>
        <v>Reading</v>
      </c>
      <c r="Y91" s="620">
        <f>IF(ISNUMBER(H91),IDACI!D20,0)</f>
        <v>0</v>
      </c>
      <c r="Z91" s="621">
        <f>IF(ISNUMBER(I91),IDACI!E20,0)</f>
        <v>0</v>
      </c>
      <c r="AA91" s="628" t="str">
        <f>IF(ISNUMBER(D91),Population!P55,"")</f>
        <v/>
      </c>
      <c r="AB91" s="155" t="str">
        <f>IF(ISNUMBER(E91),Population!Q55,"")</f>
        <v/>
      </c>
      <c r="AC91" s="155" t="str">
        <f>IF(ISNUMBER(F91),Population!R55,"")</f>
        <v/>
      </c>
      <c r="AD91" s="155" t="str">
        <f>IF(ISNUMBER(G91),Population!S55,"")</f>
        <v/>
      </c>
      <c r="AE91" s="629" t="str">
        <f>IF(ISNUMBER(H91),Population!T55,"")</f>
        <v/>
      </c>
      <c r="AG91" s="623" t="s">
        <v>3</v>
      </c>
      <c r="AH91" s="70" t="str">
        <f t="shared" si="22"/>
        <v/>
      </c>
      <c r="AI91" s="156" t="e">
        <f t="shared" si="23"/>
        <v>#VALUE!</v>
      </c>
      <c r="AJ91" s="121"/>
      <c r="AK91" s="480" t="str">
        <f t="shared" si="24"/>
        <v>x</v>
      </c>
      <c r="AL91" s="480" t="str">
        <f t="shared" si="25"/>
        <v>x</v>
      </c>
      <c r="AM91" s="480" t="str">
        <f t="shared" si="26"/>
        <v>x</v>
      </c>
      <c r="AN91" s="480" t="str">
        <f t="shared" si="27"/>
        <v>x</v>
      </c>
      <c r="AO91" s="480" t="e">
        <f t="shared" si="30"/>
        <v>#DIV/0!</v>
      </c>
      <c r="AQ91" s="52"/>
      <c r="AR91" s="52"/>
      <c r="AS91" s="52"/>
      <c r="AT91" s="52"/>
      <c r="AU91" s="52"/>
      <c r="AV91" s="52"/>
      <c r="AW91" s="52"/>
    </row>
    <row r="92" spans="1:49" s="61" customFormat="1" ht="13.5" customHeight="1">
      <c r="A92" s="306">
        <f>VLOOKUP(B92,ReportData!$AQ$4:$AR$25,2,FALSE)</f>
        <v>0</v>
      </c>
      <c r="B92" s="65" t="str">
        <f>ReportData!$K$16</f>
        <v>Slough</v>
      </c>
      <c r="C92" s="59"/>
      <c r="D92" s="66" t="str">
        <f>IF(Year1_Slough Year1__electively_home_educated="","",Year1_Slough Year1__electively_home_educated)</f>
        <v/>
      </c>
      <c r="E92" s="66" t="str">
        <f>IF(Year2_Slough Year2__electively_home_educated="","",Year2_Slough Year2__electively_home_educated)</f>
        <v/>
      </c>
      <c r="F92" s="66" t="str">
        <f>IF(Year3_Slough Year3__electively_home_educated="","",Year3_Slough Year3__electively_home_educated)</f>
        <v/>
      </c>
      <c r="G92" s="66" t="str">
        <f>IF(Year4_Slough Year4__electively_home_educated="","",Year4_Slough Year4__electively_home_educated)</f>
        <v/>
      </c>
      <c r="H92" s="67" t="str">
        <f>IF(Year5_Slough Year5__electively_home_educated="","",Year5_Slough Year5__electively_home_educated)</f>
        <v/>
      </c>
      <c r="I92" s="616" t="e">
        <f t="shared" si="28"/>
        <v>#DIV/0!</v>
      </c>
      <c r="J92" s="482" t="e">
        <f t="shared" si="19"/>
        <v>#DIV/0!</v>
      </c>
      <c r="K92" s="68"/>
      <c r="L92" s="69" t="e">
        <f>IF(ISNUMBER(D92),D92/Population!P56*10000,NA())</f>
        <v>#N/A</v>
      </c>
      <c r="M92" s="69" t="e">
        <f>IF(ISNUMBER(E92),E92/Population!Q56*10000,NA())</f>
        <v>#N/A</v>
      </c>
      <c r="N92" s="69" t="e">
        <f>IF(ISNUMBER(F92),F92/Population!R56*10000,NA())</f>
        <v>#N/A</v>
      </c>
      <c r="O92" s="69" t="e">
        <f>IF(ISNUMBER(G92),G92/Population!S56*10000,NA())</f>
        <v>#N/A</v>
      </c>
      <c r="P92" s="70" t="e">
        <f>IF(ISNUMBER(H92),H92/Population!T56*10000,NA())</f>
        <v>#N/A</v>
      </c>
      <c r="Q92" s="71" t="str">
        <f t="shared" si="29"/>
        <v/>
      </c>
      <c r="R92" s="529" t="e">
        <f t="shared" si="20"/>
        <v>#N/A</v>
      </c>
      <c r="S92" s="50"/>
      <c r="T92" s="439">
        <f>IDACI!C21</f>
        <v>14.7</v>
      </c>
      <c r="U92" s="89"/>
      <c r="V92" s="103"/>
      <c r="W92" s="115"/>
      <c r="X92" s="622" t="str">
        <f t="shared" si="21"/>
        <v>Slough</v>
      </c>
      <c r="Y92" s="620">
        <f>IF(ISNUMBER(H92),IDACI!D21,0)</f>
        <v>0</v>
      </c>
      <c r="Z92" s="621">
        <f>IF(ISNUMBER(I92),IDACI!E21,0)</f>
        <v>0</v>
      </c>
      <c r="AA92" s="628" t="str">
        <f>IF(ISNUMBER(D92),Population!P56,"")</f>
        <v/>
      </c>
      <c r="AB92" s="155" t="str">
        <f>IF(ISNUMBER(E92),Population!Q56,"")</f>
        <v/>
      </c>
      <c r="AC92" s="155" t="str">
        <f>IF(ISNUMBER(F92),Population!R56,"")</f>
        <v/>
      </c>
      <c r="AD92" s="155" t="str">
        <f>IF(ISNUMBER(G92),Population!S56,"")</f>
        <v/>
      </c>
      <c r="AE92" s="629" t="str">
        <f>IF(ISNUMBER(H92),Population!T56,"")</f>
        <v/>
      </c>
      <c r="AG92" s="623" t="s">
        <v>13</v>
      </c>
      <c r="AH92" s="70" t="str">
        <f t="shared" si="22"/>
        <v/>
      </c>
      <c r="AI92" s="156" t="e">
        <f t="shared" si="23"/>
        <v>#VALUE!</v>
      </c>
      <c r="AJ92" s="121"/>
      <c r="AK92" s="480" t="str">
        <f t="shared" si="24"/>
        <v>x</v>
      </c>
      <c r="AL92" s="480" t="str">
        <f t="shared" si="25"/>
        <v>x</v>
      </c>
      <c r="AM92" s="480" t="str">
        <f t="shared" si="26"/>
        <v>x</v>
      </c>
      <c r="AN92" s="480" t="str">
        <f t="shared" si="27"/>
        <v>x</v>
      </c>
      <c r="AO92" s="480" t="e">
        <f t="shared" si="30"/>
        <v>#DIV/0!</v>
      </c>
      <c r="AQ92" s="52"/>
      <c r="AR92" s="52"/>
      <c r="AS92" s="52"/>
      <c r="AT92" s="52"/>
      <c r="AU92" s="52"/>
      <c r="AV92" s="52"/>
      <c r="AW92" s="52"/>
    </row>
    <row r="93" spans="1:49" s="61" customFormat="1" ht="13.5" customHeight="1">
      <c r="A93" s="306" t="e">
        <f>VLOOKUP(B93,ReportData!$AQ$4:$AR$25,2,FALSE)</f>
        <v>#REF!</v>
      </c>
      <c r="B93" s="65" t="e">
        <f>ReportData!#REF!</f>
        <v>#REF!</v>
      </c>
      <c r="C93" s="59"/>
      <c r="D93" s="66" t="e">
        <f>IF(Year1_Somerset Year1__electively_home_educated="","",Year1_Somerset Year1__electively_home_educated)</f>
        <v>#NAME?</v>
      </c>
      <c r="E93" s="66" t="e">
        <f>IF(Year2_Somerset Year2__electively_home_educated="","",Year2_Somerset Year2__electively_home_educated)</f>
        <v>#NAME?</v>
      </c>
      <c r="F93" s="66" t="e">
        <f>IF(Year3_Somerset Year3__electively_home_educated="","",Year3_Somerset Year3__electively_home_educated)</f>
        <v>#NAME?</v>
      </c>
      <c r="G93" s="66" t="e">
        <f>IF(Year4_Somerset Year4__electively_home_educated="","",Year4_Somerset Year4__electively_home_educated)</f>
        <v>#NAME?</v>
      </c>
      <c r="H93" s="67" t="e">
        <f>IF(Year5_Somerset Year5__electively_home_educated="","",Year5_Somerset Year5__electively_home_educated)</f>
        <v>#NAME?</v>
      </c>
      <c r="I93" s="616" t="e">
        <f t="shared" si="28"/>
        <v>#DIV/0!</v>
      </c>
      <c r="J93" s="482" t="e">
        <f t="shared" si="19"/>
        <v>#DIV/0!</v>
      </c>
      <c r="K93" s="68"/>
      <c r="L93" s="69" t="e">
        <f>IF(ISNUMBER(D93),D93/Population!#REF!*10000,NA())</f>
        <v>#N/A</v>
      </c>
      <c r="M93" s="69" t="e">
        <f>IF(ISNUMBER(E93),E93/Population!#REF!*10000,NA())</f>
        <v>#N/A</v>
      </c>
      <c r="N93" s="69" t="e">
        <f>IF(ISNUMBER(F93),F93/Population!#REF!*10000,NA())</f>
        <v>#N/A</v>
      </c>
      <c r="O93" s="69" t="e">
        <f>IF(ISNUMBER(G93),G93/Population!#REF!*10000,NA())</f>
        <v>#N/A</v>
      </c>
      <c r="P93" s="70" t="e">
        <f>IF(ISNUMBER(H93),H93/Population!#REF!*10000,NA())</f>
        <v>#N/A</v>
      </c>
      <c r="Q93" s="71" t="str">
        <f t="shared" si="29"/>
        <v/>
      </c>
      <c r="R93" s="246" t="e">
        <f t="shared" si="20"/>
        <v>#N/A</v>
      </c>
      <c r="S93" s="50"/>
      <c r="T93" s="439" t="e">
        <f>IDACI!#REF!</f>
        <v>#REF!</v>
      </c>
      <c r="U93" s="89"/>
      <c r="V93" s="103"/>
      <c r="W93" s="115"/>
      <c r="X93" s="622" t="e">
        <f t="shared" si="21"/>
        <v>#REF!</v>
      </c>
      <c r="Y93" s="620">
        <f>IF(ISNUMBER(H93),IDACI!#REF!,0)</f>
        <v>0</v>
      </c>
      <c r="Z93" s="621">
        <f>IF(ISNUMBER(I93),IDACI!#REF!,0)</f>
        <v>0</v>
      </c>
      <c r="AA93" s="628" t="str">
        <f>IF(ISNUMBER(D93),Population!#REF!,"")</f>
        <v/>
      </c>
      <c r="AB93" s="155" t="str">
        <f>IF(ISNUMBER(E93),Population!#REF!,"")</f>
        <v/>
      </c>
      <c r="AC93" s="155" t="str">
        <f>IF(ISNUMBER(F93),Population!#REF!,"")</f>
        <v/>
      </c>
      <c r="AD93" s="155" t="str">
        <f>IF(ISNUMBER(G93),Population!#REF!,"")</f>
        <v/>
      </c>
      <c r="AE93" s="629" t="str">
        <f>IF(ISNUMBER(H93),Population!#REF!,"")</f>
        <v/>
      </c>
      <c r="AG93" s="623" t="s">
        <v>14</v>
      </c>
      <c r="AH93" s="70" t="str">
        <f t="shared" si="22"/>
        <v/>
      </c>
      <c r="AI93" s="156" t="e">
        <f t="shared" si="23"/>
        <v>#VALUE!</v>
      </c>
      <c r="AJ93" s="121"/>
      <c r="AK93" s="480" t="str">
        <f t="shared" si="24"/>
        <v>x</v>
      </c>
      <c r="AL93" s="480" t="str">
        <f t="shared" si="25"/>
        <v>x</v>
      </c>
      <c r="AM93" s="480" t="str">
        <f t="shared" si="26"/>
        <v>x</v>
      </c>
      <c r="AN93" s="480" t="str">
        <f t="shared" si="27"/>
        <v>x</v>
      </c>
      <c r="AO93" s="480" t="e">
        <f t="shared" si="30"/>
        <v>#DIV/0!</v>
      </c>
      <c r="AQ93" s="52"/>
      <c r="AR93" s="52"/>
      <c r="AS93" s="52"/>
      <c r="AT93" s="52"/>
      <c r="AU93" s="52"/>
      <c r="AV93" s="52"/>
      <c r="AW93" s="52"/>
    </row>
    <row r="94" spans="1:49" s="61" customFormat="1" ht="13.5" customHeight="1">
      <c r="A94" s="306">
        <f>VLOOKUP(B94,ReportData!$AQ$4:$AR$25,2,FALSE)</f>
        <v>0</v>
      </c>
      <c r="B94" s="65" t="str">
        <f>ReportData!$K$17</f>
        <v>Southampton</v>
      </c>
      <c r="C94" s="59"/>
      <c r="D94" s="66" t="str">
        <f>IF(Year1_Southampton Year1__electively_home_educated="","",Year1_Southampton Year1__electively_home_educated)</f>
        <v/>
      </c>
      <c r="E94" s="66" t="str">
        <f>IF(Year2_Southampton Year2__electively_home_educated="","",Year2_Southampton Year2__electively_home_educated)</f>
        <v/>
      </c>
      <c r="F94" s="66" t="str">
        <f>IF(Year3_Southampton Year3__electively_home_educated="","",Year3_Southampton Year3__electively_home_educated)</f>
        <v/>
      </c>
      <c r="G94" s="66" t="str">
        <f>IF(Year4_Southampton Year4__electively_home_educated="","",Year4_Southampton Year4__electively_home_educated)</f>
        <v/>
      </c>
      <c r="H94" s="67" t="str">
        <f>IF(Year5_Southampton Year5__electively_home_educated="","",Year5_Southampton Year5__electively_home_educated)</f>
        <v/>
      </c>
      <c r="I94" s="616" t="e">
        <f t="shared" si="28"/>
        <v>#DIV/0!</v>
      </c>
      <c r="J94" s="482" t="e">
        <f t="shared" si="19"/>
        <v>#DIV/0!</v>
      </c>
      <c r="K94" s="68"/>
      <c r="L94" s="69" t="e">
        <f>IF(ISNUMBER(D94),D94/Population!P57*10000,NA())</f>
        <v>#N/A</v>
      </c>
      <c r="M94" s="69" t="e">
        <f>IF(ISNUMBER(E94),E94/Population!Q57*10000,NA())</f>
        <v>#N/A</v>
      </c>
      <c r="N94" s="69" t="e">
        <f>IF(ISNUMBER(F94),F94/Population!R57*10000,NA())</f>
        <v>#N/A</v>
      </c>
      <c r="O94" s="69" t="e">
        <f>IF(ISNUMBER(G94),G94/Population!S57*10000,NA())</f>
        <v>#N/A</v>
      </c>
      <c r="P94" s="70" t="e">
        <f>IF(ISNUMBER(H94),H94/Population!T57*10000,NA())</f>
        <v>#N/A</v>
      </c>
      <c r="Q94" s="71" t="str">
        <f t="shared" si="29"/>
        <v/>
      </c>
      <c r="R94" s="529" t="e">
        <f t="shared" si="20"/>
        <v>#N/A</v>
      </c>
      <c r="S94" s="50"/>
      <c r="T94" s="439">
        <f>IDACI!C22</f>
        <v>20.5</v>
      </c>
      <c r="U94" s="89"/>
      <c r="V94" s="103"/>
      <c r="W94" s="115"/>
      <c r="X94" s="622" t="str">
        <f t="shared" si="21"/>
        <v>Southampton</v>
      </c>
      <c r="Y94" s="620">
        <f>IF(ISNUMBER(H94),IDACI!D22,0)</f>
        <v>0</v>
      </c>
      <c r="Z94" s="621">
        <f>IF(ISNUMBER(I94),IDACI!E22,0)</f>
        <v>0</v>
      </c>
      <c r="AA94" s="628" t="str">
        <f>IF(ISNUMBER(D94),Population!P57,"")</f>
        <v/>
      </c>
      <c r="AB94" s="155" t="str">
        <f>IF(ISNUMBER(E94),Population!Q57,"")</f>
        <v/>
      </c>
      <c r="AC94" s="155" t="str">
        <f>IF(ISNUMBER(F94),Population!R57,"")</f>
        <v/>
      </c>
      <c r="AD94" s="155" t="str">
        <f>IF(ISNUMBER(G94),Population!S57,"")</f>
        <v/>
      </c>
      <c r="AE94" s="629" t="str">
        <f>IF(ISNUMBER(H94),Population!T57,"")</f>
        <v/>
      </c>
      <c r="AG94" s="623" t="s">
        <v>7</v>
      </c>
      <c r="AH94" s="70" t="str">
        <f t="shared" si="22"/>
        <v/>
      </c>
      <c r="AI94" s="156" t="e">
        <f t="shared" si="23"/>
        <v>#VALUE!</v>
      </c>
      <c r="AJ94" s="121"/>
      <c r="AK94" s="480" t="str">
        <f t="shared" si="24"/>
        <v>x</v>
      </c>
      <c r="AL94" s="480" t="str">
        <f t="shared" si="25"/>
        <v>x</v>
      </c>
      <c r="AM94" s="480" t="str">
        <f t="shared" si="26"/>
        <v>x</v>
      </c>
      <c r="AN94" s="480" t="str">
        <f t="shared" si="27"/>
        <v>x</v>
      </c>
      <c r="AO94" s="480" t="e">
        <f t="shared" si="30"/>
        <v>#DIV/0!</v>
      </c>
      <c r="AQ94" s="52"/>
      <c r="AR94" s="52"/>
      <c r="AS94" s="52"/>
      <c r="AT94" s="52"/>
      <c r="AU94" s="52"/>
      <c r="AV94" s="52"/>
      <c r="AW94" s="52"/>
    </row>
    <row r="95" spans="1:49" s="61" customFormat="1" ht="13.5" customHeight="1">
      <c r="A95" s="306">
        <f>VLOOKUP(B95,ReportData!$AQ$4:$AR$25,2,FALSE)</f>
        <v>0</v>
      </c>
      <c r="B95" s="65" t="str">
        <f>ReportData!$K$18</f>
        <v>Surrey</v>
      </c>
      <c r="C95" s="59"/>
      <c r="D95" s="66" t="str">
        <f>IF(Year1_Surrey Year1__electively_home_educated="","",Year1_Surrey Year1__electively_home_educated)</f>
        <v/>
      </c>
      <c r="E95" s="66" t="str">
        <f>IF(Year2_Surrey Year2__electively_home_educated="","",Year2_Surrey Year2__electively_home_educated)</f>
        <v/>
      </c>
      <c r="F95" s="66" t="str">
        <f>IF(Year3_Surrey Year3__electively_home_educated="","",Year3_Surrey Year3__electively_home_educated)</f>
        <v/>
      </c>
      <c r="G95" s="66" t="str">
        <f>IF(Year4_Surrey Year4__electively_home_educated="","",Year4_Surrey Year4__electively_home_educated)</f>
        <v/>
      </c>
      <c r="H95" s="67" t="str">
        <f>IF(Year5_Surrey Year5__electively_home_educated="","",Year5_Surrey Year5__electively_home_educated)</f>
        <v/>
      </c>
      <c r="I95" s="616" t="e">
        <f t="shared" si="28"/>
        <v>#DIV/0!</v>
      </c>
      <c r="J95" s="482" t="e">
        <f t="shared" si="19"/>
        <v>#DIV/0!</v>
      </c>
      <c r="K95" s="68"/>
      <c r="L95" s="69" t="e">
        <f>IF(ISNUMBER(D95),D95/Population!P58*10000,NA())</f>
        <v>#N/A</v>
      </c>
      <c r="M95" s="69" t="e">
        <f>IF(ISNUMBER(E95),E95/Population!Q58*10000,NA())</f>
        <v>#N/A</v>
      </c>
      <c r="N95" s="69" t="e">
        <f>IF(ISNUMBER(F95),F95/Population!R58*10000,NA())</f>
        <v>#N/A</v>
      </c>
      <c r="O95" s="69" t="e">
        <f>IF(ISNUMBER(G95),G95/Population!S58*10000,NA())</f>
        <v>#N/A</v>
      </c>
      <c r="P95" s="70" t="e">
        <f>IF(ISNUMBER(H95),H95/Population!T58*10000,NA())</f>
        <v>#N/A</v>
      </c>
      <c r="Q95" s="71" t="str">
        <f t="shared" si="29"/>
        <v/>
      </c>
      <c r="R95" s="529" t="e">
        <f t="shared" si="20"/>
        <v>#N/A</v>
      </c>
      <c r="S95" s="50"/>
      <c r="T95" s="439">
        <f>IDACI!C23</f>
        <v>8.3000000000000007</v>
      </c>
      <c r="U95" s="89"/>
      <c r="V95" s="103"/>
      <c r="W95" s="115"/>
      <c r="X95" s="622" t="str">
        <f t="shared" si="21"/>
        <v>Surrey</v>
      </c>
      <c r="Y95" s="620">
        <f>IF(ISNUMBER(H95),IDACI!D23,0)</f>
        <v>0</v>
      </c>
      <c r="Z95" s="621">
        <f>IF(ISNUMBER(I95),IDACI!E23,0)</f>
        <v>0</v>
      </c>
      <c r="AA95" s="628" t="str">
        <f>IF(ISNUMBER(D95),Population!P58,"")</f>
        <v/>
      </c>
      <c r="AB95" s="155" t="str">
        <f>IF(ISNUMBER(E95),Population!Q58,"")</f>
        <v/>
      </c>
      <c r="AC95" s="155" t="str">
        <f>IF(ISNUMBER(F95),Population!R58,"")</f>
        <v/>
      </c>
      <c r="AD95" s="155" t="str">
        <f>IF(ISNUMBER(G95),Population!S58,"")</f>
        <v/>
      </c>
      <c r="AE95" s="629" t="str">
        <f>IF(ISNUMBER(H95),Population!T58,"")</f>
        <v/>
      </c>
      <c r="AG95" s="623" t="s">
        <v>15</v>
      </c>
      <c r="AH95" s="70" t="str">
        <f t="shared" si="22"/>
        <v/>
      </c>
      <c r="AI95" s="156" t="e">
        <f t="shared" si="23"/>
        <v>#VALUE!</v>
      </c>
      <c r="AJ95" s="121"/>
      <c r="AK95" s="480" t="str">
        <f t="shared" si="24"/>
        <v>x</v>
      </c>
      <c r="AL95" s="480" t="str">
        <f t="shared" si="25"/>
        <v>x</v>
      </c>
      <c r="AM95" s="480" t="str">
        <f t="shared" si="26"/>
        <v>x</v>
      </c>
      <c r="AN95" s="480" t="str">
        <f t="shared" si="27"/>
        <v>x</v>
      </c>
      <c r="AO95" s="480" t="e">
        <f t="shared" si="30"/>
        <v>#DIV/0!</v>
      </c>
      <c r="AQ95" s="52"/>
      <c r="AR95" s="52"/>
      <c r="AS95" s="52"/>
      <c r="AT95" s="52"/>
      <c r="AU95" s="52"/>
      <c r="AV95" s="52"/>
      <c r="AW95" s="52"/>
    </row>
    <row r="96" spans="1:49" s="61" customFormat="1" ht="13.5" customHeight="1">
      <c r="A96" s="306" t="e">
        <f>VLOOKUP(B96,ReportData!$AQ$4:$AR$25,2,FALSE)</f>
        <v>#REF!</v>
      </c>
      <c r="B96" s="65" t="e">
        <f>ReportData!#REF!</f>
        <v>#REF!</v>
      </c>
      <c r="C96" s="59"/>
      <c r="D96" s="66" t="e">
        <f>IF(Year1_Swindon Year1__electively_home_educated="","",Year1_Swindon Year1__electively_home_educated)</f>
        <v>#NAME?</v>
      </c>
      <c r="E96" s="66" t="e">
        <f>IF(Year2_Swindon Year2__electively_home_educated="","",Year2_Swindon Year2__electively_home_educated)</f>
        <v>#NAME?</v>
      </c>
      <c r="F96" s="66" t="e">
        <f>IF(Year3_Swindon Year3__electively_home_educated="","",Year3_Swindon Year3__electively_home_educated)</f>
        <v>#NAME?</v>
      </c>
      <c r="G96" s="66" t="e">
        <f>IF(Year4_Swindon Year4__electively_home_educated="","",Year4_Swindon Year4__electively_home_educated)</f>
        <v>#NAME?</v>
      </c>
      <c r="H96" s="67" t="e">
        <f>IF(Year5_Swindon Year5__electively_home_educated="","",Year5_Swindon Year5__electively_home_educated)</f>
        <v>#NAME?</v>
      </c>
      <c r="I96" s="616" t="e">
        <f t="shared" si="28"/>
        <v>#DIV/0!</v>
      </c>
      <c r="J96" s="482" t="e">
        <f t="shared" si="19"/>
        <v>#DIV/0!</v>
      </c>
      <c r="K96" s="68"/>
      <c r="L96" s="69" t="e">
        <f>IF(ISNUMBER(D96),D96/Population!#REF!*10000,NA())</f>
        <v>#N/A</v>
      </c>
      <c r="M96" s="69" t="e">
        <f>IF(ISNUMBER(E96),E96/Population!#REF!*10000,NA())</f>
        <v>#N/A</v>
      </c>
      <c r="N96" s="69" t="e">
        <f>IF(ISNUMBER(F96),F96/Population!#REF!*10000,NA())</f>
        <v>#N/A</v>
      </c>
      <c r="O96" s="69" t="e">
        <f>IF(ISNUMBER(G96),G96/Population!#REF!*10000,NA())</f>
        <v>#N/A</v>
      </c>
      <c r="P96" s="70" t="e">
        <f>IF(ISNUMBER(H96),H96/Population!#REF!*10000,NA())</f>
        <v>#N/A</v>
      </c>
      <c r="Q96" s="71" t="str">
        <f t="shared" si="29"/>
        <v/>
      </c>
      <c r="R96" s="246" t="e">
        <f t="shared" si="20"/>
        <v>#N/A</v>
      </c>
      <c r="S96" s="50"/>
      <c r="T96" s="439" t="e">
        <f>IDACI!#REF!</f>
        <v>#REF!</v>
      </c>
      <c r="U96" s="89"/>
      <c r="V96" s="103"/>
      <c r="W96" s="115"/>
      <c r="X96" s="622" t="e">
        <f t="shared" si="21"/>
        <v>#REF!</v>
      </c>
      <c r="Y96" s="620">
        <f>IF(ISNUMBER(H96),IDACI!#REF!,0)</f>
        <v>0</v>
      </c>
      <c r="Z96" s="621">
        <f>IF(ISNUMBER(I96),IDACI!#REF!,0)</f>
        <v>0</v>
      </c>
      <c r="AA96" s="628" t="str">
        <f>IF(ISNUMBER(D96),Population!#REF!,"")</f>
        <v/>
      </c>
      <c r="AB96" s="155" t="str">
        <f>IF(ISNUMBER(E96),Population!#REF!,"")</f>
        <v/>
      </c>
      <c r="AC96" s="155" t="str">
        <f>IF(ISNUMBER(F96),Population!#REF!,"")</f>
        <v/>
      </c>
      <c r="AD96" s="155" t="str">
        <f>IF(ISNUMBER(G96),Population!#REF!,"")</f>
        <v/>
      </c>
      <c r="AE96" s="629" t="str">
        <f>IF(ISNUMBER(H96),Population!#REF!,"")</f>
        <v/>
      </c>
      <c r="AG96" s="623" t="s">
        <v>5</v>
      </c>
      <c r="AH96" s="70" t="str">
        <f t="shared" si="22"/>
        <v/>
      </c>
      <c r="AI96" s="156" t="e">
        <f t="shared" si="23"/>
        <v>#VALUE!</v>
      </c>
      <c r="AJ96" s="121"/>
      <c r="AK96" s="480" t="str">
        <f t="shared" si="24"/>
        <v>x</v>
      </c>
      <c r="AL96" s="480" t="str">
        <f t="shared" si="25"/>
        <v>x</v>
      </c>
      <c r="AM96" s="480" t="str">
        <f t="shared" si="26"/>
        <v>x</v>
      </c>
      <c r="AN96" s="480" t="str">
        <f t="shared" si="27"/>
        <v>x</v>
      </c>
      <c r="AO96" s="480" t="e">
        <f t="shared" si="30"/>
        <v>#DIV/0!</v>
      </c>
      <c r="AQ96" s="52"/>
      <c r="AR96" s="52"/>
      <c r="AS96" s="52"/>
      <c r="AT96" s="52"/>
      <c r="AU96" s="52"/>
      <c r="AV96" s="52"/>
      <c r="AW96" s="52"/>
    </row>
    <row r="97" spans="1:68" s="61" customFormat="1" ht="13.5" customHeight="1">
      <c r="A97" s="306">
        <f>VLOOKUP(B97,ReportData!$AQ$4:$AR$25,2,FALSE)</f>
        <v>0</v>
      </c>
      <c r="B97" s="65" t="str">
        <f>ReportData!$K$19</f>
        <v>West Berkshire</v>
      </c>
      <c r="C97" s="59"/>
      <c r="D97" s="66" t="str">
        <f>IF(Year1_West_Berkshire Year1__electively_home_educated="","",Year1_West_Berkshire Year1__electively_home_educated)</f>
        <v/>
      </c>
      <c r="E97" s="66" t="str">
        <f>IF(Year2_West_Berkshire Year2__electively_home_educated="","",Year2_West_Berkshire Year2__electively_home_educated)</f>
        <v/>
      </c>
      <c r="F97" s="66" t="str">
        <f>IF(Year3_West_Berkshire Year3__electively_home_educated="","",Year3_West_Berkshire Year3__electively_home_educated)</f>
        <v/>
      </c>
      <c r="G97" s="66" t="str">
        <f>IF(Year4_West_Berkshire Year4__electively_home_educated="","",Year4_West_Berkshire Year4__electively_home_educated)</f>
        <v/>
      </c>
      <c r="H97" s="67" t="str">
        <f>IF(Year5_West_Berkshire Year5__electively_home_educated="","",Year5_West_Berkshire Year5__electively_home_educated)</f>
        <v/>
      </c>
      <c r="I97" s="616" t="e">
        <f t="shared" ref="I97:I102" si="31">AO97</f>
        <v>#DIV/0!</v>
      </c>
      <c r="J97" s="482" t="e">
        <f>I97</f>
        <v>#DIV/0!</v>
      </c>
      <c r="K97" s="68"/>
      <c r="L97" s="69" t="e">
        <f>IF(ISNUMBER(D97),D97/Population!P59*10000,NA())</f>
        <v>#N/A</v>
      </c>
      <c r="M97" s="69" t="e">
        <f>IF(ISNUMBER(E97),E97/Population!Q59*10000,NA())</f>
        <v>#N/A</v>
      </c>
      <c r="N97" s="69" t="e">
        <f>IF(ISNUMBER(F97),F97/Population!R59*10000,NA())</f>
        <v>#N/A</v>
      </c>
      <c r="O97" s="69" t="e">
        <f>IF(ISNUMBER(G97),G97/Population!S59*10000,NA())</f>
        <v>#N/A</v>
      </c>
      <c r="P97" s="70" t="e">
        <f>IF(ISNUMBER(H97),H97/Population!T59*10000,NA())</f>
        <v>#N/A</v>
      </c>
      <c r="Q97" s="71" t="str">
        <f>IF(ISNUMBER(P97),P97,"")</f>
        <v/>
      </c>
      <c r="R97" s="529" t="e">
        <f t="shared" ref="R97:R102" si="32">IF(ISNA(VLOOKUP(B97,$AG$10:$AI$28,3,FALSE)),"--",IF(ISNUMBER(H97),VLOOKUP(B97,$AG$10:$AI$28,3,FALSE),NA()))</f>
        <v>#N/A</v>
      </c>
      <c r="S97" s="50"/>
      <c r="T97" s="439">
        <f>IDACI!C24</f>
        <v>8.6999999999999993</v>
      </c>
      <c r="U97" s="89"/>
      <c r="V97" s="103"/>
      <c r="W97" s="115"/>
      <c r="X97" s="622" t="str">
        <f t="shared" ref="X97:X102" si="33">B97</f>
        <v>West Berkshire</v>
      </c>
      <c r="Y97" s="620">
        <f>IF(ISNUMBER(H97),IDACI!D24,0)</f>
        <v>0</v>
      </c>
      <c r="Z97" s="621">
        <f>IF(ISNUMBER(I97),IDACI!E24,0)</f>
        <v>0</v>
      </c>
      <c r="AA97" s="628" t="str">
        <f>IF(ISNUMBER(D97),Population!P59,"")</f>
        <v/>
      </c>
      <c r="AB97" s="155" t="str">
        <f>IF(ISNUMBER(E97),Population!Q59,"")</f>
        <v/>
      </c>
      <c r="AC97" s="155" t="str">
        <f>IF(ISNUMBER(F97),Population!R59,"")</f>
        <v/>
      </c>
      <c r="AD97" s="155" t="str">
        <f>IF(ISNUMBER(G97),Population!S59,"")</f>
        <v/>
      </c>
      <c r="AE97" s="629" t="str">
        <f>IF(ISNUMBER(H97),Population!T59,"")</f>
        <v/>
      </c>
      <c r="AG97" s="623" t="s">
        <v>27</v>
      </c>
      <c r="AH97" s="70" t="str">
        <f t="shared" si="22"/>
        <v/>
      </c>
      <c r="AI97" s="156" t="e">
        <f t="shared" si="23"/>
        <v>#VALUE!</v>
      </c>
      <c r="AJ97" s="121"/>
      <c r="AK97" s="480" t="str">
        <f t="shared" ref="AK97:AN102" si="34">IF(ISERROR((E97-D97)/D97),"x",(E97-D97)/D97)</f>
        <v>x</v>
      </c>
      <c r="AL97" s="480" t="str">
        <f t="shared" si="34"/>
        <v>x</v>
      </c>
      <c r="AM97" s="480" t="str">
        <f t="shared" si="34"/>
        <v>x</v>
      </c>
      <c r="AN97" s="480" t="str">
        <f t="shared" si="34"/>
        <v>x</v>
      </c>
      <c r="AO97" s="480" t="e">
        <f t="shared" ref="AO97:AO102" si="35">AVERAGE(AK97:AN97)</f>
        <v>#DIV/0!</v>
      </c>
      <c r="AQ97" s="52"/>
      <c r="AR97" s="52"/>
      <c r="AS97" s="52"/>
      <c r="AT97" s="52"/>
      <c r="AU97" s="52"/>
      <c r="AV97" s="52"/>
      <c r="AW97" s="52"/>
    </row>
    <row r="98" spans="1:68" s="61" customFormat="1" ht="13.5" customHeight="1">
      <c r="A98" s="306">
        <f>VLOOKUP(B98,ReportData!$AQ$4:$AR$25,2,FALSE)</f>
        <v>0</v>
      </c>
      <c r="B98" s="65" t="str">
        <f>ReportData!$K$20</f>
        <v>West Sussex</v>
      </c>
      <c r="C98" s="59"/>
      <c r="D98" s="66" t="str">
        <f>IF(Year1_West_Sussex Year1__electively_home_educated="","",Year1_West_Sussex Year1__electively_home_educated)</f>
        <v/>
      </c>
      <c r="E98" s="66" t="str">
        <f>IF(Year2_West_Sussex Year2__electively_home_educated="","",Year2_West_Sussex Year2__electively_home_educated)</f>
        <v/>
      </c>
      <c r="F98" s="66" t="str">
        <f>IF(Year3_West_Sussex Year3__electively_home_educated="","",Year3_West_Sussex Year3__electively_home_educated)</f>
        <v/>
      </c>
      <c r="G98" s="66" t="str">
        <f>IF(Year4_West_Sussex Year4__electively_home_educated="","",Year4_West_Sussex Year4__electively_home_educated)</f>
        <v/>
      </c>
      <c r="H98" s="67" t="str">
        <f>IF(Year5_West_Sussex Year5__electively_home_educated="","",Year5_West_Sussex Year5__electively_home_educated)</f>
        <v/>
      </c>
      <c r="I98" s="616" t="e">
        <f t="shared" si="31"/>
        <v>#DIV/0!</v>
      </c>
      <c r="J98" s="482" t="e">
        <f>I98</f>
        <v>#DIV/0!</v>
      </c>
      <c r="K98" s="68"/>
      <c r="L98" s="69" t="e">
        <f>IF(ISNUMBER(D98),D98/Population!P60*10000,NA())</f>
        <v>#N/A</v>
      </c>
      <c r="M98" s="69" t="e">
        <f>IF(ISNUMBER(E98),E98/Population!Q60*10000,NA())</f>
        <v>#N/A</v>
      </c>
      <c r="N98" s="69" t="e">
        <f>IF(ISNUMBER(F98),F98/Population!R60*10000,NA())</f>
        <v>#N/A</v>
      </c>
      <c r="O98" s="69" t="e">
        <f>IF(ISNUMBER(G98),G98/Population!S60*10000,NA())</f>
        <v>#N/A</v>
      </c>
      <c r="P98" s="70" t="e">
        <f>IF(ISNUMBER(H98),H98/Population!T60*10000,NA())</f>
        <v>#N/A</v>
      </c>
      <c r="Q98" s="71" t="str">
        <f>IF(ISNUMBER(P98),P98,"")</f>
        <v/>
      </c>
      <c r="R98" s="529" t="e">
        <f t="shared" si="32"/>
        <v>#N/A</v>
      </c>
      <c r="S98" s="50"/>
      <c r="T98" s="439">
        <f>IDACI!C25</f>
        <v>11</v>
      </c>
      <c r="U98" s="89"/>
      <c r="V98" s="103"/>
      <c r="W98" s="115"/>
      <c r="X98" s="622" t="str">
        <f t="shared" si="33"/>
        <v>West Sussex</v>
      </c>
      <c r="Y98" s="620">
        <f>IF(ISNUMBER(H98),IDACI!D25,0)</f>
        <v>0</v>
      </c>
      <c r="Z98" s="621">
        <f>IF(ISNUMBER(I98),IDACI!E25,0)</f>
        <v>0</v>
      </c>
      <c r="AA98" s="628" t="str">
        <f>IF(ISNUMBER(D98),Population!P60,"")</f>
        <v/>
      </c>
      <c r="AB98" s="155" t="str">
        <f>IF(ISNUMBER(E98),Population!Q60,"")</f>
        <v/>
      </c>
      <c r="AC98" s="155" t="str">
        <f>IF(ISNUMBER(F98),Population!R60,"")</f>
        <v/>
      </c>
      <c r="AD98" s="155" t="str">
        <f>IF(ISNUMBER(G98),Population!S60,"")</f>
        <v/>
      </c>
      <c r="AE98" s="629" t="str">
        <f>IF(ISNUMBER(H98),Population!T60,"")</f>
        <v/>
      </c>
      <c r="AG98" s="623" t="s">
        <v>16</v>
      </c>
      <c r="AH98" s="70" t="str">
        <f t="shared" si="22"/>
        <v/>
      </c>
      <c r="AI98" s="156" t="e">
        <f t="shared" si="23"/>
        <v>#VALUE!</v>
      </c>
      <c r="AJ98" s="121"/>
      <c r="AK98" s="480" t="str">
        <f t="shared" si="34"/>
        <v>x</v>
      </c>
      <c r="AL98" s="480" t="str">
        <f t="shared" si="34"/>
        <v>x</v>
      </c>
      <c r="AM98" s="480" t="str">
        <f t="shared" si="34"/>
        <v>x</v>
      </c>
      <c r="AN98" s="480" t="str">
        <f t="shared" si="34"/>
        <v>x</v>
      </c>
      <c r="AO98" s="480" t="e">
        <f t="shared" si="35"/>
        <v>#DIV/0!</v>
      </c>
      <c r="AQ98" s="52"/>
      <c r="AR98" s="52"/>
      <c r="AS98" s="52"/>
      <c r="AT98" s="52"/>
      <c r="AU98" s="52"/>
      <c r="AV98" s="52"/>
      <c r="AW98" s="52"/>
    </row>
    <row r="99" spans="1:68" s="61" customFormat="1" ht="13.5" customHeight="1">
      <c r="A99" s="306">
        <f>VLOOKUP(B99,ReportData!$AQ$4:$AR$25,2,FALSE)</f>
        <v>0</v>
      </c>
      <c r="B99" s="65" t="str">
        <f>ReportData!$K$21</f>
        <v>Windsor &amp; Maidenhead</v>
      </c>
      <c r="C99" s="59"/>
      <c r="D99" s="66" t="e">
        <f>IF(Year1_Windsor_Maidenhead Year1__electively_home_educated="","",Year1_Windsor_Maidenhead Year1__electively_home_educated)</f>
        <v>#NAME?</v>
      </c>
      <c r="E99" s="66" t="e">
        <f>IF(Year2_Windsor_Maidenhead Year2__electively_home_educated="","",Year2_Windsor_Maidenhead Year2__electively_home_educated)</f>
        <v>#NAME?</v>
      </c>
      <c r="F99" s="66" t="e">
        <f>IF(Year3_Windsor_Maidenhead Year3__electively_home_educated="","",Year3_Windsor_Maidenhead Year3__electively_home_educated)</f>
        <v>#NAME?</v>
      </c>
      <c r="G99" s="66" t="e">
        <f>IF(Year4_Windsor_Maidenhead Year4__electively_home_educated="","",Year4_Windsor_Maidenhead Year4__electively_home_educated)</f>
        <v>#NAME?</v>
      </c>
      <c r="H99" s="67" t="e">
        <f>IF(Year5_Windsor_Maidenhead Year5__electively_home_educated="","",Year5_Windsor_Maidenhead Year5__electively_home_educated)</f>
        <v>#NAME?</v>
      </c>
      <c r="I99" s="616" t="e">
        <f t="shared" si="31"/>
        <v>#DIV/0!</v>
      </c>
      <c r="J99" s="482" t="e">
        <f>I99</f>
        <v>#DIV/0!</v>
      </c>
      <c r="K99" s="68"/>
      <c r="L99" s="69" t="e">
        <f>IF(ISNUMBER(D99),D99/Population!P61*10000,NA())</f>
        <v>#N/A</v>
      </c>
      <c r="M99" s="69" t="e">
        <f>IF(ISNUMBER(E99),E99/Population!Q61*10000,NA())</f>
        <v>#N/A</v>
      </c>
      <c r="N99" s="69" t="e">
        <f>IF(ISNUMBER(F99),F99/Population!R61*10000,NA())</f>
        <v>#N/A</v>
      </c>
      <c r="O99" s="69" t="e">
        <f>IF(ISNUMBER(G99),G99/Population!S61*10000,NA())</f>
        <v>#N/A</v>
      </c>
      <c r="P99" s="70" t="e">
        <f>IF(ISNUMBER(H99),H99/Population!T61*10000,NA())</f>
        <v>#N/A</v>
      </c>
      <c r="Q99" s="71" t="str">
        <f>IF(ISNUMBER(P99),P99,"")</f>
        <v/>
      </c>
      <c r="R99" s="529" t="e">
        <f t="shared" si="32"/>
        <v>#N/A</v>
      </c>
      <c r="S99" s="50"/>
      <c r="T99" s="439">
        <f>IDACI!C26</f>
        <v>6.7</v>
      </c>
      <c r="U99" s="89"/>
      <c r="V99" s="103"/>
      <c r="W99" s="115"/>
      <c r="X99" s="622" t="str">
        <f t="shared" si="33"/>
        <v>Windsor &amp; Maidenhead</v>
      </c>
      <c r="Y99" s="620">
        <f>IF(ISNUMBER(H99),IDACI!D26,0)</f>
        <v>0</v>
      </c>
      <c r="Z99" s="621">
        <f>IF(ISNUMBER(I99),IDACI!E26,0)</f>
        <v>0</v>
      </c>
      <c r="AA99" s="628" t="str">
        <f>IF(ISNUMBER(D99),Population!P61,"")</f>
        <v/>
      </c>
      <c r="AB99" s="155" t="str">
        <f>IF(ISNUMBER(E99),Population!Q61,"")</f>
        <v/>
      </c>
      <c r="AC99" s="155" t="str">
        <f>IF(ISNUMBER(F99),Population!R61,"")</f>
        <v/>
      </c>
      <c r="AD99" s="155" t="str">
        <f>IF(ISNUMBER(G99),Population!S61,"")</f>
        <v/>
      </c>
      <c r="AE99" s="629" t="str">
        <f>IF(ISNUMBER(H99),Population!T61,"")</f>
        <v/>
      </c>
      <c r="AH99" s="141"/>
      <c r="AJ99" s="121"/>
      <c r="AK99" s="480" t="str">
        <f t="shared" si="34"/>
        <v>x</v>
      </c>
      <c r="AL99" s="480" t="str">
        <f t="shared" si="34"/>
        <v>x</v>
      </c>
      <c r="AM99" s="480" t="str">
        <f t="shared" si="34"/>
        <v>x</v>
      </c>
      <c r="AN99" s="480" t="str">
        <f t="shared" si="34"/>
        <v>x</v>
      </c>
      <c r="AO99" s="480" t="e">
        <f t="shared" si="35"/>
        <v>#DIV/0!</v>
      </c>
      <c r="AQ99" s="52"/>
      <c r="AR99" s="52"/>
      <c r="AS99" s="52"/>
      <c r="AT99" s="52"/>
      <c r="AU99" s="52"/>
      <c r="AV99" s="52"/>
      <c r="AW99" s="52"/>
    </row>
    <row r="100" spans="1:68" s="61" customFormat="1" ht="13.5" customHeight="1">
      <c r="A100" s="306">
        <f>VLOOKUP(B100,ReportData!$AQ$4:$AR$25,2,FALSE)</f>
        <v>0</v>
      </c>
      <c r="B100" s="65" t="str">
        <f>ReportData!$K$22</f>
        <v>Wokingham</v>
      </c>
      <c r="C100" s="59"/>
      <c r="D100" s="66" t="str">
        <f>IF(Year1_Wokingham Year1__electively_home_educated="","",Year1_Wokingham Year1__electively_home_educated)</f>
        <v/>
      </c>
      <c r="E100" s="66" t="str">
        <f>IF(Year2_Wokingham Year2__electively_home_educated="","",Year2_Wokingham Year2__electively_home_educated)</f>
        <v/>
      </c>
      <c r="F100" s="66" t="str">
        <f>IF(Year3_Wokingham Year3__electively_home_educated="","",Year3_Wokingham Year3__electively_home_educated)</f>
        <v/>
      </c>
      <c r="G100" s="66" t="str">
        <f>IF(Year4_Wokingham Year4__electively_home_educated="","",Year4_Wokingham Year4__electively_home_educated)</f>
        <v/>
      </c>
      <c r="H100" s="67" t="str">
        <f>IF(Year5_Wokingham Year5__electively_home_educated="","",Year5_Wokingham Year5__electively_home_educated)</f>
        <v/>
      </c>
      <c r="I100" s="616" t="e">
        <f t="shared" si="31"/>
        <v>#DIV/0!</v>
      </c>
      <c r="J100" s="482" t="e">
        <f>I100</f>
        <v>#DIV/0!</v>
      </c>
      <c r="K100" s="68"/>
      <c r="L100" s="69" t="e">
        <f>IF(ISNUMBER(D100),D100/Population!P62*10000,NA())</f>
        <v>#N/A</v>
      </c>
      <c r="M100" s="69" t="e">
        <f>IF(ISNUMBER(E100),E100/Population!Q62*10000,NA())</f>
        <v>#N/A</v>
      </c>
      <c r="N100" s="69" t="e">
        <f>IF(ISNUMBER(F100),F100/Population!R62*10000,NA())</f>
        <v>#N/A</v>
      </c>
      <c r="O100" s="69" t="e">
        <f>IF(ISNUMBER(G100),G100/Population!S62*10000,NA())</f>
        <v>#N/A</v>
      </c>
      <c r="P100" s="70" t="e">
        <f>IF(ISNUMBER(H100),H100/Population!T62*10000,NA())</f>
        <v>#N/A</v>
      </c>
      <c r="Q100" s="71" t="str">
        <f>IF(ISNUMBER(P100),P100,"")</f>
        <v/>
      </c>
      <c r="R100" s="529" t="e">
        <f t="shared" si="32"/>
        <v>#N/A</v>
      </c>
      <c r="S100" s="50"/>
      <c r="T100" s="439">
        <f>IDACI!C27</f>
        <v>5.6000000000000005</v>
      </c>
      <c r="U100" s="89"/>
      <c r="V100" s="103"/>
      <c r="W100" s="115"/>
      <c r="X100" s="622" t="str">
        <f t="shared" si="33"/>
        <v>Wokingham</v>
      </c>
      <c r="Y100" s="620">
        <f>IF(ISNUMBER(H100),IDACI!D27,0)</f>
        <v>0</v>
      </c>
      <c r="Z100" s="621">
        <f>IF(ISNUMBER(I100),IDACI!E27,0)</f>
        <v>0</v>
      </c>
      <c r="AA100" s="628" t="str">
        <f>IF(ISNUMBER(D100),Population!P62,"")</f>
        <v/>
      </c>
      <c r="AB100" s="155" t="str">
        <f>IF(ISNUMBER(E100),Population!Q62,"")</f>
        <v/>
      </c>
      <c r="AC100" s="155" t="str">
        <f>IF(ISNUMBER(F100),Population!R62,"")</f>
        <v/>
      </c>
      <c r="AD100" s="155" t="str">
        <f>IF(ISNUMBER(G100),Population!S62,"")</f>
        <v/>
      </c>
      <c r="AE100" s="629" t="str">
        <f>IF(ISNUMBER(H100),Population!T62,"")</f>
        <v/>
      </c>
      <c r="AH100" s="141"/>
      <c r="AJ100" s="121"/>
      <c r="AK100" s="480" t="str">
        <f t="shared" si="34"/>
        <v>x</v>
      </c>
      <c r="AL100" s="480" t="str">
        <f t="shared" si="34"/>
        <v>x</v>
      </c>
      <c r="AM100" s="480" t="str">
        <f t="shared" si="34"/>
        <v>x</v>
      </c>
      <c r="AN100" s="480" t="str">
        <f t="shared" si="34"/>
        <v>x</v>
      </c>
      <c r="AO100" s="480" t="e">
        <f t="shared" si="35"/>
        <v>#DIV/0!</v>
      </c>
      <c r="AQ100" s="52"/>
      <c r="AR100" s="52"/>
      <c r="AS100" s="52"/>
      <c r="AT100" s="52"/>
      <c r="AU100" s="52"/>
      <c r="AV100" s="52"/>
      <c r="AW100" s="52"/>
    </row>
    <row r="101" spans="1:68" s="61" customFormat="1" ht="13.5" customHeight="1">
      <c r="A101" s="306">
        <f>VLOOKUP(B100,ReportData!$AQ$4:$AR$25,2,FALSE)</f>
        <v>0</v>
      </c>
      <c r="B101" s="96" t="str">
        <f>ReportData!$K$23</f>
        <v>South East</v>
      </c>
      <c r="C101" s="59"/>
      <c r="D101" s="97" t="e">
        <f>IF(Year1_SouthEast Year1__electively_home_educated="","",Year1_SouthEast Year1__electively_home_educated)</f>
        <v>#NAME?</v>
      </c>
      <c r="E101" s="97" t="e">
        <f>IF(Year2_SouthEast Year2__electively_home_educated="","",Year2_SouthEast Year2__electively_home_educated)</f>
        <v>#NAME?</v>
      </c>
      <c r="F101" s="97" t="e">
        <f>IF(Year3_SouthEast Year3__electively_home_educated="","",Year3_SouthEast Year3__electively_home_educated)</f>
        <v>#NAME?</v>
      </c>
      <c r="G101" s="97" t="e">
        <f>IF(Year4_SouthEast Year4__electively_home_educated="","",Year4_SouthEast Year4__electively_home_educated)</f>
        <v>#NAME?</v>
      </c>
      <c r="H101" s="98" t="e">
        <f>IF(Year5_SouthEast Year5__electively_home_educated="","",Year5_SouthEast Year5__electively_home_educated)</f>
        <v>#NAME?</v>
      </c>
      <c r="I101" s="481" t="e">
        <f t="shared" si="31"/>
        <v>#DIV/0!</v>
      </c>
      <c r="J101" s="482" t="e">
        <f>I101</f>
        <v>#DIV/0!</v>
      </c>
      <c r="K101" s="68"/>
      <c r="L101" s="99" t="e">
        <f>IF(D101&gt;0,D101/AA101*10000,NA())</f>
        <v>#NAME?</v>
      </c>
      <c r="M101" s="99" t="e">
        <f>IF(E101&gt;0,E101/AB101*10000,NA())</f>
        <v>#NAME?</v>
      </c>
      <c r="N101" s="99" t="e">
        <f>IF(F101&gt;0,F101/AC101*10000,NA())</f>
        <v>#NAME?</v>
      </c>
      <c r="O101" s="99" t="e">
        <f>IF(G101&gt;0,G101/AD101*10000,NA())</f>
        <v>#NAME?</v>
      </c>
      <c r="P101" s="100" t="e">
        <f>IF(H101&gt;0,H101/AE101*10000,NA())</f>
        <v>#NAME?</v>
      </c>
      <c r="Q101" s="71" t="str">
        <f>IF(ISNUMBER(P101),P101,"")</f>
        <v/>
      </c>
      <c r="R101" s="235" t="str">
        <f t="shared" si="32"/>
        <v>--</v>
      </c>
      <c r="S101" s="50"/>
      <c r="T101" s="440" t="e">
        <f>Z101/Y101*100</f>
        <v>#DIV/0!</v>
      </c>
      <c r="U101" s="89"/>
      <c r="V101" s="103"/>
      <c r="W101" s="115"/>
      <c r="X101" s="622" t="str">
        <f t="shared" si="33"/>
        <v>South East</v>
      </c>
      <c r="Y101" s="620">
        <f>SUM(Y94:Y95,Y80:Y92,Y97:Y100)</f>
        <v>0</v>
      </c>
      <c r="Z101" s="621">
        <f>SUM(Z94:Z95,Z80:Z92,Z97:Z100)</f>
        <v>0</v>
      </c>
      <c r="AA101" s="628">
        <f>SUM(AA80:AA92,AA94:AA95,AA97:AA100)</f>
        <v>0</v>
      </c>
      <c r="AB101" s="155">
        <f>SUM(AB80:AB92,AB94:AB95,AB97:AB100)</f>
        <v>0</v>
      </c>
      <c r="AC101" s="155">
        <f>SUM(AC80:AC92,AC94:AC95,AC97:AC100)</f>
        <v>0</v>
      </c>
      <c r="AD101" s="155">
        <f>SUM(AD80:AD92,AD94:AD95,AD97:AD100)</f>
        <v>0</v>
      </c>
      <c r="AE101" s="629">
        <f>SUM(AE80:AE92,AE94:AE95,AE97:AE100)</f>
        <v>0</v>
      </c>
      <c r="AH101" s="141"/>
      <c r="AJ101" s="121"/>
      <c r="AK101" s="480" t="str">
        <f t="shared" si="34"/>
        <v>x</v>
      </c>
      <c r="AL101" s="480" t="str">
        <f t="shared" si="34"/>
        <v>x</v>
      </c>
      <c r="AM101" s="480" t="str">
        <f t="shared" si="34"/>
        <v>x</v>
      </c>
      <c r="AN101" s="480" t="str">
        <f t="shared" si="34"/>
        <v>x</v>
      </c>
      <c r="AO101" s="480" t="e">
        <f t="shared" si="35"/>
        <v>#DIV/0!</v>
      </c>
      <c r="AQ101" s="52"/>
      <c r="AR101" s="52"/>
      <c r="AS101" s="52"/>
      <c r="AT101" s="52"/>
      <c r="AU101" s="52"/>
      <c r="AV101" s="52"/>
      <c r="AW101" s="52"/>
    </row>
    <row r="102" spans="1:68" s="61" customFormat="1" ht="13.5" hidden="1" customHeight="1">
      <c r="A102" s="88"/>
      <c r="B102" s="231" t="str">
        <f>ReportData!$K$24</f>
        <v>England</v>
      </c>
      <c r="C102" s="59"/>
      <c r="D102" s="232" t="str">
        <f>IF(Year1_England Year1__electively_home_educated="","",Year1_England Year1__electively_home_educated)</f>
        <v/>
      </c>
      <c r="E102" s="232" t="str">
        <f>IF(Year2_England Year2__electively_home_educated="","",Year2_England Year2__electively_home_educated)</f>
        <v/>
      </c>
      <c r="F102" s="232" t="str">
        <f>IF(Year3_England Year3__electively_home_educated="","",Year3_England Year3__electively_home_educated)</f>
        <v/>
      </c>
      <c r="G102" s="232" t="str">
        <f>IF(Year4_England Year4__electively_home_educated="","",Year4_England Year4__electively_home_educated)</f>
        <v/>
      </c>
      <c r="H102" s="233" t="str">
        <f>IF(Year5_England Year5__electively_home_educated="","",Year5_England Year5__electively_home_educated)</f>
        <v/>
      </c>
      <c r="I102" s="233" t="e">
        <f t="shared" si="31"/>
        <v>#DIV/0!</v>
      </c>
      <c r="J102" s="245" t="str">
        <f>IF(ISNUMBER(H102),(H102-E102)/E102,"")</f>
        <v/>
      </c>
      <c r="K102" s="68"/>
      <c r="L102" s="234" t="e">
        <f>IF(ISNUMBER(D102),D102/Population!P64*10000,NA())</f>
        <v>#N/A</v>
      </c>
      <c r="M102" s="234" t="e">
        <f>IF(ISNUMBER(E102),E102/Population!Q64*10000,NA())</f>
        <v>#N/A</v>
      </c>
      <c r="N102" s="234" t="e">
        <f>IF(ISNUMBER(F102),F102/Population!R64*10000,NA())</f>
        <v>#N/A</v>
      </c>
      <c r="O102" s="234" t="e">
        <f>IF(ISNUMBER(G102),G102/Population!S64*10000,NA())</f>
        <v>#N/A</v>
      </c>
      <c r="P102" s="240" t="e">
        <f>IF(ISNUMBER(H102),H102/Population!T64*10000,NA())</f>
        <v>#N/A</v>
      </c>
      <c r="Q102" s="441"/>
      <c r="R102" s="236" t="str">
        <f t="shared" si="32"/>
        <v>--</v>
      </c>
      <c r="S102" s="50"/>
      <c r="T102" s="441">
        <f>IDACI!C29</f>
        <v>17.084413405029373</v>
      </c>
      <c r="U102" s="89"/>
      <c r="V102" s="103"/>
      <c r="W102" s="115"/>
      <c r="X102" s="622" t="str">
        <f t="shared" si="33"/>
        <v>England</v>
      </c>
      <c r="Y102" s="624"/>
      <c r="Z102" s="625"/>
      <c r="AA102" s="628" t="str">
        <f>IF(ISNUMBER(D102),Population!D31,"")</f>
        <v/>
      </c>
      <c r="AB102" s="155" t="str">
        <f>IF(ISNUMBER(E102),Population!E31,"")</f>
        <v/>
      </c>
      <c r="AC102" s="155" t="str">
        <f>IF(ISNUMBER(F102),Population!F31,"")</f>
        <v/>
      </c>
      <c r="AD102" s="155" t="str">
        <f>IF(ISNUMBER(G102),Population!G31,"")</f>
        <v/>
      </c>
      <c r="AE102" s="629" t="str">
        <f>IF(ISNUMBER(H102),Population!H31,"")</f>
        <v/>
      </c>
      <c r="AH102" s="141"/>
      <c r="AJ102" s="121"/>
      <c r="AK102" s="480" t="str">
        <f t="shared" si="34"/>
        <v>x</v>
      </c>
      <c r="AL102" s="480" t="str">
        <f t="shared" si="34"/>
        <v>x</v>
      </c>
      <c r="AM102" s="480" t="str">
        <f t="shared" si="34"/>
        <v>x</v>
      </c>
      <c r="AN102" s="480" t="str">
        <f t="shared" si="34"/>
        <v>x</v>
      </c>
      <c r="AO102" s="480" t="e">
        <f t="shared" si="35"/>
        <v>#DIV/0!</v>
      </c>
      <c r="AQ102" s="52"/>
      <c r="AR102" s="52"/>
      <c r="AS102" s="52"/>
      <c r="AT102" s="52"/>
      <c r="AU102" s="52"/>
      <c r="AV102" s="52"/>
      <c r="AW102" s="52"/>
    </row>
    <row r="103" spans="1:68" s="56" customFormat="1" ht="13.5" customHeight="1">
      <c r="A103" s="87"/>
      <c r="B103" s="90" t="s">
        <v>86</v>
      </c>
      <c r="C103" s="44"/>
      <c r="D103" s="44"/>
      <c r="E103" s="44"/>
      <c r="F103" s="44"/>
      <c r="G103" s="44"/>
      <c r="H103" s="44"/>
      <c r="I103" s="44"/>
      <c r="J103" s="44"/>
      <c r="K103" s="44"/>
      <c r="L103" s="44"/>
      <c r="M103" s="44"/>
      <c r="N103" s="44"/>
      <c r="O103" s="44"/>
      <c r="P103" s="44"/>
      <c r="Q103" s="44"/>
      <c r="R103" s="101" t="s">
        <v>100</v>
      </c>
      <c r="T103" s="44"/>
      <c r="U103" s="86"/>
      <c r="V103" s="102"/>
      <c r="W103" s="114"/>
      <c r="X103" s="55"/>
      <c r="Y103" s="52"/>
      <c r="Z103" s="52"/>
      <c r="AA103" s="52"/>
      <c r="AB103" s="52"/>
      <c r="AC103" s="52"/>
      <c r="AD103" s="52"/>
      <c r="AE103" s="52"/>
      <c r="AF103" s="52"/>
      <c r="AG103" s="52"/>
      <c r="AI103" s="52"/>
      <c r="AJ103" s="122"/>
    </row>
    <row r="104" spans="1:68" s="56" customFormat="1" ht="53.25" customHeight="1">
      <c r="A104" s="87"/>
      <c r="B104" s="1986"/>
      <c r="C104" s="1987"/>
      <c r="D104" s="1987"/>
      <c r="E104" s="1987"/>
      <c r="F104" s="1987"/>
      <c r="G104" s="1987"/>
      <c r="H104" s="1987"/>
      <c r="I104" s="1987"/>
      <c r="J104" s="1987"/>
      <c r="K104" s="1987"/>
      <c r="L104" s="1987"/>
      <c r="M104" s="1987"/>
      <c r="N104" s="1987"/>
      <c r="O104" s="1987"/>
      <c r="P104" s="1987"/>
      <c r="Q104" s="1987"/>
      <c r="R104" s="1987"/>
      <c r="S104" s="1987"/>
      <c r="T104" s="1987"/>
      <c r="U104" s="86"/>
      <c r="V104" s="102"/>
      <c r="W104" s="114"/>
      <c r="X104" s="55"/>
      <c r="Y104" s="52"/>
      <c r="Z104" s="52"/>
      <c r="AA104" s="52"/>
      <c r="AB104" s="52"/>
      <c r="AC104" s="52"/>
      <c r="AD104" s="52"/>
      <c r="AE104" s="52"/>
      <c r="AF104" s="52"/>
      <c r="AG104" s="52"/>
      <c r="AI104" s="52"/>
      <c r="AJ104" s="119"/>
      <c r="AK104" s="52"/>
      <c r="AL104" s="52"/>
      <c r="AM104" s="52"/>
      <c r="AN104" s="52"/>
      <c r="AO104" s="52"/>
      <c r="AP104" s="52"/>
      <c r="AQ104" s="52"/>
    </row>
    <row r="105" spans="1:68" s="56" customFormat="1" ht="7.5" customHeight="1">
      <c r="A105" s="87"/>
      <c r="B105" s="12"/>
      <c r="C105" s="12"/>
      <c r="D105" s="11"/>
      <c r="E105" s="11"/>
      <c r="F105" s="11"/>
      <c r="G105" s="11"/>
      <c r="H105" s="11"/>
      <c r="I105" s="11"/>
      <c r="J105" s="11"/>
      <c r="K105" s="1"/>
      <c r="L105" s="13"/>
      <c r="M105" s="13"/>
      <c r="N105" s="13"/>
      <c r="O105" s="13"/>
      <c r="P105" s="13"/>
      <c r="Q105" s="13"/>
      <c r="R105" s="13"/>
      <c r="S105" s="13"/>
      <c r="T105" s="13"/>
      <c r="U105" s="86"/>
      <c r="V105" s="102"/>
      <c r="W105" s="114"/>
      <c r="Y105" s="141"/>
      <c r="AI105" s="52"/>
      <c r="AJ105" s="119"/>
      <c r="AK105" s="52"/>
      <c r="AL105" s="52"/>
      <c r="AM105" s="52"/>
      <c r="AN105" s="52"/>
      <c r="AO105" s="52"/>
      <c r="AP105" s="52"/>
      <c r="AQ105" s="52"/>
    </row>
    <row r="106" spans="1:68" s="56" customFormat="1" ht="15" customHeight="1">
      <c r="A106" s="1565"/>
      <c r="B106" s="1751"/>
      <c r="C106" s="1751"/>
      <c r="D106" s="1751"/>
      <c r="E106" s="1751"/>
      <c r="F106" s="1751"/>
      <c r="G106" s="1751"/>
      <c r="H106" s="1751"/>
      <c r="I106" s="1751"/>
      <c r="J106" s="1751"/>
      <c r="K106" s="1751"/>
      <c r="L106" s="1751"/>
      <c r="M106" s="1751"/>
      <c r="N106" s="1751"/>
      <c r="O106" s="1751"/>
      <c r="P106" s="1751"/>
      <c r="Q106" s="1751"/>
      <c r="R106" s="1751"/>
      <c r="S106" s="1751"/>
      <c r="T106" s="1751"/>
      <c r="U106" s="1752"/>
      <c r="V106" s="102"/>
      <c r="W106" s="114"/>
      <c r="Y106" s="141"/>
      <c r="AJ106" s="122"/>
      <c r="AL106" s="56">
        <f>COLUMNS($B$4:L$4)</f>
        <v>11</v>
      </c>
      <c r="AM106" s="56">
        <f>COLUMNS($B$4:M$4)</f>
        <v>12</v>
      </c>
      <c r="AN106" s="56">
        <f>COLUMNS($B$4:N$4)</f>
        <v>13</v>
      </c>
      <c r="AO106" s="56">
        <f>COLUMNS($B$4:O$4)</f>
        <v>14</v>
      </c>
      <c r="AP106" s="56">
        <f>COLUMNS($B$4:P$4)</f>
        <v>15</v>
      </c>
      <c r="AQ106" s="56">
        <f>COLUMNS($B$4:T$4)</f>
        <v>19</v>
      </c>
    </row>
    <row r="107" spans="1:68" s="56" customFormat="1" ht="11.25" customHeight="1">
      <c r="A107" s="1739" t="e">
        <f>Home!#REF!</f>
        <v>#REF!</v>
      </c>
      <c r="B107" s="1740"/>
      <c r="C107" s="1740"/>
      <c r="D107" s="1740"/>
      <c r="E107" s="1740"/>
      <c r="F107" s="1740"/>
      <c r="G107" s="1740"/>
      <c r="H107" s="1740"/>
      <c r="I107" s="1741"/>
      <c r="J107" s="1742"/>
      <c r="K107" s="1740"/>
      <c r="L107" s="1740"/>
      <c r="M107" s="1740"/>
      <c r="N107" s="1740"/>
      <c r="O107" s="1740"/>
      <c r="P107" s="1740"/>
      <c r="Q107" s="1742"/>
      <c r="R107" s="1740"/>
      <c r="S107" s="1740"/>
      <c r="T107" s="1740"/>
      <c r="U107" s="1743"/>
      <c r="V107" s="102"/>
      <c r="W107" s="114"/>
      <c r="Y107" s="141"/>
      <c r="AI107" s="52"/>
      <c r="AJ107" s="121"/>
      <c r="AK107" s="61"/>
      <c r="AL107" s="1897" t="s">
        <v>85</v>
      </c>
      <c r="AM107" s="1898"/>
      <c r="AN107" s="1898"/>
      <c r="AO107" s="1898"/>
      <c r="AP107" s="1899"/>
      <c r="AQ107" s="2012" t="s">
        <v>862</v>
      </c>
    </row>
    <row r="108" spans="1:68" s="56" customFormat="1" ht="11.25" customHeight="1">
      <c r="A108" s="81"/>
      <c r="B108" s="82"/>
      <c r="C108" s="82"/>
      <c r="D108" s="82"/>
      <c r="E108" s="82"/>
      <c r="F108" s="82"/>
      <c r="G108" s="82"/>
      <c r="H108" s="82"/>
      <c r="I108" s="82"/>
      <c r="J108" s="82"/>
      <c r="K108" s="83"/>
      <c r="L108" s="82"/>
      <c r="M108" s="82"/>
      <c r="N108" s="82"/>
      <c r="O108" s="82"/>
      <c r="P108" s="82"/>
      <c r="Q108" s="82"/>
      <c r="R108" s="82"/>
      <c r="S108" s="82"/>
      <c r="T108" s="82"/>
      <c r="U108" s="84"/>
      <c r="V108" s="102"/>
      <c r="W108" s="113"/>
      <c r="X108" s="617"/>
      <c r="AA108" s="147"/>
      <c r="AB108" s="147"/>
      <c r="AI108" s="52"/>
      <c r="AJ108" s="121"/>
      <c r="AK108" s="61"/>
      <c r="AL108" s="444" t="str">
        <f>ReportData!$D$27</f>
        <v>2019/20</v>
      </c>
      <c r="AM108" s="444" t="str">
        <f>ReportData!$E$27</f>
        <v>2020/21</v>
      </c>
      <c r="AN108" s="444" t="str">
        <f>ReportData!$F$27</f>
        <v>2021/22</v>
      </c>
      <c r="AO108" s="444" t="str">
        <f>ReportData!$G$27</f>
        <v>2022/23</v>
      </c>
      <c r="AP108" s="444" t="str">
        <f>ReportData!$H$27</f>
        <v>2023/24</v>
      </c>
      <c r="AQ108" s="2013"/>
    </row>
    <row r="109" spans="1:68" s="56" customFormat="1" ht="3.75" customHeight="1">
      <c r="A109" s="85"/>
      <c r="B109" s="5"/>
      <c r="C109" s="5"/>
      <c r="D109" s="5"/>
      <c r="E109" s="5"/>
      <c r="F109" s="5"/>
      <c r="G109" s="5"/>
      <c r="H109" s="5"/>
      <c r="I109" s="5"/>
      <c r="J109" s="5"/>
      <c r="K109" s="1"/>
      <c r="L109" s="5"/>
      <c r="M109" s="5"/>
      <c r="N109" s="5"/>
      <c r="O109" s="5"/>
      <c r="P109" s="5"/>
      <c r="Q109" s="5"/>
      <c r="R109" s="5"/>
      <c r="S109" s="5"/>
      <c r="T109" s="5"/>
      <c r="U109" s="86"/>
      <c r="V109" s="102"/>
      <c r="W109" s="218"/>
      <c r="AC109" s="748" t="s">
        <v>762</v>
      </c>
      <c r="AJ109" s="121"/>
      <c r="AK109" s="61"/>
      <c r="AL109" s="444" t="e">
        <f>ReportData!$D$28</f>
        <v>#N/A</v>
      </c>
      <c r="AM109" s="444" t="e">
        <f>ReportData!$E$28</f>
        <v>#N/A</v>
      </c>
      <c r="AN109" s="444" t="e">
        <f>ReportData!$F$28</f>
        <v>#N/A</v>
      </c>
      <c r="AO109" s="444" t="e">
        <f>ReportData!$G$28</f>
        <v>#N/A</v>
      </c>
      <c r="AP109" s="444" t="e">
        <f>ReportData!$H$28</f>
        <v>#N/A</v>
      </c>
      <c r="AQ109" s="2014"/>
    </row>
    <row r="110" spans="1:68" s="56" customFormat="1" ht="14.25" customHeight="1">
      <c r="A110" s="87"/>
      <c r="B110" s="5"/>
      <c r="C110" s="5"/>
      <c r="D110" s="5"/>
      <c r="E110" s="5"/>
      <c r="F110" s="5"/>
      <c r="G110" s="5"/>
      <c r="H110" s="5"/>
      <c r="I110" s="5"/>
      <c r="J110" s="5"/>
      <c r="K110" s="1"/>
      <c r="L110" s="5"/>
      <c r="M110" s="5"/>
      <c r="N110" s="5"/>
      <c r="O110" s="5"/>
      <c r="P110" s="5"/>
      <c r="Q110" s="5"/>
      <c r="R110" s="5"/>
      <c r="S110" s="5"/>
      <c r="T110" s="5"/>
      <c r="U110" s="86"/>
      <c r="V110" s="102"/>
      <c r="W110" s="218"/>
      <c r="X110" s="26" t="s">
        <v>69</v>
      </c>
      <c r="Y110" s="26" t="s">
        <v>67</v>
      </c>
      <c r="Z110" s="26" t="s">
        <v>68</v>
      </c>
      <c r="AA110" s="693">
        <v>3</v>
      </c>
      <c r="AB110" s="165" t="e">
        <f>(AA110*Y111)+Z111</f>
        <v>#REF!</v>
      </c>
      <c r="AC110" s="156" t="e">
        <f>ROUND(ChartLabels!#REF!,3)</f>
        <v>#REF!</v>
      </c>
      <c r="AJ110" s="121"/>
      <c r="AK110" s="61" t="str">
        <f t="shared" ref="AK110:AK132" si="36">IF(AI40=TRUE,B80,"")</f>
        <v>Bracknell Forest</v>
      </c>
      <c r="AL110" s="110" t="e">
        <f t="shared" ref="AL110:AP119" si="37">VLOOKUP($AK110,$B$80:$P$102,AL$106,FALSE)</f>
        <v>#N/A</v>
      </c>
      <c r="AM110" s="110" t="e">
        <f t="shared" si="37"/>
        <v>#N/A</v>
      </c>
      <c r="AN110" s="110" t="e">
        <f t="shared" si="37"/>
        <v>#N/A</v>
      </c>
      <c r="AO110" s="110" t="e">
        <f t="shared" si="37"/>
        <v>#N/A</v>
      </c>
      <c r="AP110" s="110" t="e">
        <f t="shared" si="37"/>
        <v>#N/A</v>
      </c>
      <c r="AQ110" s="111">
        <f t="shared" ref="AQ110:AQ132" si="38">VLOOKUP(AK110,$B$10:$T$32,$AQ$106,FALSE)</f>
        <v>8.9</v>
      </c>
    </row>
    <row r="111" spans="1:68" s="56" customFormat="1" ht="14.25" customHeight="1">
      <c r="A111" s="87"/>
      <c r="B111" s="5"/>
      <c r="C111" s="5"/>
      <c r="D111" s="5"/>
      <c r="E111" s="5"/>
      <c r="F111" s="5"/>
      <c r="G111" s="5"/>
      <c r="H111" s="5"/>
      <c r="I111" s="5"/>
      <c r="J111" s="5"/>
      <c r="K111" s="1"/>
      <c r="L111" s="5"/>
      <c r="M111" s="5"/>
      <c r="N111" s="5"/>
      <c r="O111" s="5"/>
      <c r="P111" s="5"/>
      <c r="Q111" s="5"/>
      <c r="R111" s="5"/>
      <c r="S111" s="5"/>
      <c r="T111" s="5"/>
      <c r="U111" s="86"/>
      <c r="V111" s="102"/>
      <c r="W111" s="218"/>
      <c r="X111" s="161" t="e">
        <f>"Y= "&amp;Y111&amp;"x + "&amp;Z111</f>
        <v>#REF!</v>
      </c>
      <c r="Y111" s="433" t="e">
        <f>ChartLabels!#REF!</f>
        <v>#REF!</v>
      </c>
      <c r="Z111" s="433" t="e">
        <f>ChartLabels!#REF!</f>
        <v>#REF!</v>
      </c>
      <c r="AA111" s="164">
        <v>22</v>
      </c>
      <c r="AB111" s="165" t="e">
        <f>(AA111*Y111)+Z111</f>
        <v>#REF!</v>
      </c>
      <c r="AC111" s="747" t="e">
        <f>AC109&amp;" = "&amp;AC110</f>
        <v>#REF!</v>
      </c>
      <c r="AJ111" s="121"/>
      <c r="AK111" s="61" t="str">
        <f t="shared" si="36"/>
        <v>Brighton &amp; Hove</v>
      </c>
      <c r="AL111" s="110" t="e">
        <f t="shared" si="37"/>
        <v>#N/A</v>
      </c>
      <c r="AM111" s="110" t="e">
        <f t="shared" si="37"/>
        <v>#N/A</v>
      </c>
      <c r="AN111" s="110" t="e">
        <f t="shared" si="37"/>
        <v>#N/A</v>
      </c>
      <c r="AO111" s="110" t="e">
        <f t="shared" si="37"/>
        <v>#N/A</v>
      </c>
      <c r="AP111" s="110" t="e">
        <f t="shared" si="37"/>
        <v>#N/A</v>
      </c>
      <c r="AQ111" s="111">
        <f t="shared" si="38"/>
        <v>15.299999999999999</v>
      </c>
      <c r="AR111" s="237"/>
      <c r="AS111" s="237"/>
      <c r="AT111" s="237"/>
      <c r="AU111" s="237"/>
      <c r="AV111" s="237"/>
      <c r="AW111" s="237"/>
      <c r="AX111" s="237"/>
      <c r="AY111" s="237"/>
      <c r="AZ111" s="237"/>
      <c r="BA111" s="237"/>
      <c r="BB111" s="237"/>
      <c r="BC111" s="237"/>
      <c r="BD111" s="237"/>
      <c r="BE111" s="237"/>
      <c r="BF111" s="237"/>
      <c r="BG111" s="237"/>
      <c r="BH111" s="237"/>
      <c r="BI111" s="237"/>
      <c r="BJ111" s="237"/>
      <c r="BK111" s="237"/>
      <c r="BL111" s="237"/>
      <c r="BM111" s="237"/>
      <c r="BN111" s="237"/>
      <c r="BO111" s="237"/>
      <c r="BP111" s="237"/>
    </row>
    <row r="112" spans="1:68" ht="14.25" customHeight="1">
      <c r="A112" s="87"/>
      <c r="B112" s="5"/>
      <c r="C112" s="5"/>
      <c r="D112" s="5"/>
      <c r="E112" s="5"/>
      <c r="F112" s="5"/>
      <c r="G112" s="5"/>
      <c r="H112" s="5"/>
      <c r="I112" s="5"/>
      <c r="J112" s="5"/>
      <c r="K112" s="1"/>
      <c r="L112" s="5"/>
      <c r="M112" s="5"/>
      <c r="N112" s="5"/>
      <c r="O112" s="5"/>
      <c r="P112" s="5"/>
      <c r="Q112" s="5"/>
      <c r="R112" s="5"/>
      <c r="S112" s="5"/>
      <c r="T112" s="5"/>
      <c r="U112" s="86"/>
      <c r="V112" s="102"/>
      <c r="W112" s="218"/>
      <c r="X112" s="750"/>
      <c r="Y112" s="751"/>
      <c r="Z112" s="752"/>
      <c r="AA112" s="753"/>
      <c r="AB112" s="754"/>
      <c r="AC112" s="755"/>
      <c r="AI112" s="56"/>
      <c r="AJ112" s="121"/>
      <c r="AK112" s="61" t="str">
        <f t="shared" si="36"/>
        <v>Buckinghamshire</v>
      </c>
      <c r="AL112" s="110" t="e">
        <f t="shared" si="37"/>
        <v>#N/A</v>
      </c>
      <c r="AM112" s="110" t="e">
        <f t="shared" si="37"/>
        <v>#N/A</v>
      </c>
      <c r="AN112" s="110" t="e">
        <f t="shared" si="37"/>
        <v>#N/A</v>
      </c>
      <c r="AO112" s="110" t="e">
        <f t="shared" si="37"/>
        <v>#N/A</v>
      </c>
      <c r="AP112" s="110" t="e">
        <f t="shared" si="37"/>
        <v>#N/A</v>
      </c>
      <c r="AQ112" s="111">
        <f t="shared" si="38"/>
        <v>8.5</v>
      </c>
      <c r="AR112" s="237"/>
      <c r="AS112" s="237"/>
      <c r="AT112" s="237"/>
      <c r="AU112" s="237"/>
      <c r="AV112" s="237"/>
      <c r="AW112" s="237"/>
      <c r="AX112" s="237"/>
      <c r="AY112" s="237"/>
      <c r="AZ112" s="237"/>
      <c r="BA112" s="237"/>
      <c r="BB112" s="237"/>
      <c r="BC112" s="237"/>
      <c r="BD112" s="237"/>
      <c r="BE112" s="237"/>
      <c r="BF112" s="237"/>
      <c r="BG112" s="237"/>
      <c r="BH112" s="237"/>
      <c r="BI112" s="237"/>
      <c r="BJ112" s="237"/>
      <c r="BK112" s="237"/>
      <c r="BL112" s="237"/>
      <c r="BM112" s="237"/>
      <c r="BN112" s="237"/>
      <c r="BO112" s="237"/>
      <c r="BP112" s="237"/>
    </row>
    <row r="113" spans="1:68" ht="14.25" customHeight="1">
      <c r="A113" s="87"/>
      <c r="B113" s="5"/>
      <c r="C113" s="5"/>
      <c r="D113" s="5"/>
      <c r="E113" s="5"/>
      <c r="F113" s="5"/>
      <c r="G113" s="5"/>
      <c r="H113" s="5"/>
      <c r="I113" s="5"/>
      <c r="J113" s="5"/>
      <c r="K113" s="1"/>
      <c r="L113" s="10"/>
      <c r="M113" s="10"/>
      <c r="N113" s="10"/>
      <c r="O113" s="10"/>
      <c r="P113" s="5"/>
      <c r="Q113" s="5"/>
      <c r="R113" s="5"/>
      <c r="S113" s="5"/>
      <c r="T113" s="5"/>
      <c r="U113" s="86"/>
      <c r="V113" s="102"/>
      <c r="W113" s="218"/>
      <c r="X113" s="467"/>
      <c r="Y113" s="756"/>
      <c r="Z113" s="757"/>
      <c r="AA113" s="468"/>
      <c r="AB113" s="469"/>
      <c r="AC113" s="755"/>
      <c r="AI113" s="56"/>
      <c r="AJ113" s="121"/>
      <c r="AK113" s="61" t="str">
        <f t="shared" si="36"/>
        <v>East Sussex</v>
      </c>
      <c r="AL113" s="110" t="e">
        <f t="shared" si="37"/>
        <v>#N/A</v>
      </c>
      <c r="AM113" s="110" t="e">
        <f t="shared" si="37"/>
        <v>#N/A</v>
      </c>
      <c r="AN113" s="110" t="e">
        <f t="shared" si="37"/>
        <v>#N/A</v>
      </c>
      <c r="AO113" s="110" t="e">
        <f t="shared" si="37"/>
        <v>#N/A</v>
      </c>
      <c r="AP113" s="110" t="e">
        <f t="shared" si="37"/>
        <v>#N/A</v>
      </c>
      <c r="AQ113" s="111">
        <f t="shared" si="38"/>
        <v>16.100000000000001</v>
      </c>
      <c r="AR113" s="237"/>
      <c r="AS113" s="237"/>
      <c r="AT113" s="237"/>
      <c r="AU113" s="237"/>
      <c r="AV113" s="237"/>
      <c r="AW113" s="237"/>
      <c r="AX113" s="237"/>
      <c r="AY113" s="237"/>
      <c r="AZ113" s="237"/>
      <c r="BA113" s="237"/>
      <c r="BB113" s="237"/>
      <c r="BC113" s="237"/>
      <c r="BD113" s="237"/>
      <c r="BE113" s="237"/>
      <c r="BF113" s="237"/>
      <c r="BG113" s="237"/>
      <c r="BH113" s="237"/>
      <c r="BI113" s="237"/>
      <c r="BJ113" s="237"/>
      <c r="BK113" s="237"/>
      <c r="BL113" s="237"/>
      <c r="BM113" s="237"/>
      <c r="BN113" s="237"/>
      <c r="BO113" s="237"/>
      <c r="BP113" s="237"/>
    </row>
    <row r="114" spans="1:68" ht="14.25" customHeight="1">
      <c r="A114" s="87"/>
      <c r="B114" s="76"/>
      <c r="C114" s="76"/>
      <c r="D114" s="77"/>
      <c r="E114" s="77"/>
      <c r="F114" s="77"/>
      <c r="G114" s="77"/>
      <c r="H114" s="77"/>
      <c r="I114" s="77"/>
      <c r="J114" s="77"/>
      <c r="K114" s="1"/>
      <c r="L114" s="5"/>
      <c r="M114" s="5"/>
      <c r="N114" s="5"/>
      <c r="O114" s="5"/>
      <c r="P114" s="5"/>
      <c r="Q114" s="5"/>
      <c r="R114" s="5"/>
      <c r="S114" s="5"/>
      <c r="T114" s="5"/>
      <c r="U114" s="86"/>
      <c r="V114" s="102"/>
      <c r="W114" s="218"/>
      <c r="X114" s="393"/>
      <c r="Y114" s="52"/>
      <c r="Z114" s="52"/>
      <c r="AA114" s="52"/>
      <c r="AB114" s="52"/>
      <c r="AI114" s="56"/>
      <c r="AJ114" s="121"/>
      <c r="AK114" s="61" t="str">
        <f t="shared" si="36"/>
        <v>Hampshire</v>
      </c>
      <c r="AL114" s="110" t="e">
        <f t="shared" si="37"/>
        <v>#N/A</v>
      </c>
      <c r="AM114" s="110" t="e">
        <f t="shared" si="37"/>
        <v>#N/A</v>
      </c>
      <c r="AN114" s="110" t="e">
        <f t="shared" si="37"/>
        <v>#N/A</v>
      </c>
      <c r="AO114" s="110" t="e">
        <f t="shared" si="37"/>
        <v>#N/A</v>
      </c>
      <c r="AP114" s="110" t="e">
        <f t="shared" si="37"/>
        <v>#N/A</v>
      </c>
      <c r="AQ114" s="111">
        <f t="shared" si="38"/>
        <v>10.100000000000001</v>
      </c>
      <c r="AR114" s="237"/>
      <c r="AS114" s="237"/>
      <c r="AT114" s="237"/>
      <c r="AU114" s="237"/>
      <c r="AV114" s="237"/>
      <c r="AW114" s="237"/>
      <c r="AX114" s="237"/>
      <c r="AY114" s="237"/>
      <c r="AZ114" s="237"/>
      <c r="BA114" s="237"/>
      <c r="BB114" s="237"/>
      <c r="BC114" s="237"/>
      <c r="BD114" s="237"/>
      <c r="BE114" s="237"/>
      <c r="BF114" s="237"/>
      <c r="BG114" s="237"/>
      <c r="BH114" s="237"/>
      <c r="BI114" s="237"/>
      <c r="BJ114" s="237"/>
      <c r="BK114" s="237"/>
      <c r="BL114" s="237"/>
      <c r="BM114" s="237"/>
      <c r="BN114" s="237"/>
      <c r="BO114" s="237"/>
      <c r="BP114" s="237"/>
    </row>
    <row r="115" spans="1:68" ht="14.25" customHeight="1">
      <c r="A115" s="87"/>
      <c r="B115" s="77"/>
      <c r="C115" s="77"/>
      <c r="D115" s="77"/>
      <c r="E115" s="77"/>
      <c r="F115" s="77"/>
      <c r="G115" s="77"/>
      <c r="H115" s="77"/>
      <c r="I115" s="77"/>
      <c r="J115" s="77"/>
      <c r="K115" s="1"/>
      <c r="L115" s="5"/>
      <c r="M115" s="5"/>
      <c r="N115" s="5"/>
      <c r="O115" s="5"/>
      <c r="P115" s="5"/>
      <c r="Q115" s="5"/>
      <c r="R115" s="5"/>
      <c r="S115" s="5"/>
      <c r="T115" s="5"/>
      <c r="U115" s="86"/>
      <c r="V115" s="102"/>
      <c r="W115" s="218"/>
      <c r="X115" s="393"/>
      <c r="AB115" s="52"/>
      <c r="AI115" s="56"/>
      <c r="AJ115" s="121"/>
      <c r="AK115" s="61" t="str">
        <f t="shared" si="36"/>
        <v>Isle of Wight</v>
      </c>
      <c r="AL115" s="110" t="e">
        <f t="shared" si="37"/>
        <v>#N/A</v>
      </c>
      <c r="AM115" s="110" t="e">
        <f t="shared" si="37"/>
        <v>#N/A</v>
      </c>
      <c r="AN115" s="110" t="e">
        <f t="shared" si="37"/>
        <v>#N/A</v>
      </c>
      <c r="AO115" s="110" t="e">
        <f t="shared" si="37"/>
        <v>#N/A</v>
      </c>
      <c r="AP115" s="110" t="e">
        <f t="shared" si="37"/>
        <v>#N/A</v>
      </c>
      <c r="AQ115" s="111">
        <f t="shared" si="38"/>
        <v>18</v>
      </c>
      <c r="AR115" s="237"/>
      <c r="AS115" s="237"/>
      <c r="AT115" s="237"/>
      <c r="AU115" s="237"/>
      <c r="AV115" s="237"/>
      <c r="AW115" s="237"/>
      <c r="AX115" s="237"/>
      <c r="AY115" s="237"/>
      <c r="AZ115" s="237"/>
      <c r="BA115" s="237"/>
      <c r="BB115" s="237"/>
      <c r="BC115" s="237"/>
      <c r="BD115" s="237"/>
      <c r="BE115" s="237"/>
      <c r="BF115" s="237"/>
      <c r="BG115" s="237"/>
      <c r="BH115" s="237"/>
      <c r="BI115" s="237"/>
      <c r="BJ115" s="237"/>
      <c r="BK115" s="237"/>
      <c r="BL115" s="237"/>
      <c r="BM115" s="237"/>
      <c r="BN115" s="237"/>
      <c r="BO115" s="237"/>
      <c r="BP115" s="237"/>
    </row>
    <row r="116" spans="1:68" ht="14.25" customHeight="1">
      <c r="A116" s="87"/>
      <c r="B116" s="77"/>
      <c r="C116" s="77"/>
      <c r="D116" s="77"/>
      <c r="E116" s="77"/>
      <c r="F116" s="77"/>
      <c r="G116" s="77"/>
      <c r="H116" s="77"/>
      <c r="I116" s="77"/>
      <c r="J116" s="77"/>
      <c r="K116" s="1"/>
      <c r="L116" s="5"/>
      <c r="M116" s="5"/>
      <c r="N116" s="5"/>
      <c r="O116" s="5"/>
      <c r="P116" s="5"/>
      <c r="Q116" s="5"/>
      <c r="R116" s="5"/>
      <c r="S116" s="5"/>
      <c r="T116" s="5"/>
      <c r="U116" s="86"/>
      <c r="V116" s="102"/>
      <c r="W116" s="218"/>
      <c r="X116" s="393"/>
      <c r="AB116" s="52"/>
      <c r="AC116" s="157"/>
      <c r="AI116" s="56"/>
      <c r="AJ116" s="121"/>
      <c r="AK116" s="61" t="str">
        <f t="shared" si="36"/>
        <v>Kent</v>
      </c>
      <c r="AL116" s="110" t="e">
        <f t="shared" si="37"/>
        <v>#N/A</v>
      </c>
      <c r="AM116" s="110" t="e">
        <f t="shared" si="37"/>
        <v>#N/A</v>
      </c>
      <c r="AN116" s="110" t="e">
        <f t="shared" si="37"/>
        <v>#N/A</v>
      </c>
      <c r="AO116" s="110" t="e">
        <f t="shared" si="37"/>
        <v>#N/A</v>
      </c>
      <c r="AP116" s="110" t="e">
        <f t="shared" si="37"/>
        <v>#N/A</v>
      </c>
      <c r="AQ116" s="111">
        <f t="shared" si="38"/>
        <v>15.8</v>
      </c>
      <c r="AR116" s="237"/>
      <c r="AS116" s="237"/>
      <c r="AT116" s="237"/>
      <c r="AU116" s="237"/>
      <c r="AV116" s="237"/>
      <c r="AW116" s="237"/>
      <c r="AX116" s="237"/>
      <c r="AY116" s="237"/>
      <c r="AZ116" s="237"/>
      <c r="BA116" s="237"/>
      <c r="BB116" s="237"/>
      <c r="BC116" s="237"/>
      <c r="BD116" s="237"/>
      <c r="BE116" s="237"/>
      <c r="BF116" s="237"/>
      <c r="BG116" s="237"/>
      <c r="BH116" s="237"/>
      <c r="BI116" s="237"/>
      <c r="BJ116" s="237"/>
      <c r="BK116" s="237"/>
      <c r="BL116" s="237"/>
      <c r="BM116" s="237"/>
      <c r="BN116" s="237"/>
      <c r="BO116" s="237"/>
      <c r="BP116" s="237"/>
    </row>
    <row r="117" spans="1:68" ht="14.25" customHeight="1">
      <c r="A117" s="87"/>
      <c r="B117" s="40"/>
      <c r="C117" s="40"/>
      <c r="D117" s="40"/>
      <c r="E117" s="40"/>
      <c r="F117" s="40"/>
      <c r="G117" s="40"/>
      <c r="H117" s="40"/>
      <c r="I117" s="40"/>
      <c r="J117" s="40"/>
      <c r="K117" s="1"/>
      <c r="L117" s="5"/>
      <c r="M117" s="5"/>
      <c r="N117" s="5"/>
      <c r="O117" s="5"/>
      <c r="P117" s="5"/>
      <c r="Q117" s="5"/>
      <c r="R117" s="5"/>
      <c r="S117" s="5"/>
      <c r="T117" s="5"/>
      <c r="U117" s="86"/>
      <c r="V117" s="102"/>
      <c r="W117" s="218"/>
      <c r="X117" s="393"/>
      <c r="AB117" s="52"/>
      <c r="AC117" s="52"/>
      <c r="AI117" s="56"/>
      <c r="AJ117" s="121"/>
      <c r="AK117" s="61" t="str">
        <f t="shared" si="36"/>
        <v>Medway</v>
      </c>
      <c r="AL117" s="110" t="e">
        <f t="shared" si="37"/>
        <v>#N/A</v>
      </c>
      <c r="AM117" s="110" t="e">
        <f t="shared" si="37"/>
        <v>#N/A</v>
      </c>
      <c r="AN117" s="110" t="e">
        <f t="shared" si="37"/>
        <v>#N/A</v>
      </c>
      <c r="AO117" s="110" t="e">
        <f t="shared" si="37"/>
        <v>#N/A</v>
      </c>
      <c r="AP117" s="110" t="e">
        <f t="shared" si="37"/>
        <v>#N/A</v>
      </c>
      <c r="AQ117" s="111">
        <f t="shared" si="38"/>
        <v>18.899999999999999</v>
      </c>
      <c r="AR117" s="237"/>
      <c r="AS117" s="237"/>
      <c r="AT117" s="237"/>
      <c r="AU117" s="237"/>
      <c r="AV117" s="237"/>
      <c r="AW117" s="237"/>
      <c r="AX117" s="237"/>
      <c r="AY117" s="237"/>
      <c r="AZ117" s="237"/>
      <c r="BA117" s="237"/>
      <c r="BB117" s="237"/>
      <c r="BC117" s="237"/>
      <c r="BD117" s="237"/>
      <c r="BE117" s="237"/>
      <c r="BF117" s="237"/>
      <c r="BG117" s="237"/>
      <c r="BH117" s="237"/>
      <c r="BI117" s="237"/>
      <c r="BJ117" s="237"/>
      <c r="BK117" s="237"/>
      <c r="BL117" s="237"/>
      <c r="BM117" s="237"/>
      <c r="BN117" s="237"/>
      <c r="BO117" s="237"/>
      <c r="BP117" s="237"/>
    </row>
    <row r="118" spans="1:68" ht="14.25" customHeight="1">
      <c r="A118" s="87"/>
      <c r="B118" s="40"/>
      <c r="C118" s="40"/>
      <c r="D118" s="49"/>
      <c r="E118" s="50"/>
      <c r="F118" s="49"/>
      <c r="G118" s="50"/>
      <c r="H118" s="50"/>
      <c r="I118" s="50"/>
      <c r="J118" s="50"/>
      <c r="K118" s="1"/>
      <c r="L118" s="5"/>
      <c r="M118" s="5"/>
      <c r="N118" s="5"/>
      <c r="O118" s="5"/>
      <c r="P118" s="5"/>
      <c r="Q118" s="5"/>
      <c r="R118" s="5"/>
      <c r="S118" s="5"/>
      <c r="T118" s="5"/>
      <c r="U118" s="86"/>
      <c r="V118" s="102"/>
      <c r="W118" s="218"/>
      <c r="X118" s="393"/>
      <c r="AB118" s="52"/>
      <c r="AI118" s="56"/>
      <c r="AJ118" s="121"/>
      <c r="AK118" s="61" t="str">
        <f t="shared" si="36"/>
        <v>Milton Keynes</v>
      </c>
      <c r="AL118" s="110" t="e">
        <f t="shared" si="37"/>
        <v>#N/A</v>
      </c>
      <c r="AM118" s="110" t="e">
        <f t="shared" si="37"/>
        <v>#N/A</v>
      </c>
      <c r="AN118" s="110" t="e">
        <f t="shared" si="37"/>
        <v>#N/A</v>
      </c>
      <c r="AO118" s="110" t="e">
        <f t="shared" si="37"/>
        <v>#N/A</v>
      </c>
      <c r="AP118" s="110" t="e">
        <f t="shared" si="37"/>
        <v>#N/A</v>
      </c>
      <c r="AQ118" s="111">
        <f t="shared" si="38"/>
        <v>15</v>
      </c>
      <c r="AR118" s="237"/>
      <c r="AS118" s="237"/>
      <c r="AT118" s="237"/>
      <c r="AU118" s="237"/>
      <c r="AV118" s="237"/>
      <c r="AW118" s="237"/>
      <c r="AX118" s="237"/>
      <c r="AY118" s="237"/>
      <c r="AZ118" s="237"/>
      <c r="BA118" s="237"/>
      <c r="BB118" s="237"/>
      <c r="BC118" s="237"/>
      <c r="BD118" s="237"/>
      <c r="BE118" s="237"/>
      <c r="BF118" s="237"/>
      <c r="BG118" s="237"/>
      <c r="BH118" s="237"/>
      <c r="BI118" s="237"/>
      <c r="BJ118" s="237"/>
      <c r="BK118" s="237"/>
      <c r="BL118" s="237"/>
      <c r="BM118" s="237"/>
      <c r="BN118" s="237"/>
      <c r="BO118" s="237"/>
      <c r="BP118" s="237"/>
    </row>
    <row r="119" spans="1:68" ht="14.25" customHeight="1">
      <c r="A119" s="87"/>
      <c r="B119" s="40"/>
      <c r="C119" s="40"/>
      <c r="D119" s="43"/>
      <c r="E119" s="43"/>
      <c r="F119" s="43"/>
      <c r="G119" s="43"/>
      <c r="H119" s="43"/>
      <c r="I119" s="43"/>
      <c r="J119" s="43"/>
      <c r="K119" s="1"/>
      <c r="L119" s="5"/>
      <c r="M119" s="5"/>
      <c r="N119" s="5"/>
      <c r="O119" s="5"/>
      <c r="P119" s="5"/>
      <c r="Q119" s="5"/>
      <c r="R119" s="5"/>
      <c r="S119" s="5"/>
      <c r="T119" s="5"/>
      <c r="U119" s="86"/>
      <c r="V119" s="102"/>
      <c r="W119" s="218"/>
      <c r="X119" s="393"/>
      <c r="AB119" s="52"/>
      <c r="AI119" s="56"/>
      <c r="AJ119" s="121"/>
      <c r="AK119" s="61" t="str">
        <f t="shared" si="36"/>
        <v>Oxfordshire</v>
      </c>
      <c r="AL119" s="110" t="e">
        <f t="shared" si="37"/>
        <v>#N/A</v>
      </c>
      <c r="AM119" s="110" t="e">
        <f t="shared" si="37"/>
        <v>#N/A</v>
      </c>
      <c r="AN119" s="110" t="e">
        <f t="shared" si="37"/>
        <v>#N/A</v>
      </c>
      <c r="AO119" s="110" t="e">
        <f t="shared" si="37"/>
        <v>#N/A</v>
      </c>
      <c r="AP119" s="110" t="e">
        <f t="shared" si="37"/>
        <v>#N/A</v>
      </c>
      <c r="AQ119" s="111">
        <f t="shared" si="38"/>
        <v>10.100000000000001</v>
      </c>
      <c r="AR119" s="237"/>
      <c r="AS119" s="237"/>
      <c r="AT119" s="237"/>
      <c r="AU119" s="237"/>
      <c r="AV119" s="237"/>
      <c r="AW119" s="237"/>
      <c r="AX119" s="237"/>
      <c r="AY119" s="237"/>
      <c r="AZ119" s="237"/>
      <c r="BA119" s="237"/>
      <c r="BB119" s="237"/>
      <c r="BC119" s="237"/>
      <c r="BD119" s="237"/>
      <c r="BE119" s="237"/>
      <c r="BF119" s="237"/>
      <c r="BG119" s="237"/>
      <c r="BH119" s="237"/>
      <c r="BI119" s="237"/>
      <c r="BJ119" s="237"/>
      <c r="BK119" s="237"/>
      <c r="BL119" s="237"/>
      <c r="BM119" s="237"/>
      <c r="BN119" s="237"/>
      <c r="BO119" s="237"/>
      <c r="BP119" s="237"/>
    </row>
    <row r="120" spans="1:68" ht="14.25" customHeight="1">
      <c r="A120" s="87"/>
      <c r="B120" s="48"/>
      <c r="C120" s="48"/>
      <c r="D120" s="40"/>
      <c r="E120" s="40"/>
      <c r="F120" s="40"/>
      <c r="G120" s="40"/>
      <c r="H120" s="40"/>
      <c r="I120" s="40"/>
      <c r="J120" s="40"/>
      <c r="K120" s="1"/>
      <c r="L120" s="5"/>
      <c r="M120" s="5"/>
      <c r="N120" s="5"/>
      <c r="O120" s="5"/>
      <c r="P120" s="5"/>
      <c r="Q120" s="5"/>
      <c r="R120" s="5"/>
      <c r="S120" s="5"/>
      <c r="T120" s="5"/>
      <c r="U120" s="86"/>
      <c r="V120" s="102"/>
      <c r="W120" s="218"/>
      <c r="X120" s="393"/>
      <c r="AB120" s="52"/>
      <c r="AI120" s="56"/>
      <c r="AJ120" s="121"/>
      <c r="AK120" s="61" t="str">
        <f t="shared" si="36"/>
        <v>Portsmouth</v>
      </c>
      <c r="AL120" s="110" t="e">
        <f t="shared" ref="AL120:AP132" si="39">VLOOKUP($AK120,$B$80:$P$102,AL$106,FALSE)</f>
        <v>#N/A</v>
      </c>
      <c r="AM120" s="110" t="e">
        <f t="shared" si="39"/>
        <v>#N/A</v>
      </c>
      <c r="AN120" s="110" t="e">
        <f t="shared" si="39"/>
        <v>#N/A</v>
      </c>
      <c r="AO120" s="110" t="e">
        <f t="shared" si="39"/>
        <v>#N/A</v>
      </c>
      <c r="AP120" s="110" t="e">
        <f t="shared" si="39"/>
        <v>#N/A</v>
      </c>
      <c r="AQ120" s="111">
        <f t="shared" si="38"/>
        <v>20.200000000000003</v>
      </c>
      <c r="AR120" s="237"/>
      <c r="AS120" s="237"/>
      <c r="AT120" s="237"/>
      <c r="AU120" s="237"/>
      <c r="AV120" s="237"/>
      <c r="AW120" s="237"/>
      <c r="AX120" s="237"/>
      <c r="AY120" s="237"/>
      <c r="AZ120" s="237"/>
      <c r="BA120" s="237"/>
      <c r="BB120" s="237"/>
      <c r="BC120" s="237"/>
      <c r="BD120" s="237"/>
      <c r="BE120" s="237"/>
      <c r="BF120" s="237"/>
      <c r="BG120" s="237"/>
      <c r="BH120" s="237"/>
      <c r="BI120" s="237"/>
      <c r="BJ120" s="237"/>
      <c r="BK120" s="237"/>
      <c r="BL120" s="237"/>
      <c r="BM120" s="237"/>
      <c r="BN120" s="237"/>
      <c r="BO120" s="237"/>
      <c r="BP120" s="237"/>
    </row>
    <row r="121" spans="1:68" ht="14.25" customHeight="1">
      <c r="A121" s="87"/>
      <c r="B121" s="48"/>
      <c r="C121" s="48"/>
      <c r="D121" s="40"/>
      <c r="E121" s="40"/>
      <c r="F121" s="40"/>
      <c r="G121" s="40"/>
      <c r="H121" s="40"/>
      <c r="I121" s="40"/>
      <c r="J121" s="40"/>
      <c r="K121" s="1"/>
      <c r="L121" s="5"/>
      <c r="M121" s="5"/>
      <c r="N121" s="5"/>
      <c r="O121" s="5"/>
      <c r="P121" s="5"/>
      <c r="Q121" s="5"/>
      <c r="R121" s="5"/>
      <c r="S121" s="5"/>
      <c r="T121" s="5"/>
      <c r="U121" s="86"/>
      <c r="V121" s="102"/>
      <c r="W121" s="218"/>
      <c r="X121" s="393"/>
      <c r="AB121" s="52"/>
      <c r="AI121" s="56"/>
      <c r="AJ121" s="121"/>
      <c r="AK121" s="61" t="str">
        <f t="shared" si="36"/>
        <v>Reading</v>
      </c>
      <c r="AL121" s="110" t="e">
        <f t="shared" si="39"/>
        <v>#N/A</v>
      </c>
      <c r="AM121" s="110" t="e">
        <f t="shared" si="39"/>
        <v>#N/A</v>
      </c>
      <c r="AN121" s="110" t="e">
        <f t="shared" si="39"/>
        <v>#N/A</v>
      </c>
      <c r="AO121" s="110" t="e">
        <f t="shared" si="39"/>
        <v>#N/A</v>
      </c>
      <c r="AP121" s="110" t="e">
        <f t="shared" si="39"/>
        <v>#N/A</v>
      </c>
      <c r="AQ121" s="111">
        <f t="shared" si="38"/>
        <v>16</v>
      </c>
      <c r="AR121" s="237"/>
      <c r="AS121" s="237"/>
      <c r="AT121" s="237"/>
      <c r="AU121" s="237"/>
      <c r="AV121" s="237"/>
      <c r="AW121" s="237"/>
      <c r="AX121" s="237"/>
      <c r="AY121" s="237"/>
      <c r="AZ121" s="237"/>
      <c r="BA121" s="237"/>
      <c r="BB121" s="237"/>
      <c r="BC121" s="237"/>
      <c r="BD121" s="237"/>
      <c r="BE121" s="237"/>
      <c r="BF121" s="237"/>
      <c r="BG121" s="237"/>
      <c r="BH121" s="237"/>
      <c r="BI121" s="237"/>
      <c r="BJ121" s="237"/>
      <c r="BK121" s="237"/>
      <c r="BL121" s="237"/>
      <c r="BM121" s="237"/>
      <c r="BN121" s="237"/>
      <c r="BO121" s="237"/>
      <c r="BP121" s="237"/>
    </row>
    <row r="122" spans="1:68" ht="14.25" customHeight="1">
      <c r="A122" s="87"/>
      <c r="B122" s="48"/>
      <c r="C122" s="48"/>
      <c r="D122" s="40"/>
      <c r="E122" s="40"/>
      <c r="F122" s="40"/>
      <c r="G122" s="40"/>
      <c r="H122" s="40"/>
      <c r="I122" s="40"/>
      <c r="J122" s="40"/>
      <c r="K122" s="1"/>
      <c r="L122" s="5"/>
      <c r="M122" s="5"/>
      <c r="N122" s="5"/>
      <c r="O122" s="5"/>
      <c r="P122" s="5"/>
      <c r="Q122" s="5"/>
      <c r="R122" s="5"/>
      <c r="S122" s="5"/>
      <c r="T122" s="5"/>
      <c r="U122" s="86"/>
      <c r="V122" s="102"/>
      <c r="W122" s="218"/>
      <c r="X122" s="393"/>
      <c r="AB122" s="52"/>
      <c r="AI122" s="56"/>
      <c r="AJ122" s="121"/>
      <c r="AK122" s="61" t="str">
        <f t="shared" si="36"/>
        <v>Slough</v>
      </c>
      <c r="AL122" s="110" t="e">
        <f t="shared" si="39"/>
        <v>#N/A</v>
      </c>
      <c r="AM122" s="110" t="e">
        <f t="shared" si="39"/>
        <v>#N/A</v>
      </c>
      <c r="AN122" s="110" t="e">
        <f t="shared" si="39"/>
        <v>#N/A</v>
      </c>
      <c r="AO122" s="110" t="e">
        <f t="shared" si="39"/>
        <v>#N/A</v>
      </c>
      <c r="AP122" s="110" t="e">
        <f t="shared" si="39"/>
        <v>#N/A</v>
      </c>
      <c r="AQ122" s="111">
        <f t="shared" si="38"/>
        <v>14.7</v>
      </c>
      <c r="AR122" s="237"/>
      <c r="AS122" s="237"/>
      <c r="AT122" s="237"/>
      <c r="AU122" s="237"/>
      <c r="AV122" s="237"/>
      <c r="AW122" s="237"/>
      <c r="AX122" s="237"/>
      <c r="AY122" s="237"/>
      <c r="AZ122" s="237"/>
      <c r="BA122" s="237"/>
      <c r="BB122" s="237"/>
      <c r="BC122" s="237"/>
      <c r="BD122" s="237"/>
      <c r="BE122" s="237"/>
      <c r="BF122" s="237"/>
      <c r="BG122" s="237"/>
      <c r="BH122" s="237"/>
      <c r="BI122" s="237"/>
      <c r="BJ122" s="237"/>
      <c r="BK122" s="237"/>
      <c r="BL122" s="237"/>
      <c r="BM122" s="237"/>
      <c r="BN122" s="237"/>
      <c r="BO122" s="237"/>
      <c r="BP122" s="237"/>
    </row>
    <row r="123" spans="1:68" ht="14.25" customHeight="1">
      <c r="A123" s="87"/>
      <c r="B123" s="48"/>
      <c r="C123" s="48"/>
      <c r="D123" s="40"/>
      <c r="E123" s="40"/>
      <c r="F123" s="40"/>
      <c r="G123" s="40"/>
      <c r="H123" s="40"/>
      <c r="I123" s="40"/>
      <c r="J123" s="40"/>
      <c r="K123" s="1"/>
      <c r="L123" s="5"/>
      <c r="M123" s="5"/>
      <c r="N123" s="5"/>
      <c r="O123" s="5"/>
      <c r="P123" s="5"/>
      <c r="Q123" s="5"/>
      <c r="R123" s="5"/>
      <c r="S123" s="5"/>
      <c r="T123" s="5"/>
      <c r="U123" s="86"/>
      <c r="V123" s="102"/>
      <c r="W123" s="218"/>
      <c r="X123" s="393"/>
      <c r="AB123" s="52"/>
      <c r="AI123" s="56"/>
      <c r="AJ123" s="121"/>
      <c r="AK123" s="61" t="e">
        <f t="shared" si="36"/>
        <v>#REF!</v>
      </c>
      <c r="AL123" s="110" t="e">
        <f t="shared" si="39"/>
        <v>#REF!</v>
      </c>
      <c r="AM123" s="110" t="e">
        <f t="shared" si="39"/>
        <v>#REF!</v>
      </c>
      <c r="AN123" s="110" t="e">
        <f t="shared" si="39"/>
        <v>#REF!</v>
      </c>
      <c r="AO123" s="110" t="e">
        <f t="shared" si="39"/>
        <v>#REF!</v>
      </c>
      <c r="AP123" s="110" t="e">
        <f t="shared" si="39"/>
        <v>#REF!</v>
      </c>
      <c r="AQ123" s="111" t="e">
        <f t="shared" si="38"/>
        <v>#REF!</v>
      </c>
      <c r="AR123" s="237"/>
      <c r="AS123" s="237"/>
      <c r="AT123" s="237"/>
      <c r="AU123" s="237"/>
      <c r="AV123" s="237"/>
      <c r="AW123" s="237"/>
      <c r="AX123" s="237"/>
      <c r="AY123" s="237"/>
      <c r="AZ123" s="237"/>
      <c r="BA123" s="237"/>
      <c r="BB123" s="237"/>
      <c r="BC123" s="237"/>
      <c r="BD123" s="237"/>
      <c r="BE123" s="237"/>
      <c r="BF123" s="237"/>
      <c r="BG123" s="237"/>
      <c r="BH123" s="237"/>
      <c r="BI123" s="237"/>
      <c r="BJ123" s="237"/>
      <c r="BK123" s="237"/>
      <c r="BL123" s="237"/>
      <c r="BM123" s="237"/>
      <c r="BN123" s="237"/>
      <c r="BO123" s="237"/>
      <c r="BP123" s="237"/>
    </row>
    <row r="124" spans="1:68" ht="14.25" customHeight="1">
      <c r="A124" s="87"/>
      <c r="B124" s="48"/>
      <c r="C124" s="48"/>
      <c r="D124" s="40"/>
      <c r="E124" s="40"/>
      <c r="F124" s="40"/>
      <c r="G124" s="40"/>
      <c r="H124" s="40"/>
      <c r="I124" s="40"/>
      <c r="J124" s="40"/>
      <c r="K124" s="1"/>
      <c r="L124" s="5"/>
      <c r="M124" s="5"/>
      <c r="N124" s="5"/>
      <c r="O124" s="5"/>
      <c r="P124" s="5"/>
      <c r="Q124" s="5"/>
      <c r="R124" s="5"/>
      <c r="S124" s="5"/>
      <c r="T124" s="5"/>
      <c r="U124" s="86"/>
      <c r="V124" s="102"/>
      <c r="W124" s="218"/>
      <c r="X124" s="393"/>
      <c r="AB124" s="52"/>
      <c r="AI124" s="56"/>
      <c r="AJ124" s="121"/>
      <c r="AK124" s="61" t="str">
        <f t="shared" si="36"/>
        <v>Southampton</v>
      </c>
      <c r="AL124" s="110" t="e">
        <f t="shared" si="39"/>
        <v>#N/A</v>
      </c>
      <c r="AM124" s="110" t="e">
        <f t="shared" si="39"/>
        <v>#N/A</v>
      </c>
      <c r="AN124" s="110" t="e">
        <f t="shared" si="39"/>
        <v>#N/A</v>
      </c>
      <c r="AO124" s="110" t="e">
        <f t="shared" si="39"/>
        <v>#N/A</v>
      </c>
      <c r="AP124" s="110" t="e">
        <f t="shared" si="39"/>
        <v>#N/A</v>
      </c>
      <c r="AQ124" s="111">
        <f t="shared" si="38"/>
        <v>20.5</v>
      </c>
      <c r="AR124" s="237"/>
      <c r="AS124" s="237"/>
      <c r="AT124" s="237"/>
      <c r="AU124" s="237"/>
      <c r="AV124" s="237"/>
      <c r="AW124" s="237"/>
      <c r="AX124" s="237"/>
      <c r="AY124" s="237"/>
      <c r="AZ124" s="237"/>
      <c r="BA124" s="237"/>
      <c r="BB124" s="237"/>
      <c r="BC124" s="237"/>
      <c r="BD124" s="237"/>
      <c r="BE124" s="237"/>
      <c r="BF124" s="237"/>
      <c r="BG124" s="237"/>
      <c r="BH124" s="237"/>
      <c r="BI124" s="237"/>
      <c r="BJ124" s="237"/>
      <c r="BK124" s="237"/>
      <c r="BL124" s="237"/>
      <c r="BM124" s="237"/>
      <c r="BN124" s="237"/>
      <c r="BO124" s="237"/>
      <c r="BP124" s="237"/>
    </row>
    <row r="125" spans="1:68" ht="14.25" customHeight="1">
      <c r="A125" s="87"/>
      <c r="B125" s="48"/>
      <c r="C125" s="48"/>
      <c r="D125" s="40"/>
      <c r="E125" s="40"/>
      <c r="F125" s="40"/>
      <c r="G125" s="40"/>
      <c r="H125" s="40"/>
      <c r="I125" s="40"/>
      <c r="J125" s="40"/>
      <c r="K125" s="1"/>
      <c r="L125" s="5"/>
      <c r="M125" s="5"/>
      <c r="N125" s="5"/>
      <c r="O125" s="5"/>
      <c r="P125" s="5"/>
      <c r="Q125" s="5"/>
      <c r="R125" s="5"/>
      <c r="S125" s="5"/>
      <c r="T125" s="5"/>
      <c r="U125" s="86"/>
      <c r="V125" s="102"/>
      <c r="W125" s="218"/>
      <c r="X125" s="393"/>
      <c r="AB125" s="52"/>
      <c r="AI125" s="56"/>
      <c r="AJ125" s="121"/>
      <c r="AK125" s="61" t="str">
        <f t="shared" si="36"/>
        <v>Surrey</v>
      </c>
      <c r="AL125" s="110" t="e">
        <f t="shared" si="39"/>
        <v>#N/A</v>
      </c>
      <c r="AM125" s="110" t="e">
        <f t="shared" si="39"/>
        <v>#N/A</v>
      </c>
      <c r="AN125" s="110" t="e">
        <f t="shared" si="39"/>
        <v>#N/A</v>
      </c>
      <c r="AO125" s="110" t="e">
        <f t="shared" si="39"/>
        <v>#N/A</v>
      </c>
      <c r="AP125" s="110" t="e">
        <f t="shared" si="39"/>
        <v>#N/A</v>
      </c>
      <c r="AQ125" s="111">
        <f t="shared" si="38"/>
        <v>8.3000000000000007</v>
      </c>
      <c r="AR125" s="237"/>
      <c r="AS125" s="237"/>
      <c r="AT125" s="237"/>
      <c r="AU125" s="237"/>
      <c r="AV125" s="237"/>
      <c r="AW125" s="237"/>
      <c r="AX125" s="237"/>
      <c r="AY125" s="237"/>
      <c r="AZ125" s="237"/>
      <c r="BA125" s="237"/>
      <c r="BB125" s="237"/>
      <c r="BC125" s="237"/>
      <c r="BD125" s="237"/>
      <c r="BE125" s="237"/>
      <c r="BF125" s="237"/>
      <c r="BG125" s="237"/>
      <c r="BH125" s="237"/>
      <c r="BI125" s="237"/>
      <c r="BJ125" s="237"/>
      <c r="BK125" s="237"/>
      <c r="BL125" s="237"/>
      <c r="BM125" s="237"/>
      <c r="BN125" s="237"/>
      <c r="BO125" s="237"/>
      <c r="BP125" s="237"/>
    </row>
    <row r="126" spans="1:68" ht="14.25" customHeight="1">
      <c r="A126" s="208"/>
      <c r="B126" s="48"/>
      <c r="C126" s="48"/>
      <c r="D126" s="40"/>
      <c r="E126" s="40"/>
      <c r="F126" s="40"/>
      <c r="G126" s="40"/>
      <c r="H126" s="40"/>
      <c r="I126" s="40"/>
      <c r="J126" s="40"/>
      <c r="K126" s="1"/>
      <c r="L126" s="5"/>
      <c r="M126" s="5"/>
      <c r="N126" s="5"/>
      <c r="O126" s="5"/>
      <c r="P126" s="5"/>
      <c r="Q126" s="5"/>
      <c r="R126" s="5"/>
      <c r="S126" s="5"/>
      <c r="T126" s="5"/>
      <c r="U126" s="86"/>
      <c r="V126" s="102"/>
      <c r="W126" s="218"/>
      <c r="X126" s="393"/>
      <c r="AB126" s="52"/>
      <c r="AI126" s="56"/>
      <c r="AJ126" s="121"/>
      <c r="AK126" s="61" t="e">
        <f t="shared" si="36"/>
        <v>#REF!</v>
      </c>
      <c r="AL126" s="110" t="e">
        <f t="shared" si="39"/>
        <v>#REF!</v>
      </c>
      <c r="AM126" s="110" t="e">
        <f t="shared" si="39"/>
        <v>#REF!</v>
      </c>
      <c r="AN126" s="110" t="e">
        <f t="shared" si="39"/>
        <v>#REF!</v>
      </c>
      <c r="AO126" s="110" t="e">
        <f t="shared" si="39"/>
        <v>#REF!</v>
      </c>
      <c r="AP126" s="110" t="e">
        <f t="shared" si="39"/>
        <v>#REF!</v>
      </c>
      <c r="AQ126" s="111" t="e">
        <f t="shared" si="38"/>
        <v>#REF!</v>
      </c>
      <c r="AR126" s="237"/>
      <c r="AS126" s="237"/>
      <c r="AT126" s="237"/>
      <c r="AU126" s="237"/>
      <c r="AV126" s="237"/>
      <c r="AW126" s="237"/>
      <c r="AX126" s="237"/>
      <c r="AY126" s="237"/>
      <c r="AZ126" s="237"/>
      <c r="BA126" s="237"/>
      <c r="BB126" s="237"/>
      <c r="BC126" s="237"/>
      <c r="BD126" s="237"/>
      <c r="BE126" s="237"/>
      <c r="BF126" s="237"/>
      <c r="BG126" s="237"/>
      <c r="BH126" s="237"/>
      <c r="BI126" s="237"/>
      <c r="BJ126" s="237"/>
      <c r="BK126" s="237"/>
      <c r="BL126" s="237"/>
      <c r="BM126" s="237"/>
      <c r="BN126" s="237"/>
      <c r="BO126" s="237"/>
      <c r="BP126" s="237"/>
    </row>
    <row r="127" spans="1:68" ht="14.25" customHeight="1">
      <c r="A127" s="208"/>
      <c r="B127" s="48"/>
      <c r="C127" s="48"/>
      <c r="D127" s="40"/>
      <c r="E127" s="40"/>
      <c r="F127" s="40"/>
      <c r="G127" s="40"/>
      <c r="H127" s="40"/>
      <c r="I127" s="40"/>
      <c r="J127" s="40"/>
      <c r="K127" s="1"/>
      <c r="L127" s="5"/>
      <c r="M127" s="5"/>
      <c r="N127" s="5"/>
      <c r="O127" s="5"/>
      <c r="P127" s="5"/>
      <c r="Q127" s="5"/>
      <c r="R127" s="5"/>
      <c r="S127" s="5"/>
      <c r="T127" s="5"/>
      <c r="U127" s="86"/>
      <c r="V127" s="102"/>
      <c r="W127" s="218"/>
      <c r="X127" s="393"/>
      <c r="AB127" s="52"/>
      <c r="AI127" s="56"/>
      <c r="AJ127" s="121"/>
      <c r="AK127" s="61" t="str">
        <f t="shared" si="36"/>
        <v>West Berkshire</v>
      </c>
      <c r="AL127" s="110" t="e">
        <f t="shared" si="39"/>
        <v>#N/A</v>
      </c>
      <c r="AM127" s="110" t="e">
        <f t="shared" si="39"/>
        <v>#N/A</v>
      </c>
      <c r="AN127" s="110" t="e">
        <f t="shared" si="39"/>
        <v>#N/A</v>
      </c>
      <c r="AO127" s="110" t="e">
        <f t="shared" si="39"/>
        <v>#N/A</v>
      </c>
      <c r="AP127" s="110" t="e">
        <f t="shared" si="39"/>
        <v>#N/A</v>
      </c>
      <c r="AQ127" s="111">
        <f t="shared" si="38"/>
        <v>8.6999999999999993</v>
      </c>
      <c r="AR127" s="237"/>
      <c r="AS127" s="237"/>
      <c r="AT127" s="237"/>
      <c r="AU127" s="237"/>
      <c r="AV127" s="237"/>
      <c r="AW127" s="237"/>
      <c r="AX127" s="237"/>
      <c r="AY127" s="237"/>
      <c r="AZ127" s="237"/>
      <c r="BA127" s="237"/>
      <c r="BB127" s="237"/>
      <c r="BC127" s="237"/>
      <c r="BD127" s="237"/>
      <c r="BE127" s="237"/>
      <c r="BF127" s="237"/>
      <c r="BG127" s="237"/>
      <c r="BH127" s="237"/>
      <c r="BI127" s="237"/>
      <c r="BJ127" s="237"/>
      <c r="BK127" s="237"/>
      <c r="BL127" s="237"/>
      <c r="BM127" s="237"/>
      <c r="BN127" s="237"/>
      <c r="BO127" s="237"/>
      <c r="BP127" s="237"/>
    </row>
    <row r="128" spans="1:68" ht="14.25" customHeight="1">
      <c r="A128" s="87"/>
      <c r="B128" s="48"/>
      <c r="C128" s="48"/>
      <c r="D128" s="40"/>
      <c r="E128" s="40"/>
      <c r="F128" s="40"/>
      <c r="G128" s="40"/>
      <c r="H128" s="40"/>
      <c r="I128" s="40"/>
      <c r="J128" s="40"/>
      <c r="K128" s="1"/>
      <c r="L128" s="5"/>
      <c r="M128" s="5"/>
      <c r="N128" s="5"/>
      <c r="O128" s="5"/>
      <c r="P128" s="5"/>
      <c r="Q128" s="5"/>
      <c r="R128" s="5"/>
      <c r="S128" s="5"/>
      <c r="T128" s="5"/>
      <c r="U128" s="86"/>
      <c r="V128" s="102"/>
      <c r="W128" s="218"/>
      <c r="X128" s="393"/>
      <c r="AB128" s="52"/>
      <c r="AI128" s="56"/>
      <c r="AJ128" s="121"/>
      <c r="AK128" s="61" t="str">
        <f t="shared" si="36"/>
        <v>West Sussex</v>
      </c>
      <c r="AL128" s="110" t="e">
        <f t="shared" si="39"/>
        <v>#N/A</v>
      </c>
      <c r="AM128" s="110" t="e">
        <f t="shared" si="39"/>
        <v>#N/A</v>
      </c>
      <c r="AN128" s="110" t="e">
        <f t="shared" si="39"/>
        <v>#N/A</v>
      </c>
      <c r="AO128" s="110" t="e">
        <f t="shared" si="39"/>
        <v>#N/A</v>
      </c>
      <c r="AP128" s="110" t="e">
        <f t="shared" si="39"/>
        <v>#N/A</v>
      </c>
      <c r="AQ128" s="111">
        <f t="shared" si="38"/>
        <v>11</v>
      </c>
      <c r="AR128" s="237"/>
      <c r="AS128" s="237"/>
      <c r="AT128" s="237"/>
      <c r="AU128" s="237"/>
      <c r="AV128" s="237"/>
      <c r="AW128" s="237"/>
      <c r="AX128" s="237"/>
      <c r="AY128" s="237"/>
      <c r="AZ128" s="237"/>
      <c r="BA128" s="237"/>
      <c r="BB128" s="237"/>
      <c r="BC128" s="237"/>
      <c r="BD128" s="237"/>
      <c r="BE128" s="237"/>
      <c r="BF128" s="237"/>
      <c r="BG128" s="237"/>
      <c r="BH128" s="237"/>
      <c r="BI128" s="237"/>
      <c r="BJ128" s="237"/>
      <c r="BK128" s="237"/>
      <c r="BL128" s="237"/>
      <c r="BM128" s="237"/>
      <c r="BN128" s="237"/>
      <c r="BO128" s="237"/>
      <c r="BP128" s="237"/>
    </row>
    <row r="129" spans="1:68" ht="14.25" customHeight="1">
      <c r="A129" s="87"/>
      <c r="B129" s="48"/>
      <c r="C129" s="48"/>
      <c r="D129" s="40"/>
      <c r="E129" s="40"/>
      <c r="F129" s="40"/>
      <c r="G129" s="40"/>
      <c r="H129" s="40"/>
      <c r="I129" s="40"/>
      <c r="J129" s="40"/>
      <c r="K129" s="1"/>
      <c r="L129" s="5"/>
      <c r="M129" s="5"/>
      <c r="N129" s="5"/>
      <c r="O129" s="5"/>
      <c r="P129" s="5"/>
      <c r="Q129" s="5"/>
      <c r="R129" s="5"/>
      <c r="S129" s="5"/>
      <c r="T129" s="5"/>
      <c r="U129" s="86"/>
      <c r="V129" s="102"/>
      <c r="W129" s="218"/>
      <c r="X129" s="393"/>
      <c r="AB129" s="52"/>
      <c r="AI129" s="56"/>
      <c r="AJ129" s="121"/>
      <c r="AK129" s="61" t="str">
        <f t="shared" si="36"/>
        <v>Windsor &amp; Maidenhead</v>
      </c>
      <c r="AL129" s="110" t="e">
        <f t="shared" si="39"/>
        <v>#N/A</v>
      </c>
      <c r="AM129" s="110" t="e">
        <f t="shared" si="39"/>
        <v>#N/A</v>
      </c>
      <c r="AN129" s="110" t="e">
        <f t="shared" si="39"/>
        <v>#N/A</v>
      </c>
      <c r="AO129" s="110" t="e">
        <f t="shared" si="39"/>
        <v>#N/A</v>
      </c>
      <c r="AP129" s="110" t="e">
        <f t="shared" si="39"/>
        <v>#N/A</v>
      </c>
      <c r="AQ129" s="111">
        <f t="shared" si="38"/>
        <v>6.7</v>
      </c>
      <c r="AR129" s="237"/>
      <c r="AS129" s="237"/>
      <c r="AT129" s="237"/>
      <c r="AU129" s="237"/>
      <c r="AV129" s="237"/>
      <c r="AW129" s="237"/>
      <c r="AX129" s="237"/>
      <c r="AY129" s="237"/>
      <c r="AZ129" s="237"/>
      <c r="BA129" s="237"/>
      <c r="BB129" s="237"/>
      <c r="BC129" s="237"/>
      <c r="BD129" s="237"/>
      <c r="BE129" s="237"/>
      <c r="BF129" s="237"/>
      <c r="BG129" s="237"/>
      <c r="BH129" s="237"/>
      <c r="BI129" s="237"/>
      <c r="BJ129" s="237"/>
      <c r="BK129" s="237"/>
      <c r="BL129" s="237"/>
      <c r="BM129" s="237"/>
      <c r="BN129" s="237"/>
      <c r="BO129" s="237"/>
      <c r="BP129" s="237"/>
    </row>
    <row r="130" spans="1:68" s="56" customFormat="1" ht="14.25" customHeight="1">
      <c r="A130" s="87"/>
      <c r="B130" s="48"/>
      <c r="C130" s="48"/>
      <c r="D130" s="40"/>
      <c r="E130" s="40"/>
      <c r="F130" s="40"/>
      <c r="G130" s="40"/>
      <c r="H130" s="40"/>
      <c r="I130" s="40"/>
      <c r="J130" s="40"/>
      <c r="K130" s="1"/>
      <c r="L130" s="5"/>
      <c r="M130" s="5"/>
      <c r="N130" s="5"/>
      <c r="O130" s="5"/>
      <c r="P130" s="5"/>
      <c r="Q130" s="5"/>
      <c r="R130" s="5"/>
      <c r="S130" s="5"/>
      <c r="T130" s="5"/>
      <c r="U130" s="86"/>
      <c r="V130" s="102"/>
      <c r="W130" s="218"/>
      <c r="X130" s="393"/>
      <c r="AJ130" s="121"/>
      <c r="AK130" s="61" t="str">
        <f t="shared" si="36"/>
        <v>Wokingham</v>
      </c>
      <c r="AL130" s="110" t="e">
        <f t="shared" si="39"/>
        <v>#N/A</v>
      </c>
      <c r="AM130" s="110" t="e">
        <f t="shared" si="39"/>
        <v>#N/A</v>
      </c>
      <c r="AN130" s="110" t="e">
        <f t="shared" si="39"/>
        <v>#N/A</v>
      </c>
      <c r="AO130" s="110" t="e">
        <f t="shared" si="39"/>
        <v>#N/A</v>
      </c>
      <c r="AP130" s="110" t="e">
        <f t="shared" si="39"/>
        <v>#N/A</v>
      </c>
      <c r="AQ130" s="111">
        <f t="shared" si="38"/>
        <v>5.6000000000000005</v>
      </c>
      <c r="AR130" s="237"/>
      <c r="AS130" s="237"/>
      <c r="AT130" s="237"/>
      <c r="AU130" s="237"/>
      <c r="AV130" s="237"/>
      <c r="AW130" s="237"/>
      <c r="AX130" s="237"/>
      <c r="AY130" s="237"/>
      <c r="AZ130" s="237"/>
      <c r="BA130" s="237"/>
      <c r="BB130" s="237"/>
      <c r="BC130" s="237"/>
      <c r="BD130" s="237"/>
      <c r="BE130" s="237"/>
      <c r="BF130" s="237"/>
      <c r="BG130" s="237"/>
      <c r="BH130" s="237"/>
      <c r="BI130" s="237"/>
      <c r="BJ130" s="237"/>
      <c r="BK130" s="237"/>
      <c r="BL130" s="237"/>
      <c r="BM130" s="237"/>
      <c r="BN130" s="237"/>
      <c r="BO130" s="237"/>
      <c r="BP130" s="237"/>
    </row>
    <row r="131" spans="1:68" s="56" customFormat="1" ht="14.25" customHeight="1">
      <c r="A131" s="87"/>
      <c r="B131" s="48"/>
      <c r="C131" s="48"/>
      <c r="D131" s="40"/>
      <c r="E131" s="40"/>
      <c r="F131" s="40"/>
      <c r="G131" s="40"/>
      <c r="H131" s="40"/>
      <c r="I131" s="40"/>
      <c r="J131" s="40"/>
      <c r="K131" s="1"/>
      <c r="L131" s="5"/>
      <c r="M131" s="5"/>
      <c r="N131" s="5"/>
      <c r="O131" s="5"/>
      <c r="P131" s="5"/>
      <c r="Q131" s="5"/>
      <c r="R131" s="5"/>
      <c r="S131" s="5"/>
      <c r="T131" s="5"/>
      <c r="U131" s="86"/>
      <c r="V131" s="102"/>
      <c r="W131" s="218"/>
      <c r="X131" s="393"/>
      <c r="AJ131" s="121"/>
      <c r="AK131" s="61" t="str">
        <f t="shared" si="36"/>
        <v>South East</v>
      </c>
      <c r="AL131" s="110" t="e">
        <f>IF(ISERROR(VLOOKUP($AK131,$B$80:$P$102,AL$106,FALSE)),NA(),VLOOKUP($AK131,$B$80:$P$102,AL$106,FALSE))</f>
        <v>#N/A</v>
      </c>
      <c r="AM131" s="110" t="e">
        <f t="shared" si="39"/>
        <v>#NAME?</v>
      </c>
      <c r="AN131" s="110" t="e">
        <f t="shared" si="39"/>
        <v>#NAME?</v>
      </c>
      <c r="AO131" s="110" t="e">
        <f t="shared" si="39"/>
        <v>#NAME?</v>
      </c>
      <c r="AP131" s="110" t="e">
        <f t="shared" si="39"/>
        <v>#NAME?</v>
      </c>
      <c r="AQ131" s="111" t="e">
        <f t="shared" si="38"/>
        <v>#DIV/0!</v>
      </c>
      <c r="AR131" s="237"/>
      <c r="AS131" s="237"/>
      <c r="AT131" s="237"/>
      <c r="AU131" s="237"/>
      <c r="AV131" s="237"/>
      <c r="AW131" s="237"/>
      <c r="AX131" s="237"/>
      <c r="AY131" s="237"/>
      <c r="AZ131" s="237"/>
      <c r="BA131" s="237"/>
      <c r="BB131" s="237"/>
      <c r="BC131" s="237"/>
      <c r="BD131" s="237"/>
      <c r="BE131" s="237"/>
      <c r="BF131" s="237"/>
      <c r="BG131" s="237"/>
      <c r="BH131" s="237"/>
      <c r="BI131" s="237"/>
      <c r="BJ131" s="237"/>
      <c r="BK131" s="237"/>
      <c r="BL131" s="237"/>
      <c r="BM131" s="237"/>
      <c r="BN131" s="237"/>
      <c r="BO131" s="237"/>
      <c r="BP131" s="237"/>
    </row>
    <row r="132" spans="1:68" s="56" customFormat="1" ht="14.25" customHeight="1">
      <c r="A132" s="87"/>
      <c r="B132" s="48"/>
      <c r="C132" s="48"/>
      <c r="D132" s="40"/>
      <c r="E132" s="40"/>
      <c r="F132" s="40"/>
      <c r="G132" s="40"/>
      <c r="H132" s="40"/>
      <c r="I132" s="40"/>
      <c r="J132" s="40"/>
      <c r="K132" s="1"/>
      <c r="L132" s="5"/>
      <c r="M132" s="5"/>
      <c r="N132" s="5"/>
      <c r="O132" s="5"/>
      <c r="P132" s="5"/>
      <c r="Q132" s="5"/>
      <c r="R132" s="5"/>
      <c r="S132" s="5"/>
      <c r="T132" s="5"/>
      <c r="U132" s="86"/>
      <c r="V132" s="102"/>
      <c r="W132" s="218"/>
      <c r="X132" s="393"/>
      <c r="AJ132" s="121"/>
      <c r="AK132" s="61" t="str">
        <f t="shared" si="36"/>
        <v>England</v>
      </c>
      <c r="AL132" s="110" t="e">
        <f t="shared" si="39"/>
        <v>#N/A</v>
      </c>
      <c r="AM132" s="110" t="e">
        <f t="shared" si="39"/>
        <v>#N/A</v>
      </c>
      <c r="AN132" s="110" t="e">
        <f t="shared" si="39"/>
        <v>#N/A</v>
      </c>
      <c r="AO132" s="110" t="e">
        <f t="shared" si="39"/>
        <v>#N/A</v>
      </c>
      <c r="AP132" s="110" t="e">
        <f t="shared" si="39"/>
        <v>#N/A</v>
      </c>
      <c r="AQ132" s="111">
        <f t="shared" si="38"/>
        <v>17.084413405029373</v>
      </c>
      <c r="AR132" s="237"/>
      <c r="AS132" s="237"/>
      <c r="AT132" s="237"/>
      <c r="AU132" s="237"/>
      <c r="AV132" s="237"/>
      <c r="AW132" s="237"/>
      <c r="AX132" s="237"/>
      <c r="AY132" s="237"/>
      <c r="AZ132" s="237"/>
      <c r="BA132" s="237"/>
      <c r="BB132" s="237"/>
      <c r="BC132" s="237"/>
      <c r="BD132" s="237"/>
      <c r="BE132" s="237"/>
      <c r="BF132" s="237"/>
      <c r="BG132" s="237"/>
      <c r="BH132" s="237"/>
      <c r="BI132" s="237"/>
      <c r="BJ132" s="237"/>
      <c r="BK132" s="237"/>
      <c r="BL132" s="237"/>
      <c r="BM132" s="237"/>
      <c r="BN132" s="237"/>
      <c r="BO132" s="237"/>
      <c r="BP132" s="237"/>
    </row>
    <row r="133" spans="1:68" s="56" customFormat="1" ht="14.25" customHeight="1">
      <c r="A133" s="87"/>
      <c r="B133" s="48"/>
      <c r="C133" s="48"/>
      <c r="D133" s="40"/>
      <c r="E133" s="40"/>
      <c r="F133" s="40"/>
      <c r="G133" s="40"/>
      <c r="H133" s="40"/>
      <c r="I133" s="40"/>
      <c r="J133" s="40"/>
      <c r="K133" s="1"/>
      <c r="L133" s="79"/>
      <c r="M133" s="1902" t="s">
        <v>69</v>
      </c>
      <c r="N133" s="1902"/>
      <c r="O133" s="1902"/>
      <c r="P133" s="80"/>
      <c r="Q133" s="1901" t="s">
        <v>93</v>
      </c>
      <c r="R133" s="1901"/>
      <c r="S133" s="1901"/>
      <c r="T133" s="1901"/>
      <c r="U133" s="86"/>
      <c r="V133" s="102"/>
      <c r="W133" s="218"/>
      <c r="AJ133" s="121"/>
      <c r="AK133" s="52" t="str">
        <f>$Z$4</f>
        <v>Selected LA- (none)</v>
      </c>
      <c r="AL133" s="110" t="e">
        <f>VLOOKUP($Y4,$B$80:$P$102,AL$106,FALSE)</f>
        <v>#N/A</v>
      </c>
      <c r="AM133" s="110" t="e">
        <f>VLOOKUP($Y4,$B$80:$P$102,AM$106,FALSE)</f>
        <v>#N/A</v>
      </c>
      <c r="AN133" s="110" t="e">
        <f>VLOOKUP($Y4,$B$80:$P$102,AN$106,FALSE)</f>
        <v>#N/A</v>
      </c>
      <c r="AO133" s="110" t="e">
        <f>VLOOKUP($Y4,$B$80:$P$102,AO$106,FALSE)</f>
        <v>#N/A</v>
      </c>
      <c r="AP133" s="110" t="e">
        <f>VLOOKUP($Y4,$B$80:$P$102,AP$106,FALSE)</f>
        <v>#N/A</v>
      </c>
      <c r="AQ133" s="111" t="e">
        <f>VLOOKUP(Y4,$B$10:$T$31,$AQ$106,FALSE)</f>
        <v>#N/A</v>
      </c>
      <c r="AR133" s="237"/>
      <c r="AS133" s="237"/>
      <c r="AT133" s="237"/>
      <c r="AU133" s="237"/>
      <c r="AV133" s="237"/>
      <c r="AW133" s="237"/>
      <c r="AX133" s="237"/>
      <c r="AY133" s="237"/>
      <c r="AZ133" s="237"/>
      <c r="BA133" s="237"/>
      <c r="BB133" s="237"/>
      <c r="BC133" s="237"/>
      <c r="BD133" s="237"/>
      <c r="BE133" s="237"/>
      <c r="BF133" s="237"/>
      <c r="BG133" s="237"/>
      <c r="BH133" s="237"/>
      <c r="BI133" s="237"/>
      <c r="BJ133" s="237"/>
      <c r="BK133" s="237"/>
      <c r="BL133" s="237"/>
      <c r="BM133" s="237"/>
      <c r="BN133" s="237"/>
      <c r="BO133" s="237"/>
      <c r="BP133" s="237"/>
    </row>
    <row r="134" spans="1:68" s="56" customFormat="1" ht="14.25" customHeight="1">
      <c r="A134" s="87"/>
      <c r="B134" s="48"/>
      <c r="C134" s="48"/>
      <c r="D134" s="40"/>
      <c r="E134" s="40"/>
      <c r="F134" s="40"/>
      <c r="G134" s="40"/>
      <c r="H134" s="40"/>
      <c r="I134" s="40"/>
      <c r="J134" s="40"/>
      <c r="K134" s="1"/>
      <c r="L134" s="80"/>
      <c r="M134" s="1901" t="str">
        <f>Z4</f>
        <v>Selected LA- (none)</v>
      </c>
      <c r="N134" s="1901"/>
      <c r="O134" s="1901"/>
      <c r="P134" s="1901"/>
      <c r="Q134" s="1901"/>
      <c r="R134" s="1901"/>
      <c r="S134" s="1901"/>
      <c r="T134" s="1901"/>
      <c r="U134" s="86"/>
      <c r="V134" s="102"/>
      <c r="W134" s="114"/>
      <c r="AJ134" s="122"/>
      <c r="AR134" s="132"/>
      <c r="AS134" s="132"/>
      <c r="AT134" s="132"/>
      <c r="AU134" s="132"/>
      <c r="AV134" s="132"/>
      <c r="AW134" s="132"/>
      <c r="AX134" s="132"/>
      <c r="AY134" s="132"/>
      <c r="AZ134" s="132"/>
      <c r="BA134" s="132"/>
      <c r="BB134" s="132"/>
      <c r="BC134" s="132"/>
      <c r="BD134" s="132"/>
      <c r="BE134" s="132"/>
      <c r="BF134" s="132"/>
      <c r="BG134" s="237"/>
      <c r="BH134" s="237"/>
      <c r="BI134" s="237"/>
      <c r="BJ134" s="237"/>
      <c r="BK134" s="237"/>
      <c r="BL134" s="237"/>
      <c r="BM134" s="237"/>
      <c r="BN134" s="237"/>
      <c r="BO134" s="237"/>
      <c r="BP134" s="237"/>
    </row>
    <row r="135" spans="1:68" s="56" customFormat="1" ht="42" customHeight="1">
      <c r="A135" s="87"/>
      <c r="B135" s="48"/>
      <c r="C135" s="48"/>
      <c r="D135" s="40"/>
      <c r="E135" s="40"/>
      <c r="F135" s="40"/>
      <c r="G135" s="40"/>
      <c r="H135" s="40"/>
      <c r="I135" s="40"/>
      <c r="J135" s="40"/>
      <c r="K135" s="1"/>
      <c r="L135" s="5"/>
      <c r="M135" s="5"/>
      <c r="N135" s="5"/>
      <c r="O135" s="5"/>
      <c r="P135" s="5"/>
      <c r="Q135" s="5"/>
      <c r="R135" s="5"/>
      <c r="S135" s="5"/>
      <c r="T135" s="5"/>
      <c r="U135" s="86"/>
      <c r="V135" s="102"/>
      <c r="W135" s="114"/>
      <c r="AJ135" s="122"/>
    </row>
    <row r="136" spans="1:68" s="61" customFormat="1" ht="42" customHeight="1">
      <c r="A136" s="88"/>
      <c r="B136" s="78"/>
      <c r="C136" s="78"/>
      <c r="D136" s="78"/>
      <c r="E136" s="78"/>
      <c r="F136" s="78"/>
      <c r="G136" s="78"/>
      <c r="H136" s="78"/>
      <c r="I136" s="78"/>
      <c r="J136" s="78"/>
      <c r="K136" s="68"/>
      <c r="L136" s="59"/>
      <c r="M136" s="59"/>
      <c r="N136" s="59"/>
      <c r="O136" s="59"/>
      <c r="P136" s="59"/>
      <c r="Q136" s="59"/>
      <c r="R136" s="59"/>
      <c r="S136" s="59"/>
      <c r="T136" s="59"/>
      <c r="U136" s="89"/>
      <c r="V136" s="103"/>
      <c r="W136" s="115"/>
      <c r="AD136" s="141"/>
      <c r="AE136" s="141"/>
      <c r="AF136" s="141"/>
      <c r="AG136" s="141"/>
      <c r="AH136" s="141"/>
      <c r="AJ136" s="121"/>
    </row>
    <row r="137" spans="1:68" s="61" customFormat="1" ht="42.75" customHeight="1">
      <c r="A137" s="88"/>
      <c r="B137" s="78"/>
      <c r="C137" s="78"/>
      <c r="D137" s="78"/>
      <c r="E137" s="78"/>
      <c r="F137" s="78"/>
      <c r="G137" s="78"/>
      <c r="H137" s="78"/>
      <c r="I137" s="78"/>
      <c r="J137" s="78"/>
      <c r="K137" s="68"/>
      <c r="L137" s="59"/>
      <c r="M137" s="59"/>
      <c r="N137" s="59"/>
      <c r="O137" s="59"/>
      <c r="P137" s="59"/>
      <c r="Q137" s="59"/>
      <c r="R137" s="59"/>
      <c r="S137" s="59"/>
      <c r="T137" s="59"/>
      <c r="U137" s="89"/>
      <c r="V137" s="103"/>
      <c r="W137" s="115"/>
      <c r="AD137" s="141"/>
      <c r="AE137" s="141"/>
      <c r="AF137" s="141"/>
      <c r="AG137" s="141"/>
      <c r="AH137" s="141"/>
      <c r="AJ137" s="121"/>
    </row>
    <row r="138" spans="1:68" ht="7.5" customHeight="1">
      <c r="A138" s="87"/>
      <c r="B138" s="12"/>
      <c r="C138" s="12"/>
      <c r="D138" s="11"/>
      <c r="E138" s="11"/>
      <c r="F138" s="11"/>
      <c r="G138" s="11"/>
      <c r="H138" s="11"/>
      <c r="I138" s="11"/>
      <c r="J138" s="11"/>
      <c r="K138" s="1"/>
      <c r="L138" s="13"/>
      <c r="M138" s="13"/>
      <c r="N138" s="13"/>
      <c r="O138" s="13"/>
      <c r="P138" s="13"/>
      <c r="Q138" s="13"/>
      <c r="R138" s="13"/>
      <c r="S138" s="13"/>
      <c r="T138" s="13"/>
      <c r="U138" s="86"/>
      <c r="V138" s="102"/>
      <c r="W138" s="114"/>
      <c r="AJ138" s="119"/>
    </row>
    <row r="139" spans="1:68" ht="15" customHeight="1">
      <c r="A139" s="1565"/>
      <c r="B139" s="1751"/>
      <c r="C139" s="1751"/>
      <c r="D139" s="1751"/>
      <c r="E139" s="1751"/>
      <c r="F139" s="1751"/>
      <c r="G139" s="1751"/>
      <c r="H139" s="1751"/>
      <c r="I139" s="1751"/>
      <c r="J139" s="1751"/>
      <c r="K139" s="1751"/>
      <c r="L139" s="1751"/>
      <c r="M139" s="1751"/>
      <c r="N139" s="1751"/>
      <c r="O139" s="1751"/>
      <c r="P139" s="1751"/>
      <c r="Q139" s="1751"/>
      <c r="R139" s="1751"/>
      <c r="S139" s="1751"/>
      <c r="T139" s="1751"/>
      <c r="U139" s="1752"/>
      <c r="V139" s="102"/>
      <c r="W139" s="114"/>
      <c r="AJ139" s="119"/>
    </row>
    <row r="140" spans="1:68" ht="11.25" customHeight="1">
      <c r="A140" s="1739" t="e">
        <f>Home!#REF!</f>
        <v>#REF!</v>
      </c>
      <c r="B140" s="1740"/>
      <c r="C140" s="1740"/>
      <c r="D140" s="1740"/>
      <c r="E140" s="1740"/>
      <c r="F140" s="1740"/>
      <c r="G140" s="1740"/>
      <c r="H140" s="1740"/>
      <c r="I140" s="1741"/>
      <c r="J140" s="1742"/>
      <c r="K140" s="1740"/>
      <c r="L140" s="1740"/>
      <c r="M140" s="1740"/>
      <c r="N140" s="1740"/>
      <c r="O140" s="1740"/>
      <c r="P140" s="1740"/>
      <c r="Q140" s="1742"/>
      <c r="R140" s="1740"/>
      <c r="S140" s="1740"/>
      <c r="T140" s="1740"/>
      <c r="U140" s="1743"/>
      <c r="V140" s="102"/>
      <c r="W140" s="114"/>
      <c r="AJ140" s="119"/>
    </row>
    <row r="141" spans="1:68" ht="11.25" customHeight="1">
      <c r="A141" s="106"/>
      <c r="B141" s="5"/>
      <c r="C141" s="5"/>
      <c r="D141" s="5"/>
      <c r="E141" s="5"/>
      <c r="F141" s="40"/>
      <c r="G141" s="40"/>
      <c r="H141" s="40"/>
      <c r="I141" s="40"/>
      <c r="J141" s="82"/>
      <c r="K141" s="83"/>
      <c r="L141" s="82"/>
      <c r="M141" s="82"/>
      <c r="N141" s="82"/>
      <c r="O141" s="82"/>
      <c r="P141" s="82"/>
      <c r="Q141" s="82"/>
      <c r="R141" s="82"/>
      <c r="S141" s="82"/>
      <c r="T141" s="82"/>
      <c r="U141" s="82"/>
      <c r="V141" s="102"/>
      <c r="W141" s="114"/>
      <c r="AE141" s="57"/>
      <c r="AH141" s="52"/>
      <c r="AJ141" s="119"/>
      <c r="AR141" s="56"/>
      <c r="AS141" s="56"/>
      <c r="AT141" s="56"/>
      <c r="AU141" s="56"/>
      <c r="AV141" s="56"/>
      <c r="AW141" s="56"/>
      <c r="AX141" s="56"/>
      <c r="AY141" s="56"/>
      <c r="AZ141" s="56"/>
      <c r="BA141" s="56"/>
      <c r="BB141" s="56"/>
      <c r="BC141" s="56"/>
      <c r="BD141" s="56"/>
      <c r="BE141" s="56"/>
      <c r="BF141" s="56"/>
    </row>
    <row r="142" spans="1:68" ht="11.25" customHeight="1">
      <c r="A142" s="106"/>
      <c r="B142" s="5"/>
      <c r="C142" s="5"/>
      <c r="D142" s="5"/>
      <c r="E142" s="5"/>
      <c r="F142" s="40"/>
      <c r="G142" s="40"/>
      <c r="H142" s="40"/>
      <c r="I142" s="40"/>
      <c r="J142" s="5"/>
      <c r="K142" s="1"/>
      <c r="L142" s="5"/>
      <c r="M142" s="5"/>
      <c r="N142" s="5"/>
      <c r="O142" s="5"/>
      <c r="P142" s="5"/>
      <c r="Q142" s="5"/>
      <c r="R142" s="5"/>
      <c r="S142" s="5"/>
      <c r="T142" s="5"/>
      <c r="U142" s="5"/>
      <c r="V142" s="102"/>
      <c r="W142" s="114"/>
      <c r="AE142" s="57"/>
      <c r="AH142" s="52"/>
      <c r="AJ142" s="119"/>
      <c r="AL142" s="56"/>
      <c r="AM142" s="56"/>
      <c r="AN142" s="56"/>
      <c r="AO142" s="56"/>
      <c r="AP142" s="56"/>
      <c r="AQ142" s="56"/>
    </row>
    <row r="143" spans="1:68" ht="11.25" customHeight="1">
      <c r="A143" s="106"/>
      <c r="B143" s="1734" t="s">
        <v>79</v>
      </c>
      <c r="C143" s="1734"/>
      <c r="D143" s="1734"/>
      <c r="E143" s="1734"/>
      <c r="F143" s="1734"/>
      <c r="G143" s="1734"/>
      <c r="H143" s="1734"/>
      <c r="I143" s="1734"/>
      <c r="J143" s="5"/>
      <c r="K143" s="1"/>
      <c r="L143" s="5"/>
      <c r="M143" s="5"/>
      <c r="N143" s="5"/>
      <c r="O143" s="5"/>
      <c r="P143" s="5"/>
      <c r="Q143" s="5"/>
      <c r="R143" s="5"/>
      <c r="S143" s="5"/>
      <c r="T143" s="5"/>
      <c r="U143" s="5"/>
      <c r="V143" s="102"/>
      <c r="W143" s="114"/>
      <c r="AE143" s="57"/>
      <c r="AH143" s="52"/>
      <c r="AJ143" s="119"/>
      <c r="AL143" s="56"/>
      <c r="AM143" s="56"/>
      <c r="AN143" s="56"/>
      <c r="AO143" s="56"/>
      <c r="AP143" s="56"/>
      <c r="AQ143" s="56"/>
    </row>
    <row r="144" spans="1:68" ht="11.25" customHeight="1">
      <c r="A144" s="106"/>
      <c r="B144" s="1734"/>
      <c r="C144" s="1734"/>
      <c r="D144" s="1734"/>
      <c r="E144" s="1734"/>
      <c r="F144" s="1734"/>
      <c r="G144" s="1734"/>
      <c r="H144" s="1734"/>
      <c r="I144" s="1734"/>
      <c r="J144" s="5"/>
      <c r="K144" s="1"/>
      <c r="L144" s="5"/>
      <c r="M144" s="5"/>
      <c r="N144" s="5"/>
      <c r="O144" s="5"/>
      <c r="P144" s="5"/>
      <c r="Q144" s="5"/>
      <c r="R144" s="5"/>
      <c r="S144" s="5"/>
      <c r="T144" s="5"/>
      <c r="U144" s="5"/>
      <c r="V144" s="102"/>
      <c r="W144" s="114"/>
      <c r="AE144" s="57"/>
      <c r="AH144" s="52"/>
      <c r="AJ144" s="119"/>
    </row>
    <row r="145" spans="1:36" ht="11.25" customHeight="1">
      <c r="A145" s="106"/>
      <c r="B145" s="1561" t="s">
        <v>694</v>
      </c>
      <c r="C145" s="1561"/>
      <c r="D145" s="1561"/>
      <c r="E145" s="1561"/>
      <c r="F145" s="1561"/>
      <c r="G145" s="1561"/>
      <c r="H145" s="1561"/>
      <c r="I145" s="1561"/>
      <c r="J145" s="5"/>
      <c r="K145" s="1"/>
      <c r="L145" s="5"/>
      <c r="M145" s="5"/>
      <c r="N145" s="5"/>
      <c r="O145" s="5"/>
      <c r="P145" s="5"/>
      <c r="Q145" s="5"/>
      <c r="R145" s="5"/>
      <c r="S145" s="5"/>
      <c r="T145" s="5"/>
      <c r="U145" s="5"/>
      <c r="V145" s="102"/>
      <c r="W145" s="114"/>
      <c r="AE145" s="57"/>
      <c r="AH145" s="52"/>
      <c r="AJ145" s="119"/>
    </row>
    <row r="146" spans="1:36" ht="11.25" customHeight="1">
      <c r="A146" s="106"/>
      <c r="B146" s="1561"/>
      <c r="C146" s="1561"/>
      <c r="D146" s="1561"/>
      <c r="E146" s="1561"/>
      <c r="F146" s="1561"/>
      <c r="G146" s="1561"/>
      <c r="H146" s="1561"/>
      <c r="I146" s="1561"/>
      <c r="J146" s="5"/>
      <c r="K146" s="1"/>
      <c r="L146" s="5"/>
      <c r="M146" s="5"/>
      <c r="N146" s="5"/>
      <c r="O146" s="5"/>
      <c r="P146" s="5"/>
      <c r="Q146" s="5"/>
      <c r="R146" s="5"/>
      <c r="S146" s="5"/>
      <c r="T146" s="5"/>
      <c r="U146" s="5"/>
      <c r="V146" s="102"/>
      <c r="W146" s="114"/>
      <c r="AE146" s="57"/>
      <c r="AH146" s="52"/>
      <c r="AJ146" s="119"/>
    </row>
    <row r="147" spans="1:36" ht="11.25" customHeight="1">
      <c r="A147" s="106"/>
      <c r="B147" s="1561" t="s">
        <v>78</v>
      </c>
      <c r="C147" s="1561"/>
      <c r="D147" s="1561"/>
      <c r="E147" s="1561"/>
      <c r="F147" s="1561"/>
      <c r="G147" s="1561"/>
      <c r="H147" s="1561"/>
      <c r="I147" s="1561"/>
      <c r="J147" s="5"/>
      <c r="K147" s="5"/>
      <c r="L147" s="5"/>
      <c r="M147" s="5"/>
      <c r="N147" s="5"/>
      <c r="O147" s="5"/>
      <c r="P147" s="5"/>
      <c r="Q147" s="5"/>
      <c r="R147" s="5"/>
      <c r="S147" s="5"/>
      <c r="T147" s="5"/>
      <c r="U147" s="5"/>
      <c r="V147" s="104"/>
      <c r="W147" s="116"/>
      <c r="AE147" s="57"/>
      <c r="AH147" s="52"/>
      <c r="AJ147" s="119"/>
    </row>
    <row r="148" spans="1:36" ht="11.25" customHeight="1">
      <c r="A148" s="106"/>
      <c r="B148" s="1561"/>
      <c r="C148" s="1561"/>
      <c r="D148" s="1561"/>
      <c r="E148" s="1561"/>
      <c r="F148" s="1561"/>
      <c r="G148" s="1561"/>
      <c r="H148" s="1561"/>
      <c r="I148" s="1561"/>
      <c r="J148" s="5"/>
      <c r="K148" s="1"/>
      <c r="L148" s="5"/>
      <c r="M148" s="5"/>
      <c r="N148" s="5"/>
      <c r="O148" s="5"/>
      <c r="P148" s="5"/>
      <c r="Q148" s="5"/>
      <c r="R148" s="5"/>
      <c r="S148" s="5"/>
      <c r="T148" s="5"/>
      <c r="U148" s="5"/>
      <c r="V148" s="102"/>
      <c r="W148" s="114"/>
      <c r="AE148" s="57"/>
      <c r="AH148" s="52"/>
      <c r="AJ148" s="119"/>
    </row>
    <row r="149" spans="1:36" ht="11.25" customHeight="1">
      <c r="A149" s="106"/>
      <c r="B149" s="1561" t="s">
        <v>75</v>
      </c>
      <c r="C149" s="1561"/>
      <c r="D149" s="1561"/>
      <c r="E149" s="1561"/>
      <c r="F149" s="1561"/>
      <c r="G149" s="1561"/>
      <c r="H149" s="1561"/>
      <c r="I149" s="1561"/>
      <c r="J149" s="5"/>
      <c r="K149" s="1"/>
      <c r="L149" s="5"/>
      <c r="M149" s="5"/>
      <c r="N149" s="5"/>
      <c r="O149" s="5"/>
      <c r="P149" s="5"/>
      <c r="Q149" s="5"/>
      <c r="R149" s="5"/>
      <c r="S149" s="5"/>
      <c r="T149" s="5"/>
      <c r="U149" s="5"/>
      <c r="V149" s="102"/>
      <c r="W149" s="114"/>
      <c r="AE149" s="57"/>
      <c r="AH149" s="52"/>
      <c r="AJ149" s="119"/>
    </row>
    <row r="150" spans="1:36" ht="11.25" customHeight="1">
      <c r="A150" s="106"/>
      <c r="B150" s="1561"/>
      <c r="C150" s="1561"/>
      <c r="D150" s="1561"/>
      <c r="E150" s="1561"/>
      <c r="F150" s="1561"/>
      <c r="G150" s="1561"/>
      <c r="H150" s="1561"/>
      <c r="I150" s="1561"/>
      <c r="J150" s="5"/>
      <c r="K150" s="1"/>
      <c r="L150" s="5"/>
      <c r="M150" s="5"/>
      <c r="N150" s="5"/>
      <c r="O150" s="5"/>
      <c r="P150" s="5"/>
      <c r="Q150" s="5"/>
      <c r="R150" s="5"/>
      <c r="S150" s="5"/>
      <c r="T150" s="5"/>
      <c r="U150" s="5"/>
      <c r="V150" s="102"/>
      <c r="W150" s="114"/>
      <c r="AE150" s="57"/>
      <c r="AH150" s="52"/>
      <c r="AJ150" s="119"/>
    </row>
    <row r="151" spans="1:36" ht="11.25" customHeight="1">
      <c r="A151" s="106"/>
      <c r="B151" s="1561" t="s">
        <v>17</v>
      </c>
      <c r="C151" s="1561"/>
      <c r="D151" s="1561"/>
      <c r="E151" s="1561"/>
      <c r="F151" s="1561"/>
      <c r="G151" s="1561"/>
      <c r="H151" s="1561"/>
      <c r="I151" s="1561"/>
      <c r="J151" s="5"/>
      <c r="K151" s="1"/>
      <c r="L151" s="5"/>
      <c r="M151" s="5"/>
      <c r="N151" s="5"/>
      <c r="O151" s="5"/>
      <c r="P151" s="5"/>
      <c r="Q151" s="5"/>
      <c r="R151" s="5"/>
      <c r="S151" s="5"/>
      <c r="T151" s="5"/>
      <c r="U151" s="8"/>
      <c r="V151" s="185"/>
      <c r="W151" s="114"/>
      <c r="Z151" s="52"/>
      <c r="AA151" s="52"/>
      <c r="AE151" s="57"/>
      <c r="AH151" s="52"/>
      <c r="AJ151" s="119"/>
    </row>
    <row r="152" spans="1:36" ht="11.25" customHeight="1">
      <c r="A152" s="106"/>
      <c r="B152" s="1561"/>
      <c r="C152" s="1561"/>
      <c r="D152" s="1561"/>
      <c r="E152" s="1561"/>
      <c r="F152" s="1561"/>
      <c r="G152" s="1561"/>
      <c r="H152" s="1561"/>
      <c r="I152" s="1561"/>
      <c r="J152" s="5"/>
      <c r="K152" s="1"/>
      <c r="L152" s="5"/>
      <c r="M152" s="5"/>
      <c r="N152" s="5"/>
      <c r="O152" s="5"/>
      <c r="P152" s="5"/>
      <c r="Q152" s="5"/>
      <c r="R152" s="5"/>
      <c r="S152" s="5"/>
      <c r="T152" s="5"/>
      <c r="U152" s="8"/>
      <c r="V152" s="185"/>
      <c r="W152" s="114"/>
      <c r="Z152" s="52"/>
      <c r="AA152" s="52"/>
      <c r="AE152" s="57"/>
      <c r="AH152" s="52"/>
      <c r="AJ152" s="119"/>
    </row>
    <row r="153" spans="1:36" ht="11.25" customHeight="1">
      <c r="A153" s="106"/>
      <c r="B153" s="1561" t="s">
        <v>589</v>
      </c>
      <c r="C153" s="1561"/>
      <c r="D153" s="1561"/>
      <c r="E153" s="1561"/>
      <c r="F153" s="1561"/>
      <c r="G153" s="1561"/>
      <c r="H153" s="1561"/>
      <c r="I153" s="1561"/>
      <c r="J153" s="5"/>
      <c r="K153" s="1"/>
      <c r="L153" s="5"/>
      <c r="M153" s="5"/>
      <c r="N153" s="5"/>
      <c r="O153" s="5"/>
      <c r="P153" s="5"/>
      <c r="Q153" s="5"/>
      <c r="R153" s="5"/>
      <c r="S153" s="5"/>
      <c r="T153" s="5"/>
      <c r="U153" s="8"/>
      <c r="V153" s="185"/>
      <c r="W153" s="114"/>
      <c r="Z153" s="52"/>
      <c r="AA153" s="52"/>
      <c r="AE153" s="57"/>
      <c r="AH153" s="52"/>
      <c r="AJ153" s="119"/>
    </row>
    <row r="154" spans="1:36" ht="11.25" customHeight="1">
      <c r="A154" s="106"/>
      <c r="B154" s="1561"/>
      <c r="C154" s="1561"/>
      <c r="D154" s="1561"/>
      <c r="E154" s="1561"/>
      <c r="F154" s="1561"/>
      <c r="G154" s="1561"/>
      <c r="H154" s="1561"/>
      <c r="I154" s="1561"/>
      <c r="J154" s="5"/>
      <c r="K154" s="1"/>
      <c r="L154" s="5"/>
      <c r="M154" s="5"/>
      <c r="N154" s="5"/>
      <c r="O154" s="5"/>
      <c r="P154" s="5"/>
      <c r="Q154" s="5"/>
      <c r="R154" s="5"/>
      <c r="S154" s="5"/>
      <c r="T154" s="5"/>
      <c r="U154" s="8"/>
      <c r="V154" s="185"/>
      <c r="W154" s="114"/>
      <c r="Z154" s="52"/>
      <c r="AA154" s="52"/>
      <c r="AE154" s="57"/>
      <c r="AH154" s="52"/>
      <c r="AJ154" s="119"/>
    </row>
    <row r="155" spans="1:36" ht="11.25" customHeight="1">
      <c r="A155" s="106"/>
      <c r="B155" s="1561" t="s">
        <v>172</v>
      </c>
      <c r="C155" s="1561"/>
      <c r="D155" s="1561"/>
      <c r="E155" s="1561"/>
      <c r="F155" s="1561"/>
      <c r="G155" s="1561"/>
      <c r="H155" s="1561"/>
      <c r="I155" s="1561"/>
      <c r="J155" s="5"/>
      <c r="K155" s="1"/>
      <c r="L155" s="5"/>
      <c r="M155" s="5"/>
      <c r="N155" s="5"/>
      <c r="O155" s="5"/>
      <c r="P155" s="5"/>
      <c r="Q155" s="5"/>
      <c r="R155" s="5"/>
      <c r="S155" s="5"/>
      <c r="T155" s="5"/>
      <c r="U155" s="8"/>
      <c r="V155" s="185"/>
      <c r="W155" s="114"/>
      <c r="Z155" s="52"/>
      <c r="AA155" s="52"/>
      <c r="AE155" s="57"/>
      <c r="AH155" s="52"/>
      <c r="AJ155" s="119"/>
    </row>
    <row r="156" spans="1:36" ht="11.25" customHeight="1">
      <c r="A156" s="106"/>
      <c r="B156" s="1561"/>
      <c r="C156" s="1561"/>
      <c r="D156" s="1561"/>
      <c r="E156" s="1561"/>
      <c r="F156" s="1561"/>
      <c r="G156" s="1561"/>
      <c r="H156" s="1561"/>
      <c r="I156" s="1561"/>
      <c r="J156" s="5"/>
      <c r="K156" s="1"/>
      <c r="L156" s="5"/>
      <c r="M156" s="5"/>
      <c r="N156" s="5"/>
      <c r="O156" s="5"/>
      <c r="P156" s="5"/>
      <c r="Q156" s="5"/>
      <c r="R156" s="5"/>
      <c r="S156" s="5"/>
      <c r="T156" s="5"/>
      <c r="U156" s="8"/>
      <c r="V156" s="185"/>
      <c r="W156" s="114"/>
      <c r="Z156" s="52"/>
      <c r="AA156" s="52"/>
      <c r="AE156" s="57"/>
      <c r="AH156" s="52"/>
      <c r="AJ156" s="119"/>
    </row>
    <row r="157" spans="1:36" ht="11.25" customHeight="1">
      <c r="A157" s="106"/>
      <c r="B157" s="1561" t="s">
        <v>173</v>
      </c>
      <c r="C157" s="1561"/>
      <c r="D157" s="1561"/>
      <c r="E157" s="1561"/>
      <c r="F157" s="1561"/>
      <c r="G157" s="1561"/>
      <c r="H157" s="1561"/>
      <c r="I157" s="1561"/>
      <c r="J157" s="5"/>
      <c r="K157" s="1"/>
      <c r="L157" s="5"/>
      <c r="M157" s="5"/>
      <c r="N157" s="5"/>
      <c r="O157" s="5"/>
      <c r="P157" s="5"/>
      <c r="Q157" s="5"/>
      <c r="R157" s="5"/>
      <c r="S157" s="5"/>
      <c r="T157" s="5"/>
      <c r="U157" s="5"/>
      <c r="V157" s="102"/>
      <c r="W157" s="114"/>
      <c r="AE157" s="57"/>
      <c r="AH157" s="52"/>
      <c r="AJ157" s="119"/>
    </row>
    <row r="158" spans="1:36" ht="11.25" customHeight="1">
      <c r="A158" s="106"/>
      <c r="B158" s="1561"/>
      <c r="C158" s="1561"/>
      <c r="D158" s="1561"/>
      <c r="E158" s="1561"/>
      <c r="F158" s="1561"/>
      <c r="G158" s="1561"/>
      <c r="H158" s="1561"/>
      <c r="I158" s="1561"/>
      <c r="J158" s="5"/>
      <c r="K158" s="1"/>
      <c r="L158" s="5"/>
      <c r="M158" s="5"/>
      <c r="N158" s="5"/>
      <c r="O158" s="5"/>
      <c r="P158" s="5"/>
      <c r="Q158" s="5"/>
      <c r="R158" s="5"/>
      <c r="S158" s="5"/>
      <c r="T158" s="5"/>
      <c r="U158" s="5"/>
      <c r="V158" s="102"/>
      <c r="W158" s="114"/>
      <c r="AE158" s="57"/>
      <c r="AH158" s="52"/>
      <c r="AJ158" s="119"/>
    </row>
    <row r="159" spans="1:36" ht="11.25" customHeight="1">
      <c r="A159" s="106"/>
      <c r="B159" s="1561" t="s">
        <v>174</v>
      </c>
      <c r="C159" s="1561"/>
      <c r="D159" s="1561"/>
      <c r="E159" s="1561"/>
      <c r="F159" s="1561"/>
      <c r="G159" s="1561"/>
      <c r="H159" s="1561"/>
      <c r="I159" s="1561"/>
      <c r="J159" s="5"/>
      <c r="K159" s="1"/>
      <c r="L159" s="5"/>
      <c r="M159" s="5"/>
      <c r="N159" s="5"/>
      <c r="O159" s="5"/>
      <c r="P159" s="5"/>
      <c r="Q159" s="5"/>
      <c r="R159" s="5"/>
      <c r="S159" s="5"/>
      <c r="T159" s="5"/>
      <c r="U159" s="5"/>
      <c r="V159" s="102"/>
      <c r="W159" s="114"/>
      <c r="AE159" s="57"/>
      <c r="AH159" s="52"/>
      <c r="AJ159" s="119"/>
    </row>
    <row r="160" spans="1:36" ht="11.25" customHeight="1">
      <c r="A160" s="106"/>
      <c r="B160" s="1561"/>
      <c r="C160" s="1561"/>
      <c r="D160" s="1561"/>
      <c r="E160" s="1561"/>
      <c r="F160" s="1561"/>
      <c r="G160" s="1561"/>
      <c r="H160" s="1561"/>
      <c r="I160" s="1561"/>
      <c r="J160" s="5"/>
      <c r="K160" s="1"/>
      <c r="L160" s="5"/>
      <c r="M160" s="5"/>
      <c r="N160" s="5"/>
      <c r="O160" s="5"/>
      <c r="P160" s="5"/>
      <c r="Q160" s="5"/>
      <c r="R160" s="5"/>
      <c r="S160" s="5"/>
      <c r="T160" s="5"/>
      <c r="U160" s="5"/>
      <c r="V160" s="102"/>
      <c r="W160" s="114"/>
      <c r="AE160" s="57"/>
      <c r="AH160" s="52"/>
      <c r="AJ160" s="119"/>
    </row>
    <row r="161" spans="1:36" ht="11.25" customHeight="1">
      <c r="A161" s="106"/>
      <c r="B161" s="1561" t="s">
        <v>77</v>
      </c>
      <c r="C161" s="1561"/>
      <c r="D161" s="1561"/>
      <c r="E161" s="1561"/>
      <c r="F161" s="1561"/>
      <c r="G161" s="1561"/>
      <c r="H161" s="1561"/>
      <c r="I161" s="1561"/>
      <c r="J161" s="5"/>
      <c r="K161" s="1"/>
      <c r="L161" s="5"/>
      <c r="M161" s="5"/>
      <c r="N161" s="5"/>
      <c r="O161" s="5"/>
      <c r="P161" s="5"/>
      <c r="Q161" s="5"/>
      <c r="R161" s="5"/>
      <c r="S161" s="5"/>
      <c r="T161" s="5"/>
      <c r="U161" s="5"/>
      <c r="V161" s="102"/>
      <c r="W161" s="114"/>
      <c r="AE161" s="57"/>
      <c r="AH161" s="52"/>
      <c r="AJ161" s="119"/>
    </row>
    <row r="162" spans="1:36" ht="11.25" customHeight="1">
      <c r="A162" s="106"/>
      <c r="B162" s="1561"/>
      <c r="C162" s="1561"/>
      <c r="D162" s="1561"/>
      <c r="E162" s="1561"/>
      <c r="F162" s="1561"/>
      <c r="G162" s="1561"/>
      <c r="H162" s="1561"/>
      <c r="I162" s="1561"/>
      <c r="J162" s="5"/>
      <c r="K162" s="1"/>
      <c r="L162" s="5"/>
      <c r="M162" s="5"/>
      <c r="N162" s="5"/>
      <c r="O162" s="5"/>
      <c r="P162" s="5"/>
      <c r="Q162" s="5"/>
      <c r="R162" s="5"/>
      <c r="S162" s="5"/>
      <c r="T162" s="5"/>
      <c r="U162" s="5"/>
      <c r="V162" s="102"/>
      <c r="W162" s="114"/>
      <c r="AE162" s="57"/>
      <c r="AH162" s="52"/>
      <c r="AJ162" s="119"/>
    </row>
    <row r="163" spans="1:36" ht="11.25" customHeight="1">
      <c r="A163" s="106"/>
      <c r="B163" s="1561" t="s">
        <v>66</v>
      </c>
      <c r="C163" s="1561"/>
      <c r="D163" s="1561"/>
      <c r="E163" s="1561"/>
      <c r="F163" s="1561"/>
      <c r="G163" s="1561"/>
      <c r="H163" s="1561"/>
      <c r="I163" s="1561"/>
      <c r="J163" s="5"/>
      <c r="K163" s="1"/>
      <c r="L163" s="5"/>
      <c r="M163" s="5"/>
      <c r="N163" s="5"/>
      <c r="O163" s="5"/>
      <c r="P163" s="5"/>
      <c r="Q163" s="5"/>
      <c r="R163" s="5"/>
      <c r="S163" s="5"/>
      <c r="T163" s="5"/>
      <c r="U163" s="5"/>
      <c r="V163" s="102"/>
      <c r="W163" s="114"/>
      <c r="AE163" s="57"/>
      <c r="AH163" s="52"/>
      <c r="AJ163" s="119"/>
    </row>
    <row r="164" spans="1:36" ht="11.25" customHeight="1">
      <c r="A164" s="106"/>
      <c r="B164" s="1561"/>
      <c r="C164" s="1561"/>
      <c r="D164" s="1561"/>
      <c r="E164" s="1561"/>
      <c r="F164" s="1561"/>
      <c r="G164" s="1561"/>
      <c r="H164" s="1561"/>
      <c r="I164" s="1561"/>
      <c r="J164" s="5"/>
      <c r="K164" s="1"/>
      <c r="L164" s="5"/>
      <c r="M164" s="5"/>
      <c r="N164" s="5"/>
      <c r="O164" s="5"/>
      <c r="P164" s="5"/>
      <c r="Q164" s="5"/>
      <c r="R164" s="5"/>
      <c r="S164" s="5"/>
      <c r="T164" s="5"/>
      <c r="U164" s="5"/>
      <c r="V164" s="102"/>
      <c r="W164" s="114"/>
      <c r="AE164" s="57"/>
      <c r="AH164" s="52"/>
      <c r="AJ164" s="119"/>
    </row>
    <row r="165" spans="1:36" ht="11.25" customHeight="1">
      <c r="A165" s="106"/>
      <c r="B165" s="1561" t="s">
        <v>24</v>
      </c>
      <c r="C165" s="1561"/>
      <c r="D165" s="1561"/>
      <c r="E165" s="1561"/>
      <c r="F165" s="1561"/>
      <c r="G165" s="1561"/>
      <c r="H165" s="1561"/>
      <c r="I165" s="1561"/>
      <c r="J165" s="5"/>
      <c r="K165" s="1"/>
      <c r="L165" s="5"/>
      <c r="M165" s="5"/>
      <c r="N165" s="5"/>
      <c r="O165" s="5"/>
      <c r="P165" s="5"/>
      <c r="Q165" s="5"/>
      <c r="R165" s="5"/>
      <c r="S165" s="5"/>
      <c r="T165" s="5"/>
      <c r="U165" s="5"/>
      <c r="V165" s="102"/>
      <c r="W165" s="114"/>
      <c r="AE165" s="57"/>
      <c r="AH165" s="52"/>
      <c r="AJ165" s="119"/>
    </row>
    <row r="166" spans="1:36" ht="11.25" customHeight="1">
      <c r="A166" s="106"/>
      <c r="B166" s="1561"/>
      <c r="C166" s="1561"/>
      <c r="D166" s="1561"/>
      <c r="E166" s="1561"/>
      <c r="F166" s="1561"/>
      <c r="G166" s="1561"/>
      <c r="H166" s="1561"/>
      <c r="I166" s="1561"/>
      <c r="J166" s="5"/>
      <c r="K166" s="1"/>
      <c r="L166" s="5"/>
      <c r="M166" s="5"/>
      <c r="N166" s="5"/>
      <c r="O166" s="5"/>
      <c r="P166" s="5"/>
      <c r="Q166" s="5"/>
      <c r="R166" s="5"/>
      <c r="S166" s="5"/>
      <c r="T166" s="5"/>
      <c r="U166" s="5"/>
      <c r="V166" s="102"/>
      <c r="W166" s="114"/>
      <c r="AE166" s="57"/>
      <c r="AH166" s="52"/>
      <c r="AJ166" s="119"/>
    </row>
    <row r="167" spans="1:36" ht="11.25" customHeight="1">
      <c r="A167" s="106"/>
      <c r="B167" s="1561" t="s">
        <v>22</v>
      </c>
      <c r="C167" s="1561"/>
      <c r="D167" s="1561"/>
      <c r="E167" s="1561"/>
      <c r="F167" s="1561"/>
      <c r="G167" s="1561"/>
      <c r="H167" s="1561"/>
      <c r="I167" s="1561"/>
      <c r="J167" s="5"/>
      <c r="K167" s="1"/>
      <c r="L167" s="5"/>
      <c r="M167" s="5"/>
      <c r="N167" s="5"/>
      <c r="O167" s="5"/>
      <c r="P167" s="5"/>
      <c r="Q167" s="5"/>
      <c r="R167" s="5"/>
      <c r="S167" s="5"/>
      <c r="T167" s="5"/>
      <c r="U167" s="5"/>
      <c r="V167" s="102"/>
      <c r="W167" s="114"/>
      <c r="AE167" s="57"/>
      <c r="AH167" s="52"/>
      <c r="AJ167" s="119"/>
    </row>
    <row r="168" spans="1:36" ht="11.25" customHeight="1">
      <c r="A168" s="106"/>
      <c r="B168" s="1561"/>
      <c r="C168" s="1561"/>
      <c r="D168" s="1561"/>
      <c r="E168" s="1561"/>
      <c r="F168" s="1561"/>
      <c r="G168" s="1561"/>
      <c r="H168" s="1561"/>
      <c r="I168" s="1561"/>
      <c r="J168" s="5"/>
      <c r="K168" s="1"/>
      <c r="L168" s="5"/>
      <c r="M168" s="5"/>
      <c r="N168" s="5"/>
      <c r="O168" s="5"/>
      <c r="P168" s="5"/>
      <c r="Q168" s="5"/>
      <c r="R168" s="5"/>
      <c r="S168" s="5"/>
      <c r="T168" s="5"/>
      <c r="U168" s="5"/>
      <c r="V168" s="102"/>
      <c r="W168" s="114"/>
      <c r="AE168" s="57"/>
      <c r="AH168" s="52"/>
      <c r="AJ168" s="119"/>
    </row>
    <row r="169" spans="1:36" ht="11.25" customHeight="1">
      <c r="A169" s="106"/>
      <c r="B169" s="1561" t="s">
        <v>25</v>
      </c>
      <c r="C169" s="1561"/>
      <c r="D169" s="1561"/>
      <c r="E169" s="1561"/>
      <c r="F169" s="1561"/>
      <c r="G169" s="1561"/>
      <c r="H169" s="1561"/>
      <c r="I169" s="1561"/>
      <c r="J169" s="5"/>
      <c r="K169" s="1"/>
      <c r="L169" s="5"/>
      <c r="M169" s="5"/>
      <c r="N169" s="5"/>
      <c r="O169" s="5"/>
      <c r="P169" s="5"/>
      <c r="Q169" s="5"/>
      <c r="R169" s="5"/>
      <c r="S169" s="5"/>
      <c r="T169" s="5"/>
      <c r="U169" s="5"/>
      <c r="V169" s="102"/>
      <c r="W169" s="114"/>
      <c r="AE169" s="57"/>
      <c r="AH169" s="52"/>
      <c r="AJ169" s="119"/>
    </row>
    <row r="170" spans="1:36" ht="11.25" customHeight="1">
      <c r="A170" s="106"/>
      <c r="B170" s="1561"/>
      <c r="C170" s="1561"/>
      <c r="D170" s="1561"/>
      <c r="E170" s="1561"/>
      <c r="F170" s="1561"/>
      <c r="G170" s="1561"/>
      <c r="H170" s="1561"/>
      <c r="I170" s="1561"/>
      <c r="J170" s="5"/>
      <c r="K170" s="1"/>
      <c r="L170" s="5"/>
      <c r="M170" s="5"/>
      <c r="N170" s="5"/>
      <c r="O170" s="5"/>
      <c r="P170" s="5"/>
      <c r="Q170" s="5"/>
      <c r="R170" s="5"/>
      <c r="S170" s="5"/>
      <c r="T170" s="5"/>
      <c r="U170" s="5"/>
      <c r="V170" s="102"/>
      <c r="W170" s="114"/>
      <c r="AE170" s="57"/>
      <c r="AH170" s="52"/>
      <c r="AJ170" s="119"/>
    </row>
    <row r="171" spans="1:36" ht="11.25" customHeight="1">
      <c r="A171" s="106"/>
      <c r="B171" s="1561" t="s">
        <v>18</v>
      </c>
      <c r="C171" s="1561"/>
      <c r="D171" s="1561"/>
      <c r="E171" s="1561"/>
      <c r="F171" s="1561"/>
      <c r="G171" s="1561"/>
      <c r="H171" s="1561"/>
      <c r="I171" s="1561"/>
      <c r="J171" s="5"/>
      <c r="K171" s="1"/>
      <c r="L171" s="5"/>
      <c r="M171" s="5"/>
      <c r="N171" s="5"/>
      <c r="O171" s="5"/>
      <c r="P171" s="5"/>
      <c r="Q171" s="5"/>
      <c r="R171" s="5"/>
      <c r="S171" s="5"/>
      <c r="T171" s="5"/>
      <c r="U171" s="5"/>
      <c r="V171" s="102"/>
      <c r="W171" s="114"/>
      <c r="AE171" s="57"/>
      <c r="AH171" s="52"/>
      <c r="AJ171" s="119"/>
    </row>
    <row r="172" spans="1:36" ht="11.25" customHeight="1">
      <c r="A172" s="106"/>
      <c r="B172" s="1561"/>
      <c r="C172" s="1561"/>
      <c r="D172" s="1561"/>
      <c r="E172" s="1561"/>
      <c r="F172" s="1561"/>
      <c r="G172" s="1561"/>
      <c r="H172" s="1561"/>
      <c r="I172" s="1561"/>
      <c r="J172" s="5"/>
      <c r="K172" s="1"/>
      <c r="L172" s="5"/>
      <c r="M172" s="5"/>
      <c r="N172" s="5"/>
      <c r="O172" s="5"/>
      <c r="P172" s="5"/>
      <c r="Q172" s="5"/>
      <c r="R172" s="5"/>
      <c r="S172" s="5"/>
      <c r="T172" s="5"/>
      <c r="U172" s="5"/>
      <c r="V172" s="102"/>
      <c r="W172" s="114"/>
      <c r="AE172" s="57"/>
      <c r="AH172" s="52"/>
      <c r="AJ172" s="119"/>
    </row>
    <row r="173" spans="1:36" ht="11.25" customHeight="1">
      <c r="A173" s="106"/>
      <c r="B173" s="1561" t="s">
        <v>19</v>
      </c>
      <c r="C173" s="1561"/>
      <c r="D173" s="1561"/>
      <c r="E173" s="1561"/>
      <c r="F173" s="1561"/>
      <c r="G173" s="1561"/>
      <c r="H173" s="1561"/>
      <c r="I173" s="1561"/>
      <c r="J173" s="5"/>
      <c r="K173" s="1"/>
      <c r="L173" s="5"/>
      <c r="M173" s="5"/>
      <c r="N173" s="5"/>
      <c r="O173" s="5"/>
      <c r="P173" s="5"/>
      <c r="Q173" s="5"/>
      <c r="R173" s="5"/>
      <c r="S173" s="5"/>
      <c r="T173" s="5"/>
      <c r="U173" s="5"/>
      <c r="V173" s="102"/>
      <c r="W173" s="114"/>
      <c r="AE173" s="57"/>
      <c r="AH173" s="52"/>
      <c r="AJ173" s="119"/>
    </row>
    <row r="174" spans="1:36" ht="11.25" customHeight="1">
      <c r="A174" s="106"/>
      <c r="B174" s="1561"/>
      <c r="C174" s="1561"/>
      <c r="D174" s="1561"/>
      <c r="E174" s="1561"/>
      <c r="F174" s="1561"/>
      <c r="G174" s="1561"/>
      <c r="H174" s="1561"/>
      <c r="I174" s="1561"/>
      <c r="J174" s="5"/>
      <c r="K174" s="1"/>
      <c r="L174" s="5"/>
      <c r="M174" s="5"/>
      <c r="N174" s="5"/>
      <c r="O174" s="5"/>
      <c r="P174" s="5"/>
      <c r="Q174" s="5"/>
      <c r="R174" s="5"/>
      <c r="S174" s="5"/>
      <c r="T174" s="5"/>
      <c r="U174" s="5"/>
      <c r="V174" s="102"/>
      <c r="W174" s="114"/>
      <c r="AE174" s="57"/>
      <c r="AH174" s="52"/>
      <c r="AJ174" s="119"/>
    </row>
    <row r="175" spans="1:36" ht="11.25" customHeight="1">
      <c r="A175" s="106"/>
      <c r="B175" s="1561" t="s">
        <v>20</v>
      </c>
      <c r="C175" s="1561"/>
      <c r="D175" s="1561"/>
      <c r="E175" s="1561"/>
      <c r="F175" s="1561"/>
      <c r="G175" s="1561"/>
      <c r="H175" s="1561"/>
      <c r="I175" s="1561"/>
      <c r="J175" s="5"/>
      <c r="K175" s="1"/>
      <c r="L175" s="5"/>
      <c r="M175" s="5"/>
      <c r="N175" s="5"/>
      <c r="O175" s="5"/>
      <c r="P175" s="5"/>
      <c r="Q175" s="5"/>
      <c r="R175" s="5"/>
      <c r="S175" s="5"/>
      <c r="T175" s="5"/>
      <c r="U175" s="5"/>
      <c r="V175" s="102"/>
      <c r="W175" s="114"/>
      <c r="AE175" s="57"/>
      <c r="AH175" s="52"/>
      <c r="AJ175" s="119"/>
    </row>
    <row r="176" spans="1:36" ht="11.25" customHeight="1">
      <c r="A176" s="106"/>
      <c r="B176" s="1561"/>
      <c r="C176" s="1561"/>
      <c r="D176" s="1561"/>
      <c r="E176" s="1561"/>
      <c r="F176" s="1561"/>
      <c r="G176" s="1561"/>
      <c r="H176" s="1561"/>
      <c r="I176" s="1561"/>
      <c r="J176" s="5"/>
      <c r="K176" s="1"/>
      <c r="L176" s="5"/>
      <c r="M176" s="5"/>
      <c r="N176" s="5"/>
      <c r="O176" s="5"/>
      <c r="P176" s="5"/>
      <c r="Q176" s="5"/>
      <c r="R176" s="5"/>
      <c r="S176" s="5"/>
      <c r="T176" s="5"/>
      <c r="U176" s="5"/>
      <c r="V176" s="102"/>
      <c r="W176" s="114"/>
      <c r="AE176" s="57"/>
      <c r="AH176" s="52"/>
      <c r="AJ176" s="119"/>
    </row>
    <row r="177" spans="1:45" ht="11.25" customHeight="1">
      <c r="A177" s="106"/>
      <c r="B177" s="1561" t="s">
        <v>26</v>
      </c>
      <c r="C177" s="1561"/>
      <c r="D177" s="1561"/>
      <c r="E177" s="1561"/>
      <c r="F177" s="1561"/>
      <c r="G177" s="1561"/>
      <c r="H177" s="1561"/>
      <c r="I177" s="1561"/>
      <c r="J177" s="5"/>
      <c r="K177" s="1"/>
      <c r="L177" s="5"/>
      <c r="M177" s="5"/>
      <c r="N177" s="5"/>
      <c r="O177" s="5"/>
      <c r="P177" s="5"/>
      <c r="Q177" s="5"/>
      <c r="R177" s="5"/>
      <c r="S177" s="5"/>
      <c r="T177" s="5"/>
      <c r="U177" s="5"/>
      <c r="V177" s="102"/>
      <c r="W177" s="114"/>
      <c r="AE177" s="57"/>
      <c r="AH177" s="52"/>
      <c r="AJ177" s="119"/>
    </row>
    <row r="178" spans="1:45" ht="11.25" customHeight="1">
      <c r="A178" s="106"/>
      <c r="B178" s="1561"/>
      <c r="C178" s="1561"/>
      <c r="D178" s="1561"/>
      <c r="E178" s="1561"/>
      <c r="F178" s="1561"/>
      <c r="G178" s="1561"/>
      <c r="H178" s="1561"/>
      <c r="I178" s="1561"/>
      <c r="J178" s="5"/>
      <c r="K178" s="1"/>
      <c r="L178" s="5"/>
      <c r="M178" s="5"/>
      <c r="N178" s="5"/>
      <c r="O178" s="5"/>
      <c r="P178" s="5"/>
      <c r="Q178" s="5"/>
      <c r="R178" s="5"/>
      <c r="S178" s="5"/>
      <c r="T178" s="5"/>
      <c r="U178" s="5"/>
      <c r="V178" s="102"/>
      <c r="W178" s="114"/>
      <c r="AE178" s="57"/>
      <c r="AH178" s="52"/>
      <c r="AJ178" s="119"/>
    </row>
    <row r="179" spans="1:45" ht="11.25" customHeight="1">
      <c r="A179" s="106"/>
      <c r="B179" s="1561" t="s">
        <v>21</v>
      </c>
      <c r="C179" s="1561"/>
      <c r="D179" s="1561"/>
      <c r="E179" s="1561"/>
      <c r="F179" s="1561"/>
      <c r="G179" s="1561"/>
      <c r="H179" s="1561"/>
      <c r="I179" s="1561"/>
      <c r="J179" s="5"/>
      <c r="K179" s="1"/>
      <c r="L179" s="5"/>
      <c r="M179" s="5"/>
      <c r="N179" s="5"/>
      <c r="O179" s="5"/>
      <c r="P179" s="5"/>
      <c r="Q179" s="5"/>
      <c r="R179" s="5"/>
      <c r="S179" s="5"/>
      <c r="T179" s="5"/>
      <c r="U179" s="5"/>
      <c r="V179" s="102"/>
      <c r="W179" s="114"/>
      <c r="AE179" s="57"/>
      <c r="AH179" s="52"/>
      <c r="AJ179" s="119"/>
    </row>
    <row r="180" spans="1:45" ht="11.25" customHeight="1">
      <c r="A180" s="106"/>
      <c r="B180" s="1561"/>
      <c r="C180" s="1561"/>
      <c r="D180" s="1561"/>
      <c r="E180" s="1561"/>
      <c r="F180" s="1561"/>
      <c r="G180" s="1561"/>
      <c r="H180" s="1561"/>
      <c r="I180" s="1561"/>
      <c r="J180" s="5"/>
      <c r="K180" s="1"/>
      <c r="L180" s="5"/>
      <c r="M180" s="5"/>
      <c r="N180" s="5"/>
      <c r="O180" s="5"/>
      <c r="P180" s="5"/>
      <c r="Q180" s="5"/>
      <c r="R180" s="5"/>
      <c r="S180" s="5"/>
      <c r="T180" s="5"/>
      <c r="U180" s="5"/>
      <c r="V180" s="102"/>
      <c r="W180" s="114"/>
      <c r="AE180" s="57"/>
      <c r="AH180" s="52"/>
      <c r="AJ180" s="119"/>
    </row>
    <row r="181" spans="1:45" ht="12.75">
      <c r="A181" s="106"/>
      <c r="B181" s="1561" t="s">
        <v>740</v>
      </c>
      <c r="C181" s="1561"/>
      <c r="D181" s="1561"/>
      <c r="E181" s="1561"/>
      <c r="F181" s="1561"/>
      <c r="G181" s="1561"/>
      <c r="H181" s="1561"/>
      <c r="I181" s="1561"/>
      <c r="J181" s="5"/>
      <c r="K181" s="1"/>
      <c r="L181" s="5"/>
      <c r="M181" s="5"/>
      <c r="N181" s="5"/>
      <c r="O181" s="5"/>
      <c r="P181" s="5"/>
      <c r="Q181" s="5"/>
      <c r="R181" s="5"/>
      <c r="S181" s="5"/>
      <c r="T181" s="5"/>
      <c r="U181" s="5"/>
      <c r="V181" s="102"/>
      <c r="W181" s="114"/>
      <c r="AE181" s="57"/>
      <c r="AH181" s="52"/>
      <c r="AJ181" s="119"/>
    </row>
    <row r="182" spans="1:45" s="55" customFormat="1" ht="11.25" customHeight="1">
      <c r="A182" s="106"/>
      <c r="B182" s="1561"/>
      <c r="C182" s="1561"/>
      <c r="D182" s="1561"/>
      <c r="E182" s="1561"/>
      <c r="F182" s="1561"/>
      <c r="G182" s="1561"/>
      <c r="H182" s="1561"/>
      <c r="I182" s="1561"/>
      <c r="J182" s="5"/>
      <c r="K182" s="1"/>
      <c r="L182" s="5"/>
      <c r="M182" s="5"/>
      <c r="N182" s="5"/>
      <c r="O182" s="5"/>
      <c r="P182" s="5"/>
      <c r="Q182" s="5"/>
      <c r="R182" s="5"/>
      <c r="S182" s="5"/>
      <c r="T182" s="5"/>
      <c r="U182" s="5"/>
      <c r="V182" s="102"/>
      <c r="W182" s="114"/>
      <c r="X182" s="56"/>
      <c r="Y182" s="56"/>
      <c r="Z182" s="56"/>
      <c r="AA182" s="56"/>
      <c r="AB182" s="56"/>
      <c r="AC182" s="56"/>
      <c r="AD182" s="56"/>
      <c r="AE182" s="57"/>
      <c r="AF182" s="56"/>
      <c r="AG182" s="56"/>
      <c r="AH182" s="52"/>
      <c r="AI182" s="52"/>
      <c r="AJ182" s="119"/>
      <c r="AK182" s="52"/>
      <c r="AL182" s="52"/>
      <c r="AM182" s="52"/>
      <c r="AN182" s="52"/>
      <c r="AO182" s="52"/>
      <c r="AP182" s="52"/>
      <c r="AQ182" s="52"/>
      <c r="AR182" s="52"/>
      <c r="AS182" s="52"/>
    </row>
    <row r="183" spans="1:45" ht="11.25" customHeight="1">
      <c r="A183" s="106"/>
      <c r="B183" s="1561" t="s">
        <v>593</v>
      </c>
      <c r="C183" s="1561"/>
      <c r="D183" s="1561"/>
      <c r="E183" s="1561"/>
      <c r="F183" s="1561"/>
      <c r="G183" s="1561"/>
      <c r="H183" s="1561"/>
      <c r="I183" s="1561"/>
      <c r="J183" s="5"/>
      <c r="K183" s="1"/>
      <c r="L183" s="5"/>
      <c r="M183" s="5"/>
      <c r="N183" s="5"/>
      <c r="O183" s="5"/>
      <c r="P183" s="5"/>
      <c r="Q183" s="5"/>
      <c r="R183" s="5"/>
      <c r="S183" s="5"/>
      <c r="T183" s="5"/>
      <c r="U183" s="5"/>
      <c r="V183" s="102"/>
      <c r="W183" s="114"/>
      <c r="AE183" s="57"/>
      <c r="AH183" s="52"/>
      <c r="AJ183" s="119"/>
    </row>
    <row r="184" spans="1:45" ht="11.25" customHeight="1">
      <c r="A184" s="106"/>
      <c r="B184" s="1561"/>
      <c r="C184" s="1561"/>
      <c r="D184" s="1561"/>
      <c r="E184" s="1561"/>
      <c r="F184" s="1561"/>
      <c r="G184" s="1561"/>
      <c r="H184" s="1561"/>
      <c r="I184" s="1561"/>
      <c r="J184" s="5"/>
      <c r="K184" s="1"/>
      <c r="L184" s="5"/>
      <c r="M184" s="5"/>
      <c r="N184" s="5"/>
      <c r="O184" s="5"/>
      <c r="P184" s="5"/>
      <c r="Q184" s="5"/>
      <c r="R184" s="5"/>
      <c r="S184" s="5"/>
      <c r="T184" s="5"/>
      <c r="U184" s="5"/>
      <c r="V184" s="102"/>
      <c r="W184" s="114"/>
      <c r="AE184" s="57"/>
      <c r="AH184" s="52"/>
      <c r="AJ184" s="119"/>
    </row>
    <row r="185" spans="1:45" ht="11.25" customHeight="1">
      <c r="A185" s="106"/>
      <c r="B185" s="1561" t="s">
        <v>29</v>
      </c>
      <c r="C185" s="1561"/>
      <c r="D185" s="1561"/>
      <c r="E185" s="1561"/>
      <c r="F185" s="1561"/>
      <c r="G185" s="1561"/>
      <c r="H185" s="1561"/>
      <c r="I185" s="1561"/>
      <c r="J185" s="5"/>
      <c r="K185" s="1"/>
      <c r="L185" s="5"/>
      <c r="M185" s="5"/>
      <c r="N185" s="5"/>
      <c r="O185" s="5"/>
      <c r="P185" s="5"/>
      <c r="Q185" s="5"/>
      <c r="R185" s="5"/>
      <c r="S185" s="5"/>
      <c r="T185" s="5"/>
      <c r="U185" s="5"/>
      <c r="V185" s="102"/>
      <c r="W185" s="114"/>
      <c r="AE185" s="57"/>
      <c r="AH185" s="52"/>
      <c r="AJ185" s="119"/>
    </row>
    <row r="186" spans="1:45" ht="11.25" customHeight="1">
      <c r="A186" s="106"/>
      <c r="B186" s="1561"/>
      <c r="C186" s="1561"/>
      <c r="D186" s="1561"/>
      <c r="E186" s="1561"/>
      <c r="F186" s="1561"/>
      <c r="G186" s="1561"/>
      <c r="H186" s="1561"/>
      <c r="I186" s="1561"/>
      <c r="J186" s="5"/>
      <c r="K186" s="1"/>
      <c r="L186" s="5"/>
      <c r="M186" s="5"/>
      <c r="N186" s="5"/>
      <c r="O186" s="5"/>
      <c r="P186" s="5"/>
      <c r="Q186" s="5"/>
      <c r="R186" s="5"/>
      <c r="S186" s="5"/>
      <c r="T186" s="5"/>
      <c r="U186" s="5"/>
      <c r="V186" s="102"/>
      <c r="W186" s="114"/>
      <c r="AE186" s="57"/>
      <c r="AH186" s="52"/>
      <c r="AJ186" s="119"/>
    </row>
    <row r="187" spans="1:45" ht="11.25" customHeight="1">
      <c r="A187" s="106"/>
      <c r="B187" s="1561" t="s">
        <v>573</v>
      </c>
      <c r="C187" s="1561"/>
      <c r="D187" s="1561"/>
      <c r="E187" s="1561"/>
      <c r="F187" s="1561"/>
      <c r="G187" s="1561"/>
      <c r="H187" s="1561"/>
      <c r="I187" s="1561"/>
      <c r="J187" s="5"/>
      <c r="K187" s="1"/>
      <c r="L187" s="5"/>
      <c r="M187" s="5"/>
      <c r="N187" s="5"/>
      <c r="O187" s="5"/>
      <c r="P187" s="5"/>
      <c r="Q187" s="5"/>
      <c r="R187" s="5"/>
      <c r="S187" s="5"/>
      <c r="T187" s="5"/>
      <c r="U187" s="5"/>
      <c r="V187" s="102"/>
      <c r="W187" s="114"/>
      <c r="AE187" s="57"/>
      <c r="AH187" s="52"/>
      <c r="AJ187" s="119"/>
    </row>
    <row r="188" spans="1:45" ht="11.25" customHeight="1">
      <c r="A188" s="106"/>
      <c r="B188" s="1561"/>
      <c r="C188" s="1561"/>
      <c r="D188" s="1561"/>
      <c r="E188" s="1561"/>
      <c r="F188" s="1561"/>
      <c r="G188" s="1561"/>
      <c r="H188" s="1561"/>
      <c r="I188" s="1561"/>
      <c r="J188" s="5"/>
      <c r="K188" s="1"/>
      <c r="L188" s="5"/>
      <c r="M188" s="5"/>
      <c r="N188" s="5"/>
      <c r="O188" s="5"/>
      <c r="P188" s="5"/>
      <c r="Q188" s="5"/>
      <c r="R188" s="5"/>
      <c r="S188" s="5"/>
      <c r="T188" s="5"/>
      <c r="U188" s="5"/>
      <c r="V188" s="102"/>
      <c r="W188" s="114"/>
      <c r="AE188" s="57"/>
      <c r="AH188" s="52"/>
      <c r="AJ188" s="119"/>
    </row>
    <row r="189" spans="1:45" ht="11.25" customHeight="1">
      <c r="A189" s="106"/>
      <c r="B189" s="1561" t="s">
        <v>690</v>
      </c>
      <c r="C189" s="1561"/>
      <c r="D189" s="1561"/>
      <c r="E189" s="1561"/>
      <c r="F189" s="1561"/>
      <c r="G189" s="1561"/>
      <c r="H189" s="1561"/>
      <c r="I189" s="1561"/>
      <c r="J189" s="5"/>
      <c r="K189" s="1"/>
      <c r="L189" s="5"/>
      <c r="M189" s="5"/>
      <c r="N189" s="5"/>
      <c r="O189" s="5"/>
      <c r="P189" s="5"/>
      <c r="Q189" s="5"/>
      <c r="R189" s="5"/>
      <c r="S189" s="5"/>
      <c r="T189" s="5"/>
      <c r="U189" s="5"/>
      <c r="V189" s="102"/>
      <c r="W189" s="114"/>
      <c r="AE189" s="57"/>
      <c r="AH189" s="52"/>
      <c r="AJ189" s="119"/>
    </row>
    <row r="190" spans="1:45" ht="11.25" customHeight="1">
      <c r="A190" s="106"/>
      <c r="B190" s="1561"/>
      <c r="C190" s="1561"/>
      <c r="D190" s="1561"/>
      <c r="E190" s="1561"/>
      <c r="F190" s="1561"/>
      <c r="G190" s="1561"/>
      <c r="H190" s="1561"/>
      <c r="I190" s="1561"/>
      <c r="J190" s="5"/>
      <c r="K190" s="1"/>
      <c r="L190" s="5"/>
      <c r="M190" s="5"/>
      <c r="N190" s="5"/>
      <c r="O190" s="5"/>
      <c r="P190" s="5"/>
      <c r="Q190" s="5"/>
      <c r="R190" s="5"/>
      <c r="S190" s="5"/>
      <c r="T190" s="5"/>
      <c r="U190" s="5"/>
      <c r="V190" s="102"/>
      <c r="W190" s="114"/>
      <c r="AE190" s="57"/>
      <c r="AH190" s="52"/>
      <c r="AJ190" s="119"/>
    </row>
    <row r="191" spans="1:45" ht="11.25" customHeight="1">
      <c r="A191" s="106"/>
      <c r="B191" s="1561" t="s">
        <v>596</v>
      </c>
      <c r="C191" s="1561"/>
      <c r="D191" s="1561"/>
      <c r="E191" s="1561"/>
      <c r="F191" s="1561"/>
      <c r="G191" s="1561"/>
      <c r="H191" s="1561"/>
      <c r="I191" s="1561"/>
      <c r="J191" s="5"/>
      <c r="K191" s="1"/>
      <c r="L191" s="5"/>
      <c r="M191" s="5"/>
      <c r="N191" s="5"/>
      <c r="O191" s="5"/>
      <c r="P191" s="5"/>
      <c r="Q191" s="5"/>
      <c r="R191" s="5"/>
      <c r="S191" s="5"/>
      <c r="T191" s="5"/>
      <c r="U191" s="5"/>
      <c r="V191" s="102"/>
      <c r="W191" s="114"/>
      <c r="AE191" s="57"/>
      <c r="AH191" s="52"/>
      <c r="AJ191" s="119"/>
    </row>
    <row r="192" spans="1:45" ht="11.25" customHeight="1">
      <c r="A192" s="106"/>
      <c r="B192" s="1561"/>
      <c r="C192" s="1561"/>
      <c r="D192" s="1561"/>
      <c r="E192" s="1561"/>
      <c r="F192" s="1561"/>
      <c r="G192" s="1561"/>
      <c r="H192" s="1561"/>
      <c r="I192" s="1561"/>
      <c r="J192" s="5"/>
      <c r="K192" s="1"/>
      <c r="L192" s="5"/>
      <c r="M192" s="5"/>
      <c r="N192" s="5"/>
      <c r="O192" s="5"/>
      <c r="P192" s="5"/>
      <c r="Q192" s="5"/>
      <c r="R192" s="5"/>
      <c r="S192" s="5"/>
      <c r="T192" s="5"/>
      <c r="U192" s="5"/>
      <c r="V192" s="102"/>
      <c r="W192" s="114"/>
      <c r="AE192" s="57"/>
      <c r="AH192" s="52"/>
      <c r="AJ192" s="119"/>
    </row>
    <row r="193" spans="1:36" ht="11.25" customHeight="1">
      <c r="A193" s="106"/>
      <c r="B193" s="1561" t="s">
        <v>741</v>
      </c>
      <c r="C193" s="1561"/>
      <c r="D193" s="1561"/>
      <c r="E193" s="1561"/>
      <c r="F193" s="1561"/>
      <c r="G193" s="1561"/>
      <c r="H193" s="1561"/>
      <c r="I193" s="1561"/>
      <c r="J193" s="5"/>
      <c r="K193" s="1"/>
      <c r="L193" s="5"/>
      <c r="M193" s="5"/>
      <c r="N193" s="5"/>
      <c r="O193" s="5"/>
      <c r="P193" s="5"/>
      <c r="Q193" s="5"/>
      <c r="R193" s="5"/>
      <c r="S193" s="5"/>
      <c r="T193" s="5"/>
      <c r="U193" s="5"/>
      <c r="V193" s="102"/>
      <c r="W193" s="114"/>
      <c r="AE193" s="57"/>
      <c r="AH193" s="52"/>
      <c r="AJ193" s="119"/>
    </row>
    <row r="194" spans="1:36" ht="11.25" customHeight="1">
      <c r="A194" s="106"/>
      <c r="B194" s="1561"/>
      <c r="C194" s="1561"/>
      <c r="D194" s="1561"/>
      <c r="E194" s="1561"/>
      <c r="F194" s="1561"/>
      <c r="G194" s="1561"/>
      <c r="H194" s="1561"/>
      <c r="I194" s="1561"/>
      <c r="J194" s="5"/>
      <c r="K194" s="1"/>
      <c r="L194" s="5"/>
      <c r="M194" s="5"/>
      <c r="N194" s="5"/>
      <c r="O194" s="5"/>
      <c r="P194" s="5"/>
      <c r="Q194" s="5"/>
      <c r="R194" s="5"/>
      <c r="S194" s="5"/>
      <c r="T194" s="5"/>
      <c r="U194" s="5"/>
      <c r="V194" s="102"/>
      <c r="W194" s="114"/>
      <c r="AE194" s="57"/>
      <c r="AH194" s="52"/>
      <c r="AJ194" s="119"/>
    </row>
    <row r="195" spans="1:36" ht="11.25" customHeight="1">
      <c r="A195" s="189"/>
      <c r="B195" s="706"/>
      <c r="C195" s="187"/>
      <c r="D195" s="187"/>
      <c r="E195" s="708"/>
      <c r="F195" s="708"/>
      <c r="G195" s="708"/>
      <c r="H195" s="708"/>
      <c r="I195" s="708"/>
      <c r="J195" s="107"/>
      <c r="K195" s="108"/>
      <c r="L195" s="107"/>
      <c r="M195" s="107"/>
      <c r="N195" s="107"/>
      <c r="O195" s="107"/>
      <c r="P195" s="107"/>
      <c r="Q195" s="107"/>
      <c r="R195" s="107"/>
      <c r="S195" s="107"/>
      <c r="T195" s="107"/>
      <c r="U195" s="107"/>
      <c r="V195" s="105"/>
      <c r="W195" s="709"/>
      <c r="X195" s="289"/>
      <c r="Y195" s="289"/>
      <c r="Z195" s="289"/>
      <c r="AA195" s="289"/>
      <c r="AB195" s="289"/>
      <c r="AC195" s="289"/>
      <c r="AD195" s="289"/>
      <c r="AE195" s="710"/>
      <c r="AF195" s="289"/>
      <c r="AG195" s="289"/>
      <c r="AH195" s="363"/>
      <c r="AI195" s="363"/>
      <c r="AJ195" s="184"/>
    </row>
    <row r="306" spans="37:37" ht="11.25" customHeight="1">
      <c r="AK306" s="52" t="b">
        <v>1</v>
      </c>
    </row>
  </sheetData>
  <mergeCells count="72">
    <mergeCell ref="B193:I194"/>
    <mergeCell ref="B181:I182"/>
    <mergeCell ref="B183:I184"/>
    <mergeCell ref="B185:I186"/>
    <mergeCell ref="B187:I188"/>
    <mergeCell ref="B189:I190"/>
    <mergeCell ref="B191:I192"/>
    <mergeCell ref="B175:I176"/>
    <mergeCell ref="B177:I178"/>
    <mergeCell ref="B179:I180"/>
    <mergeCell ref="B163:I164"/>
    <mergeCell ref="B165:I166"/>
    <mergeCell ref="B167:I168"/>
    <mergeCell ref="B169:I170"/>
    <mergeCell ref="B171:I172"/>
    <mergeCell ref="B153:I154"/>
    <mergeCell ref="B155:I156"/>
    <mergeCell ref="B157:I158"/>
    <mergeCell ref="B159:I160"/>
    <mergeCell ref="B161:I162"/>
    <mergeCell ref="AL107:AP107"/>
    <mergeCell ref="AQ107:AQ109"/>
    <mergeCell ref="Y7:Z7"/>
    <mergeCell ref="AA7:AE7"/>
    <mergeCell ref="Y77:Z77"/>
    <mergeCell ref="AA77:AE77"/>
    <mergeCell ref="AK8:AO8"/>
    <mergeCell ref="AL37:AP37"/>
    <mergeCell ref="Z8:Z9"/>
    <mergeCell ref="Y8:Y9"/>
    <mergeCell ref="B5:T6"/>
    <mergeCell ref="B7:B9"/>
    <mergeCell ref="D7:H7"/>
    <mergeCell ref="L7:Q7"/>
    <mergeCell ref="R7:R9"/>
    <mergeCell ref="P8:Q8"/>
    <mergeCell ref="P9:Q9"/>
    <mergeCell ref="I7:J9"/>
    <mergeCell ref="T7:T9"/>
    <mergeCell ref="M63:O63"/>
    <mergeCell ref="Q63:T63"/>
    <mergeCell ref="B34:T34"/>
    <mergeCell ref="A36:U36"/>
    <mergeCell ref="A37:U37"/>
    <mergeCell ref="M64:T64"/>
    <mergeCell ref="I77:J79"/>
    <mergeCell ref="T77:T79"/>
    <mergeCell ref="A69:U69"/>
    <mergeCell ref="A70:U70"/>
    <mergeCell ref="B75:T76"/>
    <mergeCell ref="B77:B79"/>
    <mergeCell ref="D77:H77"/>
    <mergeCell ref="L77:Q77"/>
    <mergeCell ref="R77:R79"/>
    <mergeCell ref="P78:Q78"/>
    <mergeCell ref="P79:Q79"/>
    <mergeCell ref="M134:T134"/>
    <mergeCell ref="Z78:Z79"/>
    <mergeCell ref="A139:U139"/>
    <mergeCell ref="A140:U140"/>
    <mergeCell ref="B173:I174"/>
    <mergeCell ref="M133:O133"/>
    <mergeCell ref="Q133:T133"/>
    <mergeCell ref="Y78:Y79"/>
    <mergeCell ref="B104:T104"/>
    <mergeCell ref="A106:U106"/>
    <mergeCell ref="A107:U107"/>
    <mergeCell ref="B143:I144"/>
    <mergeCell ref="B145:I146"/>
    <mergeCell ref="B147:I148"/>
    <mergeCell ref="B149:I150"/>
    <mergeCell ref="B151:I152"/>
  </mergeCells>
  <conditionalFormatting sqref="A1:A140">
    <cfRule type="containsErrors" dxfId="101" priority="28">
      <formula>ISERROR(A1)</formula>
    </cfRule>
  </conditionalFormatting>
  <conditionalFormatting sqref="A10:A31">
    <cfRule type="cellIs" dxfId="100" priority="78" operator="equal">
      <formula>0</formula>
    </cfRule>
  </conditionalFormatting>
  <conditionalFormatting sqref="A37">
    <cfRule type="cellIs" dxfId="99" priority="73" operator="equal">
      <formula>0</formula>
    </cfRule>
  </conditionalFormatting>
  <conditionalFormatting sqref="A70">
    <cfRule type="cellIs" dxfId="98" priority="71" operator="equal">
      <formula>0</formula>
    </cfRule>
  </conditionalFormatting>
  <conditionalFormatting sqref="A80:A101">
    <cfRule type="cellIs" dxfId="97" priority="67" operator="equal">
      <formula>0</formula>
    </cfRule>
  </conditionalFormatting>
  <conditionalFormatting sqref="A107">
    <cfRule type="cellIs" dxfId="96" priority="63" operator="equal">
      <formula>0</formula>
    </cfRule>
  </conditionalFormatting>
  <conditionalFormatting sqref="A140">
    <cfRule type="cellIs" dxfId="95" priority="61" operator="equal">
      <formula>0</formula>
    </cfRule>
  </conditionalFormatting>
  <conditionalFormatting sqref="A196:A1048576">
    <cfRule type="containsErrors" dxfId="94" priority="77">
      <formula>ISERROR(A196)</formula>
    </cfRule>
  </conditionalFormatting>
  <conditionalFormatting sqref="B10:B30 D10:I30 L10:P30 T10:T30 Q10:R31 B50:C65 B80:B100 D80:J100 L80:P100 R80:R100 T80:T100 Q80:Q101 B120:C135">
    <cfRule type="expression" dxfId="93" priority="20">
      <formula>$B10=$Y$4</formula>
    </cfRule>
  </conditionalFormatting>
  <conditionalFormatting sqref="B120:C135">
    <cfRule type="containsErrors" dxfId="92" priority="81">
      <formula>ISERROR(B120)</formula>
    </cfRule>
  </conditionalFormatting>
  <conditionalFormatting sqref="D8:H8">
    <cfRule type="containsErrors" dxfId="91" priority="58">
      <formula>ISERROR(D8)</formula>
    </cfRule>
  </conditionalFormatting>
  <conditionalFormatting sqref="D9:H9">
    <cfRule type="containsErrors" dxfId="90" priority="60">
      <formula>ISERROR(D9)</formula>
    </cfRule>
  </conditionalFormatting>
  <conditionalFormatting sqref="D78:H78">
    <cfRule type="containsErrors" dxfId="89" priority="42">
      <formula>ISERROR(D78)</formula>
    </cfRule>
  </conditionalFormatting>
  <conditionalFormatting sqref="D79:H79">
    <cfRule type="containsErrors" dxfId="88" priority="44">
      <formula>ISERROR(D79)</formula>
    </cfRule>
  </conditionalFormatting>
  <conditionalFormatting sqref="D10:I30 D80:I100">
    <cfRule type="containsErrors" dxfId="87" priority="17">
      <formula>ISERROR(D10)</formula>
    </cfRule>
  </conditionalFormatting>
  <conditionalFormatting sqref="D32:T32">
    <cfRule type="containsErrors" dxfId="86" priority="15">
      <formula>ISERROR(D32)</formula>
    </cfRule>
  </conditionalFormatting>
  <conditionalFormatting sqref="D102:T102">
    <cfRule type="containsErrors" dxfId="85" priority="7">
      <formula>ISERROR(D102)</formula>
    </cfRule>
  </conditionalFormatting>
  <conditionalFormatting sqref="I10:I30 I80:I100">
    <cfRule type="containsErrors" dxfId="84" priority="4">
      <formula>ISERROR(I10)</formula>
    </cfRule>
  </conditionalFormatting>
  <conditionalFormatting sqref="I31:J31">
    <cfRule type="containsErrors" dxfId="83" priority="16">
      <formula>ISERROR(I31)</formula>
    </cfRule>
  </conditionalFormatting>
  <conditionalFormatting sqref="I101:J101">
    <cfRule type="containsErrors" dxfId="82" priority="8">
      <formula>ISERROR(I101)</formula>
    </cfRule>
  </conditionalFormatting>
  <conditionalFormatting sqref="J10:J31">
    <cfRule type="dataBar" priority="2625">
      <dataBar showValue="0">
        <cfvo type="min"/>
        <cfvo type="max"/>
        <color theme="9"/>
      </dataBar>
      <extLst>
        <ext xmlns:x14="http://schemas.microsoft.com/office/spreadsheetml/2009/9/main" uri="{B025F937-C7B1-47D3-B67F-A62EFF666E3E}">
          <x14:id>{6C29C9A4-D1CA-4FAB-B268-F513545F03E5}</x14:id>
        </ext>
      </extLst>
    </cfRule>
  </conditionalFormatting>
  <conditionalFormatting sqref="J80:J101">
    <cfRule type="dataBar" priority="2665">
      <dataBar showValue="0">
        <cfvo type="min"/>
        <cfvo type="max"/>
        <color theme="9"/>
      </dataBar>
      <extLst>
        <ext xmlns:x14="http://schemas.microsoft.com/office/spreadsheetml/2009/9/main" uri="{B025F937-C7B1-47D3-B67F-A62EFF666E3E}">
          <x14:id>{880C3688-A3B7-4C37-AE34-64940D92E967}</x14:id>
        </ext>
      </extLst>
    </cfRule>
  </conditionalFormatting>
  <conditionalFormatting sqref="L8:P8">
    <cfRule type="containsErrors" dxfId="81" priority="57">
      <formula>ISERROR(L8)</formula>
    </cfRule>
  </conditionalFormatting>
  <conditionalFormatting sqref="L9:P9">
    <cfRule type="containsErrors" dxfId="80" priority="83">
      <formula>ISERROR(L9)</formula>
    </cfRule>
  </conditionalFormatting>
  <conditionalFormatting sqref="L78:P78">
    <cfRule type="containsErrors" dxfId="79" priority="41">
      <formula>ISERROR(L78)</formula>
    </cfRule>
  </conditionalFormatting>
  <conditionalFormatting sqref="L79:P79">
    <cfRule type="containsErrors" dxfId="78" priority="2666">
      <formula>ISERROR(L79)</formula>
    </cfRule>
  </conditionalFormatting>
  <conditionalFormatting sqref="L31:Q31">
    <cfRule type="containsErrors" dxfId="77" priority="14">
      <formula>ISERROR(L31)</formula>
    </cfRule>
  </conditionalFormatting>
  <conditionalFormatting sqref="L101:Q101">
    <cfRule type="containsErrors" dxfId="76" priority="6">
      <formula>ISERROR(L101)</formula>
    </cfRule>
  </conditionalFormatting>
  <conditionalFormatting sqref="Q10:Q31">
    <cfRule type="containsErrors" dxfId="75" priority="2599">
      <formula>ISERROR(Q10)</formula>
    </cfRule>
    <cfRule type="dataBar" priority="2600">
      <dataBar showValue="0">
        <cfvo type="min"/>
        <cfvo type="max"/>
        <color theme="9"/>
      </dataBar>
      <extLst>
        <ext xmlns:x14="http://schemas.microsoft.com/office/spreadsheetml/2009/9/main" uri="{B025F937-C7B1-47D3-B67F-A62EFF666E3E}">
          <x14:id>{DAE83565-E6DD-47A2-A114-4466F2AD65E5}</x14:id>
        </ext>
      </extLst>
    </cfRule>
  </conditionalFormatting>
  <conditionalFormatting sqref="Q80:Q101">
    <cfRule type="containsErrors" dxfId="74" priority="2646">
      <formula>ISERROR(Q80)</formula>
    </cfRule>
    <cfRule type="dataBar" priority="2647">
      <dataBar showValue="0">
        <cfvo type="min"/>
        <cfvo type="max"/>
        <color theme="9"/>
      </dataBar>
      <extLst>
        <ext xmlns:x14="http://schemas.microsoft.com/office/spreadsheetml/2009/9/main" uri="{B025F937-C7B1-47D3-B67F-A62EFF666E3E}">
          <x14:id>{F9DA7616-9E4B-429F-ABE8-54DA71259FA2}</x14:id>
        </ext>
      </extLst>
    </cfRule>
  </conditionalFormatting>
  <conditionalFormatting sqref="R10:R30 R80:R100">
    <cfRule type="containsErrors" dxfId="73" priority="70">
      <formula>ISERROR(R10)</formula>
    </cfRule>
  </conditionalFormatting>
  <conditionalFormatting sqref="R80:R100 J10:J31 J80:J101 B10:B30 L10:P30 T10:T30 B50:C65 B80:B100 L80:P100 T80:T100">
    <cfRule type="containsErrors" dxfId="72" priority="82">
      <formula>ISERROR(B10)</formula>
    </cfRule>
  </conditionalFormatting>
  <conditionalFormatting sqref="X2:AC3">
    <cfRule type="containsErrors" dxfId="71" priority="46">
      <formula>ISERROR(X2)</formula>
    </cfRule>
  </conditionalFormatting>
  <conditionalFormatting sqref="AA9:AE9">
    <cfRule type="cellIs" dxfId="70" priority="30" stopIfTrue="1" operator="equal">
      <formula>0</formula>
    </cfRule>
  </conditionalFormatting>
  <conditionalFormatting sqref="AA79:AE79">
    <cfRule type="cellIs" dxfId="69" priority="29" stopIfTrue="1" operator="equal">
      <formula>0</formula>
    </cfRule>
  </conditionalFormatting>
  <conditionalFormatting sqref="AG10:AH21 I10:I30 J10:J31 AH22:AH26 AG80:AH91 I80:I100 J80:J101 AH92:AH96">
    <cfRule type="expression" dxfId="68" priority="75">
      <formula>$B10=$W$4</formula>
    </cfRule>
  </conditionalFormatting>
  <conditionalFormatting sqref="AG10:AH28">
    <cfRule type="containsErrors" dxfId="67" priority="76">
      <formula>ISERROR(AG10)</formula>
    </cfRule>
  </conditionalFormatting>
  <conditionalFormatting sqref="AG80:AH98">
    <cfRule type="containsErrors" dxfId="66" priority="65">
      <formula>ISERROR(AG80)</formula>
    </cfRule>
  </conditionalFormatting>
  <conditionalFormatting sqref="AH27 AH97">
    <cfRule type="expression" dxfId="65" priority="2589">
      <formula>#REF!=$W$4</formula>
    </cfRule>
  </conditionalFormatting>
  <conditionalFormatting sqref="AH28 AH98">
    <cfRule type="expression" dxfId="64" priority="2588">
      <formula>$B27=$W$4</formula>
    </cfRule>
  </conditionalFormatting>
  <conditionalFormatting sqref="AL109:AP109">
    <cfRule type="cellIs" dxfId="63" priority="3" stopIfTrue="1" operator="equal">
      <formula>0</formula>
    </cfRule>
  </conditionalFormatting>
  <hyperlinks>
    <hyperlink ref="B147:H148" location="IDACI!A1" display="IDACI" xr:uid="{00000000-0004-0000-2000-000000000000}"/>
    <hyperlink ref="B179:I180" location="ROSGO!A1" display="Child Arrangement &amp; Special Guardianship Orders" xr:uid="{00000000-0004-0000-2000-000001000000}"/>
    <hyperlink ref="B151:G152" location="EH_Referrals!A1" display="Early Help Referrals" xr:uid="{00000000-0004-0000-2000-000002000000}"/>
    <hyperlink ref="B153:G154" location="EH_Assessments!A1" display="Early Help Assessments" xr:uid="{00000000-0004-0000-2000-000003000000}"/>
    <hyperlink ref="B155:G156" location="EH_Clients!A1" display="Early Help Clients" xr:uid="{00000000-0004-0000-2000-000004000000}"/>
    <hyperlink ref="B179:E180" location="ROSGO!A1" display="Child Arrangement &amp; Special Guardianship Orders" xr:uid="{00000000-0004-0000-2000-000005000000}"/>
    <hyperlink ref="B151:E152" location="EH_Referrals!A1" display="Early Help Referrals" xr:uid="{00000000-0004-0000-2000-000006000000}"/>
    <hyperlink ref="B153:E154" location="EH_Assessments!A1" display="Early Help Assessments" xr:uid="{00000000-0004-0000-2000-000007000000}"/>
    <hyperlink ref="B155:E156" location="EH_Clients!A1" display="Early Help Clients" xr:uid="{00000000-0004-0000-2000-000008000000}"/>
    <hyperlink ref="B149:D150" location="IDACI!A1" display="IDACI" xr:uid="{00000000-0004-0000-2000-000009000000}"/>
    <hyperlink ref="B187:D188" location="ROSGO!A1" display="Child Arrangement &amp; Special Guardianship Orders" xr:uid="{00000000-0004-0000-2000-00000A000000}"/>
    <hyperlink ref="B155:D156" location="EH_Referrals!A1" display="Early Help Referrals" xr:uid="{00000000-0004-0000-2000-00000B000000}"/>
    <hyperlink ref="B157:D158" location="EH_Assessments!A1" display="Early Help Assessments" xr:uid="{00000000-0004-0000-2000-00000C000000}"/>
    <hyperlink ref="B159:D160" location="EH_Clients!A1" display="Early Help Clients" xr:uid="{00000000-0004-0000-2000-00000D000000}"/>
    <hyperlink ref="B145:D146" location="Indicators!A1" display="Indicators" xr:uid="{00000000-0004-0000-2000-00000E000000}"/>
    <hyperlink ref="B153:D154" location="Contacts!A1" display="Contacts" xr:uid="{00000000-0004-0000-2000-00000F000000}"/>
    <hyperlink ref="B181:D182" location="New_Ceased_LAC!A1" display="New/ Ceased Looked After Children" xr:uid="{00000000-0004-0000-2000-000010000000}"/>
    <hyperlink ref="B183:D184" location="Care_Leavers!A1" display="Care Leavers" xr:uid="{00000000-0004-0000-2000-000011000000}"/>
    <hyperlink ref="B193:D194" location="EHE_CME!A1" display="Elective Home Education &amp; Children Missing Education" xr:uid="{00000000-0004-0000-2000-000012000000}"/>
    <hyperlink ref="B189:D190" location="NEET!A1" display="Participation (NEET)" xr:uid="{00000000-0004-0000-2000-000013000000}"/>
    <hyperlink ref="B191:D192" location="Offending!A1" display="Offending" xr:uid="{00000000-0004-0000-2000-000014000000}"/>
    <hyperlink ref="B147:B148" location="Coverage!A1" display="Participating LA's" xr:uid="{00000000-0004-0000-2000-000016000000}"/>
    <hyperlink ref="B149:B150" location="IDACI!A1" display="IDACI" xr:uid="{00000000-0004-0000-2000-000017000000}"/>
    <hyperlink ref="B185:B186" location="Adoption!A1" display="Adoption" xr:uid="{00000000-0004-0000-2000-000018000000}"/>
    <hyperlink ref="B179:B180" location="'Looked After Children'!A1" display="Looked After Children" xr:uid="{00000000-0004-0000-2000-000019000000}"/>
    <hyperlink ref="B177:B178" location="'Court Applications'!A1" display="Court Applications" xr:uid="{00000000-0004-0000-2000-00001A000000}"/>
    <hyperlink ref="B175:B176" location="'Child Protection Plans'!A1" display="Child Protection Plans" xr:uid="{00000000-0004-0000-2000-00001B000000}"/>
    <hyperlink ref="B173:B174" location="'Initial CP Conferences'!A1" display="Initial Child Protection Conferences" xr:uid="{00000000-0004-0000-2000-00001C000000}"/>
    <hyperlink ref="B171:B172" location="'Section 47 Enquiries'!A1" display="Section 47 Enquiries" xr:uid="{00000000-0004-0000-2000-00001D000000}"/>
    <hyperlink ref="B169:B170" location="'Children in Need'!A1" display="Children in Need" xr:uid="{00000000-0004-0000-2000-00001E000000}"/>
    <hyperlink ref="B167:B168" location="Assessments!A1" display="Assessments" xr:uid="{00000000-0004-0000-2000-00001F000000}"/>
    <hyperlink ref="B165:B166" location="'Re-referrals'!A1" display="Re-referrals" xr:uid="{00000000-0004-0000-2000-000020000000}"/>
    <hyperlink ref="B163:B164" location="Referral_Source!A1" display="Referral Source" xr:uid="{00000000-0004-0000-2000-000021000000}"/>
    <hyperlink ref="B161:B162" location="Referrals!A1" display="Referrals" xr:uid="{00000000-0004-0000-2000-000022000000}"/>
    <hyperlink ref="B151:B152" location="Population!A1" display="Population" xr:uid="{00000000-0004-0000-2000-000023000000}"/>
    <hyperlink ref="B149:C150" location="IDACI!A1" display="IDACI" xr:uid="{00000000-0004-0000-2000-000024000000}"/>
    <hyperlink ref="B187:B188" location="Adoption!A1" display="Adoption" xr:uid="{00000000-0004-0000-2000-000025000000}"/>
    <hyperlink ref="B187:C188" location="ROSGO!A1" display="Child Arrangement &amp; Special Guardianship Orders" xr:uid="{00000000-0004-0000-2000-000026000000}"/>
    <hyperlink ref="B155:B156" location="CAF_EHA!A1" display="CAF (EHA's)" xr:uid="{00000000-0004-0000-2000-000027000000}"/>
    <hyperlink ref="B159:B160" location="CAF_EHA!A1" display="CAF (EHA's)" xr:uid="{00000000-0004-0000-2000-000028000000}"/>
    <hyperlink ref="B157:B158" location="CAF_EHA!A1" display="CAF (EHA's)" xr:uid="{00000000-0004-0000-2000-000029000000}"/>
    <hyperlink ref="B155:C156" location="EH_Referrals!A1" display="Early Help Referrals" xr:uid="{00000000-0004-0000-2000-00002A000000}"/>
    <hyperlink ref="B157:C158" location="EH_Assessments!A1" display="Early Help Assessments" xr:uid="{00000000-0004-0000-2000-00002B000000}"/>
    <hyperlink ref="B159:C160" location="EH_Clients!A1" display="Early Help Clients" xr:uid="{00000000-0004-0000-2000-00002C000000}"/>
    <hyperlink ref="B145:B146" location="Coverage!A1" display="Participating LA's" xr:uid="{00000000-0004-0000-2000-00002D000000}"/>
    <hyperlink ref="B145:C146" location="Indicators!A1" display="Indicators" xr:uid="{00000000-0004-0000-2000-00002E000000}"/>
    <hyperlink ref="B153:B154" location="Population!A1" display="Population" xr:uid="{00000000-0004-0000-2000-00002F000000}"/>
    <hyperlink ref="B153:C154" location="Contacts!A1" display="Contacts" xr:uid="{00000000-0004-0000-2000-000030000000}"/>
    <hyperlink ref="B183:B184" location="'Looked After Children'!A1" display="Looked After Children" xr:uid="{00000000-0004-0000-2000-000031000000}"/>
    <hyperlink ref="B181:B182" location="'Court Applications'!A1" display="Court Applications" xr:uid="{00000000-0004-0000-2000-000032000000}"/>
    <hyperlink ref="B181:C182" location="New_Ceased_LAC!A1" display="New/ Ceased Looked After Children" xr:uid="{00000000-0004-0000-2000-000033000000}"/>
    <hyperlink ref="B183:C184" location="Care_Leavers!A1" display="Care Leavers" xr:uid="{00000000-0004-0000-2000-000034000000}"/>
    <hyperlink ref="B193:B194" location="Adoption!A1" display="Adoption" xr:uid="{00000000-0004-0000-2000-000035000000}"/>
    <hyperlink ref="B191:B192" location="'Looked After Children'!A1" display="Looked After Children" xr:uid="{00000000-0004-0000-2000-000036000000}"/>
    <hyperlink ref="B189:B190" location="'Court Applications'!A1" display="Court Applications" xr:uid="{00000000-0004-0000-2000-000037000000}"/>
    <hyperlink ref="B189:C190" location="NEET!A1" display="Participation (NEET)" xr:uid="{00000000-0004-0000-2000-000038000000}"/>
    <hyperlink ref="B191:C192" location="Offending!A1" display="Offending" xr:uid="{00000000-0004-0000-2000-000039000000}"/>
  </hyperlinks>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1" manualBreakCount="1">
    <brk id="37"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183297" r:id="rId4" name="Check Box 1">
              <controlPr defaultSize="0" autoFill="0" autoLine="0" autoPict="0" macro="[0]!CheckBox1_Click" altText="">
                <anchor>
                  <from>
                    <xdr:col>22</xdr:col>
                    <xdr:colOff>85725</xdr:colOff>
                    <xdr:row>38</xdr:row>
                    <xdr:rowOff>19050</xdr:rowOff>
                  </from>
                  <to>
                    <xdr:col>35</xdr:col>
                    <xdr:colOff>57150</xdr:colOff>
                    <xdr:row>40</xdr:row>
                    <xdr:rowOff>0</xdr:rowOff>
                  </to>
                </anchor>
              </controlPr>
            </control>
          </mc:Choice>
        </mc:AlternateContent>
        <mc:AlternateContent xmlns:mc="http://schemas.openxmlformats.org/markup-compatibility/2006">
          <mc:Choice Requires="x14">
            <control shapeId="183298" r:id="rId5" name="Check Box 2">
              <controlPr defaultSize="0" autoFill="0" autoLine="0" autoPict="0" macro="[0]!CheckBox1_Click" altText="">
                <anchor>
                  <from>
                    <xdr:col>22</xdr:col>
                    <xdr:colOff>85725</xdr:colOff>
                    <xdr:row>39</xdr:row>
                    <xdr:rowOff>142875</xdr:rowOff>
                  </from>
                  <to>
                    <xdr:col>35</xdr:col>
                    <xdr:colOff>57150</xdr:colOff>
                    <xdr:row>41</xdr:row>
                    <xdr:rowOff>0</xdr:rowOff>
                  </to>
                </anchor>
              </controlPr>
            </control>
          </mc:Choice>
        </mc:AlternateContent>
        <mc:AlternateContent xmlns:mc="http://schemas.openxmlformats.org/markup-compatibility/2006">
          <mc:Choice Requires="x14">
            <control shapeId="183299" r:id="rId6" name="Check Box 3">
              <controlPr defaultSize="0" autoFill="0" autoLine="0" autoPict="0" macro="[0]!CheckBox1_Click" altText="">
                <anchor>
                  <from>
                    <xdr:col>22</xdr:col>
                    <xdr:colOff>85725</xdr:colOff>
                    <xdr:row>40</xdr:row>
                    <xdr:rowOff>142875</xdr:rowOff>
                  </from>
                  <to>
                    <xdr:col>35</xdr:col>
                    <xdr:colOff>57150</xdr:colOff>
                    <xdr:row>42</xdr:row>
                    <xdr:rowOff>0</xdr:rowOff>
                  </to>
                </anchor>
              </controlPr>
            </control>
          </mc:Choice>
        </mc:AlternateContent>
        <mc:AlternateContent xmlns:mc="http://schemas.openxmlformats.org/markup-compatibility/2006">
          <mc:Choice Requires="x14">
            <control shapeId="183300" r:id="rId7" name="Check Box 4">
              <controlPr defaultSize="0" autoFill="0" autoLine="0" autoPict="0" macro="[0]!CheckBox1_Click" altText="">
                <anchor>
                  <from>
                    <xdr:col>22</xdr:col>
                    <xdr:colOff>85725</xdr:colOff>
                    <xdr:row>41</xdr:row>
                    <xdr:rowOff>142875</xdr:rowOff>
                  </from>
                  <to>
                    <xdr:col>35</xdr:col>
                    <xdr:colOff>57150</xdr:colOff>
                    <xdr:row>43</xdr:row>
                    <xdr:rowOff>0</xdr:rowOff>
                  </to>
                </anchor>
              </controlPr>
            </control>
          </mc:Choice>
        </mc:AlternateContent>
        <mc:AlternateContent xmlns:mc="http://schemas.openxmlformats.org/markup-compatibility/2006">
          <mc:Choice Requires="x14">
            <control shapeId="183301" r:id="rId8" name="Check Box 5">
              <controlPr defaultSize="0" autoFill="0" autoLine="0" autoPict="0" macro="[0]!CheckBox1_Click" altText="">
                <anchor>
                  <from>
                    <xdr:col>22</xdr:col>
                    <xdr:colOff>85725</xdr:colOff>
                    <xdr:row>42</xdr:row>
                    <xdr:rowOff>142875</xdr:rowOff>
                  </from>
                  <to>
                    <xdr:col>35</xdr:col>
                    <xdr:colOff>57150</xdr:colOff>
                    <xdr:row>44</xdr:row>
                    <xdr:rowOff>0</xdr:rowOff>
                  </to>
                </anchor>
              </controlPr>
            </control>
          </mc:Choice>
        </mc:AlternateContent>
        <mc:AlternateContent xmlns:mc="http://schemas.openxmlformats.org/markup-compatibility/2006">
          <mc:Choice Requires="x14">
            <control shapeId="183302" r:id="rId9" name="Check Box 6">
              <controlPr defaultSize="0" autoFill="0" autoLine="0" autoPict="0" macro="[0]!CheckBox1_Click" altText="">
                <anchor>
                  <from>
                    <xdr:col>22</xdr:col>
                    <xdr:colOff>85725</xdr:colOff>
                    <xdr:row>43</xdr:row>
                    <xdr:rowOff>142875</xdr:rowOff>
                  </from>
                  <to>
                    <xdr:col>35</xdr:col>
                    <xdr:colOff>57150</xdr:colOff>
                    <xdr:row>45</xdr:row>
                    <xdr:rowOff>0</xdr:rowOff>
                  </to>
                </anchor>
              </controlPr>
            </control>
          </mc:Choice>
        </mc:AlternateContent>
        <mc:AlternateContent xmlns:mc="http://schemas.openxmlformats.org/markup-compatibility/2006">
          <mc:Choice Requires="x14">
            <control shapeId="183303" r:id="rId10" name="Check Box 7">
              <controlPr defaultSize="0" autoFill="0" autoLine="0" autoPict="0" macro="[0]!CheckBox1_Click" altText="">
                <anchor>
                  <from>
                    <xdr:col>22</xdr:col>
                    <xdr:colOff>85725</xdr:colOff>
                    <xdr:row>44</xdr:row>
                    <xdr:rowOff>142875</xdr:rowOff>
                  </from>
                  <to>
                    <xdr:col>35</xdr:col>
                    <xdr:colOff>57150</xdr:colOff>
                    <xdr:row>46</xdr:row>
                    <xdr:rowOff>0</xdr:rowOff>
                  </to>
                </anchor>
              </controlPr>
            </control>
          </mc:Choice>
        </mc:AlternateContent>
        <mc:AlternateContent xmlns:mc="http://schemas.openxmlformats.org/markup-compatibility/2006">
          <mc:Choice Requires="x14">
            <control shapeId="183304" r:id="rId11" name="Check Box 8">
              <controlPr defaultSize="0" autoFill="0" autoLine="0" autoPict="0" macro="[0]!CheckBox1_Click" altText="">
                <anchor>
                  <from>
                    <xdr:col>22</xdr:col>
                    <xdr:colOff>85725</xdr:colOff>
                    <xdr:row>45</xdr:row>
                    <xdr:rowOff>142875</xdr:rowOff>
                  </from>
                  <to>
                    <xdr:col>35</xdr:col>
                    <xdr:colOff>57150</xdr:colOff>
                    <xdr:row>47</xdr:row>
                    <xdr:rowOff>0</xdr:rowOff>
                  </to>
                </anchor>
              </controlPr>
            </control>
          </mc:Choice>
        </mc:AlternateContent>
        <mc:AlternateContent xmlns:mc="http://schemas.openxmlformats.org/markup-compatibility/2006">
          <mc:Choice Requires="x14">
            <control shapeId="183305" r:id="rId12" name="Check Box 9">
              <controlPr defaultSize="0" autoFill="0" autoLine="0" autoPict="0" macro="[0]!CheckBox1_Click" altText="">
                <anchor>
                  <from>
                    <xdr:col>22</xdr:col>
                    <xdr:colOff>85725</xdr:colOff>
                    <xdr:row>46</xdr:row>
                    <xdr:rowOff>142875</xdr:rowOff>
                  </from>
                  <to>
                    <xdr:col>35</xdr:col>
                    <xdr:colOff>57150</xdr:colOff>
                    <xdr:row>48</xdr:row>
                    <xdr:rowOff>0</xdr:rowOff>
                  </to>
                </anchor>
              </controlPr>
            </control>
          </mc:Choice>
        </mc:AlternateContent>
        <mc:AlternateContent xmlns:mc="http://schemas.openxmlformats.org/markup-compatibility/2006">
          <mc:Choice Requires="x14">
            <control shapeId="183306" r:id="rId13" name="Check Box 10">
              <controlPr defaultSize="0" autoFill="0" autoLine="0" autoPict="0" macro="[0]!CheckBox1_Click" altText="">
                <anchor>
                  <from>
                    <xdr:col>22</xdr:col>
                    <xdr:colOff>85725</xdr:colOff>
                    <xdr:row>47</xdr:row>
                    <xdr:rowOff>142875</xdr:rowOff>
                  </from>
                  <to>
                    <xdr:col>35</xdr:col>
                    <xdr:colOff>57150</xdr:colOff>
                    <xdr:row>49</xdr:row>
                    <xdr:rowOff>0</xdr:rowOff>
                  </to>
                </anchor>
              </controlPr>
            </control>
          </mc:Choice>
        </mc:AlternateContent>
        <mc:AlternateContent xmlns:mc="http://schemas.openxmlformats.org/markup-compatibility/2006">
          <mc:Choice Requires="x14">
            <control shapeId="183307" r:id="rId14" name="Check Box 11">
              <controlPr defaultSize="0" autoFill="0" autoLine="0" autoPict="0" macro="[0]!CheckBox1_Click" altText="">
                <anchor>
                  <from>
                    <xdr:col>22</xdr:col>
                    <xdr:colOff>85725</xdr:colOff>
                    <xdr:row>48</xdr:row>
                    <xdr:rowOff>142875</xdr:rowOff>
                  </from>
                  <to>
                    <xdr:col>35</xdr:col>
                    <xdr:colOff>57150</xdr:colOff>
                    <xdr:row>50</xdr:row>
                    <xdr:rowOff>0</xdr:rowOff>
                  </to>
                </anchor>
              </controlPr>
            </control>
          </mc:Choice>
        </mc:AlternateContent>
        <mc:AlternateContent xmlns:mc="http://schemas.openxmlformats.org/markup-compatibility/2006">
          <mc:Choice Requires="x14">
            <control shapeId="183308" r:id="rId15" name="Check Box 12">
              <controlPr defaultSize="0" autoFill="0" autoLine="0" autoPict="0" macro="[0]!CheckBox1_Click" altText="">
                <anchor>
                  <from>
                    <xdr:col>22</xdr:col>
                    <xdr:colOff>85725</xdr:colOff>
                    <xdr:row>49</xdr:row>
                    <xdr:rowOff>142875</xdr:rowOff>
                  </from>
                  <to>
                    <xdr:col>35</xdr:col>
                    <xdr:colOff>57150</xdr:colOff>
                    <xdr:row>51</xdr:row>
                    <xdr:rowOff>0</xdr:rowOff>
                  </to>
                </anchor>
              </controlPr>
            </control>
          </mc:Choice>
        </mc:AlternateContent>
        <mc:AlternateContent xmlns:mc="http://schemas.openxmlformats.org/markup-compatibility/2006">
          <mc:Choice Requires="x14">
            <control shapeId="183309" r:id="rId16" name="Check Box 13">
              <controlPr defaultSize="0" autoFill="0" autoLine="0" autoPict="0" macro="[0]!CheckBox1_Click" altText="">
                <anchor>
                  <from>
                    <xdr:col>22</xdr:col>
                    <xdr:colOff>85725</xdr:colOff>
                    <xdr:row>50</xdr:row>
                    <xdr:rowOff>142875</xdr:rowOff>
                  </from>
                  <to>
                    <xdr:col>35</xdr:col>
                    <xdr:colOff>57150</xdr:colOff>
                    <xdr:row>52</xdr:row>
                    <xdr:rowOff>0</xdr:rowOff>
                  </to>
                </anchor>
              </controlPr>
            </control>
          </mc:Choice>
        </mc:AlternateContent>
        <mc:AlternateContent xmlns:mc="http://schemas.openxmlformats.org/markup-compatibility/2006">
          <mc:Choice Requires="x14">
            <control shapeId="183310" r:id="rId17" name="Check Box 14">
              <controlPr defaultSize="0" autoFill="0" autoLine="0" autoPict="0" macro="[0]!CheckBox1_Click" altText="">
                <anchor>
                  <from>
                    <xdr:col>22</xdr:col>
                    <xdr:colOff>85725</xdr:colOff>
                    <xdr:row>51</xdr:row>
                    <xdr:rowOff>142875</xdr:rowOff>
                  </from>
                  <to>
                    <xdr:col>35</xdr:col>
                    <xdr:colOff>57150</xdr:colOff>
                    <xdr:row>53</xdr:row>
                    <xdr:rowOff>0</xdr:rowOff>
                  </to>
                </anchor>
              </controlPr>
            </control>
          </mc:Choice>
        </mc:AlternateContent>
        <mc:AlternateContent xmlns:mc="http://schemas.openxmlformats.org/markup-compatibility/2006">
          <mc:Choice Requires="x14">
            <control shapeId="183311" r:id="rId18" name="Check Box 15">
              <controlPr defaultSize="0" autoFill="0" autoLine="0" autoPict="0" macro="[0]!CheckBox1_Click" altText="">
                <anchor>
                  <from>
                    <xdr:col>22</xdr:col>
                    <xdr:colOff>85725</xdr:colOff>
                    <xdr:row>52</xdr:row>
                    <xdr:rowOff>142875</xdr:rowOff>
                  </from>
                  <to>
                    <xdr:col>35</xdr:col>
                    <xdr:colOff>57150</xdr:colOff>
                    <xdr:row>54</xdr:row>
                    <xdr:rowOff>0</xdr:rowOff>
                  </to>
                </anchor>
              </controlPr>
            </control>
          </mc:Choice>
        </mc:AlternateContent>
        <mc:AlternateContent xmlns:mc="http://schemas.openxmlformats.org/markup-compatibility/2006">
          <mc:Choice Requires="x14">
            <control shapeId="183312" r:id="rId19" name="Check Box 16">
              <controlPr defaultSize="0" autoFill="0" autoLine="0" autoPict="0" macro="[0]!CheckBox1_Click" altText="">
                <anchor>
                  <from>
                    <xdr:col>22</xdr:col>
                    <xdr:colOff>85725</xdr:colOff>
                    <xdr:row>53</xdr:row>
                    <xdr:rowOff>142875</xdr:rowOff>
                  </from>
                  <to>
                    <xdr:col>35</xdr:col>
                    <xdr:colOff>57150</xdr:colOff>
                    <xdr:row>55</xdr:row>
                    <xdr:rowOff>0</xdr:rowOff>
                  </to>
                </anchor>
              </controlPr>
            </control>
          </mc:Choice>
        </mc:AlternateContent>
        <mc:AlternateContent xmlns:mc="http://schemas.openxmlformats.org/markup-compatibility/2006">
          <mc:Choice Requires="x14">
            <control shapeId="183313" r:id="rId20" name="Check Box 17">
              <controlPr defaultSize="0" autoFill="0" autoLine="0" autoPict="0" macro="[0]!CheckBox1_Click" altText="">
                <anchor>
                  <from>
                    <xdr:col>22</xdr:col>
                    <xdr:colOff>85725</xdr:colOff>
                    <xdr:row>55</xdr:row>
                    <xdr:rowOff>152400</xdr:rowOff>
                  </from>
                  <to>
                    <xdr:col>35</xdr:col>
                    <xdr:colOff>57150</xdr:colOff>
                    <xdr:row>57</xdr:row>
                    <xdr:rowOff>9525</xdr:rowOff>
                  </to>
                </anchor>
              </controlPr>
            </control>
          </mc:Choice>
        </mc:AlternateContent>
        <mc:AlternateContent xmlns:mc="http://schemas.openxmlformats.org/markup-compatibility/2006">
          <mc:Choice Requires="x14">
            <control shapeId="183314" r:id="rId21" name="Check Box 18">
              <controlPr defaultSize="0" autoFill="0" autoLine="0" autoPict="0" macro="[0]!CheckBox1_Click" altText="">
                <anchor>
                  <from>
                    <xdr:col>22</xdr:col>
                    <xdr:colOff>85725</xdr:colOff>
                    <xdr:row>56</xdr:row>
                    <xdr:rowOff>152400</xdr:rowOff>
                  </from>
                  <to>
                    <xdr:col>35</xdr:col>
                    <xdr:colOff>57150</xdr:colOff>
                    <xdr:row>58</xdr:row>
                    <xdr:rowOff>9525</xdr:rowOff>
                  </to>
                </anchor>
              </controlPr>
            </control>
          </mc:Choice>
        </mc:AlternateContent>
        <mc:AlternateContent xmlns:mc="http://schemas.openxmlformats.org/markup-compatibility/2006">
          <mc:Choice Requires="x14">
            <control shapeId="183315" r:id="rId22" name="Check Box 19">
              <controlPr defaultSize="0" autoFill="0" autoLine="0" autoPict="0" macro="[0]!CheckBox1_Click" altText="">
                <anchor>
                  <from>
                    <xdr:col>22</xdr:col>
                    <xdr:colOff>85725</xdr:colOff>
                    <xdr:row>57</xdr:row>
                    <xdr:rowOff>152400</xdr:rowOff>
                  </from>
                  <to>
                    <xdr:col>35</xdr:col>
                    <xdr:colOff>57150</xdr:colOff>
                    <xdr:row>59</xdr:row>
                    <xdr:rowOff>9525</xdr:rowOff>
                  </to>
                </anchor>
              </controlPr>
            </control>
          </mc:Choice>
        </mc:AlternateContent>
        <mc:AlternateContent xmlns:mc="http://schemas.openxmlformats.org/markup-compatibility/2006">
          <mc:Choice Requires="x14">
            <control shapeId="183316" r:id="rId23" name="Check Box 20">
              <controlPr defaultSize="0" autoFill="0" autoLine="0" autoPict="0" macro="[0]!CheckBox1_Click" altText="">
                <anchor>
                  <from>
                    <xdr:col>22</xdr:col>
                    <xdr:colOff>85725</xdr:colOff>
                    <xdr:row>58</xdr:row>
                    <xdr:rowOff>152400</xdr:rowOff>
                  </from>
                  <to>
                    <xdr:col>35</xdr:col>
                    <xdr:colOff>57150</xdr:colOff>
                    <xdr:row>60</xdr:row>
                    <xdr:rowOff>9525</xdr:rowOff>
                  </to>
                </anchor>
              </controlPr>
            </control>
          </mc:Choice>
        </mc:AlternateContent>
        <mc:AlternateContent xmlns:mc="http://schemas.openxmlformats.org/markup-compatibility/2006">
          <mc:Choice Requires="x14">
            <control shapeId="183317" r:id="rId24" name="Check Box 21">
              <controlPr defaultSize="0" autoFill="0" autoLine="0" autoPict="0" macro="[0]!CheckBox1_Click" altText="">
                <anchor>
                  <from>
                    <xdr:col>22</xdr:col>
                    <xdr:colOff>85725</xdr:colOff>
                    <xdr:row>59</xdr:row>
                    <xdr:rowOff>152400</xdr:rowOff>
                  </from>
                  <to>
                    <xdr:col>35</xdr:col>
                    <xdr:colOff>57150</xdr:colOff>
                    <xdr:row>61</xdr:row>
                    <xdr:rowOff>9525</xdr:rowOff>
                  </to>
                </anchor>
              </controlPr>
            </control>
          </mc:Choice>
        </mc:AlternateContent>
        <mc:AlternateContent xmlns:mc="http://schemas.openxmlformats.org/markup-compatibility/2006">
          <mc:Choice Requires="x14">
            <control shapeId="183318" r:id="rId25" name="Check Box 22">
              <controlPr defaultSize="0" autoFill="0" autoLine="0" autoPict="0" macro="[0]!CheckBox1_Click" altText="">
                <anchor>
                  <from>
                    <xdr:col>22</xdr:col>
                    <xdr:colOff>85725</xdr:colOff>
                    <xdr:row>54</xdr:row>
                    <xdr:rowOff>142875</xdr:rowOff>
                  </from>
                  <to>
                    <xdr:col>35</xdr:col>
                    <xdr:colOff>57150</xdr:colOff>
                    <xdr:row>56</xdr:row>
                    <xdr:rowOff>0</xdr:rowOff>
                  </to>
                </anchor>
              </controlPr>
            </control>
          </mc:Choice>
        </mc:AlternateContent>
        <mc:AlternateContent xmlns:mc="http://schemas.openxmlformats.org/markup-compatibility/2006">
          <mc:Choice Requires="x14">
            <control shapeId="183320" r:id="rId26" name="Check Box 24">
              <controlPr defaultSize="0" autoFill="0" autoLine="0" autoPict="0" macro="[0]!CheckBox1_Click" altText="">
                <anchor>
                  <from>
                    <xdr:col>22</xdr:col>
                    <xdr:colOff>85725</xdr:colOff>
                    <xdr:row>60</xdr:row>
                    <xdr:rowOff>152400</xdr:rowOff>
                  </from>
                  <to>
                    <xdr:col>35</xdr:col>
                    <xdr:colOff>57150</xdr:colOff>
                    <xdr:row>62</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6C29C9A4-D1CA-4FAB-B268-F513545F03E5}">
            <x14:dataBar minLength="0" maxLength="100" gradient="0" negativeBarColorSameAsPositive="1" axisPosition="middle">
              <x14:cfvo type="autoMin"/>
              <x14:cfvo type="autoMax"/>
              <x14:axisColor theme="0" tint="-0.499984740745262"/>
            </x14:dataBar>
          </x14:cfRule>
          <xm:sqref>J10:J31</xm:sqref>
        </x14:conditionalFormatting>
        <x14:conditionalFormatting xmlns:xm="http://schemas.microsoft.com/office/excel/2006/main">
          <x14:cfRule type="dataBar" id="{880C3688-A3B7-4C37-AE34-64940D92E967}">
            <x14:dataBar minLength="0" maxLength="100" gradient="0" negativeBarColorSameAsPositive="1" axisPosition="middle">
              <x14:cfvo type="autoMin"/>
              <x14:cfvo type="autoMax"/>
              <x14:axisColor theme="0" tint="-0.499984740745262"/>
            </x14:dataBar>
          </x14:cfRule>
          <xm:sqref>J80:J101</xm:sqref>
        </x14:conditionalFormatting>
        <x14:conditionalFormatting xmlns:xm="http://schemas.microsoft.com/office/excel/2006/main">
          <x14:cfRule type="dataBar" id="{DAE83565-E6DD-47A2-A114-4466F2AD65E5}">
            <x14:dataBar minLength="0" maxLength="100" gradient="0" negativeBarColorSameAsPositive="1">
              <x14:cfvo type="autoMin"/>
              <x14:cfvo type="autoMax"/>
              <x14:axisColor rgb="FF000000"/>
            </x14:dataBar>
          </x14:cfRule>
          <xm:sqref>Q10:Q31</xm:sqref>
        </x14:conditionalFormatting>
        <x14:conditionalFormatting xmlns:xm="http://schemas.microsoft.com/office/excel/2006/main">
          <x14:cfRule type="dataBar" id="{F9DA7616-9E4B-429F-ABE8-54DA71259FA2}">
            <x14:dataBar minLength="0" maxLength="100" gradient="0" negativeBarColorSameAsPositive="1">
              <x14:cfvo type="autoMin"/>
              <x14:cfvo type="autoMax"/>
              <x14:axisColor rgb="FF000000"/>
            </x14:dataBar>
          </x14:cfRule>
          <xm:sqref>Q80:Q101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rgb="FF66FFCC"/>
    <pageSetUpPr fitToPage="1"/>
  </sheetPr>
  <dimension ref="A1:X116"/>
  <sheetViews>
    <sheetView workbookViewId="0">
      <selection activeCell="B23" sqref="B23"/>
    </sheetView>
  </sheetViews>
  <sheetFormatPr defaultColWidth="9.140625" defaultRowHeight="12.75"/>
  <cols>
    <col min="1" max="1" width="8.28515625" style="290" bestFit="1" customWidth="1"/>
    <col min="2" max="2" width="40.28515625" style="332" bestFit="1" customWidth="1"/>
    <col min="3" max="21" width="5.42578125" style="290" customWidth="1"/>
    <col min="22" max="22" width="6.140625" style="478" bestFit="1" customWidth="1"/>
    <col min="23" max="23" width="10" style="290" bestFit="1" customWidth="1"/>
    <col min="24" max="16384" width="9.140625" style="290"/>
  </cols>
  <sheetData>
    <row r="1" spans="1:23" ht="67.5">
      <c r="A1" s="472" t="str">
        <f>IF(ReportData!$C$3="Quarterly",ReportData!$F$24&amp;" "&amp;ReportData!$F$25,ReportData!$F$22)</f>
        <v>2021/22</v>
      </c>
      <c r="B1" s="472"/>
      <c r="C1" s="772" t="s">
        <v>810</v>
      </c>
      <c r="D1" s="772" t="s">
        <v>1036</v>
      </c>
      <c r="E1" s="772" t="s">
        <v>811</v>
      </c>
      <c r="F1" s="772" t="s">
        <v>812</v>
      </c>
      <c r="G1" s="772" t="s">
        <v>813</v>
      </c>
      <c r="H1" s="772" t="s">
        <v>814</v>
      </c>
      <c r="I1" s="772" t="s">
        <v>815</v>
      </c>
      <c r="J1" s="772" t="s">
        <v>816</v>
      </c>
      <c r="K1" s="772" t="s">
        <v>817</v>
      </c>
      <c r="L1" s="772" t="s">
        <v>818</v>
      </c>
      <c r="M1" s="772" t="s">
        <v>819</v>
      </c>
      <c r="N1" s="772" t="s">
        <v>820</v>
      </c>
      <c r="O1" s="772" t="s">
        <v>821</v>
      </c>
      <c r="P1" s="772" t="s">
        <v>822</v>
      </c>
      <c r="Q1" s="772" t="s">
        <v>823</v>
      </c>
      <c r="R1" s="772" t="s">
        <v>824</v>
      </c>
      <c r="S1" s="772" t="s">
        <v>825</v>
      </c>
      <c r="T1" s="772" t="s">
        <v>1037</v>
      </c>
      <c r="U1" s="772" t="s">
        <v>826</v>
      </c>
      <c r="V1" s="379" t="s">
        <v>1073</v>
      </c>
      <c r="W1" s="380" t="s">
        <v>827</v>
      </c>
    </row>
    <row r="2" spans="1:23" s="331" customFormat="1" ht="13.5">
      <c r="A2" s="803">
        <v>1</v>
      </c>
      <c r="B2" s="473" t="s">
        <v>486</v>
      </c>
      <c r="C2" s="817"/>
      <c r="D2" s="817"/>
      <c r="E2" s="817"/>
      <c r="F2" s="817"/>
      <c r="G2" s="817"/>
      <c r="H2" s="817"/>
      <c r="I2" s="817"/>
      <c r="J2" s="817"/>
      <c r="K2" s="817"/>
      <c r="L2" s="817"/>
      <c r="M2" s="817"/>
      <c r="N2" s="817"/>
      <c r="O2" s="817"/>
      <c r="P2" s="817"/>
      <c r="Q2" s="817"/>
      <c r="R2" s="817"/>
      <c r="S2" s="817"/>
      <c r="T2" s="381"/>
      <c r="U2" s="381"/>
      <c r="V2" s="818"/>
      <c r="W2" s="820"/>
    </row>
    <row r="3" spans="1:23" s="331" customFormat="1" ht="13.5">
      <c r="A3" s="803">
        <v>2</v>
      </c>
      <c r="B3" s="473" t="s">
        <v>271</v>
      </c>
      <c r="C3" s="817"/>
      <c r="D3" s="817"/>
      <c r="E3" s="817"/>
      <c r="F3" s="817"/>
      <c r="G3" s="817"/>
      <c r="H3" s="817"/>
      <c r="I3" s="817"/>
      <c r="J3" s="817"/>
      <c r="K3" s="817"/>
      <c r="L3" s="817"/>
      <c r="M3" s="817"/>
      <c r="N3" s="817"/>
      <c r="O3" s="817"/>
      <c r="P3" s="817"/>
      <c r="Q3" s="817"/>
      <c r="R3" s="817"/>
      <c r="S3" s="817"/>
      <c r="T3" s="817"/>
      <c r="U3" s="817"/>
      <c r="V3" s="818"/>
      <c r="W3" s="381"/>
    </row>
    <row r="4" spans="1:23" s="331" customFormat="1" ht="13.5">
      <c r="A4" s="803">
        <v>3</v>
      </c>
      <c r="B4" s="473" t="s">
        <v>272</v>
      </c>
      <c r="C4" s="817"/>
      <c r="D4" s="817"/>
      <c r="E4" s="817"/>
      <c r="F4" s="817"/>
      <c r="G4" s="817"/>
      <c r="H4" s="817"/>
      <c r="I4" s="817"/>
      <c r="J4" s="817"/>
      <c r="K4" s="817"/>
      <c r="L4" s="817"/>
      <c r="M4" s="817"/>
      <c r="N4" s="817"/>
      <c r="O4" s="817"/>
      <c r="P4" s="817"/>
      <c r="Q4" s="817"/>
      <c r="R4" s="817"/>
      <c r="S4" s="817"/>
      <c r="T4" s="817"/>
      <c r="U4" s="817"/>
      <c r="V4" s="818"/>
      <c r="W4" s="381"/>
    </row>
    <row r="5" spans="1:23" s="331" customFormat="1" ht="13.5">
      <c r="A5" s="803">
        <v>4</v>
      </c>
      <c r="B5" s="473" t="s">
        <v>273</v>
      </c>
      <c r="C5" s="817"/>
      <c r="D5" s="817"/>
      <c r="E5" s="817"/>
      <c r="F5" s="817"/>
      <c r="G5" s="817"/>
      <c r="H5" s="817"/>
      <c r="I5" s="817"/>
      <c r="J5" s="817"/>
      <c r="K5" s="817"/>
      <c r="L5" s="817"/>
      <c r="M5" s="817"/>
      <c r="N5" s="382"/>
      <c r="O5" s="817"/>
      <c r="P5" s="817"/>
      <c r="Q5" s="817"/>
      <c r="R5" s="383"/>
      <c r="S5" s="817"/>
      <c r="T5" s="817"/>
      <c r="U5" s="817"/>
      <c r="V5" s="818"/>
      <c r="W5" s="381"/>
    </row>
    <row r="6" spans="1:23" s="331" customFormat="1" ht="13.5">
      <c r="A6" s="803">
        <v>5</v>
      </c>
      <c r="B6" s="473" t="s">
        <v>274</v>
      </c>
      <c r="C6" s="817"/>
      <c r="D6" s="817"/>
      <c r="E6" s="817"/>
      <c r="F6" s="817"/>
      <c r="G6" s="817"/>
      <c r="H6" s="817"/>
      <c r="I6" s="817"/>
      <c r="J6" s="817"/>
      <c r="K6" s="817"/>
      <c r="L6" s="817"/>
      <c r="M6" s="817"/>
      <c r="N6" s="382"/>
      <c r="O6" s="817"/>
      <c r="P6" s="817"/>
      <c r="Q6" s="817"/>
      <c r="R6" s="383"/>
      <c r="S6" s="817"/>
      <c r="T6" s="817"/>
      <c r="U6" s="817"/>
      <c r="V6" s="818"/>
      <c r="W6" s="381"/>
    </row>
    <row r="7" spans="1:23" s="331" customFormat="1">
      <c r="A7" s="804">
        <v>6</v>
      </c>
      <c r="B7" s="475" t="s">
        <v>275</v>
      </c>
      <c r="C7" s="817"/>
      <c r="D7" s="817"/>
      <c r="E7" s="817"/>
      <c r="F7" s="817"/>
      <c r="G7" s="817"/>
      <c r="H7" s="817"/>
      <c r="I7" s="817"/>
      <c r="J7" s="817"/>
      <c r="K7" s="817"/>
      <c r="L7" s="817"/>
      <c r="M7" s="817"/>
      <c r="N7" s="382"/>
      <c r="O7" s="817"/>
      <c r="P7" s="817"/>
      <c r="Q7" s="817"/>
      <c r="R7" s="383"/>
      <c r="S7" s="817"/>
      <c r="T7" s="817"/>
      <c r="U7" s="817"/>
      <c r="V7" s="818"/>
      <c r="W7" s="381"/>
    </row>
    <row r="8" spans="1:23" s="331" customFormat="1" ht="13.5">
      <c r="A8" s="803">
        <v>7</v>
      </c>
      <c r="B8" s="473" t="s">
        <v>276</v>
      </c>
      <c r="C8" s="817"/>
      <c r="D8" s="817"/>
      <c r="E8" s="817"/>
      <c r="F8" s="817"/>
      <c r="G8" s="817"/>
      <c r="H8" s="817"/>
      <c r="I8" s="817"/>
      <c r="J8" s="817"/>
      <c r="K8" s="817"/>
      <c r="L8" s="817"/>
      <c r="M8" s="817"/>
      <c r="N8" s="382"/>
      <c r="O8" s="817"/>
      <c r="P8" s="817"/>
      <c r="Q8" s="817"/>
      <c r="R8" s="383"/>
      <c r="S8" s="817"/>
      <c r="T8" s="817"/>
      <c r="U8" s="817"/>
      <c r="V8" s="818"/>
      <c r="W8" s="381"/>
    </row>
    <row r="9" spans="1:23" s="331" customFormat="1" ht="13.5">
      <c r="A9" s="1544" t="s">
        <v>1109</v>
      </c>
      <c r="B9" s="838" t="s">
        <v>277</v>
      </c>
      <c r="C9" s="835">
        <v>1517</v>
      </c>
      <c r="D9" s="835">
        <v>3206</v>
      </c>
      <c r="E9" s="835">
        <v>13087</v>
      </c>
      <c r="F9" s="835">
        <v>4292</v>
      </c>
      <c r="G9" s="835">
        <v>27374</v>
      </c>
      <c r="H9" s="835">
        <v>3365</v>
      </c>
      <c r="I9" s="835">
        <v>19497</v>
      </c>
      <c r="J9" s="835">
        <v>4790</v>
      </c>
      <c r="K9" s="835">
        <v>3302</v>
      </c>
      <c r="L9" s="835">
        <v>6704</v>
      </c>
      <c r="M9" s="835">
        <v>3704</v>
      </c>
      <c r="N9" s="835">
        <v>2449</v>
      </c>
      <c r="O9" s="835">
        <v>3203</v>
      </c>
      <c r="P9" s="835">
        <v>3640</v>
      </c>
      <c r="Q9" s="835">
        <v>9239</v>
      </c>
      <c r="R9" s="835">
        <v>1990</v>
      </c>
      <c r="S9" s="835">
        <v>9370</v>
      </c>
      <c r="T9" s="835">
        <v>1748</v>
      </c>
      <c r="U9" s="835">
        <v>1529</v>
      </c>
      <c r="V9" s="834">
        <v>124010</v>
      </c>
      <c r="W9" s="836">
        <v>650270</v>
      </c>
    </row>
    <row r="10" spans="1:23" s="331" customFormat="1" ht="13.5">
      <c r="A10" s="1544" t="s">
        <v>1299</v>
      </c>
      <c r="B10" s="473" t="s">
        <v>278</v>
      </c>
      <c r="C10" s="817"/>
      <c r="D10" s="817"/>
      <c r="E10" s="817"/>
      <c r="F10" s="817"/>
      <c r="G10" s="817"/>
      <c r="H10" s="817"/>
      <c r="I10" s="817"/>
      <c r="J10" s="817"/>
      <c r="K10" s="817"/>
      <c r="L10" s="817"/>
      <c r="M10" s="817"/>
      <c r="N10" s="817"/>
      <c r="O10" s="817"/>
      <c r="P10" s="817"/>
      <c r="Q10" s="817"/>
      <c r="R10" s="817"/>
      <c r="S10" s="817"/>
      <c r="T10" s="817"/>
      <c r="U10" s="817"/>
      <c r="V10" s="818"/>
      <c r="W10" s="381"/>
    </row>
    <row r="11" spans="1:23" s="331" customFormat="1" ht="13.5">
      <c r="A11" s="1544" t="s">
        <v>1172</v>
      </c>
      <c r="B11" s="838" t="s">
        <v>942</v>
      </c>
      <c r="C11" s="835">
        <v>1354</v>
      </c>
      <c r="D11" s="835">
        <v>3053</v>
      </c>
      <c r="E11" s="835">
        <v>7281</v>
      </c>
      <c r="F11" s="835">
        <v>4196</v>
      </c>
      <c r="G11" s="835">
        <v>24368</v>
      </c>
      <c r="H11" s="835">
        <v>3163</v>
      </c>
      <c r="I11" s="835">
        <v>19362</v>
      </c>
      <c r="J11" s="835">
        <v>4238</v>
      </c>
      <c r="K11" s="835">
        <v>2990</v>
      </c>
      <c r="L11" s="835">
        <v>6495</v>
      </c>
      <c r="M11" s="835">
        <v>3704</v>
      </c>
      <c r="N11" s="835">
        <v>2424</v>
      </c>
      <c r="O11" s="835">
        <v>3197</v>
      </c>
      <c r="P11" s="835">
        <v>3210</v>
      </c>
      <c r="Q11" s="835">
        <v>8056</v>
      </c>
      <c r="R11" s="835">
        <v>1990</v>
      </c>
      <c r="S11" s="835">
        <v>9370</v>
      </c>
      <c r="T11" s="835">
        <v>1711</v>
      </c>
      <c r="U11" s="835">
        <v>1473</v>
      </c>
      <c r="V11" s="834">
        <v>111635</v>
      </c>
      <c r="W11" s="836">
        <v>600840</v>
      </c>
    </row>
    <row r="12" spans="1:23" s="331" customFormat="1" ht="13.5">
      <c r="A12" s="727"/>
      <c r="B12" s="474" t="s">
        <v>210</v>
      </c>
      <c r="C12" s="819"/>
      <c r="D12" s="819"/>
      <c r="E12" s="819"/>
      <c r="F12" s="819"/>
      <c r="G12" s="819"/>
      <c r="H12" s="819"/>
      <c r="I12" s="819"/>
      <c r="J12" s="819"/>
      <c r="K12" s="819"/>
      <c r="L12" s="819"/>
      <c r="M12" s="819"/>
      <c r="N12" s="819"/>
      <c r="O12" s="819"/>
      <c r="P12" s="819"/>
      <c r="Q12" s="819"/>
      <c r="R12" s="819"/>
      <c r="S12" s="819"/>
      <c r="T12" s="819"/>
      <c r="U12" s="819"/>
      <c r="V12" s="819"/>
      <c r="W12" s="725"/>
    </row>
    <row r="13" spans="1:23" s="331" customFormat="1" ht="13.5">
      <c r="A13" s="1544" t="s">
        <v>1158</v>
      </c>
      <c r="B13" s="838" t="s">
        <v>279</v>
      </c>
      <c r="C13" s="826">
        <v>100</v>
      </c>
      <c r="D13" s="835">
        <v>219</v>
      </c>
      <c r="E13" s="835">
        <v>1033</v>
      </c>
      <c r="F13" s="835">
        <v>379</v>
      </c>
      <c r="G13" s="835">
        <v>2639</v>
      </c>
      <c r="H13" s="835">
        <v>292</v>
      </c>
      <c r="I13" s="835">
        <v>1644</v>
      </c>
      <c r="J13" s="835">
        <v>443</v>
      </c>
      <c r="K13" s="835">
        <v>286</v>
      </c>
      <c r="L13" s="835">
        <v>423</v>
      </c>
      <c r="M13" s="835">
        <v>360</v>
      </c>
      <c r="N13" s="835">
        <v>159</v>
      </c>
      <c r="O13" s="835">
        <v>68</v>
      </c>
      <c r="P13" s="835">
        <v>105</v>
      </c>
      <c r="Q13" s="835">
        <v>652</v>
      </c>
      <c r="R13" s="835">
        <v>193</v>
      </c>
      <c r="S13" s="835">
        <v>826</v>
      </c>
      <c r="T13" s="835">
        <v>62</v>
      </c>
      <c r="U13" s="840">
        <v>107</v>
      </c>
      <c r="V13" s="834">
        <v>9990</v>
      </c>
      <c r="W13" s="836">
        <v>53160</v>
      </c>
    </row>
    <row r="14" spans="1:23" s="331" customFormat="1" ht="13.5">
      <c r="A14" s="1544" t="s">
        <v>1159</v>
      </c>
      <c r="B14" s="476" t="s">
        <v>280</v>
      </c>
      <c r="C14" s="383"/>
      <c r="D14" s="817"/>
      <c r="E14" s="817"/>
      <c r="F14" s="817"/>
      <c r="G14" s="817"/>
      <c r="H14" s="817"/>
      <c r="I14" s="817"/>
      <c r="J14" s="817"/>
      <c r="K14" s="817"/>
      <c r="L14" s="817"/>
      <c r="M14" s="817"/>
      <c r="N14" s="385"/>
      <c r="O14" s="817"/>
      <c r="P14" s="817"/>
      <c r="Q14" s="817"/>
      <c r="R14" s="384"/>
      <c r="S14" s="817"/>
      <c r="T14" s="817"/>
      <c r="U14" s="817"/>
      <c r="V14" s="818"/>
      <c r="W14" s="381"/>
    </row>
    <row r="15" spans="1:23" s="331" customFormat="1" ht="13.5">
      <c r="A15" s="1544" t="s">
        <v>1160</v>
      </c>
      <c r="B15" s="476" t="s">
        <v>281</v>
      </c>
      <c r="C15" s="383"/>
      <c r="D15" s="817"/>
      <c r="E15" s="817"/>
      <c r="F15" s="817"/>
      <c r="G15" s="817"/>
      <c r="H15" s="817"/>
      <c r="I15" s="817"/>
      <c r="J15" s="817"/>
      <c r="K15" s="817"/>
      <c r="L15" s="817"/>
      <c r="M15" s="817"/>
      <c r="N15" s="385"/>
      <c r="O15" s="817"/>
      <c r="P15" s="817"/>
      <c r="Q15" s="817"/>
      <c r="R15" s="384"/>
      <c r="S15" s="817"/>
      <c r="T15" s="817"/>
      <c r="U15" s="817"/>
      <c r="V15" s="818"/>
      <c r="W15" s="381"/>
    </row>
    <row r="16" spans="1:23" s="331" customFormat="1" ht="13.5">
      <c r="A16" s="1544" t="s">
        <v>1161</v>
      </c>
      <c r="B16" s="476" t="s">
        <v>282</v>
      </c>
      <c r="C16" s="384"/>
      <c r="D16" s="817"/>
      <c r="E16" s="817"/>
      <c r="F16" s="817"/>
      <c r="G16" s="817"/>
      <c r="H16" s="817"/>
      <c r="I16" s="817"/>
      <c r="J16" s="817"/>
      <c r="K16" s="817"/>
      <c r="L16" s="817"/>
      <c r="M16" s="817"/>
      <c r="N16" s="385"/>
      <c r="O16" s="817"/>
      <c r="P16" s="817"/>
      <c r="Q16" s="817"/>
      <c r="R16" s="384"/>
      <c r="S16" s="817"/>
      <c r="T16" s="817"/>
      <c r="U16" s="817"/>
      <c r="V16" s="818"/>
      <c r="W16" s="381"/>
    </row>
    <row r="17" spans="1:23" s="331" customFormat="1" ht="13.5">
      <c r="A17" s="1544" t="s">
        <v>1114</v>
      </c>
      <c r="B17" s="838" t="s">
        <v>283</v>
      </c>
      <c r="C17" s="826">
        <v>395</v>
      </c>
      <c r="D17" s="835">
        <v>257</v>
      </c>
      <c r="E17" s="835">
        <v>2979</v>
      </c>
      <c r="F17" s="835">
        <v>630</v>
      </c>
      <c r="G17" s="835">
        <v>7348</v>
      </c>
      <c r="H17" s="835">
        <v>1054</v>
      </c>
      <c r="I17" s="835">
        <v>4347</v>
      </c>
      <c r="J17" s="835">
        <v>1333</v>
      </c>
      <c r="K17" s="835">
        <v>607</v>
      </c>
      <c r="L17" s="835">
        <v>216</v>
      </c>
      <c r="M17" s="835">
        <v>869</v>
      </c>
      <c r="N17" s="827">
        <v>459</v>
      </c>
      <c r="O17" s="835">
        <v>805</v>
      </c>
      <c r="P17" s="835">
        <v>775</v>
      </c>
      <c r="Q17" s="835">
        <v>1796</v>
      </c>
      <c r="R17" s="826">
        <v>320</v>
      </c>
      <c r="S17" s="835">
        <v>2027</v>
      </c>
      <c r="T17" s="835">
        <v>413</v>
      </c>
      <c r="U17" s="840">
        <v>339</v>
      </c>
      <c r="V17" s="834">
        <v>26970</v>
      </c>
      <c r="W17" s="836">
        <v>129090</v>
      </c>
    </row>
    <row r="18" spans="1:23" s="331" customFormat="1" ht="13.5">
      <c r="A18" s="1544" t="s">
        <v>1115</v>
      </c>
      <c r="B18" s="838" t="s">
        <v>284</v>
      </c>
      <c r="C18" s="826">
        <v>36</v>
      </c>
      <c r="D18" s="835">
        <v>317</v>
      </c>
      <c r="E18" s="835">
        <v>88</v>
      </c>
      <c r="F18" s="835">
        <v>111</v>
      </c>
      <c r="G18" s="835">
        <v>0</v>
      </c>
      <c r="H18" s="835">
        <v>54</v>
      </c>
      <c r="I18" s="835">
        <v>140</v>
      </c>
      <c r="J18" s="835">
        <v>34</v>
      </c>
      <c r="K18" s="835">
        <v>101</v>
      </c>
      <c r="L18" s="835">
        <v>1489</v>
      </c>
      <c r="M18" s="835" t="s">
        <v>920</v>
      </c>
      <c r="N18" s="827">
        <v>42</v>
      </c>
      <c r="O18" s="835" t="s">
        <v>920</v>
      </c>
      <c r="P18" s="835" t="s">
        <v>920</v>
      </c>
      <c r="Q18" s="835">
        <v>90</v>
      </c>
      <c r="R18" s="826">
        <v>93</v>
      </c>
      <c r="S18" s="835">
        <v>0</v>
      </c>
      <c r="T18" s="835" t="s">
        <v>920</v>
      </c>
      <c r="U18" s="840">
        <v>11</v>
      </c>
      <c r="V18" s="834">
        <v>2660</v>
      </c>
      <c r="W18" s="836">
        <v>13350</v>
      </c>
    </row>
    <row r="19" spans="1:23" s="331" customFormat="1" ht="13.5">
      <c r="A19" s="1544" t="s">
        <v>1162</v>
      </c>
      <c r="B19" s="838" t="s">
        <v>285</v>
      </c>
      <c r="C19" s="826">
        <v>178</v>
      </c>
      <c r="D19" s="835">
        <v>425</v>
      </c>
      <c r="E19" s="835">
        <v>2421</v>
      </c>
      <c r="F19" s="835">
        <v>470</v>
      </c>
      <c r="G19" s="835">
        <v>5034</v>
      </c>
      <c r="H19" s="835">
        <v>502</v>
      </c>
      <c r="I19" s="835">
        <v>2720</v>
      </c>
      <c r="J19" s="835">
        <v>548</v>
      </c>
      <c r="K19" s="835">
        <v>379</v>
      </c>
      <c r="L19" s="835">
        <v>839</v>
      </c>
      <c r="M19" s="835">
        <v>550</v>
      </c>
      <c r="N19" s="827">
        <v>416</v>
      </c>
      <c r="O19" s="835">
        <v>468</v>
      </c>
      <c r="P19" s="835">
        <v>445</v>
      </c>
      <c r="Q19" s="835">
        <v>1608</v>
      </c>
      <c r="R19" s="826">
        <v>250</v>
      </c>
      <c r="S19" s="835">
        <v>1253</v>
      </c>
      <c r="T19" s="835">
        <v>207</v>
      </c>
      <c r="U19" s="840">
        <v>205</v>
      </c>
      <c r="V19" s="834">
        <v>18920</v>
      </c>
      <c r="W19" s="836">
        <v>96170</v>
      </c>
    </row>
    <row r="20" spans="1:23" s="331" customFormat="1" ht="13.5">
      <c r="A20" s="1544" t="s">
        <v>1163</v>
      </c>
      <c r="B20" s="476" t="s">
        <v>286</v>
      </c>
      <c r="C20" s="383"/>
      <c r="D20" s="817"/>
      <c r="E20" s="817"/>
      <c r="F20" s="817"/>
      <c r="G20" s="817"/>
      <c r="H20" s="817"/>
      <c r="I20" s="817"/>
      <c r="J20" s="817"/>
      <c r="K20" s="817"/>
      <c r="L20" s="817"/>
      <c r="M20" s="817"/>
      <c r="N20" s="385"/>
      <c r="O20" s="817"/>
      <c r="P20" s="817"/>
      <c r="Q20" s="817"/>
      <c r="R20" s="384"/>
      <c r="S20" s="817"/>
      <c r="T20" s="817"/>
      <c r="U20" s="817"/>
      <c r="V20" s="818"/>
      <c r="W20" s="381"/>
    </row>
    <row r="21" spans="1:23" s="331" customFormat="1" ht="13.5">
      <c r="A21" s="1544" t="s">
        <v>1164</v>
      </c>
      <c r="B21" s="476" t="s">
        <v>287</v>
      </c>
      <c r="C21" s="384"/>
      <c r="D21" s="817"/>
      <c r="E21" s="817"/>
      <c r="F21" s="817"/>
      <c r="G21" s="817"/>
      <c r="H21" s="817"/>
      <c r="I21" s="817"/>
      <c r="J21" s="817"/>
      <c r="K21" s="817"/>
      <c r="L21" s="817"/>
      <c r="M21" s="817"/>
      <c r="N21" s="385"/>
      <c r="O21" s="817"/>
      <c r="P21" s="817"/>
      <c r="Q21" s="817"/>
      <c r="R21" s="384"/>
      <c r="S21" s="817"/>
      <c r="T21" s="817"/>
      <c r="U21" s="817"/>
      <c r="V21" s="818"/>
      <c r="W21" s="381"/>
    </row>
    <row r="22" spans="1:23" s="331" customFormat="1" ht="13.5">
      <c r="A22" s="1544" t="s">
        <v>1165</v>
      </c>
      <c r="B22" s="476" t="s">
        <v>288</v>
      </c>
      <c r="C22" s="383"/>
      <c r="D22" s="817"/>
      <c r="E22" s="817"/>
      <c r="F22" s="817"/>
      <c r="G22" s="817"/>
      <c r="H22" s="817"/>
      <c r="I22" s="817"/>
      <c r="J22" s="817"/>
      <c r="K22" s="817"/>
      <c r="L22" s="817"/>
      <c r="M22" s="817"/>
      <c r="N22" s="385"/>
      <c r="O22" s="817"/>
      <c r="P22" s="817"/>
      <c r="Q22" s="817"/>
      <c r="R22" s="384"/>
      <c r="S22" s="817"/>
      <c r="T22" s="817"/>
      <c r="U22" s="817"/>
      <c r="V22" s="818"/>
      <c r="W22" s="381"/>
    </row>
    <row r="23" spans="1:23" s="331" customFormat="1" ht="13.5">
      <c r="A23" s="1544" t="s">
        <v>1166</v>
      </c>
      <c r="B23" s="476" t="s">
        <v>289</v>
      </c>
      <c r="C23" s="383"/>
      <c r="D23" s="817"/>
      <c r="E23" s="817"/>
      <c r="F23" s="817"/>
      <c r="G23" s="817"/>
      <c r="H23" s="817"/>
      <c r="I23" s="817"/>
      <c r="J23" s="817"/>
      <c r="K23" s="817"/>
      <c r="L23" s="817"/>
      <c r="M23" s="817"/>
      <c r="N23" s="385"/>
      <c r="O23" s="817"/>
      <c r="P23" s="817"/>
      <c r="Q23" s="817"/>
      <c r="R23" s="384"/>
      <c r="S23" s="817"/>
      <c r="T23" s="817"/>
      <c r="U23" s="817"/>
      <c r="V23" s="818"/>
      <c r="W23" s="381"/>
    </row>
    <row r="24" spans="1:23" s="331" customFormat="1" ht="13.5">
      <c r="A24" s="1544" t="s">
        <v>1167</v>
      </c>
      <c r="B24" s="476" t="s">
        <v>290</v>
      </c>
      <c r="C24" s="384"/>
      <c r="D24" s="817"/>
      <c r="E24" s="817"/>
      <c r="F24" s="817"/>
      <c r="G24" s="817"/>
      <c r="H24" s="817"/>
      <c r="I24" s="817"/>
      <c r="J24" s="817"/>
      <c r="K24" s="817"/>
      <c r="L24" s="817"/>
      <c r="M24" s="817"/>
      <c r="N24" s="385"/>
      <c r="O24" s="817"/>
      <c r="P24" s="817"/>
      <c r="Q24" s="817"/>
      <c r="R24" s="384"/>
      <c r="S24" s="817"/>
      <c r="T24" s="817"/>
      <c r="U24" s="817"/>
      <c r="V24" s="818"/>
      <c r="W24" s="381"/>
    </row>
    <row r="25" spans="1:23" s="331" customFormat="1" ht="13.5">
      <c r="A25" s="1544" t="s">
        <v>1117</v>
      </c>
      <c r="B25" s="838" t="s">
        <v>291</v>
      </c>
      <c r="C25" s="826" t="s">
        <v>920</v>
      </c>
      <c r="D25" s="835">
        <v>16</v>
      </c>
      <c r="E25" s="835">
        <v>64</v>
      </c>
      <c r="F25" s="835">
        <v>70</v>
      </c>
      <c r="G25" s="835">
        <v>249</v>
      </c>
      <c r="H25" s="835">
        <v>44</v>
      </c>
      <c r="I25" s="835">
        <v>291</v>
      </c>
      <c r="J25" s="835">
        <v>56</v>
      </c>
      <c r="K25" s="835">
        <v>15</v>
      </c>
      <c r="L25" s="835">
        <v>51</v>
      </c>
      <c r="M25" s="835">
        <v>76</v>
      </c>
      <c r="N25" s="827">
        <v>58</v>
      </c>
      <c r="O25" s="835" t="s">
        <v>920</v>
      </c>
      <c r="P25" s="835" t="s">
        <v>920</v>
      </c>
      <c r="Q25" s="835" t="s">
        <v>920</v>
      </c>
      <c r="R25" s="826">
        <v>15</v>
      </c>
      <c r="S25" s="835">
        <v>92</v>
      </c>
      <c r="T25" s="835" t="s">
        <v>920</v>
      </c>
      <c r="U25" s="840">
        <v>8</v>
      </c>
      <c r="V25" s="834">
        <v>1210</v>
      </c>
      <c r="W25" s="836">
        <v>6640</v>
      </c>
    </row>
    <row r="26" spans="1:23" s="331" customFormat="1" ht="13.5">
      <c r="A26" s="1544" t="s">
        <v>1168</v>
      </c>
      <c r="B26" s="838" t="s">
        <v>292</v>
      </c>
      <c r="C26" s="826">
        <v>361</v>
      </c>
      <c r="D26" s="835">
        <v>458</v>
      </c>
      <c r="E26" s="835">
        <v>1214</v>
      </c>
      <c r="F26" s="835">
        <v>890</v>
      </c>
      <c r="G26" s="835">
        <v>1875</v>
      </c>
      <c r="H26" s="835">
        <v>211</v>
      </c>
      <c r="I26" s="835">
        <v>2649</v>
      </c>
      <c r="J26" s="835">
        <v>655</v>
      </c>
      <c r="K26" s="835">
        <v>459</v>
      </c>
      <c r="L26" s="835">
        <v>1169</v>
      </c>
      <c r="M26" s="835">
        <v>581</v>
      </c>
      <c r="N26" s="827">
        <v>276</v>
      </c>
      <c r="O26" s="835">
        <v>547</v>
      </c>
      <c r="P26" s="835">
        <v>522</v>
      </c>
      <c r="Q26" s="835">
        <v>1041</v>
      </c>
      <c r="R26" s="826">
        <v>304</v>
      </c>
      <c r="S26" s="835">
        <v>1842</v>
      </c>
      <c r="T26" s="835">
        <v>245</v>
      </c>
      <c r="U26" s="840">
        <v>129</v>
      </c>
      <c r="V26" s="834">
        <v>15430</v>
      </c>
      <c r="W26" s="836">
        <v>87300</v>
      </c>
    </row>
    <row r="27" spans="1:23" s="331" customFormat="1" ht="13.5">
      <c r="A27" s="1544" t="s">
        <v>1169</v>
      </c>
      <c r="B27" s="476" t="s">
        <v>293</v>
      </c>
      <c r="C27" s="383"/>
      <c r="D27" s="817"/>
      <c r="E27" s="817"/>
      <c r="F27" s="817"/>
      <c r="G27" s="817"/>
      <c r="H27" s="817"/>
      <c r="I27" s="817"/>
      <c r="J27" s="817"/>
      <c r="K27" s="817"/>
      <c r="L27" s="817"/>
      <c r="M27" s="817"/>
      <c r="N27" s="385"/>
      <c r="O27" s="817"/>
      <c r="P27" s="817"/>
      <c r="Q27" s="817"/>
      <c r="R27" s="384"/>
      <c r="S27" s="817"/>
      <c r="T27" s="817"/>
      <c r="U27" s="817"/>
      <c r="V27" s="818"/>
      <c r="W27" s="381"/>
    </row>
    <row r="28" spans="1:23" s="331" customFormat="1" ht="13.5">
      <c r="A28" s="1544" t="s">
        <v>1170</v>
      </c>
      <c r="B28" s="476" t="s">
        <v>294</v>
      </c>
      <c r="C28" s="383"/>
      <c r="D28" s="817"/>
      <c r="E28" s="817"/>
      <c r="F28" s="817"/>
      <c r="G28" s="817"/>
      <c r="H28" s="817"/>
      <c r="I28" s="817"/>
      <c r="J28" s="817"/>
      <c r="K28" s="817"/>
      <c r="L28" s="817"/>
      <c r="M28" s="817"/>
      <c r="N28" s="385"/>
      <c r="O28" s="817"/>
      <c r="P28" s="817"/>
      <c r="Q28" s="817"/>
      <c r="R28" s="384"/>
      <c r="S28" s="817"/>
      <c r="T28" s="817"/>
      <c r="U28" s="817"/>
      <c r="V28" s="818"/>
      <c r="W28" s="381"/>
    </row>
    <row r="29" spans="1:23" s="331" customFormat="1" ht="13.5">
      <c r="A29" s="1544" t="s">
        <v>1171</v>
      </c>
      <c r="B29" s="476" t="s">
        <v>1327</v>
      </c>
      <c r="C29" s="384"/>
      <c r="D29" s="817"/>
      <c r="E29" s="817"/>
      <c r="F29" s="817"/>
      <c r="G29" s="817"/>
      <c r="H29" s="817"/>
      <c r="I29" s="817"/>
      <c r="J29" s="817"/>
      <c r="K29" s="817"/>
      <c r="L29" s="817"/>
      <c r="M29" s="817"/>
      <c r="N29" s="385"/>
      <c r="O29" s="817"/>
      <c r="P29" s="817"/>
      <c r="Q29" s="817"/>
      <c r="R29" s="384"/>
      <c r="S29" s="817"/>
      <c r="T29" s="817"/>
      <c r="U29" s="817"/>
      <c r="V29" s="818"/>
      <c r="W29" s="381"/>
    </row>
    <row r="30" spans="1:23" s="331" customFormat="1" ht="13.5">
      <c r="A30" s="1544" t="s">
        <v>1119</v>
      </c>
      <c r="B30" s="838" t="s">
        <v>295</v>
      </c>
      <c r="C30" s="826">
        <v>345</v>
      </c>
      <c r="D30" s="835">
        <v>1020</v>
      </c>
      <c r="E30" s="835">
        <v>4352</v>
      </c>
      <c r="F30" s="835">
        <v>1161</v>
      </c>
      <c r="G30" s="835">
        <v>6883</v>
      </c>
      <c r="H30" s="835">
        <v>717</v>
      </c>
      <c r="I30" s="835">
        <v>5018</v>
      </c>
      <c r="J30" s="835">
        <v>1286</v>
      </c>
      <c r="K30" s="835">
        <v>1114</v>
      </c>
      <c r="L30" s="835">
        <v>1977</v>
      </c>
      <c r="M30" s="835">
        <v>898</v>
      </c>
      <c r="N30" s="827">
        <v>845</v>
      </c>
      <c r="O30" s="835">
        <v>1108</v>
      </c>
      <c r="P30" s="835">
        <v>972</v>
      </c>
      <c r="Q30" s="835">
        <v>2810</v>
      </c>
      <c r="R30" s="826">
        <v>670</v>
      </c>
      <c r="S30" s="835">
        <v>2411</v>
      </c>
      <c r="T30" s="835">
        <v>658</v>
      </c>
      <c r="U30" s="840">
        <v>555</v>
      </c>
      <c r="V30" s="834">
        <v>34800</v>
      </c>
      <c r="W30" s="836">
        <v>191840</v>
      </c>
    </row>
    <row r="31" spans="1:23" s="331" customFormat="1" ht="13.5">
      <c r="A31" s="1544" t="s">
        <v>1120</v>
      </c>
      <c r="B31" s="838" t="s">
        <v>296</v>
      </c>
      <c r="C31" s="826">
        <v>43</v>
      </c>
      <c r="D31" s="835">
        <v>30</v>
      </c>
      <c r="E31" s="835">
        <v>272</v>
      </c>
      <c r="F31" s="835">
        <v>236</v>
      </c>
      <c r="G31" s="835">
        <v>1067</v>
      </c>
      <c r="H31" s="835">
        <v>99</v>
      </c>
      <c r="I31" s="835">
        <v>1607</v>
      </c>
      <c r="J31" s="835">
        <v>112</v>
      </c>
      <c r="K31" s="835">
        <v>114</v>
      </c>
      <c r="L31" s="835">
        <v>201</v>
      </c>
      <c r="M31" s="835">
        <v>131</v>
      </c>
      <c r="N31" s="827">
        <v>113</v>
      </c>
      <c r="O31" s="835">
        <v>113</v>
      </c>
      <c r="P31" s="835">
        <v>30</v>
      </c>
      <c r="Q31" s="835">
        <v>343</v>
      </c>
      <c r="R31" s="826">
        <v>64</v>
      </c>
      <c r="S31" s="835">
        <v>41</v>
      </c>
      <c r="T31" s="835">
        <v>24</v>
      </c>
      <c r="U31" s="840">
        <v>42</v>
      </c>
      <c r="V31" s="834">
        <v>4680</v>
      </c>
      <c r="W31" s="836">
        <v>26020</v>
      </c>
    </row>
    <row r="32" spans="1:23" s="331" customFormat="1" ht="13.5">
      <c r="A32" s="1544" t="s">
        <v>1121</v>
      </c>
      <c r="B32" s="838" t="s">
        <v>297</v>
      </c>
      <c r="C32" s="826">
        <v>43</v>
      </c>
      <c r="D32" s="835">
        <v>92</v>
      </c>
      <c r="E32" s="835">
        <v>473</v>
      </c>
      <c r="F32" s="835">
        <v>188</v>
      </c>
      <c r="G32" s="835">
        <v>1400</v>
      </c>
      <c r="H32" s="835">
        <v>265</v>
      </c>
      <c r="I32" s="835">
        <v>535</v>
      </c>
      <c r="J32" s="835">
        <v>139</v>
      </c>
      <c r="K32" s="835">
        <v>147</v>
      </c>
      <c r="L32" s="835">
        <v>169</v>
      </c>
      <c r="M32" s="835">
        <v>142</v>
      </c>
      <c r="N32" s="827">
        <v>51</v>
      </c>
      <c r="O32" s="835">
        <v>50</v>
      </c>
      <c r="P32" s="835">
        <v>189</v>
      </c>
      <c r="Q32" s="835">
        <v>603</v>
      </c>
      <c r="R32" s="826">
        <v>21</v>
      </c>
      <c r="S32" s="835">
        <v>823</v>
      </c>
      <c r="T32" s="835">
        <v>95</v>
      </c>
      <c r="U32" s="840">
        <v>54</v>
      </c>
      <c r="V32" s="834">
        <v>5480</v>
      </c>
      <c r="W32" s="836">
        <v>27840</v>
      </c>
    </row>
    <row r="33" spans="1:23" s="331" customFormat="1" ht="13.5">
      <c r="A33" s="1544" t="s">
        <v>1122</v>
      </c>
      <c r="B33" s="838" t="s">
        <v>298</v>
      </c>
      <c r="C33" s="826" t="s">
        <v>920</v>
      </c>
      <c r="D33" s="835">
        <v>55</v>
      </c>
      <c r="E33" s="835">
        <v>184</v>
      </c>
      <c r="F33" s="835">
        <v>103</v>
      </c>
      <c r="G33" s="835">
        <v>628</v>
      </c>
      <c r="H33" s="835">
        <v>93</v>
      </c>
      <c r="I33" s="835">
        <v>181</v>
      </c>
      <c r="J33" s="835">
        <v>174</v>
      </c>
      <c r="K33" s="835">
        <v>69</v>
      </c>
      <c r="L33" s="835">
        <v>153</v>
      </c>
      <c r="M33" s="835">
        <v>66</v>
      </c>
      <c r="N33" s="827" t="s">
        <v>920</v>
      </c>
      <c r="O33" s="835">
        <v>25</v>
      </c>
      <c r="P33" s="835">
        <v>109</v>
      </c>
      <c r="Q33" s="835">
        <v>231</v>
      </c>
      <c r="R33" s="826">
        <v>24</v>
      </c>
      <c r="S33" s="835">
        <v>0</v>
      </c>
      <c r="T33" s="835">
        <v>17</v>
      </c>
      <c r="U33" s="840">
        <v>33</v>
      </c>
      <c r="V33" s="834">
        <v>2180</v>
      </c>
      <c r="W33" s="836">
        <v>11600</v>
      </c>
    </row>
    <row r="34" spans="1:23" s="331" customFormat="1" ht="13.5">
      <c r="A34" s="1544" t="s">
        <v>1123</v>
      </c>
      <c r="B34" s="838" t="s">
        <v>299</v>
      </c>
      <c r="C34" s="826">
        <v>0</v>
      </c>
      <c r="D34" s="835">
        <v>317</v>
      </c>
      <c r="E34" s="835">
        <v>7</v>
      </c>
      <c r="F34" s="835">
        <v>54</v>
      </c>
      <c r="G34" s="835">
        <v>251</v>
      </c>
      <c r="H34" s="835">
        <v>34</v>
      </c>
      <c r="I34" s="835">
        <v>365</v>
      </c>
      <c r="J34" s="835">
        <v>10</v>
      </c>
      <c r="K34" s="835">
        <v>11</v>
      </c>
      <c r="L34" s="835">
        <v>17</v>
      </c>
      <c r="M34" s="835" t="s">
        <v>920</v>
      </c>
      <c r="N34" s="827" t="s">
        <v>920</v>
      </c>
      <c r="O34" s="840">
        <v>0</v>
      </c>
      <c r="P34" s="835">
        <v>470</v>
      </c>
      <c r="Q34" s="835" t="s">
        <v>920</v>
      </c>
      <c r="R34" s="840">
        <v>36</v>
      </c>
      <c r="S34" s="835">
        <v>55</v>
      </c>
      <c r="T34" s="835">
        <v>19</v>
      </c>
      <c r="U34" s="840">
        <v>46</v>
      </c>
      <c r="V34" s="825">
        <v>1700</v>
      </c>
      <c r="W34" s="836">
        <v>7250</v>
      </c>
    </row>
    <row r="35" spans="1:23" s="331" customFormat="1" ht="13.5">
      <c r="A35" s="1544" t="s">
        <v>1134</v>
      </c>
      <c r="B35" s="838" t="s">
        <v>300</v>
      </c>
      <c r="C35" s="826">
        <v>283</v>
      </c>
      <c r="D35" s="835">
        <v>695</v>
      </c>
      <c r="E35" s="835">
        <v>4276</v>
      </c>
      <c r="F35" s="835">
        <v>691</v>
      </c>
      <c r="G35" s="835">
        <v>9775</v>
      </c>
      <c r="H35" s="835">
        <v>1312</v>
      </c>
      <c r="I35" s="835">
        <v>4196</v>
      </c>
      <c r="J35" s="835">
        <v>988</v>
      </c>
      <c r="K35" s="835">
        <v>638</v>
      </c>
      <c r="L35" s="835">
        <v>1219</v>
      </c>
      <c r="M35" s="835">
        <v>916</v>
      </c>
      <c r="N35" s="827">
        <v>503</v>
      </c>
      <c r="O35" s="835">
        <v>688</v>
      </c>
      <c r="P35" s="835">
        <v>658</v>
      </c>
      <c r="Q35" s="835">
        <v>1863</v>
      </c>
      <c r="R35" s="826">
        <v>488</v>
      </c>
      <c r="S35" s="835">
        <v>2401</v>
      </c>
      <c r="T35" s="835">
        <v>322</v>
      </c>
      <c r="U35" s="840">
        <v>249</v>
      </c>
      <c r="V35" s="834">
        <v>32161</v>
      </c>
      <c r="W35" s="836">
        <v>139500</v>
      </c>
    </row>
    <row r="36" spans="1:23" s="331" customFormat="1" ht="13.5">
      <c r="A36" s="1544" t="s">
        <v>1300</v>
      </c>
      <c r="B36" s="838" t="s">
        <v>301</v>
      </c>
      <c r="C36" s="826">
        <v>1464</v>
      </c>
      <c r="D36" s="835">
        <v>2646</v>
      </c>
      <c r="E36" s="835">
        <v>10201</v>
      </c>
      <c r="F36" s="835">
        <v>3236</v>
      </c>
      <c r="G36" s="835">
        <v>27661</v>
      </c>
      <c r="H36" s="835">
        <v>4179</v>
      </c>
      <c r="I36" s="835">
        <v>18796</v>
      </c>
      <c r="J36" s="835">
        <v>3595</v>
      </c>
      <c r="K36" s="835">
        <v>3568</v>
      </c>
      <c r="L36" s="835">
        <v>5939</v>
      </c>
      <c r="M36" s="835">
        <v>3478</v>
      </c>
      <c r="N36" s="827">
        <v>2268</v>
      </c>
      <c r="O36" s="835">
        <v>3512</v>
      </c>
      <c r="P36" s="835">
        <v>3575</v>
      </c>
      <c r="Q36" s="835">
        <v>9379</v>
      </c>
      <c r="R36" s="826">
        <v>2356</v>
      </c>
      <c r="S36" s="835">
        <v>9963</v>
      </c>
      <c r="T36" s="835">
        <v>1643</v>
      </c>
      <c r="U36" s="840">
        <v>1470</v>
      </c>
      <c r="V36" s="834">
        <v>118930</v>
      </c>
      <c r="W36" s="836">
        <v>645070</v>
      </c>
    </row>
    <row r="37" spans="1:23" s="331" customFormat="1" ht="22.5">
      <c r="A37" s="727"/>
      <c r="B37" s="474" t="s">
        <v>211</v>
      </c>
      <c r="C37" s="819">
        <v>1464</v>
      </c>
      <c r="D37" s="819">
        <v>2646</v>
      </c>
      <c r="E37" s="819">
        <v>10201</v>
      </c>
      <c r="F37" s="819">
        <v>3236</v>
      </c>
      <c r="G37" s="819">
        <v>27661</v>
      </c>
      <c r="H37" s="819">
        <v>4179</v>
      </c>
      <c r="I37" s="819">
        <v>18796</v>
      </c>
      <c r="J37" s="819">
        <v>3595</v>
      </c>
      <c r="K37" s="819">
        <v>3568</v>
      </c>
      <c r="L37" s="819">
        <v>5939</v>
      </c>
      <c r="M37" s="819">
        <v>3478</v>
      </c>
      <c r="N37" s="819">
        <v>2268</v>
      </c>
      <c r="O37" s="819">
        <v>3512</v>
      </c>
      <c r="P37" s="819">
        <v>3575</v>
      </c>
      <c r="Q37" s="819">
        <v>9379</v>
      </c>
      <c r="R37" s="819">
        <v>2356</v>
      </c>
      <c r="S37" s="819">
        <v>9963</v>
      </c>
      <c r="T37" s="819">
        <v>1643</v>
      </c>
      <c r="U37" s="819">
        <v>1470</v>
      </c>
      <c r="V37" s="819">
        <v>118930</v>
      </c>
      <c r="W37" s="725">
        <v>645070</v>
      </c>
    </row>
    <row r="38" spans="1:23" s="331" customFormat="1" ht="13.5">
      <c r="A38" s="1544" t="s">
        <v>1173</v>
      </c>
      <c r="B38" s="838" t="s">
        <v>302</v>
      </c>
      <c r="C38" s="826">
        <v>243</v>
      </c>
      <c r="D38" s="835">
        <v>539</v>
      </c>
      <c r="E38" s="835">
        <v>2205</v>
      </c>
      <c r="F38" s="835">
        <v>266</v>
      </c>
      <c r="G38" s="835">
        <v>7678</v>
      </c>
      <c r="H38" s="835">
        <v>1701</v>
      </c>
      <c r="I38" s="835">
        <v>896</v>
      </c>
      <c r="J38" s="835">
        <v>227</v>
      </c>
      <c r="K38" s="835">
        <v>430</v>
      </c>
      <c r="L38" s="835">
        <v>451</v>
      </c>
      <c r="M38" s="835">
        <v>1357</v>
      </c>
      <c r="N38" s="827">
        <v>233</v>
      </c>
      <c r="O38" s="835">
        <v>97</v>
      </c>
      <c r="P38" s="835">
        <v>510</v>
      </c>
      <c r="Q38" s="835">
        <v>552</v>
      </c>
      <c r="R38" s="826">
        <v>540</v>
      </c>
      <c r="S38" s="835">
        <v>942</v>
      </c>
      <c r="T38" s="835">
        <v>170</v>
      </c>
      <c r="U38" s="835">
        <v>0</v>
      </c>
      <c r="V38" s="834">
        <v>19120</v>
      </c>
      <c r="W38" s="836">
        <v>82260</v>
      </c>
    </row>
    <row r="39" spans="1:23" s="331" customFormat="1" ht="13.5">
      <c r="A39" s="1544" t="s">
        <v>1174</v>
      </c>
      <c r="B39" s="838" t="s">
        <v>565</v>
      </c>
      <c r="C39" s="826">
        <v>309</v>
      </c>
      <c r="D39" s="835">
        <v>287</v>
      </c>
      <c r="E39" s="835">
        <v>1253</v>
      </c>
      <c r="F39" s="835">
        <v>361</v>
      </c>
      <c r="G39" s="835">
        <v>14891</v>
      </c>
      <c r="H39" s="835">
        <v>1630</v>
      </c>
      <c r="I39" s="835">
        <v>1825</v>
      </c>
      <c r="J39" s="835">
        <v>427</v>
      </c>
      <c r="K39" s="835">
        <v>853</v>
      </c>
      <c r="L39" s="835">
        <v>818</v>
      </c>
      <c r="M39" s="835">
        <v>862</v>
      </c>
      <c r="N39" s="827">
        <v>303</v>
      </c>
      <c r="O39" s="835">
        <v>577</v>
      </c>
      <c r="P39" s="835">
        <v>766</v>
      </c>
      <c r="Q39" s="835">
        <v>1546</v>
      </c>
      <c r="R39" s="826">
        <v>492</v>
      </c>
      <c r="S39" s="835">
        <v>992</v>
      </c>
      <c r="T39" s="835">
        <v>340</v>
      </c>
      <c r="U39" s="835">
        <v>207</v>
      </c>
      <c r="V39" s="834">
        <v>28740</v>
      </c>
      <c r="W39" s="836">
        <v>116480</v>
      </c>
    </row>
    <row r="40" spans="1:23" s="331" customFormat="1" ht="13.5">
      <c r="A40" s="1544" t="s">
        <v>1175</v>
      </c>
      <c r="B40" s="838" t="s">
        <v>566</v>
      </c>
      <c r="C40" s="826">
        <v>264</v>
      </c>
      <c r="D40" s="835">
        <v>484</v>
      </c>
      <c r="E40" s="835">
        <v>1930</v>
      </c>
      <c r="F40" s="835">
        <v>405</v>
      </c>
      <c r="G40" s="835">
        <v>2102</v>
      </c>
      <c r="H40" s="835">
        <v>295</v>
      </c>
      <c r="I40" s="835">
        <v>3637</v>
      </c>
      <c r="J40" s="835">
        <v>884</v>
      </c>
      <c r="K40" s="835">
        <v>939</v>
      </c>
      <c r="L40" s="835">
        <v>866</v>
      </c>
      <c r="M40" s="835">
        <v>713</v>
      </c>
      <c r="N40" s="827">
        <v>361</v>
      </c>
      <c r="O40" s="835">
        <v>988</v>
      </c>
      <c r="P40" s="835">
        <v>749</v>
      </c>
      <c r="Q40" s="835">
        <v>1961</v>
      </c>
      <c r="R40" s="826">
        <v>400</v>
      </c>
      <c r="S40" s="835">
        <v>1486</v>
      </c>
      <c r="T40" s="835">
        <v>261</v>
      </c>
      <c r="U40" s="835">
        <v>255</v>
      </c>
      <c r="V40" s="834">
        <v>18980</v>
      </c>
      <c r="W40" s="836">
        <v>108670</v>
      </c>
    </row>
    <row r="41" spans="1:23" s="331" customFormat="1" ht="13.5">
      <c r="A41" s="1544" t="s">
        <v>1176</v>
      </c>
      <c r="B41" s="838" t="s">
        <v>567</v>
      </c>
      <c r="C41" s="826">
        <v>379</v>
      </c>
      <c r="D41" s="835">
        <v>1001</v>
      </c>
      <c r="E41" s="835">
        <v>2906</v>
      </c>
      <c r="F41" s="835">
        <v>931</v>
      </c>
      <c r="G41" s="835">
        <v>1890</v>
      </c>
      <c r="H41" s="835">
        <v>421</v>
      </c>
      <c r="I41" s="835">
        <v>8492</v>
      </c>
      <c r="J41" s="835">
        <v>1632</v>
      </c>
      <c r="K41" s="835">
        <v>1043</v>
      </c>
      <c r="L41" s="835">
        <v>2038</v>
      </c>
      <c r="M41" s="835">
        <v>459</v>
      </c>
      <c r="N41" s="827">
        <v>927</v>
      </c>
      <c r="O41" s="835">
        <v>1232</v>
      </c>
      <c r="P41" s="824">
        <v>1239</v>
      </c>
      <c r="Q41" s="835">
        <v>3864</v>
      </c>
      <c r="R41" s="826">
        <v>898</v>
      </c>
      <c r="S41" s="835">
        <v>4558</v>
      </c>
      <c r="T41" s="835">
        <v>681</v>
      </c>
      <c r="U41" s="835">
        <v>450</v>
      </c>
      <c r="V41" s="834">
        <v>35050</v>
      </c>
      <c r="W41" s="836">
        <v>237610</v>
      </c>
    </row>
    <row r="42" spans="1:23" s="331" customFormat="1" ht="13.5">
      <c r="A42" s="1544" t="s">
        <v>1177</v>
      </c>
      <c r="B42" s="838" t="s">
        <v>303</v>
      </c>
      <c r="C42" s="826">
        <v>269</v>
      </c>
      <c r="D42" s="835">
        <v>335</v>
      </c>
      <c r="E42" s="835">
        <v>1907</v>
      </c>
      <c r="F42" s="835">
        <v>1273</v>
      </c>
      <c r="G42" s="835">
        <v>1100</v>
      </c>
      <c r="H42" s="835">
        <v>132</v>
      </c>
      <c r="I42" s="835">
        <v>3946</v>
      </c>
      <c r="J42" s="835">
        <v>425</v>
      </c>
      <c r="K42" s="835">
        <v>303</v>
      </c>
      <c r="L42" s="835">
        <v>1766</v>
      </c>
      <c r="M42" s="835">
        <v>87</v>
      </c>
      <c r="N42" s="827">
        <v>444</v>
      </c>
      <c r="O42" s="835">
        <v>618</v>
      </c>
      <c r="P42" s="824">
        <v>311</v>
      </c>
      <c r="Q42" s="835">
        <v>1456</v>
      </c>
      <c r="R42" s="826">
        <v>17</v>
      </c>
      <c r="S42" s="835">
        <v>1985</v>
      </c>
      <c r="T42" s="835">
        <v>191</v>
      </c>
      <c r="U42" s="835">
        <v>478</v>
      </c>
      <c r="V42" s="834">
        <v>17050</v>
      </c>
      <c r="W42" s="836">
        <v>100050</v>
      </c>
    </row>
    <row r="43" spans="1:23" s="331" customFormat="1" ht="13.5">
      <c r="A43" s="1547"/>
      <c r="B43" s="828" t="s">
        <v>902</v>
      </c>
      <c r="C43" s="826">
        <v>13</v>
      </c>
      <c r="D43" s="835">
        <v>13</v>
      </c>
      <c r="E43" s="835">
        <v>13</v>
      </c>
      <c r="F43" s="835">
        <v>25</v>
      </c>
      <c r="G43" s="835">
        <v>10</v>
      </c>
      <c r="H43" s="835">
        <v>6</v>
      </c>
      <c r="I43" s="835">
        <v>26</v>
      </c>
      <c r="J43" s="835">
        <v>23</v>
      </c>
      <c r="K43" s="835">
        <v>16</v>
      </c>
      <c r="L43" s="835">
        <v>23</v>
      </c>
      <c r="M43" s="835">
        <v>8</v>
      </c>
      <c r="N43" s="827">
        <v>21</v>
      </c>
      <c r="O43" s="835">
        <v>23</v>
      </c>
      <c r="P43" s="824">
        <v>15</v>
      </c>
      <c r="Q43" s="835">
        <v>22</v>
      </c>
      <c r="R43" s="826">
        <v>11</v>
      </c>
      <c r="S43" s="835">
        <v>24</v>
      </c>
      <c r="T43" s="835">
        <v>17</v>
      </c>
      <c r="U43" s="835">
        <v>24</v>
      </c>
      <c r="V43" s="834">
        <v>333</v>
      </c>
      <c r="W43" s="836">
        <v>17</v>
      </c>
    </row>
    <row r="44" spans="1:23" s="331" customFormat="1" ht="13.5">
      <c r="A44" s="1547"/>
      <c r="B44" s="828" t="s">
        <v>903</v>
      </c>
      <c r="C44" s="826">
        <v>27</v>
      </c>
      <c r="D44" s="835">
        <v>31</v>
      </c>
      <c r="E44" s="835">
        <v>30</v>
      </c>
      <c r="F44" s="835">
        <v>40</v>
      </c>
      <c r="G44" s="835">
        <v>14</v>
      </c>
      <c r="H44" s="835">
        <v>13</v>
      </c>
      <c r="I44" s="835">
        <v>38</v>
      </c>
      <c r="J44" s="835">
        <v>34</v>
      </c>
      <c r="K44" s="835">
        <v>26</v>
      </c>
      <c r="L44" s="835">
        <v>39</v>
      </c>
      <c r="M44" s="835">
        <v>15</v>
      </c>
      <c r="N44" s="827">
        <v>36</v>
      </c>
      <c r="O44" s="835">
        <v>32</v>
      </c>
      <c r="P44" s="824">
        <v>27</v>
      </c>
      <c r="Q44" s="835">
        <v>33</v>
      </c>
      <c r="R44" s="826">
        <v>24</v>
      </c>
      <c r="S44" s="835">
        <v>39</v>
      </c>
      <c r="T44" s="835">
        <v>32</v>
      </c>
      <c r="U44" s="835">
        <v>39</v>
      </c>
      <c r="V44" s="834">
        <v>569</v>
      </c>
      <c r="W44" s="836">
        <v>32</v>
      </c>
    </row>
    <row r="45" spans="1:23" s="331" customFormat="1" ht="13.5">
      <c r="A45" s="1547"/>
      <c r="B45" s="828" t="s">
        <v>904</v>
      </c>
      <c r="C45" s="826">
        <v>42</v>
      </c>
      <c r="D45" s="835">
        <v>41</v>
      </c>
      <c r="E45" s="835">
        <v>41</v>
      </c>
      <c r="F45" s="835">
        <v>53</v>
      </c>
      <c r="G45" s="835">
        <v>17</v>
      </c>
      <c r="H45" s="835">
        <v>17</v>
      </c>
      <c r="I45" s="835">
        <v>45</v>
      </c>
      <c r="J45" s="835">
        <v>43</v>
      </c>
      <c r="K45" s="835">
        <v>35</v>
      </c>
      <c r="L45" s="835">
        <v>47</v>
      </c>
      <c r="M45" s="835">
        <v>25</v>
      </c>
      <c r="N45" s="827">
        <v>45</v>
      </c>
      <c r="O45" s="835">
        <v>42</v>
      </c>
      <c r="P45" s="824">
        <v>40</v>
      </c>
      <c r="Q45" s="835">
        <v>44</v>
      </c>
      <c r="R45" s="826">
        <v>38</v>
      </c>
      <c r="S45" s="835">
        <v>45</v>
      </c>
      <c r="T45" s="835">
        <v>43</v>
      </c>
      <c r="U45" s="835">
        <v>49</v>
      </c>
      <c r="V45" s="834">
        <v>752</v>
      </c>
      <c r="W45" s="836">
        <v>43</v>
      </c>
    </row>
    <row r="46" spans="1:23" s="331" customFormat="1" ht="13.5">
      <c r="A46" s="1544" t="s">
        <v>1302</v>
      </c>
      <c r="B46" s="476" t="s">
        <v>304</v>
      </c>
      <c r="C46" s="383"/>
      <c r="D46" s="817"/>
      <c r="E46" s="817"/>
      <c r="F46" s="817"/>
      <c r="G46" s="817"/>
      <c r="H46" s="817"/>
      <c r="I46" s="817"/>
      <c r="J46" s="817"/>
      <c r="K46" s="817"/>
      <c r="L46" s="817"/>
      <c r="M46" s="817"/>
      <c r="N46" s="385"/>
      <c r="O46" s="817"/>
      <c r="P46" s="817"/>
      <c r="Q46" s="817"/>
      <c r="R46" s="384"/>
      <c r="S46" s="817"/>
      <c r="T46" s="817"/>
      <c r="U46" s="817"/>
      <c r="V46" s="818"/>
      <c r="W46" s="381"/>
    </row>
    <row r="47" spans="1:23" s="331" customFormat="1" ht="13.5">
      <c r="A47" s="1544" t="s">
        <v>1303</v>
      </c>
      <c r="B47" s="476" t="s">
        <v>305</v>
      </c>
      <c r="C47" s="384"/>
      <c r="D47" s="817"/>
      <c r="E47" s="817"/>
      <c r="F47" s="817"/>
      <c r="G47" s="817"/>
      <c r="H47" s="817"/>
      <c r="I47" s="817"/>
      <c r="J47" s="817"/>
      <c r="K47" s="817"/>
      <c r="L47" s="817"/>
      <c r="M47" s="817"/>
      <c r="N47" s="385"/>
      <c r="O47" s="817"/>
      <c r="P47" s="817"/>
      <c r="Q47" s="817"/>
      <c r="R47" s="384"/>
      <c r="S47" s="817"/>
      <c r="T47" s="817"/>
      <c r="U47" s="817"/>
      <c r="V47" s="818"/>
      <c r="W47" s="381"/>
    </row>
    <row r="48" spans="1:23" s="331" customFormat="1" ht="13.5">
      <c r="A48" s="1544" t="s">
        <v>1211</v>
      </c>
      <c r="B48" s="838" t="s">
        <v>306</v>
      </c>
      <c r="C48" s="826">
        <v>965</v>
      </c>
      <c r="D48" s="835">
        <v>2378</v>
      </c>
      <c r="E48" s="835">
        <v>4277</v>
      </c>
      <c r="F48" s="835">
        <v>3556</v>
      </c>
      <c r="G48" s="835">
        <v>8905</v>
      </c>
      <c r="H48" s="835">
        <v>1348</v>
      </c>
      <c r="I48" s="835">
        <v>11925</v>
      </c>
      <c r="J48" s="835">
        <v>1753</v>
      </c>
      <c r="K48" s="835">
        <v>2603</v>
      </c>
      <c r="L48" s="835">
        <v>5019</v>
      </c>
      <c r="M48" s="835">
        <v>1736</v>
      </c>
      <c r="N48" s="827">
        <v>1516</v>
      </c>
      <c r="O48" s="835">
        <v>1742</v>
      </c>
      <c r="P48" s="835">
        <v>2901</v>
      </c>
      <c r="Q48" s="835">
        <v>6110</v>
      </c>
      <c r="R48" s="826">
        <v>1218</v>
      </c>
      <c r="S48" s="835">
        <v>5380</v>
      </c>
      <c r="T48" s="835">
        <v>891</v>
      </c>
      <c r="U48" s="835">
        <v>1028</v>
      </c>
      <c r="V48" s="834">
        <v>65251</v>
      </c>
      <c r="W48" s="836">
        <v>404310</v>
      </c>
    </row>
    <row r="49" spans="1:23" s="331" customFormat="1" ht="13.5">
      <c r="A49" s="1544" t="s">
        <v>1212</v>
      </c>
      <c r="B49" s="838" t="s">
        <v>307</v>
      </c>
      <c r="C49" s="826">
        <v>858</v>
      </c>
      <c r="D49" s="835">
        <v>811</v>
      </c>
      <c r="E49" s="835">
        <v>3557</v>
      </c>
      <c r="F49" s="835">
        <v>1597</v>
      </c>
      <c r="G49" s="835">
        <v>7948</v>
      </c>
      <c r="H49" s="835">
        <v>1002</v>
      </c>
      <c r="I49" s="835">
        <v>6646</v>
      </c>
      <c r="J49" s="835">
        <v>1215</v>
      </c>
      <c r="K49" s="835">
        <v>1036</v>
      </c>
      <c r="L49" s="835">
        <v>2068</v>
      </c>
      <c r="M49" s="835">
        <v>1278</v>
      </c>
      <c r="N49" s="827">
        <v>1103</v>
      </c>
      <c r="O49" s="835">
        <v>1308</v>
      </c>
      <c r="P49" s="835">
        <v>1754</v>
      </c>
      <c r="Q49" s="835">
        <v>3502</v>
      </c>
      <c r="R49" s="826">
        <v>736</v>
      </c>
      <c r="S49" s="835">
        <v>3501</v>
      </c>
      <c r="T49" s="835">
        <v>706</v>
      </c>
      <c r="U49" s="835">
        <v>640</v>
      </c>
      <c r="V49" s="834">
        <v>41270</v>
      </c>
      <c r="W49" s="836">
        <v>217800</v>
      </c>
    </row>
    <row r="50" spans="1:23" s="331" customFormat="1" ht="13.5">
      <c r="A50" s="1544" t="s">
        <v>1213</v>
      </c>
      <c r="B50" s="838" t="s">
        <v>308</v>
      </c>
      <c r="C50" s="826">
        <v>276</v>
      </c>
      <c r="D50" s="835">
        <v>390</v>
      </c>
      <c r="E50" s="835">
        <v>1045</v>
      </c>
      <c r="F50" s="835">
        <v>691</v>
      </c>
      <c r="G50" s="835">
        <v>1634</v>
      </c>
      <c r="H50" s="835">
        <v>274</v>
      </c>
      <c r="I50" s="835">
        <v>1696</v>
      </c>
      <c r="J50" s="835">
        <v>312</v>
      </c>
      <c r="K50" s="835">
        <v>292</v>
      </c>
      <c r="L50" s="835">
        <v>838</v>
      </c>
      <c r="M50" s="835">
        <v>280</v>
      </c>
      <c r="N50" s="827">
        <v>362</v>
      </c>
      <c r="O50" s="835">
        <v>390</v>
      </c>
      <c r="P50" s="835">
        <v>631</v>
      </c>
      <c r="Q50" s="835">
        <v>1165</v>
      </c>
      <c r="R50" s="826">
        <v>283</v>
      </c>
      <c r="S50" s="835">
        <v>1054</v>
      </c>
      <c r="T50" s="835">
        <v>218</v>
      </c>
      <c r="U50" s="835">
        <v>212</v>
      </c>
      <c r="V50" s="834">
        <v>12040</v>
      </c>
      <c r="W50" s="836">
        <v>73790</v>
      </c>
    </row>
    <row r="51" spans="1:23" s="331" customFormat="1" ht="13.5">
      <c r="A51" s="1544" t="s">
        <v>1214</v>
      </c>
      <c r="B51" s="838" t="s">
        <v>309</v>
      </c>
      <c r="C51" s="826">
        <v>233</v>
      </c>
      <c r="D51" s="835">
        <v>344</v>
      </c>
      <c r="E51" s="835">
        <v>625</v>
      </c>
      <c r="F51" s="835">
        <v>561</v>
      </c>
      <c r="G51" s="835">
        <v>1346</v>
      </c>
      <c r="H51" s="835">
        <v>219</v>
      </c>
      <c r="I51" s="835">
        <v>1455</v>
      </c>
      <c r="J51" s="835">
        <v>290</v>
      </c>
      <c r="K51" s="835">
        <v>218</v>
      </c>
      <c r="L51" s="835">
        <v>503</v>
      </c>
      <c r="M51" s="835">
        <v>224</v>
      </c>
      <c r="N51" s="827">
        <v>265</v>
      </c>
      <c r="O51" s="835">
        <v>288</v>
      </c>
      <c r="P51" s="835">
        <v>455</v>
      </c>
      <c r="Q51" s="835">
        <v>1014</v>
      </c>
      <c r="R51" s="826">
        <v>271</v>
      </c>
      <c r="S51" s="835">
        <v>811</v>
      </c>
      <c r="T51" s="835">
        <v>172</v>
      </c>
      <c r="U51" s="835">
        <v>167</v>
      </c>
      <c r="V51" s="834">
        <v>9470</v>
      </c>
      <c r="W51" s="836">
        <v>58440</v>
      </c>
    </row>
    <row r="52" spans="1:23" s="331" customFormat="1" ht="13.5">
      <c r="A52" s="1544" t="s">
        <v>1215</v>
      </c>
      <c r="B52" s="838" t="s">
        <v>310</v>
      </c>
      <c r="C52" s="826">
        <v>185</v>
      </c>
      <c r="D52" s="835">
        <v>281</v>
      </c>
      <c r="E52" s="835">
        <v>752</v>
      </c>
      <c r="F52" s="835">
        <v>534</v>
      </c>
      <c r="G52" s="835">
        <v>1024</v>
      </c>
      <c r="H52" s="835">
        <v>161</v>
      </c>
      <c r="I52" s="835">
        <v>1256</v>
      </c>
      <c r="J52" s="835">
        <v>219</v>
      </c>
      <c r="K52" s="835">
        <v>191</v>
      </c>
      <c r="L52" s="835">
        <v>559</v>
      </c>
      <c r="M52" s="835">
        <v>225</v>
      </c>
      <c r="N52" s="827">
        <v>217</v>
      </c>
      <c r="O52" s="835">
        <v>288</v>
      </c>
      <c r="P52" s="835">
        <v>475</v>
      </c>
      <c r="Q52" s="835">
        <v>1002</v>
      </c>
      <c r="R52" s="826">
        <v>184</v>
      </c>
      <c r="S52" s="835">
        <v>693</v>
      </c>
      <c r="T52" s="835">
        <v>141</v>
      </c>
      <c r="U52" s="835">
        <v>161</v>
      </c>
      <c r="V52" s="834">
        <v>8548</v>
      </c>
      <c r="W52" s="836">
        <v>50920</v>
      </c>
    </row>
    <row r="53" spans="1:23" s="331" customFormat="1" ht="13.5">
      <c r="A53" s="1544" t="s">
        <v>1304</v>
      </c>
      <c r="B53" s="838" t="s">
        <v>311</v>
      </c>
      <c r="C53" s="826">
        <v>119</v>
      </c>
      <c r="D53" s="835">
        <v>179</v>
      </c>
      <c r="E53" s="835">
        <v>511</v>
      </c>
      <c r="F53" s="835">
        <v>406</v>
      </c>
      <c r="G53" s="835">
        <v>692</v>
      </c>
      <c r="H53" s="835">
        <v>91</v>
      </c>
      <c r="I53" s="835">
        <v>878</v>
      </c>
      <c r="J53" s="835">
        <v>119</v>
      </c>
      <c r="K53" s="835">
        <v>115</v>
      </c>
      <c r="L53" s="835">
        <v>364</v>
      </c>
      <c r="M53" s="835">
        <v>180</v>
      </c>
      <c r="N53" s="827">
        <v>161</v>
      </c>
      <c r="O53" s="835">
        <v>213</v>
      </c>
      <c r="P53" s="835">
        <v>340</v>
      </c>
      <c r="Q53" s="835">
        <v>781</v>
      </c>
      <c r="R53" s="826">
        <v>111</v>
      </c>
      <c r="S53" s="835">
        <v>460</v>
      </c>
      <c r="T53" s="835">
        <v>86</v>
      </c>
      <c r="U53" s="835">
        <v>96</v>
      </c>
      <c r="V53" s="834">
        <v>5900</v>
      </c>
      <c r="W53" s="836">
        <v>34720</v>
      </c>
    </row>
    <row r="54" spans="1:23" s="331" customFormat="1" ht="13.5">
      <c r="A54" s="1544" t="s">
        <v>1178</v>
      </c>
      <c r="B54" s="838" t="s">
        <v>312</v>
      </c>
      <c r="C54" s="826">
        <v>116</v>
      </c>
      <c r="D54" s="835">
        <v>157</v>
      </c>
      <c r="E54" s="835">
        <v>420</v>
      </c>
      <c r="F54" s="835">
        <v>367</v>
      </c>
      <c r="G54" s="835">
        <v>601</v>
      </c>
      <c r="H54" s="835">
        <v>79</v>
      </c>
      <c r="I54" s="835">
        <v>875</v>
      </c>
      <c r="J54" s="835">
        <v>119</v>
      </c>
      <c r="K54" s="835">
        <v>77</v>
      </c>
      <c r="L54" s="835">
        <v>313</v>
      </c>
      <c r="M54" s="835">
        <v>179</v>
      </c>
      <c r="N54" s="827">
        <v>134</v>
      </c>
      <c r="O54" s="835">
        <v>197</v>
      </c>
      <c r="P54" s="835">
        <v>161</v>
      </c>
      <c r="Q54" s="835">
        <v>739</v>
      </c>
      <c r="R54" s="826">
        <v>111</v>
      </c>
      <c r="S54" s="835">
        <v>389</v>
      </c>
      <c r="T54" s="835">
        <v>71</v>
      </c>
      <c r="U54" s="835">
        <v>75</v>
      </c>
      <c r="V54" s="834">
        <v>5180</v>
      </c>
      <c r="W54" s="836">
        <v>30990</v>
      </c>
    </row>
    <row r="55" spans="1:23" s="331" customFormat="1" ht="13.5">
      <c r="A55" s="1544" t="s">
        <v>1305</v>
      </c>
      <c r="B55" s="473" t="s">
        <v>485</v>
      </c>
      <c r="C55" s="384"/>
      <c r="D55" s="817"/>
      <c r="E55" s="817"/>
      <c r="F55" s="817"/>
      <c r="G55" s="817"/>
      <c r="H55" s="817"/>
      <c r="I55" s="817"/>
      <c r="J55" s="817"/>
      <c r="K55" s="817"/>
      <c r="L55" s="817"/>
      <c r="M55" s="817"/>
      <c r="N55" s="385"/>
      <c r="O55" s="817"/>
      <c r="P55" s="817"/>
      <c r="Q55" s="817"/>
      <c r="R55" s="384"/>
      <c r="S55" s="817"/>
      <c r="T55" s="817"/>
      <c r="U55" s="817"/>
      <c r="V55" s="818"/>
      <c r="W55" s="381"/>
    </row>
    <row r="56" spans="1:23" s="331" customFormat="1" ht="13.5">
      <c r="A56" s="1544" t="s">
        <v>1179</v>
      </c>
      <c r="B56" s="838" t="s">
        <v>616</v>
      </c>
      <c r="C56" s="826" t="s">
        <v>920</v>
      </c>
      <c r="D56" s="842">
        <v>15</v>
      </c>
      <c r="E56" s="842">
        <v>16</v>
      </c>
      <c r="F56" s="842">
        <v>24</v>
      </c>
      <c r="G56" s="842">
        <v>16</v>
      </c>
      <c r="H56" s="842">
        <v>0</v>
      </c>
      <c r="I56" s="842">
        <v>30</v>
      </c>
      <c r="J56" s="842" t="s">
        <v>920</v>
      </c>
      <c r="K56" s="842" t="s">
        <v>920</v>
      </c>
      <c r="L56" s="842">
        <v>15</v>
      </c>
      <c r="M56" s="842">
        <v>6</v>
      </c>
      <c r="N56" s="827" t="s">
        <v>920</v>
      </c>
      <c r="O56" s="842" t="s">
        <v>920</v>
      </c>
      <c r="P56" s="842">
        <v>0</v>
      </c>
      <c r="Q56" s="842">
        <v>37</v>
      </c>
      <c r="R56" s="826" t="s">
        <v>920</v>
      </c>
      <c r="S56" s="842">
        <v>11</v>
      </c>
      <c r="T56" s="842" t="s">
        <v>920</v>
      </c>
      <c r="U56" s="842">
        <v>6</v>
      </c>
      <c r="V56" s="825">
        <v>200</v>
      </c>
      <c r="W56" s="1546">
        <v>1250</v>
      </c>
    </row>
    <row r="57" spans="1:23" s="331" customFormat="1" ht="13.5">
      <c r="A57" s="1544" t="s">
        <v>1216</v>
      </c>
      <c r="B57" s="838" t="s">
        <v>313</v>
      </c>
      <c r="C57" s="826">
        <v>212</v>
      </c>
      <c r="D57" s="835">
        <v>301</v>
      </c>
      <c r="E57" s="835">
        <v>650</v>
      </c>
      <c r="F57" s="835">
        <v>578</v>
      </c>
      <c r="G57" s="835">
        <v>1364</v>
      </c>
      <c r="H57" s="835">
        <v>261</v>
      </c>
      <c r="I57" s="835">
        <v>1384</v>
      </c>
      <c r="J57" s="835">
        <v>177</v>
      </c>
      <c r="K57" s="835">
        <v>256</v>
      </c>
      <c r="L57" s="835">
        <v>648</v>
      </c>
      <c r="M57" s="835">
        <v>275</v>
      </c>
      <c r="N57" s="827">
        <v>311</v>
      </c>
      <c r="O57" s="835">
        <v>351</v>
      </c>
      <c r="P57" s="835">
        <v>426</v>
      </c>
      <c r="Q57" s="835">
        <v>931</v>
      </c>
      <c r="R57" s="826">
        <v>202</v>
      </c>
      <c r="S57" s="835">
        <v>1181</v>
      </c>
      <c r="T57" s="835">
        <v>175</v>
      </c>
      <c r="U57" s="835">
        <v>177</v>
      </c>
      <c r="V57" s="834">
        <v>9860</v>
      </c>
      <c r="W57" s="836">
        <v>63130</v>
      </c>
    </row>
    <row r="58" spans="1:23" s="331" customFormat="1" ht="13.5">
      <c r="A58" s="1544" t="s">
        <v>1180</v>
      </c>
      <c r="B58" s="838" t="s">
        <v>314</v>
      </c>
      <c r="C58" s="826" t="s">
        <v>920</v>
      </c>
      <c r="D58" s="835">
        <v>17</v>
      </c>
      <c r="E58" s="835">
        <v>16</v>
      </c>
      <c r="F58" s="835">
        <v>40</v>
      </c>
      <c r="G58" s="835">
        <v>33</v>
      </c>
      <c r="H58" s="835">
        <v>10</v>
      </c>
      <c r="I58" s="835">
        <v>61</v>
      </c>
      <c r="J58" s="835" t="s">
        <v>920</v>
      </c>
      <c r="K58" s="835" t="s">
        <v>920</v>
      </c>
      <c r="L58" s="835">
        <v>13</v>
      </c>
      <c r="M58" s="835">
        <v>15</v>
      </c>
      <c r="N58" s="827" t="s">
        <v>920</v>
      </c>
      <c r="O58" s="835">
        <v>13</v>
      </c>
      <c r="P58" s="835">
        <v>9</v>
      </c>
      <c r="Q58" s="835">
        <v>33</v>
      </c>
      <c r="R58" s="826" t="s">
        <v>920</v>
      </c>
      <c r="S58" s="835">
        <v>39</v>
      </c>
      <c r="T58" s="835" t="s">
        <v>920</v>
      </c>
      <c r="U58" s="835">
        <v>14</v>
      </c>
      <c r="V58" s="834">
        <v>330</v>
      </c>
      <c r="W58" s="836">
        <v>2360</v>
      </c>
    </row>
    <row r="59" spans="1:23" s="331" customFormat="1" ht="13.5">
      <c r="A59" s="1544" t="s">
        <v>1217</v>
      </c>
      <c r="B59" s="838" t="s">
        <v>315</v>
      </c>
      <c r="C59" s="826">
        <v>239</v>
      </c>
      <c r="D59" s="835">
        <v>318</v>
      </c>
      <c r="E59" s="835">
        <v>882</v>
      </c>
      <c r="F59" s="835">
        <v>588</v>
      </c>
      <c r="G59" s="835">
        <v>1388</v>
      </c>
      <c r="H59" s="835">
        <v>236</v>
      </c>
      <c r="I59" s="835">
        <v>1443</v>
      </c>
      <c r="J59" s="835">
        <v>262</v>
      </c>
      <c r="K59" s="835">
        <v>263</v>
      </c>
      <c r="L59" s="835">
        <v>760</v>
      </c>
      <c r="M59" s="835">
        <v>241</v>
      </c>
      <c r="N59" s="827">
        <v>301</v>
      </c>
      <c r="O59" s="835">
        <v>338</v>
      </c>
      <c r="P59" s="835">
        <v>583</v>
      </c>
      <c r="Q59" s="835">
        <v>1031</v>
      </c>
      <c r="R59" s="826">
        <v>245</v>
      </c>
      <c r="S59" s="835">
        <v>920</v>
      </c>
      <c r="T59" s="835">
        <v>188</v>
      </c>
      <c r="U59" s="835">
        <v>195</v>
      </c>
      <c r="V59" s="834">
        <v>10421</v>
      </c>
      <c r="W59" s="836">
        <v>64390</v>
      </c>
    </row>
    <row r="60" spans="1:23" s="331" customFormat="1" ht="13.5">
      <c r="A60" s="1544" t="s">
        <v>1218</v>
      </c>
      <c r="B60" s="838" t="s">
        <v>316</v>
      </c>
      <c r="C60" s="826">
        <v>56</v>
      </c>
      <c r="D60" s="835">
        <v>86</v>
      </c>
      <c r="E60" s="835">
        <v>171</v>
      </c>
      <c r="F60" s="835">
        <v>184</v>
      </c>
      <c r="G60" s="835">
        <v>303</v>
      </c>
      <c r="H60" s="835">
        <v>61</v>
      </c>
      <c r="I60" s="835">
        <v>285</v>
      </c>
      <c r="J60" s="835">
        <v>73</v>
      </c>
      <c r="K60" s="835">
        <v>34</v>
      </c>
      <c r="L60" s="835">
        <v>230</v>
      </c>
      <c r="M60" s="835">
        <v>55</v>
      </c>
      <c r="N60" s="827">
        <v>85</v>
      </c>
      <c r="O60" s="835">
        <v>70</v>
      </c>
      <c r="P60" s="835">
        <v>141</v>
      </c>
      <c r="Q60" s="835">
        <v>239</v>
      </c>
      <c r="R60" s="826">
        <v>55</v>
      </c>
      <c r="S60" s="835">
        <v>243</v>
      </c>
      <c r="T60" s="835">
        <v>61</v>
      </c>
      <c r="U60" s="835">
        <v>40</v>
      </c>
      <c r="V60" s="834">
        <v>2472</v>
      </c>
      <c r="W60" s="836">
        <v>14990</v>
      </c>
    </row>
    <row r="61" spans="1:23" s="331" customFormat="1" ht="13.5">
      <c r="A61" s="1544" t="s">
        <v>1306</v>
      </c>
      <c r="B61" s="838" t="s">
        <v>317</v>
      </c>
      <c r="C61" s="826"/>
      <c r="D61" s="835"/>
      <c r="E61" s="835"/>
      <c r="F61" s="835"/>
      <c r="G61" s="835"/>
      <c r="H61" s="835"/>
      <c r="I61" s="835"/>
      <c r="J61" s="835"/>
      <c r="K61" s="835"/>
      <c r="L61" s="835"/>
      <c r="M61" s="835"/>
      <c r="N61" s="827"/>
      <c r="O61" s="835"/>
      <c r="P61" s="835"/>
      <c r="Q61" s="835"/>
      <c r="R61" s="826"/>
      <c r="S61" s="835"/>
      <c r="T61" s="835"/>
      <c r="U61" s="835"/>
      <c r="V61" s="834"/>
      <c r="W61" s="836"/>
    </row>
    <row r="62" spans="1:23" s="331" customFormat="1" ht="13.5">
      <c r="A62" s="1544" t="s">
        <v>1219</v>
      </c>
      <c r="B62" s="838" t="s">
        <v>318</v>
      </c>
      <c r="C62" s="826">
        <v>137</v>
      </c>
      <c r="D62" s="835">
        <v>389</v>
      </c>
      <c r="E62" s="835">
        <v>502</v>
      </c>
      <c r="F62" s="835">
        <v>628</v>
      </c>
      <c r="G62" s="835">
        <v>1724</v>
      </c>
      <c r="H62" s="835">
        <v>275</v>
      </c>
      <c r="I62" s="835">
        <v>1777</v>
      </c>
      <c r="J62" s="835">
        <v>443</v>
      </c>
      <c r="K62" s="835">
        <v>361</v>
      </c>
      <c r="L62" s="835">
        <v>854</v>
      </c>
      <c r="M62" s="835">
        <v>386</v>
      </c>
      <c r="N62" s="827">
        <v>234</v>
      </c>
      <c r="O62" s="835">
        <v>234</v>
      </c>
      <c r="P62" s="835">
        <v>561</v>
      </c>
      <c r="Q62" s="835">
        <v>1048</v>
      </c>
      <c r="R62" s="826">
        <v>166</v>
      </c>
      <c r="S62" s="835">
        <v>860</v>
      </c>
      <c r="T62" s="835">
        <v>128</v>
      </c>
      <c r="U62" s="835">
        <v>136</v>
      </c>
      <c r="V62" s="834">
        <v>10843</v>
      </c>
      <c r="W62" s="836">
        <v>82170</v>
      </c>
    </row>
    <row r="63" spans="1:23" s="331" customFormat="1" ht="13.5">
      <c r="A63" s="1544"/>
      <c r="B63" s="726" t="s">
        <v>742</v>
      </c>
      <c r="C63" s="821"/>
      <c r="D63" s="822"/>
      <c r="E63" s="822"/>
      <c r="F63" s="822"/>
      <c r="G63" s="822"/>
      <c r="H63" s="822"/>
      <c r="I63" s="822"/>
      <c r="J63" s="822"/>
      <c r="K63" s="822"/>
      <c r="L63" s="822"/>
      <c r="M63" s="822"/>
      <c r="N63" s="823"/>
      <c r="O63" s="822"/>
      <c r="P63" s="822"/>
      <c r="Q63" s="822"/>
      <c r="R63" s="821"/>
      <c r="S63" s="822"/>
      <c r="T63" s="822"/>
      <c r="U63" s="822"/>
      <c r="V63" s="819"/>
      <c r="W63" s="725"/>
    </row>
    <row r="64" spans="1:23" s="331" customFormat="1" ht="13.5">
      <c r="A64" s="1544" t="s">
        <v>1205</v>
      </c>
      <c r="B64" s="838" t="s">
        <v>515</v>
      </c>
      <c r="C64" s="826">
        <v>6</v>
      </c>
      <c r="D64" s="835">
        <v>20</v>
      </c>
      <c r="E64" s="835">
        <v>20</v>
      </c>
      <c r="F64" s="835">
        <v>22</v>
      </c>
      <c r="G64" s="835">
        <v>55</v>
      </c>
      <c r="H64" s="835">
        <v>9</v>
      </c>
      <c r="I64" s="835">
        <v>88</v>
      </c>
      <c r="J64" s="835">
        <v>28</v>
      </c>
      <c r="K64" s="835">
        <v>30</v>
      </c>
      <c r="L64" s="835">
        <v>42</v>
      </c>
      <c r="M64" s="835">
        <v>20</v>
      </c>
      <c r="N64" s="827">
        <v>12</v>
      </c>
      <c r="O64" s="835">
        <v>14</v>
      </c>
      <c r="P64" s="835">
        <v>29</v>
      </c>
      <c r="Q64" s="835">
        <v>47</v>
      </c>
      <c r="R64" s="826">
        <v>10</v>
      </c>
      <c r="S64" s="835">
        <v>39</v>
      </c>
      <c r="T64" s="835" t="s">
        <v>920</v>
      </c>
      <c r="U64" s="835">
        <v>6</v>
      </c>
      <c r="V64" s="834">
        <v>497</v>
      </c>
      <c r="W64" s="836">
        <v>3970</v>
      </c>
    </row>
    <row r="65" spans="1:23" s="331" customFormat="1" ht="13.5">
      <c r="A65" s="1544" t="s">
        <v>1182</v>
      </c>
      <c r="B65" s="838" t="s">
        <v>516</v>
      </c>
      <c r="C65" s="826">
        <v>13</v>
      </c>
      <c r="D65" s="835">
        <v>47</v>
      </c>
      <c r="E65" s="835">
        <v>53</v>
      </c>
      <c r="F65" s="835">
        <v>83</v>
      </c>
      <c r="G65" s="835">
        <v>199</v>
      </c>
      <c r="H65" s="835">
        <v>38</v>
      </c>
      <c r="I65" s="835">
        <v>149</v>
      </c>
      <c r="J65" s="835">
        <v>59</v>
      </c>
      <c r="K65" s="835">
        <v>50</v>
      </c>
      <c r="L65" s="835">
        <v>97</v>
      </c>
      <c r="M65" s="835">
        <v>41</v>
      </c>
      <c r="N65" s="827">
        <v>21</v>
      </c>
      <c r="O65" s="835">
        <v>31</v>
      </c>
      <c r="P65" s="835">
        <v>77</v>
      </c>
      <c r="Q65" s="835">
        <v>119</v>
      </c>
      <c r="R65" s="826">
        <v>16</v>
      </c>
      <c r="S65" s="835">
        <v>88</v>
      </c>
      <c r="T65" s="835" t="s">
        <v>920</v>
      </c>
      <c r="U65" s="835">
        <v>18</v>
      </c>
      <c r="V65" s="834">
        <v>1199</v>
      </c>
      <c r="W65" s="836">
        <v>11350</v>
      </c>
    </row>
    <row r="66" spans="1:23" s="331" customFormat="1" ht="13.5">
      <c r="A66" s="1544" t="s">
        <v>1183</v>
      </c>
      <c r="B66" s="838" t="s">
        <v>517</v>
      </c>
      <c r="C66" s="826">
        <v>17</v>
      </c>
      <c r="D66" s="835">
        <v>52</v>
      </c>
      <c r="E66" s="835">
        <v>77</v>
      </c>
      <c r="F66" s="835">
        <v>114</v>
      </c>
      <c r="G66" s="835">
        <v>363</v>
      </c>
      <c r="H66" s="835">
        <v>65</v>
      </c>
      <c r="I66" s="835">
        <v>197</v>
      </c>
      <c r="J66" s="835">
        <v>72</v>
      </c>
      <c r="K66" s="835">
        <v>63</v>
      </c>
      <c r="L66" s="835">
        <v>149</v>
      </c>
      <c r="M66" s="835">
        <v>52</v>
      </c>
      <c r="N66" s="827">
        <v>42</v>
      </c>
      <c r="O66" s="835">
        <v>38</v>
      </c>
      <c r="P66" s="835">
        <v>103</v>
      </c>
      <c r="Q66" s="835">
        <v>172</v>
      </c>
      <c r="R66" s="826">
        <v>28</v>
      </c>
      <c r="S66" s="835">
        <v>140</v>
      </c>
      <c r="T66" s="835">
        <v>23</v>
      </c>
      <c r="U66" s="835">
        <v>24</v>
      </c>
      <c r="V66" s="834">
        <v>1791</v>
      </c>
      <c r="W66" s="836">
        <v>14890</v>
      </c>
    </row>
    <row r="67" spans="1:23" s="331" customFormat="1" ht="13.5">
      <c r="A67" s="1544" t="s">
        <v>1184</v>
      </c>
      <c r="B67" s="838" t="s">
        <v>518</v>
      </c>
      <c r="C67" s="826">
        <v>61</v>
      </c>
      <c r="D67" s="835">
        <v>160</v>
      </c>
      <c r="E67" s="835">
        <v>212</v>
      </c>
      <c r="F67" s="835">
        <v>259</v>
      </c>
      <c r="G67" s="835">
        <v>716</v>
      </c>
      <c r="H67" s="835">
        <v>107</v>
      </c>
      <c r="I67" s="835">
        <v>711</v>
      </c>
      <c r="J67" s="835">
        <v>185</v>
      </c>
      <c r="K67" s="835">
        <v>118</v>
      </c>
      <c r="L67" s="835">
        <v>359</v>
      </c>
      <c r="M67" s="835">
        <v>162</v>
      </c>
      <c r="N67" s="827">
        <v>88</v>
      </c>
      <c r="O67" s="835">
        <v>79</v>
      </c>
      <c r="P67" s="835">
        <v>241</v>
      </c>
      <c r="Q67" s="835">
        <v>382</v>
      </c>
      <c r="R67" s="826">
        <v>62</v>
      </c>
      <c r="S67" s="835">
        <v>329</v>
      </c>
      <c r="T67" s="835">
        <v>44</v>
      </c>
      <c r="U67" s="835">
        <v>44</v>
      </c>
      <c r="V67" s="834">
        <v>4319</v>
      </c>
      <c r="W67" s="836">
        <v>31700</v>
      </c>
    </row>
    <row r="68" spans="1:23" s="331" customFormat="1" ht="13.5">
      <c r="A68" s="1544" t="s">
        <v>1185</v>
      </c>
      <c r="B68" s="838" t="s">
        <v>519</v>
      </c>
      <c r="C68" s="826">
        <v>40</v>
      </c>
      <c r="D68" s="835">
        <v>110</v>
      </c>
      <c r="E68" s="835">
        <v>140</v>
      </c>
      <c r="F68" s="835">
        <v>150</v>
      </c>
      <c r="G68" s="835">
        <v>391</v>
      </c>
      <c r="H68" s="835">
        <v>56</v>
      </c>
      <c r="I68" s="835">
        <v>632</v>
      </c>
      <c r="J68" s="835">
        <v>99</v>
      </c>
      <c r="K68" s="835">
        <v>100</v>
      </c>
      <c r="L68" s="835">
        <v>207</v>
      </c>
      <c r="M68" s="835">
        <v>111</v>
      </c>
      <c r="N68" s="827">
        <v>71</v>
      </c>
      <c r="O68" s="835">
        <v>72</v>
      </c>
      <c r="P68" s="835">
        <v>111</v>
      </c>
      <c r="Q68" s="835">
        <v>328</v>
      </c>
      <c r="R68" s="826">
        <v>50</v>
      </c>
      <c r="S68" s="835">
        <v>264</v>
      </c>
      <c r="T68" s="835">
        <v>43</v>
      </c>
      <c r="U68" s="835">
        <v>44</v>
      </c>
      <c r="V68" s="834">
        <v>3019</v>
      </c>
      <c r="W68" s="836">
        <v>20260</v>
      </c>
    </row>
    <row r="69" spans="1:23" s="331" customFormat="1" ht="13.5">
      <c r="A69" s="1544" t="s">
        <v>1186</v>
      </c>
      <c r="B69" s="838" t="s">
        <v>319</v>
      </c>
      <c r="C69" s="826">
        <v>97</v>
      </c>
      <c r="D69" s="826">
        <v>279</v>
      </c>
      <c r="E69" s="826">
        <v>362</v>
      </c>
      <c r="F69" s="826">
        <v>478</v>
      </c>
      <c r="G69" s="826">
        <v>1333</v>
      </c>
      <c r="H69" s="826">
        <v>219</v>
      </c>
      <c r="I69" s="826">
        <v>1145</v>
      </c>
      <c r="J69" s="826">
        <v>344</v>
      </c>
      <c r="K69" s="826">
        <v>261</v>
      </c>
      <c r="L69" s="826">
        <v>647</v>
      </c>
      <c r="M69" s="826">
        <v>275</v>
      </c>
      <c r="N69" s="826">
        <v>163</v>
      </c>
      <c r="O69" s="826">
        <v>162</v>
      </c>
      <c r="P69" s="826">
        <v>450</v>
      </c>
      <c r="Q69" s="826">
        <v>720</v>
      </c>
      <c r="R69" s="826">
        <v>116</v>
      </c>
      <c r="S69" s="826">
        <v>596</v>
      </c>
      <c r="T69" s="826">
        <v>85</v>
      </c>
      <c r="U69" s="826">
        <v>92</v>
      </c>
      <c r="V69" s="834">
        <v>7824</v>
      </c>
      <c r="W69" s="826">
        <v>61910</v>
      </c>
    </row>
    <row r="70" spans="1:23" s="331" customFormat="1" ht="13.5">
      <c r="A70" s="1544" t="s">
        <v>1187</v>
      </c>
      <c r="B70" s="838" t="s">
        <v>320</v>
      </c>
      <c r="C70" s="826">
        <v>53</v>
      </c>
      <c r="D70" s="835">
        <v>120</v>
      </c>
      <c r="E70" s="835">
        <v>149</v>
      </c>
      <c r="F70" s="835">
        <v>241</v>
      </c>
      <c r="G70" s="835">
        <v>648</v>
      </c>
      <c r="H70" s="835">
        <v>122</v>
      </c>
      <c r="I70" s="835">
        <v>485</v>
      </c>
      <c r="J70" s="835">
        <v>156</v>
      </c>
      <c r="K70" s="835">
        <v>112</v>
      </c>
      <c r="L70" s="835">
        <v>288</v>
      </c>
      <c r="M70" s="835">
        <v>165</v>
      </c>
      <c r="N70" s="827">
        <v>99</v>
      </c>
      <c r="O70" s="835">
        <v>62</v>
      </c>
      <c r="P70" s="835">
        <v>200</v>
      </c>
      <c r="Q70" s="835">
        <v>333</v>
      </c>
      <c r="R70" s="826">
        <v>51</v>
      </c>
      <c r="S70" s="835">
        <v>236</v>
      </c>
      <c r="T70" s="835">
        <v>28</v>
      </c>
      <c r="U70" s="835">
        <v>26</v>
      </c>
      <c r="V70" s="834">
        <v>3574</v>
      </c>
      <c r="W70" s="836">
        <v>29550</v>
      </c>
    </row>
    <row r="71" spans="1:23" s="331" customFormat="1" ht="13.5">
      <c r="A71" s="1544" t="s">
        <v>1188</v>
      </c>
      <c r="B71" s="838" t="s">
        <v>321</v>
      </c>
      <c r="C71" s="826">
        <v>29</v>
      </c>
      <c r="D71" s="835">
        <v>80</v>
      </c>
      <c r="E71" s="835">
        <v>102</v>
      </c>
      <c r="F71" s="835">
        <v>178</v>
      </c>
      <c r="G71" s="835">
        <v>436</v>
      </c>
      <c r="H71" s="835">
        <v>77</v>
      </c>
      <c r="I71" s="835">
        <v>359</v>
      </c>
      <c r="J71" s="835">
        <v>110</v>
      </c>
      <c r="K71" s="835">
        <v>76</v>
      </c>
      <c r="L71" s="835">
        <v>216</v>
      </c>
      <c r="M71" s="835">
        <v>120</v>
      </c>
      <c r="N71" s="827">
        <v>74</v>
      </c>
      <c r="O71" s="835">
        <v>43</v>
      </c>
      <c r="P71" s="835">
        <v>117</v>
      </c>
      <c r="Q71" s="835">
        <v>251</v>
      </c>
      <c r="R71" s="826">
        <v>30</v>
      </c>
      <c r="S71" s="835">
        <v>162</v>
      </c>
      <c r="T71" s="835">
        <v>20</v>
      </c>
      <c r="U71" s="835">
        <v>14</v>
      </c>
      <c r="V71" s="834">
        <v>2494</v>
      </c>
      <c r="W71" s="836">
        <v>20980</v>
      </c>
    </row>
    <row r="72" spans="1:23" s="331" customFormat="1" ht="13.5">
      <c r="A72" s="1544" t="s">
        <v>1220</v>
      </c>
      <c r="B72" s="838" t="s">
        <v>508</v>
      </c>
      <c r="C72" s="826">
        <v>11</v>
      </c>
      <c r="D72" s="835">
        <v>42</v>
      </c>
      <c r="E72" s="835">
        <v>27</v>
      </c>
      <c r="F72" s="835">
        <v>59</v>
      </c>
      <c r="G72" s="835">
        <v>106</v>
      </c>
      <c r="H72" s="835">
        <v>17</v>
      </c>
      <c r="I72" s="835">
        <v>370</v>
      </c>
      <c r="J72" s="835" t="s">
        <v>920</v>
      </c>
      <c r="K72" s="835">
        <v>28</v>
      </c>
      <c r="L72" s="835">
        <v>58</v>
      </c>
      <c r="M72" s="835">
        <v>40</v>
      </c>
      <c r="N72" s="827">
        <v>23</v>
      </c>
      <c r="O72" s="835">
        <v>28</v>
      </c>
      <c r="P72" s="835">
        <v>25</v>
      </c>
      <c r="Q72" s="835">
        <v>119</v>
      </c>
      <c r="R72" s="826">
        <v>26</v>
      </c>
      <c r="S72" s="835">
        <v>107</v>
      </c>
      <c r="T72" s="835">
        <v>9</v>
      </c>
      <c r="U72" s="835">
        <v>26</v>
      </c>
      <c r="V72" s="834">
        <v>1121</v>
      </c>
      <c r="W72" s="836">
        <v>5570</v>
      </c>
    </row>
    <row r="73" spans="1:23" s="331" customFormat="1" ht="13.5">
      <c r="A73" s="1544" t="s">
        <v>1189</v>
      </c>
      <c r="B73" s="838" t="s">
        <v>481</v>
      </c>
      <c r="C73" s="826">
        <v>21</v>
      </c>
      <c r="D73" s="835">
        <v>44</v>
      </c>
      <c r="E73" s="835">
        <v>53</v>
      </c>
      <c r="F73" s="835">
        <v>65</v>
      </c>
      <c r="G73" s="835">
        <v>261</v>
      </c>
      <c r="H73" s="835">
        <v>38</v>
      </c>
      <c r="I73" s="835">
        <v>232</v>
      </c>
      <c r="J73" s="835">
        <v>50</v>
      </c>
      <c r="K73" s="835">
        <v>56</v>
      </c>
      <c r="L73" s="835">
        <v>94</v>
      </c>
      <c r="M73" s="835">
        <v>33</v>
      </c>
      <c r="N73" s="827">
        <v>13</v>
      </c>
      <c r="O73" s="835">
        <v>15</v>
      </c>
      <c r="P73" s="835">
        <v>85</v>
      </c>
      <c r="Q73" s="835">
        <v>95</v>
      </c>
      <c r="R73" s="826">
        <v>17</v>
      </c>
      <c r="S73" s="835">
        <v>95</v>
      </c>
      <c r="T73" s="835">
        <v>17</v>
      </c>
      <c r="U73" s="835">
        <v>15</v>
      </c>
      <c r="V73" s="834">
        <v>1299</v>
      </c>
      <c r="W73" s="836">
        <v>8030</v>
      </c>
    </row>
    <row r="74" spans="1:23" s="331" customFormat="1" ht="13.5">
      <c r="A74" s="1544" t="s">
        <v>1307</v>
      </c>
      <c r="B74" s="473" t="s">
        <v>501</v>
      </c>
      <c r="C74" s="384"/>
      <c r="D74" s="817"/>
      <c r="E74" s="817"/>
      <c r="F74" s="817"/>
      <c r="G74" s="817"/>
      <c r="H74" s="817"/>
      <c r="I74" s="817"/>
      <c r="J74" s="817"/>
      <c r="K74" s="817"/>
      <c r="L74" s="817"/>
      <c r="M74" s="817"/>
      <c r="N74" s="385"/>
      <c r="O74" s="817"/>
      <c r="P74" s="817"/>
      <c r="Q74" s="817"/>
      <c r="R74" s="384"/>
      <c r="S74" s="817"/>
      <c r="T74" s="817"/>
      <c r="U74" s="817"/>
      <c r="V74" s="818"/>
      <c r="W74" s="381"/>
    </row>
    <row r="75" spans="1:23" s="331" customFormat="1" ht="13.5">
      <c r="A75" s="1544" t="s">
        <v>1308</v>
      </c>
      <c r="B75" s="473" t="s">
        <v>502</v>
      </c>
      <c r="C75" s="384"/>
      <c r="D75" s="817"/>
      <c r="E75" s="817"/>
      <c r="F75" s="817"/>
      <c r="G75" s="817"/>
      <c r="H75" s="817"/>
      <c r="I75" s="817"/>
      <c r="J75" s="817"/>
      <c r="K75" s="817"/>
      <c r="L75" s="817"/>
      <c r="M75" s="817"/>
      <c r="N75" s="385"/>
      <c r="O75" s="817"/>
      <c r="P75" s="817"/>
      <c r="Q75" s="817"/>
      <c r="R75" s="384"/>
      <c r="S75" s="817"/>
      <c r="T75" s="817"/>
      <c r="U75" s="817"/>
      <c r="V75" s="330"/>
      <c r="W75" s="381"/>
    </row>
    <row r="76" spans="1:23" s="331" customFormat="1" ht="13.5">
      <c r="A76" s="1544" t="s">
        <v>1221</v>
      </c>
      <c r="B76" s="838" t="s">
        <v>482</v>
      </c>
      <c r="C76" s="826">
        <v>45</v>
      </c>
      <c r="D76" s="835">
        <v>145</v>
      </c>
      <c r="E76" s="835">
        <v>193</v>
      </c>
      <c r="F76" s="835">
        <v>236</v>
      </c>
      <c r="G76" s="835">
        <v>609</v>
      </c>
      <c r="H76" s="835">
        <v>95</v>
      </c>
      <c r="I76" s="835">
        <v>1495</v>
      </c>
      <c r="J76" s="835">
        <v>125</v>
      </c>
      <c r="K76" s="835">
        <v>150</v>
      </c>
      <c r="L76" s="835">
        <v>371</v>
      </c>
      <c r="M76" s="835">
        <v>132</v>
      </c>
      <c r="N76" s="827">
        <v>79</v>
      </c>
      <c r="O76" s="835">
        <v>123</v>
      </c>
      <c r="P76" s="835">
        <v>227</v>
      </c>
      <c r="Q76" s="835">
        <v>450</v>
      </c>
      <c r="R76" s="826">
        <v>76</v>
      </c>
      <c r="S76" s="835">
        <v>416</v>
      </c>
      <c r="T76" s="835">
        <v>46</v>
      </c>
      <c r="U76" s="835">
        <v>93</v>
      </c>
      <c r="V76" s="834">
        <v>5106</v>
      </c>
      <c r="W76" s="836">
        <v>31010</v>
      </c>
    </row>
    <row r="77" spans="1:23" s="331" customFormat="1" ht="13.5">
      <c r="A77" s="1544" t="s">
        <v>1309</v>
      </c>
      <c r="B77" s="473" t="s">
        <v>483</v>
      </c>
      <c r="C77" s="384"/>
      <c r="D77" s="817"/>
      <c r="E77" s="817"/>
      <c r="F77" s="817"/>
      <c r="G77" s="817"/>
      <c r="H77" s="817"/>
      <c r="I77" s="817"/>
      <c r="J77" s="817"/>
      <c r="K77" s="817"/>
      <c r="L77" s="817"/>
      <c r="M77" s="817"/>
      <c r="N77" s="385"/>
      <c r="O77" s="817"/>
      <c r="P77" s="817"/>
      <c r="Q77" s="817"/>
      <c r="R77" s="384"/>
      <c r="S77" s="817"/>
      <c r="T77" s="817"/>
      <c r="U77" s="817"/>
      <c r="V77" s="818"/>
      <c r="W77" s="381"/>
    </row>
    <row r="78" spans="1:23" s="331" customFormat="1" ht="13.5">
      <c r="A78" s="1544" t="s">
        <v>1190</v>
      </c>
      <c r="B78" s="838" t="s">
        <v>484</v>
      </c>
      <c r="C78" s="826">
        <v>0</v>
      </c>
      <c r="D78" s="835" t="s">
        <v>920</v>
      </c>
      <c r="E78" s="835">
        <v>0</v>
      </c>
      <c r="F78" s="835" t="s">
        <v>920</v>
      </c>
      <c r="G78" s="835" t="s">
        <v>920</v>
      </c>
      <c r="H78" s="835" t="s">
        <v>920</v>
      </c>
      <c r="I78" s="835">
        <v>8</v>
      </c>
      <c r="J78" s="835">
        <v>0</v>
      </c>
      <c r="K78" s="835" t="s">
        <v>920</v>
      </c>
      <c r="L78" s="835" t="s">
        <v>920</v>
      </c>
      <c r="M78" s="835" t="s">
        <v>920</v>
      </c>
      <c r="N78" s="827" t="s">
        <v>920</v>
      </c>
      <c r="O78" s="835" t="s">
        <v>920</v>
      </c>
      <c r="P78" s="835" t="s">
        <v>920</v>
      </c>
      <c r="Q78" s="835" t="s">
        <v>920</v>
      </c>
      <c r="R78" s="826">
        <v>0</v>
      </c>
      <c r="S78" s="835" t="s">
        <v>920</v>
      </c>
      <c r="T78" s="835">
        <v>0</v>
      </c>
      <c r="U78" s="835" t="s">
        <v>920</v>
      </c>
      <c r="V78" s="834">
        <v>40</v>
      </c>
      <c r="W78" s="836">
        <v>470</v>
      </c>
    </row>
    <row r="79" spans="1:23" s="331" customFormat="1" ht="13.5">
      <c r="A79" s="1544" t="s">
        <v>1191</v>
      </c>
      <c r="B79" s="838" t="s">
        <v>532</v>
      </c>
      <c r="C79" s="826" t="s">
        <v>920</v>
      </c>
      <c r="D79" s="835">
        <v>16</v>
      </c>
      <c r="E79" s="835">
        <v>11</v>
      </c>
      <c r="F79" s="835">
        <v>14</v>
      </c>
      <c r="G79" s="835">
        <v>33</v>
      </c>
      <c r="H79" s="835" t="s">
        <v>920</v>
      </c>
      <c r="I79" s="835">
        <v>57</v>
      </c>
      <c r="J79" s="835">
        <v>21</v>
      </c>
      <c r="K79" s="835">
        <v>11</v>
      </c>
      <c r="L79" s="835">
        <v>23</v>
      </c>
      <c r="M79" s="835" t="s">
        <v>920</v>
      </c>
      <c r="N79" s="827">
        <v>11</v>
      </c>
      <c r="O79" s="835">
        <v>8</v>
      </c>
      <c r="P79" s="835">
        <v>17</v>
      </c>
      <c r="Q79" s="835">
        <v>6</v>
      </c>
      <c r="R79" s="826" t="s">
        <v>920</v>
      </c>
      <c r="S79" s="835">
        <v>23</v>
      </c>
      <c r="T79" s="835" t="s">
        <v>920</v>
      </c>
      <c r="U79" s="835" t="s">
        <v>920</v>
      </c>
      <c r="V79" s="834">
        <v>270</v>
      </c>
      <c r="W79" s="836">
        <v>2140</v>
      </c>
    </row>
    <row r="80" spans="1:23" s="331" customFormat="1" ht="13.5">
      <c r="A80" s="1544" t="s">
        <v>1222</v>
      </c>
      <c r="B80" s="838" t="s">
        <v>322</v>
      </c>
      <c r="C80" s="826">
        <v>54</v>
      </c>
      <c r="D80" s="835">
        <v>134</v>
      </c>
      <c r="E80" s="835">
        <v>206</v>
      </c>
      <c r="F80" s="835">
        <v>224</v>
      </c>
      <c r="G80" s="835">
        <v>556</v>
      </c>
      <c r="H80" s="835">
        <v>89</v>
      </c>
      <c r="I80" s="835">
        <v>1394</v>
      </c>
      <c r="J80" s="835">
        <v>124</v>
      </c>
      <c r="K80" s="835">
        <v>187</v>
      </c>
      <c r="L80" s="835">
        <v>299</v>
      </c>
      <c r="M80" s="835">
        <v>128</v>
      </c>
      <c r="N80" s="827">
        <v>116</v>
      </c>
      <c r="O80" s="835">
        <v>112</v>
      </c>
      <c r="P80" s="835">
        <v>167</v>
      </c>
      <c r="Q80" s="835">
        <v>400</v>
      </c>
      <c r="R80" s="826">
        <v>56</v>
      </c>
      <c r="S80" s="835">
        <v>457</v>
      </c>
      <c r="T80" s="835">
        <v>49</v>
      </c>
      <c r="U80" s="835">
        <v>58</v>
      </c>
      <c r="V80" s="834">
        <v>4810</v>
      </c>
      <c r="W80" s="836">
        <v>30070</v>
      </c>
    </row>
    <row r="81" spans="1:24" s="331" customFormat="1" ht="13.5">
      <c r="A81" s="1544" t="s">
        <v>1310</v>
      </c>
      <c r="B81" s="838" t="s">
        <v>871</v>
      </c>
      <c r="C81" s="826"/>
      <c r="D81" s="835"/>
      <c r="E81" s="835"/>
      <c r="F81" s="835"/>
      <c r="G81" s="835"/>
      <c r="H81" s="835"/>
      <c r="I81" s="835"/>
      <c r="J81" s="835"/>
      <c r="K81" s="835"/>
      <c r="L81" s="835"/>
      <c r="M81" s="835"/>
      <c r="N81" s="827"/>
      <c r="O81" s="835"/>
      <c r="P81" s="835"/>
      <c r="Q81" s="835"/>
      <c r="R81" s="826"/>
      <c r="S81" s="835"/>
      <c r="T81" s="835"/>
      <c r="U81" s="835"/>
      <c r="V81" s="834"/>
      <c r="W81" s="836"/>
    </row>
    <row r="82" spans="1:24" s="331" customFormat="1" ht="13.5">
      <c r="A82" s="1544" t="s">
        <v>1311</v>
      </c>
      <c r="B82" s="838" t="s">
        <v>872</v>
      </c>
      <c r="C82" s="826"/>
      <c r="D82" s="835"/>
      <c r="E82" s="835"/>
      <c r="F82" s="835"/>
      <c r="G82" s="835"/>
      <c r="H82" s="835"/>
      <c r="I82" s="835"/>
      <c r="J82" s="835"/>
      <c r="K82" s="835"/>
      <c r="L82" s="835"/>
      <c r="M82" s="835"/>
      <c r="N82" s="827"/>
      <c r="O82" s="835"/>
      <c r="P82" s="835"/>
      <c r="Q82" s="835"/>
      <c r="R82" s="826"/>
      <c r="S82" s="835"/>
      <c r="T82" s="835"/>
      <c r="U82" s="835"/>
      <c r="V82" s="834"/>
      <c r="W82" s="836"/>
    </row>
    <row r="83" spans="1:24" s="331" customFormat="1" ht="13.5">
      <c r="A83" s="1544" t="s">
        <v>1193</v>
      </c>
      <c r="B83" s="838" t="s">
        <v>323</v>
      </c>
      <c r="C83" s="826" t="s">
        <v>920</v>
      </c>
      <c r="D83" s="835">
        <v>8</v>
      </c>
      <c r="E83" s="835">
        <v>23</v>
      </c>
      <c r="F83" s="835">
        <v>19</v>
      </c>
      <c r="G83" s="835">
        <v>43</v>
      </c>
      <c r="H83" s="835">
        <v>14</v>
      </c>
      <c r="I83" s="835">
        <v>48</v>
      </c>
      <c r="J83" s="835">
        <v>22</v>
      </c>
      <c r="K83" s="835">
        <v>28</v>
      </c>
      <c r="L83" s="835">
        <v>28</v>
      </c>
      <c r="M83" s="835">
        <v>18</v>
      </c>
      <c r="N83" s="827">
        <v>14</v>
      </c>
      <c r="O83" s="835">
        <v>9</v>
      </c>
      <c r="P83" s="835">
        <v>16</v>
      </c>
      <c r="Q83" s="835">
        <v>23</v>
      </c>
      <c r="R83" s="826" t="s">
        <v>920</v>
      </c>
      <c r="S83" s="835">
        <v>36</v>
      </c>
      <c r="T83" s="835" t="s">
        <v>920</v>
      </c>
      <c r="U83" s="835" t="s">
        <v>920</v>
      </c>
      <c r="V83" s="825">
        <v>360</v>
      </c>
      <c r="W83" s="836">
        <v>2950</v>
      </c>
      <c r="X83" s="290"/>
    </row>
    <row r="84" spans="1:24" s="331" customFormat="1" ht="13.5">
      <c r="A84" s="1544" t="s">
        <v>1312</v>
      </c>
      <c r="B84" s="838" t="s">
        <v>324</v>
      </c>
      <c r="C84" s="835" t="s">
        <v>920</v>
      </c>
      <c r="D84" s="835">
        <v>0</v>
      </c>
      <c r="E84" s="835">
        <v>0</v>
      </c>
      <c r="F84" s="835">
        <v>0</v>
      </c>
      <c r="G84" s="835">
        <v>0</v>
      </c>
      <c r="H84" s="835">
        <v>0</v>
      </c>
      <c r="I84" s="835">
        <v>0</v>
      </c>
      <c r="J84" s="835">
        <v>0</v>
      </c>
      <c r="K84" s="835">
        <v>0</v>
      </c>
      <c r="L84" s="835">
        <v>0</v>
      </c>
      <c r="M84" s="835">
        <v>0</v>
      </c>
      <c r="N84" s="835">
        <v>0</v>
      </c>
      <c r="O84" s="835">
        <v>0</v>
      </c>
      <c r="P84" s="835">
        <v>0</v>
      </c>
      <c r="Q84" s="835">
        <v>0</v>
      </c>
      <c r="R84" s="835" t="s">
        <v>920</v>
      </c>
      <c r="S84" s="835">
        <v>0</v>
      </c>
      <c r="T84" s="835" t="s">
        <v>920</v>
      </c>
      <c r="U84" s="835" t="s">
        <v>920</v>
      </c>
      <c r="V84" s="825">
        <v>145755.63025210085</v>
      </c>
      <c r="W84" s="836">
        <v>1353338.6953551914</v>
      </c>
    </row>
    <row r="85" spans="1:24" s="331" customFormat="1" ht="22.5">
      <c r="A85" s="1544" t="s">
        <v>1313</v>
      </c>
      <c r="B85" s="473" t="s">
        <v>325</v>
      </c>
      <c r="C85" s="817"/>
      <c r="D85" s="817"/>
      <c r="E85" s="817"/>
      <c r="F85" s="817"/>
      <c r="G85" s="817"/>
      <c r="H85" s="817"/>
      <c r="I85" s="817"/>
      <c r="J85" s="817"/>
      <c r="K85" s="817"/>
      <c r="L85" s="817"/>
      <c r="M85" s="817"/>
      <c r="N85" s="817"/>
      <c r="O85" s="817"/>
      <c r="P85" s="817"/>
      <c r="Q85" s="817"/>
      <c r="R85" s="817"/>
      <c r="S85" s="817"/>
      <c r="T85" s="817"/>
      <c r="U85" s="817"/>
      <c r="V85" s="818"/>
      <c r="W85" s="381"/>
    </row>
    <row r="86" spans="1:24" s="331" customFormat="1" ht="13.5">
      <c r="A86" s="1544" t="s">
        <v>1194</v>
      </c>
      <c r="B86" s="838" t="s">
        <v>873</v>
      </c>
      <c r="C86" s="835" t="s">
        <v>920</v>
      </c>
      <c r="D86" s="835">
        <v>17</v>
      </c>
      <c r="E86" s="835">
        <v>17</v>
      </c>
      <c r="F86" s="835">
        <v>8</v>
      </c>
      <c r="G86" s="835">
        <v>52</v>
      </c>
      <c r="H86" s="835" t="s">
        <v>920</v>
      </c>
      <c r="I86" s="835">
        <v>43</v>
      </c>
      <c r="J86" s="835">
        <v>10</v>
      </c>
      <c r="K86" s="835" t="s">
        <v>920</v>
      </c>
      <c r="L86" s="835">
        <v>14</v>
      </c>
      <c r="M86" s="835">
        <v>10</v>
      </c>
      <c r="N86" s="835">
        <v>6</v>
      </c>
      <c r="O86" s="835" t="s">
        <v>920</v>
      </c>
      <c r="P86" s="835">
        <v>16</v>
      </c>
      <c r="Q86" s="835">
        <v>19</v>
      </c>
      <c r="R86" s="835">
        <v>14</v>
      </c>
      <c r="S86" s="835">
        <v>30</v>
      </c>
      <c r="T86" s="835">
        <v>8</v>
      </c>
      <c r="U86" s="835">
        <v>8</v>
      </c>
      <c r="V86" s="834">
        <v>290</v>
      </c>
      <c r="W86" s="1545">
        <v>2190</v>
      </c>
    </row>
    <row r="87" spans="1:24" s="331" customFormat="1" ht="13.5">
      <c r="A87" s="1544" t="s">
        <v>1314</v>
      </c>
      <c r="B87" s="838" t="s">
        <v>889</v>
      </c>
      <c r="C87" s="842">
        <v>10</v>
      </c>
      <c r="D87" s="842">
        <v>58</v>
      </c>
      <c r="E87" s="842">
        <v>50</v>
      </c>
      <c r="F87" s="842">
        <v>53</v>
      </c>
      <c r="G87" s="842">
        <v>184</v>
      </c>
      <c r="H87" s="842">
        <v>22</v>
      </c>
      <c r="I87" s="842">
        <v>172</v>
      </c>
      <c r="J87" s="842">
        <v>37</v>
      </c>
      <c r="K87" s="842">
        <v>24</v>
      </c>
      <c r="L87" s="842">
        <v>57</v>
      </c>
      <c r="M87" s="842">
        <v>64</v>
      </c>
      <c r="N87" s="842">
        <v>12</v>
      </c>
      <c r="O87" s="842">
        <v>14</v>
      </c>
      <c r="P87" s="842">
        <v>43</v>
      </c>
      <c r="Q87" s="842">
        <v>108</v>
      </c>
      <c r="R87" s="842">
        <v>24</v>
      </c>
      <c r="S87" s="842">
        <v>76</v>
      </c>
      <c r="T87" s="842">
        <v>24</v>
      </c>
      <c r="U87" s="842">
        <v>17</v>
      </c>
      <c r="V87" s="825">
        <v>1049</v>
      </c>
      <c r="W87" s="844">
        <v>6980</v>
      </c>
    </row>
    <row r="88" spans="1:24" s="331" customFormat="1" ht="13.5">
      <c r="A88" s="1544" t="s">
        <v>1195</v>
      </c>
      <c r="B88" s="838" t="s">
        <v>477</v>
      </c>
      <c r="C88" s="842">
        <v>57</v>
      </c>
      <c r="D88" s="842">
        <v>220</v>
      </c>
      <c r="E88" s="842">
        <v>232</v>
      </c>
      <c r="F88" s="842">
        <v>224</v>
      </c>
      <c r="G88" s="842">
        <v>691</v>
      </c>
      <c r="H88" s="842">
        <v>73</v>
      </c>
      <c r="I88" s="842">
        <v>1172</v>
      </c>
      <c r="J88" s="842">
        <v>140</v>
      </c>
      <c r="K88" s="842">
        <v>154</v>
      </c>
      <c r="L88" s="842">
        <v>332</v>
      </c>
      <c r="M88" s="842">
        <v>259</v>
      </c>
      <c r="N88" s="842">
        <v>96</v>
      </c>
      <c r="O88" s="842">
        <v>95</v>
      </c>
      <c r="P88" s="842">
        <v>146</v>
      </c>
      <c r="Q88" s="842">
        <v>542</v>
      </c>
      <c r="R88" s="842">
        <v>95</v>
      </c>
      <c r="S88" s="842">
        <v>384</v>
      </c>
      <c r="T88" s="842">
        <v>67</v>
      </c>
      <c r="U88" s="842">
        <v>61</v>
      </c>
      <c r="V88" s="825">
        <v>5040</v>
      </c>
      <c r="W88" s="844">
        <v>33590</v>
      </c>
    </row>
    <row r="89" spans="1:24" s="331" customFormat="1" ht="13.5">
      <c r="A89" s="1544" t="s">
        <v>1196</v>
      </c>
      <c r="B89" s="838" t="s">
        <v>478</v>
      </c>
      <c r="C89" s="842">
        <v>53</v>
      </c>
      <c r="D89" s="842">
        <v>210</v>
      </c>
      <c r="E89" s="842">
        <v>224</v>
      </c>
      <c r="F89" s="842">
        <v>200</v>
      </c>
      <c r="G89" s="842">
        <v>540</v>
      </c>
      <c r="H89" s="842">
        <v>71</v>
      </c>
      <c r="I89" s="842">
        <v>1081</v>
      </c>
      <c r="J89" s="842">
        <v>138</v>
      </c>
      <c r="K89" s="842">
        <v>144</v>
      </c>
      <c r="L89" s="842">
        <v>302</v>
      </c>
      <c r="M89" s="842">
        <v>224</v>
      </c>
      <c r="N89" s="842">
        <v>87</v>
      </c>
      <c r="O89" s="842">
        <v>74</v>
      </c>
      <c r="P89" s="842">
        <v>129</v>
      </c>
      <c r="Q89" s="842">
        <v>497</v>
      </c>
      <c r="R89" s="842">
        <v>87</v>
      </c>
      <c r="S89" s="842">
        <v>360</v>
      </c>
      <c r="T89" s="842">
        <v>64</v>
      </c>
      <c r="U89" s="842">
        <v>51</v>
      </c>
      <c r="V89" s="825">
        <v>4536</v>
      </c>
      <c r="W89" s="844">
        <v>30940</v>
      </c>
    </row>
    <row r="90" spans="1:24" s="331" customFormat="1" ht="13.5">
      <c r="A90" s="1544" t="s">
        <v>1197</v>
      </c>
      <c r="B90" s="838" t="s">
        <v>479</v>
      </c>
      <c r="C90" s="842">
        <v>48</v>
      </c>
      <c r="D90" s="842">
        <v>192</v>
      </c>
      <c r="E90" s="842">
        <v>204</v>
      </c>
      <c r="F90" s="842">
        <v>198</v>
      </c>
      <c r="G90" s="842">
        <v>515</v>
      </c>
      <c r="H90" s="842">
        <v>69</v>
      </c>
      <c r="I90" s="842">
        <v>999</v>
      </c>
      <c r="J90" s="842">
        <v>127</v>
      </c>
      <c r="K90" s="842">
        <v>134</v>
      </c>
      <c r="L90" s="842">
        <v>290</v>
      </c>
      <c r="M90" s="842">
        <v>209</v>
      </c>
      <c r="N90" s="842">
        <v>83</v>
      </c>
      <c r="O90" s="842">
        <v>74</v>
      </c>
      <c r="P90" s="842">
        <v>123</v>
      </c>
      <c r="Q90" s="842">
        <v>471</v>
      </c>
      <c r="R90" s="842">
        <v>88</v>
      </c>
      <c r="S90" s="842">
        <v>357</v>
      </c>
      <c r="T90" s="842">
        <v>62</v>
      </c>
      <c r="U90" s="842">
        <v>47</v>
      </c>
      <c r="V90" s="825">
        <v>4290</v>
      </c>
      <c r="W90" s="844">
        <v>29270</v>
      </c>
    </row>
    <row r="91" spans="1:24" s="331" customFormat="1" ht="13.5">
      <c r="A91" s="1544" t="s">
        <v>1198</v>
      </c>
      <c r="B91" s="838" t="s">
        <v>480</v>
      </c>
      <c r="C91" s="842">
        <v>31</v>
      </c>
      <c r="D91" s="842">
        <v>157</v>
      </c>
      <c r="E91" s="842">
        <v>143</v>
      </c>
      <c r="F91" s="842">
        <v>123</v>
      </c>
      <c r="G91" s="842">
        <v>385</v>
      </c>
      <c r="H91" s="842">
        <v>49</v>
      </c>
      <c r="I91" s="842">
        <v>629</v>
      </c>
      <c r="J91" s="842">
        <v>78</v>
      </c>
      <c r="K91" s="842">
        <v>79</v>
      </c>
      <c r="L91" s="842">
        <v>184</v>
      </c>
      <c r="M91" s="842">
        <v>143</v>
      </c>
      <c r="N91" s="842">
        <v>49</v>
      </c>
      <c r="O91" s="842">
        <v>49</v>
      </c>
      <c r="P91" s="842">
        <v>64</v>
      </c>
      <c r="Q91" s="842">
        <v>326</v>
      </c>
      <c r="R91" s="842">
        <v>70</v>
      </c>
      <c r="S91" s="842">
        <v>218</v>
      </c>
      <c r="T91" s="842">
        <v>46</v>
      </c>
      <c r="U91" s="842">
        <v>34</v>
      </c>
      <c r="V91" s="825">
        <v>2857</v>
      </c>
      <c r="W91" s="844">
        <v>18610</v>
      </c>
    </row>
    <row r="92" spans="1:24" s="331" customFormat="1" ht="13.5">
      <c r="A92" s="1544" t="s">
        <v>1206</v>
      </c>
      <c r="B92" s="838" t="s">
        <v>539</v>
      </c>
      <c r="C92" s="835" t="s">
        <v>920</v>
      </c>
      <c r="D92" s="835" t="s">
        <v>920</v>
      </c>
      <c r="E92" s="835" t="s">
        <v>920</v>
      </c>
      <c r="F92" s="835" t="s">
        <v>920</v>
      </c>
      <c r="G92" s="835">
        <v>23</v>
      </c>
      <c r="H92" s="835">
        <v>9</v>
      </c>
      <c r="I92" s="835">
        <v>7</v>
      </c>
      <c r="J92" s="835" t="s">
        <v>920</v>
      </c>
      <c r="K92" s="835" t="s">
        <v>920</v>
      </c>
      <c r="L92" s="835">
        <v>16</v>
      </c>
      <c r="M92" s="835" t="s">
        <v>920</v>
      </c>
      <c r="N92" s="835">
        <v>0</v>
      </c>
      <c r="O92" s="835">
        <v>0</v>
      </c>
      <c r="P92" s="835">
        <v>16</v>
      </c>
      <c r="Q92" s="835">
        <v>11</v>
      </c>
      <c r="R92" s="835">
        <v>0</v>
      </c>
      <c r="S92" s="835">
        <v>38</v>
      </c>
      <c r="T92" s="835">
        <v>6</v>
      </c>
      <c r="U92" s="835">
        <v>6</v>
      </c>
      <c r="V92" s="834">
        <v>150</v>
      </c>
      <c r="W92" s="1545">
        <v>1180</v>
      </c>
    </row>
    <row r="93" spans="1:24" s="331" customFormat="1" ht="13.5">
      <c r="A93" s="1544" t="s">
        <v>1241</v>
      </c>
      <c r="B93" s="838" t="s">
        <v>540</v>
      </c>
      <c r="C93" s="835" t="s">
        <v>920</v>
      </c>
      <c r="D93" s="835">
        <v>16</v>
      </c>
      <c r="E93" s="835">
        <v>26</v>
      </c>
      <c r="F93" s="835">
        <v>36</v>
      </c>
      <c r="G93" s="835">
        <v>61</v>
      </c>
      <c r="H93" s="835">
        <v>9</v>
      </c>
      <c r="I93" s="835">
        <v>39</v>
      </c>
      <c r="J93" s="835">
        <v>20</v>
      </c>
      <c r="K93" s="835">
        <v>35</v>
      </c>
      <c r="L93" s="835">
        <v>34</v>
      </c>
      <c r="M93" s="835">
        <v>8</v>
      </c>
      <c r="N93" s="835">
        <v>11</v>
      </c>
      <c r="O93" s="835">
        <v>15</v>
      </c>
      <c r="P93" s="835">
        <v>24</v>
      </c>
      <c r="Q93" s="835">
        <v>43</v>
      </c>
      <c r="R93" s="835">
        <v>9</v>
      </c>
      <c r="S93" s="835">
        <v>58</v>
      </c>
      <c r="T93" s="835">
        <v>7</v>
      </c>
      <c r="U93" s="835">
        <v>13</v>
      </c>
      <c r="V93" s="834">
        <v>470</v>
      </c>
      <c r="W93" s="1545">
        <v>3870</v>
      </c>
    </row>
    <row r="94" spans="1:24" s="331" customFormat="1" ht="13.5">
      <c r="A94" s="1544" t="s">
        <v>1315</v>
      </c>
      <c r="B94" s="477" t="s">
        <v>326</v>
      </c>
      <c r="C94" s="817"/>
      <c r="D94" s="817"/>
      <c r="E94" s="817"/>
      <c r="F94" s="817"/>
      <c r="G94" s="817"/>
      <c r="H94" s="817"/>
      <c r="I94" s="817"/>
      <c r="J94" s="817"/>
      <c r="K94" s="817"/>
      <c r="L94" s="817"/>
      <c r="M94" s="817"/>
      <c r="N94" s="817"/>
      <c r="O94" s="817"/>
      <c r="P94" s="817"/>
      <c r="Q94" s="817"/>
      <c r="R94" s="817"/>
      <c r="S94" s="817"/>
      <c r="T94" s="817"/>
      <c r="U94" s="817"/>
      <c r="V94" s="818"/>
      <c r="W94" s="820"/>
    </row>
    <row r="95" spans="1:24" s="331" customFormat="1" ht="13.5">
      <c r="A95" s="1544" t="s">
        <v>1316</v>
      </c>
      <c r="B95" s="477" t="s">
        <v>327</v>
      </c>
      <c r="C95" s="817"/>
      <c r="D95" s="817"/>
      <c r="E95" s="817"/>
      <c r="F95" s="817"/>
      <c r="G95" s="817"/>
      <c r="H95" s="817"/>
      <c r="I95" s="817"/>
      <c r="J95" s="817"/>
      <c r="K95" s="817"/>
      <c r="L95" s="817"/>
      <c r="M95" s="817"/>
      <c r="N95" s="817"/>
      <c r="O95" s="817"/>
      <c r="P95" s="817"/>
      <c r="Q95" s="817"/>
      <c r="R95" s="817"/>
      <c r="S95" s="817"/>
      <c r="T95" s="817"/>
      <c r="U95" s="817"/>
      <c r="V95" s="818"/>
      <c r="W95" s="820"/>
    </row>
    <row r="96" spans="1:24" s="331" customFormat="1" ht="13.5">
      <c r="A96" s="1544" t="s">
        <v>1223</v>
      </c>
      <c r="B96" s="838" t="s">
        <v>475</v>
      </c>
      <c r="C96" s="842" t="s">
        <v>70</v>
      </c>
      <c r="D96" s="842">
        <v>35.42</v>
      </c>
      <c r="E96" s="842">
        <v>63.27</v>
      </c>
      <c r="F96" s="842">
        <v>86.5</v>
      </c>
      <c r="G96" s="842">
        <v>167.28</v>
      </c>
      <c r="H96" s="842">
        <v>23.35</v>
      </c>
      <c r="I96" s="842">
        <v>208.1</v>
      </c>
      <c r="J96" s="842">
        <v>38.99</v>
      </c>
      <c r="K96" s="842">
        <v>34.869999999999997</v>
      </c>
      <c r="L96" s="842">
        <v>96.67</v>
      </c>
      <c r="M96" s="842">
        <v>56.12</v>
      </c>
      <c r="N96" s="842">
        <v>37.75</v>
      </c>
      <c r="O96" s="842">
        <v>24.5</v>
      </c>
      <c r="P96" s="842">
        <v>39.869999999999997</v>
      </c>
      <c r="Q96" s="842">
        <v>83.77</v>
      </c>
      <c r="R96" s="842">
        <v>29.86</v>
      </c>
      <c r="S96" s="842">
        <v>87.3</v>
      </c>
      <c r="T96" s="842">
        <v>21.99</v>
      </c>
      <c r="U96" s="842">
        <v>14.17</v>
      </c>
      <c r="V96" s="825">
        <v>1158.9000000000001</v>
      </c>
      <c r="W96" s="844">
        <v>7664.36</v>
      </c>
    </row>
    <row r="97" spans="1:23" s="331" customFormat="1" ht="13.5">
      <c r="A97" s="1544" t="s">
        <v>1317</v>
      </c>
      <c r="B97" s="473" t="s">
        <v>476</v>
      </c>
      <c r="C97" s="602"/>
      <c r="D97" s="602"/>
      <c r="E97" s="602"/>
      <c r="F97" s="602"/>
      <c r="G97" s="602"/>
      <c r="H97" s="602"/>
      <c r="I97" s="602"/>
      <c r="J97" s="602"/>
      <c r="K97" s="602"/>
      <c r="L97" s="602"/>
      <c r="M97" s="602"/>
      <c r="N97" s="602"/>
      <c r="O97" s="602"/>
      <c r="P97" s="602"/>
      <c r="Q97" s="602"/>
      <c r="R97" s="602"/>
      <c r="S97" s="602"/>
      <c r="T97" s="602"/>
      <c r="U97" s="602"/>
      <c r="V97" s="330"/>
      <c r="W97" s="603"/>
    </row>
    <row r="98" spans="1:23" s="331" customFormat="1" ht="13.5">
      <c r="A98" s="1544" t="s">
        <v>1318</v>
      </c>
      <c r="B98" s="473" t="s">
        <v>1068</v>
      </c>
      <c r="C98" s="602"/>
      <c r="D98" s="602"/>
      <c r="E98" s="602"/>
      <c r="F98" s="602"/>
      <c r="G98" s="602"/>
      <c r="H98" s="602"/>
      <c r="I98" s="602"/>
      <c r="J98" s="602"/>
      <c r="K98" s="602"/>
      <c r="L98" s="602"/>
      <c r="M98" s="602"/>
      <c r="N98" s="602"/>
      <c r="O98" s="602"/>
      <c r="P98" s="602"/>
      <c r="Q98" s="602"/>
      <c r="R98" s="602"/>
      <c r="S98" s="602"/>
      <c r="T98" s="602"/>
      <c r="U98" s="602"/>
      <c r="V98" s="330"/>
      <c r="W98" s="603"/>
    </row>
    <row r="99" spans="1:23" s="331" customFormat="1" ht="13.5">
      <c r="A99" s="1544" t="s">
        <v>1204</v>
      </c>
      <c r="B99" s="838" t="s">
        <v>768</v>
      </c>
      <c r="C99" s="842">
        <v>24</v>
      </c>
      <c r="D99" s="842">
        <v>67</v>
      </c>
      <c r="E99" s="842">
        <v>83</v>
      </c>
      <c r="F99" s="842">
        <v>61</v>
      </c>
      <c r="G99" s="842">
        <v>219</v>
      </c>
      <c r="H99" s="842">
        <v>32</v>
      </c>
      <c r="I99" s="842">
        <v>268</v>
      </c>
      <c r="J99" s="842">
        <v>85</v>
      </c>
      <c r="K99" s="842">
        <v>72</v>
      </c>
      <c r="L99" s="842">
        <v>144</v>
      </c>
      <c r="M99" s="842">
        <v>49</v>
      </c>
      <c r="N99" s="842">
        <v>26</v>
      </c>
      <c r="O99" s="842">
        <v>45</v>
      </c>
      <c r="P99" s="842">
        <v>94</v>
      </c>
      <c r="Q99" s="842">
        <v>164</v>
      </c>
      <c r="R99" s="842">
        <v>25</v>
      </c>
      <c r="S99" s="842">
        <v>140</v>
      </c>
      <c r="T99" s="842">
        <v>28</v>
      </c>
      <c r="U99" s="842">
        <v>31</v>
      </c>
      <c r="V99" s="825">
        <v>1657</v>
      </c>
      <c r="W99" s="844">
        <v>11900</v>
      </c>
    </row>
    <row r="100" spans="1:23" s="331" customFormat="1" ht="13.5">
      <c r="A100" s="1544" t="s">
        <v>1181</v>
      </c>
      <c r="B100" s="838" t="s">
        <v>769</v>
      </c>
      <c r="C100" s="842">
        <v>39</v>
      </c>
      <c r="D100" s="842">
        <v>99</v>
      </c>
      <c r="E100" s="842">
        <v>128</v>
      </c>
      <c r="F100" s="842">
        <v>106</v>
      </c>
      <c r="G100" s="842">
        <v>392</v>
      </c>
      <c r="H100" s="842">
        <v>67</v>
      </c>
      <c r="I100" s="842">
        <v>411</v>
      </c>
      <c r="J100" s="842">
        <v>141</v>
      </c>
      <c r="K100" s="842">
        <v>107</v>
      </c>
      <c r="L100" s="842">
        <v>233</v>
      </c>
      <c r="M100" s="842">
        <v>69</v>
      </c>
      <c r="N100" s="842">
        <v>36</v>
      </c>
      <c r="O100" s="842">
        <v>62</v>
      </c>
      <c r="P100" s="842">
        <v>168</v>
      </c>
      <c r="Q100" s="842">
        <v>267</v>
      </c>
      <c r="R100" s="842">
        <v>39</v>
      </c>
      <c r="S100" s="842">
        <v>210</v>
      </c>
      <c r="T100" s="842">
        <v>51</v>
      </c>
      <c r="U100" s="842">
        <v>48</v>
      </c>
      <c r="V100" s="825">
        <v>2673</v>
      </c>
      <c r="W100" s="844">
        <v>19156</v>
      </c>
    </row>
    <row r="101" spans="1:23" s="331" customFormat="1" ht="13.5">
      <c r="A101" s="1544" t="s">
        <v>1207</v>
      </c>
      <c r="B101" s="838" t="s">
        <v>1086</v>
      </c>
      <c r="C101" s="824">
        <v>2420.0727690540025</v>
      </c>
      <c r="D101" s="824">
        <v>4706.8128363563883</v>
      </c>
      <c r="E101" s="824">
        <v>11538.931310033095</v>
      </c>
      <c r="F101" s="824">
        <v>9763.2420220276763</v>
      </c>
      <c r="G101" s="824">
        <v>26250</v>
      </c>
      <c r="H101" s="824">
        <v>2485.7520786092214</v>
      </c>
      <c r="I101" s="824">
        <v>30493.536378515102</v>
      </c>
      <c r="J101" s="824">
        <v>5907.3365354818716</v>
      </c>
      <c r="K101" s="824">
        <v>6120.933069065406</v>
      </c>
      <c r="L101" s="824">
        <v>12526.70574971815</v>
      </c>
      <c r="M101" s="824">
        <v>3745.0843314593008</v>
      </c>
      <c r="N101" s="824">
        <v>2919.9182132746146</v>
      </c>
      <c r="O101" s="824">
        <v>3699</v>
      </c>
      <c r="P101" s="824">
        <v>3939.893399863915</v>
      </c>
      <c r="Q101" s="824">
        <v>20883.764840888027</v>
      </c>
      <c r="R101" s="824">
        <v>3263</v>
      </c>
      <c r="S101" s="824">
        <v>15756.746672865695</v>
      </c>
      <c r="T101" s="824">
        <v>2927.2107304460246</v>
      </c>
      <c r="U101" s="824">
        <v>3582.9058009579562</v>
      </c>
      <c r="V101" s="825">
        <v>172912.3135632968</v>
      </c>
      <c r="W101" s="837">
        <v>1102512.0679425909</v>
      </c>
    </row>
    <row r="102" spans="1:23" s="331" customFormat="1" ht="13.5">
      <c r="A102" s="1544" t="s">
        <v>1208</v>
      </c>
      <c r="B102" s="838" t="s">
        <v>1085</v>
      </c>
      <c r="C102" s="824">
        <v>61.364681829798116</v>
      </c>
      <c r="D102" s="824">
        <v>138.69429501228663</v>
      </c>
      <c r="E102" s="824">
        <v>184.04449101313776</v>
      </c>
      <c r="F102" s="824">
        <v>414.7969830295412</v>
      </c>
      <c r="G102" s="824">
        <v>651.74246830289633</v>
      </c>
      <c r="H102" s="824">
        <v>43.289273004575499</v>
      </c>
      <c r="I102" s="824">
        <v>1003.9502008828928</v>
      </c>
      <c r="J102" s="824">
        <v>221.49186534329274</v>
      </c>
      <c r="K102" s="824">
        <v>206.77141409021792</v>
      </c>
      <c r="L102" s="824">
        <v>329</v>
      </c>
      <c r="M102" s="824">
        <v>179.82283464566927</v>
      </c>
      <c r="N102" s="824">
        <v>97.855942881142383</v>
      </c>
      <c r="O102" s="824">
        <v>144.54344122657579</v>
      </c>
      <c r="P102" s="824">
        <v>195.83717241900158</v>
      </c>
      <c r="Q102" s="824">
        <v>316.71333824613117</v>
      </c>
      <c r="R102" s="824">
        <v>71.742475238003649</v>
      </c>
      <c r="S102" s="824">
        <v>380.05888962070435</v>
      </c>
      <c r="T102" s="824">
        <v>46.273432449903041</v>
      </c>
      <c r="U102" s="824">
        <v>78.062617072518066</v>
      </c>
      <c r="V102" s="825">
        <v>4765.9661141071538</v>
      </c>
      <c r="W102" s="837">
        <v>33306.389732743592</v>
      </c>
    </row>
    <row r="103" spans="1:23" s="331" customFormat="1" ht="13.5">
      <c r="A103" s="1544" t="s">
        <v>1209</v>
      </c>
      <c r="B103" s="838" t="s">
        <v>1087</v>
      </c>
      <c r="C103" s="824">
        <v>33.350370559672889</v>
      </c>
      <c r="D103" s="824">
        <v>82.349737663545199</v>
      </c>
      <c r="E103" s="824">
        <v>688.16635770129767</v>
      </c>
      <c r="F103" s="824">
        <v>159.04996857322439</v>
      </c>
      <c r="G103" s="824">
        <v>831.43003373269744</v>
      </c>
      <c r="H103" s="824">
        <v>97.90035587188612</v>
      </c>
      <c r="I103" s="824">
        <v>1529.2574773076733</v>
      </c>
      <c r="J103" s="824">
        <v>293.54343599713496</v>
      </c>
      <c r="K103" s="824">
        <v>102.38520020273695</v>
      </c>
      <c r="L103" s="824">
        <v>213.66666666666666</v>
      </c>
      <c r="M103" s="824">
        <v>46.287729658792649</v>
      </c>
      <c r="N103" s="824">
        <v>57.249055018899625</v>
      </c>
      <c r="O103" s="824">
        <v>27.310051107325382</v>
      </c>
      <c r="P103" s="824">
        <v>138.21841250660827</v>
      </c>
      <c r="Q103" s="824">
        <v>1828.9361827560795</v>
      </c>
      <c r="R103" s="824">
        <v>18.019040292335802</v>
      </c>
      <c r="S103" s="824">
        <v>937.81197938863284</v>
      </c>
      <c r="T103" s="824">
        <v>100.20361990950227</v>
      </c>
      <c r="U103" s="824">
        <v>72.057800374632052</v>
      </c>
      <c r="V103" s="825">
        <v>7256.6150723256906</v>
      </c>
      <c r="W103" s="837">
        <v>31416.053198406895</v>
      </c>
    </row>
    <row r="104" spans="1:23" s="331" customFormat="1" ht="13.5">
      <c r="A104" s="1544" t="s">
        <v>1319</v>
      </c>
      <c r="B104" s="838" t="s">
        <v>1097</v>
      </c>
      <c r="C104" s="842">
        <v>32</v>
      </c>
      <c r="D104" s="842">
        <v>70</v>
      </c>
      <c r="E104" s="842">
        <v>172</v>
      </c>
      <c r="F104" s="842">
        <v>117</v>
      </c>
      <c r="G104" s="842">
        <v>388</v>
      </c>
      <c r="H104" s="842">
        <v>72</v>
      </c>
      <c r="I104" s="842">
        <v>354</v>
      </c>
      <c r="J104" s="842">
        <v>116</v>
      </c>
      <c r="K104" s="842">
        <v>118</v>
      </c>
      <c r="L104" s="842">
        <v>189</v>
      </c>
      <c r="M104" s="842">
        <v>208</v>
      </c>
      <c r="N104" s="842">
        <v>60</v>
      </c>
      <c r="O104" s="842">
        <v>114</v>
      </c>
      <c r="P104" s="842">
        <v>175</v>
      </c>
      <c r="Q104" s="842">
        <v>169</v>
      </c>
      <c r="R104" s="842">
        <v>37</v>
      </c>
      <c r="S104" s="842">
        <v>142</v>
      </c>
      <c r="T104" s="842">
        <v>32</v>
      </c>
      <c r="U104" s="842">
        <v>44</v>
      </c>
      <c r="V104" s="825">
        <v>2609</v>
      </c>
      <c r="W104" s="844">
        <v>23531</v>
      </c>
    </row>
    <row r="105" spans="1:23" s="331" customFormat="1" ht="13.5">
      <c r="A105" s="1544" t="s">
        <v>1199</v>
      </c>
      <c r="B105" s="838" t="s">
        <v>1098</v>
      </c>
      <c r="C105" s="842">
        <v>12</v>
      </c>
      <c r="D105" s="842">
        <v>35</v>
      </c>
      <c r="E105" s="842">
        <v>64</v>
      </c>
      <c r="F105" s="842">
        <v>52</v>
      </c>
      <c r="G105" s="842">
        <v>146</v>
      </c>
      <c r="H105" s="842">
        <v>31</v>
      </c>
      <c r="I105" s="842">
        <v>121</v>
      </c>
      <c r="J105" s="842">
        <v>47</v>
      </c>
      <c r="K105" s="842">
        <v>37</v>
      </c>
      <c r="L105" s="842">
        <v>42</v>
      </c>
      <c r="M105" s="842">
        <v>100</v>
      </c>
      <c r="N105" s="842">
        <v>20</v>
      </c>
      <c r="O105" s="842">
        <v>46</v>
      </c>
      <c r="P105" s="842">
        <v>88</v>
      </c>
      <c r="Q105" s="842">
        <v>67</v>
      </c>
      <c r="R105" s="842">
        <v>13</v>
      </c>
      <c r="S105" s="842">
        <v>55</v>
      </c>
      <c r="T105" s="842">
        <v>9</v>
      </c>
      <c r="U105" s="842">
        <v>15</v>
      </c>
      <c r="V105" s="825">
        <v>1000</v>
      </c>
      <c r="W105" s="844">
        <v>8889</v>
      </c>
    </row>
    <row r="106" spans="1:23" s="418" customFormat="1" ht="13.5">
      <c r="A106" s="1548" t="s">
        <v>1320</v>
      </c>
      <c r="B106" s="1549" t="s">
        <v>1030</v>
      </c>
      <c r="C106" s="1550" t="s">
        <v>920</v>
      </c>
      <c r="D106" s="1550" t="s">
        <v>920</v>
      </c>
      <c r="E106" s="1550">
        <v>310.17391304347825</v>
      </c>
      <c r="F106" s="1550">
        <v>511.05263157894734</v>
      </c>
      <c r="G106" s="1550">
        <v>305.23255813953489</v>
      </c>
      <c r="H106" s="1550">
        <v>448.85714285714283</v>
      </c>
      <c r="I106" s="1550">
        <v>392.25531914893617</v>
      </c>
      <c r="J106" s="1550">
        <v>375.22727272727275</v>
      </c>
      <c r="K106" s="1550">
        <v>442.76</v>
      </c>
      <c r="L106" s="1550">
        <v>361.42857142857144</v>
      </c>
      <c r="M106" s="1550">
        <v>356</v>
      </c>
      <c r="N106" s="1550">
        <v>456.64285714285717</v>
      </c>
      <c r="O106" s="1550" t="s">
        <v>920</v>
      </c>
      <c r="P106" s="1550">
        <v>383.5</v>
      </c>
      <c r="Q106" s="1550">
        <v>550</v>
      </c>
      <c r="R106" s="1550" t="s">
        <v>920</v>
      </c>
      <c r="S106" s="1550">
        <v>419.16666666666669</v>
      </c>
      <c r="T106" s="1550" t="s">
        <v>920</v>
      </c>
      <c r="U106" s="1550" t="s">
        <v>920</v>
      </c>
      <c r="V106" s="1551">
        <v>404.87675070028013</v>
      </c>
      <c r="W106" s="1552">
        <v>458.75887978142077</v>
      </c>
    </row>
    <row r="107" spans="1:23" ht="13.5">
      <c r="A107" s="1548" t="s">
        <v>1321</v>
      </c>
      <c r="B107" s="1549" t="s">
        <v>1355</v>
      </c>
      <c r="C107" s="1550">
        <v>57</v>
      </c>
      <c r="D107" s="1550">
        <v>220</v>
      </c>
      <c r="E107" s="1550">
        <v>228</v>
      </c>
      <c r="F107" s="1550">
        <v>224</v>
      </c>
      <c r="G107" s="1550">
        <v>691</v>
      </c>
      <c r="H107" s="1550">
        <v>73</v>
      </c>
      <c r="I107" s="1550">
        <v>1162</v>
      </c>
      <c r="J107" s="1550">
        <v>140</v>
      </c>
      <c r="K107" s="1550">
        <v>154</v>
      </c>
      <c r="L107" s="1550">
        <v>327</v>
      </c>
      <c r="M107" s="1550">
        <v>259</v>
      </c>
      <c r="N107" s="1550">
        <v>96</v>
      </c>
      <c r="O107" s="1550">
        <v>95</v>
      </c>
      <c r="P107" s="1550">
        <v>145</v>
      </c>
      <c r="Q107" s="1550">
        <v>539</v>
      </c>
      <c r="R107" s="1550">
        <v>92</v>
      </c>
      <c r="S107" s="1550">
        <v>373</v>
      </c>
      <c r="T107" s="1550">
        <v>65</v>
      </c>
      <c r="U107" s="1550">
        <v>61</v>
      </c>
      <c r="V107" s="1551">
        <v>5001</v>
      </c>
      <c r="W107" s="1552">
        <v>33320</v>
      </c>
    </row>
    <row r="108" spans="1:23" ht="13.5">
      <c r="A108" s="1548" t="s">
        <v>1322</v>
      </c>
      <c r="B108" s="1549" t="s">
        <v>1356</v>
      </c>
      <c r="C108" s="1553"/>
      <c r="D108" s="1553"/>
      <c r="E108" s="1553"/>
      <c r="F108" s="1553"/>
      <c r="G108" s="1553"/>
      <c r="H108" s="1553"/>
      <c r="I108" s="1553"/>
      <c r="J108" s="1553"/>
      <c r="K108" s="1553"/>
      <c r="L108" s="1553"/>
      <c r="M108" s="1553"/>
      <c r="N108" s="1553"/>
      <c r="O108" s="1553"/>
      <c r="P108" s="1553"/>
      <c r="Q108" s="1553"/>
      <c r="R108" s="1553"/>
      <c r="S108" s="1553"/>
      <c r="T108" s="1553"/>
      <c r="U108" s="1553"/>
      <c r="V108" s="1554"/>
      <c r="W108" s="1555"/>
    </row>
    <row r="109" spans="1:23" ht="13.5">
      <c r="A109" s="1548" t="s">
        <v>1323</v>
      </c>
      <c r="B109" s="1549" t="s">
        <v>1357</v>
      </c>
      <c r="C109" s="1553"/>
      <c r="D109" s="1553"/>
      <c r="E109" s="1553"/>
      <c r="F109" s="1553"/>
      <c r="G109" s="1553"/>
      <c r="H109" s="1553"/>
      <c r="I109" s="1553"/>
      <c r="J109" s="1553"/>
      <c r="K109" s="1553"/>
      <c r="L109" s="1553"/>
      <c r="M109" s="1553"/>
      <c r="N109" s="1553"/>
      <c r="O109" s="1553"/>
      <c r="P109" s="1553"/>
      <c r="Q109" s="1553"/>
      <c r="R109" s="1553"/>
      <c r="S109" s="1553"/>
      <c r="T109" s="1553"/>
      <c r="U109" s="1553"/>
      <c r="V109" s="1554"/>
      <c r="W109" s="1555"/>
    </row>
    <row r="110" spans="1:23" ht="13.5">
      <c r="A110" s="1548" t="s">
        <v>1324</v>
      </c>
      <c r="B110" s="1549" t="s">
        <v>1358</v>
      </c>
      <c r="C110" s="1553"/>
      <c r="D110" s="1553"/>
      <c r="E110" s="1553"/>
      <c r="F110" s="1553"/>
      <c r="G110" s="1553"/>
      <c r="H110" s="1553"/>
      <c r="I110" s="1553"/>
      <c r="J110" s="1553"/>
      <c r="K110" s="1553"/>
      <c r="L110" s="1553"/>
      <c r="M110" s="1553"/>
      <c r="N110" s="1553"/>
      <c r="O110" s="1553"/>
      <c r="P110" s="1553"/>
      <c r="Q110" s="1553"/>
      <c r="R110" s="1553"/>
      <c r="S110" s="1553"/>
      <c r="T110" s="1553"/>
      <c r="U110" s="1553"/>
      <c r="V110" s="1554"/>
      <c r="W110" s="1555"/>
    </row>
    <row r="111" spans="1:23" ht="13.5">
      <c r="A111" s="1548" t="s">
        <v>1331</v>
      </c>
      <c r="B111" s="1549" t="s">
        <v>1359</v>
      </c>
      <c r="C111" s="1550">
        <v>2722</v>
      </c>
      <c r="D111" s="1550">
        <v>5074</v>
      </c>
      <c r="E111" s="1550">
        <v>12516</v>
      </c>
      <c r="F111" s="1550">
        <v>10672</v>
      </c>
      <c r="G111" s="1550">
        <v>29537</v>
      </c>
      <c r="H111" s="1550">
        <v>2733</v>
      </c>
      <c r="I111" s="1550">
        <v>33437</v>
      </c>
      <c r="J111" s="1550">
        <v>6617</v>
      </c>
      <c r="K111" s="1550">
        <v>6719</v>
      </c>
      <c r="L111" s="1550">
        <v>13356</v>
      </c>
      <c r="M111" s="1550">
        <v>4180</v>
      </c>
      <c r="N111" s="1550">
        <v>3373</v>
      </c>
      <c r="O111" s="1550">
        <v>4158</v>
      </c>
      <c r="P111" s="1550">
        <v>4685</v>
      </c>
      <c r="Q111" s="1550">
        <v>24108</v>
      </c>
      <c r="R111" s="1550">
        <v>3421</v>
      </c>
      <c r="S111" s="1550">
        <v>17002</v>
      </c>
      <c r="T111" s="1550">
        <v>3089</v>
      </c>
      <c r="U111" s="1550">
        <v>3905</v>
      </c>
      <c r="V111" s="1551">
        <v>191304</v>
      </c>
      <c r="W111" s="1552">
        <v>1210409</v>
      </c>
    </row>
    <row r="112" spans="1:23">
      <c r="A112" s="535" t="s">
        <v>1301</v>
      </c>
      <c r="B112" s="774" t="s">
        <v>328</v>
      </c>
      <c r="C112" s="724">
        <f t="shared" ref="C112:W112" si="0">IF(SUM(C38:C41)&gt;0,SUM(C38:C41),NA())</f>
        <v>1195</v>
      </c>
      <c r="D112" s="724">
        <f t="shared" si="0"/>
        <v>2311</v>
      </c>
      <c r="E112" s="724">
        <f t="shared" si="0"/>
        <v>8294</v>
      </c>
      <c r="F112" s="724">
        <f t="shared" si="0"/>
        <v>1963</v>
      </c>
      <c r="G112" s="724">
        <f t="shared" si="0"/>
        <v>26561</v>
      </c>
      <c r="H112" s="724">
        <f t="shared" si="0"/>
        <v>4047</v>
      </c>
      <c r="I112" s="724">
        <f t="shared" si="0"/>
        <v>14850</v>
      </c>
      <c r="J112" s="724">
        <f t="shared" si="0"/>
        <v>3170</v>
      </c>
      <c r="K112" s="724">
        <f t="shared" si="0"/>
        <v>3265</v>
      </c>
      <c r="L112" s="724">
        <f t="shared" si="0"/>
        <v>4173</v>
      </c>
      <c r="M112" s="724">
        <f t="shared" si="0"/>
        <v>3391</v>
      </c>
      <c r="N112" s="724">
        <f t="shared" si="0"/>
        <v>1824</v>
      </c>
      <c r="O112" s="724">
        <f t="shared" si="0"/>
        <v>2894</v>
      </c>
      <c r="P112" s="724">
        <f t="shared" si="0"/>
        <v>3264</v>
      </c>
      <c r="Q112" s="724">
        <f t="shared" si="0"/>
        <v>7923</v>
      </c>
      <c r="R112" s="724">
        <f t="shared" si="0"/>
        <v>2330</v>
      </c>
      <c r="S112" s="724">
        <f t="shared" si="0"/>
        <v>7978</v>
      </c>
      <c r="T112" s="724">
        <f t="shared" si="0"/>
        <v>1452</v>
      </c>
      <c r="U112" s="724">
        <f t="shared" si="0"/>
        <v>912</v>
      </c>
      <c r="V112" s="724">
        <f t="shared" si="0"/>
        <v>101890</v>
      </c>
      <c r="W112" s="724">
        <f t="shared" si="0"/>
        <v>545020</v>
      </c>
    </row>
    <row r="113" spans="1:23">
      <c r="A113" s="535" t="s">
        <v>1325</v>
      </c>
      <c r="B113" s="774" t="s">
        <v>329</v>
      </c>
      <c r="C113" s="724">
        <f t="shared" ref="C113:W113" si="1">SUM(C38:C42)</f>
        <v>1464</v>
      </c>
      <c r="D113" s="724">
        <f t="shared" si="1"/>
        <v>2646</v>
      </c>
      <c r="E113" s="724">
        <f t="shared" si="1"/>
        <v>10201</v>
      </c>
      <c r="F113" s="724">
        <f t="shared" si="1"/>
        <v>3236</v>
      </c>
      <c r="G113" s="724">
        <f t="shared" si="1"/>
        <v>27661</v>
      </c>
      <c r="H113" s="724">
        <f t="shared" si="1"/>
        <v>4179</v>
      </c>
      <c r="I113" s="724">
        <f t="shared" si="1"/>
        <v>18796</v>
      </c>
      <c r="J113" s="724">
        <f t="shared" si="1"/>
        <v>3595</v>
      </c>
      <c r="K113" s="724">
        <f t="shared" si="1"/>
        <v>3568</v>
      </c>
      <c r="L113" s="724">
        <f t="shared" si="1"/>
        <v>5939</v>
      </c>
      <c r="M113" s="724">
        <f t="shared" si="1"/>
        <v>3478</v>
      </c>
      <c r="N113" s="724">
        <f t="shared" si="1"/>
        <v>2268</v>
      </c>
      <c r="O113" s="724">
        <f t="shared" si="1"/>
        <v>3512</v>
      </c>
      <c r="P113" s="724">
        <f t="shared" si="1"/>
        <v>3575</v>
      </c>
      <c r="Q113" s="724">
        <f t="shared" si="1"/>
        <v>9379</v>
      </c>
      <c r="R113" s="724">
        <f t="shared" si="1"/>
        <v>2347</v>
      </c>
      <c r="S113" s="724">
        <f t="shared" si="1"/>
        <v>9963</v>
      </c>
      <c r="T113" s="724">
        <f t="shared" si="1"/>
        <v>1643</v>
      </c>
      <c r="U113" s="724">
        <f t="shared" si="1"/>
        <v>1390</v>
      </c>
      <c r="V113" s="724">
        <f t="shared" si="1"/>
        <v>118940</v>
      </c>
      <c r="W113" s="724">
        <f t="shared" si="1"/>
        <v>645070</v>
      </c>
    </row>
    <row r="114" spans="1:23">
      <c r="V114" s="290"/>
    </row>
    <row r="115" spans="1:23">
      <c r="V115" s="290"/>
    </row>
    <row r="116" spans="1:23">
      <c r="V116" s="290"/>
    </row>
  </sheetData>
  <conditionalFormatting sqref="C1:U1">
    <cfRule type="expression" dxfId="671" priority="3">
      <formula>SUM(C$2:C$98)=0</formula>
    </cfRule>
    <cfRule type="containsErrors" dxfId="670" priority="4">
      <formula>ISERROR(C1)</formula>
    </cfRule>
  </conditionalFormatting>
  <conditionalFormatting sqref="P41:P45">
    <cfRule type="containsErrors" dxfId="669" priority="1">
      <formula>ISERROR(P41)</formula>
    </cfRule>
  </conditionalFormatting>
  <pageMargins left="0.70866141732283472" right="0.70866141732283472" top="0.35433070866141736" bottom="0.35433070866141736" header="0.31496062992125984" footer="0.31496062992125984"/>
  <pageSetup scale="49" orientation="portrait" r:id="rId1"/>
  <extLst>
    <ext xmlns:x14="http://schemas.microsoft.com/office/spreadsheetml/2009/9/main" uri="{78C0D931-6437-407d-A8EE-F0AAD7539E65}">
      <x14:conditionalFormattings>
        <x14:conditionalFormatting xmlns:xm="http://schemas.microsoft.com/office/excel/2006/main">
          <x14:cfRule type="expression" priority="2" id="{127F53C1-4EC1-42F7-8EE9-E16611D140C4}">
            <xm:f>C$1=ReportData!$AR$3</xm:f>
            <x14:dxf>
              <fill>
                <patternFill>
                  <bgColor rgb="FF66FF99"/>
                </patternFill>
              </fill>
            </x14:dxf>
          </x14:cfRule>
          <xm:sqref>C1:U1</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2">
    <tabColor rgb="FFFFC000"/>
  </sheetPr>
  <dimension ref="A1:BP295"/>
  <sheetViews>
    <sheetView showGridLines="0" showRowColHeaders="0" workbookViewId="0"/>
  </sheetViews>
  <sheetFormatPr defaultColWidth="9.140625" defaultRowHeight="11.25" customHeight="1"/>
  <cols>
    <col min="1" max="1" width="2" style="52" customWidth="1"/>
    <col min="2" max="2" width="19.42578125" style="52" customWidth="1"/>
    <col min="3" max="3" width="1.140625" style="52" customWidth="1"/>
    <col min="4" max="9" width="7.42578125" style="52" customWidth="1"/>
    <col min="10" max="10" width="1.140625" customWidth="1"/>
    <col min="11" max="14" width="7.42578125" style="52" customWidth="1"/>
    <col min="15" max="15" width="7.28515625" style="52" customWidth="1"/>
    <col min="16" max="16" width="6" style="52" customWidth="1"/>
    <col min="17" max="17" width="6.42578125" style="52" customWidth="1"/>
    <col min="18" max="18" width="1.140625" style="52" customWidth="1"/>
    <col min="19" max="20" width="8.28515625" style="52" customWidth="1"/>
    <col min="21" max="21" width="2.140625" style="52" customWidth="1"/>
    <col min="22" max="22" width="6.42578125" style="55" customWidth="1"/>
    <col min="23" max="23" width="4.85546875" style="55" customWidth="1"/>
    <col min="24" max="24" width="17.85546875" style="56" hidden="1" customWidth="1"/>
    <col min="25" max="25" width="19.42578125" style="56" hidden="1" customWidth="1"/>
    <col min="26" max="26" width="19.85546875" style="56" hidden="1" customWidth="1"/>
    <col min="27" max="28" width="16.5703125" style="56" hidden="1" customWidth="1"/>
    <col min="29" max="29" width="8.5703125" style="56" hidden="1" customWidth="1"/>
    <col min="30" max="30" width="17" style="56" hidden="1" customWidth="1"/>
    <col min="31" max="31" width="8.5703125" style="56" hidden="1" customWidth="1"/>
    <col min="32" max="32" width="17" style="56" hidden="1" customWidth="1"/>
    <col min="33" max="34" width="6.5703125" style="56" hidden="1" customWidth="1"/>
    <col min="35" max="35" width="6.5703125" style="52" hidden="1" customWidth="1"/>
    <col min="36" max="36" width="31.5703125" style="52" customWidth="1"/>
    <col min="37" max="37" width="17" style="52" hidden="1" customWidth="1"/>
    <col min="38" max="42" width="13.5703125" style="52" hidden="1" customWidth="1"/>
    <col min="43" max="54" width="9.140625" style="52" hidden="1" customWidth="1"/>
    <col min="55" max="68" width="9.140625" style="52" customWidth="1"/>
    <col min="69" max="16384" width="9.140625" style="52"/>
  </cols>
  <sheetData>
    <row r="1" spans="1:44" ht="18.75" customHeight="1" thickBot="1">
      <c r="A1" s="81"/>
      <c r="B1" s="2029" t="s">
        <v>1091</v>
      </c>
      <c r="C1" s="2029"/>
      <c r="D1" s="2029"/>
      <c r="E1" s="2029"/>
      <c r="F1" s="2029"/>
      <c r="G1" s="2029"/>
      <c r="H1" s="2029"/>
      <c r="I1" s="2029"/>
      <c r="J1" s="2029"/>
      <c r="K1" s="2029"/>
      <c r="L1" s="2029"/>
      <c r="M1" s="2029"/>
      <c r="N1" s="2029"/>
      <c r="O1" s="2029"/>
      <c r="P1" s="82"/>
      <c r="Q1" s="82"/>
      <c r="R1" s="82"/>
      <c r="S1" s="82"/>
      <c r="T1" s="82"/>
      <c r="U1" s="84"/>
      <c r="V1" s="207"/>
      <c r="W1" s="117"/>
      <c r="X1" s="135"/>
      <c r="Y1" s="534" t="str">
        <f>IF(ReportData!$C$3="Annual"," at 31st March"," at last day in quarter")</f>
        <v xml:space="preserve"> at 31st March</v>
      </c>
      <c r="Z1" s="135"/>
      <c r="AA1" s="135"/>
      <c r="AB1" s="135"/>
      <c r="AC1" s="135"/>
      <c r="AD1" s="135"/>
      <c r="AE1" s="135"/>
      <c r="AF1" s="135"/>
      <c r="AG1" s="135"/>
      <c r="AH1" s="135"/>
      <c r="AI1" s="136"/>
      <c r="AJ1" s="260"/>
    </row>
    <row r="2" spans="1:44" ht="18.75" customHeight="1">
      <c r="A2" s="208"/>
      <c r="B2" s="2030"/>
      <c r="C2" s="2030"/>
      <c r="D2" s="2030"/>
      <c r="E2" s="2030"/>
      <c r="F2" s="2030"/>
      <c r="G2" s="2030"/>
      <c r="H2" s="2030"/>
      <c r="I2" s="2030"/>
      <c r="J2" s="2030"/>
      <c r="K2" s="2030"/>
      <c r="L2" s="2030"/>
      <c r="M2" s="2030"/>
      <c r="N2" s="2030"/>
      <c r="O2" s="2030"/>
      <c r="P2" s="5"/>
      <c r="Q2" s="5"/>
      <c r="R2" s="5"/>
      <c r="S2" s="5"/>
      <c r="T2" s="5"/>
      <c r="U2" s="86"/>
      <c r="V2" s="122"/>
      <c r="W2" s="114"/>
      <c r="X2" s="578">
        <v>1</v>
      </c>
      <c r="Y2" s="461" t="str">
        <f>IF(ReportData!$C$3="Annual","",ReportData!$D$28)</f>
        <v/>
      </c>
      <c r="Z2" s="462" t="str">
        <f>IF(ReportData!$C$3="Annual","",ReportData!$E$28)</f>
        <v/>
      </c>
      <c r="AA2" s="462" t="str">
        <f>IF(ReportData!$C$3="Annual","",ReportData!$F$28)</f>
        <v/>
      </c>
      <c r="AB2" s="462" t="str">
        <f>IF(ReportData!$C$3="Annual","",ReportData!$G$28)</f>
        <v/>
      </c>
      <c r="AC2" s="463" t="str">
        <f>IF(ReportData!$C$3="Annual","",ReportData!$H$28)</f>
        <v/>
      </c>
      <c r="AJ2" s="119"/>
    </row>
    <row r="3" spans="1:44" ht="18.75" customHeight="1" thickBot="1">
      <c r="A3" s="286"/>
      <c r="B3" s="2031"/>
      <c r="C3" s="2031"/>
      <c r="D3" s="2031"/>
      <c r="E3" s="2031"/>
      <c r="F3" s="2031"/>
      <c r="G3" s="2031"/>
      <c r="H3" s="2031"/>
      <c r="I3" s="2031"/>
      <c r="J3" s="2031"/>
      <c r="K3" s="2031"/>
      <c r="L3" s="2031"/>
      <c r="M3" s="2031"/>
      <c r="N3" s="2031"/>
      <c r="O3" s="2031"/>
      <c r="P3" s="329"/>
      <c r="Q3" s="329"/>
      <c r="R3" s="329"/>
      <c r="S3" s="329"/>
      <c r="T3" s="329"/>
      <c r="U3" s="599"/>
      <c r="V3" s="122"/>
      <c r="W3" s="114"/>
      <c r="X3" s="464"/>
      <c r="Y3" s="464" t="str">
        <f>ReportData!$D$27</f>
        <v>2019/20</v>
      </c>
      <c r="Z3" s="465" t="str">
        <f>ReportData!$E$27</f>
        <v>2020/21</v>
      </c>
      <c r="AA3" s="465" t="str">
        <f>ReportData!$F$27</f>
        <v>2021/22</v>
      </c>
      <c r="AB3" s="465" t="str">
        <f>ReportData!$G$27</f>
        <v>2022/23</v>
      </c>
      <c r="AC3" s="466" t="str">
        <f>ReportData!$H$27</f>
        <v>2023/24</v>
      </c>
      <c r="AJ3" s="119"/>
    </row>
    <row r="4" spans="1:44" ht="11.25" customHeight="1">
      <c r="A4" s="81"/>
      <c r="B4" s="82"/>
      <c r="C4" s="82"/>
      <c r="D4" s="82"/>
      <c r="E4" s="82"/>
      <c r="F4" s="82"/>
      <c r="G4" s="82"/>
      <c r="H4" s="82"/>
      <c r="I4" s="82"/>
      <c r="J4" s="83"/>
      <c r="K4" s="82"/>
      <c r="L4" s="82"/>
      <c r="M4" s="82"/>
      <c r="N4" s="82"/>
      <c r="O4" s="82"/>
      <c r="P4" s="82"/>
      <c r="Q4" s="82"/>
      <c r="R4" s="82"/>
      <c r="S4" s="82"/>
      <c r="T4" s="82"/>
      <c r="U4" s="84"/>
      <c r="V4" s="119"/>
      <c r="W4" s="114"/>
      <c r="X4" s="140"/>
      <c r="Y4" s="140" t="str">
        <f>Home!$D$5</f>
        <v>(none)</v>
      </c>
      <c r="Z4" s="25" t="str">
        <f>"Selected LA- "&amp;Y4</f>
        <v>Selected LA- (none)</v>
      </c>
      <c r="AJ4" s="119"/>
    </row>
    <row r="5" spans="1:44" ht="18.75" customHeight="1">
      <c r="A5" s="87"/>
      <c r="B5" s="1900" t="s">
        <v>1288</v>
      </c>
      <c r="C5" s="1900"/>
      <c r="D5" s="1900"/>
      <c r="E5" s="1900"/>
      <c r="F5" s="1900"/>
      <c r="G5" s="1900"/>
      <c r="H5" s="1900"/>
      <c r="I5" s="1900"/>
      <c r="J5" s="1900"/>
      <c r="K5" s="1900"/>
      <c r="L5" s="1900"/>
      <c r="M5" s="1900"/>
      <c r="N5" s="1900"/>
      <c r="O5" s="1948"/>
      <c r="P5" s="1948"/>
      <c r="Q5" s="1948"/>
      <c r="R5" s="1948"/>
      <c r="S5" s="1948"/>
      <c r="T5" s="1948"/>
      <c r="U5" s="86"/>
      <c r="V5" s="119"/>
      <c r="W5" s="114"/>
      <c r="X5" s="52"/>
      <c r="Y5" s="52"/>
      <c r="Z5" s="52"/>
      <c r="AA5" s="52"/>
      <c r="AB5" s="52"/>
      <c r="AC5" s="52"/>
      <c r="AD5" s="52"/>
      <c r="AE5" s="52"/>
      <c r="AF5" s="52"/>
      <c r="AG5" s="52"/>
      <c r="AH5" s="52"/>
      <c r="AJ5" s="119"/>
    </row>
    <row r="6" spans="1:44" ht="18.75" customHeight="1">
      <c r="A6" s="87"/>
      <c r="B6" s="1900"/>
      <c r="C6" s="1900"/>
      <c r="D6" s="1900"/>
      <c r="E6" s="1900"/>
      <c r="F6" s="1900"/>
      <c r="G6" s="1900"/>
      <c r="H6" s="1900"/>
      <c r="I6" s="1900"/>
      <c r="J6" s="1900"/>
      <c r="K6" s="1900"/>
      <c r="L6" s="1900"/>
      <c r="M6" s="1900"/>
      <c r="N6" s="1900"/>
      <c r="O6" s="1948"/>
      <c r="P6" s="1948"/>
      <c r="Q6" s="1948"/>
      <c r="R6" s="1948"/>
      <c r="S6" s="1948"/>
      <c r="T6" s="1948"/>
      <c r="U6" s="86"/>
      <c r="V6" s="119"/>
      <c r="W6" s="114"/>
      <c r="Y6" s="141"/>
      <c r="AJ6" s="119"/>
    </row>
    <row r="7" spans="1:44" s="61" customFormat="1" ht="13.5" customHeight="1">
      <c r="A7" s="1148"/>
      <c r="B7" s="1749" t="s">
        <v>177</v>
      </c>
      <c r="C7" s="896"/>
      <c r="D7" s="2032" t="s">
        <v>84</v>
      </c>
      <c r="E7" s="2032"/>
      <c r="F7" s="2032"/>
      <c r="G7" s="2032"/>
      <c r="H7" s="2033"/>
      <c r="I7" s="2034" t="str">
        <f>"Average "&amp;ReportData!C3&amp;" Change "</f>
        <v xml:space="preserve">Average Annual Change </v>
      </c>
      <c r="J7" s="896"/>
      <c r="K7" s="2037" t="s">
        <v>661</v>
      </c>
      <c r="L7" s="2038"/>
      <c r="M7" s="2038"/>
      <c r="N7" s="2038"/>
      <c r="O7" s="2038"/>
      <c r="P7" s="2038"/>
      <c r="Q7" s="1761" t="str">
        <f>IF(ISNA(O8),"Rank "&amp;O10,"Rank "&amp;LEFT(O8,5)&amp;" "&amp;RIGHT(O8,2))</f>
        <v>Rank 2022/ 23</v>
      </c>
      <c r="R7" s="64"/>
      <c r="S7" s="2039" t="str">
        <f>"Distance from Expected "&amp;ReportData!$B$8</f>
        <v>Distance from Expected 2024</v>
      </c>
      <c r="T7" s="1977"/>
      <c r="U7" s="89"/>
      <c r="V7" s="186"/>
      <c r="W7" s="115"/>
      <c r="Y7" s="1941" t="s">
        <v>671</v>
      </c>
      <c r="Z7" s="1943"/>
      <c r="AA7" s="2023" t="s">
        <v>76</v>
      </c>
      <c r="AB7" s="2024"/>
      <c r="AC7" s="2024"/>
      <c r="AD7" s="2024"/>
      <c r="AE7" s="2025"/>
      <c r="AF7" s="2026" t="s">
        <v>88</v>
      </c>
      <c r="AG7" s="2027"/>
      <c r="AH7" s="2027"/>
      <c r="AJ7" s="121"/>
      <c r="AK7" s="52"/>
      <c r="AL7" s="52"/>
      <c r="AM7" s="52"/>
      <c r="AN7" s="52"/>
      <c r="AO7" s="52"/>
    </row>
    <row r="8" spans="1:44" s="61" customFormat="1" ht="13.5" customHeight="1">
      <c r="A8" s="1097"/>
      <c r="B8" s="1749"/>
      <c r="C8" s="896"/>
      <c r="D8" s="2041" t="str">
        <f>ReportData!$D$234</f>
        <v>2018/19</v>
      </c>
      <c r="E8" s="2041" t="str">
        <f>ReportData!$E$234</f>
        <v>2019/20</v>
      </c>
      <c r="F8" s="2041" t="str">
        <f>ReportData!$F$234</f>
        <v>2020/21</v>
      </c>
      <c r="G8" s="2041" t="str">
        <f>ReportData!$G$234</f>
        <v>2021/22</v>
      </c>
      <c r="H8" s="2045" t="str">
        <f>ReportData!$H$234</f>
        <v>2022/23</v>
      </c>
      <c r="I8" s="2035"/>
      <c r="J8" s="896"/>
      <c r="K8" s="2041" t="str">
        <f>ReportData!$D$234</f>
        <v>2018/19</v>
      </c>
      <c r="L8" s="2041" t="str">
        <f>ReportData!$E$234</f>
        <v>2019/20</v>
      </c>
      <c r="M8" s="2041" t="str">
        <f>ReportData!$F$234</f>
        <v>2020/21</v>
      </c>
      <c r="N8" s="2041" t="str">
        <f>ReportData!$G$234</f>
        <v>2021/22</v>
      </c>
      <c r="O8" s="2039" t="str">
        <f>ReportData!$H$234</f>
        <v>2022/23</v>
      </c>
      <c r="P8" s="1977"/>
      <c r="Q8" s="1762"/>
      <c r="R8" s="64"/>
      <c r="S8" s="2040"/>
      <c r="T8" s="1978"/>
      <c r="U8" s="89"/>
      <c r="V8" s="103"/>
      <c r="W8" s="115"/>
      <c r="Y8" s="1960" t="s">
        <v>73</v>
      </c>
      <c r="Z8" s="1963" t="s">
        <v>74</v>
      </c>
      <c r="AA8" s="637" t="str">
        <f>IF(ReportData!$C$3="Annual","",ReportData!$D$28)</f>
        <v/>
      </c>
      <c r="AB8" s="26" t="str">
        <f>IF(ReportData!$C$3="Annual","",ReportData!$E$28)</f>
        <v/>
      </c>
      <c r="AC8" s="158" t="str">
        <f>IF(ReportData!$C$3="Annual","",ReportData!$F$28)</f>
        <v/>
      </c>
      <c r="AD8" s="26" t="str">
        <f>IF(ReportData!$C$3="Annual","",ReportData!$G$28)</f>
        <v/>
      </c>
      <c r="AE8" s="638" t="str">
        <f>IF(ReportData!$C$3="Annual","",ReportData!$H$28)</f>
        <v/>
      </c>
      <c r="AF8" s="2026"/>
      <c r="AG8" s="2027"/>
      <c r="AH8" s="2027"/>
      <c r="AJ8" s="121"/>
      <c r="AK8" s="52" t="str">
        <f>CONCATENATE($J$7," "&amp;$B1)</f>
        <v xml:space="preserve"> Participation of Young People aged 16-17 in Education, 
Employment or Training</v>
      </c>
    </row>
    <row r="9" spans="1:44" s="61" customFormat="1" ht="9" customHeight="1">
      <c r="A9" s="1097"/>
      <c r="B9" s="1749"/>
      <c r="C9" s="896"/>
      <c r="D9" s="2042"/>
      <c r="E9" s="2042"/>
      <c r="F9" s="2042"/>
      <c r="G9" s="2042"/>
      <c r="H9" s="2046"/>
      <c r="I9" s="2035"/>
      <c r="J9" s="896"/>
      <c r="K9" s="2042"/>
      <c r="L9" s="2042"/>
      <c r="M9" s="2042"/>
      <c r="N9" s="2042"/>
      <c r="O9" s="2040"/>
      <c r="P9" s="1978"/>
      <c r="Q9" s="1762"/>
      <c r="R9" s="64"/>
      <c r="S9" s="2043"/>
      <c r="T9" s="2044"/>
      <c r="U9" s="89"/>
      <c r="V9" s="103"/>
      <c r="W9" s="918"/>
      <c r="Y9" s="1961"/>
      <c r="Z9" s="1964"/>
      <c r="AA9" s="637"/>
      <c r="AB9" s="26"/>
      <c r="AC9" s="158"/>
      <c r="AD9" s="26"/>
      <c r="AE9" s="638"/>
      <c r="AF9" s="1235"/>
      <c r="AG9" s="1235"/>
      <c r="AH9" s="1235"/>
      <c r="AJ9" s="121"/>
      <c r="AK9" s="52"/>
    </row>
    <row r="10" spans="1:44" s="61" customFormat="1" ht="13.5" customHeight="1">
      <c r="A10" s="1148"/>
      <c r="B10" s="1764"/>
      <c r="C10" s="896"/>
      <c r="D10" s="897" t="e">
        <f>ReportData!$D$28</f>
        <v>#N/A</v>
      </c>
      <c r="E10" s="897" t="e">
        <f>ReportData!$E$28</f>
        <v>#N/A</v>
      </c>
      <c r="F10" s="897" t="e">
        <f>ReportData!$F$28</f>
        <v>#N/A</v>
      </c>
      <c r="G10" s="897" t="e">
        <f>ReportData!$G$28</f>
        <v>#N/A</v>
      </c>
      <c r="H10" s="920" t="e">
        <f>ReportData!$H$28</f>
        <v>#N/A</v>
      </c>
      <c r="I10" s="2036"/>
      <c r="J10" s="896"/>
      <c r="K10" s="897" t="e">
        <f>ReportData!$D$28</f>
        <v>#N/A</v>
      </c>
      <c r="L10" s="897" t="e">
        <f>ReportData!$E$28</f>
        <v>#N/A</v>
      </c>
      <c r="M10" s="897" t="e">
        <f>ReportData!$F$28</f>
        <v>#N/A</v>
      </c>
      <c r="N10" s="897" t="e">
        <f>ReportData!$G$28</f>
        <v>#N/A</v>
      </c>
      <c r="O10" s="1779" t="e">
        <f>ReportData!$H$28</f>
        <v>#N/A</v>
      </c>
      <c r="P10" s="1780"/>
      <c r="Q10" s="1763"/>
      <c r="R10" s="64"/>
      <c r="S10" s="898" t="s">
        <v>110</v>
      </c>
      <c r="T10" s="899" t="s">
        <v>111</v>
      </c>
      <c r="U10" s="89"/>
      <c r="V10" s="103"/>
      <c r="W10" s="115"/>
      <c r="Y10" s="1962"/>
      <c r="Z10" s="1965"/>
      <c r="AA10" s="637" t="str">
        <f>ReportData!$D$27</f>
        <v>2019/20</v>
      </c>
      <c r="AB10" s="26" t="str">
        <f>ReportData!$E$27</f>
        <v>2020/21</v>
      </c>
      <c r="AC10" s="158" t="str">
        <f>ReportData!$F$27</f>
        <v>2021/22</v>
      </c>
      <c r="AD10" s="26" t="str">
        <f>ReportData!$G$27</f>
        <v>2022/23</v>
      </c>
      <c r="AE10" s="638" t="str">
        <f>ReportData!$H$27</f>
        <v>2023/24</v>
      </c>
      <c r="AF10" s="141"/>
      <c r="AG10" s="156">
        <v>14</v>
      </c>
      <c r="AH10" s="141"/>
      <c r="AJ10" s="121"/>
      <c r="AK10" s="479" t="s">
        <v>598</v>
      </c>
      <c r="AL10" s="479" t="s">
        <v>599</v>
      </c>
      <c r="AM10" s="479" t="s">
        <v>600</v>
      </c>
      <c r="AN10" s="479" t="s">
        <v>601</v>
      </c>
      <c r="AO10" s="479" t="s">
        <v>602</v>
      </c>
    </row>
    <row r="11" spans="1:44" s="61" customFormat="1" ht="15.75" customHeight="1">
      <c r="A11" s="1103">
        <f>VLOOKUP(B11,ReportData!$AQ$4:$AR$25,2,FALSE)</f>
        <v>0</v>
      </c>
      <c r="B11" s="885" t="str">
        <f>ReportData!$K$4</f>
        <v>Bracknell Forest</v>
      </c>
      <c r="C11" s="896"/>
      <c r="D11" s="889">
        <f>IF(Year1_Bracknell_Forest Year1_16_17_participating_in_EET="","",Year1_Bracknell_Forest Year1_16_17_participating_in_EET)</f>
        <v>1936.5370539798719</v>
      </c>
      <c r="E11" s="889">
        <f>IF(Year2_Bracknell_Forest Year2_16_17_participating_in_EET="","",Year2_Bracknell_Forest Year2_16_17_participating_in_EET)</f>
        <v>2017.1745027124773</v>
      </c>
      <c r="F11" s="889">
        <f>IF(Year3_Bracknell_Forest Year3_16_17_participating_in_EET="","",Year3_Bracknell_Forest Year3_16_17_participating_in_EET)</f>
        <v>2420.0727690540025</v>
      </c>
      <c r="G11" s="889">
        <f>IF(Year4_Bracknell_Forest Year4_16_17_participating_in_EET="","",Year4_Bracknell_Forest Year4_16_17_participating_in_EET)</f>
        <v>2581.0000000000005</v>
      </c>
      <c r="H11" s="890">
        <f>IF(Year5_Bracknell_Forest Year5_16_17_participating_in_EET="","",Year5_Bracknell_Forest Year5_16_17_participating_in_EET)</f>
        <v>2566.9500000000003</v>
      </c>
      <c r="I11" s="900">
        <f t="shared" ref="I11:I25" si="0">AO11</f>
        <v>7.5606805187974815E-2</v>
      </c>
      <c r="J11" s="896"/>
      <c r="K11" s="1284">
        <f>IF(ISNUMBER(D11),D11/Population!D44,NA())</f>
        <v>0.88426349496797807</v>
      </c>
      <c r="L11" s="1284">
        <f>IF(ISNUMBER(E11),E11/Population!E44,NA())</f>
        <v>0.91274864376130194</v>
      </c>
      <c r="M11" s="1284">
        <f>IF(ISNUMBER(F11),F11/Population!F44,NA())</f>
        <v>0.92723094599770206</v>
      </c>
      <c r="N11" s="1284">
        <f>IF(ISNUMBER(G11),G11/Population!G44,NA())</f>
        <v>0.94819985304922871</v>
      </c>
      <c r="O11" s="1284">
        <f>IF(ISNUMBER(H11),H11/Population!H44,NA())</f>
        <v>0.94721402214022155</v>
      </c>
      <c r="P11" s="903">
        <f>IF(ISNUMBER(O11),O11,"")</f>
        <v>0.94721402214022155</v>
      </c>
      <c r="Q11" s="1190">
        <f t="shared" ref="Q11:Q31" si="1">IF(ISNA(VLOOKUP(B11,$AF$11:$AH$29,3,FALSE)),"--",IF(ISNUMBER(H11),VLOOKUP(B11,$AF$11:$AH$29,3,FALSE),NA()))</f>
        <v>2</v>
      </c>
      <c r="R11" s="64"/>
      <c r="S11" s="1285">
        <f>((AQ38*$Y$41)+$Z$41)/100</f>
        <v>0.94217769772864257</v>
      </c>
      <c r="T11" s="1286">
        <f t="shared" ref="T11:T31" si="2">O11-S11</f>
        <v>5.036324411578974E-3</v>
      </c>
      <c r="U11" s="89"/>
      <c r="V11" s="103"/>
      <c r="W11" s="115"/>
      <c r="X11" s="622" t="str">
        <f t="shared" ref="X11:X31" si="3">B11</f>
        <v>Bracknell Forest</v>
      </c>
      <c r="Y11" s="620">
        <f>IF(ISNUMBER(H11),IDACI!D9,0)</f>
        <v>24849</v>
      </c>
      <c r="Z11" s="621">
        <f>IF(ISNUMBER(H11),IDACI!E9,0)</f>
        <v>2211.5610000000001</v>
      </c>
      <c r="AA11" s="628">
        <f>IF(D11&gt;0,Population!D44,"")</f>
        <v>2190</v>
      </c>
      <c r="AB11" s="155">
        <f>IF(E11&gt;0,Population!E44,"")</f>
        <v>2210</v>
      </c>
      <c r="AC11" s="155">
        <f>IF(F11&gt;0,Population!F44,"")</f>
        <v>2610</v>
      </c>
      <c r="AD11" s="155">
        <f>IF(G11&gt;0,Population!G44,"")</f>
        <v>2722</v>
      </c>
      <c r="AE11" s="629">
        <f>IF(H11&gt;0,Population!H44,"")</f>
        <v>2710</v>
      </c>
      <c r="AF11" s="639" t="str">
        <f>B11</f>
        <v>Bracknell Forest</v>
      </c>
      <c r="AG11" s="69">
        <f t="shared" ref="AG11:AG29" si="4">IFERROR(VLOOKUP(AF11,$B$11:$O$29,AG$10,FALSE),"")</f>
        <v>0.94721402214022155</v>
      </c>
      <c r="AH11" s="156">
        <f t="shared" ref="AH11:AH29" si="5">RANK(AG11,$AG$11:$AG$29,0)</f>
        <v>2</v>
      </c>
      <c r="AJ11" s="121"/>
      <c r="AK11" s="480">
        <f t="shared" ref="AK11:AK31" si="6">IF(ISERROR((E11-D11)/D11),"x",(E11-D11)/D11)</f>
        <v>4.1640023652985865E-2</v>
      </c>
      <c r="AL11" s="480">
        <f t="shared" ref="AL11:AL31" si="7">IF(ISERROR((F11-E11)/E11),"x",(F11-E11)/E11)</f>
        <v>0.19973396738841945</v>
      </c>
      <c r="AM11" s="480">
        <f t="shared" ref="AM11:AM31" si="8">IF(ISERROR((G11-F11)/F11),"x",(G11-F11)/F11)</f>
        <v>6.6496856211850114E-2</v>
      </c>
      <c r="AN11" s="480">
        <f t="shared" ref="AN11:AN31" si="9">IF(ISERROR((H11-G11)/G11),"x",(H11-G11)/G11)</f>
        <v>-5.4436265013561328E-3</v>
      </c>
      <c r="AO11" s="480">
        <f t="shared" ref="AO11:AO25" si="10">AVERAGE(AK11:AN11)</f>
        <v>7.5606805187974815E-2</v>
      </c>
    </row>
    <row r="12" spans="1:44" s="61" customFormat="1" ht="15.75" customHeight="1">
      <c r="A12" s="1103">
        <f>VLOOKUP(B12,ReportData!$AQ$4:$AR$25,2,FALSE)</f>
        <v>0</v>
      </c>
      <c r="B12" s="885" t="str">
        <f>ReportData!$K$5</f>
        <v>Brighton &amp; Hove</v>
      </c>
      <c r="C12" s="896"/>
      <c r="D12" s="889">
        <f>IF(Year1_Brighton_and_Hove Year1_16_17_participating_in_EET="","",Year1_Brighton_and_Hove Year1_16_17_participating_in_EET)</f>
        <v>4492.1664626682987</v>
      </c>
      <c r="E12" s="889">
        <f>IF(Year2_Brighton_and_Hove Year2_16_17_participating_in_EET="","",Year2_Brighton_and_Hove Year2_16_17_participating_in_EET)</f>
        <v>4375.834731543624</v>
      </c>
      <c r="F12" s="889">
        <f>IF(Year3_Brighton_and_Hove Year3_16_17_participating_in_EET="","",Year3_Brighton_and_Hove Year3_16_17_participating_in_EET)</f>
        <v>4706.8128363563883</v>
      </c>
      <c r="G12" s="889">
        <f>IF(Year4_Brighton_and_Hove Year4_16_17_participating_in_EET="","",Year4_Brighton_and_Hove Year4_16_17_participating_in_EET)</f>
        <v>4664</v>
      </c>
      <c r="H12" s="890">
        <f>IF(Year5_Brighton_and_Hove Year5_16_17_participating_in_EET="","",Year5_Brighton_and_Hove Year5_16_17_participating_in_EET)</f>
        <v>4840.7939999999999</v>
      </c>
      <c r="I12" s="900">
        <f t="shared" si="0"/>
        <v>1.9637822667079939E-2</v>
      </c>
      <c r="J12" s="896"/>
      <c r="K12" s="1284">
        <f>IF(ISNUMBER(D12),D12/Population!D45,NA())</f>
        <v>0.91676866585067318</v>
      </c>
      <c r="L12" s="1284">
        <f>IF(ISNUMBER(E12),E12/Population!E45,NA())</f>
        <v>0.91736577181208045</v>
      </c>
      <c r="M12" s="1284">
        <f>IF(ISNUMBER(F12),F12/Population!F45,NA())</f>
        <v>0.9376121187960933</v>
      </c>
      <c r="N12" s="1284">
        <f>IF(ISNUMBER(G12),G12/Population!G45,NA())</f>
        <v>0.91919590067008272</v>
      </c>
      <c r="O12" s="1284">
        <f>IF(ISNUMBER(H12),H12/Population!H45,NA())</f>
        <v>0.92788844163312245</v>
      </c>
      <c r="P12" s="903">
        <f t="shared" ref="P12:P25" si="11">IF(ISNUMBER(O12),O12,"")</f>
        <v>0.92788844163312245</v>
      </c>
      <c r="Q12" s="1190">
        <f t="shared" si="1"/>
        <v>7</v>
      </c>
      <c r="R12" s="64"/>
      <c r="S12" s="1285">
        <f t="shared" ref="S12:S31" si="12">((AQ39*$Y$41)+$Z$41)/100</f>
        <v>0.93073618634313282</v>
      </c>
      <c r="T12" s="1286">
        <f t="shared" si="2"/>
        <v>-2.8477447100103692E-3</v>
      </c>
      <c r="U12" s="89"/>
      <c r="V12" s="103"/>
      <c r="W12" s="115"/>
      <c r="X12" s="622" t="str">
        <f t="shared" si="3"/>
        <v>Brighton &amp; Hove</v>
      </c>
      <c r="Y12" s="620">
        <f>IF(ISNUMBER(H12),IDACI!D10,0)</f>
        <v>45576</v>
      </c>
      <c r="Z12" s="621">
        <f>IF(ISNUMBER(H12),IDACI!E10,0)</f>
        <v>6973.1279999999997</v>
      </c>
      <c r="AA12" s="628">
        <f>IF(D12&gt;0,Population!D45,"")</f>
        <v>4900</v>
      </c>
      <c r="AB12" s="155">
        <f>IF(E12&gt;0,Population!E45,"")</f>
        <v>4770</v>
      </c>
      <c r="AC12" s="155">
        <f>IF(F12&gt;0,Population!F45,"")</f>
        <v>5020</v>
      </c>
      <c r="AD12" s="155">
        <f>IF(G12&gt;0,Population!G45,"")</f>
        <v>5074</v>
      </c>
      <c r="AE12" s="629">
        <f>IF(H12&gt;0,Population!H45,"")</f>
        <v>5217</v>
      </c>
      <c r="AF12" s="639" t="s">
        <v>28</v>
      </c>
      <c r="AG12" s="69">
        <f t="shared" si="4"/>
        <v>0.92788844163312245</v>
      </c>
      <c r="AH12" s="156">
        <f t="shared" si="5"/>
        <v>7</v>
      </c>
      <c r="AJ12" s="121"/>
      <c r="AK12" s="480">
        <f t="shared" si="6"/>
        <v>-2.5896576204697201E-2</v>
      </c>
      <c r="AL12" s="480">
        <f t="shared" si="7"/>
        <v>7.5637706887528661E-2</v>
      </c>
      <c r="AM12" s="480">
        <f t="shared" si="8"/>
        <v>-9.0959292083367237E-3</v>
      </c>
      <c r="AN12" s="480">
        <f t="shared" si="9"/>
        <v>3.7906089193825016E-2</v>
      </c>
      <c r="AO12" s="480">
        <f t="shared" si="10"/>
        <v>1.9637822667079939E-2</v>
      </c>
    </row>
    <row r="13" spans="1:44" s="61" customFormat="1" ht="15.75" customHeight="1">
      <c r="A13" s="1103">
        <f>VLOOKUP(B13,ReportData!$AQ$4:$AR$25,2,FALSE)</f>
        <v>0</v>
      </c>
      <c r="B13" s="885" t="str">
        <f>ReportData!$K$6</f>
        <v>Buckinghamshire</v>
      </c>
      <c r="C13" s="896"/>
      <c r="D13" s="889">
        <f>IF(Year1_Buckinghamshire Year1_16_17_participating_in_EET="","",Year1_Buckinghamshire Year1_16_17_participating_in_EET)</f>
        <v>10918</v>
      </c>
      <c r="E13" s="889">
        <f>IF(Year2_Buckinghamshire Year2_16_17_participating_in_EET="","",Year2_Buckinghamshire Year2_16_17_participating_in_EET)</f>
        <v>10767.915639084957</v>
      </c>
      <c r="F13" s="889">
        <f>IF(Year3_Buckinghamshire Year3_16_17_participating_in_EET="","",Year3_Buckinghamshire Year3_16_17_participating_in_EET)</f>
        <v>11538.931310033095</v>
      </c>
      <c r="G13" s="889">
        <f>IF(Year4_Buckinghamshire Year4_16_17_participating_in_EET="","",Year4_Buckinghamshire Year4_16_17_participating_in_EET)</f>
        <v>11598.000000000002</v>
      </c>
      <c r="H13" s="890">
        <f>IF(Year5_Buckinghamshire Year5_16_17_participating_in_EET="","",Year5_Buckinghamshire Year5_16_17_participating_in_EET)</f>
        <v>11444.307000000001</v>
      </c>
      <c r="I13" s="900">
        <f t="shared" si="0"/>
        <v>1.2430986591483034E-2</v>
      </c>
      <c r="J13" s="896"/>
      <c r="K13" s="1284">
        <f>IF(ISNUMBER(D13),D13/Population!D46,NA())</f>
        <v>0.94283246977547497</v>
      </c>
      <c r="L13" s="1284">
        <f>IF(ISNUMBER(E13),E13/Population!E46,NA())</f>
        <v>0.91563908495620383</v>
      </c>
      <c r="M13" s="1284">
        <f>IF(ISNUMBER(F13),F13/Population!F46,NA())</f>
        <v>0.93131003309387361</v>
      </c>
      <c r="N13" s="1284">
        <f>IF(ISNUMBER(G13),G13/Population!G46,NA())</f>
        <v>0.92665388302972207</v>
      </c>
      <c r="O13" s="1284">
        <f>IF(ISNUMBER(H13),H13/Population!H46,NA())</f>
        <v>0.91745286195286202</v>
      </c>
      <c r="P13" s="903">
        <f t="shared" si="11"/>
        <v>0.91745286195286202</v>
      </c>
      <c r="Q13" s="1190">
        <f t="shared" si="1"/>
        <v>8</v>
      </c>
      <c r="R13" s="64"/>
      <c r="S13" s="1285">
        <f t="shared" si="12"/>
        <v>0.94289279219023703</v>
      </c>
      <c r="T13" s="1286">
        <f t="shared" si="2"/>
        <v>-2.5439930237375008E-2</v>
      </c>
      <c r="U13" s="89"/>
      <c r="V13" s="103"/>
      <c r="W13" s="115"/>
      <c r="X13" s="622" t="str">
        <f t="shared" si="3"/>
        <v>Buckinghamshire</v>
      </c>
      <c r="Y13" s="620">
        <f>IF(ISNUMBER(H13),IDACI!D11,0)</f>
        <v>107385</v>
      </c>
      <c r="Z13" s="621">
        <f>IF(ISNUMBER(H13),IDACI!E11,0)</f>
        <v>9127.7250000000004</v>
      </c>
      <c r="AA13" s="628">
        <f>IF(D13&gt;0,Population!D46,"")</f>
        <v>11580</v>
      </c>
      <c r="AB13" s="155">
        <f>IF(E13&gt;0,Population!E46,"")</f>
        <v>11760</v>
      </c>
      <c r="AC13" s="155">
        <f>IF(F13&gt;0,Population!F46,"")</f>
        <v>12390</v>
      </c>
      <c r="AD13" s="155">
        <f>IF(G13&gt;0,Population!G46,"")</f>
        <v>12516</v>
      </c>
      <c r="AE13" s="629">
        <f>IF(H13&gt;0,Population!H46,"")</f>
        <v>12474</v>
      </c>
      <c r="AF13" s="639" t="s">
        <v>8</v>
      </c>
      <c r="AG13" s="69">
        <f t="shared" si="4"/>
        <v>0.91745286195286202</v>
      </c>
      <c r="AH13" s="156">
        <f t="shared" si="5"/>
        <v>8</v>
      </c>
      <c r="AJ13" s="121"/>
      <c r="AK13" s="480">
        <f t="shared" si="6"/>
        <v>-1.3746506770016794E-2</v>
      </c>
      <c r="AL13" s="480">
        <f t="shared" si="7"/>
        <v>7.1603056412286106E-2</v>
      </c>
      <c r="AM13" s="480">
        <f t="shared" si="8"/>
        <v>5.1190780480291961E-3</v>
      </c>
      <c r="AN13" s="480">
        <f t="shared" si="9"/>
        <v>-1.3251681324366365E-2</v>
      </c>
      <c r="AO13" s="480">
        <f t="shared" si="10"/>
        <v>1.2430986591483034E-2</v>
      </c>
    </row>
    <row r="14" spans="1:44" s="61" customFormat="1" ht="15.75" customHeight="1">
      <c r="A14" s="1103">
        <f>VLOOKUP(B14,ReportData!$AQ$4:$AR$25,2,FALSE)</f>
        <v>0</v>
      </c>
      <c r="B14" s="885" t="str">
        <f>ReportData!$K$7</f>
        <v>East Sussex</v>
      </c>
      <c r="C14" s="896"/>
      <c r="D14" s="889">
        <f>IF(Year1_East_Sussex Year1_16_17_participating_in_EET="","",Year1_East_Sussex Year1_16_17_participating_in_EET)</f>
        <v>9483.8998007401078</v>
      </c>
      <c r="E14" s="889">
        <f>IF(Year2_East_Sussex Year2_16_17_participating_in_EET="","",Year2_East_Sussex Year2_16_17_participating_in_EET)</f>
        <v>9311.4048629872632</v>
      </c>
      <c r="F14" s="889">
        <f>IF(Year3_East_Sussex Year3_16_17_participating_in_EET="","",Year3_East_Sussex Year3_16_17_participating_in_EET)</f>
        <v>9763.2420220276763</v>
      </c>
      <c r="G14" s="889">
        <f>IF(Year4_East_Sussex Year4_16_17_participating_in_EET="","",Year4_East_Sussex Year4_16_17_participating_in_EET)</f>
        <v>9478.0000000000018</v>
      </c>
      <c r="H14" s="890">
        <f>IF(Year5_East_Sussex Year5_16_17_participating_in_EET="","",Year5_East_Sussex Year5_16_17_participating_in_EET)</f>
        <v>9923.1540000000005</v>
      </c>
      <c r="I14" s="900">
        <f t="shared" si="0"/>
        <v>1.2022028987942961E-2</v>
      </c>
      <c r="J14" s="896"/>
      <c r="K14" s="1284">
        <f>IF(ISNUMBER(D14),D14/Population!D47,NA())</f>
        <v>0.89980074010816957</v>
      </c>
      <c r="L14" s="1284">
        <f>IF(ISNUMBER(E14),E14/Population!E47,NA())</f>
        <v>0.89878425318409871</v>
      </c>
      <c r="M14" s="1284">
        <f>IF(ISNUMBER(F14),F14/Population!F47,NA())</f>
        <v>0.91932599077473409</v>
      </c>
      <c r="N14" s="1284">
        <f>IF(ISNUMBER(G14),G14/Population!G47,NA())</f>
        <v>0.88811844077961033</v>
      </c>
      <c r="O14" s="1284">
        <f>IF(ISNUMBER(H14),H14/Population!H47,NA())</f>
        <v>0.88260731121586766</v>
      </c>
      <c r="P14" s="903">
        <f t="shared" si="11"/>
        <v>0.88260731121586766</v>
      </c>
      <c r="Q14" s="1190">
        <f t="shared" si="1"/>
        <v>19</v>
      </c>
      <c r="R14" s="64"/>
      <c r="S14" s="1285">
        <f t="shared" si="12"/>
        <v>0.92930599741994402</v>
      </c>
      <c r="T14" s="1286">
        <f t="shared" si="2"/>
        <v>-4.6698686204076356E-2</v>
      </c>
      <c r="U14" s="89"/>
      <c r="V14" s="103"/>
      <c r="W14" s="115"/>
      <c r="X14" s="622" t="str">
        <f t="shared" si="3"/>
        <v>East Sussex</v>
      </c>
      <c r="Y14" s="620">
        <f>IF(ISNUMBER(H14),IDACI!D12,0)</f>
        <v>93130</v>
      </c>
      <c r="Z14" s="621">
        <f>IF(ISNUMBER(H14),IDACI!E12,0)</f>
        <v>14993.93</v>
      </c>
      <c r="AA14" s="628">
        <f>IF(D14&gt;0,Population!D47,"")</f>
        <v>10540</v>
      </c>
      <c r="AB14" s="155">
        <f>IF(E14&gt;0,Population!E47,"")</f>
        <v>10360</v>
      </c>
      <c r="AC14" s="155">
        <f>IF(F14&gt;0,Population!F47,"")</f>
        <v>10620</v>
      </c>
      <c r="AD14" s="155">
        <f>IF(G14&gt;0,Population!G47,"")</f>
        <v>10672</v>
      </c>
      <c r="AE14" s="629">
        <f>IF(H14&gt;0,Population!H47,"")</f>
        <v>11243</v>
      </c>
      <c r="AF14" s="639" t="s">
        <v>4</v>
      </c>
      <c r="AG14" s="69">
        <f t="shared" si="4"/>
        <v>0.88260731121586766</v>
      </c>
      <c r="AH14" s="156">
        <f t="shared" si="5"/>
        <v>19</v>
      </c>
      <c r="AJ14" s="121"/>
      <c r="AK14" s="480">
        <f t="shared" si="6"/>
        <v>-1.8188186439863422E-2</v>
      </c>
      <c r="AL14" s="480">
        <f t="shared" si="7"/>
        <v>4.8525132962101244E-2</v>
      </c>
      <c r="AM14" s="480">
        <f t="shared" si="8"/>
        <v>-2.9215912233263891E-2</v>
      </c>
      <c r="AN14" s="480">
        <f t="shared" si="9"/>
        <v>4.6967081662797908E-2</v>
      </c>
      <c r="AO14" s="480">
        <f t="shared" si="10"/>
        <v>1.2022028987942961E-2</v>
      </c>
    </row>
    <row r="15" spans="1:44" s="61" customFormat="1" ht="15.75" customHeight="1">
      <c r="A15" s="1103">
        <f>VLOOKUP(B15,ReportData!$AQ$4:$AR$25,2,FALSE)</f>
        <v>0</v>
      </c>
      <c r="B15" s="885" t="str">
        <f>ReportData!$K$8</f>
        <v>Hampshire</v>
      </c>
      <c r="C15" s="896"/>
      <c r="D15" s="889">
        <f>IF(Year1_Hampshire Year1_16_17_participating_in_EET="","",Year1_Hampshire Year1_16_17_participating_in_EET)</f>
        <v>24903.074922922628</v>
      </c>
      <c r="E15" s="889">
        <f>IF(Year2_Hampshire Year2_16_17_participating_in_EET="","",Year2_Hampshire Year2_16_17_participating_in_EET)</f>
        <v>25659.292009825171</v>
      </c>
      <c r="F15" s="891">
        <f>IF(Year3_Hampshire Year3_16_17_participating_in_EET="","",Year3_Hampshire Year3_16_17_participating_in_EET)</f>
        <v>26250</v>
      </c>
      <c r="G15" s="891">
        <f>IF(Year4_Hampshire Year4_16_17_participating_in_EET="","",Year4_Hampshire Year4_16_17_participating_in_EET)</f>
        <v>27279.000000000004</v>
      </c>
      <c r="H15" s="890">
        <f>IF(Year5_Hampshire Year5_16_17_participating_in_EET="","",Year5_Hampshire Year5_16_17_participating_in_EET)</f>
        <v>27417.455999999998</v>
      </c>
      <c r="I15" s="900">
        <f t="shared" si="0"/>
        <v>2.4415794588359026E-2</v>
      </c>
      <c r="J15" s="896"/>
      <c r="K15" s="1284">
        <f>IF(ISNUMBER(D15),D15/Population!D48,NA())</f>
        <v>0.92507707737454037</v>
      </c>
      <c r="L15" s="1284">
        <f>IF(ISNUMBER(E15),E15/Population!E48,NA())</f>
        <v>0.92699754370755671</v>
      </c>
      <c r="M15" s="1284">
        <f>IF(ISNUMBER(F15),F15/Population!F48,NA())</f>
        <v>0.91655027932960897</v>
      </c>
      <c r="N15" s="1284">
        <f>IF(ISNUMBER(G15),G15/Population!G48,NA())</f>
        <v>0.92355350915800538</v>
      </c>
      <c r="O15" s="1284">
        <f>IF(ISNUMBER(H15),H15/Population!H48,NA())</f>
        <v>0.91127250972180673</v>
      </c>
      <c r="P15" s="903">
        <f t="shared" si="11"/>
        <v>0.91127250972180673</v>
      </c>
      <c r="Q15" s="1190">
        <f t="shared" si="1"/>
        <v>10</v>
      </c>
      <c r="R15" s="64"/>
      <c r="S15" s="1285">
        <f t="shared" si="12"/>
        <v>0.94003241434385942</v>
      </c>
      <c r="T15" s="1286">
        <f t="shared" si="2"/>
        <v>-2.875990462205269E-2</v>
      </c>
      <c r="U15" s="89"/>
      <c r="V15" s="103"/>
      <c r="W15" s="115"/>
      <c r="X15" s="622" t="str">
        <f t="shared" si="3"/>
        <v>Hampshire</v>
      </c>
      <c r="Y15" s="620">
        <f>IF(ISNUMBER(H15),IDACI!D13,0)</f>
        <v>249483</v>
      </c>
      <c r="Z15" s="621">
        <f>IF(ISNUMBER(H15),IDACI!E13,0)</f>
        <v>25197.783000000007</v>
      </c>
      <c r="AA15" s="628">
        <f>IF(D15&gt;0,Population!D48,"")</f>
        <v>26920</v>
      </c>
      <c r="AB15" s="155">
        <f>IF(E15&gt;0,Population!E48,"")</f>
        <v>27680</v>
      </c>
      <c r="AC15" s="155">
        <f>IF(F15&gt;0,Population!F48,"")</f>
        <v>28640</v>
      </c>
      <c r="AD15" s="155">
        <f>IF(G15&gt;0,Population!G48,"")</f>
        <v>29537</v>
      </c>
      <c r="AE15" s="629">
        <f>IF(H15&gt;0,Population!H48,"")</f>
        <v>30087</v>
      </c>
      <c r="AF15" s="639" t="s">
        <v>6</v>
      </c>
      <c r="AG15" s="69">
        <f t="shared" si="4"/>
        <v>0.91127250972180673</v>
      </c>
      <c r="AH15" s="156">
        <f t="shared" si="5"/>
        <v>10</v>
      </c>
      <c r="AJ15" s="121"/>
      <c r="AK15" s="480">
        <f t="shared" si="6"/>
        <v>3.036641415741255E-2</v>
      </c>
      <c r="AL15" s="480">
        <f t="shared" si="7"/>
        <v>2.3021211573126879E-2</v>
      </c>
      <c r="AM15" s="480">
        <f t="shared" si="8"/>
        <v>3.9200000000000138E-2</v>
      </c>
      <c r="AN15" s="480">
        <f t="shared" si="9"/>
        <v>5.0755526228965378E-3</v>
      </c>
      <c r="AO15" s="480">
        <f t="shared" si="10"/>
        <v>2.4415794588359026E-2</v>
      </c>
    </row>
    <row r="16" spans="1:44" s="61" customFormat="1" ht="15.75" customHeight="1">
      <c r="A16" s="1103">
        <f>VLOOKUP(B16,ReportData!$AQ$4:$AR$25,2,FALSE)</f>
        <v>0</v>
      </c>
      <c r="B16" s="885" t="str">
        <f>ReportData!$K$9</f>
        <v>Isle of Wight</v>
      </c>
      <c r="C16" s="896"/>
      <c r="D16" s="889">
        <f>IF(Year1_Isle_of_Wight Year1_16_17_participating_in_EET="","",Year1_Isle_of_Wight Year1_16_17_participating_in_EET)</f>
        <v>2346.2068965517242</v>
      </c>
      <c r="E16" s="889">
        <f>IF(Year2_Isle_of_Wight Year2_16_17_participating_in_EET="","",Year2_Isle_of_Wight Year2_16_17_participating_in_EET)</f>
        <v>2363.1413612565443</v>
      </c>
      <c r="F16" s="889">
        <f>IF(Year3_Isle_of_Wight Year3_16_17_participating_in_EET="","",Year3_Isle_of_Wight Year3_16_17_participating_in_EET)</f>
        <v>2485.7520786092214</v>
      </c>
      <c r="G16" s="889">
        <f>IF(Year4_Isle_of_Wight Year4_16_17_participating_in_EET="","",Year4_Isle_of_Wight Year4_16_17_participating_in_EET)</f>
        <v>2527.0000000000005</v>
      </c>
      <c r="H16" s="890">
        <f>IF(Year5_Isle_of_Wight Year5_16_17_participating_in_EET="","",Year5_Isle_of_Wight Year5_16_17_participating_in_EET)</f>
        <v>2543.8560000000002</v>
      </c>
      <c r="I16" s="900">
        <f t="shared" si="0"/>
        <v>2.0591633866110778E-2</v>
      </c>
      <c r="J16" s="896"/>
      <c r="K16" s="1284">
        <f>IF(ISNUMBER(D16),D16/Population!D49,NA())</f>
        <v>0.93103448275862066</v>
      </c>
      <c r="L16" s="1284">
        <f>IF(ISNUMBER(E16),E16/Population!E49,NA())</f>
        <v>0.95287958115183236</v>
      </c>
      <c r="M16" s="1284">
        <f>IF(ISNUMBER(F16),F16/Population!F49,NA())</f>
        <v>0.93801965230536655</v>
      </c>
      <c r="N16" s="1284">
        <f>IF(ISNUMBER(G16),G16/Population!G49,NA())</f>
        <v>0.92462495426271518</v>
      </c>
      <c r="O16" s="1284">
        <f>IF(ISNUMBER(H16),H16/Population!H49,NA())</f>
        <v>0.90335795454545464</v>
      </c>
      <c r="P16" s="903">
        <f t="shared" si="11"/>
        <v>0.90335795454545464</v>
      </c>
      <c r="Q16" s="1190">
        <f t="shared" si="1"/>
        <v>13</v>
      </c>
      <c r="R16" s="64"/>
      <c r="S16" s="1285">
        <f t="shared" si="12"/>
        <v>0.92590929872737082</v>
      </c>
      <c r="T16" s="1286">
        <f t="shared" si="2"/>
        <v>-2.2551344181916178E-2</v>
      </c>
      <c r="U16" s="89"/>
      <c r="V16" s="103"/>
      <c r="W16" s="115"/>
      <c r="X16" s="622" t="str">
        <f t="shared" si="3"/>
        <v>Isle of Wight</v>
      </c>
      <c r="Y16" s="620">
        <f>IF(ISNUMBER(H16),IDACI!D14,0)</f>
        <v>22123</v>
      </c>
      <c r="Z16" s="621">
        <f>IF(ISNUMBER(H16),IDACI!E14,0)</f>
        <v>3982.14</v>
      </c>
      <c r="AA16" s="628">
        <f>IF(D16&gt;0,Population!D49,"")</f>
        <v>2520</v>
      </c>
      <c r="AB16" s="155">
        <f>IF(E16&gt;0,Population!E49,"")</f>
        <v>2480</v>
      </c>
      <c r="AC16" s="155">
        <f>IF(F16&gt;0,Population!F49,"")</f>
        <v>2650</v>
      </c>
      <c r="AD16" s="155">
        <f>IF(G16&gt;0,Population!G49,"")</f>
        <v>2733</v>
      </c>
      <c r="AE16" s="629">
        <f>IF(H16&gt;0,Population!H49,"")</f>
        <v>2816</v>
      </c>
      <c r="AF16" s="639" t="s">
        <v>1</v>
      </c>
      <c r="AG16" s="69">
        <f t="shared" si="4"/>
        <v>0.90335795454545464</v>
      </c>
      <c r="AH16" s="156">
        <f t="shared" si="5"/>
        <v>13</v>
      </c>
      <c r="AJ16" s="121"/>
      <c r="AK16" s="480">
        <f t="shared" si="6"/>
        <v>7.2178053562578443E-3</v>
      </c>
      <c r="AL16" s="480">
        <f t="shared" si="7"/>
        <v>5.1884630925118129E-2</v>
      </c>
      <c r="AM16" s="480">
        <f t="shared" si="8"/>
        <v>1.6593739072263917E-2</v>
      </c>
      <c r="AN16" s="480">
        <f t="shared" si="9"/>
        <v>6.6703601108032305E-3</v>
      </c>
      <c r="AO16" s="480">
        <f t="shared" si="10"/>
        <v>2.0591633866110778E-2</v>
      </c>
      <c r="AR16" s="61" t="s">
        <v>95</v>
      </c>
    </row>
    <row r="17" spans="1:41" s="61" customFormat="1" ht="15.75" customHeight="1">
      <c r="A17" s="1103">
        <f>VLOOKUP(B17,ReportData!$AQ$4:$AR$25,2,FALSE)</f>
        <v>0</v>
      </c>
      <c r="B17" s="885" t="str">
        <f>ReportData!$K$10</f>
        <v>Kent</v>
      </c>
      <c r="C17" s="896"/>
      <c r="D17" s="889">
        <f>IF(Year1_Kent Year1_16_17_participating_in_EET="","",Year1_Kent Year1_16_17_participating_in_EET)</f>
        <v>29276</v>
      </c>
      <c r="E17" s="889">
        <f>IF(Year2_Kent Year2_16_17_participating_in_EET="","",Year2_Kent Year2_16_17_participating_in_EET)</f>
        <v>28842.425969520504</v>
      </c>
      <c r="F17" s="889">
        <f>IF(Year3_Kent Year3_16_17_participating_in_EET="","",Year3_Kent Year3_16_17_participating_in_EET)</f>
        <v>30493.536378515102</v>
      </c>
      <c r="G17" s="889">
        <f>IF(Year4_Kent Year4_16_17_participating_in_EET="","",Year4_Kent Year4_16_17_participating_in_EET)</f>
        <v>30563</v>
      </c>
      <c r="H17" s="890">
        <f>IF(Year5_Kent Year5_16_17_participating_in_EET="","",Year5_Kent Year5_16_17_participating_in_EET)</f>
        <v>30875.376</v>
      </c>
      <c r="I17" s="900">
        <f t="shared" si="0"/>
        <v>1.3733678936459232E-2</v>
      </c>
      <c r="J17" s="896"/>
      <c r="K17" s="1284">
        <f>IF(ISNUMBER(D17),D17/Population!D50,NA())</f>
        <v>0.89858809085328417</v>
      </c>
      <c r="L17" s="1284">
        <f>IF(ISNUMBER(E17),E17/Population!E50,NA())</f>
        <v>0.89350761987362159</v>
      </c>
      <c r="M17" s="1284">
        <f>IF(ISNUMBER(F17),F17/Population!F50,NA())</f>
        <v>0.90727570302038385</v>
      </c>
      <c r="N17" s="1284">
        <f>IF(ISNUMBER(G17),G17/Population!G50,NA())</f>
        <v>0.91404731285701468</v>
      </c>
      <c r="O17" s="1284">
        <f>IF(ISNUMBER(H17),H17/Population!H50,NA())</f>
        <v>0.90326417412673332</v>
      </c>
      <c r="P17" s="903">
        <f t="shared" si="11"/>
        <v>0.90326417412673332</v>
      </c>
      <c r="Q17" s="1190">
        <f t="shared" si="1"/>
        <v>14</v>
      </c>
      <c r="R17" s="64"/>
      <c r="S17" s="1285">
        <f t="shared" si="12"/>
        <v>0.92984231826613983</v>
      </c>
      <c r="T17" s="1286">
        <f t="shared" si="2"/>
        <v>-2.6578144139406512E-2</v>
      </c>
      <c r="U17" s="89"/>
      <c r="V17" s="103"/>
      <c r="W17" s="115"/>
      <c r="X17" s="622" t="str">
        <f t="shared" si="3"/>
        <v>Kent</v>
      </c>
      <c r="Y17" s="620">
        <f>IF(ISNUMBER(H17),IDACI!D15,0)</f>
        <v>291866</v>
      </c>
      <c r="Z17" s="621">
        <f>IF(ISNUMBER(H17),IDACI!E15,0)</f>
        <v>46114.828000000001</v>
      </c>
      <c r="AA17" s="628">
        <f>IF(D17&gt;0,Population!D50,"")</f>
        <v>32580</v>
      </c>
      <c r="AB17" s="155">
        <f>IF(E17&gt;0,Population!E50,"")</f>
        <v>32280</v>
      </c>
      <c r="AC17" s="155">
        <f>IF(F17&gt;0,Population!F50,"")</f>
        <v>33610</v>
      </c>
      <c r="AD17" s="155">
        <f>IF(G17&gt;0,Population!G50,"")</f>
        <v>33437</v>
      </c>
      <c r="AE17" s="629">
        <f>IF(H17&gt;0,Population!H50,"")</f>
        <v>34182</v>
      </c>
      <c r="AF17" s="639" t="s">
        <v>9</v>
      </c>
      <c r="AG17" s="69">
        <f t="shared" si="4"/>
        <v>0.90326417412673332</v>
      </c>
      <c r="AH17" s="156">
        <f t="shared" si="5"/>
        <v>14</v>
      </c>
      <c r="AJ17" s="121"/>
      <c r="AK17" s="480">
        <f t="shared" si="6"/>
        <v>-1.4809879439796976E-2</v>
      </c>
      <c r="AL17" s="480">
        <f t="shared" si="7"/>
        <v>5.7245892240112686E-2</v>
      </c>
      <c r="AM17" s="480">
        <f t="shared" si="8"/>
        <v>2.2779785401945058E-3</v>
      </c>
      <c r="AN17" s="480">
        <f t="shared" si="9"/>
        <v>1.0220724405326708E-2</v>
      </c>
      <c r="AO17" s="480">
        <f t="shared" si="10"/>
        <v>1.3733678936459232E-2</v>
      </c>
    </row>
    <row r="18" spans="1:41" s="61" customFormat="1" ht="15.75" customHeight="1">
      <c r="A18" s="1103">
        <f>VLOOKUP(B18,ReportData!$AQ$4:$AR$25,2,FALSE)</f>
        <v>0</v>
      </c>
      <c r="B18" s="885" t="str">
        <f>ReportData!$K$11</f>
        <v>Medway</v>
      </c>
      <c r="C18" s="896"/>
      <c r="D18" s="889">
        <f>IF(Year1_Medway Year1_16_17_participating_in_EET="","",Year1_Medway Year1_16_17_participating_in_EET)</f>
        <v>5814.3489174772512</v>
      </c>
      <c r="E18" s="889">
        <f>IF(Year2_Medway Year2_16_17_participating_in_EET="","",Year2_Medway Year2_16_17_participating_in_EET)</f>
        <v>5495</v>
      </c>
      <c r="F18" s="889">
        <f>IF(Year3_Medway Year3_16_17_participating_in_EET="","",Year3_Medway Year3_16_17_participating_in_EET)</f>
        <v>5907.3365354818716</v>
      </c>
      <c r="G18" s="889">
        <f>IF(Year4_Medway Year4_16_17_participating_in_EET="","",Year4_Medway Year4_16_17_participating_in_EET)</f>
        <v>5782</v>
      </c>
      <c r="H18" s="890">
        <f>IF(Year5_Medway Year5_16_17_participating_in_EET="","",Year5_Medway Year5_16_17_participating_in_EET)</f>
        <v>6245.6869999999999</v>
      </c>
      <c r="I18" s="900">
        <f t="shared" si="0"/>
        <v>1.9773008877310521E-2</v>
      </c>
      <c r="J18" s="896"/>
      <c r="K18" s="1284">
        <f>IF(ISNUMBER(D18),D18/Population!D51,NA())</f>
        <v>0.91277063068716657</v>
      </c>
      <c r="L18" s="1284">
        <f>IF(ISNUMBER(E18),E18/Population!E51,NA())</f>
        <v>0.87360890302066774</v>
      </c>
      <c r="M18" s="1284">
        <f>IF(ISNUMBER(F18),F18/Population!F51,NA())</f>
        <v>0.91586612953207314</v>
      </c>
      <c r="N18" s="1284">
        <f>IF(ISNUMBER(G18),G18/Population!G51,NA())</f>
        <v>0.87380988363306633</v>
      </c>
      <c r="O18" s="1284">
        <f>IF(ISNUMBER(H18),H18/Population!H51,NA())</f>
        <v>0.90451658218682118</v>
      </c>
      <c r="P18" s="903">
        <f t="shared" si="11"/>
        <v>0.90451658218682118</v>
      </c>
      <c r="Q18" s="1190">
        <f t="shared" si="1"/>
        <v>12</v>
      </c>
      <c r="R18" s="64"/>
      <c r="S18" s="1285">
        <f t="shared" si="12"/>
        <v>0.92430033618878338</v>
      </c>
      <c r="T18" s="1286">
        <f t="shared" si="2"/>
        <v>-1.9783754001962195E-2</v>
      </c>
      <c r="U18" s="89"/>
      <c r="V18" s="103"/>
      <c r="W18" s="115"/>
      <c r="X18" s="622" t="str">
        <f t="shared" si="3"/>
        <v>Medway</v>
      </c>
      <c r="Y18" s="620">
        <f>IF(ISNUMBER(H18),IDACI!D16,0)</f>
        <v>55993</v>
      </c>
      <c r="Z18" s="621">
        <f>IF(ISNUMBER(H18),IDACI!E16,0)</f>
        <v>10582.676999999998</v>
      </c>
      <c r="AA18" s="628">
        <f>IF(D18&gt;0,Population!D51,"")</f>
        <v>6370</v>
      </c>
      <c r="AB18" s="155">
        <f>IF(E18&gt;0,Population!E51,"")</f>
        <v>6290</v>
      </c>
      <c r="AC18" s="155">
        <f>IF(F18&gt;0,Population!F51,"")</f>
        <v>6450</v>
      </c>
      <c r="AD18" s="155">
        <f>IF(G18&gt;0,Population!G51,"")</f>
        <v>6617</v>
      </c>
      <c r="AE18" s="629">
        <f>IF(H18&gt;0,Population!H51,"")</f>
        <v>6905</v>
      </c>
      <c r="AF18" s="639" t="s">
        <v>2</v>
      </c>
      <c r="AG18" s="69">
        <f t="shared" si="4"/>
        <v>0.90451658218682118</v>
      </c>
      <c r="AH18" s="156">
        <f t="shared" si="5"/>
        <v>12</v>
      </c>
      <c r="AJ18" s="121"/>
      <c r="AK18" s="480">
        <f t="shared" si="6"/>
        <v>-5.4924278196880449E-2</v>
      </c>
      <c r="AL18" s="480">
        <f t="shared" si="7"/>
        <v>7.5038495993061255E-2</v>
      </c>
      <c r="AM18" s="480">
        <f t="shared" si="8"/>
        <v>-2.1217097541176001E-2</v>
      </c>
      <c r="AN18" s="480">
        <f t="shared" si="9"/>
        <v>8.0194915254237276E-2</v>
      </c>
      <c r="AO18" s="480">
        <f t="shared" si="10"/>
        <v>1.9773008877310521E-2</v>
      </c>
    </row>
    <row r="19" spans="1:41" s="61" customFormat="1" ht="15.75" customHeight="1">
      <c r="A19" s="1103">
        <f>VLOOKUP(B19,ReportData!$AQ$4:$AR$25,2,FALSE)</f>
        <v>0</v>
      </c>
      <c r="B19" s="885" t="str">
        <f>ReportData!$K$12</f>
        <v>Milton Keynes</v>
      </c>
      <c r="C19" s="896"/>
      <c r="D19" s="889">
        <f>IF(Year1_Milton_Keynes Year1_16_17_participating_in_EET="","",Year1_Milton_Keynes Year1_16_17_participating_in_EET)</f>
        <v>5589.7626504038244</v>
      </c>
      <c r="E19" s="889">
        <f>IF(Year2_Milton_Keynes Year2_16_17_participating_in_EET="","",Year2_Milton_Keynes Year2_16_17_participating_in_EET)</f>
        <v>5690.7315511445495</v>
      </c>
      <c r="F19" s="889">
        <f>IF(Year3_Milton_Keynes Year3_16_17_participating_in_EET="","",Year3_Milton_Keynes Year3_16_17_participating_in_EET)</f>
        <v>6120.933069065406</v>
      </c>
      <c r="G19" s="889">
        <f>IF(Year4_Milton_Keynes Year4_16_17_participating_in_EET="","",Year4_Milton_Keynes Year4_16_17_participating_in_EET)</f>
        <v>6315</v>
      </c>
      <c r="H19" s="890">
        <f>IF(Year5_Milton_Keynes Year5_16_17_participating_in_EET="","",Year5_Milton_Keynes Year5_16_17_participating_in_EET)</f>
        <v>6281.3760000000002</v>
      </c>
      <c r="I19" s="900">
        <f t="shared" si="0"/>
        <v>3.0010259959117193E-2</v>
      </c>
      <c r="J19" s="896"/>
      <c r="K19" s="1284">
        <f>IF(ISNUMBER(D19),D19/Population!D52,NA())</f>
        <v>0.92088346794132203</v>
      </c>
      <c r="L19" s="1284">
        <f>IF(ISNUMBER(E19),E19/Population!E52,NA())</f>
        <v>0.91051704818312795</v>
      </c>
      <c r="M19" s="1284">
        <f>IF(ISNUMBER(F19),F19/Population!F52,NA())</f>
        <v>0.93306906540631185</v>
      </c>
      <c r="N19" s="1284">
        <f>IF(ISNUMBER(G19),G19/Population!G52,NA())</f>
        <v>0.93987200476261346</v>
      </c>
      <c r="O19" s="1284">
        <f>IF(ISNUMBER(H19),H19/Population!H52,NA())</f>
        <v>0.93990363609157568</v>
      </c>
      <c r="P19" s="903">
        <f t="shared" si="11"/>
        <v>0.93990363609157568</v>
      </c>
      <c r="Q19" s="1190">
        <f t="shared" si="1"/>
        <v>4</v>
      </c>
      <c r="R19" s="64"/>
      <c r="S19" s="1285">
        <f t="shared" si="12"/>
        <v>0.93127250718932852</v>
      </c>
      <c r="T19" s="1286">
        <f t="shared" si="2"/>
        <v>8.6311289022471538E-3</v>
      </c>
      <c r="U19" s="89"/>
      <c r="V19" s="103"/>
      <c r="W19" s="115"/>
      <c r="X19" s="622" t="str">
        <f t="shared" si="3"/>
        <v>Milton Keynes</v>
      </c>
      <c r="Y19" s="620">
        <f>IF(ISNUMBER(H19),IDACI!D17,0)</f>
        <v>59903</v>
      </c>
      <c r="Z19" s="621">
        <f>IF(ISNUMBER(H19),IDACI!E17,0)</f>
        <v>8985.4499999999989</v>
      </c>
      <c r="AA19" s="628">
        <f>IF(D19&gt;0,Population!D52,"")</f>
        <v>6070</v>
      </c>
      <c r="AB19" s="155">
        <f>IF(E19&gt;0,Population!E52,"")</f>
        <v>6250</v>
      </c>
      <c r="AC19" s="155">
        <f>IF(F19&gt;0,Population!F52,"")</f>
        <v>6560</v>
      </c>
      <c r="AD19" s="155">
        <f>IF(G19&gt;0,Population!G52,"")</f>
        <v>6719</v>
      </c>
      <c r="AE19" s="629">
        <f>IF(H19&gt;0,Population!H52,"")</f>
        <v>6683</v>
      </c>
      <c r="AF19" s="639" t="s">
        <v>10</v>
      </c>
      <c r="AG19" s="69">
        <f t="shared" si="4"/>
        <v>0.93990363609157568</v>
      </c>
      <c r="AH19" s="156">
        <f t="shared" si="5"/>
        <v>4</v>
      </c>
      <c r="AJ19" s="121"/>
      <c r="AK19" s="480">
        <f t="shared" si="6"/>
        <v>1.8063182116226477E-2</v>
      </c>
      <c r="AL19" s="480">
        <f t="shared" si="7"/>
        <v>7.5596874330565139E-2</v>
      </c>
      <c r="AM19" s="480">
        <f t="shared" si="8"/>
        <v>3.1705448947871882E-2</v>
      </c>
      <c r="AN19" s="480">
        <f t="shared" si="9"/>
        <v>-5.3244655581947417E-3</v>
      </c>
      <c r="AO19" s="480">
        <f t="shared" si="10"/>
        <v>3.0010259959117193E-2</v>
      </c>
    </row>
    <row r="20" spans="1:41" s="61" customFormat="1" ht="15.75" customHeight="1">
      <c r="A20" s="1103">
        <f>VLOOKUP(B20,ReportData!$AQ$4:$AR$25,2,FALSE)</f>
        <v>0</v>
      </c>
      <c r="B20" s="885" t="str">
        <f>ReportData!$K$13</f>
        <v>Oxfordshire</v>
      </c>
      <c r="C20" s="896"/>
      <c r="D20" s="889">
        <f>IF(Year1_Oxfordshire Year1_16_17_participating_in_EET="","",Year1_Oxfordshire Year1_16_17_participating_in_EET)</f>
        <v>11740.943047634348</v>
      </c>
      <c r="E20" s="889">
        <f>IF(Year2_Oxfordshire Year2_16_17_participating_in_EET="","",Year2_Oxfordshire Year2_16_17_participating_in_EET)</f>
        <v>12123.108719388551</v>
      </c>
      <c r="F20" s="889">
        <f>IF(Year3_Oxfordshire Year3_16_17_participating_in_EET="","",Year3_Oxfordshire Year3_16_17_participating_in_EET)</f>
        <v>12526.70574971815</v>
      </c>
      <c r="G20" s="889">
        <f>IF(Year4_Oxfordshire Year4_16_17_participating_in_EET="","",Year4_Oxfordshire Year4_16_17_participating_in_EET)</f>
        <v>12606.999999999998</v>
      </c>
      <c r="H20" s="890">
        <f>IF(Year5_Oxfordshire Year5_16_17_participating_in_EET="","",Year5_Oxfordshire Year5_16_17_participating_in_EET)</f>
        <v>13073.111999999999</v>
      </c>
      <c r="I20" s="900">
        <f t="shared" si="0"/>
        <v>2.7305923680527075E-2</v>
      </c>
      <c r="J20" s="896"/>
      <c r="K20" s="1284">
        <f>IF(ISNUMBER(D20),D20/Population!D53,NA())</f>
        <v>0.94304763434814043</v>
      </c>
      <c r="L20" s="1284">
        <f>IF(ISNUMBER(E20),E20/Population!E53,NA())</f>
        <v>0.94564030572453595</v>
      </c>
      <c r="M20" s="1284">
        <f>IF(ISNUMBER(F20),F20/Population!F53,NA())</f>
        <v>0.9411499436302142</v>
      </c>
      <c r="N20" s="1284">
        <f>IF(ISNUMBER(G20),G20/Population!G53,NA())</f>
        <v>0.94392033542976927</v>
      </c>
      <c r="O20" s="1284">
        <f>IF(ISNUMBER(H20),H20/Population!H53,NA())</f>
        <v>0.93606701990548469</v>
      </c>
      <c r="P20" s="903">
        <f t="shared" si="11"/>
        <v>0.93606701990548469</v>
      </c>
      <c r="Q20" s="1190">
        <f t="shared" si="1"/>
        <v>6</v>
      </c>
      <c r="R20" s="64"/>
      <c r="S20" s="1285">
        <f t="shared" si="12"/>
        <v>0.94003241434385942</v>
      </c>
      <c r="T20" s="1286">
        <f t="shared" si="2"/>
        <v>-3.9653944383747364E-3</v>
      </c>
      <c r="U20" s="89"/>
      <c r="V20" s="103"/>
      <c r="W20" s="115"/>
      <c r="X20" s="622" t="str">
        <f t="shared" si="3"/>
        <v>Oxfordshire</v>
      </c>
      <c r="Y20" s="620">
        <f>IF(ISNUMBER(H20),IDACI!D18,0)</f>
        <v>126119</v>
      </c>
      <c r="Z20" s="621">
        <f>IF(ISNUMBER(H20),IDACI!E18,0)</f>
        <v>12738.019000000002</v>
      </c>
      <c r="AA20" s="628">
        <f>IF(D20&gt;0,Population!D53,"")</f>
        <v>12450</v>
      </c>
      <c r="AB20" s="155">
        <f>IF(E20&gt;0,Population!E53,"")</f>
        <v>12820</v>
      </c>
      <c r="AC20" s="155">
        <f>IF(F20&gt;0,Population!F53,"")</f>
        <v>13310</v>
      </c>
      <c r="AD20" s="155">
        <f>IF(G20&gt;0,Population!G53,"")</f>
        <v>13356</v>
      </c>
      <c r="AE20" s="629">
        <f>IF(H20&gt;0,Population!H53,"")</f>
        <v>13966</v>
      </c>
      <c r="AF20" s="639" t="s">
        <v>11</v>
      </c>
      <c r="AG20" s="69">
        <f t="shared" si="4"/>
        <v>0.93606701990548469</v>
      </c>
      <c r="AH20" s="156">
        <f t="shared" si="5"/>
        <v>6</v>
      </c>
      <c r="AJ20" s="121"/>
      <c r="AK20" s="480">
        <f t="shared" si="6"/>
        <v>3.2549827573791386E-2</v>
      </c>
      <c r="AL20" s="480">
        <f t="shared" si="7"/>
        <v>3.3291545895660003E-2</v>
      </c>
      <c r="AM20" s="480">
        <f t="shared" si="8"/>
        <v>6.4098456438680534E-3</v>
      </c>
      <c r="AN20" s="480">
        <f t="shared" si="9"/>
        <v>3.697247560878885E-2</v>
      </c>
      <c r="AO20" s="480">
        <f t="shared" si="10"/>
        <v>2.7305923680527075E-2</v>
      </c>
    </row>
    <row r="21" spans="1:41" s="61" customFormat="1" ht="15.75" customHeight="1">
      <c r="A21" s="1103">
        <f>VLOOKUP(B21,ReportData!$AQ$4:$AR$25,2,FALSE)</f>
        <v>0</v>
      </c>
      <c r="B21" s="885" t="str">
        <f>ReportData!$K$14</f>
        <v>Portsmouth</v>
      </c>
      <c r="C21" s="896"/>
      <c r="D21" s="889">
        <f>IF(Year1_Portsmouth Year1_16_17_participating_in_EET="","",Year1_Portsmouth Year1_16_17_participating_in_EET)</f>
        <v>3421.8396987627757</v>
      </c>
      <c r="E21" s="889">
        <f>IF(Year2_Portsmouth Year2_16_17_participating_in_EET="","",Year2_Portsmouth Year2_16_17_participating_in_EET)</f>
        <v>3615.3573225968798</v>
      </c>
      <c r="F21" s="889">
        <f>IF(Year3_Portsmouth Year3_16_17_participating_in_EET="","",Year3_Portsmouth Year3_16_17_participating_in_EET)</f>
        <v>3745.0843314593008</v>
      </c>
      <c r="G21" s="889">
        <f>IF(Year4_Portsmouth Year4_16_17_participating_in_EET="","",Year4_Portsmouth Year4_16_17_participating_in_EET)</f>
        <v>3792.9999999999995</v>
      </c>
      <c r="H21" s="890">
        <f>IF(Year5_Portsmouth Year5_16_17_participating_in_EET="","",Year5_Portsmouth Year5_16_17_participating_in_EET)</f>
        <v>3858.0150000000003</v>
      </c>
      <c r="I21" s="900">
        <f t="shared" si="0"/>
        <v>3.0592739266348389E-2</v>
      </c>
      <c r="J21" s="896"/>
      <c r="K21" s="1284">
        <f>IF(ISNUMBER(D21),D21/Population!D54,NA())</f>
        <v>0.91984938138784289</v>
      </c>
      <c r="L21" s="1284">
        <f>IF(ISNUMBER(E21),E21/Population!E54,NA())</f>
        <v>0.9106693507800705</v>
      </c>
      <c r="M21" s="1284">
        <f>IF(ISNUMBER(F21),F21/Population!F54,NA())</f>
        <v>0.91566854069909553</v>
      </c>
      <c r="N21" s="1284">
        <f>IF(ISNUMBER(G21),G21/Population!G54,NA())</f>
        <v>0.90741626794258368</v>
      </c>
      <c r="O21" s="1284">
        <f>IF(ISNUMBER(H21),H21/Population!H54,NA())</f>
        <v>0.89658726469904726</v>
      </c>
      <c r="P21" s="903">
        <f t="shared" si="11"/>
        <v>0.89658726469904726</v>
      </c>
      <c r="Q21" s="1190">
        <f t="shared" si="1"/>
        <v>15</v>
      </c>
      <c r="R21" s="64"/>
      <c r="S21" s="1285">
        <f t="shared" si="12"/>
        <v>0.92197627918860181</v>
      </c>
      <c r="T21" s="1286">
        <f t="shared" si="2"/>
        <v>-2.5389014489554551E-2</v>
      </c>
      <c r="U21" s="89"/>
      <c r="V21" s="103"/>
      <c r="W21" s="115"/>
      <c r="X21" s="622" t="str">
        <f t="shared" si="3"/>
        <v>Portsmouth</v>
      </c>
      <c r="Y21" s="620">
        <f>IF(ISNUMBER(H21),IDACI!D19,0)</f>
        <v>39325</v>
      </c>
      <c r="Z21" s="621">
        <f>IF(ISNUMBER(H21),IDACI!E19,0)</f>
        <v>7943.6500000000015</v>
      </c>
      <c r="AA21" s="628">
        <f>IF(D21&gt;0,Population!D54,"")</f>
        <v>3720</v>
      </c>
      <c r="AB21" s="155">
        <f>IF(E21&gt;0,Population!E54,"")</f>
        <v>3970</v>
      </c>
      <c r="AC21" s="155">
        <f>IF(F21&gt;0,Population!F54,"")</f>
        <v>4090</v>
      </c>
      <c r="AD21" s="155">
        <f>IF(G21&gt;0,Population!G54,"")</f>
        <v>4180</v>
      </c>
      <c r="AE21" s="629">
        <f>IF(H21&gt;0,Population!H54,"")</f>
        <v>4303</v>
      </c>
      <c r="AF21" s="639" t="s">
        <v>12</v>
      </c>
      <c r="AG21" s="69">
        <f t="shared" si="4"/>
        <v>0.89658726469904726</v>
      </c>
      <c r="AH21" s="156">
        <f t="shared" si="5"/>
        <v>15</v>
      </c>
      <c r="AJ21" s="121"/>
      <c r="AK21" s="480">
        <f t="shared" si="6"/>
        <v>5.6553678976859652E-2</v>
      </c>
      <c r="AL21" s="480">
        <f t="shared" si="7"/>
        <v>3.5882209498794199E-2</v>
      </c>
      <c r="AM21" s="480">
        <f t="shared" si="8"/>
        <v>1.2794282931948847E-2</v>
      </c>
      <c r="AN21" s="480">
        <f t="shared" si="9"/>
        <v>1.7140785657790876E-2</v>
      </c>
      <c r="AO21" s="480">
        <f t="shared" si="10"/>
        <v>3.0592739266348389E-2</v>
      </c>
    </row>
    <row r="22" spans="1:41" s="61" customFormat="1" ht="15.75" customHeight="1">
      <c r="A22" s="1103">
        <f>VLOOKUP(B22,ReportData!$AQ$4:$AR$25,2,FALSE)</f>
        <v>0</v>
      </c>
      <c r="B22" s="885" t="str">
        <f>ReportData!$K$15</f>
        <v>Reading</v>
      </c>
      <c r="C22" s="896"/>
      <c r="D22" s="889">
        <f>IF(Year1_Reading Year1_16_17_participating_in_EET="","",Year1_Reading Year1_16_17_participating_in_EET)</f>
        <v>2627.5994513031551</v>
      </c>
      <c r="E22" s="889">
        <f>IF(Year2_Reading Year2_16_17_participating_in_EET="","",Year2_Reading Year2_16_17_participating_in_EET)</f>
        <v>2707.1036080767958</v>
      </c>
      <c r="F22" s="889">
        <f>IF(Year3_Reading Year3_16_17_participating_in_EET="","",Year3_Reading Year3_16_17_participating_in_EET)</f>
        <v>2919.9182132746146</v>
      </c>
      <c r="G22" s="889">
        <f>IF(Year4_Reading Year4_16_17_participating_in_EET="","",Year4_Reading Year4_16_17_participating_in_EET)</f>
        <v>3158.0000000000005</v>
      </c>
      <c r="H22" s="890">
        <f>IF(Year5_Reading Year5_16_17_participating_in_EET="","",Year5_Reading Year5_16_17_participating_in_EET)</f>
        <v>3140.6099999999997</v>
      </c>
      <c r="I22" s="900">
        <f t="shared" si="0"/>
        <v>4.6225305607590042E-2</v>
      </c>
      <c r="J22" s="896"/>
      <c r="K22" s="1284">
        <f>IF(ISNUMBER(D22),D22/Population!D55,NA())</f>
        <v>0.89986282578875176</v>
      </c>
      <c r="L22" s="1284">
        <f>IF(ISNUMBER(E22),E22/Population!E55,NA())</f>
        <v>0.896391923204237</v>
      </c>
      <c r="M22" s="1284">
        <f>IF(ISNUMBER(F22),F22/Population!F55,NA())</f>
        <v>0.91821327461465863</v>
      </c>
      <c r="N22" s="1284">
        <f>IF(ISNUMBER(G22),G22/Population!G55,NA())</f>
        <v>0.93625852356952277</v>
      </c>
      <c r="O22" s="1284">
        <f>IF(ISNUMBER(H22),H22/Population!H55,NA())</f>
        <v>0.90638095238095229</v>
      </c>
      <c r="P22" s="903">
        <f t="shared" si="11"/>
        <v>0.90638095238095229</v>
      </c>
      <c r="Q22" s="1190">
        <f t="shared" si="1"/>
        <v>11</v>
      </c>
      <c r="R22" s="64"/>
      <c r="S22" s="1285">
        <f t="shared" si="12"/>
        <v>0.92948477103534255</v>
      </c>
      <c r="T22" s="1286">
        <f t="shared" si="2"/>
        <v>-2.3103818654390262E-2</v>
      </c>
      <c r="U22" s="89"/>
      <c r="V22" s="103"/>
      <c r="W22" s="115"/>
      <c r="X22" s="622" t="str">
        <f t="shared" si="3"/>
        <v>Reading</v>
      </c>
      <c r="Y22" s="620">
        <f>IF(ISNUMBER(H22),IDACI!D20,0)</f>
        <v>33203</v>
      </c>
      <c r="Z22" s="621">
        <f>IF(ISNUMBER(H22),IDACI!E20,0)</f>
        <v>5312.4800000000005</v>
      </c>
      <c r="AA22" s="628">
        <f>IF(D22&gt;0,Population!D55,"")</f>
        <v>2920</v>
      </c>
      <c r="AB22" s="155">
        <f>IF(E22&gt;0,Population!E55,"")</f>
        <v>3020</v>
      </c>
      <c r="AC22" s="155">
        <f>IF(F22&gt;0,Population!F55,"")</f>
        <v>3180</v>
      </c>
      <c r="AD22" s="155">
        <f>IF(G22&gt;0,Population!G55,"")</f>
        <v>3373</v>
      </c>
      <c r="AE22" s="629">
        <f>IF(H22&gt;0,Population!H55,"")</f>
        <v>3465</v>
      </c>
      <c r="AF22" s="639" t="s">
        <v>3</v>
      </c>
      <c r="AG22" s="69">
        <f t="shared" si="4"/>
        <v>0.90638095238095229</v>
      </c>
      <c r="AH22" s="156">
        <f t="shared" si="5"/>
        <v>11</v>
      </c>
      <c r="AJ22" s="121"/>
      <c r="AK22" s="480">
        <f t="shared" si="6"/>
        <v>3.0257334973262655E-2</v>
      </c>
      <c r="AL22" s="480">
        <f t="shared" si="7"/>
        <v>7.8613394981586385E-2</v>
      </c>
      <c r="AM22" s="480">
        <f t="shared" si="8"/>
        <v>8.1537142253852099E-2</v>
      </c>
      <c r="AN22" s="480">
        <f t="shared" si="9"/>
        <v>-5.5066497783409687E-3</v>
      </c>
      <c r="AO22" s="480">
        <f t="shared" si="10"/>
        <v>4.6225305607590042E-2</v>
      </c>
    </row>
    <row r="23" spans="1:41" s="61" customFormat="1" ht="15.75" customHeight="1">
      <c r="A23" s="1103">
        <f>VLOOKUP(B23,ReportData!$AQ$4:$AR$25,2,FALSE)</f>
        <v>0</v>
      </c>
      <c r="B23" s="885" t="str">
        <f>ReportData!$K$16</f>
        <v>Slough</v>
      </c>
      <c r="C23" s="896"/>
      <c r="D23" s="889">
        <f>IF(Year1_Slough Year1_16_17_participating_in_EET="","",Year1_Slough Year1_16_17_participating_in_EET)</f>
        <v>3483.1273508866202</v>
      </c>
      <c r="E23" s="889">
        <f>IF(Year2_Slough Year2_16_17_participating_in_EET="","",Year2_Slough Year2_16_17_participating_in_EET)</f>
        <v>3625.7748276742404</v>
      </c>
      <c r="F23" s="889">
        <f>IF(Year3_Slough Year3_16_17_participating_in_EET="","",Year3_Slough Year3_16_17_participating_in_EET)</f>
        <v>3699</v>
      </c>
      <c r="G23" s="889">
        <f>IF(Year4_Slough Year4_16_17_participating_in_EET="","",Year4_Slough Year4_16_17_participating_in_EET)</f>
        <v>3923</v>
      </c>
      <c r="H23" s="890">
        <f>IF(Year5_Slough Year5_16_17_participating_in_EET="","",Year5_Slough Year5_16_17_participating_in_EET)</f>
        <v>4160.03</v>
      </c>
      <c r="I23" s="900">
        <f t="shared" si="0"/>
        <v>4.553177126025465E-2</v>
      </c>
      <c r="J23" s="896"/>
      <c r="K23" s="1284">
        <f>IF(ISNUMBER(D23),D23/Population!D56,NA())</f>
        <v>0.93632455668995163</v>
      </c>
      <c r="L23" s="1284">
        <f>IF(ISNUMBER(E23),E23/Population!E56,NA())</f>
        <v>0.92494255808016335</v>
      </c>
      <c r="M23" s="1284">
        <f>IF(ISNUMBER(F23),F23/Population!F56,NA())</f>
        <v>0.9436224489795918</v>
      </c>
      <c r="N23" s="1284">
        <f>IF(ISNUMBER(G23),G23/Population!G56,NA())</f>
        <v>0.94348244348244348</v>
      </c>
      <c r="O23" s="1284">
        <f>IF(ISNUMBER(H23),H23/Population!H56,NA())</f>
        <v>0.93884676145339652</v>
      </c>
      <c r="P23" s="903">
        <f t="shared" si="11"/>
        <v>0.93884676145339652</v>
      </c>
      <c r="Q23" s="1190">
        <f t="shared" si="1"/>
        <v>5</v>
      </c>
      <c r="R23" s="64"/>
      <c r="S23" s="1285">
        <f t="shared" si="12"/>
        <v>0.93180882803552434</v>
      </c>
      <c r="T23" s="1286">
        <f t="shared" si="2"/>
        <v>7.0379334178721775E-3</v>
      </c>
      <c r="U23" s="89"/>
      <c r="V23" s="103"/>
      <c r="W23" s="115"/>
      <c r="X23" s="622" t="str">
        <f t="shared" si="3"/>
        <v>Slough</v>
      </c>
      <c r="Y23" s="620">
        <f>IF(ISNUMBER(H23),IDACI!D21,0)</f>
        <v>37031</v>
      </c>
      <c r="Z23" s="621">
        <f>IF(ISNUMBER(H23),IDACI!E21,0)</f>
        <v>5443.5569999999998</v>
      </c>
      <c r="AA23" s="628">
        <f>IF(D23&gt;0,Population!D56,"")</f>
        <v>3720</v>
      </c>
      <c r="AB23" s="155">
        <f>IF(E23&gt;0,Population!E56,"")</f>
        <v>3920</v>
      </c>
      <c r="AC23" s="155">
        <f>IF(F23&gt;0,Population!F56,"")</f>
        <v>3920</v>
      </c>
      <c r="AD23" s="155">
        <f>IF(G23&gt;0,Population!G56,"")</f>
        <v>4158</v>
      </c>
      <c r="AE23" s="629">
        <f>IF(H23&gt;0,Population!H56,"")</f>
        <v>4431</v>
      </c>
      <c r="AF23" s="639" t="s">
        <v>13</v>
      </c>
      <c r="AG23" s="69">
        <f t="shared" si="4"/>
        <v>0.93884676145339652</v>
      </c>
      <c r="AH23" s="156">
        <f t="shared" si="5"/>
        <v>5</v>
      </c>
      <c r="AJ23" s="121"/>
      <c r="AK23" s="480">
        <f t="shared" si="6"/>
        <v>4.0953850496252948E-2</v>
      </c>
      <c r="AL23" s="480">
        <f t="shared" si="7"/>
        <v>2.0195730790246006E-2</v>
      </c>
      <c r="AM23" s="480">
        <f t="shared" si="8"/>
        <v>6.0556907272235741E-2</v>
      </c>
      <c r="AN23" s="480">
        <f t="shared" si="9"/>
        <v>6.04205964822839E-2</v>
      </c>
      <c r="AO23" s="480">
        <f t="shared" si="10"/>
        <v>4.553177126025465E-2</v>
      </c>
    </row>
    <row r="24" spans="1:41" s="61" customFormat="1" ht="15.75" customHeight="1">
      <c r="A24" s="1103">
        <f>VLOOKUP(B24,ReportData!$AQ$4:$AR$25,2,FALSE)</f>
        <v>0</v>
      </c>
      <c r="B24" s="885" t="str">
        <f>ReportData!$K$17</f>
        <v>Southampton</v>
      </c>
      <c r="C24" s="896"/>
      <c r="D24" s="889">
        <f>IF(Year1_Southampton Year1_16_17_participating_in_EET="","",Year1_Southampton Year1_16_17_participating_in_EET)</f>
        <v>3842.2941590429277</v>
      </c>
      <c r="E24" s="889">
        <f>IF(Year2_Southampton Year2_16_17_participating_in_EET="","",Year2_Southampton Year2_16_17_participating_in_EET)</f>
        <v>3947.798541476755</v>
      </c>
      <c r="F24" s="889">
        <f>IF(Year3_Southampton Year3_16_17_participating_in_EET="","",Year3_Southampton Year3_16_17_participating_in_EET)</f>
        <v>3939.893399863915</v>
      </c>
      <c r="G24" s="889">
        <f>IF(Year4_Southampton Year4_16_17_participating_in_EET="","",Year4_Southampton Year4_16_17_participating_in_EET)</f>
        <v>4189</v>
      </c>
      <c r="H24" s="890">
        <f>IF(Year5_Southampton Year5_16_17_participating_in_EET="","",Year5_Southampton Year5_16_17_participating_in_EET)</f>
        <v>4393.6739999999991</v>
      </c>
      <c r="I24" s="900">
        <f t="shared" si="0"/>
        <v>3.4385721055400068E-2</v>
      </c>
      <c r="J24" s="896"/>
      <c r="K24" s="1284">
        <f>IF(ISNUMBER(D24),D24/Population!D57,NA())</f>
        <v>0.9019469856908281</v>
      </c>
      <c r="L24" s="1284">
        <f>IF(ISNUMBER(E24),E24/Population!E57,NA())</f>
        <v>0.89927073837739291</v>
      </c>
      <c r="M24" s="1284">
        <f>IF(ISNUMBER(F24),F24/Population!F57,NA())</f>
        <v>0.89339986391471993</v>
      </c>
      <c r="N24" s="1284">
        <f>IF(ISNUMBER(G24),G24/Population!G57,NA())</f>
        <v>0.89413020277481325</v>
      </c>
      <c r="O24" s="1284">
        <f>IF(ISNUMBER(H24),H24/Population!H57,NA())</f>
        <v>0.88582137096774172</v>
      </c>
      <c r="P24" s="903">
        <f t="shared" si="11"/>
        <v>0.88582137096774172</v>
      </c>
      <c r="Q24" s="1190">
        <f t="shared" si="1"/>
        <v>18</v>
      </c>
      <c r="R24" s="64"/>
      <c r="S24" s="1285">
        <f t="shared" si="12"/>
        <v>0.921439958342406</v>
      </c>
      <c r="T24" s="1286">
        <f t="shared" si="2"/>
        <v>-3.5618587374664279E-2</v>
      </c>
      <c r="U24" s="89"/>
      <c r="V24" s="103"/>
      <c r="W24" s="115"/>
      <c r="X24" s="622" t="str">
        <f t="shared" si="3"/>
        <v>Southampton</v>
      </c>
      <c r="Y24" s="620">
        <f>IF(ISNUMBER(H24),IDACI!D22,0)</f>
        <v>44295</v>
      </c>
      <c r="Z24" s="621">
        <f>IF(ISNUMBER(H24),IDACI!E22,0)</f>
        <v>9080.4750000000004</v>
      </c>
      <c r="AA24" s="628">
        <f>IF(D24&gt;0,Population!D57,"")</f>
        <v>4260</v>
      </c>
      <c r="AB24" s="155">
        <f>IF(E24&gt;0,Population!E57,"")</f>
        <v>4390</v>
      </c>
      <c r="AC24" s="155">
        <f>IF(F24&gt;0,Population!F57,"")</f>
        <v>4410</v>
      </c>
      <c r="AD24" s="155">
        <f>IF(G24&gt;0,Population!G57,"")</f>
        <v>4685</v>
      </c>
      <c r="AE24" s="629">
        <f>IF(H24&gt;0,Population!H57,"")</f>
        <v>4960</v>
      </c>
      <c r="AF24" s="639" t="s">
        <v>14</v>
      </c>
      <c r="AG24" s="69">
        <f t="shared" si="4"/>
        <v>0.88582137096774172</v>
      </c>
      <c r="AH24" s="156">
        <f t="shared" si="5"/>
        <v>18</v>
      </c>
      <c r="AJ24" s="121"/>
      <c r="AK24" s="480">
        <f t="shared" si="6"/>
        <v>2.7458694745044504E-2</v>
      </c>
      <c r="AL24" s="480">
        <f t="shared" si="7"/>
        <v>-2.0024176841310949E-3</v>
      </c>
      <c r="AM24" s="480">
        <f t="shared" si="8"/>
        <v>6.3226736069734585E-2</v>
      </c>
      <c r="AN24" s="480">
        <f t="shared" si="9"/>
        <v>4.8859871090952273E-2</v>
      </c>
      <c r="AO24" s="480">
        <f t="shared" si="10"/>
        <v>3.4385721055400068E-2</v>
      </c>
    </row>
    <row r="25" spans="1:41" s="61" customFormat="1" ht="15.75" customHeight="1">
      <c r="A25" s="1103">
        <f>VLOOKUP(B25,ReportData!$AQ$4:$AR$25,2,FALSE)</f>
        <v>0</v>
      </c>
      <c r="B25" s="885" t="str">
        <f>ReportData!$K$18</f>
        <v>Surrey</v>
      </c>
      <c r="C25" s="896"/>
      <c r="D25" s="889">
        <f>IF(Year1_Surrey Year1_16_17_participating_in_EET="","",Year1_Surrey Year1_16_17_participating_in_EET)</f>
        <v>19823.071083829247</v>
      </c>
      <c r="E25" s="889">
        <f>IF(Year2_Surrey Year2_16_17_participating_in_EET="","",Year2_Surrey Year2_16_17_participating_in_EET)</f>
        <v>20349.860984086336</v>
      </c>
      <c r="F25" s="889">
        <f>IF(Year3_Surrey Year3_16_17_participating_in_EET="","",Year3_Surrey Year3_16_17_participating_in_EET)</f>
        <v>20883.764840888027</v>
      </c>
      <c r="G25" s="889">
        <f>IF(Year4_Surrey Year4_16_17_participating_in_EET="","",Year4_Surrey Year4_16_17_participating_in_EET)</f>
        <v>22329</v>
      </c>
      <c r="H25" s="890">
        <f>IF(Year5_Surrey Year5_16_17_participating_in_EET="","",Year5_Surrey Year5_16_17_participating_in_EET)</f>
        <v>22163.452000000001</v>
      </c>
      <c r="I25" s="900">
        <f t="shared" si="0"/>
        <v>2.8650139074610462E-2</v>
      </c>
      <c r="J25" s="896"/>
      <c r="K25" s="1284">
        <f>IF(ISNUMBER(D25),D25/Population!D58,NA())</f>
        <v>0.92891617075113619</v>
      </c>
      <c r="L25" s="1284">
        <f>IF(ISNUMBER(E25),E25/Population!E58,NA())</f>
        <v>0.93049204316809953</v>
      </c>
      <c r="M25" s="1284">
        <f>IF(ISNUMBER(F25),F25/Population!F58,NA())</f>
        <v>0.92161362934192526</v>
      </c>
      <c r="N25" s="1284">
        <f>IF(ISNUMBER(G25),G25/Population!G58,NA())</f>
        <v>0.92620706819313092</v>
      </c>
      <c r="O25" s="1284">
        <f>IF(ISNUMBER(H25),H25/Population!H58,NA())</f>
        <v>0.89567395433420893</v>
      </c>
      <c r="P25" s="903">
        <f t="shared" si="11"/>
        <v>0.89567395433420893</v>
      </c>
      <c r="Q25" s="1190">
        <f t="shared" si="1"/>
        <v>16</v>
      </c>
      <c r="R25" s="64"/>
      <c r="S25" s="1285">
        <f t="shared" si="12"/>
        <v>0.9432503394210342</v>
      </c>
      <c r="T25" s="1286">
        <f t="shared" si="2"/>
        <v>-4.7576385086825268E-2</v>
      </c>
      <c r="U25" s="89"/>
      <c r="V25" s="103"/>
      <c r="W25" s="115"/>
      <c r="X25" s="622" t="str">
        <f t="shared" si="3"/>
        <v>Surrey</v>
      </c>
      <c r="Y25" s="620">
        <f>IF(ISNUMBER(H25),IDACI!D23,0)</f>
        <v>228466</v>
      </c>
      <c r="Z25" s="621">
        <f>IF(ISNUMBER(H25),IDACI!E23,0)</f>
        <v>18962.678</v>
      </c>
      <c r="AA25" s="628">
        <f>IF(D25&gt;0,Population!D58,"")</f>
        <v>21340</v>
      </c>
      <c r="AB25" s="155">
        <f>IF(E25&gt;0,Population!E58,"")</f>
        <v>21870</v>
      </c>
      <c r="AC25" s="155">
        <f>IF(F25&gt;0,Population!F58,"")</f>
        <v>22660</v>
      </c>
      <c r="AD25" s="155">
        <f>IF(G25&gt;0,Population!G58,"")</f>
        <v>24108</v>
      </c>
      <c r="AE25" s="629">
        <f>IF(H25&gt;0,Population!H58,"")</f>
        <v>24745</v>
      </c>
      <c r="AF25" s="639" t="s">
        <v>7</v>
      </c>
      <c r="AG25" s="69">
        <f t="shared" si="4"/>
        <v>0.89567395433420893</v>
      </c>
      <c r="AH25" s="156">
        <f t="shared" si="5"/>
        <v>16</v>
      </c>
      <c r="AJ25" s="121"/>
      <c r="AK25" s="480">
        <f t="shared" si="6"/>
        <v>2.657458564464411E-2</v>
      </c>
      <c r="AL25" s="480">
        <f t="shared" si="7"/>
        <v>2.6236240985587373E-2</v>
      </c>
      <c r="AM25" s="480">
        <f t="shared" si="8"/>
        <v>6.9203765227348654E-2</v>
      </c>
      <c r="AN25" s="480">
        <f t="shared" si="9"/>
        <v>-7.4140355591382897E-3</v>
      </c>
      <c r="AO25" s="480">
        <f t="shared" si="10"/>
        <v>2.8650139074610462E-2</v>
      </c>
    </row>
    <row r="26" spans="1:41" s="61" customFormat="1" ht="15.75" customHeight="1">
      <c r="A26" s="1103">
        <f>VLOOKUP(B26,ReportData!$AQ$4:$AR$25,2,FALSE)</f>
        <v>0</v>
      </c>
      <c r="B26" s="885" t="str">
        <f>ReportData!$K$19</f>
        <v>West Berkshire</v>
      </c>
      <c r="C26" s="896"/>
      <c r="D26" s="889">
        <f>IF(Year1_West_Berkshire Year1_16_17_participating_in_EET="","",Year1_West_Berkshire Year1_16_17_participating_in_EET)</f>
        <v>3038.2490752157833</v>
      </c>
      <c r="E26" s="889">
        <f>IF(Year2_West_Berkshire Year2_16_17_participating_in_EET="","",Year2_West_Berkshire Year2_16_17_participating_in_EET)</f>
        <v>3164</v>
      </c>
      <c r="F26" s="889">
        <f>IF(Year3_West_Berkshire Year3_16_17_participating_in_EET="","",Year3_West_Berkshire Year3_16_17_participating_in_EET)</f>
        <v>3263</v>
      </c>
      <c r="G26" s="889">
        <f>IF(Year4_West_Berkshire Year4_16_17_participating_in_EET="","",Year4_West_Berkshire Year4_16_17_participating_in_EET)</f>
        <v>3198.0000000000005</v>
      </c>
      <c r="H26" s="890">
        <f>IF(Year5_West_Berkshire Year5_16_17_participating_in_EET="","",Year5_West_Berkshire Year5_16_17_participating_in_EET)</f>
        <v>3174.5009999999997</v>
      </c>
      <c r="I26" s="900">
        <f t="shared" ref="I26:I31" si="13">AO26</f>
        <v>1.135260816176744E-2</v>
      </c>
      <c r="J26" s="896"/>
      <c r="K26" s="1284">
        <f>IF(ISNUMBER(D26),D26/Population!D59,NA())</f>
        <v>0.93773119605425403</v>
      </c>
      <c r="L26" s="1284">
        <f>IF(ISNUMBER(E26),E26/Population!E59,NA())</f>
        <v>0.94166666666666665</v>
      </c>
      <c r="M26" s="1284">
        <f>IF(ISNUMBER(F26),F26/Population!F59,NA())</f>
        <v>0.94306358381502886</v>
      </c>
      <c r="N26" s="1284">
        <f>IF(ISNUMBER(G26),G26/Population!G59,NA())</f>
        <v>0.93481438175971954</v>
      </c>
      <c r="O26" s="1284">
        <f>IF(ISNUMBER(H26),H26/Population!H59,NA())</f>
        <v>0.91299999999999992</v>
      </c>
      <c r="P26" s="903">
        <f t="shared" ref="P26:P31" si="14">IF(ISNUMBER(O26),O26,"")</f>
        <v>0.91299999999999992</v>
      </c>
      <c r="Q26" s="1190">
        <f t="shared" si="1"/>
        <v>9</v>
      </c>
      <c r="R26" s="64"/>
      <c r="S26" s="1285">
        <f t="shared" si="12"/>
        <v>0.94253524495943974</v>
      </c>
      <c r="T26" s="1286">
        <f t="shared" si="2"/>
        <v>-2.9535244959439821E-2</v>
      </c>
      <c r="U26" s="89"/>
      <c r="V26" s="103"/>
      <c r="W26" s="115"/>
      <c r="X26" s="622" t="str">
        <f t="shared" si="3"/>
        <v>West Berkshire</v>
      </c>
      <c r="Y26" s="620">
        <f>IF(ISNUMBER(H26),IDACI!D24,0)</f>
        <v>31625</v>
      </c>
      <c r="Z26" s="621">
        <f>IF(ISNUMBER(H26),IDACI!E24,0)</f>
        <v>2751.375</v>
      </c>
      <c r="AA26" s="628">
        <f>IF(D26&gt;0,Population!D59,"")</f>
        <v>3240</v>
      </c>
      <c r="AB26" s="155">
        <f>IF(E26&gt;0,Population!E59,"")</f>
        <v>3360</v>
      </c>
      <c r="AC26" s="155">
        <f>IF(F26&gt;0,Population!F59,"")</f>
        <v>3460</v>
      </c>
      <c r="AD26" s="155">
        <f>IF(G26&gt;0,Population!G59,"")</f>
        <v>3421</v>
      </c>
      <c r="AE26" s="629">
        <f>IF(H26&gt;0,Population!H59,"")</f>
        <v>3477</v>
      </c>
      <c r="AF26" s="639" t="s">
        <v>15</v>
      </c>
      <c r="AG26" s="69">
        <f t="shared" si="4"/>
        <v>0.91299999999999992</v>
      </c>
      <c r="AH26" s="156">
        <f t="shared" si="5"/>
        <v>9</v>
      </c>
      <c r="AJ26" s="121"/>
      <c r="AK26" s="480">
        <f t="shared" si="6"/>
        <v>4.1389274437707395E-2</v>
      </c>
      <c r="AL26" s="480">
        <f t="shared" si="7"/>
        <v>3.1289506953223765E-2</v>
      </c>
      <c r="AM26" s="480">
        <f t="shared" si="8"/>
        <v>-1.9920318725099462E-2</v>
      </c>
      <c r="AN26" s="480">
        <f t="shared" si="9"/>
        <v>-7.3480300187619453E-3</v>
      </c>
      <c r="AO26" s="480">
        <f t="shared" ref="AO26:AO31" si="15">AVERAGE(AK26:AN26)</f>
        <v>1.135260816176744E-2</v>
      </c>
    </row>
    <row r="27" spans="1:41" s="61" customFormat="1" ht="15.75" customHeight="1">
      <c r="A27" s="1103">
        <f>VLOOKUP(B27,ReportData!$AQ$4:$AR$25,2,FALSE)</f>
        <v>0</v>
      </c>
      <c r="B27" s="885" t="str">
        <f>ReportData!$K$20</f>
        <v>West Sussex</v>
      </c>
      <c r="C27" s="896"/>
      <c r="D27" s="889">
        <f>IF(Year1_West_Sussex Year1_16_17_participating_in_EET="","",Year1_West_Sussex Year1_16_17_participating_in_EET)</f>
        <v>14488.222304011777</v>
      </c>
      <c r="E27" s="889">
        <f>IF(Year2_West_Sussex Year2_16_17_participating_in_EET="","",Year2_West_Sussex Year2_16_17_participating_in_EET)</f>
        <v>14568.629716555335</v>
      </c>
      <c r="F27" s="889">
        <f>IF(Year3_West_Sussex Year3_16_17_participating_in_EET="","",Year3_West_Sussex Year3_16_17_participating_in_EET)</f>
        <v>15756.746672865695</v>
      </c>
      <c r="G27" s="889">
        <f>IF(Year4_West_Sussex Year4_16_17_participating_in_EET="","",Year4_West_Sussex Year4_16_17_participating_in_EET)</f>
        <v>15704.000000000002</v>
      </c>
      <c r="H27" s="890">
        <f>IF(Year5_West_Sussex Year5_16_17_participating_in_EET="","",Year5_West_Sussex Year5_16_17_participating_in_EET)</f>
        <v>15029.4</v>
      </c>
      <c r="I27" s="900">
        <f t="shared" si="13"/>
        <v>1.019954498712893E-2</v>
      </c>
      <c r="J27" s="896"/>
      <c r="K27" s="1284">
        <f>IF(ISNUMBER(D27),D27/Population!D60,NA())</f>
        <v>0.88884799411115201</v>
      </c>
      <c r="L27" s="1284">
        <f>IF(ISNUMBER(E27),E27/Population!E60,NA())</f>
        <v>0.87657218511163271</v>
      </c>
      <c r="M27" s="1284">
        <f>IF(ISNUMBER(F27),F27/Population!F60,NA())</f>
        <v>0.91555762189806478</v>
      </c>
      <c r="N27" s="1284">
        <f>IF(ISNUMBER(G27),G27/Population!G60,NA())</f>
        <v>0.92365604046582761</v>
      </c>
      <c r="O27" s="1284">
        <f>IF(ISNUMBER(H27),H27/Population!H60,NA())</f>
        <v>0.88773774365032487</v>
      </c>
      <c r="P27" s="903">
        <f t="shared" si="14"/>
        <v>0.88773774365032487</v>
      </c>
      <c r="Q27" s="1190">
        <f t="shared" si="1"/>
        <v>17</v>
      </c>
      <c r="R27" s="64"/>
      <c r="S27" s="1285">
        <f t="shared" si="12"/>
        <v>0.9384234518052722</v>
      </c>
      <c r="T27" s="1286">
        <f t="shared" si="2"/>
        <v>-5.0685708154947329E-2</v>
      </c>
      <c r="U27" s="89"/>
      <c r="V27" s="103"/>
      <c r="W27" s="115"/>
      <c r="X27" s="622" t="str">
        <f t="shared" si="3"/>
        <v>West Sussex</v>
      </c>
      <c r="Y27" s="620">
        <f>IF(ISNUMBER(H27),IDACI!D25,0)</f>
        <v>151487</v>
      </c>
      <c r="Z27" s="621">
        <f>IF(ISNUMBER(H27),IDACI!E25,0)</f>
        <v>16663.57</v>
      </c>
      <c r="AA27" s="628">
        <f>IF(D27&gt;0,Population!D60,"")</f>
        <v>16300</v>
      </c>
      <c r="AB27" s="155">
        <f>IF(E27&gt;0,Population!E60,"")</f>
        <v>16620</v>
      </c>
      <c r="AC27" s="155">
        <f>IF(F27&gt;0,Population!F60,"")</f>
        <v>17210</v>
      </c>
      <c r="AD27" s="155">
        <f>IF(G27&gt;0,Population!G60,"")</f>
        <v>17002</v>
      </c>
      <c r="AE27" s="629">
        <f>IF(H27&gt;0,Population!H60,"")</f>
        <v>16930</v>
      </c>
      <c r="AF27" s="639" t="s">
        <v>5</v>
      </c>
      <c r="AG27" s="69">
        <f t="shared" si="4"/>
        <v>0.88773774365032487</v>
      </c>
      <c r="AH27" s="156">
        <f t="shared" si="5"/>
        <v>17</v>
      </c>
      <c r="AJ27" s="121"/>
      <c r="AK27" s="480">
        <f t="shared" si="6"/>
        <v>5.5498466862489689E-3</v>
      </c>
      <c r="AL27" s="480">
        <f t="shared" si="7"/>
        <v>8.1553102757510584E-2</v>
      </c>
      <c r="AM27" s="480">
        <f t="shared" si="8"/>
        <v>-3.347561140684358E-3</v>
      </c>
      <c r="AN27" s="480">
        <f t="shared" si="9"/>
        <v>-4.2957208354559483E-2</v>
      </c>
      <c r="AO27" s="480">
        <f t="shared" si="15"/>
        <v>1.019954498712893E-2</v>
      </c>
    </row>
    <row r="28" spans="1:41" s="61" customFormat="1" ht="15.75" customHeight="1">
      <c r="A28" s="1103">
        <f>VLOOKUP(B28,ReportData!$AQ$4:$AR$25,2,FALSE)</f>
        <v>0</v>
      </c>
      <c r="B28" s="885" t="str">
        <f>ReportData!$K$21</f>
        <v>Windsor &amp; Maidenhead</v>
      </c>
      <c r="C28" s="896"/>
      <c r="D28" s="889">
        <f>IF(Year1_Windsor_and_Maidenhead Year1_16_17_participating_in_EET="","",Year1_Windsor_and_Maidenhead Year1_16_17_participating_in_EET)</f>
        <v>2729.9381230663457</v>
      </c>
      <c r="E28" s="889">
        <f>IF(Year2_Windsor_and_Maidenhead Year2_16_17_participating_in_EET="","",Year2_Windsor_and_Maidenhead Year2_16_17_participating_in_EET)</f>
        <v>2772.1518987341769</v>
      </c>
      <c r="F28" s="889">
        <f>IF(Year3_Windsor_and_Maidenhead Year3_16_17_participating_in_EET="","",Year3_Windsor_and_Maidenhead Year3_16_17_participating_in_EET)</f>
        <v>2927.2107304460246</v>
      </c>
      <c r="G28" s="889">
        <f>IF(Year4_Windsor_and_Maidenhead Year4_16_17_participating_in_EET="","",Year4_Windsor_and_Maidenhead Year4_16_17_participating_in_EET)</f>
        <v>2796</v>
      </c>
      <c r="H28" s="890">
        <f>IF(Year5_Windsor_and_Maidenhead Year5_16_17_participating_in_EET="","",Year5_Windsor_and_Maidenhead Year5_16_17_participating_in_EET)</f>
        <v>2928.0149999999999</v>
      </c>
      <c r="I28" s="900">
        <f t="shared" si="13"/>
        <v>1.844722770515617E-2</v>
      </c>
      <c r="J28" s="896"/>
      <c r="K28" s="1284">
        <f>IF(ISNUMBER(D28),D28/Population!D61,NA())</f>
        <v>0.93812306634582332</v>
      </c>
      <c r="L28" s="1284">
        <f>IF(ISNUMBER(E28),E28/Population!E61,NA())</f>
        <v>0.94936708860759489</v>
      </c>
      <c r="M28" s="1284">
        <f>IF(ISNUMBER(F28),F28/Population!F61,NA())</f>
        <v>0.94731738849385905</v>
      </c>
      <c r="N28" s="1284">
        <f>IF(ISNUMBER(G28),G28/Population!G61,NA())</f>
        <v>0.9051472968598252</v>
      </c>
      <c r="O28" s="1284">
        <f>IF(ISNUMBER(H28),H28/Population!H61,NA())</f>
        <v>0.94757766990291259</v>
      </c>
      <c r="P28" s="903">
        <f t="shared" si="14"/>
        <v>0.94757766990291259</v>
      </c>
      <c r="Q28" s="1190">
        <f t="shared" si="1"/>
        <v>1</v>
      </c>
      <c r="R28" s="64"/>
      <c r="S28" s="1285">
        <f t="shared" si="12"/>
        <v>0.94611071726741158</v>
      </c>
      <c r="T28" s="1286">
        <f t="shared" si="2"/>
        <v>1.4669526355010065E-3</v>
      </c>
      <c r="U28" s="89"/>
      <c r="V28" s="103"/>
      <c r="W28" s="115"/>
      <c r="X28" s="622" t="str">
        <f t="shared" si="3"/>
        <v>Windsor &amp; Maidenhead</v>
      </c>
      <c r="Y28" s="620">
        <f>IF(ISNUMBER(H28),IDACI!D26,0)</f>
        <v>29792</v>
      </c>
      <c r="Z28" s="621">
        <f>IF(ISNUMBER(H28),IDACI!E26,0)</f>
        <v>1996.0640000000001</v>
      </c>
      <c r="AA28" s="628">
        <f>IF(D28&gt;0,Population!D61,"")</f>
        <v>2910</v>
      </c>
      <c r="AB28" s="155">
        <f>IF(E28&gt;0,Population!E61,"")</f>
        <v>2920</v>
      </c>
      <c r="AC28" s="155">
        <f>IF(F28&gt;0,Population!F61,"")</f>
        <v>3090</v>
      </c>
      <c r="AD28" s="155">
        <f>IF(G28&gt;0,Population!G61,"")</f>
        <v>3089</v>
      </c>
      <c r="AE28" s="629">
        <f>IF(H28&gt;0,Population!H61,"")</f>
        <v>3090</v>
      </c>
      <c r="AF28" s="639" t="s">
        <v>27</v>
      </c>
      <c r="AG28" s="69">
        <f t="shared" si="4"/>
        <v>0.94757766990291259</v>
      </c>
      <c r="AH28" s="156">
        <f t="shared" si="5"/>
        <v>1</v>
      </c>
      <c r="AJ28" s="121"/>
      <c r="AK28" s="480">
        <f t="shared" si="6"/>
        <v>1.5463271973511061E-2</v>
      </c>
      <c r="AL28" s="480">
        <f t="shared" si="7"/>
        <v>5.5934464407470179E-2</v>
      </c>
      <c r="AM28" s="480">
        <f t="shared" si="8"/>
        <v>-4.4824490796408017E-2</v>
      </c>
      <c r="AN28" s="480">
        <f t="shared" si="9"/>
        <v>4.721566523605146E-2</v>
      </c>
      <c r="AO28" s="480">
        <f t="shared" si="15"/>
        <v>1.844722770515617E-2</v>
      </c>
    </row>
    <row r="29" spans="1:41" s="61" customFormat="1" ht="15.75" customHeight="1">
      <c r="A29" s="1103">
        <f>VLOOKUP(B29,ReportData!$AQ$4:$AR$25,2,FALSE)</f>
        <v>0</v>
      </c>
      <c r="B29" s="885" t="str">
        <f>ReportData!$K$22</f>
        <v>Wokingham</v>
      </c>
      <c r="C29" s="896"/>
      <c r="D29" s="889">
        <f>IF(Year1_Wokingham Year1_16_17_participating_in_EET="","",Year1_Wokingham Year1_16_17_participating_in_EET)</f>
        <v>3259.1880841121497</v>
      </c>
      <c r="E29" s="889">
        <f>IF(Year2_Wokingham Year2_16_17_participating_in_EET="","",Year2_Wokingham Year2_16_17_participating_in_EET)</f>
        <v>3248.8888888888887</v>
      </c>
      <c r="F29" s="889">
        <f>IF(Year3_Wokingham Year3_16_17_participating_in_EET="","",Year3_Wokingham Year3_16_17_participating_in_EET)</f>
        <v>3582.9058009579562</v>
      </c>
      <c r="G29" s="889">
        <f>IF(Year4_Wokingham Year4_16_17_participating_in_EET="","",Year4_Wokingham Year4_16_17_participating_in_EET)</f>
        <v>3760</v>
      </c>
      <c r="H29" s="890">
        <f>IF(Year5_Wokingham Year5_16_17_participating_in_EET="","",Year5_Wokingham Year5_16_17_participating_in_EET)</f>
        <v>3748.3919999999998</v>
      </c>
      <c r="I29" s="900">
        <f t="shared" si="13"/>
        <v>3.6497458465688325E-2</v>
      </c>
      <c r="J29" s="896"/>
      <c r="K29" s="1284">
        <f>IF(ISNUMBER(D29),D29/Population!D62,NA())</f>
        <v>0.95297897196261683</v>
      </c>
      <c r="L29" s="1284">
        <f>IF(ISNUMBER(E29),E29/Population!E62,NA())</f>
        <v>0.94444444444444442</v>
      </c>
      <c r="M29" s="1284">
        <f>IF(ISNUMBER(F29),F29/Population!F62,NA())</f>
        <v>0.95290047897817987</v>
      </c>
      <c r="N29" s="1284">
        <f>IF(ISNUMBER(G29),G29/Population!G62,NA())</f>
        <v>0.96286811779769521</v>
      </c>
      <c r="O29" s="1284">
        <f>IF(ISNUMBER(H29),H29/Population!H62,NA())</f>
        <v>0.94680272796160647</v>
      </c>
      <c r="P29" s="903">
        <f t="shared" si="14"/>
        <v>0.94680272796160647</v>
      </c>
      <c r="Q29" s="1190">
        <f t="shared" si="1"/>
        <v>3</v>
      </c>
      <c r="R29" s="64"/>
      <c r="S29" s="1285">
        <f t="shared" si="12"/>
        <v>0.94807722703679598</v>
      </c>
      <c r="T29" s="1286">
        <f t="shared" si="2"/>
        <v>-1.2744990751895058E-3</v>
      </c>
      <c r="U29" s="89"/>
      <c r="V29" s="103"/>
      <c r="W29" s="115"/>
      <c r="X29" s="622" t="str">
        <f t="shared" si="3"/>
        <v>Wokingham</v>
      </c>
      <c r="Y29" s="620">
        <f>IF(ISNUMBER(H29),IDACI!D27,0)</f>
        <v>33327</v>
      </c>
      <c r="Z29" s="621">
        <f>IF(ISNUMBER(H29),IDACI!E27,0)</f>
        <v>1866.3120000000004</v>
      </c>
      <c r="AA29" s="628">
        <f>IF(D29&gt;0,Population!D62,"")</f>
        <v>3420</v>
      </c>
      <c r="AB29" s="155">
        <f>IF(E29&gt;0,Population!E62,"")</f>
        <v>3440</v>
      </c>
      <c r="AC29" s="155">
        <f>IF(F29&gt;0,Population!F62,"")</f>
        <v>3760</v>
      </c>
      <c r="AD29" s="155">
        <f>IF(G29&gt;0,Population!G62,"")</f>
        <v>3905</v>
      </c>
      <c r="AE29" s="629">
        <f>IF(H29&gt;0,Population!H62,"")</f>
        <v>3959</v>
      </c>
      <c r="AF29" s="639" t="s">
        <v>16</v>
      </c>
      <c r="AG29" s="69">
        <f t="shared" si="4"/>
        <v>0.94680272796160647</v>
      </c>
      <c r="AH29" s="156">
        <f t="shared" si="5"/>
        <v>3</v>
      </c>
      <c r="AJ29" s="121"/>
      <c r="AK29" s="480">
        <f t="shared" si="6"/>
        <v>-3.1600493612097399E-3</v>
      </c>
      <c r="AL29" s="480">
        <f t="shared" si="7"/>
        <v>0.10280958305819453</v>
      </c>
      <c r="AM29" s="480">
        <f t="shared" si="8"/>
        <v>4.9427534208321737E-2</v>
      </c>
      <c r="AN29" s="480">
        <f t="shared" si="9"/>
        <v>-3.0872340425532377E-3</v>
      </c>
      <c r="AO29" s="480">
        <f t="shared" si="15"/>
        <v>3.6497458465688325E-2</v>
      </c>
    </row>
    <row r="30" spans="1:41" s="61" customFormat="1" ht="15.75" customHeight="1">
      <c r="A30" s="1148"/>
      <c r="B30" s="886" t="str">
        <f>ReportData!$K$23</f>
        <v>South East</v>
      </c>
      <c r="C30" s="896"/>
      <c r="D30" s="892">
        <f>IF(SUM(D11:D23,D24:D25,D26:D29)&gt;0,SUM(D11:D23,D24:D25,D26:D29),"")</f>
        <v>163214.46908260888</v>
      </c>
      <c r="E30" s="892">
        <f>IF(SUM(E11:E23,E24:E25,E26:E29)&gt;0,SUM(E11:E23,E24:E25,E26:E29),"")</f>
        <v>164645.59513555304</v>
      </c>
      <c r="F30" s="892">
        <f>IF(SUM(F11:F23,F24:F25,F26:F29)&gt;0,SUM(F11:F23,F24:F25,F26:F29),"")</f>
        <v>172930.84673861647</v>
      </c>
      <c r="G30" s="892">
        <f>IF(SUM(G11:G23,G24:G25,G26:G29)&gt;0,SUM(G11:G23,G24:G25,G26:G29),"")</f>
        <v>176244</v>
      </c>
      <c r="H30" s="893">
        <f>IF(SUM(H11:H23,H24:H25,H26:H29)&gt;0,SUM(H11:H23,H24:H25,H26:H29),"")</f>
        <v>177808.15699999998</v>
      </c>
      <c r="I30" s="907">
        <f t="shared" si="13"/>
        <v>2.1780973734689534E-2</v>
      </c>
      <c r="J30" s="896"/>
      <c r="K30" s="1287">
        <f>IF(ISNUMBER(D30),D30/Population!D63,NA())</f>
        <v>0.91714131873796856</v>
      </c>
      <c r="L30" s="1287">
        <f>IF(ISNUMBER(E30),E30/Population!E63,NA())</f>
        <v>0.91256842442940389</v>
      </c>
      <c r="M30" s="1287">
        <f>IF(ISNUMBER(F30),F30/Population!F63,NA())</f>
        <v>0.92170795618066559</v>
      </c>
      <c r="N30" s="1287">
        <f>IF(ISNUMBER(G30),G30/Population!G63,NA())</f>
        <v>0.92127712959478103</v>
      </c>
      <c r="O30" s="1287">
        <f>IF(ISNUMBER(H30),H30/Population!H63,NA())</f>
        <v>0.90883986138016681</v>
      </c>
      <c r="P30" s="903">
        <f t="shared" si="14"/>
        <v>0.90883986138016681</v>
      </c>
      <c r="Q30" s="1191" t="str">
        <f t="shared" si="1"/>
        <v>--</v>
      </c>
      <c r="R30" s="64"/>
      <c r="S30" s="1288">
        <f t="shared" si="12"/>
        <v>0.93597198597620246</v>
      </c>
      <c r="T30" s="1289">
        <f t="shared" si="2"/>
        <v>-2.7132124596035645E-2</v>
      </c>
      <c r="U30" s="89"/>
      <c r="V30" s="103"/>
      <c r="W30" s="115"/>
      <c r="X30" s="622" t="str">
        <f t="shared" si="3"/>
        <v>South East</v>
      </c>
      <c r="Y30" s="620">
        <f>SUM(Y24:Y25,Y11:Y23,Y26:Y29)</f>
        <v>1704978</v>
      </c>
      <c r="Z30" s="621">
        <f>SUM(Z24:Z25,Z11:Z23,Z26:Z29)</f>
        <v>210927.40200000003</v>
      </c>
      <c r="AA30" s="628">
        <f>SUM(AA11:AA23,AA24:AA25,AA26:AA29)</f>
        <v>177950</v>
      </c>
      <c r="AB30" s="155">
        <f>SUM(AB11:AB23,AB24:AB25,AB26:AB29)</f>
        <v>180410</v>
      </c>
      <c r="AC30" s="155">
        <f>SUM(AC11:AC23,AC24:AC25,AC26:AC29)</f>
        <v>187640</v>
      </c>
      <c r="AD30" s="155">
        <f>SUM(AD11:AD23,AD24:AD25,AD26:AD29)</f>
        <v>191304</v>
      </c>
      <c r="AE30" s="629">
        <f>SUM(AE11:AE23,AE24:AE25,AE26:AE29)</f>
        <v>195643</v>
      </c>
      <c r="AH30" s="141"/>
      <c r="AJ30" s="121"/>
      <c r="AK30" s="480">
        <f t="shared" si="6"/>
        <v>8.7683773441668243E-3</v>
      </c>
      <c r="AL30" s="480">
        <f t="shared" si="7"/>
        <v>5.0321732544634221E-2</v>
      </c>
      <c r="AM30" s="480">
        <f t="shared" si="8"/>
        <v>1.9158833278549392E-2</v>
      </c>
      <c r="AN30" s="480">
        <f t="shared" si="9"/>
        <v>8.8749517714076936E-3</v>
      </c>
      <c r="AO30" s="480">
        <f t="shared" si="15"/>
        <v>2.1780973734689534E-2</v>
      </c>
    </row>
    <row r="31" spans="1:41" s="61" customFormat="1" ht="15.75" customHeight="1">
      <c r="A31" s="1148"/>
      <c r="B31" s="887" t="str">
        <f>ReportData!$K$24</f>
        <v>England</v>
      </c>
      <c r="C31" s="896"/>
      <c r="D31" s="258">
        <f>IF(Year1_England Year1_16_17_participating_in_EET="","",Year1_England Year1_16_17_participating_in_EET)</f>
        <v>1039809.149624697</v>
      </c>
      <c r="E31" s="258">
        <f>IF(Year2_England Year2_16_17_participating_in_EET="","",Year2_England Year2_16_17_participating_in_EET)</f>
        <v>1060640.2964853686</v>
      </c>
      <c r="F31" s="258">
        <f>IF(Year3_England Year3_16_17_participating_in_EET="","",Year3_England Year3_16_17_participating_in_EET)</f>
        <v>1102512.0679425909</v>
      </c>
      <c r="G31" s="258">
        <f>IF(Year4_England Year4_16_17_participating_in_EET="","",Year4_England Year4_16_17_participating_in_EET)</f>
        <v>1125888</v>
      </c>
      <c r="H31" s="259">
        <f>IF(Year5_England Year5_16_17_participating_in_EET="","",Year5_England Year5_16_17_participating_in_EET)</f>
        <v>1141164.895</v>
      </c>
      <c r="I31" s="913">
        <f t="shared" si="13"/>
        <v>2.3570657271536084E-2</v>
      </c>
      <c r="J31" s="896"/>
      <c r="K31" s="1290">
        <f>IF(ISNUMBER(D31),D31/Population!D64,NA())</f>
        <v>0.9251876514825268</v>
      </c>
      <c r="L31" s="1290">
        <f>IF(ISNUMBER(E31),E31/Population!E64,NA())</f>
        <v>0.92587865783716872</v>
      </c>
      <c r="M31" s="1290">
        <f>IF(ISNUMBER(F31),F31/Population!F64,NA())</f>
        <v>0.93205740898704093</v>
      </c>
      <c r="N31" s="1290">
        <f>IF(ISNUMBER(G31),G31/Population!G64,NA())</f>
        <v>0.93017153705896105</v>
      </c>
      <c r="O31" s="1290">
        <f>IF(ISNUMBER(H31),H31/Population!H64,NA())</f>
        <v>0.92053331187614851</v>
      </c>
      <c r="P31" s="903">
        <f t="shared" si="14"/>
        <v>0.92053331187614851</v>
      </c>
      <c r="Q31" s="1192" t="str">
        <f t="shared" si="1"/>
        <v>--</v>
      </c>
      <c r="R31" s="64"/>
      <c r="S31" s="1291">
        <f t="shared" si="12"/>
        <v>0.92754612598530461</v>
      </c>
      <c r="T31" s="1292">
        <f t="shared" si="2"/>
        <v>-7.0128141091561069E-3</v>
      </c>
      <c r="U31" s="89"/>
      <c r="V31" s="103"/>
      <c r="W31" s="115"/>
      <c r="X31" s="622" t="str">
        <f t="shared" si="3"/>
        <v>England</v>
      </c>
      <c r="Y31" s="620">
        <f>IF(H31&gt;0,IDACI!D29,0)</f>
        <v>10405050</v>
      </c>
      <c r="Z31" s="621">
        <f>IF(H31&gt;0,IDACI!E29,0)</f>
        <v>1777641.7570000088</v>
      </c>
      <c r="AA31" s="628">
        <f>IF(D31&gt;0,Population!D64,"")</f>
        <v>1123890</v>
      </c>
      <c r="AB31" s="155">
        <f>IF(E31&gt;0,Population!E64,"")</f>
        <v>1145550</v>
      </c>
      <c r="AC31" s="155">
        <f>IF(F31&gt;0,Population!F64,"")</f>
        <v>1182880</v>
      </c>
      <c r="AD31" s="155">
        <f>IF(G31&gt;0,Population!G64,"")</f>
        <v>1210409</v>
      </c>
      <c r="AE31" s="629">
        <f>IF(H31&gt;0,Population!H64,"")</f>
        <v>1239678</v>
      </c>
      <c r="AH31" s="141"/>
      <c r="AJ31" s="121"/>
      <c r="AK31" s="480">
        <f t="shared" si="6"/>
        <v>2.0033625274590301E-2</v>
      </c>
      <c r="AL31" s="480">
        <f t="shared" si="7"/>
        <v>3.9477824476377418E-2</v>
      </c>
      <c r="AM31" s="480">
        <f t="shared" si="8"/>
        <v>2.1202427381163409E-2</v>
      </c>
      <c r="AN31" s="480">
        <f t="shared" si="9"/>
        <v>1.3568751954013204E-2</v>
      </c>
      <c r="AO31" s="480">
        <f t="shared" si="15"/>
        <v>2.3570657271536084E-2</v>
      </c>
    </row>
    <row r="32" spans="1:41" s="56" customFormat="1" ht="12.75" customHeight="1">
      <c r="A32" s="87"/>
      <c r="B32" s="90"/>
      <c r="C32" s="44"/>
      <c r="D32" s="44"/>
      <c r="E32" s="44"/>
      <c r="F32" s="44"/>
      <c r="G32" s="44"/>
      <c r="H32" s="44"/>
      <c r="I32" s="44"/>
      <c r="J32" s="44"/>
      <c r="K32" s="44"/>
      <c r="L32" s="44"/>
      <c r="M32" s="44"/>
      <c r="N32" s="44"/>
      <c r="O32" s="44"/>
      <c r="P32" s="44"/>
      <c r="Q32" s="1091" t="s">
        <v>663</v>
      </c>
      <c r="S32" s="44"/>
      <c r="T32" s="44"/>
      <c r="U32" s="86"/>
      <c r="V32" s="121"/>
      <c r="W32" s="114"/>
      <c r="X32" s="55"/>
      <c r="Y32" s="52"/>
      <c r="Z32" s="52"/>
      <c r="AA32" s="52"/>
      <c r="AB32" s="52"/>
      <c r="AC32" s="52"/>
      <c r="AD32" s="52"/>
      <c r="AE32" s="52"/>
      <c r="AF32" s="52"/>
      <c r="AG32" s="52"/>
      <c r="AI32" s="52"/>
      <c r="AJ32" s="122"/>
    </row>
    <row r="33" spans="1:68"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Y33" s="141"/>
      <c r="AI33" s="52"/>
      <c r="AJ33" s="119"/>
      <c r="AK33" s="52"/>
      <c r="AL33" s="52"/>
      <c r="AM33" s="52"/>
      <c r="AN33" s="52"/>
      <c r="AO33" s="52"/>
      <c r="AP33" s="52"/>
      <c r="AQ33" s="52"/>
    </row>
    <row r="34" spans="1:68" s="56" customFormat="1" ht="15" customHeight="1">
      <c r="A34" s="1565"/>
      <c r="B34" s="1751"/>
      <c r="C34" s="1751"/>
      <c r="D34" s="1751"/>
      <c r="E34" s="1751"/>
      <c r="F34" s="1751"/>
      <c r="G34" s="1751"/>
      <c r="H34" s="1751"/>
      <c r="I34" s="1751"/>
      <c r="J34" s="1751"/>
      <c r="K34" s="1751"/>
      <c r="L34" s="1751"/>
      <c r="M34" s="1751"/>
      <c r="N34" s="1751"/>
      <c r="O34" s="1751"/>
      <c r="P34" s="1751"/>
      <c r="Q34" s="1751"/>
      <c r="R34" s="1751"/>
      <c r="S34" s="1751"/>
      <c r="T34" s="1751"/>
      <c r="U34" s="1752"/>
      <c r="V34" s="185"/>
      <c r="W34" s="114"/>
      <c r="Y34" s="141"/>
      <c r="AJ34" s="122"/>
      <c r="AL34" s="444">
        <v>10</v>
      </c>
      <c r="AM34" s="444">
        <v>11</v>
      </c>
      <c r="AN34" s="444">
        <v>12</v>
      </c>
      <c r="AO34" s="444">
        <v>13</v>
      </c>
      <c r="AP34" s="444">
        <v>14</v>
      </c>
      <c r="AQ34" s="444">
        <v>18</v>
      </c>
      <c r="AR34" s="618">
        <v>3</v>
      </c>
      <c r="AS34" s="665">
        <v>4</v>
      </c>
      <c r="AT34" s="665">
        <v>5</v>
      </c>
      <c r="AU34" s="665">
        <v>6</v>
      </c>
      <c r="AV34" s="665">
        <v>7</v>
      </c>
      <c r="AW34" s="444">
        <v>3</v>
      </c>
      <c r="AX34" s="665">
        <v>4</v>
      </c>
      <c r="AY34" s="665">
        <v>5</v>
      </c>
      <c r="AZ34" s="665">
        <v>6</v>
      </c>
      <c r="BA34" s="665">
        <v>7</v>
      </c>
      <c r="BC34" s="146"/>
      <c r="BD34" s="146"/>
      <c r="BE34" s="146"/>
      <c r="BF34" s="147"/>
      <c r="BH34" s="146"/>
      <c r="BI34" s="146"/>
      <c r="BJ34" s="146"/>
      <c r="BK34" s="147"/>
      <c r="BM34" s="146"/>
      <c r="BN34" s="146"/>
      <c r="BO34" s="146"/>
      <c r="BP34" s="147"/>
    </row>
    <row r="35" spans="1:68" s="56" customFormat="1" ht="11.25" customHeight="1">
      <c r="A35" s="1739"/>
      <c r="B35" s="1740"/>
      <c r="C35" s="1740"/>
      <c r="D35" s="1740"/>
      <c r="E35" s="1740"/>
      <c r="F35" s="1740"/>
      <c r="G35" s="1740"/>
      <c r="H35" s="1740"/>
      <c r="I35" s="1741"/>
      <c r="J35" s="1740"/>
      <c r="K35" s="1740"/>
      <c r="L35" s="1740"/>
      <c r="M35" s="1740"/>
      <c r="N35" s="1740"/>
      <c r="O35" s="1740"/>
      <c r="P35" s="1742"/>
      <c r="Q35" s="1740"/>
      <c r="R35" s="1740"/>
      <c r="S35" s="1741"/>
      <c r="T35" s="1740"/>
      <c r="U35" s="1743"/>
      <c r="V35" s="185"/>
      <c r="W35" s="114"/>
      <c r="Y35" s="141"/>
      <c r="AI35" s="52"/>
      <c r="AJ35" s="121"/>
      <c r="AK35" s="61"/>
      <c r="AL35" s="642" t="s">
        <v>85</v>
      </c>
      <c r="AM35" s="643"/>
      <c r="AN35" s="643"/>
      <c r="AO35" s="643"/>
      <c r="AP35" s="643"/>
      <c r="AQ35" s="642" t="s">
        <v>862</v>
      </c>
      <c r="AR35" s="1970" t="s">
        <v>674</v>
      </c>
      <c r="AS35" s="1970"/>
      <c r="AT35" s="1970"/>
      <c r="AU35" s="1970"/>
      <c r="AV35" s="1971"/>
      <c r="AW35" s="1969" t="s">
        <v>62</v>
      </c>
      <c r="AX35" s="1970"/>
      <c r="AY35" s="1970"/>
      <c r="AZ35" s="1970"/>
      <c r="BA35" s="1971"/>
      <c r="BB35" s="148"/>
      <c r="BC35" s="146"/>
      <c r="BD35" s="146"/>
      <c r="BE35" s="146"/>
      <c r="BF35" s="147"/>
      <c r="BG35" s="148"/>
      <c r="BH35" s="146"/>
      <c r="BI35" s="146"/>
      <c r="BJ35" s="146"/>
      <c r="BK35" s="147"/>
      <c r="BL35" s="172"/>
    </row>
    <row r="36" spans="1:68" s="56" customFormat="1" ht="11.25" customHeight="1">
      <c r="A36" s="81"/>
      <c r="B36" s="82"/>
      <c r="C36" s="82"/>
      <c r="D36" s="82"/>
      <c r="E36" s="82"/>
      <c r="F36" s="82"/>
      <c r="G36" s="82"/>
      <c r="H36" s="82"/>
      <c r="I36" s="82"/>
      <c r="J36" s="83"/>
      <c r="K36" s="82"/>
      <c r="L36" s="82"/>
      <c r="M36" s="82"/>
      <c r="N36" s="82"/>
      <c r="O36" s="82"/>
      <c r="P36" s="82"/>
      <c r="Q36" s="82"/>
      <c r="R36" s="82"/>
      <c r="S36" s="82"/>
      <c r="T36" s="82"/>
      <c r="U36" s="84"/>
      <c r="V36" s="102"/>
      <c r="W36" s="1093" t="s">
        <v>94</v>
      </c>
      <c r="X36" s="1113"/>
      <c r="Y36" s="1146"/>
      <c r="Z36" s="1113"/>
      <c r="AA36" s="1152"/>
      <c r="AB36" s="1152"/>
      <c r="AC36" s="1113"/>
      <c r="AD36" s="1113"/>
      <c r="AE36" s="1113"/>
      <c r="AF36" s="1113"/>
      <c r="AG36" s="1113"/>
      <c r="AH36" s="1113"/>
      <c r="AI36" s="360"/>
      <c r="AJ36" s="921"/>
      <c r="AK36" s="61"/>
      <c r="AL36" s="445" t="str">
        <f>IF(ReportData!$C$3="Annual","",ReportData!$D$28)</f>
        <v/>
      </c>
      <c r="AM36" s="445" t="str">
        <f>IF(ReportData!$C$3="Annual","",ReportData!$E$28)</f>
        <v/>
      </c>
      <c r="AN36" s="645" t="str">
        <f>IF(ReportData!$C$3="Annual","",ReportData!$F$28)</f>
        <v/>
      </c>
      <c r="AO36" s="445" t="str">
        <f>IF(ReportData!$C$3="Annual","",ReportData!$G$28)</f>
        <v/>
      </c>
      <c r="AP36" s="645" t="str">
        <f>IF(ReportData!$C$3="Annual","",ReportData!$H$28)</f>
        <v/>
      </c>
      <c r="AQ36" s="445" t="str">
        <f>IF(ReportData!$C$3="Annual","",ReportData!$D$28)</f>
        <v/>
      </c>
      <c r="AR36" s="645" t="str">
        <f>IF(ReportData!$C$3="Annual","",ReportData!$E$28)</f>
        <v/>
      </c>
      <c r="AS36" s="645" t="str">
        <f>IF(ReportData!$C$3="Annual","",ReportData!$F$28)</f>
        <v/>
      </c>
      <c r="AT36" s="445" t="str">
        <f>IF(ReportData!$C$3="Annual","",ReportData!$G$28)</f>
        <v/>
      </c>
      <c r="AU36" s="646" t="str">
        <f>IF(ReportData!$C$3="Annual","",ReportData!$H$28)</f>
        <v/>
      </c>
      <c r="AV36" s="644" t="str">
        <f>IF(ReportData!$C$3="Annual","",ReportData!$D$28)</f>
        <v/>
      </c>
      <c r="AW36" s="445" t="str">
        <f>IF(ReportData!$C$3="Annual","",ReportData!$E$28)</f>
        <v/>
      </c>
      <c r="AX36" s="645" t="str">
        <f>IF(ReportData!$C$3="Annual","",ReportData!$F$28)</f>
        <v/>
      </c>
      <c r="AY36" s="445" t="str">
        <f>IF(ReportData!$C$3="Annual","",ReportData!$G$28)</f>
        <v/>
      </c>
      <c r="AZ36" s="646" t="str">
        <f>IF(ReportData!$C$3="Annual","",ReportData!$H$28)</f>
        <v/>
      </c>
      <c r="BA36" s="642"/>
      <c r="BB36" s="613"/>
      <c r="BC36" s="613"/>
      <c r="BD36" s="613"/>
      <c r="BE36" s="613"/>
      <c r="BF36" s="613"/>
      <c r="BG36" s="613"/>
      <c r="BH36" s="613"/>
      <c r="BI36" s="613"/>
      <c r="BJ36" s="613"/>
      <c r="BK36" s="613"/>
    </row>
    <row r="37" spans="1:68" s="56" customFormat="1" ht="3.75" customHeight="1">
      <c r="A37" s="85"/>
      <c r="B37" s="5"/>
      <c r="C37" s="5"/>
      <c r="D37" s="5"/>
      <c r="E37" s="5"/>
      <c r="F37" s="5"/>
      <c r="G37" s="5"/>
      <c r="H37" s="5"/>
      <c r="I37" s="5"/>
      <c r="J37" s="1"/>
      <c r="K37" s="5"/>
      <c r="L37" s="5"/>
      <c r="M37" s="5"/>
      <c r="N37" s="5"/>
      <c r="O37" s="5"/>
      <c r="P37" s="5"/>
      <c r="Q37" s="5"/>
      <c r="R37" s="5"/>
      <c r="S37" s="5"/>
      <c r="T37" s="5"/>
      <c r="U37" s="86"/>
      <c r="V37" s="102"/>
      <c r="W37" s="1155"/>
      <c r="X37" s="1113"/>
      <c r="Y37" s="1113"/>
      <c r="Z37" s="1113"/>
      <c r="AA37" s="1113"/>
      <c r="AB37" s="1113"/>
      <c r="AC37" s="1156" t="s">
        <v>762</v>
      </c>
      <c r="AD37" s="1113"/>
      <c r="AE37" s="1113"/>
      <c r="AF37" s="1113"/>
      <c r="AG37" s="1113"/>
      <c r="AH37" s="1113"/>
      <c r="AI37" s="1113"/>
      <c r="AJ37" s="921"/>
      <c r="AK37" s="61"/>
      <c r="AL37" s="445" t="str">
        <f>ReportData!$D$27</f>
        <v>2019/20</v>
      </c>
      <c r="AM37" s="445" t="str">
        <f>ReportData!$E$27</f>
        <v>2020/21</v>
      </c>
      <c r="AN37" s="645" t="str">
        <f>ReportData!$F$27</f>
        <v>2021/22</v>
      </c>
      <c r="AO37" s="445" t="str">
        <f>ReportData!$G$27</f>
        <v>2022/23</v>
      </c>
      <c r="AP37" s="645" t="str">
        <f>ReportData!$H$27</f>
        <v>2023/24</v>
      </c>
      <c r="AQ37" s="445" t="str">
        <f>ReportData!$D$27</f>
        <v>2019/20</v>
      </c>
      <c r="AR37" s="645" t="str">
        <f>ReportData!$E$27</f>
        <v>2020/21</v>
      </c>
      <c r="AS37" s="645" t="str">
        <f>ReportData!$F$27</f>
        <v>2021/22</v>
      </c>
      <c r="AT37" s="445" t="str">
        <f>ReportData!$G$27</f>
        <v>2022/23</v>
      </c>
      <c r="AU37" s="646" t="str">
        <f>ReportData!$H$27</f>
        <v>2023/24</v>
      </c>
      <c r="AV37" s="644" t="str">
        <f>ReportData!$D$27</f>
        <v>2019/20</v>
      </c>
      <c r="AW37" s="445" t="str">
        <f>ReportData!$E$27</f>
        <v>2020/21</v>
      </c>
      <c r="AX37" s="645" t="str">
        <f>ReportData!$F$27</f>
        <v>2021/22</v>
      </c>
      <c r="AY37" s="445" t="str">
        <f>ReportData!$G$27</f>
        <v>2022/23</v>
      </c>
      <c r="AZ37" s="646" t="str">
        <f>ReportData!$H$27</f>
        <v>2023/24</v>
      </c>
      <c r="BA37" s="642" t="str">
        <f>AV37</f>
        <v>2019/20</v>
      </c>
      <c r="BB37" s="613"/>
      <c r="BC37" s="613"/>
      <c r="BD37" s="613"/>
      <c r="BE37" s="613"/>
      <c r="BF37" s="613"/>
      <c r="BG37" s="613"/>
      <c r="BH37" s="613"/>
      <c r="BI37" s="613"/>
      <c r="BJ37" s="613"/>
      <c r="BK37" s="613"/>
      <c r="BL37" s="613"/>
      <c r="BM37" s="613"/>
      <c r="BN37" s="613"/>
      <c r="BO37" s="613"/>
      <c r="BP37" s="613"/>
    </row>
    <row r="38" spans="1:68" s="56" customFormat="1" ht="14.25" customHeight="1">
      <c r="A38" s="87"/>
      <c r="B38" s="5"/>
      <c r="C38" s="5"/>
      <c r="D38" s="5"/>
      <c r="E38" s="5"/>
      <c r="F38" s="5"/>
      <c r="G38" s="5"/>
      <c r="H38" s="5"/>
      <c r="I38" s="5"/>
      <c r="J38" s="1"/>
      <c r="K38" s="5"/>
      <c r="L38" s="5"/>
      <c r="M38" s="5"/>
      <c r="N38" s="5"/>
      <c r="O38" s="5"/>
      <c r="P38" s="5"/>
      <c r="Q38" s="5"/>
      <c r="R38" s="5"/>
      <c r="S38" s="5"/>
      <c r="T38" s="5"/>
      <c r="U38" s="86"/>
      <c r="V38" s="102"/>
      <c r="W38" s="1155"/>
      <c r="X38" s="1157" t="s">
        <v>69</v>
      </c>
      <c r="Y38" s="1157" t="s">
        <v>67</v>
      </c>
      <c r="Z38" s="1157" t="s">
        <v>68</v>
      </c>
      <c r="AA38" s="1158">
        <v>5</v>
      </c>
      <c r="AB38" s="1159">
        <f>(AA38*Y39)+Z39</f>
        <v>0.9354058972641669</v>
      </c>
      <c r="AC38" s="1160">
        <f>ROUND(ChartLabels!X$59,3)</f>
        <v>0.28100000000000003</v>
      </c>
      <c r="AD38" s="1113"/>
      <c r="AE38" s="1113"/>
      <c r="AF38" s="1113"/>
      <c r="AG38" s="1113"/>
      <c r="AH38" s="1113"/>
      <c r="AI38" s="1161" t="b">
        <v>1</v>
      </c>
      <c r="AJ38" s="921" t="s">
        <v>0</v>
      </c>
      <c r="AK38" s="61" t="str">
        <f t="shared" ref="AK38:AK58" si="16">IF(AI38=TRUE,B11,"")</f>
        <v>Bracknell Forest</v>
      </c>
      <c r="AL38" s="654">
        <f t="shared" ref="AL38:AP47" si="17">VLOOKUP($AK38,$B$11:$O$31,AL$34,FALSE)</f>
        <v>0.88426349496797807</v>
      </c>
      <c r="AM38" s="647">
        <f t="shared" si="17"/>
        <v>0.91274864376130194</v>
      </c>
      <c r="AN38" s="647">
        <f t="shared" si="17"/>
        <v>0.92723094599770206</v>
      </c>
      <c r="AO38" s="647">
        <f t="shared" si="17"/>
        <v>0.94819985304922871</v>
      </c>
      <c r="AP38" s="655">
        <f t="shared" si="17"/>
        <v>0.94721402214022155</v>
      </c>
      <c r="AQ38" s="666">
        <f>VLOOKUP(AK38,IDACI!$B$9:$C$29,2,FALSE)</f>
        <v>8.9</v>
      </c>
      <c r="AR38" s="649">
        <f t="shared" ref="AR38:AV47" si="18">VLOOKUP($AK38,$B$74:$H$94,AR$34,FALSE)</f>
        <v>2.4513559062356367E-2</v>
      </c>
      <c r="AS38" s="649">
        <f t="shared" si="18"/>
        <v>2.2915724408261721E-2</v>
      </c>
      <c r="AT38" s="649">
        <f t="shared" si="18"/>
        <v>2.3511372348581652E-2</v>
      </c>
      <c r="AU38" s="649">
        <f t="shared" si="18"/>
        <v>1.53994639729948E-2</v>
      </c>
      <c r="AV38" s="659">
        <f t="shared" si="18"/>
        <v>1.8000000000000002E-2</v>
      </c>
      <c r="AW38" s="662">
        <f t="shared" ref="AW38:BA47" si="19">VLOOKUP($AK38,$B$107:$H$127,AW$34,FALSE)</f>
        <v>7.0476482304274557E-2</v>
      </c>
      <c r="AX38" s="649">
        <f t="shared" si="19"/>
        <v>2.3066485753052916E-2</v>
      </c>
      <c r="AY38" s="649">
        <f t="shared" si="19"/>
        <v>1.2777919754663943E-2</v>
      </c>
      <c r="AZ38" s="649">
        <f t="shared" si="19"/>
        <v>1.7844560036205711E-2</v>
      </c>
      <c r="BA38" s="659">
        <f t="shared" si="19"/>
        <v>1.7000000000000001E-2</v>
      </c>
      <c r="BB38" s="237"/>
      <c r="BC38" s="237"/>
      <c r="BD38" s="237"/>
      <c r="BE38" s="237"/>
      <c r="BF38" s="237"/>
      <c r="BG38" s="237"/>
      <c r="BH38" s="237"/>
      <c r="BI38" s="237"/>
      <c r="BJ38" s="237"/>
      <c r="BK38" s="237"/>
      <c r="BL38" s="237"/>
      <c r="BM38" s="237"/>
      <c r="BN38" s="237"/>
      <c r="BO38" s="237"/>
      <c r="BP38" s="237"/>
    </row>
    <row r="39" spans="1:68" s="56" customFormat="1" ht="14.25" customHeight="1">
      <c r="A39" s="87"/>
      <c r="B39" s="5"/>
      <c r="C39" s="5"/>
      <c r="D39" s="5"/>
      <c r="E39" s="5"/>
      <c r="F39" s="5"/>
      <c r="G39" s="5"/>
      <c r="H39" s="5"/>
      <c r="I39" s="5"/>
      <c r="J39" s="1"/>
      <c r="K39" s="5"/>
      <c r="L39" s="5"/>
      <c r="M39" s="5"/>
      <c r="N39" s="5"/>
      <c r="O39" s="5"/>
      <c r="P39" s="5"/>
      <c r="Q39" s="5"/>
      <c r="R39" s="5"/>
      <c r="S39" s="5"/>
      <c r="T39" s="5"/>
      <c r="U39" s="86"/>
      <c r="V39" s="102"/>
      <c r="W39" s="1155"/>
      <c r="X39" s="1162" t="str">
        <f>"Y= "&amp;Y39&amp;"x + "&amp;Z39</f>
        <v>Y= -0.002482001884935x + 0.947815906688842</v>
      </c>
      <c r="Y39" s="1163">
        <f>ChartLabels!V$59</f>
        <v>-2.4820018849349957E-3</v>
      </c>
      <c r="Z39" s="1163">
        <f>ChartLabels!W$59</f>
        <v>0.94781590668884186</v>
      </c>
      <c r="AA39" s="1164">
        <v>35</v>
      </c>
      <c r="AB39" s="1159">
        <f>(AA39*Y39)+Z39</f>
        <v>0.86094584071611702</v>
      </c>
      <c r="AC39" s="1165" t="str">
        <f>AC37&amp;" = "&amp;AC38</f>
        <v>r² = 0.281</v>
      </c>
      <c r="AD39" s="1113"/>
      <c r="AE39" s="1113"/>
      <c r="AF39" s="1113"/>
      <c r="AG39" s="1113"/>
      <c r="AH39" s="1113"/>
      <c r="AI39" s="1161" t="b">
        <v>1</v>
      </c>
      <c r="AJ39" s="921" t="s">
        <v>28</v>
      </c>
      <c r="AK39" s="61" t="str">
        <f t="shared" si="16"/>
        <v>Brighton &amp; Hove</v>
      </c>
      <c r="AL39" s="654">
        <f t="shared" si="17"/>
        <v>0.91676866585067318</v>
      </c>
      <c r="AM39" s="647">
        <f t="shared" si="17"/>
        <v>0.91736577181208045</v>
      </c>
      <c r="AN39" s="647">
        <f t="shared" si="17"/>
        <v>0.9376121187960933</v>
      </c>
      <c r="AO39" s="647">
        <f t="shared" si="17"/>
        <v>0.91919590067008272</v>
      </c>
      <c r="AP39" s="655">
        <f t="shared" si="17"/>
        <v>0.92788844163312245</v>
      </c>
      <c r="AQ39" s="666">
        <f>VLOOKUP(AK39,IDACI!$B$9:$C$29,2,FALSE)</f>
        <v>15.299999999999999</v>
      </c>
      <c r="AR39" s="649">
        <f t="shared" si="18"/>
        <v>3.0457197123863786E-2</v>
      </c>
      <c r="AS39" s="649">
        <f t="shared" si="18"/>
        <v>3.9079977628635347E-2</v>
      </c>
      <c r="AT39" s="649">
        <f t="shared" si="18"/>
        <v>2.7628345619977415E-2</v>
      </c>
      <c r="AU39" s="649">
        <f t="shared" si="18"/>
        <v>3.2718893125193028E-2</v>
      </c>
      <c r="AV39" s="659">
        <f t="shared" si="18"/>
        <v>3.3000000000000002E-2</v>
      </c>
      <c r="AW39" s="662">
        <f t="shared" si="19"/>
        <v>1.5194681861348529E-2</v>
      </c>
      <c r="AX39" s="649">
        <f t="shared" si="19"/>
        <v>1.0486577181208054E-2</v>
      </c>
      <c r="AY39" s="649">
        <f t="shared" si="19"/>
        <v>1.6404330211861592E-2</v>
      </c>
      <c r="AZ39" s="649">
        <f t="shared" si="19"/>
        <v>8.4273839689615378E-3</v>
      </c>
      <c r="BA39" s="659">
        <f t="shared" si="19"/>
        <v>6.0000000000000001E-3</v>
      </c>
      <c r="BB39" s="237"/>
      <c r="BC39" s="237"/>
      <c r="BD39" s="237"/>
      <c r="BE39" s="237"/>
      <c r="BF39" s="237"/>
      <c r="BG39" s="237"/>
      <c r="BH39" s="237"/>
      <c r="BI39" s="237"/>
      <c r="BJ39" s="237"/>
      <c r="BK39" s="237"/>
      <c r="BL39" s="237"/>
      <c r="BM39" s="237"/>
      <c r="BN39" s="237"/>
      <c r="BO39" s="237"/>
      <c r="BP39" s="237"/>
    </row>
    <row r="40" spans="1:68" ht="14.25" customHeight="1">
      <c r="A40" s="87"/>
      <c r="B40" s="5"/>
      <c r="C40" s="5"/>
      <c r="D40" s="5"/>
      <c r="E40" s="5"/>
      <c r="F40" s="5"/>
      <c r="G40" s="5"/>
      <c r="H40" s="5"/>
      <c r="I40" s="5"/>
      <c r="J40" s="1"/>
      <c r="K40" s="5"/>
      <c r="L40" s="5"/>
      <c r="M40" s="5"/>
      <c r="N40" s="5"/>
      <c r="O40" s="5"/>
      <c r="P40" s="5"/>
      <c r="Q40" s="5"/>
      <c r="R40" s="5"/>
      <c r="S40" s="5"/>
      <c r="T40" s="5"/>
      <c r="U40" s="86"/>
      <c r="V40" s="102"/>
      <c r="W40" s="1155"/>
      <c r="X40" s="1298" t="str">
        <f>"National Trend "&amp;ReportData!$B$8</f>
        <v>National Trend 2024</v>
      </c>
      <c r="Y40" s="1166" t="s">
        <v>67</v>
      </c>
      <c r="Z40" s="1157" t="s">
        <v>68</v>
      </c>
      <c r="AA40" s="1158">
        <v>5</v>
      </c>
      <c r="AB40" s="1299">
        <f>((AA40*Y41)+Z41)/100</f>
        <v>0.94914986872918761</v>
      </c>
      <c r="AC40" s="1267" t="str">
        <f>"r² = "&amp;ROUND(AC41,2)</f>
        <v>r² = 0.12</v>
      </c>
      <c r="AD40" s="1113"/>
      <c r="AE40" s="1113"/>
      <c r="AF40" s="1113"/>
      <c r="AG40" s="1113"/>
      <c r="AH40" s="1113"/>
      <c r="AI40" s="1161" t="b">
        <v>1</v>
      </c>
      <c r="AJ40" s="921" t="s">
        <v>8</v>
      </c>
      <c r="AK40" s="61" t="str">
        <f t="shared" si="16"/>
        <v>Buckinghamshire</v>
      </c>
      <c r="AL40" s="654">
        <f t="shared" si="17"/>
        <v>0.94283246977547497</v>
      </c>
      <c r="AM40" s="647">
        <f t="shared" si="17"/>
        <v>0.91563908495620383</v>
      </c>
      <c r="AN40" s="647">
        <f t="shared" si="17"/>
        <v>0.93131003309387361</v>
      </c>
      <c r="AO40" s="647">
        <f t="shared" si="17"/>
        <v>0.92665388302972207</v>
      </c>
      <c r="AP40" s="655">
        <f t="shared" si="17"/>
        <v>0.91745286195286202</v>
      </c>
      <c r="AQ40" s="666">
        <f>VLOOKUP(AK40,IDACI!$B$9:$C$29,2,FALSE)</f>
        <v>8.5</v>
      </c>
      <c r="AR40" s="649">
        <f t="shared" si="18"/>
        <v>1.6052284584073841E-2</v>
      </c>
      <c r="AS40" s="649">
        <f t="shared" si="18"/>
        <v>8.390498327569591E-3</v>
      </c>
      <c r="AT40" s="649">
        <f t="shared" si="18"/>
        <v>1.4830337712581609E-2</v>
      </c>
      <c r="AU40" s="649">
        <f t="shared" si="18"/>
        <v>1.1684378865553117E-2</v>
      </c>
      <c r="AV40" s="659">
        <f t="shared" si="18"/>
        <v>1.4980752265618734E-2</v>
      </c>
      <c r="AW40" s="662">
        <f t="shared" si="19"/>
        <v>5.5552370578455544E-2</v>
      </c>
      <c r="AX40" s="649">
        <f t="shared" si="19"/>
        <v>9.3939565735018993E-2</v>
      </c>
      <c r="AY40" s="649">
        <f t="shared" si="19"/>
        <v>5.5452567099218183E-2</v>
      </c>
      <c r="AZ40" s="649">
        <f t="shared" si="19"/>
        <v>4.8600426511294315E-2</v>
      </c>
      <c r="BA40" s="659">
        <f t="shared" si="19"/>
        <v>6.9910177239554103E-2</v>
      </c>
      <c r="BB40" s="237"/>
      <c r="BC40" s="237"/>
      <c r="BD40" s="237"/>
      <c r="BE40" s="237"/>
      <c r="BF40" s="237"/>
      <c r="BG40" s="237"/>
      <c r="BH40" s="237"/>
      <c r="BI40" s="237"/>
      <c r="BJ40" s="237"/>
      <c r="BK40" s="237"/>
      <c r="BL40" s="237"/>
      <c r="BM40" s="237"/>
      <c r="BN40" s="237"/>
      <c r="BO40" s="237"/>
      <c r="BP40" s="237"/>
    </row>
    <row r="41" spans="1:68" ht="14.25" customHeight="1">
      <c r="A41" s="87"/>
      <c r="B41" s="5"/>
      <c r="C41" s="5"/>
      <c r="D41" s="5"/>
      <c r="E41" s="5"/>
      <c r="F41" s="5"/>
      <c r="G41" s="5"/>
      <c r="H41" s="5"/>
      <c r="I41" s="5"/>
      <c r="J41" s="1"/>
      <c r="K41" s="10"/>
      <c r="L41" s="10"/>
      <c r="M41" s="10"/>
      <c r="N41" s="10"/>
      <c r="O41" s="5"/>
      <c r="P41" s="5"/>
      <c r="Q41" s="5"/>
      <c r="R41" s="5"/>
      <c r="S41" s="5"/>
      <c r="T41" s="5"/>
      <c r="U41" s="86"/>
      <c r="V41" s="102"/>
      <c r="W41" s="1155"/>
      <c r="X41" s="1168" t="str">
        <f>"Y= "&amp;Y41&amp;"x + "&amp;Z41</f>
        <v>Y= -0.178773615398591x + 95.8088549499117</v>
      </c>
      <c r="Y41" s="1300">
        <f>ReportData!$H$15</f>
        <v>-0.17877361539859116</v>
      </c>
      <c r="Z41" s="1300">
        <f>ReportData!$H$16</f>
        <v>95.808854949911719</v>
      </c>
      <c r="AA41" s="1164">
        <v>35</v>
      </c>
      <c r="AB41" s="1299">
        <f>((AA41*Y41)+Z41)/100</f>
        <v>0.89551778410961036</v>
      </c>
      <c r="AC41" s="1300">
        <f>ReportData!$H$17</f>
        <v>0.1223252330649804</v>
      </c>
      <c r="AD41" s="1113"/>
      <c r="AE41" s="1113"/>
      <c r="AF41" s="1113"/>
      <c r="AG41" s="1113"/>
      <c r="AH41" s="1113"/>
      <c r="AI41" s="1161" t="b">
        <v>1</v>
      </c>
      <c r="AJ41" s="921" t="s">
        <v>4</v>
      </c>
      <c r="AK41" s="61" t="str">
        <f t="shared" si="16"/>
        <v>East Sussex</v>
      </c>
      <c r="AL41" s="654">
        <f t="shared" si="17"/>
        <v>0.89980074010816957</v>
      </c>
      <c r="AM41" s="647">
        <f t="shared" si="17"/>
        <v>0.89878425318409871</v>
      </c>
      <c r="AN41" s="647">
        <f t="shared" si="17"/>
        <v>0.91932599077473409</v>
      </c>
      <c r="AO41" s="647">
        <f t="shared" si="17"/>
        <v>0.88811844077961033</v>
      </c>
      <c r="AP41" s="655">
        <f t="shared" si="17"/>
        <v>0.88260731121586766</v>
      </c>
      <c r="AQ41" s="666">
        <f>VLOOKUP(AK41,IDACI!$B$9:$C$29,2,FALSE)</f>
        <v>16.100000000000001</v>
      </c>
      <c r="AR41" s="649">
        <f t="shared" si="18"/>
        <v>3.7895534642834586E-2</v>
      </c>
      <c r="AS41" s="649">
        <f t="shared" si="18"/>
        <v>4.3635075516053203E-2</v>
      </c>
      <c r="AT41" s="649">
        <f t="shared" si="18"/>
        <v>3.9094908862350723E-2</v>
      </c>
      <c r="AU41" s="649">
        <f t="shared" si="18"/>
        <v>4.1599500156201188E-2</v>
      </c>
      <c r="AV41" s="659">
        <f t="shared" si="18"/>
        <v>4.1921662669864114E-2</v>
      </c>
      <c r="AW41" s="662">
        <f t="shared" si="19"/>
        <v>1.2189730310111791E-2</v>
      </c>
      <c r="AX41" s="649">
        <f t="shared" si="19"/>
        <v>1.275239107332625E-2</v>
      </c>
      <c r="AY41" s="649">
        <f t="shared" si="19"/>
        <v>1.4990571967316154E-2</v>
      </c>
      <c r="AZ41" s="649">
        <f t="shared" si="19"/>
        <v>1.1711767473133031E-2</v>
      </c>
      <c r="BA41" s="659">
        <f t="shared" si="19"/>
        <v>8.9832134292565959E-3</v>
      </c>
      <c r="BB41" s="237"/>
      <c r="BC41" s="237"/>
      <c r="BD41" s="237"/>
      <c r="BE41" s="237"/>
      <c r="BF41" s="237"/>
      <c r="BG41" s="237"/>
      <c r="BH41" s="237"/>
      <c r="BI41" s="237"/>
      <c r="BJ41" s="237"/>
      <c r="BK41" s="237"/>
      <c r="BL41" s="237"/>
      <c r="BM41" s="237"/>
      <c r="BN41" s="237"/>
      <c r="BO41" s="237"/>
      <c r="BP41" s="237"/>
    </row>
    <row r="42" spans="1:68" ht="14.25" customHeight="1">
      <c r="A42" s="87"/>
      <c r="B42" s="76"/>
      <c r="C42" s="76"/>
      <c r="D42" s="77"/>
      <c r="E42" s="77"/>
      <c r="F42" s="77"/>
      <c r="G42" s="77"/>
      <c r="H42" s="77"/>
      <c r="I42" s="77"/>
      <c r="J42" s="1"/>
      <c r="K42" s="5"/>
      <c r="L42" s="5"/>
      <c r="M42" s="5"/>
      <c r="N42" s="5"/>
      <c r="O42" s="5"/>
      <c r="P42" s="5"/>
      <c r="Q42" s="5"/>
      <c r="R42" s="5"/>
      <c r="S42" s="5"/>
      <c r="T42" s="5"/>
      <c r="U42" s="86"/>
      <c r="V42" s="102"/>
      <c r="W42" s="1155"/>
      <c r="X42" s="746"/>
      <c r="Y42" s="746"/>
      <c r="Z42" s="746"/>
      <c r="AA42" s="746"/>
      <c r="AB42" s="360"/>
      <c r="AC42" s="1113"/>
      <c r="AD42" s="1113"/>
      <c r="AE42" s="1113"/>
      <c r="AF42" s="1113"/>
      <c r="AG42" s="1113"/>
      <c r="AH42" s="1113"/>
      <c r="AI42" s="1161" t="b">
        <v>1</v>
      </c>
      <c r="AJ42" s="921" t="s">
        <v>6</v>
      </c>
      <c r="AK42" s="61" t="str">
        <f t="shared" si="16"/>
        <v>Hampshire</v>
      </c>
      <c r="AL42" s="654">
        <f t="shared" si="17"/>
        <v>0.92507707737454037</v>
      </c>
      <c r="AM42" s="647">
        <f t="shared" si="17"/>
        <v>0.92699754370755671</v>
      </c>
      <c r="AN42" s="647">
        <f t="shared" si="17"/>
        <v>0.91655027932960897</v>
      </c>
      <c r="AO42" s="647">
        <f t="shared" si="17"/>
        <v>0.92355350915800538</v>
      </c>
      <c r="AP42" s="655">
        <f t="shared" si="17"/>
        <v>0.91127250972180673</v>
      </c>
      <c r="AQ42" s="666">
        <f>VLOOKUP(AK42,IDACI!$B$9:$C$29,2,FALSE)</f>
        <v>10.100000000000001</v>
      </c>
      <c r="AR42" s="649">
        <f t="shared" si="18"/>
        <v>1.7708320433915768E-2</v>
      </c>
      <c r="AS42" s="649">
        <f t="shared" si="18"/>
        <v>1.7371101132793221E-2</v>
      </c>
      <c r="AT42" s="649">
        <f t="shared" si="18"/>
        <v>2.2740490868907757E-2</v>
      </c>
      <c r="AU42" s="649">
        <f t="shared" si="18"/>
        <v>2.3430019583396276E-2</v>
      </c>
      <c r="AV42" s="659">
        <f t="shared" si="18"/>
        <v>3.0007976601967561E-2</v>
      </c>
      <c r="AW42" s="662">
        <f t="shared" si="19"/>
        <v>2.0940398499126968E-2</v>
      </c>
      <c r="AX42" s="649">
        <f t="shared" si="19"/>
        <v>2.0115807340885285E-2</v>
      </c>
      <c r="AY42" s="649">
        <f t="shared" si="19"/>
        <v>2.901011980923578E-2</v>
      </c>
      <c r="AZ42" s="649">
        <f t="shared" si="19"/>
        <v>1.2786246460994801E-2</v>
      </c>
      <c r="BA42" s="659">
        <f t="shared" si="19"/>
        <v>1.800478596118054E-2</v>
      </c>
      <c r="BB42" s="237"/>
      <c r="BC42" s="237"/>
      <c r="BD42" s="237"/>
      <c r="BE42" s="237"/>
      <c r="BF42" s="237"/>
      <c r="BG42" s="237"/>
      <c r="BH42" s="237"/>
      <c r="BI42" s="237"/>
      <c r="BJ42" s="237"/>
      <c r="BK42" s="237"/>
      <c r="BL42" s="237"/>
      <c r="BM42" s="237"/>
      <c r="BN42" s="237"/>
      <c r="BO42" s="237"/>
      <c r="BP42" s="237"/>
    </row>
    <row r="43" spans="1:68" ht="14.25" customHeight="1">
      <c r="A43" s="87"/>
      <c r="B43" s="77"/>
      <c r="C43" s="77"/>
      <c r="D43" s="77"/>
      <c r="E43" s="77"/>
      <c r="F43" s="77"/>
      <c r="G43" s="77"/>
      <c r="H43" s="77"/>
      <c r="I43" s="77"/>
      <c r="J43" s="1"/>
      <c r="K43" s="5"/>
      <c r="L43" s="5"/>
      <c r="M43" s="5"/>
      <c r="N43" s="5"/>
      <c r="O43" s="5"/>
      <c r="P43" s="5"/>
      <c r="Q43" s="5"/>
      <c r="R43" s="5"/>
      <c r="S43" s="5"/>
      <c r="T43" s="5"/>
      <c r="U43" s="86"/>
      <c r="V43" s="102"/>
      <c r="W43" s="1155"/>
      <c r="X43" s="746"/>
      <c r="Y43" s="746"/>
      <c r="Z43" s="746"/>
      <c r="AA43" s="746"/>
      <c r="AB43" s="1113"/>
      <c r="AC43" s="1113"/>
      <c r="AD43" s="1113"/>
      <c r="AE43" s="1113"/>
      <c r="AF43" s="1113"/>
      <c r="AG43" s="1113"/>
      <c r="AH43" s="1113"/>
      <c r="AI43" s="1161" t="b">
        <v>1</v>
      </c>
      <c r="AJ43" s="921" t="s">
        <v>1</v>
      </c>
      <c r="AK43" s="61" t="str">
        <f t="shared" si="16"/>
        <v>Isle of Wight</v>
      </c>
      <c r="AL43" s="654">
        <f t="shared" si="17"/>
        <v>0.93103448275862066</v>
      </c>
      <c r="AM43" s="647">
        <f t="shared" si="17"/>
        <v>0.95287958115183236</v>
      </c>
      <c r="AN43" s="647">
        <f t="shared" si="17"/>
        <v>0.93801965230536655</v>
      </c>
      <c r="AO43" s="647">
        <f t="shared" si="17"/>
        <v>0.92462495426271518</v>
      </c>
      <c r="AP43" s="655">
        <f t="shared" si="17"/>
        <v>0.90335795454545464</v>
      </c>
      <c r="AQ43" s="666">
        <f>VLOOKUP(AK43,IDACI!$B$9:$C$29,2,FALSE)</f>
        <v>18</v>
      </c>
      <c r="AR43" s="649">
        <f t="shared" si="18"/>
        <v>2.4798839203271337E-2</v>
      </c>
      <c r="AS43" s="649">
        <f t="shared" si="18"/>
        <v>1.7195056421278884E-2</v>
      </c>
      <c r="AT43" s="649">
        <f t="shared" si="18"/>
        <v>1.652262328418912E-2</v>
      </c>
      <c r="AU43" s="649">
        <f t="shared" si="18"/>
        <v>1.8048795894872901E-2</v>
      </c>
      <c r="AV43" s="659">
        <f t="shared" si="18"/>
        <v>3.6837818181818187E-2</v>
      </c>
      <c r="AW43" s="662">
        <f t="shared" si="19"/>
        <v>8.8378841841445718E-3</v>
      </c>
      <c r="AX43" s="649">
        <f t="shared" si="19"/>
        <v>6.5824825362708218E-3</v>
      </c>
      <c r="AY43" s="649">
        <f t="shared" si="19"/>
        <v>3.7366548042704624E-2</v>
      </c>
      <c r="AZ43" s="649">
        <f t="shared" si="19"/>
        <v>8.1709252640494532E-3</v>
      </c>
      <c r="BA43" s="659">
        <f t="shared" si="19"/>
        <v>5.1163636363636368E-3</v>
      </c>
      <c r="BB43" s="237"/>
      <c r="BC43" s="237"/>
      <c r="BD43" s="237"/>
      <c r="BE43" s="237"/>
      <c r="BF43" s="237"/>
      <c r="BG43" s="237"/>
      <c r="BH43" s="237"/>
      <c r="BI43" s="237"/>
      <c r="BJ43" s="237"/>
      <c r="BK43" s="237"/>
      <c r="BL43" s="237"/>
      <c r="BM43" s="237"/>
      <c r="BN43" s="237"/>
      <c r="BO43" s="237"/>
      <c r="BP43" s="237"/>
    </row>
    <row r="44" spans="1:68" ht="14.25" customHeight="1">
      <c r="A44" s="87"/>
      <c r="B44" s="77"/>
      <c r="C44" s="77"/>
      <c r="D44" s="77"/>
      <c r="E44" s="77"/>
      <c r="F44" s="77"/>
      <c r="G44" s="77"/>
      <c r="H44" s="77"/>
      <c r="I44" s="77"/>
      <c r="J44" s="1"/>
      <c r="K44" s="5"/>
      <c r="L44" s="5"/>
      <c r="M44" s="5"/>
      <c r="N44" s="5"/>
      <c r="O44" s="5"/>
      <c r="P44" s="5"/>
      <c r="Q44" s="5"/>
      <c r="R44" s="5"/>
      <c r="S44" s="5"/>
      <c r="T44" s="5"/>
      <c r="U44" s="86"/>
      <c r="V44" s="102"/>
      <c r="W44" s="1155"/>
      <c r="X44" s="746"/>
      <c r="Y44" s="746"/>
      <c r="Z44" s="746"/>
      <c r="AA44" s="746"/>
      <c r="AB44" s="1113"/>
      <c r="AC44" s="1170"/>
      <c r="AD44" s="1113"/>
      <c r="AE44" s="1113"/>
      <c r="AF44" s="1113"/>
      <c r="AG44" s="1113"/>
      <c r="AH44" s="1113"/>
      <c r="AI44" s="1161" t="b">
        <v>1</v>
      </c>
      <c r="AJ44" s="921" t="s">
        <v>9</v>
      </c>
      <c r="AK44" s="61" t="str">
        <f t="shared" si="16"/>
        <v>Kent</v>
      </c>
      <c r="AL44" s="654">
        <f t="shared" si="17"/>
        <v>0.89858809085328417</v>
      </c>
      <c r="AM44" s="647">
        <f t="shared" si="17"/>
        <v>0.89350761987362159</v>
      </c>
      <c r="AN44" s="647">
        <f t="shared" si="17"/>
        <v>0.90727570302038385</v>
      </c>
      <c r="AO44" s="647">
        <f t="shared" si="17"/>
        <v>0.91404731285701468</v>
      </c>
      <c r="AP44" s="655">
        <f t="shared" si="17"/>
        <v>0.90326417412673332</v>
      </c>
      <c r="AQ44" s="666">
        <f>VLOOKUP(AK44,IDACI!$B$9:$C$29,2,FALSE)</f>
        <v>15.8</v>
      </c>
      <c r="AR44" s="649">
        <f t="shared" si="18"/>
        <v>2.7902919595669352E-2</v>
      </c>
      <c r="AS44" s="649">
        <f t="shared" si="18"/>
        <v>3.2897319860310373E-2</v>
      </c>
      <c r="AT44" s="649">
        <f t="shared" si="18"/>
        <v>2.9879470264371807E-2</v>
      </c>
      <c r="AU44" s="649">
        <f t="shared" si="18"/>
        <v>2.9403164547290011E-2</v>
      </c>
      <c r="AV44" s="659">
        <f t="shared" si="18"/>
        <v>3.3018347818453163E-2</v>
      </c>
      <c r="AW44" s="662">
        <f t="shared" si="19"/>
        <v>3.5732977577094774E-2</v>
      </c>
      <c r="AX44" s="649">
        <f t="shared" si="19"/>
        <v>4.405595850639555E-2</v>
      </c>
      <c r="AY44" s="649">
        <f t="shared" si="19"/>
        <v>4.5513615396061705E-2</v>
      </c>
      <c r="AZ44" s="649">
        <f t="shared" si="19"/>
        <v>1.8880650520957082E-2</v>
      </c>
      <c r="BA44" s="659">
        <f t="shared" si="19"/>
        <v>2.5013899862464519E-2</v>
      </c>
      <c r="BB44" s="237"/>
      <c r="BC44" s="237"/>
      <c r="BD44" s="237"/>
      <c r="BE44" s="237"/>
      <c r="BF44" s="237"/>
      <c r="BG44" s="237"/>
      <c r="BH44" s="237"/>
      <c r="BI44" s="237"/>
      <c r="BJ44" s="237"/>
      <c r="BK44" s="237"/>
      <c r="BL44" s="237"/>
      <c r="BM44" s="237"/>
      <c r="BN44" s="237"/>
      <c r="BO44" s="237"/>
      <c r="BP44" s="237"/>
    </row>
    <row r="45" spans="1:68" ht="14.25" customHeight="1">
      <c r="A45" s="87"/>
      <c r="B45" s="40"/>
      <c r="C45" s="40"/>
      <c r="D45" s="40"/>
      <c r="E45" s="40"/>
      <c r="F45" s="40"/>
      <c r="G45" s="40"/>
      <c r="H45" s="40"/>
      <c r="I45" s="40"/>
      <c r="J45" s="1"/>
      <c r="K45" s="5"/>
      <c r="L45" s="5"/>
      <c r="M45" s="5"/>
      <c r="N45" s="5"/>
      <c r="O45" s="5"/>
      <c r="P45" s="5"/>
      <c r="Q45" s="5"/>
      <c r="R45" s="5"/>
      <c r="S45" s="5"/>
      <c r="T45" s="5"/>
      <c r="U45" s="86"/>
      <c r="V45" s="102"/>
      <c r="W45" s="1155"/>
      <c r="X45" s="746"/>
      <c r="Y45" s="746"/>
      <c r="Z45" s="746"/>
      <c r="AA45" s="746"/>
      <c r="AB45" s="1113"/>
      <c r="AC45" s="360"/>
      <c r="AD45" s="1113"/>
      <c r="AE45" s="1113"/>
      <c r="AF45" s="1113"/>
      <c r="AG45" s="1113"/>
      <c r="AH45" s="1113"/>
      <c r="AI45" s="1161" t="b">
        <v>1</v>
      </c>
      <c r="AJ45" s="921" t="s">
        <v>2</v>
      </c>
      <c r="AK45" s="61" t="str">
        <f t="shared" si="16"/>
        <v>Medway</v>
      </c>
      <c r="AL45" s="654">
        <f t="shared" si="17"/>
        <v>0.91277063068716657</v>
      </c>
      <c r="AM45" s="647">
        <f t="shared" si="17"/>
        <v>0.87360890302066774</v>
      </c>
      <c r="AN45" s="647">
        <f t="shared" si="17"/>
        <v>0.91586612953207314</v>
      </c>
      <c r="AO45" s="647">
        <f t="shared" si="17"/>
        <v>0.87380988363306633</v>
      </c>
      <c r="AP45" s="655">
        <f t="shared" si="17"/>
        <v>0.90451658218682118</v>
      </c>
      <c r="AQ45" s="666">
        <f>VLOOKUP(AK45,IDACI!$B$9:$C$29,2,FALSE)</f>
        <v>18.899999999999999</v>
      </c>
      <c r="AR45" s="649">
        <f t="shared" si="18"/>
        <v>2.8056951423785597E-2</v>
      </c>
      <c r="AS45" s="649">
        <f t="shared" si="18"/>
        <v>2.9494307651575326E-2</v>
      </c>
      <c r="AT45" s="649">
        <f t="shared" si="18"/>
        <v>3.397114499130257E-2</v>
      </c>
      <c r="AU45" s="649">
        <f t="shared" si="18"/>
        <v>3.0584334587683993E-2</v>
      </c>
      <c r="AV45" s="659">
        <f t="shared" si="18"/>
        <v>2.9608752354731194E-2</v>
      </c>
      <c r="AW45" s="662">
        <f t="shared" si="19"/>
        <v>4.1404941373534336E-2</v>
      </c>
      <c r="AX45" s="649">
        <f t="shared" si="19"/>
        <v>9.0442149854381787E-2</v>
      </c>
      <c r="AY45" s="649">
        <f t="shared" si="19"/>
        <v>4.5021999386063646E-2</v>
      </c>
      <c r="AZ45" s="649">
        <f t="shared" si="19"/>
        <v>8.5698756648213179E-2</v>
      </c>
      <c r="BA45" s="659">
        <f t="shared" si="19"/>
        <v>3.1582669178379943E-2</v>
      </c>
      <c r="BB45" s="237"/>
      <c r="BC45" s="237"/>
      <c r="BD45" s="237"/>
      <c r="BE45" s="237"/>
      <c r="BF45" s="237"/>
      <c r="BG45" s="237"/>
      <c r="BH45" s="237"/>
      <c r="BI45" s="237"/>
      <c r="BJ45" s="237"/>
      <c r="BK45" s="237"/>
      <c r="BL45" s="237"/>
      <c r="BM45" s="237"/>
      <c r="BN45" s="237"/>
      <c r="BO45" s="237"/>
      <c r="BP45" s="237"/>
    </row>
    <row r="46" spans="1:68" ht="14.25" customHeight="1">
      <c r="A46" s="87"/>
      <c r="B46" s="40"/>
      <c r="C46" s="40"/>
      <c r="D46" s="49"/>
      <c r="E46" s="50"/>
      <c r="F46" s="49"/>
      <c r="G46" s="50"/>
      <c r="H46" s="50"/>
      <c r="I46" s="50"/>
      <c r="J46" s="1"/>
      <c r="K46" s="5"/>
      <c r="L46" s="5"/>
      <c r="M46" s="5"/>
      <c r="N46" s="5"/>
      <c r="O46" s="5"/>
      <c r="P46" s="5"/>
      <c r="Q46" s="5"/>
      <c r="R46" s="5"/>
      <c r="S46" s="5"/>
      <c r="T46" s="5"/>
      <c r="U46" s="86"/>
      <c r="V46" s="102"/>
      <c r="W46" s="1155"/>
      <c r="X46" s="746"/>
      <c r="Y46" s="746"/>
      <c r="Z46" s="746"/>
      <c r="AA46" s="746"/>
      <c r="AB46" s="1113"/>
      <c r="AC46" s="1113"/>
      <c r="AD46" s="1113"/>
      <c r="AE46" s="1113"/>
      <c r="AF46" s="1113"/>
      <c r="AG46" s="1113"/>
      <c r="AH46" s="1113"/>
      <c r="AI46" s="1161" t="b">
        <v>1</v>
      </c>
      <c r="AJ46" s="921" t="s">
        <v>10</v>
      </c>
      <c r="AK46" s="61" t="str">
        <f t="shared" si="16"/>
        <v>Milton Keynes</v>
      </c>
      <c r="AL46" s="654">
        <f t="shared" si="17"/>
        <v>0.92088346794132203</v>
      </c>
      <c r="AM46" s="647">
        <f t="shared" si="17"/>
        <v>0.91051704818312795</v>
      </c>
      <c r="AN46" s="647">
        <f t="shared" si="17"/>
        <v>0.93306906540631185</v>
      </c>
      <c r="AO46" s="647">
        <f t="shared" si="17"/>
        <v>0.93987200476261346</v>
      </c>
      <c r="AP46" s="655">
        <f t="shared" si="17"/>
        <v>0.93990363609157568</v>
      </c>
      <c r="AQ46" s="666">
        <f>VLOOKUP(AK46,IDACI!$B$9:$C$29,2,FALSE)</f>
        <v>15</v>
      </c>
      <c r="AR46" s="649">
        <f t="shared" si="18"/>
        <v>3.3107101473266017E-2</v>
      </c>
      <c r="AS46" s="649">
        <f t="shared" si="18"/>
        <v>3.2698276784758645E-2</v>
      </c>
      <c r="AT46" s="649">
        <f t="shared" si="18"/>
        <v>3.1424227065382664E-2</v>
      </c>
      <c r="AU46" s="649">
        <f t="shared" si="18"/>
        <v>2.4505731775299581E-2</v>
      </c>
      <c r="AV46" s="659">
        <f t="shared" si="18"/>
        <v>1.9913212629058808E-2</v>
      </c>
      <c r="AW46" s="662">
        <f t="shared" si="19"/>
        <v>1.4180875131048942E-2</v>
      </c>
      <c r="AX46" s="649">
        <f t="shared" si="19"/>
        <v>2.4189232580541582E-2</v>
      </c>
      <c r="AY46" s="649">
        <f t="shared" si="19"/>
        <v>1.5560060821084644E-2</v>
      </c>
      <c r="AZ46" s="649">
        <f t="shared" si="19"/>
        <v>1.3567902449457553E-2</v>
      </c>
      <c r="BA46" s="659">
        <f t="shared" si="19"/>
        <v>1.2943588208888225E-2</v>
      </c>
      <c r="BB46" s="237"/>
      <c r="BC46" s="237"/>
      <c r="BD46" s="237"/>
      <c r="BE46" s="237"/>
      <c r="BF46" s="237"/>
      <c r="BG46" s="237"/>
      <c r="BH46" s="237"/>
      <c r="BI46" s="237"/>
      <c r="BJ46" s="237"/>
      <c r="BK46" s="237"/>
      <c r="BL46" s="237"/>
      <c r="BM46" s="237"/>
      <c r="BN46" s="237"/>
      <c r="BO46" s="237"/>
      <c r="BP46" s="237"/>
    </row>
    <row r="47" spans="1:68" ht="14.25" customHeight="1">
      <c r="A47" s="87"/>
      <c r="B47" s="40"/>
      <c r="C47" s="40"/>
      <c r="D47" s="43"/>
      <c r="E47" s="43"/>
      <c r="F47" s="43"/>
      <c r="G47" s="43"/>
      <c r="H47" s="43"/>
      <c r="I47" s="43"/>
      <c r="J47" s="1"/>
      <c r="K47" s="5"/>
      <c r="L47" s="5"/>
      <c r="M47" s="5"/>
      <c r="N47" s="5"/>
      <c r="O47" s="5"/>
      <c r="P47" s="5"/>
      <c r="Q47" s="5"/>
      <c r="R47" s="5"/>
      <c r="S47" s="5"/>
      <c r="T47" s="5"/>
      <c r="U47" s="86"/>
      <c r="V47" s="102"/>
      <c r="W47" s="1155"/>
      <c r="X47" s="746"/>
      <c r="Y47" s="746"/>
      <c r="Z47" s="746"/>
      <c r="AA47" s="746"/>
      <c r="AB47" s="1113"/>
      <c r="AC47" s="1113"/>
      <c r="AD47" s="1113"/>
      <c r="AE47" s="1113"/>
      <c r="AF47" s="1113"/>
      <c r="AG47" s="1113"/>
      <c r="AH47" s="1113"/>
      <c r="AI47" s="1161" t="b">
        <v>1</v>
      </c>
      <c r="AJ47" s="921" t="s">
        <v>11</v>
      </c>
      <c r="AK47" s="61" t="str">
        <f t="shared" si="16"/>
        <v>Oxfordshire</v>
      </c>
      <c r="AL47" s="654">
        <f t="shared" si="17"/>
        <v>0.94304763434814043</v>
      </c>
      <c r="AM47" s="647">
        <f t="shared" si="17"/>
        <v>0.94564030572453595</v>
      </c>
      <c r="AN47" s="647">
        <f t="shared" si="17"/>
        <v>0.9411499436302142</v>
      </c>
      <c r="AO47" s="647">
        <f t="shared" si="17"/>
        <v>0.94392033542976927</v>
      </c>
      <c r="AP47" s="655">
        <f t="shared" si="17"/>
        <v>0.93606701990548469</v>
      </c>
      <c r="AQ47" s="666">
        <f>VLOOKUP(AK47,IDACI!$B$9:$C$29,2,FALSE)</f>
        <v>10.100000000000001</v>
      </c>
      <c r="AR47" s="649">
        <f t="shared" si="18"/>
        <v>1.6412818653128106E-2</v>
      </c>
      <c r="AS47" s="649">
        <f t="shared" si="18"/>
        <v>1.5651991833743391E-2</v>
      </c>
      <c r="AT47" s="649">
        <f t="shared" si="18"/>
        <v>2.4867724867724868E-2</v>
      </c>
      <c r="AU47" s="649">
        <f t="shared" si="18"/>
        <v>1.7502617971587614E-2</v>
      </c>
      <c r="AV47" s="659">
        <f t="shared" si="18"/>
        <v>1.8001288844336247E-2</v>
      </c>
      <c r="AW47" s="662">
        <f t="shared" si="19"/>
        <v>2.7802401482794746E-2</v>
      </c>
      <c r="AX47" s="649">
        <f t="shared" si="19"/>
        <v>2.1043815107574727E-2</v>
      </c>
      <c r="AY47" s="649">
        <f t="shared" si="19"/>
        <v>1.6150163769211388E-2</v>
      </c>
      <c r="AZ47" s="649">
        <f t="shared" si="19"/>
        <v>1.8933414346949968E-2</v>
      </c>
      <c r="BA47" s="659">
        <f t="shared" si="19"/>
        <v>2.6001861664041247E-2</v>
      </c>
      <c r="BB47" s="237"/>
      <c r="BC47" s="237"/>
      <c r="BD47" s="237"/>
      <c r="BE47" s="237"/>
      <c r="BF47" s="237"/>
      <c r="BG47" s="237"/>
      <c r="BH47" s="237"/>
      <c r="BI47" s="237"/>
      <c r="BJ47" s="237"/>
      <c r="BK47" s="237"/>
      <c r="BL47" s="237"/>
      <c r="BM47" s="237"/>
      <c r="BN47" s="237"/>
      <c r="BO47" s="237"/>
      <c r="BP47" s="237"/>
    </row>
    <row r="48" spans="1:68" ht="14.25" customHeight="1">
      <c r="A48" s="87"/>
      <c r="B48" s="48"/>
      <c r="C48" s="48"/>
      <c r="D48" s="40"/>
      <c r="E48" s="40"/>
      <c r="F48" s="40"/>
      <c r="G48" s="40"/>
      <c r="H48" s="40"/>
      <c r="I48" s="40"/>
      <c r="J48" s="1"/>
      <c r="K48" s="5"/>
      <c r="L48" s="5"/>
      <c r="M48" s="5"/>
      <c r="N48" s="5"/>
      <c r="O48" s="5"/>
      <c r="P48" s="5"/>
      <c r="Q48" s="5"/>
      <c r="R48" s="5"/>
      <c r="S48" s="5"/>
      <c r="T48" s="5"/>
      <c r="U48" s="86"/>
      <c r="V48" s="102"/>
      <c r="W48" s="1155"/>
      <c r="X48" s="746"/>
      <c r="Y48" s="746"/>
      <c r="Z48" s="746"/>
      <c r="AA48" s="746"/>
      <c r="AB48" s="1113"/>
      <c r="AC48" s="1113"/>
      <c r="AD48" s="1113"/>
      <c r="AE48" s="1113"/>
      <c r="AF48" s="1113"/>
      <c r="AG48" s="1113"/>
      <c r="AH48" s="1113"/>
      <c r="AI48" s="1161" t="b">
        <v>1</v>
      </c>
      <c r="AJ48" s="921" t="s">
        <v>12</v>
      </c>
      <c r="AK48" s="61" t="str">
        <f t="shared" si="16"/>
        <v>Portsmouth</v>
      </c>
      <c r="AL48" s="654">
        <f t="shared" ref="AL48:AP58" si="20">VLOOKUP($AK48,$B$11:$O$31,AL$34,FALSE)</f>
        <v>0.91984938138784289</v>
      </c>
      <c r="AM48" s="647">
        <f t="shared" si="20"/>
        <v>0.9106693507800705</v>
      </c>
      <c r="AN48" s="647">
        <f t="shared" si="20"/>
        <v>0.91566854069909553</v>
      </c>
      <c r="AO48" s="647">
        <f t="shared" si="20"/>
        <v>0.90741626794258368</v>
      </c>
      <c r="AP48" s="655">
        <f t="shared" si="20"/>
        <v>0.89658726469904726</v>
      </c>
      <c r="AQ48" s="666">
        <f>VLOOKUP(AK48,IDACI!$B$9:$C$29,2,FALSE)</f>
        <v>20.200000000000003</v>
      </c>
      <c r="AR48" s="649">
        <f t="shared" ref="AR48:AV58" si="21">VLOOKUP($AK48,$B$74:$H$94,AR$34,FALSE)</f>
        <v>3.774464119291706E-2</v>
      </c>
      <c r="AS48" s="649">
        <f t="shared" si="21"/>
        <v>4.1718919822757293E-2</v>
      </c>
      <c r="AT48" s="649">
        <f t="shared" si="21"/>
        <v>4.4291338582677163E-2</v>
      </c>
      <c r="AU48" s="649">
        <f t="shared" si="21"/>
        <v>3.8169535323927362E-2</v>
      </c>
      <c r="AV48" s="659">
        <f t="shared" si="21"/>
        <v>3.8485416666666668E-2</v>
      </c>
      <c r="AW48" s="662">
        <f t="shared" ref="AW48:BA58" si="22">VLOOKUP($AK48,$B$107:$H$127,AW$34,FALSE)</f>
        <v>1.0531220876048462E-2</v>
      </c>
      <c r="AX48" s="649">
        <f t="shared" si="22"/>
        <v>8.4441100242454645E-3</v>
      </c>
      <c r="AY48" s="649">
        <f t="shared" si="22"/>
        <v>1.1400918635170603E-2</v>
      </c>
      <c r="AZ48" s="649">
        <f t="shared" si="22"/>
        <v>8.3855914192915437E-3</v>
      </c>
      <c r="BA48" s="659">
        <f t="shared" si="22"/>
        <v>1.5788888888888887E-2</v>
      </c>
      <c r="BB48" s="237"/>
      <c r="BC48" s="237"/>
      <c r="BD48" s="237"/>
      <c r="BE48" s="237"/>
      <c r="BF48" s="237"/>
      <c r="BG48" s="237"/>
      <c r="BH48" s="237"/>
      <c r="BI48" s="237"/>
      <c r="BJ48" s="237"/>
      <c r="BK48" s="237"/>
      <c r="BL48" s="237"/>
      <c r="BM48" s="237"/>
      <c r="BN48" s="237"/>
      <c r="BO48" s="237"/>
      <c r="BP48" s="237"/>
    </row>
    <row r="49" spans="1:68" ht="14.25" customHeight="1">
      <c r="A49" s="87"/>
      <c r="B49" s="48"/>
      <c r="C49" s="48"/>
      <c r="D49" s="40"/>
      <c r="E49" s="40"/>
      <c r="F49" s="40"/>
      <c r="G49" s="40"/>
      <c r="H49" s="40"/>
      <c r="I49" s="40"/>
      <c r="J49" s="1"/>
      <c r="K49" s="5"/>
      <c r="L49" s="5"/>
      <c r="M49" s="5"/>
      <c r="N49" s="5"/>
      <c r="O49" s="5"/>
      <c r="P49" s="5"/>
      <c r="Q49" s="5"/>
      <c r="R49" s="5"/>
      <c r="S49" s="5"/>
      <c r="T49" s="5"/>
      <c r="U49" s="86"/>
      <c r="V49" s="102"/>
      <c r="W49" s="1155"/>
      <c r="X49" s="746"/>
      <c r="Y49" s="746"/>
      <c r="Z49" s="746"/>
      <c r="AA49" s="746"/>
      <c r="AB49" s="1113"/>
      <c r="AC49" s="1113"/>
      <c r="AD49" s="1113"/>
      <c r="AE49" s="1113"/>
      <c r="AF49" s="1113"/>
      <c r="AG49" s="1113"/>
      <c r="AH49" s="1113"/>
      <c r="AI49" s="1161" t="b">
        <v>1</v>
      </c>
      <c r="AJ49" s="921" t="s">
        <v>3</v>
      </c>
      <c r="AK49" s="61" t="str">
        <f t="shared" si="16"/>
        <v>Reading</v>
      </c>
      <c r="AL49" s="654">
        <f t="shared" si="20"/>
        <v>0.89986282578875176</v>
      </c>
      <c r="AM49" s="647">
        <f t="shared" si="20"/>
        <v>0.896391923204237</v>
      </c>
      <c r="AN49" s="647">
        <f t="shared" si="20"/>
        <v>0.91821327461465863</v>
      </c>
      <c r="AO49" s="647">
        <f t="shared" si="20"/>
        <v>0.93625852356952277</v>
      </c>
      <c r="AP49" s="655">
        <f t="shared" si="20"/>
        <v>0.90638095238095229</v>
      </c>
      <c r="AQ49" s="666">
        <f>VLOOKUP(AK49,IDACI!$B$9:$C$29,2,FALSE)</f>
        <v>16</v>
      </c>
      <c r="AR49" s="649">
        <f t="shared" si="21"/>
        <v>4.1769871650529158E-2</v>
      </c>
      <c r="AS49" s="649">
        <f t="shared" si="21"/>
        <v>1.6166537482006423E-2</v>
      </c>
      <c r="AT49" s="649">
        <f t="shared" si="21"/>
        <v>3.0869382612347753E-2</v>
      </c>
      <c r="AU49" s="649">
        <f t="shared" si="21"/>
        <v>2.1353869998859635E-2</v>
      </c>
      <c r="AV49" s="659">
        <f t="shared" si="21"/>
        <v>2.7515850144092215E-2</v>
      </c>
      <c r="AW49" s="662">
        <f t="shared" si="22"/>
        <v>3.3213240261202433E-2</v>
      </c>
      <c r="AX49" s="649">
        <f t="shared" si="22"/>
        <v>0.13287565053703909</v>
      </c>
      <c r="AY49" s="649">
        <f t="shared" si="22"/>
        <v>1.8059638807223857E-2</v>
      </c>
      <c r="AZ49" s="649">
        <f t="shared" si="22"/>
        <v>3.5592177625227935E-3</v>
      </c>
      <c r="BA49" s="659">
        <f t="shared" si="22"/>
        <v>3.9308357348703171E-3</v>
      </c>
      <c r="BB49" s="237"/>
      <c r="BC49" s="237"/>
      <c r="BD49" s="237"/>
      <c r="BE49" s="237"/>
      <c r="BF49" s="237"/>
      <c r="BG49" s="237"/>
      <c r="BH49" s="237"/>
      <c r="BI49" s="237"/>
      <c r="BJ49" s="237"/>
      <c r="BK49" s="237"/>
      <c r="BL49" s="237"/>
      <c r="BM49" s="237"/>
      <c r="BN49" s="237"/>
      <c r="BO49" s="237"/>
      <c r="BP49" s="237"/>
    </row>
    <row r="50" spans="1:68" ht="14.25" customHeight="1">
      <c r="A50" s="87"/>
      <c r="B50" s="48"/>
      <c r="C50" s="48"/>
      <c r="D50" s="40"/>
      <c r="E50" s="40"/>
      <c r="F50" s="40"/>
      <c r="G50" s="40"/>
      <c r="H50" s="40"/>
      <c r="I50" s="40"/>
      <c r="J50" s="1"/>
      <c r="K50" s="5"/>
      <c r="L50" s="5"/>
      <c r="M50" s="5"/>
      <c r="N50" s="5"/>
      <c r="O50" s="5"/>
      <c r="P50" s="5"/>
      <c r="Q50" s="5"/>
      <c r="R50" s="5"/>
      <c r="S50" s="5"/>
      <c r="T50" s="5"/>
      <c r="U50" s="86"/>
      <c r="V50" s="102"/>
      <c r="W50" s="1155"/>
      <c r="X50" s="746"/>
      <c r="Y50" s="746"/>
      <c r="Z50" s="746"/>
      <c r="AA50" s="746"/>
      <c r="AB50" s="1113"/>
      <c r="AC50" s="1113"/>
      <c r="AD50" s="1113"/>
      <c r="AE50" s="1113"/>
      <c r="AF50" s="1113"/>
      <c r="AG50" s="1113"/>
      <c r="AH50" s="1113"/>
      <c r="AI50" s="1161" t="b">
        <v>1</v>
      </c>
      <c r="AJ50" s="921" t="s">
        <v>13</v>
      </c>
      <c r="AK50" s="61" t="str">
        <f t="shared" si="16"/>
        <v>Slough</v>
      </c>
      <c r="AL50" s="654">
        <f t="shared" si="20"/>
        <v>0.93632455668995163</v>
      </c>
      <c r="AM50" s="647">
        <f t="shared" si="20"/>
        <v>0.92494255808016335</v>
      </c>
      <c r="AN50" s="647">
        <f t="shared" si="20"/>
        <v>0.9436224489795918</v>
      </c>
      <c r="AO50" s="647">
        <f t="shared" si="20"/>
        <v>0.94348244348244348</v>
      </c>
      <c r="AP50" s="655">
        <f t="shared" si="20"/>
        <v>0.93884676145339652</v>
      </c>
      <c r="AQ50" s="666">
        <f>VLOOKUP(AK50,IDACI!$B$9:$C$29,2,FALSE)</f>
        <v>14.7</v>
      </c>
      <c r="AR50" s="649">
        <f t="shared" si="21"/>
        <v>3.1236015394254007E-2</v>
      </c>
      <c r="AS50" s="649">
        <f t="shared" si="21"/>
        <v>3.2054021711257374E-2</v>
      </c>
      <c r="AT50" s="649">
        <f t="shared" si="21"/>
        <v>3.6967632027257238E-2</v>
      </c>
      <c r="AU50" s="649">
        <f t="shared" si="21"/>
        <v>2.2601020818489626E-2</v>
      </c>
      <c r="AV50" s="659">
        <f t="shared" si="21"/>
        <v>2.6000000000000002E-2</v>
      </c>
      <c r="AW50" s="662">
        <f t="shared" si="22"/>
        <v>8.4131388167904778E-3</v>
      </c>
      <c r="AX50" s="649">
        <f t="shared" si="22"/>
        <v>1.008633216514232E-2</v>
      </c>
      <c r="AY50" s="649">
        <f t="shared" si="22"/>
        <v>6.9846678023850082E-3</v>
      </c>
      <c r="AZ50" s="649">
        <f t="shared" si="22"/>
        <v>6.946641527746697E-3</v>
      </c>
      <c r="BA50" s="659">
        <f t="shared" si="22"/>
        <v>2.2000000000000002E-2</v>
      </c>
      <c r="BB50" s="237"/>
      <c r="BC50" s="237"/>
      <c r="BD50" s="237"/>
      <c r="BE50" s="237"/>
      <c r="BF50" s="237"/>
      <c r="BG50" s="237"/>
      <c r="BH50" s="237"/>
      <c r="BI50" s="237"/>
      <c r="BJ50" s="237"/>
      <c r="BK50" s="237"/>
      <c r="BL50" s="237"/>
      <c r="BM50" s="237"/>
      <c r="BN50" s="237"/>
      <c r="BO50" s="237"/>
      <c r="BP50" s="237"/>
    </row>
    <row r="51" spans="1:68" ht="14.25" customHeight="1">
      <c r="A51" s="87"/>
      <c r="B51" s="48"/>
      <c r="C51" s="48"/>
      <c r="D51" s="40"/>
      <c r="E51" s="40"/>
      <c r="F51" s="40"/>
      <c r="G51" s="40"/>
      <c r="H51" s="40"/>
      <c r="I51" s="40"/>
      <c r="J51" s="1"/>
      <c r="K51" s="5"/>
      <c r="L51" s="5"/>
      <c r="M51" s="5"/>
      <c r="N51" s="5"/>
      <c r="O51" s="5"/>
      <c r="P51" s="5"/>
      <c r="Q51" s="5"/>
      <c r="R51" s="5"/>
      <c r="S51" s="5"/>
      <c r="T51" s="5"/>
      <c r="U51" s="86"/>
      <c r="V51" s="102"/>
      <c r="W51" s="1155"/>
      <c r="X51" s="746"/>
      <c r="Y51" s="746"/>
      <c r="Z51" s="746"/>
      <c r="AA51" s="746"/>
      <c r="AB51" s="1113"/>
      <c r="AC51" s="1113"/>
      <c r="AD51" s="1113"/>
      <c r="AE51" s="1113"/>
      <c r="AF51" s="1113"/>
      <c r="AG51" s="1113"/>
      <c r="AH51" s="1113"/>
      <c r="AI51" s="1161" t="b">
        <v>1</v>
      </c>
      <c r="AJ51" s="921" t="s">
        <v>14</v>
      </c>
      <c r="AK51" s="61" t="str">
        <f t="shared" si="16"/>
        <v>Southampton</v>
      </c>
      <c r="AL51" s="654">
        <f t="shared" si="20"/>
        <v>0.9019469856908281</v>
      </c>
      <c r="AM51" s="647">
        <f t="shared" si="20"/>
        <v>0.89927073837739291</v>
      </c>
      <c r="AN51" s="647">
        <f t="shared" si="20"/>
        <v>0.89339986391471993</v>
      </c>
      <c r="AO51" s="647">
        <f t="shared" si="20"/>
        <v>0.89413020277481325</v>
      </c>
      <c r="AP51" s="655">
        <f t="shared" si="20"/>
        <v>0.88582137096774172</v>
      </c>
      <c r="AQ51" s="666">
        <f>VLOOKUP(AK51,IDACI!$B$9:$C$29,2,FALSE)</f>
        <v>20.5</v>
      </c>
      <c r="AR51" s="649">
        <f t="shared" si="21"/>
        <v>4.3210358006395756E-2</v>
      </c>
      <c r="AS51" s="649">
        <f t="shared" si="21"/>
        <v>4.184386391251519E-2</v>
      </c>
      <c r="AT51" s="649">
        <f t="shared" si="21"/>
        <v>4.4407522090476548E-2</v>
      </c>
      <c r="AU51" s="649">
        <f t="shared" si="21"/>
        <v>3.9574741933973479E-2</v>
      </c>
      <c r="AV51" s="659">
        <f t="shared" si="21"/>
        <v>4.1016542263465801E-2</v>
      </c>
      <c r="AW51" s="662">
        <f t="shared" si="22"/>
        <v>2.7142968567194448E-2</v>
      </c>
      <c r="AX51" s="649">
        <f t="shared" si="22"/>
        <v>2.1187727825030377E-2</v>
      </c>
      <c r="AY51" s="649">
        <f t="shared" si="22"/>
        <v>3.1342043652292123E-2</v>
      </c>
      <c r="AZ51" s="649">
        <f t="shared" si="22"/>
        <v>2.2207715429213432E-2</v>
      </c>
      <c r="BA51" s="659">
        <f t="shared" si="22"/>
        <v>3.2012911034900143E-2</v>
      </c>
      <c r="BB51" s="237"/>
      <c r="BC51" s="237"/>
      <c r="BD51" s="237"/>
      <c r="BE51" s="237"/>
      <c r="BF51" s="237"/>
      <c r="BG51" s="237"/>
      <c r="BH51" s="237"/>
      <c r="BI51" s="237"/>
      <c r="BJ51" s="237"/>
      <c r="BK51" s="237"/>
      <c r="BL51" s="237"/>
      <c r="BM51" s="237"/>
      <c r="BN51" s="237"/>
      <c r="BO51" s="237"/>
      <c r="BP51" s="237"/>
    </row>
    <row r="52" spans="1:68" ht="14.25" customHeight="1">
      <c r="A52" s="87"/>
      <c r="B52" s="48"/>
      <c r="C52" s="48"/>
      <c r="D52" s="40"/>
      <c r="E52" s="40"/>
      <c r="F52" s="40"/>
      <c r="G52" s="40"/>
      <c r="H52" s="40"/>
      <c r="I52" s="40"/>
      <c r="J52" s="1"/>
      <c r="K52" s="5"/>
      <c r="L52" s="5"/>
      <c r="M52" s="5"/>
      <c r="N52" s="5"/>
      <c r="O52" s="5"/>
      <c r="P52" s="5"/>
      <c r="Q52" s="5"/>
      <c r="R52" s="5"/>
      <c r="S52" s="5"/>
      <c r="T52" s="5"/>
      <c r="U52" s="86"/>
      <c r="V52" s="102"/>
      <c r="W52" s="1155"/>
      <c r="X52" s="746"/>
      <c r="Y52" s="746"/>
      <c r="Z52" s="746"/>
      <c r="AA52" s="746"/>
      <c r="AB52" s="1113"/>
      <c r="AC52" s="1113"/>
      <c r="AD52" s="1113"/>
      <c r="AE52" s="1113"/>
      <c r="AF52" s="1113"/>
      <c r="AG52" s="1113"/>
      <c r="AH52" s="1113"/>
      <c r="AI52" s="1161" t="b">
        <v>1</v>
      </c>
      <c r="AJ52" s="921" t="s">
        <v>7</v>
      </c>
      <c r="AK52" s="61" t="str">
        <f t="shared" si="16"/>
        <v>Surrey</v>
      </c>
      <c r="AL52" s="654">
        <f t="shared" si="20"/>
        <v>0.92891617075113619</v>
      </c>
      <c r="AM52" s="647">
        <f t="shared" si="20"/>
        <v>0.93049204316809953</v>
      </c>
      <c r="AN52" s="647">
        <f t="shared" si="20"/>
        <v>0.92161362934192526</v>
      </c>
      <c r="AO52" s="647">
        <f t="shared" si="20"/>
        <v>0.92620706819313092</v>
      </c>
      <c r="AP52" s="655">
        <f t="shared" si="20"/>
        <v>0.89567395433420893</v>
      </c>
      <c r="AQ52" s="666">
        <f>VLOOKUP(AK52,IDACI!$B$9:$C$29,2,FALSE)</f>
        <v>8.3000000000000007</v>
      </c>
      <c r="AR52" s="649">
        <f t="shared" si="21"/>
        <v>1.4314544515886795E-2</v>
      </c>
      <c r="AS52" s="649">
        <f t="shared" si="21"/>
        <v>1.5025041736227046E-2</v>
      </c>
      <c r="AT52" s="649">
        <f t="shared" si="21"/>
        <v>1.4001473839351511E-2</v>
      </c>
      <c r="AU52" s="649">
        <f t="shared" si="21"/>
        <v>1.2252995235482676E-2</v>
      </c>
      <c r="AV52" s="659">
        <f t="shared" si="21"/>
        <v>8.9131879711437153E-3</v>
      </c>
      <c r="AW52" s="662">
        <f t="shared" si="22"/>
        <v>2.6032133414683752E-2</v>
      </c>
      <c r="AX52" s="649">
        <f t="shared" si="22"/>
        <v>2.2683065047250005E-2</v>
      </c>
      <c r="AY52" s="649">
        <f t="shared" si="22"/>
        <v>8.0854826823876194E-2</v>
      </c>
      <c r="AZ52" s="649">
        <f t="shared" si="22"/>
        <v>5.0154388265254694E-2</v>
      </c>
      <c r="BA52" s="659">
        <f t="shared" si="22"/>
        <v>0.14162065331928347</v>
      </c>
      <c r="BB52" s="237"/>
      <c r="BC52" s="237"/>
      <c r="BD52" s="237"/>
      <c r="BE52" s="237"/>
      <c r="BF52" s="237"/>
      <c r="BG52" s="237"/>
      <c r="BH52" s="237"/>
      <c r="BI52" s="237"/>
      <c r="BJ52" s="237"/>
      <c r="BK52" s="237"/>
      <c r="BL52" s="237"/>
      <c r="BM52" s="237"/>
      <c r="BN52" s="237"/>
      <c r="BO52" s="237"/>
      <c r="BP52" s="237"/>
    </row>
    <row r="53" spans="1:68" ht="14.25" customHeight="1">
      <c r="A53" s="87"/>
      <c r="B53" s="48"/>
      <c r="C53" s="48"/>
      <c r="D53" s="40"/>
      <c r="E53" s="40"/>
      <c r="F53" s="40"/>
      <c r="G53" s="40"/>
      <c r="H53" s="40"/>
      <c r="I53" s="40"/>
      <c r="J53" s="1"/>
      <c r="K53" s="5"/>
      <c r="L53" s="5"/>
      <c r="M53" s="5"/>
      <c r="N53" s="5"/>
      <c r="O53" s="5"/>
      <c r="P53" s="5"/>
      <c r="Q53" s="5"/>
      <c r="R53" s="5"/>
      <c r="S53" s="5"/>
      <c r="T53" s="5"/>
      <c r="U53" s="86"/>
      <c r="V53" s="102"/>
      <c r="W53" s="1155"/>
      <c r="X53" s="746"/>
      <c r="Y53" s="746"/>
      <c r="Z53" s="746"/>
      <c r="AA53" s="746"/>
      <c r="AB53" s="1113"/>
      <c r="AC53" s="1113"/>
      <c r="AD53" s="1113"/>
      <c r="AE53" s="1113"/>
      <c r="AF53" s="1113"/>
      <c r="AG53" s="1113"/>
      <c r="AH53" s="1113"/>
      <c r="AI53" s="1161" t="b">
        <v>1</v>
      </c>
      <c r="AJ53" s="921" t="s">
        <v>15</v>
      </c>
      <c r="AK53" s="61" t="str">
        <f t="shared" si="16"/>
        <v>West Berkshire</v>
      </c>
      <c r="AL53" s="654">
        <f t="shared" si="20"/>
        <v>0.93773119605425403</v>
      </c>
      <c r="AM53" s="647">
        <f t="shared" si="20"/>
        <v>0.94166666666666665</v>
      </c>
      <c r="AN53" s="647">
        <f t="shared" si="20"/>
        <v>0.94306358381502886</v>
      </c>
      <c r="AO53" s="647">
        <f t="shared" si="20"/>
        <v>0.93481438175971954</v>
      </c>
      <c r="AP53" s="655">
        <f t="shared" si="20"/>
        <v>0.91299999999999992</v>
      </c>
      <c r="AQ53" s="666">
        <f>VLOOKUP(AK53,IDACI!$B$9:$C$29,2,FALSE)</f>
        <v>8.6999999999999993</v>
      </c>
      <c r="AR53" s="649">
        <f t="shared" si="21"/>
        <v>1.1203618049131463E-2</v>
      </c>
      <c r="AS53" s="649">
        <f t="shared" si="21"/>
        <v>1.5932706580900544E-2</v>
      </c>
      <c r="AT53" s="649">
        <f t="shared" si="21"/>
        <v>2.0675064910087509E-2</v>
      </c>
      <c r="AU53" s="649">
        <f t="shared" si="21"/>
        <v>1.748583920463137E-2</v>
      </c>
      <c r="AV53" s="659">
        <f t="shared" si="21"/>
        <v>1.9038328530259368E-2</v>
      </c>
      <c r="AW53" s="662">
        <f t="shared" si="22"/>
        <v>5.6532017679103699E-3</v>
      </c>
      <c r="AX53" s="649">
        <f t="shared" si="22"/>
        <v>9.2033646709549725E-3</v>
      </c>
      <c r="AY53" s="649">
        <f t="shared" si="22"/>
        <v>5.1928070006731419E-3</v>
      </c>
      <c r="AZ53" s="649">
        <f t="shared" si="22"/>
        <v>3.2242972110442646E-3</v>
      </c>
      <c r="BA53" s="659">
        <f t="shared" si="22"/>
        <v>6.0121037463976949E-3</v>
      </c>
      <c r="BB53" s="237"/>
      <c r="BC53" s="237"/>
      <c r="BD53" s="237"/>
      <c r="BE53" s="237"/>
      <c r="BF53" s="237"/>
      <c r="BG53" s="237"/>
      <c r="BH53" s="237"/>
      <c r="BI53" s="237"/>
      <c r="BJ53" s="237"/>
      <c r="BK53" s="237"/>
      <c r="BL53" s="237"/>
      <c r="BM53" s="237"/>
      <c r="BN53" s="237"/>
      <c r="BO53" s="237"/>
      <c r="BP53" s="237"/>
    </row>
    <row r="54" spans="1:68" ht="14.25" customHeight="1">
      <c r="A54" s="208"/>
      <c r="B54" s="48"/>
      <c r="C54" s="48"/>
      <c r="D54" s="40"/>
      <c r="E54" s="40"/>
      <c r="F54" s="40"/>
      <c r="G54" s="40"/>
      <c r="H54" s="40"/>
      <c r="I54" s="40"/>
      <c r="J54" s="1"/>
      <c r="K54" s="5"/>
      <c r="L54" s="5"/>
      <c r="M54" s="5"/>
      <c r="N54" s="5"/>
      <c r="O54" s="5"/>
      <c r="P54" s="5"/>
      <c r="Q54" s="5"/>
      <c r="R54" s="5"/>
      <c r="S54" s="5"/>
      <c r="T54" s="5"/>
      <c r="U54" s="86"/>
      <c r="V54" s="102"/>
      <c r="W54" s="1155"/>
      <c r="X54" s="746"/>
      <c r="Y54" s="746"/>
      <c r="Z54" s="746"/>
      <c r="AA54" s="746"/>
      <c r="AB54" s="1113"/>
      <c r="AC54" s="1113"/>
      <c r="AD54" s="1113"/>
      <c r="AE54" s="1113"/>
      <c r="AF54" s="1113"/>
      <c r="AG54" s="1113"/>
      <c r="AH54" s="1113"/>
      <c r="AI54" s="1161" t="b">
        <v>1</v>
      </c>
      <c r="AJ54" s="921" t="s">
        <v>5</v>
      </c>
      <c r="AK54" s="61" t="str">
        <f t="shared" si="16"/>
        <v>West Sussex</v>
      </c>
      <c r="AL54" s="654">
        <f t="shared" si="20"/>
        <v>0.88884799411115201</v>
      </c>
      <c r="AM54" s="647">
        <f t="shared" si="20"/>
        <v>0.87657218511163271</v>
      </c>
      <c r="AN54" s="647">
        <f t="shared" si="20"/>
        <v>0.91555762189806478</v>
      </c>
      <c r="AO54" s="647">
        <f t="shared" si="20"/>
        <v>0.92365604046582761</v>
      </c>
      <c r="AP54" s="655">
        <f t="shared" si="20"/>
        <v>0.88773774365032487</v>
      </c>
      <c r="AQ54" s="666">
        <f>VLOOKUP(AK54,IDACI!$B$9:$C$29,2,FALSE)</f>
        <v>11</v>
      </c>
      <c r="AR54" s="649">
        <f t="shared" si="21"/>
        <v>2.3858730126250741E-2</v>
      </c>
      <c r="AS54" s="649">
        <f t="shared" si="21"/>
        <v>2.2844317976875139E-2</v>
      </c>
      <c r="AT54" s="649">
        <f t="shared" si="21"/>
        <v>2.2083607764131572E-2</v>
      </c>
      <c r="AU54" s="649">
        <f t="shared" si="21"/>
        <v>2.207628396320176E-2</v>
      </c>
      <c r="AV54" s="659">
        <f t="shared" si="21"/>
        <v>1.9998818385915159E-2</v>
      </c>
      <c r="AW54" s="662">
        <f t="shared" si="22"/>
        <v>6.7463321806388241E-2</v>
      </c>
      <c r="AX54" s="649">
        <f t="shared" si="22"/>
        <v>9.6948079273791149E-2</v>
      </c>
      <c r="AY54" s="649">
        <f t="shared" si="22"/>
        <v>5.4492270737282557E-2</v>
      </c>
      <c r="AZ54" s="649">
        <f t="shared" si="22"/>
        <v>3.5467122626799734E-2</v>
      </c>
      <c r="BA54" s="659">
        <f t="shared" si="22"/>
        <v>7.4995568947181845E-2</v>
      </c>
      <c r="BB54" s="237"/>
      <c r="BC54" s="237"/>
      <c r="BD54" s="237"/>
      <c r="BE54" s="237"/>
      <c r="BF54" s="237"/>
      <c r="BG54" s="237"/>
      <c r="BH54" s="237"/>
      <c r="BI54" s="237"/>
      <c r="BJ54" s="237"/>
      <c r="BK54" s="237"/>
      <c r="BL54" s="237"/>
      <c r="BM54" s="237"/>
      <c r="BN54" s="237"/>
      <c r="BO54" s="237"/>
      <c r="BP54" s="237"/>
    </row>
    <row r="55" spans="1:68" ht="14.25" customHeight="1">
      <c r="A55" s="208"/>
      <c r="B55" s="48"/>
      <c r="C55" s="48"/>
      <c r="D55" s="40"/>
      <c r="E55" s="40"/>
      <c r="F55" s="40"/>
      <c r="G55" s="40"/>
      <c r="H55" s="40"/>
      <c r="I55" s="40"/>
      <c r="J55" s="1"/>
      <c r="K55" s="5"/>
      <c r="L55" s="5"/>
      <c r="M55" s="5"/>
      <c r="N55" s="5"/>
      <c r="O55" s="5"/>
      <c r="P55" s="5"/>
      <c r="Q55" s="5"/>
      <c r="R55" s="5"/>
      <c r="S55" s="5"/>
      <c r="T55" s="5"/>
      <c r="U55" s="86"/>
      <c r="V55" s="102"/>
      <c r="W55" s="1155"/>
      <c r="X55" s="746"/>
      <c r="Y55" s="746"/>
      <c r="Z55" s="746"/>
      <c r="AA55" s="746"/>
      <c r="AB55" s="1113"/>
      <c r="AC55" s="1113"/>
      <c r="AD55" s="1113"/>
      <c r="AE55" s="1113"/>
      <c r="AF55" s="1113"/>
      <c r="AG55" s="1113"/>
      <c r="AH55" s="1113"/>
      <c r="AI55" s="1161" t="b">
        <v>1</v>
      </c>
      <c r="AJ55" s="921" t="s">
        <v>27</v>
      </c>
      <c r="AK55" s="61" t="str">
        <f t="shared" si="16"/>
        <v>Windsor &amp; Maidenhead</v>
      </c>
      <c r="AL55" s="654">
        <f t="shared" si="20"/>
        <v>0.93812306634582332</v>
      </c>
      <c r="AM55" s="647">
        <f t="shared" si="20"/>
        <v>0.94936708860759489</v>
      </c>
      <c r="AN55" s="647">
        <f t="shared" si="20"/>
        <v>0.94731738849385905</v>
      </c>
      <c r="AO55" s="647">
        <f t="shared" si="20"/>
        <v>0.9051472968598252</v>
      </c>
      <c r="AP55" s="655">
        <f t="shared" si="20"/>
        <v>0.94757766990291259</v>
      </c>
      <c r="AQ55" s="666">
        <f>VLOOKUP(AK55,IDACI!$B$9:$C$29,2,FALSE)</f>
        <v>6.7</v>
      </c>
      <c r="AR55" s="649">
        <f t="shared" si="21"/>
        <v>1.1263073209975865E-2</v>
      </c>
      <c r="AS55" s="649">
        <f t="shared" si="21"/>
        <v>1.4588557100524277E-2</v>
      </c>
      <c r="AT55" s="649">
        <f t="shared" si="21"/>
        <v>1.4975220857573799E-2</v>
      </c>
      <c r="AU55" s="649">
        <f t="shared" si="21"/>
        <v>6.6882421142158985E-3</v>
      </c>
      <c r="AV55" s="659">
        <f t="shared" si="21"/>
        <v>1.1031976744186047E-2</v>
      </c>
      <c r="AW55" s="662">
        <f t="shared" si="22"/>
        <v>4.8270313757039419E-2</v>
      </c>
      <c r="AX55" s="649">
        <f t="shared" si="22"/>
        <v>4.8096649190790965E-2</v>
      </c>
      <c r="AY55" s="649">
        <f t="shared" si="22"/>
        <v>3.2428355957767725E-2</v>
      </c>
      <c r="AZ55" s="649">
        <f t="shared" si="22"/>
        <v>8.6515647707835708E-2</v>
      </c>
      <c r="BA55" s="659">
        <f t="shared" si="22"/>
        <v>4.3124999999999997E-2</v>
      </c>
      <c r="BB55" s="237"/>
      <c r="BC55" s="237"/>
      <c r="BD55" s="237"/>
      <c r="BE55" s="237"/>
      <c r="BF55" s="237"/>
      <c r="BG55" s="237"/>
      <c r="BH55" s="237"/>
      <c r="BI55" s="237"/>
      <c r="BJ55" s="237"/>
      <c r="BK55" s="237"/>
      <c r="BL55" s="237"/>
      <c r="BM55" s="237"/>
      <c r="BN55" s="237"/>
      <c r="BO55" s="237"/>
      <c r="BP55" s="237"/>
    </row>
    <row r="56" spans="1:68" ht="14.25" customHeight="1">
      <c r="A56" s="87"/>
      <c r="B56" s="48"/>
      <c r="C56" s="48"/>
      <c r="D56" s="40"/>
      <c r="E56" s="40"/>
      <c r="F56" s="40"/>
      <c r="G56" s="40"/>
      <c r="H56" s="40"/>
      <c r="I56" s="40"/>
      <c r="J56" s="1"/>
      <c r="K56" s="5"/>
      <c r="L56" s="5"/>
      <c r="M56" s="5"/>
      <c r="N56" s="5"/>
      <c r="O56" s="5"/>
      <c r="P56" s="5"/>
      <c r="Q56" s="5"/>
      <c r="R56" s="5"/>
      <c r="S56" s="5"/>
      <c r="T56" s="5"/>
      <c r="U56" s="86"/>
      <c r="V56" s="102"/>
      <c r="W56" s="1155"/>
      <c r="X56" s="746"/>
      <c r="Y56" s="746"/>
      <c r="Z56" s="746"/>
      <c r="AA56" s="746"/>
      <c r="AB56" s="1113"/>
      <c r="AC56" s="1113"/>
      <c r="AD56" s="1113"/>
      <c r="AE56" s="1113"/>
      <c r="AF56" s="1113"/>
      <c r="AG56" s="1113"/>
      <c r="AH56" s="1113"/>
      <c r="AI56" s="1161" t="b">
        <v>1</v>
      </c>
      <c r="AJ56" s="921" t="s">
        <v>16</v>
      </c>
      <c r="AK56" s="61" t="str">
        <f t="shared" si="16"/>
        <v>Wokingham</v>
      </c>
      <c r="AL56" s="654">
        <f t="shared" si="20"/>
        <v>0.95297897196261683</v>
      </c>
      <c r="AM56" s="647">
        <f t="shared" si="20"/>
        <v>0.94444444444444442</v>
      </c>
      <c r="AN56" s="647">
        <f t="shared" si="20"/>
        <v>0.95290047897817987</v>
      </c>
      <c r="AO56" s="647">
        <f t="shared" si="20"/>
        <v>0.96286811779769521</v>
      </c>
      <c r="AP56" s="655">
        <f t="shared" si="20"/>
        <v>0.94680272796160647</v>
      </c>
      <c r="AQ56" s="666">
        <f>VLOOKUP(AK56,IDACI!$B$9:$C$29,2,FALSE)</f>
        <v>5.6000000000000005</v>
      </c>
      <c r="AR56" s="649">
        <f t="shared" si="21"/>
        <v>1.1275615256397685E-2</v>
      </c>
      <c r="AS56" s="649">
        <f t="shared" si="21"/>
        <v>1.583887368009386E-2</v>
      </c>
      <c r="AT56" s="649">
        <f t="shared" si="21"/>
        <v>2.0872357506020872E-2</v>
      </c>
      <c r="AU56" s="649">
        <f t="shared" si="21"/>
        <v>1.7180188093856689E-2</v>
      </c>
      <c r="AV56" s="659">
        <f t="shared" si="21"/>
        <v>1.998483699772555E-2</v>
      </c>
      <c r="AW56" s="662">
        <f t="shared" si="22"/>
        <v>3.3630748112560054E-2</v>
      </c>
      <c r="AX56" s="649">
        <f t="shared" si="22"/>
        <v>2.8940164254986307E-2</v>
      </c>
      <c r="AY56" s="649">
        <f t="shared" si="22"/>
        <v>1.9266791544019266E-2</v>
      </c>
      <c r="AZ56" s="649">
        <f t="shared" si="22"/>
        <v>7.4409087534699709E-3</v>
      </c>
      <c r="BA56" s="659">
        <f t="shared" si="22"/>
        <v>2.1983320697498109E-2</v>
      </c>
      <c r="BB56" s="237"/>
      <c r="BC56" s="237"/>
      <c r="BD56" s="237"/>
      <c r="BE56" s="237"/>
      <c r="BF56" s="237"/>
      <c r="BG56" s="237"/>
      <c r="BH56" s="237"/>
      <c r="BI56" s="237"/>
      <c r="BJ56" s="237"/>
      <c r="BK56" s="237"/>
      <c r="BL56" s="237"/>
      <c r="BM56" s="237"/>
      <c r="BN56" s="237"/>
      <c r="BO56" s="237"/>
      <c r="BP56" s="237"/>
    </row>
    <row r="57" spans="1:68" ht="14.25" customHeight="1">
      <c r="A57" s="87"/>
      <c r="B57" s="48"/>
      <c r="C57" s="48"/>
      <c r="D57" s="40"/>
      <c r="E57" s="40"/>
      <c r="F57" s="40"/>
      <c r="G57" s="40"/>
      <c r="H57" s="40"/>
      <c r="I57" s="40"/>
      <c r="J57" s="1"/>
      <c r="K57" s="5"/>
      <c r="L57" s="5"/>
      <c r="M57" s="5"/>
      <c r="N57" s="5"/>
      <c r="O57" s="5"/>
      <c r="P57" s="5"/>
      <c r="Q57" s="5"/>
      <c r="R57" s="5"/>
      <c r="S57" s="5"/>
      <c r="T57" s="5"/>
      <c r="U57" s="86"/>
      <c r="V57" s="102"/>
      <c r="W57" s="1155"/>
      <c r="X57" s="746"/>
      <c r="Y57" s="746"/>
      <c r="Z57" s="746"/>
      <c r="AA57" s="746"/>
      <c r="AB57" s="1113"/>
      <c r="AC57" s="1113"/>
      <c r="AD57" s="1113"/>
      <c r="AE57" s="1113"/>
      <c r="AF57" s="1113"/>
      <c r="AG57" s="1113"/>
      <c r="AH57" s="1113"/>
      <c r="AI57" s="1161" t="b">
        <v>1</v>
      </c>
      <c r="AJ57" s="921" t="s">
        <v>71</v>
      </c>
      <c r="AK57" s="61" t="str">
        <f t="shared" si="16"/>
        <v>South East</v>
      </c>
      <c r="AL57" s="654">
        <f t="shared" si="20"/>
        <v>0.91714131873796856</v>
      </c>
      <c r="AM57" s="647">
        <f t="shared" si="20"/>
        <v>0.91256842442940389</v>
      </c>
      <c r="AN57" s="647">
        <f t="shared" si="20"/>
        <v>0.92170795618066559</v>
      </c>
      <c r="AO57" s="647">
        <f t="shared" si="20"/>
        <v>0.92127712959478103</v>
      </c>
      <c r="AP57" s="655">
        <f t="shared" si="20"/>
        <v>0.90883986138016681</v>
      </c>
      <c r="AQ57" s="666">
        <f>Z30/Y30*100</f>
        <v>12.371268250968637</v>
      </c>
      <c r="AR57" s="649">
        <f t="shared" si="21"/>
        <v>2.3514250179616232E-2</v>
      </c>
      <c r="AS57" s="649">
        <f t="shared" si="21"/>
        <v>2.4099729141689979E-2</v>
      </c>
      <c r="AT57" s="649">
        <f t="shared" si="21"/>
        <v>2.5414419634763256E-2</v>
      </c>
      <c r="AU57" s="649">
        <f t="shared" si="21"/>
        <v>2.3277829125961727E-2</v>
      </c>
      <c r="AV57" s="659">
        <f t="shared" si="21"/>
        <v>2.4948220577781646E-2</v>
      </c>
      <c r="AW57" s="662">
        <f t="shared" si="22"/>
        <v>3.1815052496712508E-2</v>
      </c>
      <c r="AX57" s="649">
        <f t="shared" si="22"/>
        <v>4.0312375116557879E-2</v>
      </c>
      <c r="AY57" s="649">
        <f t="shared" si="22"/>
        <v>3.8695755731486647E-2</v>
      </c>
      <c r="AZ57" s="649">
        <f t="shared" si="22"/>
        <v>2.6483771090604888E-2</v>
      </c>
      <c r="BA57" s="659">
        <f t="shared" si="22"/>
        <v>4.2910939393784424E-2</v>
      </c>
      <c r="BB57" s="237"/>
      <c r="BC57" s="237"/>
      <c r="BD57" s="237"/>
      <c r="BE57" s="237"/>
      <c r="BF57" s="237"/>
      <c r="BG57" s="237"/>
      <c r="BH57" s="237"/>
      <c r="BI57" s="237"/>
      <c r="BJ57" s="237"/>
      <c r="BK57" s="237"/>
      <c r="BL57" s="237"/>
      <c r="BM57" s="237"/>
      <c r="BN57" s="237"/>
      <c r="BO57" s="237"/>
      <c r="BP57" s="237"/>
    </row>
    <row r="58" spans="1:68"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1155"/>
      <c r="X58" s="746"/>
      <c r="Y58" s="746"/>
      <c r="Z58" s="746"/>
      <c r="AA58" s="746"/>
      <c r="AB58" s="1113"/>
      <c r="AC58" s="1113"/>
      <c r="AD58" s="1113"/>
      <c r="AE58" s="1113"/>
      <c r="AF58" s="1113"/>
      <c r="AG58" s="1113"/>
      <c r="AH58" s="1113"/>
      <c r="AI58" s="1161" t="b">
        <v>1</v>
      </c>
      <c r="AJ58" s="921" t="s">
        <v>109</v>
      </c>
      <c r="AK58" s="61" t="str">
        <f t="shared" si="16"/>
        <v>England</v>
      </c>
      <c r="AL58" s="654">
        <f t="shared" si="20"/>
        <v>0.9251876514825268</v>
      </c>
      <c r="AM58" s="647">
        <f t="shared" si="20"/>
        <v>0.92587865783716872</v>
      </c>
      <c r="AN58" s="647">
        <f t="shared" si="20"/>
        <v>0.93205740898704093</v>
      </c>
      <c r="AO58" s="647">
        <f t="shared" si="20"/>
        <v>0.93017153705896105</v>
      </c>
      <c r="AP58" s="655">
        <f t="shared" si="20"/>
        <v>0.92053331187614851</v>
      </c>
      <c r="AQ58" s="666">
        <f>VLOOKUP(AK58,IDACI!$B$9:$C$29,2,FALSE)</f>
        <v>17.084413405029373</v>
      </c>
      <c r="AR58" s="649">
        <f t="shared" si="21"/>
        <v>2.6494770804192887E-2</v>
      </c>
      <c r="AS58" s="649">
        <f t="shared" si="21"/>
        <v>2.6866409857325874E-2</v>
      </c>
      <c r="AT58" s="649">
        <f t="shared" si="21"/>
        <v>2.8199705130636608E-2</v>
      </c>
      <c r="AU58" s="649">
        <f t="shared" si="21"/>
        <v>2.632176183182457E-2</v>
      </c>
      <c r="AV58" s="659">
        <f t="shared" si="21"/>
        <v>2.7933643292756723E-2</v>
      </c>
      <c r="AW58" s="662">
        <f t="shared" si="22"/>
        <v>2.8757598358683037E-2</v>
      </c>
      <c r="AX58" s="649">
        <f t="shared" si="22"/>
        <v>2.7680057439436478E-2</v>
      </c>
      <c r="AY58" s="649">
        <f t="shared" si="22"/>
        <v>2.6599203446313908E-2</v>
      </c>
      <c r="AZ58" s="649">
        <f t="shared" si="22"/>
        <v>1.8033638112024093E-2</v>
      </c>
      <c r="BA58" s="659">
        <f t="shared" si="22"/>
        <v>2.3943122822362911E-2</v>
      </c>
      <c r="BB58" s="237"/>
      <c r="BC58" s="237"/>
      <c r="BD58" s="237"/>
      <c r="BE58" s="237"/>
      <c r="BF58" s="237"/>
      <c r="BG58" s="237"/>
      <c r="BH58" s="237"/>
      <c r="BI58" s="237"/>
      <c r="BJ58" s="237"/>
      <c r="BK58" s="237"/>
      <c r="BL58" s="237"/>
      <c r="BM58" s="237"/>
      <c r="BN58" s="237"/>
      <c r="BO58" s="237"/>
      <c r="BP58" s="237"/>
    </row>
    <row r="59" spans="1:68" s="56" customFormat="1" ht="14.25" customHeight="1">
      <c r="A59" s="87"/>
      <c r="B59" s="48"/>
      <c r="C59" s="48"/>
      <c r="D59" s="40"/>
      <c r="E59" s="40"/>
      <c r="F59" s="40"/>
      <c r="G59" s="40"/>
      <c r="H59" s="40"/>
      <c r="I59" s="40"/>
      <c r="J59" s="1"/>
      <c r="K59" s="5"/>
      <c r="L59" s="5"/>
      <c r="M59" s="5"/>
      <c r="N59" s="5"/>
      <c r="O59" s="5"/>
      <c r="P59" s="5"/>
      <c r="Q59" s="5"/>
      <c r="R59" s="5"/>
      <c r="S59" s="5"/>
      <c r="T59" s="5"/>
      <c r="U59" s="86"/>
      <c r="V59" s="102"/>
      <c r="W59" s="218"/>
      <c r="X59" s="61"/>
      <c r="Y59" s="61"/>
      <c r="Z59" s="61"/>
      <c r="AA59" s="61"/>
      <c r="AJ59" s="122"/>
      <c r="AK59" s="52" t="str">
        <f>Z4</f>
        <v>Selected LA- (none)</v>
      </c>
      <c r="AL59" s="656" t="e">
        <f>VLOOKUP($Y4,$B$11:$O$30,AL$34,FALSE)</f>
        <v>#N/A</v>
      </c>
      <c r="AM59" s="657" t="e">
        <f>VLOOKUP($Y4,$B$11:$O$30,AM$34,FALSE)</f>
        <v>#N/A</v>
      </c>
      <c r="AN59" s="657" t="e">
        <f>VLOOKUP($Y4,$B$11:$O$30,AN$34,FALSE)</f>
        <v>#N/A</v>
      </c>
      <c r="AO59" s="657" t="e">
        <f>VLOOKUP($Y4,$B$11:$O$30,AO$34,FALSE)</f>
        <v>#N/A</v>
      </c>
      <c r="AP59" s="658" t="e">
        <f>VLOOKUP($Y4,$B$11:$O$30,AP$34,FALSE)</f>
        <v>#N/A</v>
      </c>
      <c r="AQ59" s="666" t="e">
        <f>VLOOKUP(Y4,IDACI!$B$9:$C$29,2,FALSE)</f>
        <v>#N/A</v>
      </c>
      <c r="AR59" s="660" t="e">
        <f>VLOOKUP($Y$4,$B$74:$H$94,AR$34,FALSE)</f>
        <v>#N/A</v>
      </c>
      <c r="AS59" s="660" t="e">
        <f>VLOOKUP($Y$4,$B$74:$H$94,AS$34,FALSE)</f>
        <v>#N/A</v>
      </c>
      <c r="AT59" s="660" t="e">
        <f>VLOOKUP($Y$4,$B$74:$H$94,AT$34,FALSE)</f>
        <v>#N/A</v>
      </c>
      <c r="AU59" s="660" t="e">
        <f>VLOOKUP($Y$4,$B$74:$H$94,AU$34,FALSE)</f>
        <v>#N/A</v>
      </c>
      <c r="AV59" s="661" t="e">
        <f>VLOOKUP($Y$4,$B$74:$H$94,AV$34,FALSE)</f>
        <v>#N/A</v>
      </c>
      <c r="AW59" s="663" t="e">
        <f>VLOOKUP($Y$4,$B$107:$H$127,AW$34,FALSE)</f>
        <v>#N/A</v>
      </c>
      <c r="AX59" s="664" t="e">
        <f>VLOOKUP($Y$4,$B$107:$H$127,AX$34,FALSE)</f>
        <v>#N/A</v>
      </c>
      <c r="AY59" s="664" t="e">
        <f>VLOOKUP($Y$4,$B$107:$H$127,AY$34,FALSE)</f>
        <v>#N/A</v>
      </c>
      <c r="AZ59" s="664" t="e">
        <f>VLOOKUP($Y$4,$B$107:$H$127,AZ$34,FALSE)</f>
        <v>#N/A</v>
      </c>
      <c r="BA59" s="661" t="e">
        <f>VLOOKUP($Y$4,$B$107:$H$127,BA$34,FALSE)</f>
        <v>#N/A</v>
      </c>
      <c r="BB59" s="237"/>
      <c r="BC59" s="237"/>
      <c r="BD59" s="237"/>
      <c r="BE59" s="237"/>
      <c r="BF59" s="237"/>
      <c r="BG59" s="237"/>
      <c r="BH59" s="237"/>
      <c r="BI59" s="237"/>
      <c r="BJ59" s="237"/>
      <c r="BK59" s="237"/>
      <c r="BL59" s="237"/>
      <c r="BM59" s="237"/>
      <c r="BN59" s="237"/>
      <c r="BO59" s="237"/>
      <c r="BP59" s="237"/>
    </row>
    <row r="60" spans="1:68" s="56" customFormat="1" ht="1.5" customHeight="1">
      <c r="A60" s="87"/>
      <c r="B60" s="48"/>
      <c r="C60" s="48"/>
      <c r="D60" s="40"/>
      <c r="E60" s="40"/>
      <c r="F60" s="40"/>
      <c r="G60" s="40"/>
      <c r="H60" s="40"/>
      <c r="I60" s="40"/>
      <c r="J60" s="1"/>
      <c r="K60" s="5"/>
      <c r="L60" s="5"/>
      <c r="M60" s="5"/>
      <c r="N60" s="5"/>
      <c r="O60" s="5"/>
      <c r="P60" s="5"/>
      <c r="Q60" s="5"/>
      <c r="R60" s="5"/>
      <c r="S60" s="5"/>
      <c r="T60" s="5"/>
      <c r="U60" s="86"/>
      <c r="V60" s="102"/>
      <c r="W60" s="218"/>
      <c r="X60" s="61"/>
      <c r="Y60" s="61"/>
      <c r="Z60" s="61"/>
      <c r="AA60" s="61"/>
      <c r="AJ60" s="46"/>
      <c r="BB60" s="237"/>
      <c r="BC60" s="237"/>
      <c r="BD60" s="237"/>
      <c r="BE60" s="237"/>
      <c r="BF60" s="237"/>
      <c r="BG60" s="237"/>
      <c r="BH60" s="237"/>
      <c r="BI60" s="237"/>
      <c r="BJ60" s="237"/>
      <c r="BK60" s="237"/>
      <c r="BL60" s="237"/>
      <c r="BM60" s="237"/>
      <c r="BN60" s="237"/>
      <c r="BO60" s="237"/>
      <c r="BP60" s="237"/>
    </row>
    <row r="61" spans="1:68" s="56" customFormat="1" ht="14.25" customHeight="1">
      <c r="A61" s="87"/>
      <c r="B61" s="48"/>
      <c r="C61" s="48"/>
      <c r="D61" s="40"/>
      <c r="E61" s="40"/>
      <c r="F61" s="40"/>
      <c r="G61" s="40"/>
      <c r="H61" s="40"/>
      <c r="I61" s="40"/>
      <c r="J61" s="1"/>
      <c r="K61" s="79"/>
      <c r="L61" s="1882" t="s">
        <v>69</v>
      </c>
      <c r="M61" s="1882"/>
      <c r="N61" s="1882"/>
      <c r="O61" s="1882"/>
      <c r="P61" s="1171"/>
      <c r="Q61" s="1753" t="s">
        <v>93</v>
      </c>
      <c r="R61" s="1753"/>
      <c r="S61" s="1753"/>
      <c r="T61" s="1753"/>
      <c r="U61" s="86"/>
      <c r="V61" s="102"/>
      <c r="W61" s="218"/>
      <c r="X61" s="61"/>
      <c r="Y61" s="61"/>
      <c r="Z61" s="61"/>
      <c r="AA61" s="61"/>
      <c r="AJ61" s="46"/>
      <c r="BB61" s="237"/>
      <c r="BC61" s="237"/>
      <c r="BD61" s="237"/>
      <c r="BE61" s="237"/>
      <c r="BF61" s="237"/>
      <c r="BG61" s="237"/>
      <c r="BH61" s="237"/>
      <c r="BI61" s="237"/>
      <c r="BJ61" s="237"/>
      <c r="BK61" s="237"/>
      <c r="BL61" s="237"/>
      <c r="BM61" s="237"/>
      <c r="BN61" s="237"/>
      <c r="BO61" s="237"/>
      <c r="BP61" s="237"/>
    </row>
    <row r="62" spans="1:68" s="56" customFormat="1" ht="14.25" customHeight="1">
      <c r="A62" s="87"/>
      <c r="B62" s="48"/>
      <c r="C62" s="48"/>
      <c r="D62" s="40"/>
      <c r="E62" s="40"/>
      <c r="F62" s="40"/>
      <c r="G62" s="40"/>
      <c r="H62" s="40"/>
      <c r="I62" s="40"/>
      <c r="J62" s="1"/>
      <c r="K62" s="80"/>
      <c r="L62" s="1753" t="str">
        <f>Z4</f>
        <v>Selected LA- (none)</v>
      </c>
      <c r="M62" s="1753"/>
      <c r="N62" s="1753"/>
      <c r="O62" s="1753"/>
      <c r="P62" s="1172"/>
      <c r="Q62" s="1753" t="s">
        <v>167</v>
      </c>
      <c r="R62" s="1753"/>
      <c r="S62" s="1753"/>
      <c r="T62" s="1753"/>
      <c r="U62" s="86"/>
      <c r="V62" s="102"/>
      <c r="W62" s="114"/>
      <c r="X62" s="61"/>
      <c r="Y62" s="61"/>
      <c r="Z62" s="61"/>
      <c r="AA62" s="61"/>
      <c r="AJ62" s="46"/>
      <c r="BB62" s="132"/>
      <c r="BC62" s="132"/>
      <c r="BD62" s="132"/>
      <c r="BE62" s="132"/>
      <c r="BF62" s="132"/>
      <c r="BG62" s="237"/>
      <c r="BH62" s="237"/>
      <c r="BI62" s="237"/>
      <c r="BJ62" s="237"/>
      <c r="BK62" s="237"/>
      <c r="BL62" s="237"/>
      <c r="BM62" s="237"/>
      <c r="BN62" s="237"/>
      <c r="BO62" s="237"/>
      <c r="BP62" s="237"/>
    </row>
    <row r="63" spans="1:68" s="56" customFormat="1" ht="46.5" customHeight="1">
      <c r="A63" s="87"/>
      <c r="B63" s="48"/>
      <c r="C63" s="48"/>
      <c r="D63" s="40"/>
      <c r="E63" s="40"/>
      <c r="F63" s="40"/>
      <c r="G63" s="40"/>
      <c r="H63" s="40"/>
      <c r="I63" s="40"/>
      <c r="J63" s="1"/>
      <c r="K63" s="5"/>
      <c r="L63" s="5"/>
      <c r="M63" s="5"/>
      <c r="N63" s="5"/>
      <c r="O63" s="5"/>
      <c r="P63" s="5"/>
      <c r="Q63" s="5"/>
      <c r="R63" s="5"/>
      <c r="S63" s="5"/>
      <c r="T63" s="5"/>
      <c r="U63" s="86"/>
      <c r="V63" s="102"/>
      <c r="W63" s="114"/>
      <c r="X63" s="61"/>
      <c r="Y63" s="61"/>
      <c r="Z63" s="61"/>
      <c r="AA63" s="61"/>
      <c r="AJ63" s="122"/>
    </row>
    <row r="64" spans="1:68" s="61" customFormat="1" ht="46.5" customHeight="1">
      <c r="A64" s="88"/>
      <c r="B64" s="78"/>
      <c r="C64" s="78"/>
      <c r="D64" s="78"/>
      <c r="E64" s="78"/>
      <c r="F64" s="78"/>
      <c r="G64" s="78"/>
      <c r="H64" s="78"/>
      <c r="I64" s="78"/>
      <c r="J64" s="68"/>
      <c r="K64" s="59"/>
      <c r="L64" s="59"/>
      <c r="M64" s="59"/>
      <c r="N64" s="59"/>
      <c r="O64" s="59"/>
      <c r="P64" s="59"/>
      <c r="Q64" s="59"/>
      <c r="R64" s="59"/>
      <c r="S64" s="59"/>
      <c r="T64" s="59"/>
      <c r="U64" s="89"/>
      <c r="V64" s="103"/>
      <c r="W64" s="115"/>
      <c r="AC64" s="141"/>
      <c r="AD64" s="141"/>
      <c r="AE64" s="141"/>
      <c r="AF64" s="141"/>
      <c r="AG64" s="141"/>
      <c r="AH64" s="141"/>
      <c r="AJ64" s="121"/>
    </row>
    <row r="65" spans="1:44" s="61" customFormat="1" ht="46.5" customHeight="1">
      <c r="A65" s="88"/>
      <c r="B65" s="78"/>
      <c r="C65" s="78"/>
      <c r="D65" s="78"/>
      <c r="E65" s="78"/>
      <c r="F65" s="78"/>
      <c r="G65" s="78"/>
      <c r="H65" s="78"/>
      <c r="I65" s="78"/>
      <c r="J65" s="68"/>
      <c r="K65" s="59"/>
      <c r="L65" s="59"/>
      <c r="M65" s="59"/>
      <c r="N65" s="59"/>
      <c r="O65" s="59"/>
      <c r="P65" s="59"/>
      <c r="Q65" s="59"/>
      <c r="R65" s="59"/>
      <c r="S65" s="59"/>
      <c r="T65" s="59"/>
      <c r="U65" s="89"/>
      <c r="V65" s="121"/>
      <c r="W65" s="115"/>
      <c r="AC65" s="141"/>
      <c r="AD65" s="141"/>
      <c r="AE65" s="141"/>
      <c r="AF65" s="141"/>
      <c r="AG65" s="141"/>
      <c r="AH65" s="141"/>
      <c r="AJ65" s="121"/>
    </row>
    <row r="66" spans="1:44" ht="7.5" customHeight="1">
      <c r="A66" s="87"/>
      <c r="B66" s="12"/>
      <c r="C66" s="12"/>
      <c r="D66" s="11"/>
      <c r="E66" s="11"/>
      <c r="F66" s="11"/>
      <c r="G66" s="11"/>
      <c r="H66" s="11"/>
      <c r="I66" s="11"/>
      <c r="J66" s="1"/>
      <c r="K66" s="13"/>
      <c r="L66" s="13"/>
      <c r="M66" s="13"/>
      <c r="N66" s="13"/>
      <c r="O66" s="13"/>
      <c r="P66" s="13"/>
      <c r="Q66" s="13"/>
      <c r="R66" s="13"/>
      <c r="S66" s="13"/>
      <c r="T66" s="14"/>
      <c r="U66" s="86"/>
      <c r="V66" s="185"/>
      <c r="W66" s="114"/>
      <c r="AJ66" s="119"/>
    </row>
    <row r="67" spans="1:44" ht="15" customHeight="1">
      <c r="A67" s="1565"/>
      <c r="B67" s="1751"/>
      <c r="C67" s="1751"/>
      <c r="D67" s="1751"/>
      <c r="E67" s="1751"/>
      <c r="F67" s="1751"/>
      <c r="G67" s="1751"/>
      <c r="H67" s="1751"/>
      <c r="I67" s="1751"/>
      <c r="J67" s="1751"/>
      <c r="K67" s="1751"/>
      <c r="L67" s="1751"/>
      <c r="M67" s="1751"/>
      <c r="N67" s="1751"/>
      <c r="O67" s="1751"/>
      <c r="P67" s="1751"/>
      <c r="Q67" s="1751"/>
      <c r="R67" s="1751"/>
      <c r="S67" s="1751"/>
      <c r="T67" s="1751"/>
      <c r="U67" s="1752"/>
      <c r="V67" s="185"/>
      <c r="W67" s="114"/>
      <c r="X67" s="61"/>
      <c r="Y67" s="61"/>
      <c r="Z67" s="61"/>
      <c r="AA67" s="61"/>
      <c r="AB67" s="61"/>
      <c r="AJ67" s="119"/>
    </row>
    <row r="68" spans="1:44" ht="11.25" customHeight="1">
      <c r="A68" s="1739"/>
      <c r="B68" s="1740"/>
      <c r="C68" s="1740"/>
      <c r="D68" s="1740"/>
      <c r="E68" s="1740"/>
      <c r="F68" s="1740"/>
      <c r="G68" s="1740"/>
      <c r="H68" s="1740"/>
      <c r="I68" s="1741"/>
      <c r="J68" s="1740"/>
      <c r="K68" s="1740"/>
      <c r="L68" s="1740"/>
      <c r="M68" s="1740"/>
      <c r="N68" s="1740"/>
      <c r="O68" s="1740"/>
      <c r="P68" s="1742"/>
      <c r="Q68" s="1740"/>
      <c r="R68" s="1740"/>
      <c r="S68" s="1741"/>
      <c r="T68" s="1740"/>
      <c r="U68" s="1743"/>
      <c r="V68" s="185"/>
      <c r="W68" s="114"/>
      <c r="AJ68" s="119"/>
    </row>
    <row r="69" spans="1:44" ht="10.5" customHeight="1">
      <c r="A69" s="81"/>
      <c r="B69" s="82"/>
      <c r="C69" s="82"/>
      <c r="D69" s="82"/>
      <c r="E69" s="82"/>
      <c r="F69" s="82"/>
      <c r="G69" s="82"/>
      <c r="H69" s="82"/>
      <c r="I69" s="82"/>
      <c r="J69" s="83"/>
      <c r="K69" s="82"/>
      <c r="L69" s="82"/>
      <c r="M69" s="82"/>
      <c r="N69" s="82"/>
      <c r="O69" s="82"/>
      <c r="P69" s="82"/>
      <c r="Q69" s="82"/>
      <c r="R69" s="82"/>
      <c r="S69" s="82"/>
      <c r="T69" s="82"/>
      <c r="U69" s="84"/>
      <c r="V69" s="102"/>
      <c r="W69" s="114"/>
      <c r="X69" s="52"/>
      <c r="Y69" s="52"/>
      <c r="AJ69" s="119"/>
    </row>
    <row r="70" spans="1:44" ht="18.75" customHeight="1">
      <c r="A70" s="87"/>
      <c r="B70" s="1903" t="s">
        <v>1290</v>
      </c>
      <c r="C70" s="1903"/>
      <c r="D70" s="1903"/>
      <c r="E70" s="1903"/>
      <c r="F70" s="1903"/>
      <c r="G70" s="1903"/>
      <c r="H70" s="1903"/>
      <c r="I70" s="1903"/>
      <c r="J70" s="50"/>
      <c r="K70" s="50"/>
      <c r="L70" s="50"/>
      <c r="M70" s="50"/>
      <c r="N70" s="224"/>
      <c r="O70" s="50"/>
      <c r="P70" s="50"/>
      <c r="Q70" s="50"/>
      <c r="R70" s="50"/>
      <c r="S70" s="50"/>
      <c r="T70" s="50"/>
      <c r="U70" s="86"/>
      <c r="V70" s="102"/>
      <c r="W70" s="114"/>
      <c r="X70" s="52" t="s">
        <v>594</v>
      </c>
      <c r="Y70" s="52"/>
      <c r="Z70" s="52"/>
      <c r="AA70" s="52"/>
      <c r="AB70" s="52"/>
      <c r="AC70" s="52"/>
      <c r="AJ70" s="119"/>
    </row>
    <row r="71" spans="1:44" ht="18.75" customHeight="1">
      <c r="A71" s="87"/>
      <c r="B71" s="1903"/>
      <c r="C71" s="1903"/>
      <c r="D71" s="1903"/>
      <c r="E71" s="1903"/>
      <c r="F71" s="1903"/>
      <c r="G71" s="1903"/>
      <c r="H71" s="1903"/>
      <c r="I71" s="1903"/>
      <c r="J71" s="50"/>
      <c r="K71" s="50"/>
      <c r="L71" s="50"/>
      <c r="M71" s="50"/>
      <c r="N71" s="224"/>
      <c r="O71" s="50"/>
      <c r="P71" s="50"/>
      <c r="Q71" s="50"/>
      <c r="R71" s="5"/>
      <c r="S71" s="50"/>
      <c r="T71" s="50"/>
      <c r="U71" s="86"/>
      <c r="V71" s="102"/>
      <c r="W71" s="114"/>
      <c r="X71" s="251"/>
      <c r="Y71" s="250"/>
      <c r="Z71" s="251"/>
      <c r="AA71" s="251"/>
      <c r="AB71" s="251"/>
      <c r="AJ71" s="119"/>
    </row>
    <row r="72" spans="1:44" s="61" customFormat="1" ht="18.75" customHeight="1">
      <c r="A72" s="88"/>
      <c r="B72" s="1749" t="s">
        <v>177</v>
      </c>
      <c r="C72" s="1175"/>
      <c r="D72" s="1088" t="str">
        <f>ReportData!$D$27</f>
        <v>2019/20</v>
      </c>
      <c r="E72" s="1088" t="str">
        <f>ReportData!$E$27</f>
        <v>2020/21</v>
      </c>
      <c r="F72" s="1088" t="str">
        <f>ReportData!$F$27</f>
        <v>2021/22</v>
      </c>
      <c r="G72" s="1088" t="str">
        <f>ReportData!$G$27</f>
        <v>2022/23</v>
      </c>
      <c r="H72" s="1089" t="str">
        <f>ReportData!$H$27</f>
        <v>2023/24</v>
      </c>
      <c r="I72" s="68"/>
      <c r="J72" s="68"/>
      <c r="K72" s="43"/>
      <c r="L72" s="43"/>
      <c r="M72" s="43"/>
      <c r="N72" s="43"/>
      <c r="O72" s="43"/>
      <c r="P72" s="43"/>
      <c r="Q72" s="225"/>
      <c r="R72" s="225"/>
      <c r="S72" s="120"/>
      <c r="T72" s="226"/>
      <c r="U72" s="89"/>
      <c r="V72" s="103"/>
      <c r="W72" s="115"/>
      <c r="X72" s="352"/>
      <c r="Y72" s="355" t="str">
        <f>IF(ReportData!$C$3="Annual","",ReportData!$D$28)</f>
        <v/>
      </c>
      <c r="Z72" s="307" t="str">
        <f>IF(ReportData!$C$3="Annual","",ReportData!$E$28)</f>
        <v/>
      </c>
      <c r="AA72" s="307" t="str">
        <f>IF(ReportData!$C$3="Annual","",ReportData!$F$28)</f>
        <v/>
      </c>
      <c r="AB72" s="307" t="str">
        <f>IF(ReportData!$C$3="Annual","",ReportData!$G$28)</f>
        <v/>
      </c>
      <c r="AC72" s="353" t="str">
        <f>IF(ReportData!$C$3="Annual","",ReportData!$H$28)</f>
        <v/>
      </c>
      <c r="AD72" s="56"/>
      <c r="AE72" s="56"/>
      <c r="AF72" s="56"/>
      <c r="AG72" s="56"/>
      <c r="AH72" s="56"/>
      <c r="AI72" s="52"/>
      <c r="AJ72" s="121"/>
    </row>
    <row r="73" spans="1:44" s="61" customFormat="1" ht="16.5" customHeight="1">
      <c r="A73" s="217"/>
      <c r="B73" s="1750"/>
      <c r="C73" s="896"/>
      <c r="D73" s="897" t="e">
        <f>ReportData!$D$28</f>
        <v>#N/A</v>
      </c>
      <c r="E73" s="897" t="e">
        <f>ReportData!$E$28</f>
        <v>#N/A</v>
      </c>
      <c r="F73" s="897" t="e">
        <f>ReportData!$F$28</f>
        <v>#N/A</v>
      </c>
      <c r="G73" s="897" t="e">
        <f>ReportData!$G$28</f>
        <v>#N/A</v>
      </c>
      <c r="H73" s="920" t="e">
        <f>ReportData!$H$28</f>
        <v>#N/A</v>
      </c>
      <c r="I73" s="68"/>
      <c r="J73" s="68"/>
      <c r="K73" s="43"/>
      <c r="L73" s="43"/>
      <c r="M73" s="43"/>
      <c r="N73" s="43"/>
      <c r="O73" s="43"/>
      <c r="P73" s="43"/>
      <c r="Q73" s="225"/>
      <c r="R73" s="225"/>
      <c r="S73" s="120"/>
      <c r="T73" s="226"/>
      <c r="U73" s="89"/>
      <c r="V73" s="103"/>
      <c r="W73" s="115"/>
      <c r="X73" s="352"/>
      <c r="Y73" s="355" t="str">
        <f>ReportData!$D$27</f>
        <v>2019/20</v>
      </c>
      <c r="Z73" s="307" t="str">
        <f>ReportData!$E$27</f>
        <v>2020/21</v>
      </c>
      <c r="AA73" s="307" t="str">
        <f>ReportData!$F$27</f>
        <v>2021/22</v>
      </c>
      <c r="AB73" s="307" t="str">
        <f>ReportData!$G$27</f>
        <v>2022/23</v>
      </c>
      <c r="AC73" s="353" t="str">
        <f>ReportData!$H$27</f>
        <v>2023/24</v>
      </c>
      <c r="AD73" s="56"/>
      <c r="AE73" s="56"/>
      <c r="AF73" s="56"/>
      <c r="AG73" s="56"/>
      <c r="AH73" s="56"/>
      <c r="AI73" s="52"/>
      <c r="AJ73" s="121"/>
    </row>
    <row r="74" spans="1:44" s="61" customFormat="1" ht="13.5" customHeight="1">
      <c r="A74" s="1103">
        <f>VLOOKUP(B74,ReportData!$AQ$4:$AR$25,2,FALSE)</f>
        <v>0</v>
      </c>
      <c r="B74" s="885" t="str">
        <f t="shared" ref="B74:B94" si="23">B11</f>
        <v>Bracknell Forest</v>
      </c>
      <c r="C74" s="896"/>
      <c r="D74" s="1284">
        <f>IF(ISNUMBER(Y74),Y74/Population!J44,NA())</f>
        <v>2.4513559062356367E-2</v>
      </c>
      <c r="E74" s="1284">
        <f>IF(ISNUMBER(Z74),Z74/Population!K44,NA())</f>
        <v>2.2915724408261721E-2</v>
      </c>
      <c r="F74" s="1284">
        <f>IF(ISNUMBER(AA74),AA74/Population!L44,NA())</f>
        <v>2.3511372348581652E-2</v>
      </c>
      <c r="G74" s="1284">
        <f>IF(ISNUMBER(AB74),AB74/Population!M44,NA())</f>
        <v>1.53994639729948E-2</v>
      </c>
      <c r="H74" s="1293">
        <f>IF(ISNUMBER(AC74),AC74/Population!N44,NA())</f>
        <v>1.8000000000000002E-2</v>
      </c>
      <c r="I74" s="68"/>
      <c r="J74" s="68"/>
      <c r="K74" s="127"/>
      <c r="L74" s="127"/>
      <c r="M74" s="127"/>
      <c r="N74" s="127"/>
      <c r="O74" s="127"/>
      <c r="P74" s="127"/>
      <c r="Q74" s="127"/>
      <c r="R74" s="128"/>
      <c r="S74" s="120"/>
      <c r="T74" s="127"/>
      <c r="U74" s="89"/>
      <c r="V74" s="103"/>
      <c r="W74" s="115"/>
      <c r="X74" s="352" t="str">
        <f t="shared" ref="X74:X94" si="24">B74</f>
        <v>Bracknell Forest</v>
      </c>
      <c r="Y74" s="355">
        <f>IF(Year1_Bracknell_Forest Year1_16_17_NEET="","",Year1_Bracknell_Forest Year1_16_17_NEET)</f>
        <v>53.439558755936879</v>
      </c>
      <c r="Z74" s="248">
        <f>IF(Year2_Bracknell_Forest Year2_16_17_NEET="","",Year2_Bracknell_Forest Year2_16_17_NEET)</f>
        <v>50.643750942258407</v>
      </c>
      <c r="AA74" s="248">
        <f>IF(Year3_Bracknell_Forest Year3_16_17_NEET="","",Year3_Bracknell_Forest Year3_16_17_NEET)</f>
        <v>61.364681829798116</v>
      </c>
      <c r="AB74" s="248">
        <f>IF(Year4_Bracknell_Forest Year4_16_17_NEET="","",Year4_Bracknell_Forest Year4_16_17_NEET)</f>
        <v>41.917340934491847</v>
      </c>
      <c r="AC74" s="352">
        <f>IF(Year5_Bracknell_Forest Year5_16_17_NEET="","",Year5_Bracknell_Forest Year5_16_17_NEET)</f>
        <v>49.050000000000004</v>
      </c>
      <c r="AD74" s="56"/>
      <c r="AE74" s="56"/>
      <c r="AF74" s="56"/>
      <c r="AG74" s="56"/>
      <c r="AH74" s="56"/>
      <c r="AI74" s="52"/>
      <c r="AJ74" s="121"/>
    </row>
    <row r="75" spans="1:44" s="61" customFormat="1" ht="13.5" customHeight="1">
      <c r="A75" s="1103">
        <f>VLOOKUP(B75,ReportData!$AQ$4:$AR$25,2,FALSE)</f>
        <v>0</v>
      </c>
      <c r="B75" s="885" t="str">
        <f t="shared" si="23"/>
        <v>Brighton &amp; Hove</v>
      </c>
      <c r="C75" s="896"/>
      <c r="D75" s="1284">
        <f>IF(ISNUMBER(Y75),Y75/Population!J45,NA())</f>
        <v>3.0457197123863786E-2</v>
      </c>
      <c r="E75" s="1284">
        <f>IF(ISNUMBER(Z75),Z75/Population!K45,NA())</f>
        <v>3.9079977628635347E-2</v>
      </c>
      <c r="F75" s="1284">
        <f>IF(ISNUMBER(AA75),AA75/Population!L45,NA())</f>
        <v>2.7628345619977415E-2</v>
      </c>
      <c r="G75" s="1284">
        <f>IF(ISNUMBER(AB75),AB75/Population!M45,NA())</f>
        <v>3.2718893125193028E-2</v>
      </c>
      <c r="H75" s="1293">
        <f>IF(ISNUMBER(AC75),AC75/Population!N45,NA())</f>
        <v>3.3000000000000002E-2</v>
      </c>
      <c r="I75" s="68"/>
      <c r="J75" s="68"/>
      <c r="K75" s="127"/>
      <c r="L75" s="127"/>
      <c r="M75" s="127"/>
      <c r="N75" s="127"/>
      <c r="O75" s="127"/>
      <c r="P75" s="127"/>
      <c r="Q75" s="127"/>
      <c r="R75" s="128"/>
      <c r="S75" s="120"/>
      <c r="T75" s="127"/>
      <c r="U75" s="89"/>
      <c r="V75" s="103"/>
      <c r="W75" s="115"/>
      <c r="X75" s="352" t="str">
        <f t="shared" si="24"/>
        <v>Brighton &amp; Hove</v>
      </c>
      <c r="Y75" s="355">
        <f>IF(Year1_Brighton_and_Hove Year1_16_17_NEET="","",Year1_Brighton_and_Hove Year1_16_17_NEET)</f>
        <v>149.54483787817119</v>
      </c>
      <c r="Z75" s="248">
        <f>IF(Year2_Brighton_and_Hove Year2_16_17_NEET="","",Year2_Brighton_and_Hove Year2_16_17_NEET)</f>
        <v>186.41149328859061</v>
      </c>
      <c r="AA75" s="248">
        <f>IF(Year3_Brighton_and_Hove Year3_16_17_NEET="","",Year3_Brighton_and_Hove Year3_16_17_NEET)</f>
        <v>138.69429501228663</v>
      </c>
      <c r="AB75" s="248">
        <f>IF(Year4_Brighton_and_Hove Year4_16_17_NEET="","",Year4_Brighton_and_Hove Year4_16_17_NEET)</f>
        <v>166.01566371722942</v>
      </c>
      <c r="AC75" s="352">
        <f>IF(Year5_Brighton_and_Hove Year5_16_17_NEET="","",Year5_Brighton_and_Hove Year5_16_17_NEET)</f>
        <v>172.32600000000002</v>
      </c>
      <c r="AD75" s="56"/>
      <c r="AE75" s="56"/>
      <c r="AF75" s="56"/>
      <c r="AG75" s="56"/>
      <c r="AH75" s="56"/>
      <c r="AI75" s="52"/>
      <c r="AJ75" s="121"/>
    </row>
    <row r="76" spans="1:44" s="61" customFormat="1" ht="13.5" customHeight="1">
      <c r="A76" s="1103">
        <f>VLOOKUP(B76,ReportData!$AQ$4:$AR$25,2,FALSE)</f>
        <v>0</v>
      </c>
      <c r="B76" s="885" t="str">
        <f t="shared" si="23"/>
        <v>Buckinghamshire</v>
      </c>
      <c r="C76" s="896"/>
      <c r="D76" s="1284">
        <f>IF(ISNUMBER(Y76),Y76/Population!J46,NA())</f>
        <v>1.6052284584073841E-2</v>
      </c>
      <c r="E76" s="1284">
        <f>IF(ISNUMBER(Z76),Z76/Population!K46,NA())</f>
        <v>8.390498327569591E-3</v>
      </c>
      <c r="F76" s="1284">
        <f>IF(ISNUMBER(AA76),AA76/Population!L46,NA())</f>
        <v>1.4830337712581609E-2</v>
      </c>
      <c r="G76" s="1284">
        <f>IF(ISNUMBER(AB76),AB76/Population!M46,NA())</f>
        <v>1.1684378865553117E-2</v>
      </c>
      <c r="H76" s="1293">
        <f>IF(ISNUMBER(AC76),AC76/Population!N46,NA())</f>
        <v>1.4980752265618734E-2</v>
      </c>
      <c r="I76" s="68"/>
      <c r="J76" s="68"/>
      <c r="K76" s="127"/>
      <c r="L76" s="127"/>
      <c r="M76" s="127"/>
      <c r="N76" s="127"/>
      <c r="O76" s="127"/>
      <c r="P76" s="127"/>
      <c r="Q76" s="127"/>
      <c r="R76" s="128"/>
      <c r="S76" s="120"/>
      <c r="T76" s="127"/>
      <c r="U76" s="89"/>
      <c r="V76" s="103"/>
      <c r="W76" s="115"/>
      <c r="X76" s="352" t="str">
        <f t="shared" si="24"/>
        <v>Buckinghamshire</v>
      </c>
      <c r="Y76" s="355">
        <f>IF(Year1_Buckinghamshire Year1_16_17_NEET="","",Year1_Buckinghamshire Year1_16_17_NEET)</f>
        <v>186.68806971277877</v>
      </c>
      <c r="Z76" s="248">
        <f>IF(Year2_Buckinghamshire Year2_16_17_NEET="","",Year2_Buckinghamshire Year2_16_17_NEET)</f>
        <v>98.672260332218386</v>
      </c>
      <c r="AA76" s="248">
        <f>IF(Year3_Buckinghamshire Year3_16_17_NEET="","",Year3_Buckinghamshire Year3_16_17_NEET)</f>
        <v>184.04449101313776</v>
      </c>
      <c r="AB76" s="248">
        <f>IF(Year4_Buckinghamshire Year4_16_17_NEET="","",Year4_Buckinghamshire Year4_16_17_NEET)</f>
        <v>146.24168588126281</v>
      </c>
      <c r="AC76" s="352">
        <f>IF(Year5_Buckinghamshire Year5_16_17_NEET="","",Year5_Buckinghamshire Year5_16_17_NEET)</f>
        <v>186.79499999999999</v>
      </c>
      <c r="AD76" s="56"/>
      <c r="AE76" s="56"/>
      <c r="AF76" s="56"/>
      <c r="AG76" s="56"/>
      <c r="AH76" s="56"/>
      <c r="AI76" s="52"/>
      <c r="AJ76" s="121"/>
    </row>
    <row r="77" spans="1:44" s="61" customFormat="1" ht="13.5" customHeight="1">
      <c r="A77" s="1103">
        <f>VLOOKUP(B77,ReportData!$AQ$4:$AR$25,2,FALSE)</f>
        <v>0</v>
      </c>
      <c r="B77" s="885" t="str">
        <f t="shared" si="23"/>
        <v>East Sussex</v>
      </c>
      <c r="C77" s="896"/>
      <c r="D77" s="1284">
        <f>IF(ISNUMBER(Y77),Y77/Population!J47,NA())</f>
        <v>3.7895534642834586E-2</v>
      </c>
      <c r="E77" s="1284">
        <f>IF(ISNUMBER(Z77),Z77/Population!K47,NA())</f>
        <v>4.3635075516053203E-2</v>
      </c>
      <c r="F77" s="1284">
        <f>IF(ISNUMBER(AA77),AA77/Population!L47,NA())</f>
        <v>3.9094908862350723E-2</v>
      </c>
      <c r="G77" s="1284">
        <f>IF(ISNUMBER(AB77),AB77/Population!M47,NA())</f>
        <v>4.1599500156201188E-2</v>
      </c>
      <c r="H77" s="1293">
        <f>IF(ISNUMBER(AC77),AC77/Population!N47,NA())</f>
        <v>4.1921662669864114E-2</v>
      </c>
      <c r="I77" s="68"/>
      <c r="J77" s="68"/>
      <c r="K77" s="127"/>
      <c r="L77" s="127"/>
      <c r="M77" s="127"/>
      <c r="N77" s="127"/>
      <c r="O77" s="127"/>
      <c r="P77" s="127"/>
      <c r="Q77" s="127"/>
      <c r="R77" s="128"/>
      <c r="S77" s="120"/>
      <c r="T77" s="127"/>
      <c r="U77" s="89"/>
      <c r="V77" s="103"/>
      <c r="W77" s="115"/>
      <c r="X77" s="352" t="str">
        <f t="shared" si="24"/>
        <v>East Sussex</v>
      </c>
      <c r="Y77" s="355">
        <f>IF(Year1_East_Sussex Year1_16_17_NEET="","",Year1_East_Sussex Year1_16_17_NEET)</f>
        <v>400.17684582833323</v>
      </c>
      <c r="Z77" s="248">
        <f>IF(Year2_East_Sussex Year2_16_17_NEET="","",Year2_East_Sussex Year2_16_17_NEET)</f>
        <v>451.62303159115066</v>
      </c>
      <c r="AA77" s="248">
        <f>IF(Year3_East_Sussex Year3_16_17_NEET="","",Year3_East_Sussex Year3_16_17_NEET)</f>
        <v>414.7969830295412</v>
      </c>
      <c r="AB77" s="248">
        <f>IF(Year4_East_Sussex Year4_16_17_NEET="","",Year4_East_Sussex Year4_16_17_NEET)</f>
        <v>443.94986566697906</v>
      </c>
      <c r="AC77" s="352">
        <f>IF(Year5_East_Sussex Year5_16_17_NEET="","",Year5_East_Sussex Year5_16_17_NEET)</f>
        <v>471.99600000000004</v>
      </c>
      <c r="AD77" s="56"/>
      <c r="AE77" s="56"/>
      <c r="AF77" s="56"/>
      <c r="AG77" s="56"/>
      <c r="AH77" s="56"/>
      <c r="AI77" s="52"/>
      <c r="AJ77" s="121"/>
    </row>
    <row r="78" spans="1:44" s="61" customFormat="1" ht="13.5" customHeight="1">
      <c r="A78" s="1103">
        <f>VLOOKUP(B78,ReportData!$AQ$4:$AR$25,2,FALSE)</f>
        <v>0</v>
      </c>
      <c r="B78" s="885" t="str">
        <f t="shared" si="23"/>
        <v>Hampshire</v>
      </c>
      <c r="C78" s="896"/>
      <c r="D78" s="1284">
        <f>IF(ISNUMBER(Y78),Y78/Population!J48,NA())</f>
        <v>1.7708320433915768E-2</v>
      </c>
      <c r="E78" s="1284">
        <f>IF(ISNUMBER(Z78),Z78/Population!K48,NA())</f>
        <v>1.7371101132793221E-2</v>
      </c>
      <c r="F78" s="1284">
        <f>IF(ISNUMBER(AA78),AA78/Population!L48,NA())</f>
        <v>2.2740490868907757E-2</v>
      </c>
      <c r="G78" s="1284">
        <f>IF(ISNUMBER(AB78),AB78/Population!M48,NA())</f>
        <v>2.3430019583396276E-2</v>
      </c>
      <c r="H78" s="1293">
        <f>IF(ISNUMBER(AC78),AC78/Population!N48,NA())</f>
        <v>3.0007976601967561E-2</v>
      </c>
      <c r="I78" s="68"/>
      <c r="J78" s="68"/>
      <c r="K78" s="127"/>
      <c r="L78" s="127"/>
      <c r="M78" s="127"/>
      <c r="N78" s="127"/>
      <c r="O78" s="127"/>
      <c r="P78" s="127"/>
      <c r="Q78" s="127"/>
      <c r="R78" s="128"/>
      <c r="S78" s="120"/>
      <c r="T78" s="127"/>
      <c r="U78" s="89"/>
      <c r="V78" s="103"/>
      <c r="W78" s="115"/>
      <c r="X78" s="352" t="str">
        <f t="shared" si="24"/>
        <v>Hampshire</v>
      </c>
      <c r="Y78" s="355">
        <f>IF(Year1_Hampshire Year1_16_17_NEET="","",Year1_Hampshire Year1_16_17_NEET)</f>
        <v>476.70798608101245</v>
      </c>
      <c r="Z78" s="248">
        <f>IF(Year2_Hampshire Year2_16_17_NEET="","",Year2_Hampshire Year2_16_17_NEET)</f>
        <v>481.00579036704426</v>
      </c>
      <c r="AA78" s="248">
        <f>IF(Year3_Hampshire Year3_16_17_NEET="","",Year3_Hampshire Year3_16_17_NEET)</f>
        <v>651.74246830289633</v>
      </c>
      <c r="AB78" s="248">
        <f>IF(Year4_Hampshire Year4_16_17_NEET="","",Year4_Hampshire Year4_16_17_NEET)</f>
        <v>692.0524884347758</v>
      </c>
      <c r="AC78" s="352">
        <f>IF(Year5_Hampshire Year5_16_17_NEET="","",Year5_Hampshire Year5_16_17_NEET)</f>
        <v>902.88</v>
      </c>
      <c r="AD78" s="56"/>
      <c r="AE78" s="56"/>
      <c r="AF78" s="56"/>
      <c r="AG78" s="56"/>
      <c r="AH78" s="56"/>
      <c r="AI78" s="52"/>
      <c r="AJ78" s="121"/>
    </row>
    <row r="79" spans="1:44" s="61" customFormat="1" ht="13.5" customHeight="1">
      <c r="A79" s="1103">
        <f>VLOOKUP(B79,ReportData!$AQ$4:$AR$25,2,FALSE)</f>
        <v>0</v>
      </c>
      <c r="B79" s="885" t="str">
        <f t="shared" si="23"/>
        <v>Isle of Wight</v>
      </c>
      <c r="C79" s="896"/>
      <c r="D79" s="1284">
        <f>IF(ISNUMBER(Y79),Y79/Population!J49,NA())</f>
        <v>2.4798839203271337E-2</v>
      </c>
      <c r="E79" s="1284">
        <f>IF(ISNUMBER(Z79),Z79/Population!K49,NA())</f>
        <v>1.7195056421278884E-2</v>
      </c>
      <c r="F79" s="1284">
        <f>IF(ISNUMBER(AA79),AA79/Population!L49,NA())</f>
        <v>1.652262328418912E-2</v>
      </c>
      <c r="G79" s="1284">
        <f>IF(ISNUMBER(AB79),AB79/Population!M49,NA())</f>
        <v>1.8048795894872901E-2</v>
      </c>
      <c r="H79" s="1293">
        <f>IF(ISNUMBER(AC79),AC79/Population!N49,NA())</f>
        <v>3.6837818181818187E-2</v>
      </c>
      <c r="I79" s="68"/>
      <c r="J79" s="68"/>
      <c r="K79" s="127"/>
      <c r="L79" s="127"/>
      <c r="M79" s="127"/>
      <c r="N79" s="127"/>
      <c r="O79" s="127"/>
      <c r="P79" s="127"/>
      <c r="Q79" s="127"/>
      <c r="R79" s="128"/>
      <c r="S79" s="120"/>
      <c r="T79" s="127"/>
      <c r="U79" s="89"/>
      <c r="V79" s="103"/>
      <c r="W79" s="115"/>
      <c r="X79" s="352" t="str">
        <f t="shared" si="24"/>
        <v>Isle of Wight</v>
      </c>
      <c r="Y79" s="355">
        <f>IF(Year1_Isle_of_Wight Year1_16_17_NEET="","",Year1_Isle_of_Wight Year1_16_17_NEET)</f>
        <v>62.741063184276484</v>
      </c>
      <c r="Z79" s="248">
        <f>IF(Year2_Isle_of_Wight Year2_16_17_NEET="","",Year2_Isle_of_Wight Year2_16_17_NEET)</f>
        <v>42.64373992477163</v>
      </c>
      <c r="AA79" s="248">
        <f>IF(Year3_Isle_of_Wight Year3_16_17_NEET="","",Year3_Isle_of_Wight Year3_16_17_NEET)</f>
        <v>43.289273004575499</v>
      </c>
      <c r="AB79" s="248">
        <f>IF(Year4_Isle_of_Wight Year4_16_17_NEET="","",Year4_Isle_of_Wight Year4_16_17_NEET)</f>
        <v>49.327359180687637</v>
      </c>
      <c r="AC79" s="352">
        <f>IF(Year5_Isle_of_Wight Year5_16_17_NEET="","",Year5_Isle_of_Wight Year5_16_17_NEET)</f>
        <v>101.30400000000002</v>
      </c>
      <c r="AD79" s="56"/>
      <c r="AE79" s="56"/>
      <c r="AF79" s="56"/>
      <c r="AG79" s="56"/>
      <c r="AH79" s="56"/>
      <c r="AI79" s="52"/>
      <c r="AJ79" s="121"/>
      <c r="AR79" s="61" t="s">
        <v>95</v>
      </c>
    </row>
    <row r="80" spans="1:44" s="61" customFormat="1" ht="13.5" customHeight="1">
      <c r="A80" s="1103">
        <f>VLOOKUP(B80,ReportData!$AQ$4:$AR$25,2,FALSE)</f>
        <v>0</v>
      </c>
      <c r="B80" s="885" t="str">
        <f t="shared" si="23"/>
        <v>Kent</v>
      </c>
      <c r="C80" s="896"/>
      <c r="D80" s="1284">
        <f>IF(ISNUMBER(Y80),Y80/Population!J50,NA())</f>
        <v>2.7902919595669352E-2</v>
      </c>
      <c r="E80" s="1284">
        <f>IF(ISNUMBER(Z80),Z80/Population!K50,NA())</f>
        <v>3.2897319860310373E-2</v>
      </c>
      <c r="F80" s="1284">
        <f>IF(ISNUMBER(AA80),AA80/Population!L50,NA())</f>
        <v>2.9879470264371807E-2</v>
      </c>
      <c r="G80" s="1284">
        <f>IF(ISNUMBER(AB80),AB80/Population!M50,NA())</f>
        <v>2.9403164547290011E-2</v>
      </c>
      <c r="H80" s="1293">
        <f>IF(ISNUMBER(AC80),AC80/Population!N50,NA())</f>
        <v>3.3018347818453163E-2</v>
      </c>
      <c r="I80" s="68"/>
      <c r="J80" s="68"/>
      <c r="K80" s="127"/>
      <c r="L80" s="127"/>
      <c r="M80" s="127"/>
      <c r="N80" s="127"/>
      <c r="O80" s="127"/>
      <c r="P80" s="127"/>
      <c r="Q80" s="127"/>
      <c r="R80" s="128"/>
      <c r="S80" s="120"/>
      <c r="T80" s="127"/>
      <c r="U80" s="89"/>
      <c r="V80" s="103"/>
      <c r="W80" s="115"/>
      <c r="X80" s="352" t="str">
        <f t="shared" si="24"/>
        <v>Kent</v>
      </c>
      <c r="Y80" s="355">
        <f>IF(Year1_Kent Year1_16_17_NEET="","",Year1_Kent Year1_16_17_NEET)</f>
        <v>906.28682846734057</v>
      </c>
      <c r="Z80" s="248">
        <f>IF(Year2_Kent Year2_16_17_NEET="","",Year2_Kent Year2_16_17_NEET)</f>
        <v>1061.2675386936126</v>
      </c>
      <c r="AA80" s="248">
        <f>IF(Year3_Kent Year3_16_17_NEET="","",Year3_Kent Year3_16_17_NEET)</f>
        <v>1003.9502008828928</v>
      </c>
      <c r="AB80" s="248">
        <f>IF(Year4_Kent Year4_16_17_NEET="","",Year4_Kent Year4_16_17_NEET)</f>
        <v>983.15361296773608</v>
      </c>
      <c r="AC80" s="352">
        <f>IF(Year5_Kent Year5_16_17_NEET="","",Year5_Kent Year5_16_17_NEET)</f>
        <v>1128.336</v>
      </c>
      <c r="AD80" s="56"/>
      <c r="AE80" s="56"/>
      <c r="AF80" s="56"/>
      <c r="AG80" s="56"/>
      <c r="AH80" s="56"/>
      <c r="AI80" s="52"/>
      <c r="AJ80" s="121"/>
    </row>
    <row r="81" spans="1:36" s="61" customFormat="1" ht="13.5" customHeight="1">
      <c r="A81" s="1103">
        <f>VLOOKUP(B81,ReportData!$AQ$4:$AR$25,2,FALSE)</f>
        <v>0</v>
      </c>
      <c r="B81" s="885" t="str">
        <f t="shared" si="23"/>
        <v>Medway</v>
      </c>
      <c r="C81" s="896"/>
      <c r="D81" s="1284">
        <f>IF(ISNUMBER(Y81),Y81/Population!J51,NA())</f>
        <v>2.8056951423785597E-2</v>
      </c>
      <c r="E81" s="1284">
        <f>IF(ISNUMBER(Z81),Z81/Population!K51,NA())</f>
        <v>2.9494307651575326E-2</v>
      </c>
      <c r="F81" s="1284">
        <f>IF(ISNUMBER(AA81),AA81/Population!L51,NA())</f>
        <v>3.397114499130257E-2</v>
      </c>
      <c r="G81" s="1284">
        <f>IF(ISNUMBER(AB81),AB81/Population!M51,NA())</f>
        <v>3.0584334587683993E-2</v>
      </c>
      <c r="H81" s="1293">
        <f>IF(ISNUMBER(AC81),AC81/Population!N51,NA())</f>
        <v>2.9608752354731194E-2</v>
      </c>
      <c r="I81" s="68"/>
      <c r="J81" s="68"/>
      <c r="K81" s="127"/>
      <c r="L81" s="127"/>
      <c r="M81" s="127"/>
      <c r="N81" s="127"/>
      <c r="O81" s="127"/>
      <c r="P81" s="127"/>
      <c r="Q81" s="127"/>
      <c r="R81" s="128"/>
      <c r="S81" s="120"/>
      <c r="T81" s="127"/>
      <c r="U81" s="89"/>
      <c r="V81" s="103"/>
      <c r="W81" s="115"/>
      <c r="X81" s="352" t="str">
        <f t="shared" si="24"/>
        <v>Medway</v>
      </c>
      <c r="Y81" s="355">
        <f>IF(Year1_Medway Year1_16_17_NEET="","",Year1_Medway Year1_16_17_NEET)</f>
        <v>178.72278056951424</v>
      </c>
      <c r="Z81" s="248">
        <f>IF(Year2_Medway Year2_16_17_NEET="","",Year2_Medway Year2_16_17_NEET)</f>
        <v>185.81413820492455</v>
      </c>
      <c r="AA81" s="248">
        <f>IF(Year3_Medway Year3_16_17_NEET="","",Year3_Medway Year3_16_17_NEET)</f>
        <v>221.49186534329274</v>
      </c>
      <c r="AB81" s="248">
        <f>IF(Year4_Medway Year4_16_17_NEET="","",Year4_Medway Year4_16_17_NEET)</f>
        <v>202.37654196670499</v>
      </c>
      <c r="AC81" s="352">
        <f>IF(Year5_Medway Year5_16_17_NEET="","",Year5_Medway Year5_16_17_NEET)</f>
        <v>204.32999999999998</v>
      </c>
      <c r="AD81" s="56"/>
      <c r="AE81" s="56"/>
      <c r="AF81" s="56"/>
      <c r="AG81" s="56"/>
      <c r="AH81" s="56"/>
      <c r="AI81" s="52"/>
      <c r="AJ81" s="121"/>
    </row>
    <row r="82" spans="1:36" s="61" customFormat="1" ht="13.5" customHeight="1">
      <c r="A82" s="1103">
        <f>VLOOKUP(B82,ReportData!$AQ$4:$AR$25,2,FALSE)</f>
        <v>0</v>
      </c>
      <c r="B82" s="885" t="str">
        <f t="shared" si="23"/>
        <v>Milton Keynes</v>
      </c>
      <c r="C82" s="896"/>
      <c r="D82" s="1284">
        <f>IF(ISNUMBER(Y82),Y82/Population!J52,NA())</f>
        <v>3.3107101473266017E-2</v>
      </c>
      <c r="E82" s="1284">
        <f>IF(ISNUMBER(Z82),Z82/Population!K52,NA())</f>
        <v>3.2698276784758645E-2</v>
      </c>
      <c r="F82" s="1284">
        <f>IF(ISNUMBER(AA82),AA82/Population!L52,NA())</f>
        <v>3.1424227065382664E-2</v>
      </c>
      <c r="G82" s="1284">
        <f>IF(ISNUMBER(AB82),AB82/Population!M52,NA())</f>
        <v>2.4505731775299581E-2</v>
      </c>
      <c r="H82" s="1293">
        <f>IF(ISNUMBER(AC82),AC82/Population!N52,NA())</f>
        <v>1.9913212629058808E-2</v>
      </c>
      <c r="I82" s="68"/>
      <c r="J82" s="68"/>
      <c r="K82" s="127"/>
      <c r="L82" s="127"/>
      <c r="M82" s="127"/>
      <c r="N82" s="127"/>
      <c r="O82" s="127"/>
      <c r="P82" s="127"/>
      <c r="Q82" s="127"/>
      <c r="R82" s="128"/>
      <c r="S82" s="120"/>
      <c r="T82" s="127"/>
      <c r="U82" s="89"/>
      <c r="V82" s="103"/>
      <c r="W82" s="115"/>
      <c r="X82" s="352" t="str">
        <f t="shared" si="24"/>
        <v>Milton Keynes</v>
      </c>
      <c r="Y82" s="355">
        <f>IF(Year1_Milton_Keynes Year1_16_17_NEET="","",Year1_Milton_Keynes Year1_16_17_NEET)</f>
        <v>199.96689289852674</v>
      </c>
      <c r="Z82" s="248">
        <f>IF(Year2_Milton_Keynes Year2_16_17_NEET="","",Year2_Milton_Keynes Year2_16_17_NEET)</f>
        <v>203.71026436904637</v>
      </c>
      <c r="AA82" s="248">
        <f>IF(Year3_Milton_Keynes Year3_16_17_NEET="","",Year3_Milton_Keynes Year3_16_17_NEET)</f>
        <v>206.77141409021792</v>
      </c>
      <c r="AB82" s="248">
        <f>IF(Year4_Milton_Keynes Year4_16_17_NEET="","",Year4_Milton_Keynes Year4_16_17_NEET)</f>
        <v>164.65401179823789</v>
      </c>
      <c r="AC82" s="352">
        <f>IF(Year5_Milton_Keynes Year5_16_17_NEET="","",Year5_Milton_Keynes Year5_16_17_NEET)</f>
        <v>133.08000000000001</v>
      </c>
      <c r="AD82" s="56"/>
      <c r="AE82" s="56"/>
      <c r="AF82" s="56"/>
      <c r="AG82" s="56"/>
      <c r="AH82" s="56"/>
      <c r="AI82" s="52"/>
      <c r="AJ82" s="121"/>
    </row>
    <row r="83" spans="1:36" s="61" customFormat="1" ht="13.5" customHeight="1">
      <c r="A83" s="1103">
        <f>VLOOKUP(B83,ReportData!$AQ$4:$AR$25,2,FALSE)</f>
        <v>0</v>
      </c>
      <c r="B83" s="885" t="str">
        <f t="shared" si="23"/>
        <v>Oxfordshire</v>
      </c>
      <c r="C83" s="896"/>
      <c r="D83" s="1284">
        <f>IF(ISNUMBER(Y83),Y83/Population!J53,NA())</f>
        <v>1.6412818653128106E-2</v>
      </c>
      <c r="E83" s="1284">
        <f>IF(ISNUMBER(Z83),Z83/Population!K53,NA())</f>
        <v>1.5651991833743391E-2</v>
      </c>
      <c r="F83" s="1284">
        <f>IF(ISNUMBER(AA83),AA83/Population!L53,NA())</f>
        <v>2.4867724867724868E-2</v>
      </c>
      <c r="G83" s="1284">
        <f>IF(ISNUMBER(AB83),AB83/Population!M53,NA())</f>
        <v>1.7502617971587614E-2</v>
      </c>
      <c r="H83" s="1293">
        <f>IF(ISNUMBER(AC83),AC83/Population!N53,NA())</f>
        <v>1.8001288844336247E-2</v>
      </c>
      <c r="I83" s="68"/>
      <c r="J83" s="68"/>
      <c r="K83" s="127"/>
      <c r="L83" s="127"/>
      <c r="M83" s="127"/>
      <c r="N83" s="127"/>
      <c r="O83" s="127"/>
      <c r="P83" s="127"/>
      <c r="Q83" s="127"/>
      <c r="R83" s="128"/>
      <c r="S83" s="120"/>
      <c r="T83" s="127"/>
      <c r="U83" s="89"/>
      <c r="V83" s="103"/>
      <c r="W83" s="115"/>
      <c r="X83" s="352" t="str">
        <f t="shared" si="24"/>
        <v>Oxfordshire</v>
      </c>
      <c r="Y83" s="355">
        <f>IF(Year1_Oxfordshire Year1_16_17_NEET="","",Year1_Oxfordshire Year1_16_17_NEET)</f>
        <v>203.68307948531981</v>
      </c>
      <c r="Z83" s="248">
        <f>IF(Year2_Oxfordshire Year2_16_17_NEET="","",Year2_Oxfordshire Year2_16_17_NEET)</f>
        <v>199.4063759618908</v>
      </c>
      <c r="AA83" s="248">
        <f>IF(Year3_Oxfordshire Year3_16_17_NEET="","",Year3_Oxfordshire Year3_16_17_NEET)</f>
        <v>329</v>
      </c>
      <c r="AB83" s="248">
        <f>IF(Year4_Oxfordshire Year4_16_17_NEET="","",Year4_Oxfordshire Year4_16_17_NEET)</f>
        <v>233.76496562852418</v>
      </c>
      <c r="AC83" s="352">
        <f>IF(Year5_Oxfordshire Year5_16_17_NEET="","",Year5_Oxfordshire Year5_16_17_NEET)</f>
        <v>251.40600000000003</v>
      </c>
      <c r="AD83" s="56"/>
      <c r="AE83" s="56"/>
      <c r="AF83" s="56"/>
      <c r="AG83" s="56"/>
      <c r="AH83" s="56"/>
      <c r="AI83" s="52"/>
      <c r="AJ83" s="121"/>
    </row>
    <row r="84" spans="1:36" s="61" customFormat="1" ht="13.5" customHeight="1">
      <c r="A84" s="1103">
        <f>VLOOKUP(B84,ReportData!$AQ$4:$AR$25,2,FALSE)</f>
        <v>0</v>
      </c>
      <c r="B84" s="885" t="str">
        <f t="shared" si="23"/>
        <v>Portsmouth</v>
      </c>
      <c r="C84" s="896"/>
      <c r="D84" s="1284">
        <f>IF(ISNUMBER(Y84),Y84/Population!J54,NA())</f>
        <v>3.774464119291706E-2</v>
      </c>
      <c r="E84" s="1284">
        <f>IF(ISNUMBER(Z84),Z84/Population!K54,NA())</f>
        <v>4.1718919822757293E-2</v>
      </c>
      <c r="F84" s="1284">
        <f>IF(ISNUMBER(AA84),AA84/Population!L54,NA())</f>
        <v>4.4291338582677163E-2</v>
      </c>
      <c r="G84" s="1284">
        <f>IF(ISNUMBER(AB84),AB84/Population!M54,NA())</f>
        <v>3.8169535323927362E-2</v>
      </c>
      <c r="H84" s="1293">
        <f>IF(ISNUMBER(AC84),AC84/Population!N54,NA())</f>
        <v>3.8485416666666668E-2</v>
      </c>
      <c r="I84" s="68"/>
      <c r="J84" s="68"/>
      <c r="K84" s="127"/>
      <c r="L84" s="127"/>
      <c r="M84" s="127"/>
      <c r="N84" s="127"/>
      <c r="O84" s="127"/>
      <c r="P84" s="127"/>
      <c r="Q84" s="127"/>
      <c r="R84" s="128"/>
      <c r="S84" s="120"/>
      <c r="T84" s="127"/>
      <c r="U84" s="89"/>
      <c r="V84" s="103"/>
      <c r="W84" s="115"/>
      <c r="X84" s="352" t="str">
        <f t="shared" si="24"/>
        <v>Portsmouth</v>
      </c>
      <c r="Y84" s="355">
        <f>IF(Year1_Portsmouth Year1_16_17_NEET="","",Year1_Portsmouth Year1_16_17_NEET)</f>
        <v>135.12581547064306</v>
      </c>
      <c r="Z84" s="248">
        <f>IF(Year2_Portsmouth Year2_16_17_NEET="","",Year2_Portsmouth Year2_16_17_NEET)</f>
        <v>166.45849009280161</v>
      </c>
      <c r="AA84" s="248">
        <f>IF(Year3_Portsmouth Year3_16_17_NEET="","",Year3_Portsmouth Year3_16_17_NEET)</f>
        <v>179.82283464566927</v>
      </c>
      <c r="AB84" s="248">
        <f>IF(Year4_Portsmouth Year4_16_17_NEET="","",Year4_Portsmouth Year4_16_17_NEET)</f>
        <v>159.54865765401638</v>
      </c>
      <c r="AC84" s="352">
        <f>IF(Year5_Portsmouth Year5_16_17_NEET="","",Year5_Portsmouth Year5_16_17_NEET)</f>
        <v>166.25700000000001</v>
      </c>
      <c r="AD84" s="56"/>
      <c r="AE84" s="56"/>
      <c r="AF84" s="56"/>
      <c r="AG84" s="56"/>
      <c r="AH84" s="56"/>
      <c r="AI84" s="52"/>
      <c r="AJ84" s="121"/>
    </row>
    <row r="85" spans="1:36" s="61" customFormat="1" ht="13.5" customHeight="1">
      <c r="A85" s="1103">
        <f>VLOOKUP(B85,ReportData!$AQ$4:$AR$25,2,FALSE)</f>
        <v>0</v>
      </c>
      <c r="B85" s="885" t="str">
        <f t="shared" si="23"/>
        <v>Reading</v>
      </c>
      <c r="C85" s="896"/>
      <c r="D85" s="1284">
        <f>IF(ISNUMBER(Y85),Y85/Population!J55,NA())</f>
        <v>4.1769871650529158E-2</v>
      </c>
      <c r="E85" s="1284">
        <f>IF(ISNUMBER(Z85),Z85/Population!K55,NA())</f>
        <v>1.6166537482006423E-2</v>
      </c>
      <c r="F85" s="1284">
        <f>IF(ISNUMBER(AA85),AA85/Population!L55,NA())</f>
        <v>3.0869382612347753E-2</v>
      </c>
      <c r="G85" s="1284">
        <f>IF(ISNUMBER(AB85),AB85/Population!M55,NA())</f>
        <v>2.1353869998859635E-2</v>
      </c>
      <c r="H85" s="1293">
        <f>IF(ISNUMBER(AC85),AC85/Population!N55,NA())</f>
        <v>2.7515850144092215E-2</v>
      </c>
      <c r="I85" s="68"/>
      <c r="J85" s="68"/>
      <c r="K85" s="127"/>
      <c r="L85" s="127"/>
      <c r="M85" s="127"/>
      <c r="N85" s="127"/>
      <c r="O85" s="127"/>
      <c r="P85" s="127"/>
      <c r="Q85" s="127"/>
      <c r="R85" s="128"/>
      <c r="S85" s="120"/>
      <c r="T85" s="127"/>
      <c r="U85" s="89"/>
      <c r="V85" s="103"/>
      <c r="W85" s="115"/>
      <c r="X85" s="352" t="str">
        <f t="shared" si="24"/>
        <v>Reading</v>
      </c>
      <c r="Y85" s="355">
        <f>IF(Year1_Reading Year1_16_17_NEET="","",Year1_Reading Year1_16_17_NEET)</f>
        <v>123.63882008556631</v>
      </c>
      <c r="Z85" s="248">
        <f>IF(Year2_Reading Year2_16_17_NEET="","",Year2_Reading Year2_16_17_NEET)</f>
        <v>48.661277820839331</v>
      </c>
      <c r="AA85" s="248">
        <f>IF(Year3_Reading Year3_16_17_NEET="","",Year3_Reading Year3_16_17_NEET)</f>
        <v>97.855942881142383</v>
      </c>
      <c r="AB85" s="248">
        <f>IF(Year4_Reading Year4_16_17_NEET="","",Year4_Reading Year4_16_17_NEET)</f>
        <v>72.026603506153549</v>
      </c>
      <c r="AC85" s="352">
        <f>IF(Year5_Reading Year5_16_17_NEET="","",Year5_Reading Year5_16_17_NEET)</f>
        <v>95.47999999999999</v>
      </c>
      <c r="AD85" s="56"/>
      <c r="AE85" s="56"/>
      <c r="AF85" s="56"/>
      <c r="AG85" s="56"/>
      <c r="AH85" s="56"/>
      <c r="AI85" s="52"/>
      <c r="AJ85" s="121"/>
    </row>
    <row r="86" spans="1:36" s="61" customFormat="1" ht="13.5" customHeight="1">
      <c r="A86" s="1103">
        <f>VLOOKUP(B86,ReportData!$AQ$4:$AR$25,2,FALSE)</f>
        <v>0</v>
      </c>
      <c r="B86" s="885" t="str">
        <f t="shared" si="23"/>
        <v>Slough</v>
      </c>
      <c r="C86" s="896"/>
      <c r="D86" s="1284">
        <f>IF(ISNUMBER(Y86),Y86/Population!J56,NA())</f>
        <v>3.1236015394254007E-2</v>
      </c>
      <c r="E86" s="1284">
        <f>IF(ISNUMBER(Z86),Z86/Population!K56,NA())</f>
        <v>3.2054021711257374E-2</v>
      </c>
      <c r="F86" s="1284">
        <f>IF(ISNUMBER(AA86),AA86/Population!L56,NA())</f>
        <v>3.6967632027257238E-2</v>
      </c>
      <c r="G86" s="1284">
        <f>IF(ISNUMBER(AB86),AB86/Population!M56,NA())</f>
        <v>2.2601020818489626E-2</v>
      </c>
      <c r="H86" s="1293">
        <f>IF(ISNUMBER(AC86),AC86/Population!N56,NA())</f>
        <v>2.6000000000000002E-2</v>
      </c>
      <c r="I86" s="68"/>
      <c r="J86" s="68"/>
      <c r="K86" s="127"/>
      <c r="L86" s="127"/>
      <c r="M86" s="127"/>
      <c r="N86" s="127"/>
      <c r="O86" s="127"/>
      <c r="P86" s="127"/>
      <c r="Q86" s="127"/>
      <c r="R86" s="128"/>
      <c r="S86" s="120"/>
      <c r="T86" s="127"/>
      <c r="U86" s="89"/>
      <c r="V86" s="103"/>
      <c r="W86" s="115"/>
      <c r="X86" s="352" t="str">
        <f t="shared" si="24"/>
        <v>Slough</v>
      </c>
      <c r="Y86" s="355">
        <f>IF(Year1_Slough Year1_16_17_NEET="","",Year1_Slough Year1_16_17_NEET)</f>
        <v>116.1979772666249</v>
      </c>
      <c r="Z86" s="248">
        <f>IF(Year2_Slough Year2_16_17_NEET="","",Year2_Slough Year2_16_17_NEET)</f>
        <v>125.01068467390375</v>
      </c>
      <c r="AA86" s="248">
        <f>IF(Year3_Slough Year3_16_17_NEET="","",Year3_Slough Year3_16_17_NEET)</f>
        <v>144.54344122657579</v>
      </c>
      <c r="AB86" s="248">
        <f>IF(Year4_Slough Year4_16_17_NEET="","",Year4_Slough Year4_16_17_NEET)</f>
        <v>93.975044563279866</v>
      </c>
      <c r="AC86" s="352">
        <f>IF(Year5_Slough Year5_16_17_NEET="","",Year5_Slough Year5_16_17_NEET)</f>
        <v>115.31000000000002</v>
      </c>
      <c r="AD86" s="56"/>
      <c r="AE86" s="56"/>
      <c r="AF86" s="56"/>
      <c r="AG86" s="56"/>
      <c r="AH86" s="56"/>
      <c r="AI86" s="52"/>
      <c r="AJ86" s="121"/>
    </row>
    <row r="87" spans="1:36" s="61" customFormat="1" ht="13.5" customHeight="1">
      <c r="A87" s="1103">
        <f>VLOOKUP(B87,ReportData!$AQ$4:$AR$25,2,FALSE)</f>
        <v>0</v>
      </c>
      <c r="B87" s="885" t="str">
        <f t="shared" si="23"/>
        <v>Southampton</v>
      </c>
      <c r="C87" s="896"/>
      <c r="D87" s="1284">
        <f>IF(ISNUMBER(Y87),Y87/Population!J57,NA())</f>
        <v>4.3210358006395756E-2</v>
      </c>
      <c r="E87" s="1284">
        <f>IF(ISNUMBER(Z87),Z87/Population!K57,NA())</f>
        <v>4.184386391251519E-2</v>
      </c>
      <c r="F87" s="1284">
        <f>IF(ISNUMBER(AA87),AA87/Population!L57,NA())</f>
        <v>4.4407522090476548E-2</v>
      </c>
      <c r="G87" s="1284">
        <f>IF(ISNUMBER(AB87),AB87/Population!M57,NA())</f>
        <v>3.9574741933973479E-2</v>
      </c>
      <c r="H87" s="1293">
        <f>IF(ISNUMBER(AC87),AC87/Population!N57,NA())</f>
        <v>4.1016542263465801E-2</v>
      </c>
      <c r="I87" s="68"/>
      <c r="J87" s="68"/>
      <c r="K87" s="127"/>
      <c r="L87" s="127"/>
      <c r="M87" s="127"/>
      <c r="N87" s="127"/>
      <c r="O87" s="127"/>
      <c r="P87" s="127"/>
      <c r="Q87" s="127"/>
      <c r="R87" s="128"/>
      <c r="S87" s="120"/>
      <c r="T87" s="127"/>
      <c r="U87" s="89"/>
      <c r="V87" s="103"/>
      <c r="W87" s="115"/>
      <c r="X87" s="352" t="str">
        <f t="shared" si="24"/>
        <v>Southampton</v>
      </c>
      <c r="Y87" s="355">
        <f>IF(Year1_Southampton Year1_16_17_NEET="","",Year1_Southampton Year1_16_17_NEET)</f>
        <v>184.50822868730987</v>
      </c>
      <c r="Z87" s="248">
        <f>IF(Year2_Southampton Year2_16_17_NEET="","",Year2_Southampton Year2_16_17_NEET)</f>
        <v>183.69456257594169</v>
      </c>
      <c r="AA87" s="248">
        <f>IF(Year3_Southampton Year3_16_17_NEET="","",Year3_Southampton Year3_16_17_NEET)</f>
        <v>195.83717241900158</v>
      </c>
      <c r="AB87" s="248">
        <f>IF(Year4_Southampton Year4_16_17_NEET="","",Year4_Southampton Year4_16_17_NEET)</f>
        <v>185.40766596066575</v>
      </c>
      <c r="AC87" s="352">
        <f>IF(Year5_Southampton Year5_16_17_NEET="","",Year5_Southampton Year5_16_17_NEET)</f>
        <v>203.31899999999996</v>
      </c>
      <c r="AD87" s="56"/>
      <c r="AE87" s="56"/>
      <c r="AF87" s="56"/>
      <c r="AG87" s="56"/>
      <c r="AH87" s="56"/>
      <c r="AI87" s="52"/>
      <c r="AJ87" s="121"/>
    </row>
    <row r="88" spans="1:36" s="61" customFormat="1" ht="13.5" customHeight="1">
      <c r="A88" s="1103">
        <f>VLOOKUP(B88,ReportData!$AQ$4:$AR$25,2,FALSE)</f>
        <v>0</v>
      </c>
      <c r="B88" s="885" t="str">
        <f t="shared" si="23"/>
        <v>Surrey</v>
      </c>
      <c r="C88" s="896"/>
      <c r="D88" s="1284">
        <f>IF(ISNUMBER(Y88),Y88/Population!J58,NA())</f>
        <v>1.4314544515886795E-2</v>
      </c>
      <c r="E88" s="1284">
        <f>IF(ISNUMBER(Z88),Z88/Population!K58,NA())</f>
        <v>1.5025041736227046E-2</v>
      </c>
      <c r="F88" s="1284">
        <f>IF(ISNUMBER(AA88),AA88/Population!L58,NA())</f>
        <v>1.4001473839351511E-2</v>
      </c>
      <c r="G88" s="1284">
        <f>IF(ISNUMBER(AB88),AB88/Population!M58,NA())</f>
        <v>1.2252995235482676E-2</v>
      </c>
      <c r="H88" s="1293">
        <f>IF(ISNUMBER(AC88),AC88/Population!N58,NA())</f>
        <v>8.9131879711437153E-3</v>
      </c>
      <c r="I88" s="68"/>
      <c r="J88" s="68"/>
      <c r="K88" s="127"/>
      <c r="L88" s="127"/>
      <c r="M88" s="127"/>
      <c r="N88" s="127"/>
      <c r="O88" s="127"/>
      <c r="P88" s="127"/>
      <c r="Q88" s="127"/>
      <c r="R88" s="128"/>
      <c r="S88" s="120"/>
      <c r="T88" s="127"/>
      <c r="U88" s="89"/>
      <c r="V88" s="103"/>
      <c r="W88" s="115"/>
      <c r="X88" s="352" t="str">
        <f t="shared" si="24"/>
        <v>Surrey</v>
      </c>
      <c r="Y88" s="355">
        <f>IF(Year1_Surrey Year1_16_17_NEET="","",Year1_Surrey Year1_16_17_NEET)</f>
        <v>305.04294363354762</v>
      </c>
      <c r="Z88" s="248">
        <f>IF(Year2_Surrey Year2_16_17_NEET="","",Year2_Surrey Year2_16_17_NEET)</f>
        <v>326.9449081803005</v>
      </c>
      <c r="AA88" s="248">
        <f>IF(Year3_Surrey Year3_16_17_NEET="","",Year3_Surrey Year3_16_17_NEET)</f>
        <v>316.71333824613117</v>
      </c>
      <c r="AB88" s="248">
        <f>IF(Year4_Surrey Year4_16_17_NEET="","",Year4_Surrey Year4_16_17_NEET)</f>
        <v>295.39520913701637</v>
      </c>
      <c r="AC88" s="352">
        <f>IF(Year5_Surrey Year5_16_17_NEET="","",Year5_Surrey Year5_16_17_NEET)</f>
        <v>219.92400000000004</v>
      </c>
      <c r="AD88" s="56"/>
      <c r="AE88" s="56"/>
      <c r="AF88" s="56"/>
      <c r="AG88" s="56"/>
      <c r="AH88" s="56"/>
      <c r="AI88" s="52"/>
      <c r="AJ88" s="121"/>
    </row>
    <row r="89" spans="1:36" s="61" customFormat="1" ht="13.5" customHeight="1">
      <c r="A89" s="1103">
        <f>VLOOKUP(B89,ReportData!$AQ$4:$AR$25,2,FALSE)</f>
        <v>0</v>
      </c>
      <c r="B89" s="885" t="str">
        <f t="shared" si="23"/>
        <v>West Berkshire</v>
      </c>
      <c r="C89" s="896"/>
      <c r="D89" s="1284">
        <f>IF(ISNUMBER(Y89),Y89/Population!J59,NA())</f>
        <v>1.1203618049131463E-2</v>
      </c>
      <c r="E89" s="1284">
        <f>IF(ISNUMBER(Z89),Z89/Population!K59,NA())</f>
        <v>1.5932706580900544E-2</v>
      </c>
      <c r="F89" s="1284">
        <f>IF(ISNUMBER(AA89),AA89/Population!L59,NA())</f>
        <v>2.0675064910087509E-2</v>
      </c>
      <c r="G89" s="1284">
        <f>IF(ISNUMBER(AB89),AB89/Population!M59,NA())</f>
        <v>1.748583920463137E-2</v>
      </c>
      <c r="H89" s="1293">
        <f>IF(ISNUMBER(AC89),AC89/Population!N59,NA())</f>
        <v>1.9038328530259368E-2</v>
      </c>
      <c r="I89" s="68"/>
      <c r="J89" s="68"/>
      <c r="K89" s="127"/>
      <c r="L89" s="127"/>
      <c r="M89" s="127"/>
      <c r="N89" s="127"/>
      <c r="O89" s="127"/>
      <c r="P89" s="127"/>
      <c r="Q89" s="127"/>
      <c r="R89" s="128"/>
      <c r="S89" s="120"/>
      <c r="T89" s="127"/>
      <c r="U89" s="89"/>
      <c r="V89" s="103"/>
      <c r="W89" s="115"/>
      <c r="X89" s="352" t="str">
        <f t="shared" si="24"/>
        <v>West Berkshire</v>
      </c>
      <c r="Y89" s="355">
        <f>IF(Year1_West_Berkshire Year1_16_17_NEET="","",Year1_West_Berkshire Year1_16_17_NEET)</f>
        <v>36.299722479185938</v>
      </c>
      <c r="Z89" s="248">
        <f>IF(Year2_West_Berkshire Year2_16_17_NEET="","",Year2_West_Berkshire Year2_16_17_NEET)</f>
        <v>53.693221177634832</v>
      </c>
      <c r="AA89" s="248">
        <f>IF(Year3_West_Berkshire Year3_16_17_NEET="","",Year3_West_Berkshire Year3_16_17_NEET)</f>
        <v>71.742475238003649</v>
      </c>
      <c r="AB89" s="248">
        <f>IF(Year4_West_Berkshire Year4_16_17_NEET="","",Year4_West_Berkshire Year4_16_17_NEET)</f>
        <v>59.819055919043919</v>
      </c>
      <c r="AC89" s="352">
        <f>IF(Year5_West_Berkshire Year5_16_17_NEET="","",Year5_West_Berkshire Year5_16_17_NEET)</f>
        <v>66.063000000000002</v>
      </c>
      <c r="AD89" s="56"/>
      <c r="AE89" s="56"/>
      <c r="AF89" s="56"/>
      <c r="AG89" s="56"/>
      <c r="AH89" s="56"/>
      <c r="AI89" s="52"/>
      <c r="AJ89" s="121"/>
    </row>
    <row r="90" spans="1:36" s="61" customFormat="1" ht="13.5" customHeight="1">
      <c r="A90" s="1103">
        <f>VLOOKUP(B90,ReportData!$AQ$4:$AR$25,2,FALSE)</f>
        <v>0</v>
      </c>
      <c r="B90" s="885" t="str">
        <f t="shared" si="23"/>
        <v>West Sussex</v>
      </c>
      <c r="C90" s="896"/>
      <c r="D90" s="1284">
        <f>IF(ISNUMBER(Y90),Y90/Population!J60,NA())</f>
        <v>2.3858730126250741E-2</v>
      </c>
      <c r="E90" s="1284">
        <f>IF(ISNUMBER(Z90),Z90/Population!K60,NA())</f>
        <v>2.2844317976875139E-2</v>
      </c>
      <c r="F90" s="1284">
        <f>IF(ISNUMBER(AA90),AA90/Population!L60,NA())</f>
        <v>2.2083607764131572E-2</v>
      </c>
      <c r="G90" s="1284">
        <f>IF(ISNUMBER(AB90),AB90/Population!M60,NA())</f>
        <v>2.207628396320176E-2</v>
      </c>
      <c r="H90" s="1293">
        <f>IF(ISNUMBER(AC90),AC90/Population!N60,NA())</f>
        <v>1.9998818385915159E-2</v>
      </c>
      <c r="I90" s="68"/>
      <c r="J90" s="68"/>
      <c r="K90" s="127"/>
      <c r="L90" s="127"/>
      <c r="M90" s="127"/>
      <c r="N90" s="127"/>
      <c r="O90" s="127"/>
      <c r="P90" s="127"/>
      <c r="Q90" s="127"/>
      <c r="R90" s="128"/>
      <c r="S90" s="120"/>
      <c r="T90" s="127"/>
      <c r="U90" s="89"/>
      <c r="V90" s="103"/>
      <c r="W90" s="115"/>
      <c r="X90" s="352" t="str">
        <f t="shared" si="24"/>
        <v>West Sussex</v>
      </c>
      <c r="Y90" s="355">
        <f>IF(Year1_West_Sussex Year1_16_17_NEET="","",Year1_West_Sussex Year1_16_17_NEET)</f>
        <v>388.65871375662459</v>
      </c>
      <c r="Z90" s="248">
        <f>IF(Year2_West_Sussex Year2_16_17_NEET="","",Year2_West_Sussex Year2_16_17_NEET)</f>
        <v>379.90100795543356</v>
      </c>
      <c r="AA90" s="248">
        <f>IF(Year3_West_Sussex Year3_16_17_NEET="","",Year3_West_Sussex Year3_16_17_NEET)</f>
        <v>380.05888962070435</v>
      </c>
      <c r="AB90" s="248">
        <f>IF(Year4_West_Sussex Year4_16_17_NEET="","",Year4_West_Sussex Year4_16_17_NEET)</f>
        <v>375.34097994235634</v>
      </c>
      <c r="AC90" s="352">
        <f>IF(Year5_West_Sussex Year5_16_17_NEET="","",Year5_West_Sussex Year5_16_17_NEET)</f>
        <v>338.5</v>
      </c>
      <c r="AD90" s="56"/>
      <c r="AE90" s="56"/>
      <c r="AF90" s="56"/>
      <c r="AG90" s="56"/>
      <c r="AH90" s="56"/>
      <c r="AI90" s="52"/>
      <c r="AJ90" s="121"/>
    </row>
    <row r="91" spans="1:36" s="61" customFormat="1" ht="13.5" customHeight="1">
      <c r="A91" s="1103">
        <f>VLOOKUP(B91,ReportData!$AQ$4:$AR$25,2,FALSE)</f>
        <v>0</v>
      </c>
      <c r="B91" s="885" t="str">
        <f t="shared" si="23"/>
        <v>Windsor &amp; Maidenhead</v>
      </c>
      <c r="C91" s="896"/>
      <c r="D91" s="1284">
        <f>IF(ISNUMBER(Y91),Y91/Population!J61,NA())</f>
        <v>1.1263073209975865E-2</v>
      </c>
      <c r="E91" s="1284">
        <f>IF(ISNUMBER(Z91),Z91/Population!K61,NA())</f>
        <v>1.4588557100524277E-2</v>
      </c>
      <c r="F91" s="1284">
        <f>IF(ISNUMBER(AA91),AA91/Population!L61,NA())</f>
        <v>1.4975220857573799E-2</v>
      </c>
      <c r="G91" s="1284">
        <f>IF(ISNUMBER(AB91),AB91/Population!M61,NA())</f>
        <v>6.6882421142158985E-3</v>
      </c>
      <c r="H91" s="1293">
        <f>IF(ISNUMBER(AC91),AC91/Population!N61,NA())</f>
        <v>1.1031976744186047E-2</v>
      </c>
      <c r="I91" s="68"/>
      <c r="J91" s="68"/>
      <c r="K91" s="127"/>
      <c r="L91" s="127"/>
      <c r="M91" s="127"/>
      <c r="N91" s="127"/>
      <c r="O91" s="127"/>
      <c r="P91" s="127"/>
      <c r="Q91" s="127"/>
      <c r="R91" s="128"/>
      <c r="S91" s="120"/>
      <c r="T91" s="127"/>
      <c r="U91" s="89"/>
      <c r="V91" s="103"/>
      <c r="W91" s="115"/>
      <c r="X91" s="352" t="str">
        <f t="shared" si="24"/>
        <v>Windsor &amp; Maidenhead</v>
      </c>
      <c r="Y91" s="355">
        <f>IF(Year1_Windsor_and_Maidenhead Year1_16_17_NEET="","",Year1_Windsor_and_Maidenhead Year1_16_17_NEET)</f>
        <v>32.662912308930011</v>
      </c>
      <c r="Z91" s="248">
        <f>IF(Year2_Windsor_and_Maidenhead Year2_16_17_NEET="","",Year2_Windsor_and_Maidenhead Year2_16_17_NEET)</f>
        <v>42.598586733530887</v>
      </c>
      <c r="AA91" s="248">
        <f>IF(Year3_Windsor_and_Maidenhead Year3_16_17_NEET="","",Year3_Windsor_and_Maidenhead Year3_16_17_NEET)</f>
        <v>46.273432449903041</v>
      </c>
      <c r="AB91" s="248">
        <f>IF(Year4_Windsor_and_Maidenhead Year4_16_17_NEET="","",Year4_Windsor_and_Maidenhead Year4_16_17_NEET)</f>
        <v>20.65997989081291</v>
      </c>
      <c r="AC91" s="352">
        <f>IF(Year5_Windsor_and_Maidenhead Year5_16_17_NEET="","",Year5_Windsor_and_Maidenhead Year5_16_17_NEET)</f>
        <v>34.155000000000001</v>
      </c>
      <c r="AD91" s="56"/>
      <c r="AE91" s="56"/>
      <c r="AF91" s="56"/>
      <c r="AG91" s="56"/>
      <c r="AH91" s="56"/>
      <c r="AI91" s="52"/>
      <c r="AJ91" s="121"/>
    </row>
    <row r="92" spans="1:36" s="61" customFormat="1" ht="13.5" customHeight="1">
      <c r="A92" s="1103">
        <f>VLOOKUP(B92,ReportData!$AQ$4:$AR$25,2,FALSE)</f>
        <v>0</v>
      </c>
      <c r="B92" s="885" t="str">
        <f t="shared" si="23"/>
        <v>Wokingham</v>
      </c>
      <c r="C92" s="896"/>
      <c r="D92" s="1284">
        <f>IF(ISNUMBER(Y92),Y92/Population!J62,NA())</f>
        <v>1.1275615256397685E-2</v>
      </c>
      <c r="E92" s="1284">
        <f>IF(ISNUMBER(Z92),Z92/Population!K62,NA())</f>
        <v>1.583887368009386E-2</v>
      </c>
      <c r="F92" s="1284">
        <f>IF(ISNUMBER(AA92),AA92/Population!L62,NA())</f>
        <v>2.0872357506020872E-2</v>
      </c>
      <c r="G92" s="1284">
        <f>IF(ISNUMBER(AB92),AB92/Population!M62,NA())</f>
        <v>1.7180188093856689E-2</v>
      </c>
      <c r="H92" s="1293">
        <f>IF(ISNUMBER(AC92),AC92/Population!N62,NA())</f>
        <v>1.998483699772555E-2</v>
      </c>
      <c r="I92" s="68"/>
      <c r="J92" s="68"/>
      <c r="K92" s="127"/>
      <c r="L92" s="127"/>
      <c r="M92" s="127"/>
      <c r="N92" s="127"/>
      <c r="O92" s="127"/>
      <c r="P92" s="127"/>
      <c r="Q92" s="127"/>
      <c r="R92" s="128"/>
      <c r="S92" s="120"/>
      <c r="T92" s="127"/>
      <c r="U92" s="89"/>
      <c r="V92" s="103"/>
      <c r="W92" s="115"/>
      <c r="X92" s="352" t="str">
        <f t="shared" si="24"/>
        <v>Wokingham</v>
      </c>
      <c r="Y92" s="355">
        <f>IF(Year1_Wokingham Year1_16_17_NEET="","",Year1_Wokingham Year1_16_17_NEET)</f>
        <v>38.337091871752129</v>
      </c>
      <c r="Z92" s="248">
        <f>IF(Year2_Wokingham Year2_16_17_NEET="","",Year2_Wokingham Year2_16_17_NEET)</f>
        <v>54.010559249120064</v>
      </c>
      <c r="AA92" s="248">
        <f>IF(Year3_Wokingham Year3_16_17_NEET="","",Year3_Wokingham Year3_16_17_NEET)</f>
        <v>78.062617072518066</v>
      </c>
      <c r="AB92" s="248">
        <f>IF(Year4_Wokingham Year4_16_17_NEET="","",Year4_Wokingham Year4_16_17_NEET)</f>
        <v>67.088634506510374</v>
      </c>
      <c r="AC92" s="352">
        <f>IF(Year5_Wokingham Year5_16_17_NEET="","",Year5_Wokingham Year5_16_17_NEET)</f>
        <v>79.08</v>
      </c>
      <c r="AD92" s="56"/>
      <c r="AE92" s="56"/>
      <c r="AF92" s="56"/>
      <c r="AG92" s="56"/>
      <c r="AH92" s="56"/>
      <c r="AI92" s="52"/>
      <c r="AJ92" s="121"/>
    </row>
    <row r="93" spans="1:36" s="61" customFormat="1" ht="13.5" customHeight="1">
      <c r="A93" s="1148"/>
      <c r="B93" s="886" t="str">
        <f t="shared" si="23"/>
        <v>South East</v>
      </c>
      <c r="C93" s="896"/>
      <c r="D93" s="1287">
        <f>IF(ISNUMBER(Y93),Y93/Population!J63,NA())</f>
        <v>2.3514250179616232E-2</v>
      </c>
      <c r="E93" s="1287">
        <f>IF(ISNUMBER(Z93),Z93/Population!K63,NA())</f>
        <v>2.4099729141689979E-2</v>
      </c>
      <c r="F93" s="1287">
        <f>IF(ISNUMBER(AA93),AA93/Population!L63,NA())</f>
        <v>2.5414419634763256E-2</v>
      </c>
      <c r="G93" s="1287">
        <f>IF(ISNUMBER(AB93),AB93/Population!M63,NA())</f>
        <v>2.3277829125961727E-2</v>
      </c>
      <c r="H93" s="907">
        <f>IF(ISNUMBER(AC93),AC93/Population!N63,NA())</f>
        <v>2.4948220577781646E-2</v>
      </c>
      <c r="I93" s="68"/>
      <c r="J93" s="68"/>
      <c r="K93" s="129"/>
      <c r="L93" s="129"/>
      <c r="M93" s="129"/>
      <c r="N93" s="129"/>
      <c r="O93" s="129"/>
      <c r="P93" s="129"/>
      <c r="Q93" s="129"/>
      <c r="R93" s="130"/>
      <c r="S93" s="120"/>
      <c r="T93" s="131"/>
      <c r="U93" s="89"/>
      <c r="V93" s="103"/>
      <c r="W93" s="115"/>
      <c r="X93" s="352" t="str">
        <f t="shared" si="24"/>
        <v>South East</v>
      </c>
      <c r="Y93" s="252">
        <f>IF(Year1_South_East Year1_16_17_NEET="","",Year1_South_East Year1_16_17_NEET)</f>
        <v>4178.2471144160081</v>
      </c>
      <c r="Z93" s="248">
        <f>IF(Year2_South_East Year2_16_17_NEET="","",Year2_South_East Year2_16_17_NEET)</f>
        <v>4342.0481994582833</v>
      </c>
      <c r="AA93" s="248">
        <f>IF(Year3_South_East Year3_16_17_NEET="","",Year3_South_East Year3_16_17_NEET)</f>
        <v>4765.9661141071538</v>
      </c>
      <c r="AB93" s="248">
        <f>IF(Year4_South_East Year4_16_17_NEET="","",Year4_South_East Year4_16_17_NEET)</f>
        <v>4453.1418231129819</v>
      </c>
      <c r="AC93" s="352">
        <f>IF(Year5_South_East Year5_16_17_NEET="","",Year5_South_East Year5_16_17_NEET)</f>
        <v>4878.4000000000005</v>
      </c>
      <c r="AD93" s="56"/>
      <c r="AE93" s="56"/>
      <c r="AF93" s="56"/>
      <c r="AG93" s="56"/>
      <c r="AH93" s="56"/>
      <c r="AI93" s="52"/>
      <c r="AJ93" s="121"/>
    </row>
    <row r="94" spans="1:36" s="61" customFormat="1" ht="13.5" customHeight="1">
      <c r="A94" s="1148"/>
      <c r="B94" s="887" t="str">
        <f t="shared" si="23"/>
        <v>England</v>
      </c>
      <c r="C94" s="896"/>
      <c r="D94" s="1290">
        <f>IF(ISNUMBER(Y94),Y94/Population!J64,NA())</f>
        <v>2.6494770804192887E-2</v>
      </c>
      <c r="E94" s="1290">
        <f>IF(ISNUMBER(Z94),Z94/Population!K64,NA())</f>
        <v>2.6866409857325874E-2</v>
      </c>
      <c r="F94" s="1290">
        <f>IF(ISNUMBER(AA94),AA94/Population!L64,NA())</f>
        <v>2.8199705130636608E-2</v>
      </c>
      <c r="G94" s="1290">
        <f>IF(ISNUMBER(AB94),AB94/Population!M64,NA())</f>
        <v>2.632176183182457E-2</v>
      </c>
      <c r="H94" s="913">
        <f>IF(ISNUMBER(AC94),AC94/Population!N64,NA())</f>
        <v>2.7933643292756723E-2</v>
      </c>
      <c r="I94" s="68"/>
      <c r="J94" s="68"/>
      <c r="K94" s="129"/>
      <c r="L94" s="129"/>
      <c r="M94" s="129"/>
      <c r="N94" s="129"/>
      <c r="O94" s="129"/>
      <c r="P94" s="129"/>
      <c r="Q94" s="129"/>
      <c r="R94" s="130"/>
      <c r="S94" s="120"/>
      <c r="T94" s="131"/>
      <c r="U94" s="89"/>
      <c r="V94" s="103"/>
      <c r="W94" s="115"/>
      <c r="X94" s="352" t="str">
        <f t="shared" si="24"/>
        <v>England</v>
      </c>
      <c r="Y94" s="252">
        <f>IF(Year1_England Year1_16_17_NEET="","",Year1_England Year1_16_17_NEET)</f>
        <v>29650.298006972258</v>
      </c>
      <c r="Z94" s="248">
        <f>IF(Year2_England Year2_16_17_NEET="","",Year2_England Year2_16_17_NEET)</f>
        <v>30708.306466923474</v>
      </c>
      <c r="AA94" s="248">
        <f>IF(Year3_England Year3_16_17_NEET="","",Year3_England Year3_16_17_NEET)</f>
        <v>33306.389732743592</v>
      </c>
      <c r="AB94" s="248">
        <f>IF(Year4_England Year4_16_17_NEET="","",Year4_England Year4_16_17_NEET)</f>
        <v>31860.097417096946</v>
      </c>
      <c r="AC94" s="352">
        <f>IF(Year5_England Year5_16_17_NEET="","",Year5_England Year5_16_17_NEET)</f>
        <v>34618.219999999994</v>
      </c>
      <c r="AD94" s="56"/>
      <c r="AE94" s="56"/>
      <c r="AF94" s="56"/>
      <c r="AG94" s="56"/>
      <c r="AH94" s="56"/>
      <c r="AI94" s="52"/>
      <c r="AJ94" s="121"/>
    </row>
    <row r="95" spans="1:36" s="61" customFormat="1" ht="3.75" customHeight="1">
      <c r="A95" s="217"/>
      <c r="B95" s="68"/>
      <c r="C95" s="68"/>
      <c r="D95" s="68"/>
      <c r="E95" s="68"/>
      <c r="F95" s="68"/>
      <c r="G95" s="68"/>
      <c r="H95" s="68"/>
      <c r="I95" s="68"/>
      <c r="J95" s="68"/>
      <c r="K95" s="129"/>
      <c r="L95" s="129"/>
      <c r="M95" s="129"/>
      <c r="N95" s="129"/>
      <c r="O95" s="129"/>
      <c r="P95" s="129"/>
      <c r="Q95" s="129"/>
      <c r="R95" s="130"/>
      <c r="S95" s="120"/>
      <c r="T95" s="131"/>
      <c r="U95" s="89"/>
      <c r="V95" s="103"/>
      <c r="W95" s="115"/>
      <c r="X95" s="52"/>
      <c r="Y95" s="52"/>
      <c r="Z95" s="56"/>
      <c r="AA95" s="56"/>
      <c r="AB95" s="56"/>
      <c r="AC95" s="56"/>
      <c r="AD95" s="56"/>
      <c r="AE95" s="56"/>
      <c r="AF95" s="56"/>
      <c r="AG95" s="56"/>
      <c r="AH95" s="56"/>
      <c r="AI95" s="52"/>
      <c r="AJ95" s="121"/>
    </row>
    <row r="96" spans="1:36" s="56" customFormat="1" ht="42" customHeight="1">
      <c r="A96" s="166"/>
      <c r="B96" s="171"/>
      <c r="C96" s="171"/>
      <c r="D96" s="171"/>
      <c r="E96" s="171"/>
      <c r="F96" s="171"/>
      <c r="G96" s="171"/>
      <c r="H96" s="171"/>
      <c r="I96" s="171"/>
      <c r="J96" s="133"/>
      <c r="K96" s="133"/>
      <c r="L96" s="133"/>
      <c r="M96" s="133"/>
      <c r="N96" s="133"/>
      <c r="O96" s="133"/>
      <c r="P96" s="133"/>
      <c r="Q96" s="133"/>
      <c r="R96" s="101"/>
      <c r="S96" s="133"/>
      <c r="T96" s="133"/>
      <c r="U96" s="86"/>
      <c r="V96" s="102"/>
      <c r="W96" s="114"/>
      <c r="AC96" s="147"/>
      <c r="AI96" s="52"/>
      <c r="AJ96" s="122"/>
    </row>
    <row r="97" spans="1:45" s="56" customFormat="1" ht="42.75" customHeight="1">
      <c r="A97" s="166"/>
      <c r="B97" s="171"/>
      <c r="C97" s="171"/>
      <c r="D97" s="171"/>
      <c r="E97" s="171"/>
      <c r="F97" s="171"/>
      <c r="G97" s="171"/>
      <c r="H97" s="171"/>
      <c r="I97" s="171"/>
      <c r="J97" s="133"/>
      <c r="K97" s="133"/>
      <c r="L97" s="133"/>
      <c r="M97" s="133"/>
      <c r="N97" s="133"/>
      <c r="O97" s="133"/>
      <c r="P97" s="133"/>
      <c r="Q97" s="133"/>
      <c r="R97" s="101"/>
      <c r="S97" s="133"/>
      <c r="T97" s="133"/>
      <c r="U97" s="86"/>
      <c r="V97" s="102"/>
      <c r="W97" s="114"/>
      <c r="AI97" s="52"/>
      <c r="AJ97" s="122"/>
    </row>
    <row r="98" spans="1:45" s="56" customFormat="1" ht="42" customHeight="1">
      <c r="A98" s="166"/>
      <c r="B98" s="171"/>
      <c r="C98" s="171"/>
      <c r="D98" s="171"/>
      <c r="E98" s="171"/>
      <c r="F98" s="171"/>
      <c r="G98" s="171"/>
      <c r="H98" s="171"/>
      <c r="I98" s="171"/>
      <c r="J98" s="133"/>
      <c r="K98" s="133"/>
      <c r="L98" s="133"/>
      <c r="M98" s="133"/>
      <c r="N98" s="133"/>
      <c r="O98" s="133"/>
      <c r="P98" s="133"/>
      <c r="Q98" s="133"/>
      <c r="R98" s="101"/>
      <c r="S98" s="133"/>
      <c r="T98" s="133"/>
      <c r="U98" s="86"/>
      <c r="V98" s="121"/>
      <c r="W98" s="114"/>
      <c r="Y98" s="141"/>
      <c r="AI98" s="52"/>
      <c r="AJ98" s="122"/>
    </row>
    <row r="99" spans="1:45" s="56" customFormat="1" ht="7.5" customHeight="1">
      <c r="A99" s="87"/>
      <c r="B99" s="12"/>
      <c r="C99" s="12"/>
      <c r="D99" s="11"/>
      <c r="E99" s="11"/>
      <c r="F99" s="11"/>
      <c r="G99" s="11"/>
      <c r="H99" s="11"/>
      <c r="I99" s="11"/>
      <c r="J99" s="1"/>
      <c r="K99" s="13"/>
      <c r="L99" s="13"/>
      <c r="M99" s="13"/>
      <c r="N99" s="13"/>
      <c r="O99" s="13"/>
      <c r="P99" s="13"/>
      <c r="Q99" s="13"/>
      <c r="R99" s="13"/>
      <c r="S99" s="13"/>
      <c r="T99" s="14"/>
      <c r="U99" s="86"/>
      <c r="V99" s="185"/>
      <c r="W99" s="114"/>
      <c r="Y99" s="141"/>
      <c r="AI99" s="52"/>
      <c r="AJ99" s="119"/>
      <c r="AK99" s="52"/>
      <c r="AL99" s="52"/>
      <c r="AM99" s="52"/>
      <c r="AN99" s="52"/>
      <c r="AO99" s="52"/>
      <c r="AP99" s="52"/>
      <c r="AQ99" s="52"/>
    </row>
    <row r="100" spans="1:45" s="56" customFormat="1" ht="15" customHeight="1">
      <c r="A100" s="1565"/>
      <c r="B100" s="1751"/>
      <c r="C100" s="1751"/>
      <c r="D100" s="1751"/>
      <c r="E100" s="1751"/>
      <c r="F100" s="1751"/>
      <c r="G100" s="1751"/>
      <c r="H100" s="1751"/>
      <c r="I100" s="1751"/>
      <c r="J100" s="1751"/>
      <c r="K100" s="1751"/>
      <c r="L100" s="1751"/>
      <c r="M100" s="1751"/>
      <c r="N100" s="1751"/>
      <c r="O100" s="1751"/>
      <c r="P100" s="1751"/>
      <c r="Q100" s="1751"/>
      <c r="R100" s="1751"/>
      <c r="S100" s="1751"/>
      <c r="T100" s="1751"/>
      <c r="U100" s="1752"/>
      <c r="V100" s="185"/>
      <c r="W100" s="114"/>
      <c r="AI100" s="52"/>
      <c r="AJ100" s="122"/>
      <c r="AS100" s="52"/>
    </row>
    <row r="101" spans="1:45" s="56" customFormat="1" ht="11.25" customHeight="1">
      <c r="A101" s="1739"/>
      <c r="B101" s="1740"/>
      <c r="C101" s="1740"/>
      <c r="D101" s="1740"/>
      <c r="E101" s="1740"/>
      <c r="F101" s="1740"/>
      <c r="G101" s="1740"/>
      <c r="H101" s="1740"/>
      <c r="I101" s="1741"/>
      <c r="J101" s="1740"/>
      <c r="K101" s="1740"/>
      <c r="L101" s="1740"/>
      <c r="M101" s="1740"/>
      <c r="N101" s="1740"/>
      <c r="O101" s="1740"/>
      <c r="P101" s="1742"/>
      <c r="Q101" s="1740"/>
      <c r="R101" s="1740"/>
      <c r="S101" s="1741"/>
      <c r="T101" s="1740"/>
      <c r="U101" s="1743"/>
      <c r="V101" s="185"/>
      <c r="W101" s="114"/>
      <c r="AI101" s="52"/>
      <c r="AJ101" s="121"/>
      <c r="AK101" s="61"/>
      <c r="AS101" s="52"/>
    </row>
    <row r="102" spans="1:45" ht="10.5" customHeight="1">
      <c r="A102" s="81"/>
      <c r="B102" s="82"/>
      <c r="C102" s="82"/>
      <c r="D102" s="82"/>
      <c r="E102" s="82"/>
      <c r="F102" s="82"/>
      <c r="G102" s="82"/>
      <c r="H102" s="82"/>
      <c r="I102" s="82"/>
      <c r="J102" s="83"/>
      <c r="K102" s="82"/>
      <c r="L102" s="82"/>
      <c r="M102" s="82"/>
      <c r="N102" s="82"/>
      <c r="O102" s="82"/>
      <c r="P102" s="82"/>
      <c r="Q102" s="82"/>
      <c r="R102" s="82"/>
      <c r="S102" s="82"/>
      <c r="T102" s="82"/>
      <c r="U102" s="84"/>
      <c r="V102" s="102"/>
      <c r="W102" s="114"/>
      <c r="X102" s="148"/>
      <c r="Y102" s="146"/>
      <c r="Z102" s="52"/>
      <c r="AJ102" s="122"/>
    </row>
    <row r="103" spans="1:45" ht="18.75" customHeight="1">
      <c r="A103" s="87"/>
      <c r="B103" s="1903" t="s">
        <v>1289</v>
      </c>
      <c r="C103" s="1903"/>
      <c r="D103" s="1903"/>
      <c r="E103" s="1903"/>
      <c r="F103" s="1903"/>
      <c r="G103" s="1903"/>
      <c r="H103" s="1903"/>
      <c r="I103" s="1177"/>
      <c r="J103" s="50"/>
      <c r="K103" s="50"/>
      <c r="L103" s="50"/>
      <c r="M103" s="50"/>
      <c r="N103" s="224"/>
      <c r="O103" s="50"/>
      <c r="P103" s="50"/>
      <c r="Q103" s="50"/>
      <c r="R103" s="50"/>
      <c r="S103" s="50"/>
      <c r="T103" s="50"/>
      <c r="U103" s="86"/>
      <c r="V103" s="102"/>
      <c r="W103" s="114"/>
      <c r="X103" s="52" t="s">
        <v>664</v>
      </c>
      <c r="Y103" s="250"/>
      <c r="Z103" s="251"/>
      <c r="AA103" s="251"/>
      <c r="AB103" s="251"/>
      <c r="AJ103" s="121"/>
    </row>
    <row r="104" spans="1:45" ht="18.75" customHeight="1">
      <c r="A104" s="87"/>
      <c r="B104" s="1903"/>
      <c r="C104" s="1903"/>
      <c r="D104" s="1903"/>
      <c r="E104" s="1903"/>
      <c r="F104" s="1903"/>
      <c r="G104" s="1903"/>
      <c r="H104" s="1903"/>
      <c r="I104" s="1177"/>
      <c r="J104" s="50"/>
      <c r="K104" s="50"/>
      <c r="L104" s="50"/>
      <c r="M104" s="50"/>
      <c r="N104" s="224"/>
      <c r="O104" s="50"/>
      <c r="P104" s="50"/>
      <c r="Q104" s="50"/>
      <c r="R104" s="5"/>
      <c r="S104" s="50"/>
      <c r="T104" s="50"/>
      <c r="U104" s="86"/>
      <c r="V104" s="102"/>
      <c r="W104" s="114"/>
      <c r="X104" s="251"/>
      <c r="Y104" s="250"/>
      <c r="Z104" s="251"/>
      <c r="AA104" s="251"/>
      <c r="AB104" s="251"/>
      <c r="AJ104" s="122"/>
    </row>
    <row r="105" spans="1:45" s="61" customFormat="1" ht="18.75" customHeight="1">
      <c r="A105" s="88"/>
      <c r="B105" s="1749" t="s">
        <v>177</v>
      </c>
      <c r="C105" s="1175"/>
      <c r="D105" s="1088" t="str">
        <f>ReportData!$D$27</f>
        <v>2019/20</v>
      </c>
      <c r="E105" s="1088" t="str">
        <f>ReportData!$E$27</f>
        <v>2020/21</v>
      </c>
      <c r="F105" s="1088" t="str">
        <f>ReportData!$F$27</f>
        <v>2021/22</v>
      </c>
      <c r="G105" s="1088" t="str">
        <f>ReportData!$G$27</f>
        <v>2022/23</v>
      </c>
      <c r="H105" s="1089" t="str">
        <f>ReportData!$H$27</f>
        <v>2023/24</v>
      </c>
      <c r="I105" s="68"/>
      <c r="J105" s="68"/>
      <c r="K105" s="43"/>
      <c r="L105" s="43"/>
      <c r="M105" s="43"/>
      <c r="N105" s="43"/>
      <c r="O105" s="43"/>
      <c r="P105" s="43"/>
      <c r="Q105" s="225"/>
      <c r="R105" s="225"/>
      <c r="S105" s="120"/>
      <c r="T105" s="226"/>
      <c r="U105" s="89"/>
      <c r="V105" s="103"/>
      <c r="W105" s="115"/>
      <c r="X105" s="248"/>
      <c r="Y105" s="307" t="str">
        <f>IF(ReportData!$C$3="Annual","",ReportData!$D$28)</f>
        <v/>
      </c>
      <c r="Z105" s="307" t="str">
        <f>IF(ReportData!$C$3="Annual","",ReportData!$E$28)</f>
        <v/>
      </c>
      <c r="AA105" s="307" t="str">
        <f>IF(ReportData!$C$3="Annual","",ReportData!$F$28)</f>
        <v/>
      </c>
      <c r="AB105" s="307" t="str">
        <f>IF(ReportData!$C$3="Annual","",ReportData!$G$28)</f>
        <v/>
      </c>
      <c r="AC105" s="307" t="str">
        <f>IF(ReportData!$C$3="Annual","",ReportData!$H$28)</f>
        <v/>
      </c>
      <c r="AD105" s="249"/>
      <c r="AE105" s="250"/>
      <c r="AF105" s="251"/>
      <c r="AG105" s="251"/>
      <c r="AH105" s="251"/>
      <c r="AI105" s="56"/>
      <c r="AJ105" s="121"/>
    </row>
    <row r="106" spans="1:45" s="61" customFormat="1" ht="16.5" customHeight="1">
      <c r="A106" s="217"/>
      <c r="B106" s="1750"/>
      <c r="C106" s="896"/>
      <c r="D106" s="897" t="e">
        <f>ReportData!$D$28</f>
        <v>#N/A</v>
      </c>
      <c r="E106" s="897" t="e">
        <f>ReportData!$E$28</f>
        <v>#N/A</v>
      </c>
      <c r="F106" s="897" t="e">
        <f>ReportData!$F$28</f>
        <v>#N/A</v>
      </c>
      <c r="G106" s="897" t="e">
        <f>ReportData!$G$28</f>
        <v>#N/A</v>
      </c>
      <c r="H106" s="920" t="e">
        <f>ReportData!$H$28</f>
        <v>#N/A</v>
      </c>
      <c r="I106" s="68"/>
      <c r="J106" s="68"/>
      <c r="K106" s="43"/>
      <c r="L106" s="43"/>
      <c r="M106" s="43"/>
      <c r="N106" s="43"/>
      <c r="O106" s="43"/>
      <c r="P106" s="43"/>
      <c r="Q106" s="225"/>
      <c r="R106" s="225"/>
      <c r="S106" s="120"/>
      <c r="T106" s="226"/>
      <c r="U106" s="89"/>
      <c r="V106" s="103"/>
      <c r="W106" s="115"/>
      <c r="X106" s="248"/>
      <c r="Y106" s="307" t="str">
        <f>ReportData!$D$27</f>
        <v>2019/20</v>
      </c>
      <c r="Z106" s="307" t="str">
        <f>ReportData!$E$27</f>
        <v>2020/21</v>
      </c>
      <c r="AA106" s="307" t="str">
        <f>ReportData!$F$27</f>
        <v>2021/22</v>
      </c>
      <c r="AB106" s="307" t="str">
        <f>ReportData!$G$27</f>
        <v>2022/23</v>
      </c>
      <c r="AC106" s="307" t="str">
        <f>ReportData!$H$27</f>
        <v>2023/24</v>
      </c>
      <c r="AD106" s="249"/>
      <c r="AE106" s="250"/>
      <c r="AF106" s="251"/>
      <c r="AG106" s="251"/>
      <c r="AH106" s="251"/>
      <c r="AI106" s="56"/>
      <c r="AJ106" s="121"/>
    </row>
    <row r="107" spans="1:45" s="61" customFormat="1" ht="13.5" customHeight="1">
      <c r="A107" s="1103">
        <f>VLOOKUP(B107,ReportData!$AQ$4:$AR$25,2,FALSE)</f>
        <v>0</v>
      </c>
      <c r="B107" s="885" t="str">
        <f t="shared" ref="B107:B127" si="25">B11</f>
        <v>Bracknell Forest</v>
      </c>
      <c r="C107" s="896"/>
      <c r="D107" s="1284">
        <f>IF(ISNUMBER(Y107),Y107/Population!J44,NA())</f>
        <v>7.0476482304274557E-2</v>
      </c>
      <c r="E107" s="1284">
        <f>IF(ISNUMBER(Z107),Z107/Population!K44,NA())</f>
        <v>2.3066485753052916E-2</v>
      </c>
      <c r="F107" s="1284">
        <f>IF(ISNUMBER(AA107),AA107/Population!L44,NA())</f>
        <v>1.2777919754663943E-2</v>
      </c>
      <c r="G107" s="1284">
        <f>IF(ISNUMBER(AB107),AB107/Population!M44,NA())</f>
        <v>1.7844560036205711E-2</v>
      </c>
      <c r="H107" s="1293">
        <f>IF(ISNUMBER(AC107),AC107/Population!N44,NA())</f>
        <v>1.7000000000000001E-2</v>
      </c>
      <c r="I107" s="68"/>
      <c r="J107" s="68"/>
      <c r="K107" s="127"/>
      <c r="L107" s="127"/>
      <c r="M107" s="127"/>
      <c r="N107" s="127"/>
      <c r="O107" s="127"/>
      <c r="P107" s="127"/>
      <c r="Q107" s="127"/>
      <c r="R107" s="128"/>
      <c r="S107" s="120"/>
      <c r="T107" s="127"/>
      <c r="U107" s="89"/>
      <c r="V107" s="103"/>
      <c r="W107" s="115"/>
      <c r="X107" s="248" t="str">
        <f t="shared" ref="X107:X127" si="26">B107</f>
        <v>Bracknell Forest</v>
      </c>
      <c r="Y107" s="307">
        <f>IF(Year1_Bracknell_Forest Year1_16_17_not_known="","",Year1_Bracknell_Forest Year1_16_17_not_known)</f>
        <v>153.63873142331855</v>
      </c>
      <c r="Z107" s="248">
        <f>IF(Year2_Bracknell_Forest Year2_16_17_not_known="","",Year2_Bracknell_Forest Year2_16_17_not_known)</f>
        <v>50.976933514246944</v>
      </c>
      <c r="AA107" s="248">
        <f>IF(Year3_Bracknell_Forest Year3_16_17_not_known="","",Year3_Bracknell_Forest Year3_16_17_not_known)</f>
        <v>33.350370559672889</v>
      </c>
      <c r="AB107" s="248">
        <f>IF(Year4_Bracknell_Forest Year4_16_17_not_known="","",Year4_Bracknell_Forest Year4_16_17_not_known)</f>
        <v>48.572892418551945</v>
      </c>
      <c r="AC107" s="248">
        <f>IF(Year5_Bracknell_Forest Year5_16_17_not_known="","",Year5_Bracknell_Forest Year5_16_17_not_known)</f>
        <v>46.325000000000003</v>
      </c>
      <c r="AD107" s="249"/>
      <c r="AE107" s="250"/>
      <c r="AF107" s="251"/>
      <c r="AG107" s="251"/>
      <c r="AH107" s="251"/>
      <c r="AI107" s="56"/>
      <c r="AJ107" s="122"/>
    </row>
    <row r="108" spans="1:45" s="61" customFormat="1" ht="13.5" customHeight="1">
      <c r="A108" s="1103">
        <f>VLOOKUP(B108,ReportData!$AQ$4:$AR$25,2,FALSE)</f>
        <v>0</v>
      </c>
      <c r="B108" s="885" t="str">
        <f t="shared" si="25"/>
        <v>Brighton &amp; Hove</v>
      </c>
      <c r="C108" s="896"/>
      <c r="D108" s="1284">
        <f>IF(ISNUMBER(Y108),Y108/Population!J45,NA())</f>
        <v>1.5194681861348529E-2</v>
      </c>
      <c r="E108" s="1284">
        <f>IF(ISNUMBER(Z108),Z108/Population!K45,NA())</f>
        <v>1.0486577181208054E-2</v>
      </c>
      <c r="F108" s="1284">
        <f>IF(ISNUMBER(AA108),AA108/Population!L45,NA())</f>
        <v>1.6404330211861592E-2</v>
      </c>
      <c r="G108" s="1284">
        <f>IF(ISNUMBER(AB108),AB108/Population!M45,NA())</f>
        <v>8.4273839689615378E-3</v>
      </c>
      <c r="H108" s="1293">
        <f>IF(ISNUMBER(AC108),AC108/Population!N45,NA())</f>
        <v>6.0000000000000001E-3</v>
      </c>
      <c r="I108" s="68"/>
      <c r="J108" s="68"/>
      <c r="K108" s="127"/>
      <c r="L108" s="127"/>
      <c r="M108" s="127"/>
      <c r="N108" s="127"/>
      <c r="O108" s="127"/>
      <c r="P108" s="127"/>
      <c r="Q108" s="127"/>
      <c r="R108" s="128"/>
      <c r="S108" s="120"/>
      <c r="T108" s="127"/>
      <c r="U108" s="89"/>
      <c r="V108" s="103"/>
      <c r="W108" s="115"/>
      <c r="X108" s="248" t="str">
        <f t="shared" si="26"/>
        <v>Brighton &amp; Hove</v>
      </c>
      <c r="Y108" s="307">
        <f>IF(Year1_Brighton_and_Hove Year1_16_17_not_known="","",Year1_Brighton_and_Hove Year1_16_17_not_known)</f>
        <v>74.605887939221276</v>
      </c>
      <c r="Z108" s="248">
        <f>IF(Year2_Brighton_and_Hove Year2_16_17_not_known="","",Year2_Brighton_and_Hove Year2_16_17_not_known)</f>
        <v>50.020973154362416</v>
      </c>
      <c r="AA108" s="248">
        <f>IF(Year3_Brighton_and_Hove Year3_16_17_not_known="","",Year3_Brighton_and_Hove Year3_16_17_not_known)</f>
        <v>82.349737663545199</v>
      </c>
      <c r="AB108" s="248">
        <f>IF(Year4_Brighton_and_Hove Year4_16_17_not_known="","",Year4_Brighton_and_Hove Year4_16_17_not_known)</f>
        <v>42.760546258510843</v>
      </c>
      <c r="AC108" s="248">
        <f>IF(Year5_Brighton_and_Hove Year5_16_17_not_known="","",Year5_Brighton_and_Hove Year5_16_17_not_known)</f>
        <v>31.332000000000001</v>
      </c>
      <c r="AD108" s="249"/>
      <c r="AE108" s="376"/>
      <c r="AF108" s="251"/>
      <c r="AG108" s="251"/>
      <c r="AH108" s="251"/>
      <c r="AI108" s="56"/>
      <c r="AJ108" s="121"/>
    </row>
    <row r="109" spans="1:45" s="61" customFormat="1" ht="13.5" customHeight="1">
      <c r="A109" s="1103">
        <f>VLOOKUP(B109,ReportData!$AQ$4:$AR$25,2,FALSE)</f>
        <v>0</v>
      </c>
      <c r="B109" s="885" t="str">
        <f t="shared" si="25"/>
        <v>Buckinghamshire</v>
      </c>
      <c r="C109" s="896"/>
      <c r="D109" s="1284">
        <f>IF(ISNUMBER(Y109),Y109/Population!J46,NA())</f>
        <v>5.5552370578455544E-2</v>
      </c>
      <c r="E109" s="1284">
        <f>IF(ISNUMBER(Z109),Z109/Population!K46,NA())</f>
        <v>9.3939565735018993E-2</v>
      </c>
      <c r="F109" s="1284">
        <f>IF(ISNUMBER(AA109),AA109/Population!L46,NA())</f>
        <v>5.5452567099218183E-2</v>
      </c>
      <c r="G109" s="1284">
        <f>IF(ISNUMBER(AB109),AB109/Population!M46,NA())</f>
        <v>4.8600426511294315E-2</v>
      </c>
      <c r="H109" s="1293">
        <f>IF(ISNUMBER(AC109),AC109/Population!N46,NA())</f>
        <v>6.9910177239554103E-2</v>
      </c>
      <c r="I109" s="68"/>
      <c r="J109" s="68"/>
      <c r="K109" s="127"/>
      <c r="L109" s="127"/>
      <c r="M109" s="127"/>
      <c r="N109" s="127"/>
      <c r="O109" s="127"/>
      <c r="P109" s="127"/>
      <c r="Q109" s="127"/>
      <c r="R109" s="128"/>
      <c r="S109" s="120"/>
      <c r="T109" s="127"/>
      <c r="U109" s="89"/>
      <c r="V109" s="103"/>
      <c r="W109" s="115"/>
      <c r="X109" s="248" t="str">
        <f t="shared" si="26"/>
        <v>Buckinghamshire</v>
      </c>
      <c r="Y109" s="307">
        <f>IF(Year1_Buckinghamshire Year1_16_17_not_known="","",Year1_Buckinghamshire Year1_16_17_not_known)</f>
        <v>646.07406982743794</v>
      </c>
      <c r="Z109" s="248">
        <f>IF(Year2_Buckinghamshire Year2_16_17_not_known="","",Year2_Buckinghamshire Year2_16_17_not_known)</f>
        <v>1104.7292930438234</v>
      </c>
      <c r="AA109" s="248">
        <f>IF(Year3_Buckinghamshire Year3_16_17_not_known="","",Year3_Buckinghamshire Year3_16_17_not_known)</f>
        <v>688.16635770129767</v>
      </c>
      <c r="AB109" s="248">
        <f>IF(Year4_Buckinghamshire Year4_16_17_not_known="","",Year4_Buckinghamshire Year4_16_17_not_known)</f>
        <v>608.28293821535965</v>
      </c>
      <c r="AC109" s="248">
        <f>IF(Year5_Buckinghamshire Year5_16_17_not_known="","",Year5_Buckinghamshire Year5_16_17_not_known)</f>
        <v>871.71</v>
      </c>
      <c r="AD109" s="249"/>
      <c r="AE109" s="376"/>
      <c r="AF109" s="251"/>
      <c r="AG109" s="251"/>
      <c r="AH109" s="251"/>
      <c r="AI109" s="56"/>
      <c r="AJ109" s="122"/>
    </row>
    <row r="110" spans="1:45" s="61" customFormat="1" ht="13.5" customHeight="1">
      <c r="A110" s="1103">
        <f>VLOOKUP(B110,ReportData!$AQ$4:$AR$25,2,FALSE)</f>
        <v>0</v>
      </c>
      <c r="B110" s="885" t="str">
        <f t="shared" si="25"/>
        <v>East Sussex</v>
      </c>
      <c r="C110" s="896"/>
      <c r="D110" s="1284">
        <f>IF(ISNUMBER(Y110),Y110/Population!J47,NA())</f>
        <v>1.2189730310111791E-2</v>
      </c>
      <c r="E110" s="1284">
        <f>IF(ISNUMBER(Z110),Z110/Population!K47,NA())</f>
        <v>1.275239107332625E-2</v>
      </c>
      <c r="F110" s="1284">
        <f>IF(ISNUMBER(AA110),AA110/Population!L47,NA())</f>
        <v>1.4990571967316154E-2</v>
      </c>
      <c r="G110" s="1284">
        <f>IF(ISNUMBER(AB110),AB110/Population!M47,NA())</f>
        <v>1.1711767473133031E-2</v>
      </c>
      <c r="H110" s="1293">
        <f>IF(ISNUMBER(AC110),AC110/Population!N47,NA())</f>
        <v>8.9832134292565959E-3</v>
      </c>
      <c r="I110" s="68"/>
      <c r="J110" s="68"/>
      <c r="K110" s="127"/>
      <c r="L110" s="127"/>
      <c r="M110" s="127"/>
      <c r="N110" s="127"/>
      <c r="O110" s="127"/>
      <c r="P110" s="127"/>
      <c r="Q110" s="127"/>
      <c r="R110" s="128"/>
      <c r="S110" s="120"/>
      <c r="T110" s="127"/>
      <c r="U110" s="89"/>
      <c r="V110" s="103"/>
      <c r="W110" s="115"/>
      <c r="X110" s="248" t="str">
        <f t="shared" si="26"/>
        <v>East Sussex</v>
      </c>
      <c r="Y110" s="307">
        <f>IF(Year1_East_Sussex Year1_16_17_not_known="","",Year1_East_Sussex Year1_16_17_not_known)</f>
        <v>128.72355207478051</v>
      </c>
      <c r="Z110" s="248">
        <f>IF(Year2_East_Sussex Year2_16_17_not_known="","",Year2_East_Sussex Year2_16_17_not_known)</f>
        <v>131.98724760892668</v>
      </c>
      <c r="AA110" s="248">
        <f>IF(Year3_East_Sussex Year3_16_17_not_known="","",Year3_East_Sussex Year3_16_17_not_known)</f>
        <v>159.04996857322439</v>
      </c>
      <c r="AB110" s="248">
        <f>IF(Year4_East_Sussex Year4_16_17_not_known="","",Year4_East_Sussex Year4_16_17_not_known)</f>
        <v>124.98798247327571</v>
      </c>
      <c r="AC110" s="248">
        <f>IF(Year5_East_Sussex Year5_16_17_not_known="","",Year5_East_Sussex Year5_16_17_not_known)</f>
        <v>101.14200000000001</v>
      </c>
      <c r="AD110" s="249"/>
      <c r="AE110" s="376"/>
      <c r="AF110" s="251"/>
      <c r="AG110" s="251"/>
      <c r="AH110" s="251"/>
      <c r="AI110" s="56"/>
      <c r="AJ110" s="121"/>
    </row>
    <row r="111" spans="1:45" s="61" customFormat="1" ht="13.5" customHeight="1">
      <c r="A111" s="1103">
        <f>VLOOKUP(B111,ReportData!$AQ$4:$AR$25,2,FALSE)</f>
        <v>0</v>
      </c>
      <c r="B111" s="885" t="str">
        <f t="shared" si="25"/>
        <v>Hampshire</v>
      </c>
      <c r="C111" s="896"/>
      <c r="D111" s="1284">
        <f>IF(ISNUMBER(Y111),Y111/Population!J48,NA())</f>
        <v>2.0940398499126968E-2</v>
      </c>
      <c r="E111" s="1284">
        <f>IF(ISNUMBER(Z111),Z111/Population!K48,NA())</f>
        <v>2.0115807340885285E-2</v>
      </c>
      <c r="F111" s="1284">
        <f>IF(ISNUMBER(AA111),AA111/Population!L48,NA())</f>
        <v>2.901011980923578E-2</v>
      </c>
      <c r="G111" s="1284">
        <f>IF(ISNUMBER(AB111),AB111/Population!M48,NA())</f>
        <v>1.2786246460994801E-2</v>
      </c>
      <c r="H111" s="1293">
        <f>IF(ISNUMBER(AC111),AC111/Population!N48,NA())</f>
        <v>1.800478596118054E-2</v>
      </c>
      <c r="I111" s="68"/>
      <c r="J111" s="68"/>
      <c r="K111" s="127"/>
      <c r="L111" s="127"/>
      <c r="M111" s="127"/>
      <c r="N111" s="127"/>
      <c r="O111" s="127"/>
      <c r="P111" s="127"/>
      <c r="Q111" s="127"/>
      <c r="R111" s="128"/>
      <c r="S111" s="120"/>
      <c r="T111" s="127"/>
      <c r="U111" s="89"/>
      <c r="V111" s="103"/>
      <c r="W111" s="115"/>
      <c r="X111" s="248" t="str">
        <f t="shared" si="26"/>
        <v>Hampshire</v>
      </c>
      <c r="Y111" s="307">
        <f>IF(Year1_Hampshire Year1_16_17_not_known="","",Year1_Hampshire Year1_16_17_not_known)</f>
        <v>563.71552759649796</v>
      </c>
      <c r="Z111" s="248">
        <f>IF(Year2_Hampshire Year2_16_17_not_known="","",Year2_Hampshire Year2_16_17_not_known)</f>
        <v>557.00670526911358</v>
      </c>
      <c r="AA111" s="248">
        <f>IF(Year3_Hampshire Year3_16_17_not_known="","",Year3_Hampshire Year3_16_17_not_known)</f>
        <v>831.43003373269744</v>
      </c>
      <c r="AB111" s="248">
        <f>IF(Year4_Hampshire Year4_16_17_not_known="","",Year4_Hampshire Year4_16_17_not_known)</f>
        <v>377.66736171840341</v>
      </c>
      <c r="AC111" s="248">
        <f>IF(Year5_Hampshire Year5_16_17_not_known="","",Year5_Hampshire Year5_16_17_not_known)</f>
        <v>541.72800000000007</v>
      </c>
      <c r="AD111" s="249"/>
      <c r="AE111" s="376"/>
      <c r="AF111" s="251"/>
      <c r="AG111" s="251"/>
      <c r="AH111" s="251"/>
      <c r="AI111" s="56"/>
      <c r="AJ111" s="122"/>
    </row>
    <row r="112" spans="1:45" s="61" customFormat="1" ht="13.5" customHeight="1">
      <c r="A112" s="1103">
        <f>VLOOKUP(B112,ReportData!$AQ$4:$AR$25,2,FALSE)</f>
        <v>0</v>
      </c>
      <c r="B112" s="885" t="str">
        <f t="shared" si="25"/>
        <v>Isle of Wight</v>
      </c>
      <c r="C112" s="896"/>
      <c r="D112" s="1284">
        <f>IF(ISNUMBER(Y112),Y112/Population!J49,NA())</f>
        <v>8.8378841841445718E-3</v>
      </c>
      <c r="E112" s="1284">
        <f>IF(ISNUMBER(Z112),Z112/Population!K49,NA())</f>
        <v>6.5824825362708218E-3</v>
      </c>
      <c r="F112" s="1284">
        <f>IF(ISNUMBER(AA112),AA112/Population!L49,NA())</f>
        <v>3.7366548042704624E-2</v>
      </c>
      <c r="G112" s="1284">
        <f>IF(ISNUMBER(AB112),AB112/Population!M49,NA())</f>
        <v>8.1709252640494532E-3</v>
      </c>
      <c r="H112" s="1293">
        <f>IF(ISNUMBER(AC112),AC112/Population!N49,NA())</f>
        <v>5.1163636363636368E-3</v>
      </c>
      <c r="I112" s="68"/>
      <c r="J112" s="68"/>
      <c r="K112" s="127"/>
      <c r="L112" s="127"/>
      <c r="M112" s="127"/>
      <c r="N112" s="127"/>
      <c r="O112" s="127"/>
      <c r="P112" s="127"/>
      <c r="Q112" s="127"/>
      <c r="R112" s="128"/>
      <c r="S112" s="120"/>
      <c r="T112" s="127"/>
      <c r="U112" s="89"/>
      <c r="V112" s="103"/>
      <c r="W112" s="115"/>
      <c r="X112" s="248" t="str">
        <f t="shared" si="26"/>
        <v>Isle of Wight</v>
      </c>
      <c r="Y112" s="307">
        <f>IF(Year1_Isle_of_Wight Year1_16_17_not_known="","",Year1_Isle_of_Wight Year1_16_17_not_known)</f>
        <v>22.359846985885767</v>
      </c>
      <c r="Z112" s="248">
        <f>IF(Year2_Isle_of_Wight Year2_16_17_not_known="","",Year2_Isle_of_Wight Year2_16_17_not_known)</f>
        <v>16.324556689951638</v>
      </c>
      <c r="AA112" s="248">
        <f>IF(Year3_Isle_of_Wight Year3_16_17_not_known="","",Year3_Isle_of_Wight Year3_16_17_not_known)</f>
        <v>97.90035587188612</v>
      </c>
      <c r="AB112" s="248">
        <f>IF(Year4_Isle_of_Wight Year4_16_17_not_known="","",Year4_Isle_of_Wight Year4_16_17_not_known)</f>
        <v>22.331138746647156</v>
      </c>
      <c r="AC112" s="248">
        <f>IF(Year5_Isle_of_Wight Year5_16_17_not_known="","",Year5_Isle_of_Wight Year5_16_17_not_known)</f>
        <v>14.07</v>
      </c>
      <c r="AD112" s="249"/>
      <c r="AE112" s="376"/>
      <c r="AF112" s="251"/>
      <c r="AG112" s="251"/>
      <c r="AH112" s="251"/>
      <c r="AI112" s="56"/>
      <c r="AJ112" s="121"/>
      <c r="AR112" s="61" t="s">
        <v>95</v>
      </c>
    </row>
    <row r="113" spans="1:36" s="61" customFormat="1" ht="13.5" customHeight="1">
      <c r="A113" s="1103">
        <f>VLOOKUP(B113,ReportData!$AQ$4:$AR$25,2,FALSE)</f>
        <v>0</v>
      </c>
      <c r="B113" s="885" t="str">
        <f t="shared" si="25"/>
        <v>Kent</v>
      </c>
      <c r="C113" s="896"/>
      <c r="D113" s="1284">
        <f>IF(ISNUMBER(Y113),Y113/Population!J50,NA())</f>
        <v>3.5732977577094774E-2</v>
      </c>
      <c r="E113" s="1284">
        <f>IF(ISNUMBER(Z113),Z113/Population!K50,NA())</f>
        <v>4.405595850639555E-2</v>
      </c>
      <c r="F113" s="1284">
        <f>IF(ISNUMBER(AA113),AA113/Population!L50,NA())</f>
        <v>4.5513615396061705E-2</v>
      </c>
      <c r="G113" s="1284">
        <f>IF(ISNUMBER(AB113),AB113/Population!M50,NA())</f>
        <v>1.8880650520957082E-2</v>
      </c>
      <c r="H113" s="1293">
        <f>IF(ISNUMBER(AC113),AC113/Population!N50,NA())</f>
        <v>2.5013899862464519E-2</v>
      </c>
      <c r="I113" s="68"/>
      <c r="J113" s="68"/>
      <c r="K113" s="127"/>
      <c r="L113" s="127"/>
      <c r="M113" s="127"/>
      <c r="N113" s="127"/>
      <c r="O113" s="127"/>
      <c r="P113" s="127"/>
      <c r="Q113" s="127"/>
      <c r="R113" s="128"/>
      <c r="S113" s="120"/>
      <c r="T113" s="127"/>
      <c r="U113" s="89"/>
      <c r="V113" s="103"/>
      <c r="W113" s="115"/>
      <c r="X113" s="248" t="str">
        <f t="shared" si="26"/>
        <v>Kent</v>
      </c>
      <c r="Y113" s="307">
        <f>IF(Year1_Kent Year1_16_17_not_known="","",Year1_Kent Year1_16_17_not_known)</f>
        <v>1160.6071117040383</v>
      </c>
      <c r="Z113" s="248">
        <f>IF(Year2_Kent Year2_16_17_not_known="","",Year2_Kent Year2_16_17_not_known)</f>
        <v>1421.2452214163204</v>
      </c>
      <c r="AA113" s="248">
        <f>IF(Year3_Kent Year3_16_17_not_known="","",Year3_Kent Year3_16_17_not_known)</f>
        <v>1529.2574773076733</v>
      </c>
      <c r="AB113" s="248">
        <f>IF(Year4_Kent Year4_16_17_not_known="","",Year4_Kent Year4_16_17_not_known)</f>
        <v>631.31231146924199</v>
      </c>
      <c r="AC113" s="248">
        <f>IF(Year5_Kent Year5_16_17_not_known="","",Year5_Kent Year5_16_17_not_known)</f>
        <v>854.80000000000007</v>
      </c>
      <c r="AD113" s="249"/>
      <c r="AE113" s="250"/>
      <c r="AF113" s="251"/>
      <c r="AG113" s="251"/>
      <c r="AH113" s="251"/>
      <c r="AI113" s="56"/>
      <c r="AJ113" s="122"/>
    </row>
    <row r="114" spans="1:36" s="61" customFormat="1" ht="13.5" customHeight="1">
      <c r="A114" s="1103">
        <f>VLOOKUP(B114,ReportData!$AQ$4:$AR$25,2,FALSE)</f>
        <v>0</v>
      </c>
      <c r="B114" s="885" t="str">
        <f t="shared" si="25"/>
        <v>Medway</v>
      </c>
      <c r="C114" s="896"/>
      <c r="D114" s="1284">
        <f>IF(ISNUMBER(Y114),Y114/Population!J51,NA())</f>
        <v>4.1404941373534336E-2</v>
      </c>
      <c r="E114" s="1284">
        <f>IF(ISNUMBER(Z114),Z114/Population!K51,NA())</f>
        <v>9.0442149854381787E-2</v>
      </c>
      <c r="F114" s="1284">
        <f>IF(ISNUMBER(AA114),AA114/Population!L51,NA())</f>
        <v>4.5021999386063646E-2</v>
      </c>
      <c r="G114" s="1284">
        <f>IF(ISNUMBER(AB114),AB114/Population!M51,NA())</f>
        <v>8.5698756648213179E-2</v>
      </c>
      <c r="H114" s="1293">
        <f>IF(ISNUMBER(AC114),AC114/Population!N51,NA())</f>
        <v>3.1582669178379943E-2</v>
      </c>
      <c r="I114" s="68"/>
      <c r="J114" s="68"/>
      <c r="K114" s="127"/>
      <c r="L114" s="127"/>
      <c r="M114" s="127"/>
      <c r="N114" s="127"/>
      <c r="O114" s="127"/>
      <c r="P114" s="127"/>
      <c r="Q114" s="127"/>
      <c r="R114" s="128"/>
      <c r="S114" s="120"/>
      <c r="T114" s="127"/>
      <c r="U114" s="89"/>
      <c r="V114" s="103"/>
      <c r="W114" s="115"/>
      <c r="X114" s="248" t="str">
        <f t="shared" si="26"/>
        <v>Medway</v>
      </c>
      <c r="Y114" s="307">
        <f>IF(Year1_Medway Year1_16_17_not_known="","",Year1_Medway Year1_16_17_not_known)</f>
        <v>263.74947654941371</v>
      </c>
      <c r="Z114" s="248">
        <f>IF(Year2_Medway Year2_16_17_not_known="","",Year2_Medway Year2_16_17_not_known)</f>
        <v>569.78554408260527</v>
      </c>
      <c r="AA114" s="248">
        <f>IF(Year3_Medway Year3_16_17_not_known="","",Year3_Medway Year3_16_17_not_known)</f>
        <v>293.54343599713496</v>
      </c>
      <c r="AB114" s="248">
        <f>IF(Year4_Medway Year4_16_17_not_known="","",Year4_Medway Year4_16_17_not_known)</f>
        <v>567.06867274122658</v>
      </c>
      <c r="AC114" s="248">
        <f>IF(Year5_Medway Year5_16_17_not_known="","",Year5_Medway Year5_16_17_not_known)</f>
        <v>217.952</v>
      </c>
      <c r="AD114" s="249"/>
      <c r="AE114" s="250"/>
      <c r="AF114" s="251"/>
      <c r="AG114" s="251"/>
      <c r="AH114" s="251"/>
      <c r="AI114" s="56"/>
      <c r="AJ114" s="121"/>
    </row>
    <row r="115" spans="1:36" s="61" customFormat="1" ht="13.5" customHeight="1">
      <c r="A115" s="1103">
        <f>VLOOKUP(B115,ReportData!$AQ$4:$AR$25,2,FALSE)</f>
        <v>0</v>
      </c>
      <c r="B115" s="885" t="str">
        <f t="shared" si="25"/>
        <v>Milton Keynes</v>
      </c>
      <c r="C115" s="896"/>
      <c r="D115" s="1284">
        <f>IF(ISNUMBER(Y115),Y115/Population!J52,NA())</f>
        <v>1.4180875131048942E-2</v>
      </c>
      <c r="E115" s="1284">
        <f>IF(ISNUMBER(Z115),Z115/Population!K52,NA())</f>
        <v>2.4189232580541582E-2</v>
      </c>
      <c r="F115" s="1284">
        <f>IF(ISNUMBER(AA115),AA115/Population!L52,NA())</f>
        <v>1.5560060821084644E-2</v>
      </c>
      <c r="G115" s="1284">
        <f>IF(ISNUMBER(AB115),AB115/Population!M52,NA())</f>
        <v>1.3567902449457553E-2</v>
      </c>
      <c r="H115" s="1293">
        <f>IF(ISNUMBER(AC115),AC115/Population!N52,NA())</f>
        <v>1.2943588208888225E-2</v>
      </c>
      <c r="I115" s="68"/>
      <c r="J115" s="68"/>
      <c r="K115" s="127"/>
      <c r="L115" s="127"/>
      <c r="M115" s="127"/>
      <c r="N115" s="127"/>
      <c r="O115" s="127"/>
      <c r="P115" s="127"/>
      <c r="Q115" s="127"/>
      <c r="R115" s="128"/>
      <c r="S115" s="120"/>
      <c r="T115" s="127"/>
      <c r="U115" s="89"/>
      <c r="V115" s="103"/>
      <c r="W115" s="115"/>
      <c r="X115" s="248" t="str">
        <f t="shared" si="26"/>
        <v>Milton Keynes</v>
      </c>
      <c r="Y115" s="307">
        <f>IF(Year1_Milton_Keynes Year1_16_17_not_known="","",Year1_Milton_Keynes Year1_16_17_not_known)</f>
        <v>85.652485791535611</v>
      </c>
      <c r="Z115" s="248">
        <f>IF(Year2_Milton_Keynes Year2_16_17_not_known="","",Year2_Milton_Keynes Year2_16_17_not_known)</f>
        <v>150.69891897677405</v>
      </c>
      <c r="AA115" s="248">
        <f>IF(Year3_Milton_Keynes Year3_16_17_not_known="","",Year3_Milton_Keynes Year3_16_17_not_known)</f>
        <v>102.38520020273695</v>
      </c>
      <c r="AB115" s="248">
        <f>IF(Year4_Milton_Keynes Year4_16_17_not_known="","",Year4_Milton_Keynes Year4_16_17_not_known)</f>
        <v>91.162736557905291</v>
      </c>
      <c r="AC115" s="248">
        <f>IF(Year5_Milton_Keynes Year5_16_17_not_known="","",Year5_Milton_Keynes Year5_16_17_not_known)</f>
        <v>86.50200000000001</v>
      </c>
      <c r="AD115" s="249"/>
      <c r="AE115" s="250"/>
      <c r="AF115" s="251"/>
      <c r="AG115" s="251"/>
      <c r="AH115" s="251"/>
      <c r="AI115" s="56"/>
      <c r="AJ115" s="122"/>
    </row>
    <row r="116" spans="1:36" s="61" customFormat="1" ht="13.5" customHeight="1">
      <c r="A116" s="1103">
        <f>VLOOKUP(B116,ReportData!$AQ$4:$AR$25,2,FALSE)</f>
        <v>0</v>
      </c>
      <c r="B116" s="885" t="str">
        <f t="shared" si="25"/>
        <v>Oxfordshire</v>
      </c>
      <c r="C116" s="896"/>
      <c r="D116" s="1284">
        <f>IF(ISNUMBER(Y116),Y116/Population!J53,NA())</f>
        <v>2.7802401482794746E-2</v>
      </c>
      <c r="E116" s="1284">
        <f>IF(ISNUMBER(Z116),Z116/Population!K53,NA())</f>
        <v>2.1043815107574727E-2</v>
      </c>
      <c r="F116" s="1284">
        <f>IF(ISNUMBER(AA116),AA116/Population!L53,NA())</f>
        <v>1.6150163769211388E-2</v>
      </c>
      <c r="G116" s="1284">
        <f>IF(ISNUMBER(AB116),AB116/Population!M53,NA())</f>
        <v>1.8933414346949968E-2</v>
      </c>
      <c r="H116" s="1293">
        <f>IF(ISNUMBER(AC116),AC116/Population!N53,NA())</f>
        <v>2.6001861664041247E-2</v>
      </c>
      <c r="I116" s="68"/>
      <c r="J116" s="68"/>
      <c r="K116" s="127"/>
      <c r="L116" s="127"/>
      <c r="M116" s="127"/>
      <c r="N116" s="127"/>
      <c r="O116" s="127"/>
      <c r="P116" s="127"/>
      <c r="Q116" s="127"/>
      <c r="R116" s="128"/>
      <c r="S116" s="120"/>
      <c r="T116" s="127"/>
      <c r="U116" s="89"/>
      <c r="V116" s="103"/>
      <c r="W116" s="115"/>
      <c r="X116" s="248" t="str">
        <f t="shared" si="26"/>
        <v>Oxfordshire</v>
      </c>
      <c r="Y116" s="307">
        <f>IF(Year1_Oxfordshire Year1_16_17_not_known="","",Year1_Oxfordshire Year1_16_17_not_known)</f>
        <v>345.0278024014828</v>
      </c>
      <c r="Z116" s="248">
        <f>IF(Year2_Oxfordshire Year2_16_17_not_known="","",Year2_Oxfordshire Year2_16_17_not_known)</f>
        <v>268.09820447050203</v>
      </c>
      <c r="AA116" s="248">
        <f>IF(Year3_Oxfordshire Year3_16_17_not_known="","",Year3_Oxfordshire Year3_16_17_not_known)</f>
        <v>213.66666666666666</v>
      </c>
      <c r="AB116" s="248">
        <f>IF(Year4_Oxfordshire Year4_16_17_not_known="","",Year4_Oxfordshire Year4_16_17_not_known)</f>
        <v>252.87468201786376</v>
      </c>
      <c r="AC116" s="248">
        <f>IF(Year5_Oxfordshire Year5_16_17_not_known="","",Year5_Oxfordshire Year5_16_17_not_known)</f>
        <v>363.14200000000005</v>
      </c>
      <c r="AD116" s="249"/>
      <c r="AE116" s="250"/>
      <c r="AF116" s="251"/>
      <c r="AG116" s="251"/>
      <c r="AH116" s="251"/>
      <c r="AI116" s="56"/>
      <c r="AJ116" s="121"/>
    </row>
    <row r="117" spans="1:36" s="61" customFormat="1" ht="13.5" customHeight="1">
      <c r="A117" s="1103">
        <f>VLOOKUP(B117,ReportData!$AQ$4:$AR$25,2,FALSE)</f>
        <v>0</v>
      </c>
      <c r="B117" s="885" t="str">
        <f t="shared" si="25"/>
        <v>Portsmouth</v>
      </c>
      <c r="C117" s="896"/>
      <c r="D117" s="1284">
        <f>IF(ISNUMBER(Y117),Y117/Population!J54,NA())</f>
        <v>1.0531220876048462E-2</v>
      </c>
      <c r="E117" s="1284">
        <f>IF(ISNUMBER(Z117),Z117/Population!K54,NA())</f>
        <v>8.4441100242454645E-3</v>
      </c>
      <c r="F117" s="1284">
        <f>IF(ISNUMBER(AA117),AA117/Population!L54,NA())</f>
        <v>1.1400918635170603E-2</v>
      </c>
      <c r="G117" s="1284">
        <f>IF(ISNUMBER(AB117),AB117/Population!M54,NA())</f>
        <v>8.3855914192915437E-3</v>
      </c>
      <c r="H117" s="1293">
        <f>IF(ISNUMBER(AC117),AC117/Population!N54,NA())</f>
        <v>1.5788888888888887E-2</v>
      </c>
      <c r="I117" s="68"/>
      <c r="J117" s="68"/>
      <c r="K117" s="127"/>
      <c r="L117" s="127"/>
      <c r="M117" s="127"/>
      <c r="N117" s="127"/>
      <c r="O117" s="127"/>
      <c r="P117" s="127"/>
      <c r="Q117" s="127"/>
      <c r="R117" s="128"/>
      <c r="S117" s="120"/>
      <c r="T117" s="127"/>
      <c r="U117" s="89"/>
      <c r="V117" s="103"/>
      <c r="W117" s="115"/>
      <c r="X117" s="248" t="str">
        <f t="shared" si="26"/>
        <v>Portsmouth</v>
      </c>
      <c r="Y117" s="307">
        <f>IF(Year1_Portsmouth Year1_16_17_not_known="","",Year1_Portsmouth Year1_16_17_not_known)</f>
        <v>37.701770736253494</v>
      </c>
      <c r="Z117" s="248">
        <f>IF(Year2_Portsmouth Year2_16_17_not_known="","",Year2_Portsmouth Year2_16_17_not_known)</f>
        <v>33.6919989967394</v>
      </c>
      <c r="AA117" s="248">
        <f>IF(Year3_Portsmouth Year3_16_17_not_known="","",Year3_Portsmouth Year3_16_17_not_known)</f>
        <v>46.287729658792649</v>
      </c>
      <c r="AB117" s="248">
        <f>IF(Year4_Portsmouth Year4_16_17_not_known="","",Year4_Portsmouth Year4_16_17_not_known)</f>
        <v>35.051772132638654</v>
      </c>
      <c r="AC117" s="248">
        <f>IF(Year5_Portsmouth Year5_16_17_not_known="","",Year5_Portsmouth Year5_16_17_not_known)</f>
        <v>68.207999999999998</v>
      </c>
      <c r="AD117" s="249"/>
      <c r="AE117" s="250"/>
      <c r="AF117" s="251"/>
      <c r="AG117" s="251"/>
      <c r="AH117" s="251"/>
      <c r="AI117" s="56"/>
      <c r="AJ117" s="122"/>
    </row>
    <row r="118" spans="1:36" s="61" customFormat="1" ht="13.5" customHeight="1">
      <c r="A118" s="1103">
        <f>VLOOKUP(B118,ReportData!$AQ$4:$AR$25,2,FALSE)</f>
        <v>0</v>
      </c>
      <c r="B118" s="885" t="str">
        <f t="shared" si="25"/>
        <v>Reading</v>
      </c>
      <c r="C118" s="896"/>
      <c r="D118" s="1284">
        <f>IF(ISNUMBER(Y118),Y118/Population!J55,NA())</f>
        <v>3.3213240261202433E-2</v>
      </c>
      <c r="E118" s="1284">
        <f>IF(ISNUMBER(Z118),Z118/Population!K55,NA())</f>
        <v>0.13287565053703909</v>
      </c>
      <c r="F118" s="1284">
        <f>IF(ISNUMBER(AA118),AA118/Population!L55,NA())</f>
        <v>1.8059638807223857E-2</v>
      </c>
      <c r="G118" s="1284">
        <f>IF(ISNUMBER(AB118),AB118/Population!M55,NA())</f>
        <v>3.5592177625227935E-3</v>
      </c>
      <c r="H118" s="1293">
        <f>IF(ISNUMBER(AC118),AC118/Population!N55,NA())</f>
        <v>3.9308357348703171E-3</v>
      </c>
      <c r="I118" s="68"/>
      <c r="J118" s="68"/>
      <c r="K118" s="127"/>
      <c r="L118" s="127"/>
      <c r="M118" s="127"/>
      <c r="N118" s="127"/>
      <c r="O118" s="127"/>
      <c r="P118" s="127"/>
      <c r="Q118" s="127"/>
      <c r="R118" s="128"/>
      <c r="S118" s="120"/>
      <c r="T118" s="127"/>
      <c r="U118" s="89"/>
      <c r="V118" s="103"/>
      <c r="W118" s="115"/>
      <c r="X118" s="248" t="str">
        <f t="shared" si="26"/>
        <v>Reading</v>
      </c>
      <c r="Y118" s="307">
        <f>IF(Year1_Reading Year1_16_17_not_known="","",Year1_Reading Year1_16_17_not_known)</f>
        <v>98.311191173159202</v>
      </c>
      <c r="Z118" s="248">
        <f>IF(Year2_Reading Year2_16_17_not_known="","",Year2_Reading Year2_16_17_not_known)</f>
        <v>399.95570811648764</v>
      </c>
      <c r="AA118" s="248">
        <f>IF(Year3_Reading Year3_16_17_not_known="","",Year3_Reading Year3_16_17_not_known)</f>
        <v>57.249055018899625</v>
      </c>
      <c r="AB118" s="248">
        <f>IF(Year4_Reading Year4_16_17_not_known="","",Year4_Reading Year4_16_17_not_known)</f>
        <v>12.005241512989382</v>
      </c>
      <c r="AC118" s="248">
        <f>IF(Year5_Reading Year5_16_17_not_known="","",Year5_Reading Year5_16_17_not_known)</f>
        <v>13.64</v>
      </c>
      <c r="AD118" s="249"/>
      <c r="AE118" s="250"/>
      <c r="AF118" s="251"/>
      <c r="AG118" s="251"/>
      <c r="AH118" s="251"/>
      <c r="AI118" s="56"/>
      <c r="AJ118" s="121"/>
    </row>
    <row r="119" spans="1:36" s="61" customFormat="1" ht="13.5" customHeight="1">
      <c r="A119" s="1103">
        <f>VLOOKUP(B119,ReportData!$AQ$4:$AR$25,2,FALSE)</f>
        <v>0</v>
      </c>
      <c r="B119" s="885" t="str">
        <f t="shared" si="25"/>
        <v>Slough</v>
      </c>
      <c r="C119" s="896"/>
      <c r="D119" s="1284">
        <f>IF(ISNUMBER(Y119),Y119/Population!J56,NA())</f>
        <v>8.4131388167904778E-3</v>
      </c>
      <c r="E119" s="1284">
        <f>IF(ISNUMBER(Z119),Z119/Population!K56,NA())</f>
        <v>1.008633216514232E-2</v>
      </c>
      <c r="F119" s="1284">
        <f>IF(ISNUMBER(AA119),AA119/Population!L56,NA())</f>
        <v>6.9846678023850082E-3</v>
      </c>
      <c r="G119" s="1284">
        <f>IF(ISNUMBER(AB119),AB119/Population!M56,NA())</f>
        <v>6.946641527746697E-3</v>
      </c>
      <c r="H119" s="1293">
        <f>IF(ISNUMBER(AC119),AC119/Population!N56,NA())</f>
        <v>2.2000000000000002E-2</v>
      </c>
      <c r="I119" s="68"/>
      <c r="J119" s="68"/>
      <c r="K119" s="127"/>
      <c r="L119" s="127"/>
      <c r="M119" s="127"/>
      <c r="N119" s="127"/>
      <c r="O119" s="127"/>
      <c r="P119" s="127"/>
      <c r="Q119" s="127"/>
      <c r="R119" s="128"/>
      <c r="S119" s="120"/>
      <c r="T119" s="127"/>
      <c r="U119" s="89"/>
      <c r="V119" s="103"/>
      <c r="W119" s="115"/>
      <c r="X119" s="248" t="str">
        <f t="shared" si="26"/>
        <v>Slough</v>
      </c>
      <c r="Y119" s="307">
        <f>IF(Year1_Slough Year1_16_17_not_known="","",Year1_Slough Year1_16_17_not_known)</f>
        <v>31.296876398460576</v>
      </c>
      <c r="Z119" s="248">
        <f>IF(Year2_Slough Year2_16_17_not_known="","",Year2_Slough Year2_16_17_not_known)</f>
        <v>39.336695444055046</v>
      </c>
      <c r="AA119" s="248">
        <f>IF(Year3_Slough Year3_16_17_not_known="","",Year3_Slough Year3_16_17_not_known)</f>
        <v>27.310051107325382</v>
      </c>
      <c r="AB119" s="248">
        <f>IF(Year4_Slough Year4_16_17_not_known="","",Year4_Slough Year4_16_17_not_known)</f>
        <v>28.884135472370765</v>
      </c>
      <c r="AC119" s="248">
        <f>IF(Year5_Slough Year5_16_17_not_known="","",Year5_Slough Year5_16_17_not_known)</f>
        <v>97.570000000000007</v>
      </c>
      <c r="AD119" s="249"/>
      <c r="AE119" s="250"/>
      <c r="AF119" s="251"/>
      <c r="AG119" s="251"/>
      <c r="AH119" s="251"/>
      <c r="AI119" s="56"/>
      <c r="AJ119" s="122"/>
    </row>
    <row r="120" spans="1:36" s="61" customFormat="1" ht="13.5" customHeight="1">
      <c r="A120" s="1103">
        <f>VLOOKUP(B120,ReportData!$AQ$4:$AR$25,2,FALSE)</f>
        <v>0</v>
      </c>
      <c r="B120" s="885" t="str">
        <f t="shared" si="25"/>
        <v>Southampton</v>
      </c>
      <c r="C120" s="896"/>
      <c r="D120" s="1284">
        <f>IF(ISNUMBER(Y120),Y120/Population!J57,NA())</f>
        <v>2.7142968567194448E-2</v>
      </c>
      <c r="E120" s="1284">
        <f>IF(ISNUMBER(Z120),Z120/Population!K57,NA())</f>
        <v>2.1187727825030377E-2</v>
      </c>
      <c r="F120" s="1284">
        <f>IF(ISNUMBER(AA120),AA120/Population!L57,NA())</f>
        <v>3.1342043652292123E-2</v>
      </c>
      <c r="G120" s="1284">
        <f>IF(ISNUMBER(AB120),AB120/Population!M57,NA())</f>
        <v>2.2207715429213432E-2</v>
      </c>
      <c r="H120" s="1293">
        <f>IF(ISNUMBER(AC120),AC120/Population!N57,NA())</f>
        <v>3.2012911034900143E-2</v>
      </c>
      <c r="I120" s="68"/>
      <c r="J120" s="68"/>
      <c r="K120" s="127"/>
      <c r="L120" s="127"/>
      <c r="M120" s="127"/>
      <c r="N120" s="127"/>
      <c r="O120" s="127"/>
      <c r="P120" s="127"/>
      <c r="Q120" s="127"/>
      <c r="R120" s="128"/>
      <c r="S120" s="120"/>
      <c r="T120" s="127"/>
      <c r="U120" s="89"/>
      <c r="V120" s="103"/>
      <c r="W120" s="115"/>
      <c r="X120" s="248" t="str">
        <f t="shared" si="26"/>
        <v>Southampton</v>
      </c>
      <c r="Y120" s="307">
        <f>IF(Year1_Southampton Year1_16_17_not_known="","",Year1_Southampton Year1_16_17_not_known)</f>
        <v>115.90047578192029</v>
      </c>
      <c r="Z120" s="248">
        <f>IF(Year2_Southampton Year2_16_17_not_known="","",Year2_Southampton Year2_16_17_not_known)</f>
        <v>93.014125151883363</v>
      </c>
      <c r="AA120" s="248">
        <f>IF(Year3_Southampton Year3_16_17_not_known="","",Year3_Southampton Year3_16_17_not_known)</f>
        <v>138.21841250660827</v>
      </c>
      <c r="AB120" s="248">
        <f>IF(Year4_Southampton Year4_16_17_not_known="","",Year4_Southampton Year4_16_17_not_known)</f>
        <v>104.04314678586492</v>
      </c>
      <c r="AC120" s="248">
        <f>IF(Year5_Southampton Year5_16_17_not_known="","",Year5_Southampton Year5_16_17_not_known)</f>
        <v>158.68800000000002</v>
      </c>
      <c r="AD120" s="249"/>
      <c r="AE120" s="250"/>
      <c r="AF120" s="251"/>
      <c r="AG120" s="251"/>
      <c r="AH120" s="251"/>
      <c r="AI120" s="56"/>
      <c r="AJ120" s="122"/>
    </row>
    <row r="121" spans="1:36" s="61" customFormat="1" ht="13.5" customHeight="1">
      <c r="A121" s="1103">
        <f>VLOOKUP(B121,ReportData!$AQ$4:$AR$25,2,FALSE)</f>
        <v>0</v>
      </c>
      <c r="B121" s="885" t="str">
        <f t="shared" si="25"/>
        <v>Surrey</v>
      </c>
      <c r="C121" s="896"/>
      <c r="D121" s="1284">
        <f>IF(ISNUMBER(Y121),Y121/Population!J58,NA())</f>
        <v>2.6032133414683752E-2</v>
      </c>
      <c r="E121" s="1284">
        <f>IF(ISNUMBER(Z121),Z121/Population!K58,NA())</f>
        <v>2.2683065047250005E-2</v>
      </c>
      <c r="F121" s="1284">
        <f>IF(ISNUMBER(AA121),AA121/Population!L58,NA())</f>
        <v>8.0854826823876194E-2</v>
      </c>
      <c r="G121" s="1284">
        <f>IF(ISNUMBER(AB121),AB121/Population!M58,NA())</f>
        <v>5.0154388265254694E-2</v>
      </c>
      <c r="H121" s="1293">
        <f>IF(ISNUMBER(AC121),AC121/Population!N58,NA())</f>
        <v>0.14162065331928347</v>
      </c>
      <c r="I121" s="68"/>
      <c r="J121" s="68"/>
      <c r="K121" s="127"/>
      <c r="L121" s="127"/>
      <c r="M121" s="127"/>
      <c r="N121" s="127"/>
      <c r="O121" s="127"/>
      <c r="P121" s="127"/>
      <c r="Q121" s="127"/>
      <c r="R121" s="128"/>
      <c r="S121" s="120"/>
      <c r="T121" s="127"/>
      <c r="U121" s="89"/>
      <c r="V121" s="103"/>
      <c r="W121" s="115"/>
      <c r="X121" s="248" t="str">
        <f t="shared" si="26"/>
        <v>Surrey</v>
      </c>
      <c r="Y121" s="307">
        <f>IF(Year1_Surrey Year1_16_17_not_known="","",Year1_Surrey Year1_16_17_not_known)</f>
        <v>554.74476306691076</v>
      </c>
      <c r="Z121" s="248">
        <f>IF(Year2_Surrey Year2_16_17_not_known="","",Year2_Surrey Year2_16_17_not_known)</f>
        <v>493.58349542816012</v>
      </c>
      <c r="AA121" s="248">
        <f>IF(Year3_Surrey Year3_16_17_not_known="","",Year3_Surrey Year3_16_17_not_known)</f>
        <v>1828.9361827560795</v>
      </c>
      <c r="AB121" s="248">
        <f>IF(Year4_Surrey Year4_16_17_not_known="","",Year4_Surrey Year4_16_17_not_known)</f>
        <v>1209.1219922987602</v>
      </c>
      <c r="AC121" s="248">
        <f>IF(Year5_Surrey Year5_16_17_not_known="","",Year5_Surrey Year5_16_17_not_known)</f>
        <v>3494.3480000000004</v>
      </c>
      <c r="AD121" s="249"/>
      <c r="AE121" s="250"/>
      <c r="AF121" s="251"/>
      <c r="AG121" s="251"/>
      <c r="AH121" s="251"/>
      <c r="AI121" s="56"/>
      <c r="AJ121" s="121"/>
    </row>
    <row r="122" spans="1:36" s="61" customFormat="1" ht="13.5" customHeight="1">
      <c r="A122" s="1103">
        <f>VLOOKUP(B122,ReportData!$AQ$4:$AR$25,2,FALSE)</f>
        <v>0</v>
      </c>
      <c r="B122" s="885" t="str">
        <f t="shared" si="25"/>
        <v>West Berkshire</v>
      </c>
      <c r="C122" s="896"/>
      <c r="D122" s="1284">
        <f>IF(ISNUMBER(Y122),Y122/Population!J59,NA())</f>
        <v>5.6532017679103699E-3</v>
      </c>
      <c r="E122" s="1284">
        <f>IF(ISNUMBER(Z122),Z122/Population!K59,NA())</f>
        <v>9.2033646709549725E-3</v>
      </c>
      <c r="F122" s="1284">
        <f>IF(ISNUMBER(AA122),AA122/Population!L59,NA())</f>
        <v>5.1928070006731419E-3</v>
      </c>
      <c r="G122" s="1284">
        <f>IF(ISNUMBER(AB122),AB122/Population!M59,NA())</f>
        <v>3.2242972110442646E-3</v>
      </c>
      <c r="H122" s="1293">
        <f>IF(ISNUMBER(AC122),AC122/Population!N59,NA())</f>
        <v>6.0121037463976949E-3</v>
      </c>
      <c r="I122" s="68"/>
      <c r="J122" s="68"/>
      <c r="K122" s="127"/>
      <c r="L122" s="127"/>
      <c r="M122" s="127"/>
      <c r="N122" s="127"/>
      <c r="O122" s="127"/>
      <c r="P122" s="127"/>
      <c r="Q122" s="127"/>
      <c r="R122" s="128"/>
      <c r="S122" s="120"/>
      <c r="T122" s="127"/>
      <c r="U122" s="89"/>
      <c r="V122" s="103"/>
      <c r="W122" s="115"/>
      <c r="X122" s="248" t="str">
        <f t="shared" si="26"/>
        <v>West Berkshire</v>
      </c>
      <c r="Y122" s="307">
        <f>IF(Year1_West_Berkshire Year1_16_17_not_known="","",Year1_West_Berkshire Year1_16_17_not_known)</f>
        <v>18.3163737280296</v>
      </c>
      <c r="Z122" s="248">
        <f>IF(Year2_West_Berkshire Year2_16_17_not_known="","",Year2_West_Berkshire Year2_16_17_not_known)</f>
        <v>31.015338941118259</v>
      </c>
      <c r="AA122" s="248">
        <f>IF(Year3_West_Berkshire Year3_16_17_not_known="","",Year3_West_Berkshire Year3_16_17_not_known)</f>
        <v>18.019040292335802</v>
      </c>
      <c r="AB122" s="248">
        <f>IF(Year4_West_Berkshire Year4_16_17_not_known="","",Year4_West_Berkshire Year4_16_17_not_known)</f>
        <v>11.030320758982429</v>
      </c>
      <c r="AC122" s="307">
        <f>IF(Year5_West_Berkshire Year5_16_17_not_known="","",Year5_West_Berkshire Year5_16_17_not_known)</f>
        <v>20.862000000000002</v>
      </c>
      <c r="AD122" s="249"/>
      <c r="AE122" s="250"/>
      <c r="AF122" s="251"/>
      <c r="AG122" s="251"/>
      <c r="AH122" s="251"/>
      <c r="AI122" s="56"/>
      <c r="AJ122" s="122"/>
    </row>
    <row r="123" spans="1:36" s="61" customFormat="1" ht="13.5" customHeight="1">
      <c r="A123" s="1103">
        <f>VLOOKUP(B123,ReportData!$AQ$4:$AR$25,2,FALSE)</f>
        <v>0</v>
      </c>
      <c r="B123" s="885" t="str">
        <f t="shared" si="25"/>
        <v>West Sussex</v>
      </c>
      <c r="C123" s="896"/>
      <c r="D123" s="1284">
        <f>IF(ISNUMBER(Y123),Y123/Population!J60,NA())</f>
        <v>6.7463321806388241E-2</v>
      </c>
      <c r="E123" s="1284">
        <f>IF(ISNUMBER(Z123),Z123/Population!K60,NA())</f>
        <v>9.6948079273791149E-2</v>
      </c>
      <c r="F123" s="1284">
        <f>IF(ISNUMBER(AA123),AA123/Population!L60,NA())</f>
        <v>5.4492270737282557E-2</v>
      </c>
      <c r="G123" s="1284">
        <f>IF(ISNUMBER(AB123),AB123/Population!M60,NA())</f>
        <v>3.5467122626799734E-2</v>
      </c>
      <c r="H123" s="1293">
        <f>IF(ISNUMBER(AC123),AC123/Population!N60,NA())</f>
        <v>7.4995568947181845E-2</v>
      </c>
      <c r="I123" s="68"/>
      <c r="J123" s="68"/>
      <c r="K123" s="127"/>
      <c r="L123" s="127"/>
      <c r="M123" s="127"/>
      <c r="N123" s="127"/>
      <c r="O123" s="127"/>
      <c r="P123" s="127"/>
      <c r="Q123" s="127"/>
      <c r="R123" s="128"/>
      <c r="S123" s="120"/>
      <c r="T123" s="127"/>
      <c r="U123" s="89"/>
      <c r="V123" s="103"/>
      <c r="W123" s="115"/>
      <c r="X123" s="248" t="str">
        <f t="shared" si="26"/>
        <v>West Sussex</v>
      </c>
      <c r="Y123" s="307">
        <f>IF(Year1_West_Sussex Year1_16_17_not_known="","",Year1_West_Sussex Year1_16_17_not_known)</f>
        <v>1098.9775122260644</v>
      </c>
      <c r="Z123" s="248">
        <f>IF(Year2_West_Sussex Year2_16_17_not_known="","",Year2_West_Sussex Year2_16_17_not_known)</f>
        <v>1612.2465583231467</v>
      </c>
      <c r="AA123" s="248">
        <f>IF(Year3_West_Sussex Year3_16_17_not_known="","",Year3_West_Sussex Year3_16_17_not_known)</f>
        <v>937.81197938863284</v>
      </c>
      <c r="AB123" s="248">
        <f>IF(Year4_West_Sussex Year4_16_17_not_known="","",Year4_West_Sussex Year4_16_17_not_known)</f>
        <v>603.01201890084906</v>
      </c>
      <c r="AC123" s="307">
        <f>IF(Year5_West_Sussex Year5_16_17_not_known="","",Year5_West_Sussex Year5_16_17_not_known)</f>
        <v>1269.375</v>
      </c>
      <c r="AD123" s="249"/>
      <c r="AE123" s="250"/>
      <c r="AF123" s="251"/>
      <c r="AG123" s="251"/>
      <c r="AH123" s="251"/>
      <c r="AI123" s="56"/>
      <c r="AJ123" s="121"/>
    </row>
    <row r="124" spans="1:36" s="61" customFormat="1" ht="13.5" customHeight="1">
      <c r="A124" s="1103">
        <f>VLOOKUP(B124,ReportData!$AQ$4:$AR$25,2,FALSE)</f>
        <v>0</v>
      </c>
      <c r="B124" s="885" t="str">
        <f t="shared" si="25"/>
        <v>Windsor &amp; Maidenhead</v>
      </c>
      <c r="C124" s="896"/>
      <c r="D124" s="1284">
        <f>IF(ISNUMBER(Y124),Y124/Population!J61,NA())</f>
        <v>4.8270313757039419E-2</v>
      </c>
      <c r="E124" s="1284">
        <f>IF(ISNUMBER(Z124),Z124/Population!K61,NA())</f>
        <v>4.8096649190790965E-2</v>
      </c>
      <c r="F124" s="1284">
        <f>IF(ISNUMBER(AA124),AA124/Population!L61,NA())</f>
        <v>3.2428355957767725E-2</v>
      </c>
      <c r="G124" s="1284">
        <f>IF(ISNUMBER(AB124),AB124/Population!M61,NA())</f>
        <v>8.6515647707835708E-2</v>
      </c>
      <c r="H124" s="1293">
        <f>IF(ISNUMBER(AC124),AC124/Population!N61,NA())</f>
        <v>4.3124999999999997E-2</v>
      </c>
      <c r="I124" s="68"/>
      <c r="J124" s="68"/>
      <c r="K124" s="127"/>
      <c r="L124" s="127"/>
      <c r="M124" s="127"/>
      <c r="N124" s="127"/>
      <c r="O124" s="127"/>
      <c r="P124" s="127"/>
      <c r="Q124" s="127"/>
      <c r="R124" s="128"/>
      <c r="S124" s="120"/>
      <c r="T124" s="127"/>
      <c r="U124" s="89"/>
      <c r="V124" s="103"/>
      <c r="W124" s="115"/>
      <c r="X124" s="248" t="str">
        <f t="shared" si="26"/>
        <v>Windsor &amp; Maidenhead</v>
      </c>
      <c r="Y124" s="307">
        <f>IF(Year1_Windsor_and_Maidenhead Year1_16_17_not_known="","",Year1_Windsor_and_Maidenhead Year1_16_17_not_known)</f>
        <v>139.98390989541431</v>
      </c>
      <c r="Z124" s="248">
        <f>IF(Year2_Windsor_and_Maidenhead Year2_16_17_not_known="","",Year2_Windsor_and_Maidenhead Year2_16_17_not_known)</f>
        <v>140.44221563710963</v>
      </c>
      <c r="AA124" s="248">
        <f>IF(Year3_Windsor_and_Maidenhead Year3_16_17_not_known="","",Year3_Windsor_and_Maidenhead Year3_16_17_not_known)</f>
        <v>100.20361990950227</v>
      </c>
      <c r="AB124" s="248">
        <f>IF(Year4_Windsor_and_Maidenhead Year4_16_17_not_known="","",Year4_Windsor_and_Maidenhead Year4_16_17_not_known)</f>
        <v>267.24683576950451</v>
      </c>
      <c r="AC124" s="307">
        <f>IF(Year5_Windsor_and_Maidenhead Year5_16_17_not_known="","",Year5_Windsor_and_Maidenhead Year5_16_17_not_known)</f>
        <v>133.51499999999999</v>
      </c>
      <c r="AD124" s="249"/>
      <c r="AE124" s="250"/>
      <c r="AF124" s="251"/>
      <c r="AG124" s="251"/>
      <c r="AH124" s="251"/>
      <c r="AI124" s="56"/>
      <c r="AJ124" s="122"/>
    </row>
    <row r="125" spans="1:36" s="61" customFormat="1" ht="13.5" customHeight="1">
      <c r="A125" s="1103">
        <f>VLOOKUP(B125,ReportData!$AQ$4:$AR$25,2,FALSE)</f>
        <v>0</v>
      </c>
      <c r="B125" s="885" t="str">
        <f t="shared" si="25"/>
        <v>Wokingham</v>
      </c>
      <c r="C125" s="896"/>
      <c r="D125" s="1284">
        <f>IF(ISNUMBER(Y125),Y125/Population!J62,NA())</f>
        <v>3.3630748112560054E-2</v>
      </c>
      <c r="E125" s="1284">
        <f>IF(ISNUMBER(Z125),Z125/Population!K62,NA())</f>
        <v>2.8940164254986307E-2</v>
      </c>
      <c r="F125" s="1284">
        <f>IF(ISNUMBER(AA125),AA125/Population!L62,NA())</f>
        <v>1.9266791544019266E-2</v>
      </c>
      <c r="G125" s="1284">
        <f>IF(ISNUMBER(AB125),AB125/Population!M62,NA())</f>
        <v>7.4409087534699709E-3</v>
      </c>
      <c r="H125" s="1293">
        <f>IF(ISNUMBER(AC125),AC125/Population!N62,NA())</f>
        <v>2.1983320697498109E-2</v>
      </c>
      <c r="I125" s="68"/>
      <c r="J125" s="68"/>
      <c r="K125" s="127"/>
      <c r="L125" s="127"/>
      <c r="M125" s="127"/>
      <c r="N125" s="127"/>
      <c r="O125" s="127"/>
      <c r="P125" s="127"/>
      <c r="Q125" s="127"/>
      <c r="R125" s="128"/>
      <c r="S125" s="120"/>
      <c r="T125" s="127"/>
      <c r="U125" s="89"/>
      <c r="V125" s="103"/>
      <c r="W125" s="115"/>
      <c r="X125" s="248" t="str">
        <f t="shared" si="26"/>
        <v>Wokingham</v>
      </c>
      <c r="Y125" s="307">
        <f>IF(Year1_Wokingham Year1_16_17_not_known="","",Year1_Wokingham Year1_16_17_not_known)</f>
        <v>114.34454358270418</v>
      </c>
      <c r="Z125" s="248">
        <f>IF(Year2_Wokingham Year2_16_17_not_known="","",Year2_Wokingham Year2_16_17_not_known)</f>
        <v>98.685960109503313</v>
      </c>
      <c r="AA125" s="248">
        <f>IF(Year3_Wokingham Year3_16_17_not_known="","",Year3_Wokingham Year3_16_17_not_known)</f>
        <v>72.057800374632052</v>
      </c>
      <c r="AB125" s="248">
        <f>IF(Year4_Wokingham Year4_16_17_not_known="","",Year4_Wokingham Year4_16_17_not_known)</f>
        <v>29.056748682300235</v>
      </c>
      <c r="AC125" s="307">
        <f>IF(Year5_Wokingham Year5_16_17_not_known="","",Year5_Wokingham Year5_16_17_not_known)</f>
        <v>86.988000000000014</v>
      </c>
      <c r="AD125" s="249"/>
      <c r="AE125" s="250"/>
      <c r="AF125" s="251"/>
      <c r="AG125" s="251"/>
      <c r="AH125" s="251"/>
      <c r="AI125" s="56"/>
      <c r="AJ125" s="121"/>
    </row>
    <row r="126" spans="1:36" s="61" customFormat="1" ht="13.5" customHeight="1">
      <c r="A126" s="1148"/>
      <c r="B126" s="886" t="str">
        <f t="shared" si="25"/>
        <v>South East</v>
      </c>
      <c r="C126" s="896"/>
      <c r="D126" s="1287">
        <f>IF(ISNUMBER(Y126),Y126/Population!J63,NA())</f>
        <v>3.1815052496712508E-2</v>
      </c>
      <c r="E126" s="1287">
        <f>IF(ISNUMBER(Z126),Z126/Population!K63,NA())</f>
        <v>4.0312375116557879E-2</v>
      </c>
      <c r="F126" s="1287">
        <f>IF(ISNUMBER(AA126),AA126/Population!L63,NA())</f>
        <v>3.8695755731486647E-2</v>
      </c>
      <c r="G126" s="1287">
        <f>IF(ISNUMBER(AB126),AB126/Population!M63,NA())</f>
        <v>2.6483771090604888E-2</v>
      </c>
      <c r="H126" s="907">
        <f>IF(ISNUMBER(AC126),AC126/Population!N63,NA())</f>
        <v>4.2910939393784424E-2</v>
      </c>
      <c r="I126" s="68"/>
      <c r="J126" s="68"/>
      <c r="K126" s="129"/>
      <c r="L126" s="129"/>
      <c r="M126" s="129"/>
      <c r="N126" s="129"/>
      <c r="O126" s="129"/>
      <c r="P126" s="129"/>
      <c r="Q126" s="129"/>
      <c r="R126" s="130"/>
      <c r="S126" s="120"/>
      <c r="T126" s="131"/>
      <c r="U126" s="89"/>
      <c r="V126" s="103"/>
      <c r="W126" s="115"/>
      <c r="X126" s="248" t="str">
        <f t="shared" si="26"/>
        <v>South East</v>
      </c>
      <c r="Y126" s="248">
        <f>IF(Year1_South_East Year1_16_17_not_known="","",Year1_South_East Year1_16_17_not_known)</f>
        <v>5653.2166781408459</v>
      </c>
      <c r="Z126" s="248">
        <f>IF(Year2_South_East Year2_16_17_not_known="","",Year2_South_East Year2_16_17_not_known)</f>
        <v>7263.0806247502333</v>
      </c>
      <c r="AA126" s="248">
        <f>IF(Year3_South_East Year3_16_17_not_known="","",Year3_South_East Year3_16_17_not_known)</f>
        <v>7256.6150723256906</v>
      </c>
      <c r="AB126" s="248">
        <f>IF(Year4_South_East Year4_16_17_not_known="","",Year4_South_East Year4_16_17_not_known)</f>
        <v>5066.4513447170775</v>
      </c>
      <c r="AC126" s="248">
        <f>IF(Year5_South_East Year5_16_17_not_known="","",Year5_South_East Year5_16_17_not_known)</f>
        <v>8390.848</v>
      </c>
      <c r="AD126" s="249"/>
      <c r="AE126" s="250"/>
      <c r="AF126" s="251"/>
      <c r="AG126" s="251"/>
      <c r="AH126" s="251"/>
      <c r="AI126" s="56"/>
      <c r="AJ126" s="122"/>
    </row>
    <row r="127" spans="1:36" s="61" customFormat="1" ht="13.5" customHeight="1">
      <c r="A127" s="1148"/>
      <c r="B127" s="887" t="str">
        <f t="shared" si="25"/>
        <v>England</v>
      </c>
      <c r="C127" s="896"/>
      <c r="D127" s="1290">
        <f>IF(ISNUMBER(Y127),Y127/Population!J64,NA())</f>
        <v>2.8757598358683037E-2</v>
      </c>
      <c r="E127" s="1290">
        <f>IF(ISNUMBER(Z127),Z127/Population!K64,NA())</f>
        <v>2.7680057439436478E-2</v>
      </c>
      <c r="F127" s="1290">
        <f>IF(ISNUMBER(AA127),AA127/Population!L64,NA())</f>
        <v>2.6599203446313908E-2</v>
      </c>
      <c r="G127" s="1290">
        <f>IF(ISNUMBER(AB127),AB127/Population!M64,NA())</f>
        <v>1.8033638112024093E-2</v>
      </c>
      <c r="H127" s="913">
        <f>IF(ISNUMBER(AC127),AC127/Population!N64,NA())</f>
        <v>2.3943122822362911E-2</v>
      </c>
      <c r="I127" s="68"/>
      <c r="J127" s="68"/>
      <c r="K127" s="129"/>
      <c r="L127" s="129"/>
      <c r="M127" s="129"/>
      <c r="N127" s="129"/>
      <c r="O127" s="129"/>
      <c r="P127" s="129"/>
      <c r="Q127" s="129"/>
      <c r="R127" s="130"/>
      <c r="S127" s="120"/>
      <c r="T127" s="131"/>
      <c r="U127" s="89"/>
      <c r="V127" s="103"/>
      <c r="W127" s="115"/>
      <c r="X127" s="248" t="str">
        <f t="shared" si="26"/>
        <v>England</v>
      </c>
      <c r="Y127" s="248">
        <f>IF(Year1_England Year1_16_17_not_known="","",Year1_England Year1_16_17_not_known)</f>
        <v>32182.628323202185</v>
      </c>
      <c r="Z127" s="248">
        <f>IF(Year2_England Year2_16_17_not_known="","",Year2_England Year2_16_17_not_known)</f>
        <v>31638.305653275893</v>
      </c>
      <c r="AA127" s="248">
        <f>IF(Year3_England Year3_16_17_not_known="","",Year3_England Year3_16_17_not_known)</f>
        <v>31416.053198406895</v>
      </c>
      <c r="AB127" s="248">
        <f>IF(Year4_England Year4_16_17_not_known="","",Year4_England Year4_16_17_not_known)</f>
        <v>21828.077873536971</v>
      </c>
      <c r="AC127" s="307">
        <f>IF(Year5_England Year5_16_17_not_known="","",Year5_England Year5_16_17_not_known)</f>
        <v>29672.760000000002</v>
      </c>
      <c r="AD127" s="249"/>
      <c r="AE127" s="250"/>
      <c r="AF127" s="251"/>
      <c r="AG127" s="251"/>
      <c r="AH127" s="251"/>
      <c r="AI127" s="56"/>
      <c r="AJ127" s="121"/>
    </row>
    <row r="128" spans="1:36" s="61" customFormat="1" ht="4.5" customHeight="1">
      <c r="A128" s="217"/>
      <c r="B128" s="68"/>
      <c r="C128" s="68"/>
      <c r="D128" s="68"/>
      <c r="E128" s="68"/>
      <c r="F128" s="68"/>
      <c r="G128" s="68"/>
      <c r="H128" s="68"/>
      <c r="I128" s="68"/>
      <c r="J128" s="68"/>
      <c r="K128" s="129"/>
      <c r="L128" s="129"/>
      <c r="M128" s="129"/>
      <c r="N128" s="129"/>
      <c r="O128" s="129"/>
      <c r="P128" s="129"/>
      <c r="Q128" s="129"/>
      <c r="R128" s="130"/>
      <c r="S128" s="120"/>
      <c r="T128" s="131"/>
      <c r="U128" s="89"/>
      <c r="V128" s="103"/>
      <c r="W128" s="115"/>
      <c r="X128" s="56"/>
      <c r="Y128" s="56"/>
      <c r="Z128" s="146"/>
      <c r="AA128" s="146"/>
      <c r="AB128" s="147"/>
      <c r="AC128" s="147"/>
      <c r="AD128" s="149"/>
      <c r="AH128" s="141"/>
      <c r="AJ128" s="121"/>
    </row>
    <row r="129" spans="1:58" s="56" customFormat="1" ht="42" customHeight="1">
      <c r="A129" s="166"/>
      <c r="B129" s="171"/>
      <c r="C129" s="171"/>
      <c r="D129" s="171"/>
      <c r="E129" s="171"/>
      <c r="F129" s="171"/>
      <c r="G129" s="171"/>
      <c r="H129" s="171"/>
      <c r="I129" s="171"/>
      <c r="J129" s="133"/>
      <c r="K129" s="133"/>
      <c r="L129" s="133"/>
      <c r="M129" s="133"/>
      <c r="N129" s="133"/>
      <c r="O129" s="133"/>
      <c r="P129" s="133"/>
      <c r="Q129" s="133"/>
      <c r="R129" s="101"/>
      <c r="S129" s="133"/>
      <c r="T129" s="133"/>
      <c r="U129" s="86"/>
      <c r="V129" s="102"/>
      <c r="W129" s="114"/>
      <c r="AC129" s="147"/>
      <c r="AD129" s="149"/>
      <c r="AE129" s="52"/>
      <c r="AF129" s="52"/>
      <c r="AG129" s="52"/>
      <c r="AI129" s="52"/>
      <c r="AJ129" s="122"/>
    </row>
    <row r="130" spans="1:58" s="56" customFormat="1" ht="42.75" customHeight="1">
      <c r="A130" s="166"/>
      <c r="B130" s="171"/>
      <c r="C130" s="171"/>
      <c r="D130" s="171"/>
      <c r="E130" s="171"/>
      <c r="F130" s="171"/>
      <c r="G130" s="171"/>
      <c r="H130" s="171"/>
      <c r="I130" s="171"/>
      <c r="J130" s="133"/>
      <c r="K130" s="133"/>
      <c r="L130" s="133"/>
      <c r="M130" s="133"/>
      <c r="N130" s="133"/>
      <c r="O130" s="133"/>
      <c r="P130" s="133"/>
      <c r="Q130" s="133"/>
      <c r="R130" s="101"/>
      <c r="S130" s="133"/>
      <c r="T130" s="133"/>
      <c r="U130" s="86"/>
      <c r="V130" s="102"/>
      <c r="W130" s="114"/>
      <c r="Y130" s="141"/>
      <c r="AD130" s="149"/>
      <c r="AE130" s="52"/>
      <c r="AF130" s="52"/>
      <c r="AG130" s="52"/>
      <c r="AI130" s="52"/>
      <c r="AJ130" s="122"/>
    </row>
    <row r="131" spans="1:58" s="56" customFormat="1" ht="42" customHeight="1">
      <c r="A131" s="166"/>
      <c r="B131" s="171"/>
      <c r="C131" s="171"/>
      <c r="D131" s="171"/>
      <c r="E131" s="171"/>
      <c r="F131" s="171"/>
      <c r="G131" s="171"/>
      <c r="H131" s="171"/>
      <c r="I131" s="171"/>
      <c r="J131" s="133"/>
      <c r="K131" s="133"/>
      <c r="L131" s="133"/>
      <c r="M131" s="133"/>
      <c r="N131" s="133"/>
      <c r="O131" s="133"/>
      <c r="P131" s="133"/>
      <c r="Q131" s="133"/>
      <c r="R131" s="101"/>
      <c r="S131" s="133"/>
      <c r="T131" s="133"/>
      <c r="U131" s="86"/>
      <c r="V131" s="121"/>
      <c r="W131" s="114"/>
      <c r="Y131" s="141"/>
      <c r="AD131" s="149"/>
      <c r="AE131" s="52"/>
      <c r="AF131" s="52"/>
      <c r="AG131" s="52"/>
      <c r="AI131" s="52"/>
      <c r="AJ131" s="122"/>
    </row>
    <row r="132" spans="1:58" s="56" customFormat="1" ht="7.5" customHeight="1">
      <c r="A132" s="87"/>
      <c r="B132" s="12"/>
      <c r="C132" s="12"/>
      <c r="D132" s="11"/>
      <c r="E132" s="11"/>
      <c r="F132" s="11"/>
      <c r="G132" s="11"/>
      <c r="H132" s="11"/>
      <c r="I132" s="11"/>
      <c r="J132" s="1"/>
      <c r="K132" s="13"/>
      <c r="L132" s="13"/>
      <c r="M132" s="13"/>
      <c r="N132" s="13"/>
      <c r="O132" s="13"/>
      <c r="P132" s="13"/>
      <c r="Q132" s="13"/>
      <c r="R132" s="13"/>
      <c r="S132" s="13"/>
      <c r="T132" s="14"/>
      <c r="U132" s="86"/>
      <c r="V132" s="185"/>
      <c r="W132" s="114"/>
      <c r="Y132" s="141"/>
      <c r="AI132" s="52"/>
      <c r="AJ132" s="119"/>
      <c r="AK132" s="52"/>
      <c r="AL132" s="52"/>
      <c r="AM132" s="52"/>
      <c r="AN132" s="52"/>
      <c r="AO132" s="52"/>
      <c r="AP132" s="52"/>
      <c r="AQ132" s="52"/>
    </row>
    <row r="133" spans="1:58" s="56" customFormat="1" ht="15" customHeight="1">
      <c r="A133" s="1565"/>
      <c r="B133" s="1751"/>
      <c r="C133" s="1751"/>
      <c r="D133" s="1751"/>
      <c r="E133" s="1751"/>
      <c r="F133" s="1751"/>
      <c r="G133" s="1751"/>
      <c r="H133" s="1751"/>
      <c r="I133" s="1751"/>
      <c r="J133" s="1751"/>
      <c r="K133" s="1751"/>
      <c r="L133" s="1751"/>
      <c r="M133" s="1751"/>
      <c r="N133" s="1751"/>
      <c r="O133" s="1751"/>
      <c r="P133" s="1751"/>
      <c r="Q133" s="1751"/>
      <c r="R133" s="1751"/>
      <c r="S133" s="1751"/>
      <c r="T133" s="1751"/>
      <c r="U133" s="1752"/>
      <c r="V133" s="185"/>
      <c r="W133" s="114"/>
      <c r="Y133" s="2028"/>
      <c r="Z133" s="611"/>
      <c r="AA133" s="611"/>
      <c r="AB133" s="611"/>
      <c r="AC133" s="611"/>
      <c r="AD133" s="611"/>
      <c r="AJ133" s="122"/>
      <c r="AS133" s="52"/>
    </row>
    <row r="134" spans="1:58" s="56" customFormat="1" ht="11.25" customHeight="1">
      <c r="A134" s="1739"/>
      <c r="B134" s="1740"/>
      <c r="C134" s="1740"/>
      <c r="D134" s="1740"/>
      <c r="E134" s="1740"/>
      <c r="F134" s="1740"/>
      <c r="G134" s="1740"/>
      <c r="H134" s="1740"/>
      <c r="I134" s="1741"/>
      <c r="J134" s="1740"/>
      <c r="K134" s="1740"/>
      <c r="L134" s="1740"/>
      <c r="M134" s="1740"/>
      <c r="N134" s="1740"/>
      <c r="O134" s="1740"/>
      <c r="P134" s="1742"/>
      <c r="Q134" s="1740"/>
      <c r="R134" s="1740"/>
      <c r="S134" s="1741"/>
      <c r="T134" s="1740"/>
      <c r="U134" s="1743"/>
      <c r="V134" s="185"/>
      <c r="W134" s="114"/>
      <c r="Y134" s="2028"/>
      <c r="Z134" s="612"/>
      <c r="AA134" s="612"/>
      <c r="AB134" s="612"/>
      <c r="AC134" s="612"/>
      <c r="AD134" s="612"/>
      <c r="AI134" s="52"/>
      <c r="AJ134" s="121"/>
      <c r="AK134" s="61"/>
      <c r="AS134" s="52"/>
    </row>
    <row r="135" spans="1:58" ht="11.25" customHeight="1">
      <c r="A135" s="106"/>
      <c r="B135" s="705"/>
      <c r="C135" s="5"/>
      <c r="D135" s="5"/>
      <c r="E135" s="9"/>
      <c r="F135" s="5"/>
      <c r="G135" s="40"/>
      <c r="H135" s="554"/>
      <c r="I135" s="40"/>
      <c r="J135" s="40"/>
      <c r="K135" s="40"/>
      <c r="L135" s="40"/>
      <c r="M135" s="40"/>
      <c r="N135" s="40"/>
      <c r="O135" s="40"/>
      <c r="P135" s="40"/>
      <c r="Q135" s="40"/>
      <c r="R135" s="40"/>
      <c r="S135" s="40"/>
      <c r="T135" s="40"/>
      <c r="U135" s="40"/>
      <c r="V135" s="119"/>
      <c r="W135" s="114"/>
      <c r="Y135" s="219"/>
      <c r="Z135" s="610"/>
      <c r="AA135" s="610"/>
      <c r="AB135" s="610"/>
      <c r="AC135" s="610"/>
      <c r="AD135" s="610"/>
      <c r="AE135" s="609"/>
      <c r="AF135" s="609"/>
      <c r="AG135" s="609"/>
      <c r="AH135" s="609"/>
      <c r="AI135" s="609"/>
      <c r="AJ135" s="119"/>
      <c r="AR135" s="56"/>
      <c r="AS135" s="56"/>
      <c r="AT135" s="56"/>
      <c r="AU135" s="56"/>
      <c r="AV135" s="56"/>
      <c r="AW135" s="56"/>
      <c r="AX135" s="56"/>
      <c r="AY135" s="56"/>
      <c r="AZ135" s="56"/>
      <c r="BA135" s="56"/>
      <c r="BB135" s="56"/>
      <c r="BC135" s="56"/>
      <c r="BD135" s="56"/>
      <c r="BE135" s="56"/>
      <c r="BF135" s="56"/>
    </row>
    <row r="136" spans="1:58" ht="11.25" customHeight="1">
      <c r="A136" s="106"/>
      <c r="B136" s="705"/>
      <c r="C136" s="5"/>
      <c r="D136" s="5"/>
      <c r="E136" s="9"/>
      <c r="F136" s="5"/>
      <c r="G136" s="40"/>
      <c r="H136" s="554"/>
      <c r="I136" s="40"/>
      <c r="J136" s="40"/>
      <c r="K136" s="40"/>
      <c r="L136" s="40"/>
      <c r="M136" s="40"/>
      <c r="N136" s="40"/>
      <c r="O136" s="40"/>
      <c r="P136" s="40"/>
      <c r="Q136" s="40"/>
      <c r="R136" s="40"/>
      <c r="S136" s="40"/>
      <c r="T136" s="40"/>
      <c r="U136" s="40"/>
      <c r="V136" s="119"/>
      <c r="W136" s="114"/>
      <c r="Y136" s="219"/>
      <c r="Z136" s="610"/>
      <c r="AA136" s="610"/>
      <c r="AB136" s="610"/>
      <c r="AC136" s="610"/>
      <c r="AD136" s="610"/>
      <c r="AE136" s="609"/>
      <c r="AF136" s="609"/>
      <c r="AG136" s="609"/>
      <c r="AH136" s="609"/>
      <c r="AI136" s="609"/>
      <c r="AJ136" s="119"/>
      <c r="AL136" s="56"/>
      <c r="AM136" s="56"/>
      <c r="AN136" s="56"/>
      <c r="AO136" s="56"/>
      <c r="AP136" s="56"/>
      <c r="AQ136" s="56"/>
    </row>
    <row r="137" spans="1:58" ht="11.25" customHeight="1">
      <c r="A137" s="106"/>
      <c r="B137" s="1317"/>
      <c r="C137" s="5"/>
      <c r="D137" s="5"/>
      <c r="E137" s="9"/>
      <c r="F137" s="5"/>
      <c r="G137" s="40"/>
      <c r="H137" s="554"/>
      <c r="I137" s="40"/>
      <c r="J137" s="40"/>
      <c r="K137" s="40"/>
      <c r="L137" s="40"/>
      <c r="M137" s="40"/>
      <c r="N137" s="40"/>
      <c r="O137" s="40"/>
      <c r="P137" s="40"/>
      <c r="Q137" s="40"/>
      <c r="R137" s="40"/>
      <c r="S137" s="40"/>
      <c r="T137" s="40"/>
      <c r="U137" s="40"/>
      <c r="V137" s="119"/>
      <c r="W137" s="114"/>
      <c r="Y137" s="219"/>
      <c r="Z137" s="610"/>
      <c r="AA137" s="610"/>
      <c r="AB137" s="610"/>
      <c r="AC137" s="610"/>
      <c r="AD137" s="610"/>
      <c r="AE137" s="609"/>
      <c r="AF137" s="609"/>
      <c r="AG137" s="609"/>
      <c r="AH137" s="609"/>
      <c r="AI137" s="609"/>
      <c r="AJ137" s="119"/>
      <c r="AL137" s="56"/>
      <c r="AM137" s="56"/>
      <c r="AN137" s="56"/>
      <c r="AO137" s="56"/>
      <c r="AP137" s="56"/>
      <c r="AQ137" s="56"/>
    </row>
    <row r="138" spans="1:58" ht="11.25" customHeight="1">
      <c r="A138" s="106"/>
      <c r="B138" s="1318"/>
      <c r="C138" s="5"/>
      <c r="D138" s="5"/>
      <c r="E138" s="9"/>
      <c r="F138" s="2"/>
      <c r="G138" s="554"/>
      <c r="H138" s="554"/>
      <c r="I138" s="40"/>
      <c r="J138" s="40"/>
      <c r="K138" s="40"/>
      <c r="L138" s="40"/>
      <c r="M138" s="40"/>
      <c r="N138" s="40"/>
      <c r="O138" s="40"/>
      <c r="P138" s="40"/>
      <c r="Q138" s="40"/>
      <c r="R138" s="40"/>
      <c r="S138" s="40"/>
      <c r="T138" s="40"/>
      <c r="U138" s="40"/>
      <c r="V138" s="119"/>
      <c r="W138" s="114"/>
      <c r="Y138" s="219"/>
      <c r="Z138" s="610"/>
      <c r="AA138" s="610"/>
      <c r="AB138" s="610"/>
      <c r="AC138" s="610"/>
      <c r="AD138" s="610"/>
      <c r="AE138" s="609"/>
      <c r="AF138" s="609"/>
      <c r="AG138" s="609"/>
      <c r="AH138" s="609"/>
      <c r="AI138" s="609"/>
      <c r="AJ138" s="119"/>
    </row>
    <row r="139" spans="1:58" ht="11.25" customHeight="1">
      <c r="A139" s="106"/>
      <c r="B139" s="420"/>
      <c r="C139" s="420"/>
      <c r="D139" s="420"/>
      <c r="E139" s="420"/>
      <c r="F139" s="420"/>
      <c r="G139" s="420"/>
      <c r="H139" s="554"/>
      <c r="I139" s="40"/>
      <c r="J139" s="40"/>
      <c r="K139" s="40"/>
      <c r="L139" s="40"/>
      <c r="M139" s="40"/>
      <c r="N139" s="40"/>
      <c r="O139" s="40"/>
      <c r="P139" s="40"/>
      <c r="Q139" s="40"/>
      <c r="R139" s="40"/>
      <c r="S139" s="40"/>
      <c r="T139" s="40"/>
      <c r="U139" s="40"/>
      <c r="V139" s="119"/>
      <c r="W139" s="114"/>
      <c r="Y139" s="219"/>
      <c r="Z139" s="610"/>
      <c r="AA139" s="610"/>
      <c r="AB139" s="610"/>
      <c r="AC139" s="610"/>
      <c r="AD139" s="610"/>
      <c r="AE139" s="609"/>
      <c r="AF139" s="609"/>
      <c r="AG139" s="609"/>
      <c r="AH139" s="609"/>
      <c r="AI139" s="609"/>
      <c r="AJ139" s="119"/>
    </row>
    <row r="140" spans="1:58" ht="11.25" customHeight="1">
      <c r="A140" s="106"/>
      <c r="B140" s="420"/>
      <c r="C140" s="420"/>
      <c r="D140" s="420"/>
      <c r="E140" s="420"/>
      <c r="F140" s="420"/>
      <c r="G140" s="420"/>
      <c r="H140" s="554"/>
      <c r="I140" s="40"/>
      <c r="J140" s="40"/>
      <c r="K140" s="40"/>
      <c r="L140" s="40"/>
      <c r="M140" s="40"/>
      <c r="N140" s="40"/>
      <c r="O140" s="40"/>
      <c r="P140" s="40"/>
      <c r="Q140" s="40"/>
      <c r="R140" s="40"/>
      <c r="S140" s="40"/>
      <c r="T140" s="40"/>
      <c r="U140" s="40"/>
      <c r="V140" s="119"/>
      <c r="W140" s="114"/>
      <c r="Y140" s="219"/>
      <c r="Z140" s="610"/>
      <c r="AA140" s="610"/>
      <c r="AB140" s="610"/>
      <c r="AC140" s="610"/>
      <c r="AD140" s="610"/>
      <c r="AE140" s="609"/>
      <c r="AF140" s="609"/>
      <c r="AG140" s="609"/>
      <c r="AH140" s="609"/>
      <c r="AI140" s="609"/>
      <c r="AJ140" s="119"/>
    </row>
    <row r="141" spans="1:58" ht="11.25" customHeight="1">
      <c r="A141" s="106"/>
      <c r="B141" s="420"/>
      <c r="C141" s="420"/>
      <c r="D141" s="420"/>
      <c r="E141" s="420"/>
      <c r="F141" s="420"/>
      <c r="G141" s="420"/>
      <c r="H141" s="554"/>
      <c r="I141" s="40"/>
      <c r="J141" s="40"/>
      <c r="K141" s="40"/>
      <c r="L141" s="40"/>
      <c r="M141" s="40"/>
      <c r="N141" s="40"/>
      <c r="O141" s="40"/>
      <c r="P141" s="40"/>
      <c r="Q141" s="40"/>
      <c r="R141" s="40"/>
      <c r="S141" s="40"/>
      <c r="T141" s="40"/>
      <c r="U141" s="40"/>
      <c r="V141" s="119"/>
      <c r="W141" s="116"/>
      <c r="Y141" s="219"/>
      <c r="Z141" s="610"/>
      <c r="AA141" s="610"/>
      <c r="AB141" s="610"/>
      <c r="AC141" s="610"/>
      <c r="AD141" s="610"/>
      <c r="AE141" s="609"/>
      <c r="AF141" s="609"/>
      <c r="AG141" s="609"/>
      <c r="AH141" s="609"/>
      <c r="AI141" s="609"/>
      <c r="AJ141" s="119"/>
    </row>
    <row r="142" spans="1:58" ht="11.25" customHeight="1">
      <c r="A142" s="106"/>
      <c r="B142" s="420"/>
      <c r="C142" s="420"/>
      <c r="D142" s="420"/>
      <c r="E142" s="420"/>
      <c r="F142" s="420"/>
      <c r="G142" s="420"/>
      <c r="H142" s="554"/>
      <c r="I142" s="40"/>
      <c r="J142" s="40"/>
      <c r="K142" s="40"/>
      <c r="L142" s="40"/>
      <c r="M142" s="40"/>
      <c r="N142" s="40"/>
      <c r="O142" s="40"/>
      <c r="P142" s="40"/>
      <c r="Q142" s="40"/>
      <c r="R142" s="40"/>
      <c r="S142" s="40"/>
      <c r="T142" s="40"/>
      <c r="U142" s="40"/>
      <c r="V142" s="119"/>
      <c r="W142" s="114"/>
      <c r="Y142" s="219"/>
      <c r="Z142" s="610"/>
      <c r="AA142" s="610"/>
      <c r="AB142" s="610"/>
      <c r="AC142" s="610"/>
      <c r="AD142" s="610"/>
      <c r="AE142" s="609"/>
      <c r="AF142" s="609"/>
      <c r="AG142" s="609"/>
      <c r="AH142" s="609"/>
      <c r="AI142" s="609"/>
      <c r="AJ142" s="119"/>
    </row>
    <row r="143" spans="1:58" ht="11.25" customHeight="1">
      <c r="A143" s="106"/>
      <c r="B143" s="420"/>
      <c r="C143" s="420"/>
      <c r="D143" s="420"/>
      <c r="E143" s="420"/>
      <c r="F143" s="420"/>
      <c r="G143" s="420"/>
      <c r="H143" s="554"/>
      <c r="I143" s="40"/>
      <c r="J143" s="40"/>
      <c r="K143" s="40"/>
      <c r="L143" s="40"/>
      <c r="M143" s="40"/>
      <c r="N143" s="40"/>
      <c r="O143" s="40"/>
      <c r="P143" s="40"/>
      <c r="Q143" s="40"/>
      <c r="R143" s="40"/>
      <c r="S143" s="40"/>
      <c r="T143" s="40"/>
      <c r="U143" s="40"/>
      <c r="V143" s="119"/>
      <c r="W143" s="114"/>
      <c r="Y143" s="219"/>
      <c r="Z143" s="610"/>
      <c r="AA143" s="610"/>
      <c r="AB143" s="610"/>
      <c r="AC143" s="610"/>
      <c r="AD143" s="610"/>
      <c r="AE143" s="609"/>
      <c r="AF143" s="609"/>
      <c r="AG143" s="609"/>
      <c r="AH143" s="609"/>
      <c r="AI143" s="609"/>
      <c r="AJ143" s="119"/>
    </row>
    <row r="144" spans="1:58" ht="11.25" customHeight="1">
      <c r="A144" s="106"/>
      <c r="B144" s="420"/>
      <c r="C144" s="420"/>
      <c r="D144" s="420"/>
      <c r="E144" s="420"/>
      <c r="F144" s="420"/>
      <c r="G144" s="420"/>
      <c r="H144" s="554"/>
      <c r="I144" s="40"/>
      <c r="J144" s="40"/>
      <c r="K144" s="40"/>
      <c r="L144" s="40"/>
      <c r="M144" s="40"/>
      <c r="N144" s="40"/>
      <c r="O144" s="40"/>
      <c r="P144" s="40"/>
      <c r="Q144" s="40"/>
      <c r="R144" s="40"/>
      <c r="S144" s="40"/>
      <c r="T144" s="40"/>
      <c r="U144" s="40"/>
      <c r="V144" s="119"/>
      <c r="W144" s="114"/>
      <c r="Y144" s="219"/>
      <c r="Z144" s="610"/>
      <c r="AA144" s="610"/>
      <c r="AB144" s="610"/>
      <c r="AC144" s="610"/>
      <c r="AD144" s="610"/>
      <c r="AE144" s="609"/>
      <c r="AF144" s="609"/>
      <c r="AG144" s="609"/>
      <c r="AH144" s="609"/>
      <c r="AI144" s="609"/>
      <c r="AJ144" s="119"/>
    </row>
    <row r="145" spans="1:36" ht="11.25" customHeight="1">
      <c r="A145" s="106"/>
      <c r="B145" s="420"/>
      <c r="C145" s="420"/>
      <c r="D145" s="420"/>
      <c r="E145" s="420"/>
      <c r="F145" s="420"/>
      <c r="G145" s="420"/>
      <c r="H145" s="554"/>
      <c r="I145" s="40"/>
      <c r="J145" s="40"/>
      <c r="K145" s="40"/>
      <c r="L145" s="40"/>
      <c r="M145" s="40"/>
      <c r="N145" s="40"/>
      <c r="O145" s="40"/>
      <c r="P145" s="40"/>
      <c r="Q145" s="40"/>
      <c r="R145" s="40"/>
      <c r="S145" s="40"/>
      <c r="T145" s="40"/>
      <c r="U145" s="40"/>
      <c r="V145" s="119"/>
      <c r="W145" s="114"/>
      <c r="Y145" s="219"/>
      <c r="Z145" s="610"/>
      <c r="AA145" s="610"/>
      <c r="AB145" s="610"/>
      <c r="AC145" s="610"/>
      <c r="AD145" s="610"/>
      <c r="AE145" s="609"/>
      <c r="AF145" s="609"/>
      <c r="AG145" s="609"/>
      <c r="AH145" s="609"/>
      <c r="AI145" s="609"/>
      <c r="AJ145" s="119"/>
    </row>
    <row r="146" spans="1:36" ht="11.25" customHeight="1">
      <c r="A146" s="106"/>
      <c r="B146" s="420"/>
      <c r="C146" s="420"/>
      <c r="D146" s="420"/>
      <c r="E146" s="420"/>
      <c r="F146" s="420"/>
      <c r="G146" s="420"/>
      <c r="H146" s="554"/>
      <c r="I146" s="40"/>
      <c r="J146" s="40"/>
      <c r="K146" s="40"/>
      <c r="L146" s="40"/>
      <c r="M146" s="40"/>
      <c r="N146" s="40"/>
      <c r="O146" s="40"/>
      <c r="P146" s="40"/>
      <c r="Q146" s="40"/>
      <c r="R146" s="40"/>
      <c r="S146" s="40"/>
      <c r="T146" s="40"/>
      <c r="U146" s="40"/>
      <c r="V146" s="119"/>
      <c r="W146" s="114"/>
      <c r="Y146" s="219"/>
      <c r="Z146" s="610"/>
      <c r="AA146" s="610"/>
      <c r="AB146" s="610"/>
      <c r="AC146" s="610"/>
      <c r="AD146" s="610"/>
      <c r="AE146" s="609"/>
      <c r="AF146" s="609"/>
      <c r="AG146" s="609"/>
      <c r="AH146" s="609"/>
      <c r="AI146" s="609"/>
      <c r="AJ146" s="119"/>
    </row>
    <row r="147" spans="1:36" ht="11.25" customHeight="1">
      <c r="A147" s="106"/>
      <c r="B147" s="420"/>
      <c r="C147" s="420"/>
      <c r="D147" s="420"/>
      <c r="E147" s="420"/>
      <c r="F147" s="420"/>
      <c r="G147" s="420"/>
      <c r="H147" s="554"/>
      <c r="I147" s="40"/>
      <c r="J147" s="40"/>
      <c r="K147" s="40"/>
      <c r="L147" s="40"/>
      <c r="M147" s="40"/>
      <c r="N147" s="40"/>
      <c r="O147" s="40"/>
      <c r="P147" s="40"/>
      <c r="Q147" s="40"/>
      <c r="R147" s="40"/>
      <c r="S147" s="40"/>
      <c r="T147" s="40"/>
      <c r="U147" s="40"/>
      <c r="V147" s="119"/>
      <c r="W147" s="114"/>
      <c r="Y147" s="219"/>
      <c r="Z147" s="610"/>
      <c r="AA147" s="610"/>
      <c r="AB147" s="610"/>
      <c r="AC147" s="610"/>
      <c r="AD147" s="610"/>
      <c r="AE147" s="609"/>
      <c r="AF147" s="609"/>
      <c r="AG147" s="609"/>
      <c r="AH147" s="609"/>
      <c r="AI147" s="609"/>
      <c r="AJ147" s="119"/>
    </row>
    <row r="148" spans="1:36" ht="11.25" customHeight="1">
      <c r="A148" s="106"/>
      <c r="B148" s="420"/>
      <c r="C148" s="420"/>
      <c r="D148" s="420"/>
      <c r="E148" s="420"/>
      <c r="F148" s="420"/>
      <c r="G148" s="420"/>
      <c r="H148" s="554"/>
      <c r="I148" s="40"/>
      <c r="J148" s="40"/>
      <c r="K148" s="40"/>
      <c r="L148" s="40"/>
      <c r="M148" s="40"/>
      <c r="N148" s="40"/>
      <c r="O148" s="40"/>
      <c r="P148" s="40"/>
      <c r="Q148" s="40"/>
      <c r="R148" s="40"/>
      <c r="S148" s="40"/>
      <c r="T148" s="40"/>
      <c r="U148" s="40"/>
      <c r="V148" s="119"/>
      <c r="W148" s="114"/>
      <c r="Y148" s="219"/>
      <c r="Z148" s="610"/>
      <c r="AA148" s="610"/>
      <c r="AB148" s="610"/>
      <c r="AC148" s="610"/>
      <c r="AD148" s="610"/>
      <c r="AE148" s="609"/>
      <c r="AF148" s="609"/>
      <c r="AG148" s="609"/>
      <c r="AH148" s="609"/>
      <c r="AI148" s="609"/>
      <c r="AJ148" s="119"/>
    </row>
    <row r="149" spans="1:36" ht="11.25" customHeight="1">
      <c r="A149" s="106"/>
      <c r="B149" s="420"/>
      <c r="C149" s="420"/>
      <c r="D149" s="420"/>
      <c r="E149" s="420"/>
      <c r="F149" s="420"/>
      <c r="G149" s="420"/>
      <c r="H149" s="554"/>
      <c r="I149" s="40"/>
      <c r="J149" s="40"/>
      <c r="K149" s="40"/>
      <c r="L149" s="40"/>
      <c r="M149" s="40"/>
      <c r="N149" s="40"/>
      <c r="O149" s="40"/>
      <c r="P149" s="40"/>
      <c r="Q149" s="40"/>
      <c r="R149" s="40"/>
      <c r="S149" s="40"/>
      <c r="T149" s="40"/>
      <c r="U149" s="40"/>
      <c r="V149" s="119"/>
      <c r="W149" s="114"/>
      <c r="Y149" s="219"/>
      <c r="Z149" s="610"/>
      <c r="AA149" s="610"/>
      <c r="AB149" s="610"/>
      <c r="AC149" s="610"/>
      <c r="AD149" s="610"/>
      <c r="AE149" s="609"/>
      <c r="AF149" s="609"/>
      <c r="AG149" s="609"/>
      <c r="AH149" s="609"/>
      <c r="AI149" s="609"/>
      <c r="AJ149" s="119"/>
    </row>
    <row r="150" spans="1:36" ht="11.25" customHeight="1">
      <c r="A150" s="106"/>
      <c r="B150" s="420"/>
      <c r="C150" s="420"/>
      <c r="D150" s="420"/>
      <c r="E150" s="420"/>
      <c r="F150" s="420"/>
      <c r="G150" s="420"/>
      <c r="H150" s="554"/>
      <c r="I150" s="40"/>
      <c r="J150" s="40"/>
      <c r="K150" s="40"/>
      <c r="L150" s="40"/>
      <c r="M150" s="40"/>
      <c r="N150" s="40"/>
      <c r="O150" s="40"/>
      <c r="P150" s="40"/>
      <c r="Q150" s="40"/>
      <c r="R150" s="40"/>
      <c r="S150" s="40"/>
      <c r="T150" s="40"/>
      <c r="U150" s="40"/>
      <c r="V150" s="119"/>
      <c r="W150" s="114"/>
      <c r="Y150" s="219"/>
      <c r="Z150" s="610"/>
      <c r="AA150" s="610"/>
      <c r="AB150" s="610"/>
      <c r="AC150" s="610"/>
      <c r="AD150" s="610"/>
      <c r="AE150" s="609"/>
      <c r="AF150" s="609"/>
      <c r="AG150" s="609"/>
      <c r="AH150" s="609"/>
      <c r="AI150" s="609"/>
      <c r="AJ150" s="119"/>
    </row>
    <row r="151" spans="1:36" ht="11.25" customHeight="1">
      <c r="A151" s="106"/>
      <c r="B151" s="420"/>
      <c r="C151" s="420"/>
      <c r="D151" s="420"/>
      <c r="E151" s="420"/>
      <c r="F151" s="420"/>
      <c r="G151" s="420"/>
      <c r="H151" s="554"/>
      <c r="I151" s="40"/>
      <c r="J151" s="40"/>
      <c r="K151" s="40"/>
      <c r="L151" s="40"/>
      <c r="M151" s="40"/>
      <c r="N151" s="40"/>
      <c r="O151" s="40"/>
      <c r="P151" s="40"/>
      <c r="Q151" s="40"/>
      <c r="R151" s="40"/>
      <c r="S151" s="40"/>
      <c r="T151" s="40"/>
      <c r="U151" s="40"/>
      <c r="V151" s="119"/>
      <c r="W151" s="114"/>
      <c r="Y151" s="219"/>
      <c r="Z151" s="610"/>
      <c r="AA151" s="610"/>
      <c r="AB151" s="610"/>
      <c r="AC151" s="610"/>
      <c r="AD151" s="610"/>
      <c r="AE151" s="609"/>
      <c r="AF151" s="609"/>
      <c r="AG151" s="609"/>
      <c r="AH151" s="609"/>
      <c r="AI151" s="609"/>
      <c r="AJ151" s="119"/>
    </row>
    <row r="152" spans="1:36" ht="11.25" customHeight="1">
      <c r="A152" s="106"/>
      <c r="B152" s="420"/>
      <c r="C152" s="420"/>
      <c r="D152" s="420"/>
      <c r="E152" s="420"/>
      <c r="F152" s="420"/>
      <c r="G152" s="420"/>
      <c r="H152" s="554"/>
      <c r="I152" s="40"/>
      <c r="J152" s="40"/>
      <c r="K152" s="40"/>
      <c r="L152" s="40"/>
      <c r="M152" s="40"/>
      <c r="N152" s="40"/>
      <c r="O152" s="40"/>
      <c r="P152" s="40"/>
      <c r="Q152" s="40"/>
      <c r="R152" s="40"/>
      <c r="S152" s="40"/>
      <c r="T152" s="40"/>
      <c r="U152" s="40"/>
      <c r="V152" s="119"/>
      <c r="W152" s="114"/>
      <c r="Y152" s="219"/>
      <c r="Z152" s="610"/>
      <c r="AA152" s="610"/>
      <c r="AB152" s="610"/>
      <c r="AC152" s="610"/>
      <c r="AD152" s="610"/>
      <c r="AE152" s="609"/>
      <c r="AF152" s="609"/>
      <c r="AG152" s="609"/>
      <c r="AH152" s="609"/>
      <c r="AI152" s="609"/>
      <c r="AJ152" s="119"/>
    </row>
    <row r="153" spans="1:36" ht="11.25" customHeight="1">
      <c r="A153" s="106"/>
      <c r="B153" s="420"/>
      <c r="C153" s="420"/>
      <c r="D153" s="420"/>
      <c r="E153" s="420"/>
      <c r="F153" s="420"/>
      <c r="G153" s="420"/>
      <c r="H153" s="554"/>
      <c r="I153" s="40"/>
      <c r="J153" s="40"/>
      <c r="K153" s="40"/>
      <c r="L153" s="40"/>
      <c r="M153" s="40"/>
      <c r="N153" s="40"/>
      <c r="O153" s="40"/>
      <c r="P153" s="40"/>
      <c r="Q153" s="40"/>
      <c r="R153" s="40"/>
      <c r="S153" s="40"/>
      <c r="T153" s="40"/>
      <c r="U153" s="40"/>
      <c r="V153" s="119"/>
      <c r="W153" s="114"/>
      <c r="Y153" s="219"/>
      <c r="Z153" s="610"/>
      <c r="AA153" s="610"/>
      <c r="AB153" s="610"/>
      <c r="AC153" s="610"/>
      <c r="AD153" s="610"/>
      <c r="AE153" s="609"/>
      <c r="AF153" s="609"/>
      <c r="AG153" s="609"/>
      <c r="AH153" s="609"/>
      <c r="AI153" s="609"/>
      <c r="AJ153" s="119"/>
    </row>
    <row r="154" spans="1:36" ht="11.25" customHeight="1">
      <c r="A154" s="106"/>
      <c r="B154" s="420"/>
      <c r="C154" s="420"/>
      <c r="D154" s="420"/>
      <c r="E154" s="420"/>
      <c r="F154" s="420"/>
      <c r="G154" s="420"/>
      <c r="H154" s="554"/>
      <c r="I154" s="40"/>
      <c r="J154" s="40"/>
      <c r="K154" s="40"/>
      <c r="L154" s="40"/>
      <c r="M154" s="40"/>
      <c r="N154" s="40"/>
      <c r="O154" s="40"/>
      <c r="P154" s="40"/>
      <c r="Q154" s="40"/>
      <c r="R154" s="40"/>
      <c r="S154" s="40"/>
      <c r="T154" s="40"/>
      <c r="U154" s="40"/>
      <c r="V154" s="119"/>
      <c r="W154" s="114"/>
      <c r="Y154" s="219"/>
      <c r="Z154" s="610"/>
      <c r="AA154" s="610"/>
      <c r="AB154" s="610"/>
      <c r="AC154" s="610"/>
      <c r="AD154" s="610"/>
      <c r="AE154" s="609"/>
      <c r="AF154" s="609"/>
      <c r="AG154" s="609"/>
      <c r="AH154" s="609"/>
      <c r="AI154" s="609"/>
      <c r="AJ154" s="119"/>
    </row>
    <row r="155" spans="1:36" ht="11.25" customHeight="1">
      <c r="A155" s="106"/>
      <c r="B155" s="420"/>
      <c r="C155" s="420"/>
      <c r="D155" s="420"/>
      <c r="E155" s="420"/>
      <c r="F155" s="420"/>
      <c r="G155" s="420"/>
      <c r="H155" s="554"/>
      <c r="I155" s="40"/>
      <c r="J155" s="40"/>
      <c r="K155" s="40"/>
      <c r="L155" s="40"/>
      <c r="M155" s="40"/>
      <c r="N155" s="40"/>
      <c r="O155" s="40"/>
      <c r="P155" s="40"/>
      <c r="Q155" s="40"/>
      <c r="R155" s="40"/>
      <c r="S155" s="40"/>
      <c r="T155" s="40"/>
      <c r="U155" s="40"/>
      <c r="V155" s="119"/>
      <c r="W155" s="114"/>
      <c r="Y155" s="219"/>
      <c r="Z155" s="610"/>
      <c r="AA155" s="610"/>
      <c r="AB155" s="610"/>
      <c r="AC155" s="610"/>
      <c r="AD155" s="610"/>
      <c r="AE155" s="609"/>
      <c r="AF155" s="609"/>
      <c r="AG155" s="609"/>
      <c r="AH155" s="609"/>
      <c r="AI155" s="609"/>
      <c r="AJ155" s="119"/>
    </row>
    <row r="156" spans="1:36" ht="11.25" customHeight="1">
      <c r="A156" s="106"/>
      <c r="B156" s="420"/>
      <c r="C156" s="420"/>
      <c r="D156" s="420"/>
      <c r="E156" s="420"/>
      <c r="F156" s="420"/>
      <c r="G156" s="420"/>
      <c r="H156" s="554"/>
      <c r="I156" s="40"/>
      <c r="J156" s="40"/>
      <c r="K156" s="40"/>
      <c r="L156" s="40"/>
      <c r="M156" s="40"/>
      <c r="N156" s="40"/>
      <c r="O156" s="40"/>
      <c r="P156" s="40"/>
      <c r="Q156" s="40"/>
      <c r="R156" s="40"/>
      <c r="S156" s="40"/>
      <c r="T156" s="40"/>
      <c r="U156" s="40"/>
      <c r="V156" s="119"/>
      <c r="W156" s="114"/>
      <c r="Y156" s="219"/>
      <c r="Z156" s="610"/>
      <c r="AA156" s="610"/>
      <c r="AB156" s="610"/>
      <c r="AC156" s="610"/>
      <c r="AD156" s="610"/>
      <c r="AE156" s="609"/>
      <c r="AF156" s="609"/>
      <c r="AG156" s="609"/>
      <c r="AH156" s="609"/>
      <c r="AI156" s="609"/>
      <c r="AJ156" s="119"/>
    </row>
    <row r="157" spans="1:36" ht="11.25" customHeight="1">
      <c r="A157" s="106"/>
      <c r="B157" s="420"/>
      <c r="C157" s="420"/>
      <c r="D157" s="420"/>
      <c r="E157" s="420"/>
      <c r="F157" s="420"/>
      <c r="G157" s="420"/>
      <c r="H157" s="554"/>
      <c r="I157" s="40"/>
      <c r="J157" s="40"/>
      <c r="K157" s="40"/>
      <c r="L157" s="40"/>
      <c r="M157" s="40"/>
      <c r="N157" s="40"/>
      <c r="O157" s="40"/>
      <c r="P157" s="40"/>
      <c r="Q157" s="40"/>
      <c r="R157" s="40"/>
      <c r="S157" s="40"/>
      <c r="T157" s="40"/>
      <c r="U157" s="40"/>
      <c r="V157" s="119"/>
      <c r="W157" s="114"/>
      <c r="Y157" s="219"/>
      <c r="Z157" s="610"/>
      <c r="AA157" s="610"/>
      <c r="AB157" s="610"/>
      <c r="AC157" s="610"/>
      <c r="AD157" s="610"/>
      <c r="AE157" s="609"/>
      <c r="AF157" s="609"/>
      <c r="AG157" s="609"/>
      <c r="AH157" s="609"/>
      <c r="AI157" s="609"/>
      <c r="AJ157" s="119"/>
    </row>
    <row r="158" spans="1:36" ht="11.25" customHeight="1">
      <c r="A158" s="106"/>
      <c r="B158" s="420"/>
      <c r="C158" s="420"/>
      <c r="D158" s="420"/>
      <c r="E158" s="420"/>
      <c r="F158" s="420"/>
      <c r="G158" s="420"/>
      <c r="H158" s="554"/>
      <c r="I158" s="40"/>
      <c r="J158" s="40"/>
      <c r="K158" s="40"/>
      <c r="L158" s="40"/>
      <c r="M158" s="40"/>
      <c r="N158" s="40"/>
      <c r="O158" s="40"/>
      <c r="P158" s="40"/>
      <c r="Q158" s="40"/>
      <c r="R158" s="40"/>
      <c r="S158" s="40"/>
      <c r="T158" s="40"/>
      <c r="U158" s="40"/>
      <c r="V158" s="119"/>
      <c r="W158" s="114"/>
      <c r="Y158" s="219"/>
      <c r="Z158" s="610"/>
      <c r="AA158" s="610"/>
      <c r="AB158" s="610"/>
      <c r="AC158" s="610"/>
      <c r="AD158" s="610"/>
      <c r="AE158" s="609"/>
      <c r="AF158" s="609"/>
      <c r="AG158" s="609"/>
      <c r="AH158" s="609"/>
      <c r="AI158" s="609"/>
      <c r="AJ158" s="119"/>
    </row>
    <row r="159" spans="1:36" ht="11.25" customHeight="1">
      <c r="A159" s="106"/>
      <c r="B159" s="420"/>
      <c r="C159" s="420"/>
      <c r="D159" s="420"/>
      <c r="E159" s="420"/>
      <c r="F159" s="420"/>
      <c r="G159" s="420"/>
      <c r="H159" s="554"/>
      <c r="I159" s="40"/>
      <c r="J159" s="40"/>
      <c r="K159" s="40"/>
      <c r="L159" s="40"/>
      <c r="M159" s="40"/>
      <c r="N159" s="40"/>
      <c r="O159" s="40"/>
      <c r="P159" s="40"/>
      <c r="Q159" s="40"/>
      <c r="R159" s="40"/>
      <c r="S159" s="40"/>
      <c r="T159" s="40"/>
      <c r="U159" s="40"/>
      <c r="V159" s="119"/>
      <c r="W159" s="114"/>
      <c r="AE159" s="57" t="b">
        <f>AE135=Z135</f>
        <v>1</v>
      </c>
      <c r="AF159" s="57" t="b">
        <f>AF135=AA135</f>
        <v>1</v>
      </c>
      <c r="AG159" s="57" t="b">
        <f>AG135=AB135</f>
        <v>1</v>
      </c>
      <c r="AH159" s="57" t="b">
        <f>AH135=AC135</f>
        <v>1</v>
      </c>
      <c r="AI159" s="57" t="b">
        <f>AI135=AD135</f>
        <v>1</v>
      </c>
      <c r="AJ159" s="119"/>
    </row>
    <row r="160" spans="1:36" ht="11.25" customHeight="1">
      <c r="A160" s="106"/>
      <c r="B160" s="420"/>
      <c r="C160" s="420"/>
      <c r="D160" s="420"/>
      <c r="E160" s="420"/>
      <c r="F160" s="420"/>
      <c r="G160" s="420"/>
      <c r="H160" s="554"/>
      <c r="I160" s="40"/>
      <c r="J160" s="40"/>
      <c r="K160" s="40"/>
      <c r="L160" s="40"/>
      <c r="M160" s="40"/>
      <c r="N160" s="40"/>
      <c r="O160" s="40"/>
      <c r="P160" s="40"/>
      <c r="Q160" s="40"/>
      <c r="R160" s="40"/>
      <c r="S160" s="40"/>
      <c r="T160" s="40"/>
      <c r="U160" s="40"/>
      <c r="V160" s="119"/>
      <c r="W160" s="114"/>
      <c r="AE160" s="57"/>
      <c r="AH160" s="52"/>
      <c r="AJ160" s="119"/>
    </row>
    <row r="161" spans="1:55" ht="11.25" customHeight="1">
      <c r="A161" s="106"/>
      <c r="B161" s="420"/>
      <c r="C161" s="420"/>
      <c r="D161" s="420"/>
      <c r="E161" s="420"/>
      <c r="F161" s="420"/>
      <c r="G161" s="420"/>
      <c r="H161" s="554"/>
      <c r="I161" s="40"/>
      <c r="J161" s="40"/>
      <c r="K161" s="40"/>
      <c r="L161" s="40"/>
      <c r="M161" s="40"/>
      <c r="N161" s="40"/>
      <c r="O161" s="40"/>
      <c r="P161" s="40"/>
      <c r="Q161" s="40"/>
      <c r="R161" s="40"/>
      <c r="S161" s="40"/>
      <c r="T161" s="40"/>
      <c r="U161" s="40"/>
      <c r="V161" s="119"/>
      <c r="W161" s="114"/>
      <c r="AE161" s="57"/>
      <c r="AH161" s="52"/>
      <c r="AJ161" s="119"/>
    </row>
    <row r="162" spans="1:55" ht="11.25" customHeight="1">
      <c r="A162" s="106"/>
      <c r="B162" s="420"/>
      <c r="C162" s="420"/>
      <c r="D162" s="420"/>
      <c r="E162" s="420"/>
      <c r="F162" s="420"/>
      <c r="G162" s="420"/>
      <c r="H162" s="554"/>
      <c r="I162" s="40"/>
      <c r="J162" s="40"/>
      <c r="K162" s="40"/>
      <c r="L162" s="40"/>
      <c r="M162" s="40"/>
      <c r="N162" s="40"/>
      <c r="O162" s="40"/>
      <c r="P162" s="40"/>
      <c r="Q162" s="40"/>
      <c r="R162" s="40"/>
      <c r="S162" s="40"/>
      <c r="T162" s="40"/>
      <c r="U162" s="40"/>
      <c r="V162" s="119"/>
      <c r="W162" s="114"/>
      <c r="AE162" s="57"/>
      <c r="AH162" s="52"/>
      <c r="AJ162" s="119"/>
    </row>
    <row r="163" spans="1:55" ht="11.25" customHeight="1">
      <c r="A163" s="106"/>
      <c r="B163" s="420"/>
      <c r="C163" s="420"/>
      <c r="D163" s="420"/>
      <c r="E163" s="420"/>
      <c r="F163" s="420"/>
      <c r="G163" s="420"/>
      <c r="H163" s="554"/>
      <c r="I163" s="40"/>
      <c r="J163" s="40"/>
      <c r="K163" s="40"/>
      <c r="L163" s="40"/>
      <c r="M163" s="40"/>
      <c r="N163" s="40"/>
      <c r="O163" s="40"/>
      <c r="P163" s="40"/>
      <c r="Q163" s="40"/>
      <c r="R163" s="40"/>
      <c r="S163" s="40"/>
      <c r="T163" s="40"/>
      <c r="U163" s="40"/>
      <c r="V163" s="119"/>
      <c r="W163" s="114"/>
      <c r="AE163" s="57"/>
      <c r="AH163" s="52"/>
      <c r="AJ163" s="119"/>
    </row>
    <row r="164" spans="1:55" ht="11.25" customHeight="1">
      <c r="A164" s="106"/>
      <c r="B164" s="420"/>
      <c r="C164" s="420"/>
      <c r="D164" s="420"/>
      <c r="E164" s="420"/>
      <c r="F164" s="420"/>
      <c r="G164" s="420"/>
      <c r="H164" s="554"/>
      <c r="I164" s="40"/>
      <c r="J164" s="40"/>
      <c r="K164" s="40"/>
      <c r="L164" s="40"/>
      <c r="M164" s="40"/>
      <c r="N164" s="40"/>
      <c r="O164" s="40"/>
      <c r="P164" s="40"/>
      <c r="Q164" s="40"/>
      <c r="R164" s="40"/>
      <c r="S164" s="40"/>
      <c r="T164" s="40"/>
      <c r="U164" s="40"/>
      <c r="V164" s="119"/>
      <c r="W164" s="114"/>
      <c r="AE164" s="57"/>
      <c r="AH164" s="52"/>
      <c r="AJ164" s="119"/>
    </row>
    <row r="165" spans="1:55" ht="11.25" customHeight="1">
      <c r="A165" s="106"/>
      <c r="B165" s="420"/>
      <c r="C165" s="420"/>
      <c r="D165" s="420"/>
      <c r="E165" s="420"/>
      <c r="F165" s="420"/>
      <c r="G165" s="420"/>
      <c r="H165" s="554"/>
      <c r="I165" s="40"/>
      <c r="J165" s="40"/>
      <c r="K165" s="40"/>
      <c r="L165" s="40"/>
      <c r="M165" s="40"/>
      <c r="N165" s="40"/>
      <c r="O165" s="40"/>
      <c r="P165" s="40"/>
      <c r="Q165" s="40"/>
      <c r="R165" s="40"/>
      <c r="S165" s="40"/>
      <c r="T165" s="40"/>
      <c r="U165" s="40"/>
      <c r="V165" s="119"/>
      <c r="W165" s="114"/>
      <c r="AE165" s="57"/>
      <c r="AH165" s="52"/>
      <c r="AJ165" s="119"/>
    </row>
    <row r="166" spans="1:55" ht="11.25" customHeight="1">
      <c r="A166" s="106"/>
      <c r="B166" s="420"/>
      <c r="C166" s="420"/>
      <c r="D166" s="420"/>
      <c r="E166" s="420"/>
      <c r="F166" s="420"/>
      <c r="G166" s="420"/>
      <c r="H166" s="554"/>
      <c r="I166" s="40"/>
      <c r="J166" s="40"/>
      <c r="K166" s="40"/>
      <c r="L166" s="40"/>
      <c r="M166" s="40"/>
      <c r="N166" s="40"/>
      <c r="O166" s="40"/>
      <c r="P166" s="40"/>
      <c r="Q166" s="40"/>
      <c r="R166" s="40"/>
      <c r="S166" s="40"/>
      <c r="T166" s="40"/>
      <c r="U166" s="40"/>
      <c r="V166" s="119"/>
      <c r="W166" s="114"/>
      <c r="AE166" s="57"/>
      <c r="AH166" s="52"/>
      <c r="AJ166" s="119"/>
    </row>
    <row r="167" spans="1:55" ht="11.25" customHeight="1">
      <c r="A167" s="106"/>
      <c r="B167" s="420"/>
      <c r="C167" s="420"/>
      <c r="D167" s="420"/>
      <c r="E167" s="420"/>
      <c r="F167" s="420"/>
      <c r="G167" s="420"/>
      <c r="H167" s="554"/>
      <c r="I167" s="40"/>
      <c r="J167" s="40"/>
      <c r="K167" s="40"/>
      <c r="L167" s="40"/>
      <c r="M167" s="40"/>
      <c r="N167" s="40"/>
      <c r="O167" s="40"/>
      <c r="P167" s="40"/>
      <c r="Q167" s="40"/>
      <c r="R167" s="40"/>
      <c r="S167" s="40"/>
      <c r="T167" s="40"/>
      <c r="U167" s="40"/>
      <c r="V167" s="119"/>
      <c r="W167" s="114"/>
      <c r="AE167" s="57"/>
      <c r="AH167" s="52"/>
      <c r="AJ167" s="119"/>
    </row>
    <row r="168" spans="1:55" ht="11.25" customHeight="1">
      <c r="A168" s="106"/>
      <c r="B168" s="420"/>
      <c r="C168" s="420"/>
      <c r="D168" s="420"/>
      <c r="E168" s="420"/>
      <c r="F168" s="420"/>
      <c r="G168" s="420"/>
      <c r="H168" s="554"/>
      <c r="I168" s="40"/>
      <c r="J168" s="40"/>
      <c r="K168" s="40"/>
      <c r="L168" s="40"/>
      <c r="M168" s="40"/>
      <c r="N168" s="40"/>
      <c r="O168" s="40"/>
      <c r="P168" s="40"/>
      <c r="Q168" s="40"/>
      <c r="R168" s="40"/>
      <c r="S168" s="40"/>
      <c r="T168" s="40"/>
      <c r="U168" s="40"/>
      <c r="V168" s="119"/>
      <c r="W168" s="114"/>
      <c r="AE168" s="57"/>
      <c r="AH168" s="52"/>
      <c r="AJ168" s="119"/>
    </row>
    <row r="169" spans="1:55" ht="11.25" customHeight="1">
      <c r="A169" s="106"/>
      <c r="B169" s="420"/>
      <c r="C169" s="420"/>
      <c r="D169" s="420"/>
      <c r="E169" s="420"/>
      <c r="F169" s="420"/>
      <c r="G169" s="420"/>
      <c r="H169" s="554"/>
      <c r="I169" s="40"/>
      <c r="J169" s="40"/>
      <c r="K169" s="40"/>
      <c r="L169" s="40"/>
      <c r="M169" s="40"/>
      <c r="N169" s="40"/>
      <c r="O169" s="40"/>
      <c r="P169" s="40"/>
      <c r="Q169" s="40"/>
      <c r="R169" s="40"/>
      <c r="S169" s="40"/>
      <c r="T169" s="40"/>
      <c r="U169" s="40"/>
      <c r="V169" s="119"/>
      <c r="W169" s="114"/>
      <c r="AE169" s="57"/>
      <c r="AH169" s="52"/>
      <c r="AJ169" s="119"/>
    </row>
    <row r="170" spans="1:55" ht="11.25" customHeight="1">
      <c r="A170" s="106"/>
      <c r="B170" s="420"/>
      <c r="C170" s="420"/>
      <c r="D170" s="420"/>
      <c r="E170" s="420"/>
      <c r="F170" s="420"/>
      <c r="G170" s="420"/>
      <c r="H170" s="554"/>
      <c r="I170" s="40"/>
      <c r="J170" s="40"/>
      <c r="K170" s="40"/>
      <c r="L170" s="40"/>
      <c r="M170" s="40"/>
      <c r="N170" s="40"/>
      <c r="O170" s="40"/>
      <c r="P170" s="40"/>
      <c r="Q170" s="40"/>
      <c r="R170" s="40"/>
      <c r="S170" s="40"/>
      <c r="T170" s="40"/>
      <c r="U170" s="40"/>
      <c r="V170" s="119"/>
      <c r="W170" s="114"/>
      <c r="AE170" s="57"/>
      <c r="AH170" s="52"/>
      <c r="AJ170" s="119"/>
    </row>
    <row r="171" spans="1:55" s="55" customFormat="1" ht="11.25" customHeight="1">
      <c r="A171" s="106"/>
      <c r="B171" s="420"/>
      <c r="C171" s="420"/>
      <c r="D171" s="420"/>
      <c r="E171" s="420"/>
      <c r="F171" s="420"/>
      <c r="G171" s="420"/>
      <c r="H171" s="554"/>
      <c r="I171" s="40"/>
      <c r="J171" s="40"/>
      <c r="K171" s="40"/>
      <c r="L171" s="40"/>
      <c r="M171" s="40"/>
      <c r="N171" s="40"/>
      <c r="O171" s="40"/>
      <c r="P171" s="40"/>
      <c r="Q171" s="40"/>
      <c r="R171" s="40"/>
      <c r="S171" s="40"/>
      <c r="T171" s="40"/>
      <c r="U171" s="40"/>
      <c r="V171" s="119"/>
      <c r="W171" s="114"/>
      <c r="X171" s="56"/>
      <c r="Y171" s="56"/>
      <c r="Z171" s="56"/>
      <c r="AA171" s="56"/>
      <c r="AB171" s="56"/>
      <c r="AC171" s="56"/>
      <c r="AD171" s="56"/>
      <c r="AE171" s="57"/>
      <c r="AF171" s="56"/>
      <c r="AG171" s="56"/>
      <c r="AH171" s="52"/>
      <c r="AI171" s="52"/>
      <c r="AJ171" s="119"/>
      <c r="AK171" s="52"/>
      <c r="AL171" s="52"/>
      <c r="AM171" s="52"/>
      <c r="AN171" s="52"/>
      <c r="AO171" s="52"/>
      <c r="AP171" s="52"/>
      <c r="AQ171" s="52"/>
      <c r="AR171" s="52"/>
      <c r="AS171" s="52"/>
      <c r="AT171" s="52"/>
      <c r="AU171" s="52"/>
      <c r="AV171" s="52"/>
      <c r="AW171" s="52"/>
      <c r="AX171" s="52"/>
      <c r="AY171" s="52"/>
      <c r="AZ171" s="52"/>
      <c r="BA171" s="52"/>
      <c r="BB171" s="52"/>
      <c r="BC171" s="52"/>
    </row>
    <row r="172" spans="1:55" ht="11.25" customHeight="1">
      <c r="A172" s="711"/>
      <c r="B172" s="712"/>
      <c r="C172" s="713"/>
      <c r="D172" s="713"/>
      <c r="E172" s="713"/>
      <c r="F172" s="152"/>
      <c r="G172" s="152"/>
      <c r="H172" s="714"/>
      <c r="I172" s="152"/>
      <c r="J172" s="152"/>
      <c r="K172" s="152"/>
      <c r="L172" s="152"/>
      <c r="M172" s="152"/>
      <c r="N172" s="152"/>
      <c r="O172" s="152"/>
      <c r="P172" s="152"/>
      <c r="Q172" s="152"/>
      <c r="R172" s="152"/>
      <c r="S172" s="859"/>
      <c r="T172" s="151"/>
      <c r="U172" s="151"/>
      <c r="V172" s="865"/>
      <c r="W172" s="114"/>
      <c r="AE172" s="57"/>
      <c r="AH172" s="52"/>
      <c r="AJ172" s="119"/>
    </row>
    <row r="173" spans="1:55" ht="11.25" customHeight="1">
      <c r="J173" s="52"/>
      <c r="V173" s="52"/>
      <c r="W173" s="869"/>
      <c r="X173" s="135"/>
      <c r="Y173" s="135"/>
      <c r="Z173" s="135"/>
      <c r="AA173" s="135"/>
      <c r="AB173" s="135"/>
      <c r="AC173" s="135"/>
      <c r="AD173" s="135"/>
      <c r="AE173" s="868"/>
      <c r="AF173" s="135"/>
      <c r="AG173" s="135"/>
      <c r="AH173" s="136"/>
      <c r="AI173" s="136"/>
      <c r="AJ173" s="136"/>
    </row>
    <row r="174" spans="1:55" ht="11.25" customHeight="1">
      <c r="J174" s="52"/>
      <c r="V174" s="52"/>
      <c r="AE174" s="57"/>
      <c r="AH174" s="52"/>
    </row>
    <row r="175" spans="1:55" ht="11.25" customHeight="1">
      <c r="J175" s="52"/>
      <c r="V175" s="52"/>
      <c r="AE175" s="57"/>
      <c r="AH175" s="52"/>
    </row>
    <row r="176" spans="1:55" ht="11.25" customHeight="1">
      <c r="J176" s="52"/>
      <c r="V176" s="52"/>
      <c r="AE176" s="57"/>
      <c r="AH176" s="52"/>
    </row>
    <row r="177" spans="10:34" ht="11.25" customHeight="1">
      <c r="J177" s="52"/>
      <c r="V177" s="52"/>
      <c r="AE177" s="57"/>
      <c r="AH177" s="52"/>
    </row>
    <row r="178" spans="10:34" ht="11.25" customHeight="1">
      <c r="J178" s="52"/>
      <c r="V178" s="52"/>
      <c r="AE178" s="57"/>
      <c r="AH178" s="52"/>
    </row>
    <row r="179" spans="10:34" ht="11.25" customHeight="1">
      <c r="J179" s="52"/>
      <c r="V179" s="52"/>
      <c r="AE179" s="57"/>
      <c r="AH179" s="52"/>
    </row>
    <row r="180" spans="10:34" ht="11.25" customHeight="1">
      <c r="J180" s="52"/>
      <c r="V180" s="52"/>
      <c r="AE180" s="57"/>
      <c r="AH180" s="52"/>
    </row>
    <row r="181" spans="10:34" ht="11.25" customHeight="1">
      <c r="J181" s="52"/>
      <c r="V181" s="52"/>
      <c r="AE181" s="57"/>
      <c r="AH181" s="52"/>
    </row>
    <row r="182" spans="10:34" ht="11.25" customHeight="1">
      <c r="J182" s="52"/>
      <c r="V182" s="52"/>
      <c r="AE182" s="57"/>
      <c r="AH182" s="52"/>
    </row>
    <row r="183" spans="10:34" ht="11.25" customHeight="1">
      <c r="J183" s="52"/>
      <c r="V183" s="52"/>
      <c r="AE183" s="57"/>
      <c r="AH183" s="52"/>
    </row>
    <row r="184" spans="10:34" ht="11.25" customHeight="1">
      <c r="J184" s="52"/>
      <c r="V184" s="52"/>
      <c r="AE184" s="57"/>
      <c r="AH184" s="52"/>
    </row>
    <row r="295" spans="37:37" ht="11.25" customHeight="1">
      <c r="AK295" s="52" t="b">
        <v>1</v>
      </c>
    </row>
  </sheetData>
  <mergeCells count="43">
    <mergeCell ref="E8:E9"/>
    <mergeCell ref="D8:D9"/>
    <mergeCell ref="S7:T9"/>
    <mergeCell ref="B103:H104"/>
    <mergeCell ref="Q62:T62"/>
    <mergeCell ref="Q61:T61"/>
    <mergeCell ref="L62:O62"/>
    <mergeCell ref="L61:O61"/>
    <mergeCell ref="A100:U100"/>
    <mergeCell ref="A101:U101"/>
    <mergeCell ref="K8:K9"/>
    <mergeCell ref="A67:U67"/>
    <mergeCell ref="A68:U68"/>
    <mergeCell ref="H8:H9"/>
    <mergeCell ref="G8:G9"/>
    <mergeCell ref="B1:O3"/>
    <mergeCell ref="Z8:Z10"/>
    <mergeCell ref="B5:T6"/>
    <mergeCell ref="B7:B10"/>
    <mergeCell ref="D7:H7"/>
    <mergeCell ref="I7:I10"/>
    <mergeCell ref="Q7:Q10"/>
    <mergeCell ref="K7:P7"/>
    <mergeCell ref="O10:P10"/>
    <mergeCell ref="Y7:Z7"/>
    <mergeCell ref="Y8:Y10"/>
    <mergeCell ref="O8:P9"/>
    <mergeCell ref="N8:N9"/>
    <mergeCell ref="M8:M9"/>
    <mergeCell ref="L8:L9"/>
    <mergeCell ref="F8:F9"/>
    <mergeCell ref="AA7:AE7"/>
    <mergeCell ref="AF7:AH8"/>
    <mergeCell ref="AW35:BA35"/>
    <mergeCell ref="AR35:AV35"/>
    <mergeCell ref="Y133:Y134"/>
    <mergeCell ref="A133:U133"/>
    <mergeCell ref="A134:U134"/>
    <mergeCell ref="B70:I71"/>
    <mergeCell ref="A34:U34"/>
    <mergeCell ref="A35:U35"/>
    <mergeCell ref="B72:B73"/>
    <mergeCell ref="B105:B106"/>
  </mergeCells>
  <conditionalFormatting sqref="A1:A134">
    <cfRule type="containsErrors" dxfId="62" priority="36">
      <formula>ISERROR(A1)</formula>
    </cfRule>
  </conditionalFormatting>
  <conditionalFormatting sqref="A11:A30 A74:A92 A107:A125">
    <cfRule type="cellIs" dxfId="61" priority="55" operator="equal">
      <formula>0</formula>
    </cfRule>
  </conditionalFormatting>
  <conditionalFormatting sqref="A35">
    <cfRule type="cellIs" dxfId="60" priority="41" operator="equal">
      <formula>0</formula>
    </cfRule>
  </conditionalFormatting>
  <conditionalFormatting sqref="A68">
    <cfRule type="cellIs" dxfId="59" priority="39" operator="equal">
      <formula>0</formula>
    </cfRule>
  </conditionalFormatting>
  <conditionalFormatting sqref="A101">
    <cfRule type="cellIs" dxfId="58" priority="37" operator="equal">
      <formula>0</formula>
    </cfRule>
  </conditionalFormatting>
  <conditionalFormatting sqref="A134">
    <cfRule type="cellIs" dxfId="57" priority="35" operator="equal">
      <formula>0</formula>
    </cfRule>
  </conditionalFormatting>
  <conditionalFormatting sqref="A185:A1048576">
    <cfRule type="containsErrors" dxfId="56" priority="51">
      <formula>ISERROR(A185)</formula>
    </cfRule>
  </conditionalFormatting>
  <conditionalFormatting sqref="B11:B29 D11:I29 Q11:Q29 S11:T29 K11:P31 B48:C63 B107:B125 D107:H125 Y135:AD158">
    <cfRule type="expression" dxfId="55" priority="65">
      <formula>$B11=$Y$4</formula>
    </cfRule>
  </conditionalFormatting>
  <conditionalFormatting sqref="B74:B92 D74:H92">
    <cfRule type="containsErrors" dxfId="54" priority="5416">
      <formula>ISERROR(B74)</formula>
    </cfRule>
    <cfRule type="expression" dxfId="53" priority="5415">
      <formula>$B74=$Y$4</formula>
    </cfRule>
  </conditionalFormatting>
  <conditionalFormatting sqref="D93">
    <cfRule type="containsErrors" dxfId="52" priority="2">
      <formula>ISERROR(D93)</formula>
    </cfRule>
  </conditionalFormatting>
  <conditionalFormatting sqref="D126">
    <cfRule type="containsErrors" dxfId="51" priority="3">
      <formula>ISERROR(D126)</formula>
    </cfRule>
  </conditionalFormatting>
  <conditionalFormatting sqref="D8:H8">
    <cfRule type="containsErrors" dxfId="50" priority="29">
      <formula>ISERROR(D8)</formula>
    </cfRule>
  </conditionalFormatting>
  <conditionalFormatting sqref="D10:H10">
    <cfRule type="containsErrors" dxfId="49" priority="31">
      <formula>ISERROR(D10)</formula>
    </cfRule>
  </conditionalFormatting>
  <conditionalFormatting sqref="D72:H72">
    <cfRule type="containsErrors" dxfId="48" priority="13">
      <formula>ISERROR(D72)</formula>
    </cfRule>
  </conditionalFormatting>
  <conditionalFormatting sqref="D73:H73">
    <cfRule type="containsErrors" dxfId="47" priority="14">
      <formula>ISERROR(D73)</formula>
    </cfRule>
  </conditionalFormatting>
  <conditionalFormatting sqref="D94:H94">
    <cfRule type="containsErrors" dxfId="46" priority="46">
      <formula>ISERROR(D94)</formula>
    </cfRule>
  </conditionalFormatting>
  <conditionalFormatting sqref="D105:H105">
    <cfRule type="containsErrors" dxfId="45" priority="11">
      <formula>ISERROR(D105)</formula>
    </cfRule>
  </conditionalFormatting>
  <conditionalFormatting sqref="D106:H106">
    <cfRule type="containsErrors" dxfId="44" priority="12">
      <formula>ISERROR(D106)</formula>
    </cfRule>
  </conditionalFormatting>
  <conditionalFormatting sqref="D127:H127">
    <cfRule type="containsErrors" dxfId="43" priority="48">
      <formula>ISERROR(D127)</formula>
    </cfRule>
  </conditionalFormatting>
  <conditionalFormatting sqref="D11:I29 Q11:Q29 K11:P31 B11:B29 S11:T29 AF11:AG29 B48:C63 B107:B125 D107:H125">
    <cfRule type="containsErrors" dxfId="42" priority="66">
      <formula>ISERROR(B11)</formula>
    </cfRule>
  </conditionalFormatting>
  <conditionalFormatting sqref="I11:I29 Q11:Q29">
    <cfRule type="containsErrors" dxfId="41" priority="60">
      <formula>ISERROR(I11)</formula>
    </cfRule>
  </conditionalFormatting>
  <conditionalFormatting sqref="K8:O8">
    <cfRule type="containsErrors" dxfId="40" priority="1">
      <formula>ISERROR(K8)</formula>
    </cfRule>
  </conditionalFormatting>
  <conditionalFormatting sqref="K10:O10">
    <cfRule type="containsErrors" dxfId="39" priority="1303">
      <formula>ISERROR(K10)</formula>
    </cfRule>
  </conditionalFormatting>
  <conditionalFormatting sqref="P11:P31">
    <cfRule type="dataBar" priority="5404">
      <dataBar showValue="0">
        <cfvo type="num" val="0.85"/>
        <cfvo type="max"/>
        <color theme="9"/>
      </dataBar>
      <extLst>
        <ext xmlns:x14="http://schemas.microsoft.com/office/spreadsheetml/2009/9/main" uri="{B025F937-C7B1-47D3-B67F-A62EFF666E3E}">
          <x14:id>{F2B3ACE2-CE22-4801-B993-56AFF5F16A5D}</x14:id>
        </ext>
      </extLst>
    </cfRule>
  </conditionalFormatting>
  <conditionalFormatting sqref="P30:P31">
    <cfRule type="containsErrors" dxfId="38" priority="18">
      <formula>ISERROR(P30)</formula>
    </cfRule>
  </conditionalFormatting>
  <conditionalFormatting sqref="T31">
    <cfRule type="containsErrors" dxfId="37" priority="44">
      <formula>ISERROR(T31)</formula>
    </cfRule>
  </conditionalFormatting>
  <conditionalFormatting sqref="X2:AC3">
    <cfRule type="containsErrors" dxfId="36" priority="20">
      <formula>ISERROR(X2)</formula>
    </cfRule>
  </conditionalFormatting>
  <conditionalFormatting sqref="Y135:AD158">
    <cfRule type="containsErrors" dxfId="35" priority="8">
      <formula>ISERROR(Y135)</formula>
    </cfRule>
  </conditionalFormatting>
  <conditionalFormatting sqref="Z133:AD133">
    <cfRule type="containsErrors" dxfId="34" priority="4">
      <formula>ISERROR(Z133)</formula>
    </cfRule>
  </conditionalFormatting>
  <conditionalFormatting sqref="Z134:AD134">
    <cfRule type="containsErrors" dxfId="33" priority="5">
      <formula>ISERROR(Z134)</formula>
    </cfRule>
  </conditionalFormatting>
  <conditionalFormatting sqref="AF11:AG22 AG12:AG23">
    <cfRule type="expression" dxfId="32" priority="49">
      <formula>$B11=$W$4</formula>
    </cfRule>
  </conditionalFormatting>
  <conditionalFormatting sqref="AG24">
    <cfRule type="expression" dxfId="31" priority="5400">
      <formula>#REF!=$W$4</formula>
    </cfRule>
  </conditionalFormatting>
  <conditionalFormatting sqref="AG25:AG27">
    <cfRule type="expression" dxfId="30" priority="5318">
      <formula>$B24=$W$4</formula>
    </cfRule>
  </conditionalFormatting>
  <conditionalFormatting sqref="AG28">
    <cfRule type="expression" dxfId="29" priority="2697">
      <formula>#REF!=$W$4</formula>
    </cfRule>
  </conditionalFormatting>
  <conditionalFormatting sqref="AG29">
    <cfRule type="expression" dxfId="28" priority="2696">
      <formula>$B26=$W$4</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3" manualBreakCount="3">
    <brk id="35" max="20" man="1"/>
    <brk id="68" max="20" man="1"/>
    <brk id="101" max="20" man="1"/>
  </rowBreaks>
  <drawing r:id="rId2"/>
  <legacyDrawing r:id="rId3"/>
  <mc:AlternateContent xmlns:mc="http://schemas.openxmlformats.org/markup-compatibility/2006">
    <mc:Choice Requires="x14">
      <controls>
        <mc:AlternateContent xmlns:mc="http://schemas.openxmlformats.org/markup-compatibility/2006">
          <mc:Choice Requires="x14">
            <control shapeId="169985" r:id="rId4" name="Check Box 1">
              <controlPr defaultSize="0" autoFill="0" autoLine="0" autoPict="0" macro="[0]!CheckBox1_Click" altText="">
                <anchor>
                  <from>
                    <xdr:col>22</xdr:col>
                    <xdr:colOff>104775</xdr:colOff>
                    <xdr:row>36</xdr:row>
                    <xdr:rowOff>19050</xdr:rowOff>
                  </from>
                  <to>
                    <xdr:col>35</xdr:col>
                    <xdr:colOff>76200</xdr:colOff>
                    <xdr:row>38</xdr:row>
                    <xdr:rowOff>0</xdr:rowOff>
                  </to>
                </anchor>
              </controlPr>
            </control>
          </mc:Choice>
        </mc:AlternateContent>
        <mc:AlternateContent xmlns:mc="http://schemas.openxmlformats.org/markup-compatibility/2006">
          <mc:Choice Requires="x14">
            <control shapeId="169986" r:id="rId5" name="Check Box 2">
              <controlPr defaultSize="0" autoFill="0" autoLine="0" autoPict="0" macro="[0]!CheckBox1_Click" altText="">
                <anchor>
                  <from>
                    <xdr:col>22</xdr:col>
                    <xdr:colOff>104775</xdr:colOff>
                    <xdr:row>37</xdr:row>
                    <xdr:rowOff>142875</xdr:rowOff>
                  </from>
                  <to>
                    <xdr:col>35</xdr:col>
                    <xdr:colOff>76200</xdr:colOff>
                    <xdr:row>39</xdr:row>
                    <xdr:rowOff>0</xdr:rowOff>
                  </to>
                </anchor>
              </controlPr>
            </control>
          </mc:Choice>
        </mc:AlternateContent>
        <mc:AlternateContent xmlns:mc="http://schemas.openxmlformats.org/markup-compatibility/2006">
          <mc:Choice Requires="x14">
            <control shapeId="169987" r:id="rId6" name="Check Box 3">
              <controlPr defaultSize="0" autoFill="0" autoLine="0" autoPict="0" macro="[0]!CheckBox1_Click" altText="">
                <anchor>
                  <from>
                    <xdr:col>22</xdr:col>
                    <xdr:colOff>104775</xdr:colOff>
                    <xdr:row>38</xdr:row>
                    <xdr:rowOff>142875</xdr:rowOff>
                  </from>
                  <to>
                    <xdr:col>35</xdr:col>
                    <xdr:colOff>76200</xdr:colOff>
                    <xdr:row>40</xdr:row>
                    <xdr:rowOff>0</xdr:rowOff>
                  </to>
                </anchor>
              </controlPr>
            </control>
          </mc:Choice>
        </mc:AlternateContent>
        <mc:AlternateContent xmlns:mc="http://schemas.openxmlformats.org/markup-compatibility/2006">
          <mc:Choice Requires="x14">
            <control shapeId="169988" r:id="rId7" name="Check Box 4">
              <controlPr defaultSize="0" autoFill="0" autoLine="0" autoPict="0" macro="[0]!CheckBox1_Click" altText="">
                <anchor>
                  <from>
                    <xdr:col>22</xdr:col>
                    <xdr:colOff>104775</xdr:colOff>
                    <xdr:row>39</xdr:row>
                    <xdr:rowOff>142875</xdr:rowOff>
                  </from>
                  <to>
                    <xdr:col>35</xdr:col>
                    <xdr:colOff>76200</xdr:colOff>
                    <xdr:row>41</xdr:row>
                    <xdr:rowOff>0</xdr:rowOff>
                  </to>
                </anchor>
              </controlPr>
            </control>
          </mc:Choice>
        </mc:AlternateContent>
        <mc:AlternateContent xmlns:mc="http://schemas.openxmlformats.org/markup-compatibility/2006">
          <mc:Choice Requires="x14">
            <control shapeId="169989" r:id="rId8" name="Check Box 5">
              <controlPr defaultSize="0" autoFill="0" autoLine="0" autoPict="0" macro="[0]!CheckBox1_Click" altText="">
                <anchor>
                  <from>
                    <xdr:col>22</xdr:col>
                    <xdr:colOff>104775</xdr:colOff>
                    <xdr:row>40</xdr:row>
                    <xdr:rowOff>142875</xdr:rowOff>
                  </from>
                  <to>
                    <xdr:col>35</xdr:col>
                    <xdr:colOff>76200</xdr:colOff>
                    <xdr:row>42</xdr:row>
                    <xdr:rowOff>0</xdr:rowOff>
                  </to>
                </anchor>
              </controlPr>
            </control>
          </mc:Choice>
        </mc:AlternateContent>
        <mc:AlternateContent xmlns:mc="http://schemas.openxmlformats.org/markup-compatibility/2006">
          <mc:Choice Requires="x14">
            <control shapeId="169990" r:id="rId9" name="Check Box 6">
              <controlPr defaultSize="0" autoFill="0" autoLine="0" autoPict="0" macro="[0]!CheckBox1_Click" altText="">
                <anchor>
                  <from>
                    <xdr:col>22</xdr:col>
                    <xdr:colOff>104775</xdr:colOff>
                    <xdr:row>41</xdr:row>
                    <xdr:rowOff>142875</xdr:rowOff>
                  </from>
                  <to>
                    <xdr:col>35</xdr:col>
                    <xdr:colOff>76200</xdr:colOff>
                    <xdr:row>43</xdr:row>
                    <xdr:rowOff>0</xdr:rowOff>
                  </to>
                </anchor>
              </controlPr>
            </control>
          </mc:Choice>
        </mc:AlternateContent>
        <mc:AlternateContent xmlns:mc="http://schemas.openxmlformats.org/markup-compatibility/2006">
          <mc:Choice Requires="x14">
            <control shapeId="169991" r:id="rId10" name="Check Box 7">
              <controlPr defaultSize="0" autoFill="0" autoLine="0" autoPict="0" macro="[0]!CheckBox1_Click" altText="">
                <anchor>
                  <from>
                    <xdr:col>22</xdr:col>
                    <xdr:colOff>104775</xdr:colOff>
                    <xdr:row>42</xdr:row>
                    <xdr:rowOff>142875</xdr:rowOff>
                  </from>
                  <to>
                    <xdr:col>35</xdr:col>
                    <xdr:colOff>76200</xdr:colOff>
                    <xdr:row>44</xdr:row>
                    <xdr:rowOff>0</xdr:rowOff>
                  </to>
                </anchor>
              </controlPr>
            </control>
          </mc:Choice>
        </mc:AlternateContent>
        <mc:AlternateContent xmlns:mc="http://schemas.openxmlformats.org/markup-compatibility/2006">
          <mc:Choice Requires="x14">
            <control shapeId="169992" r:id="rId11" name="Check Box 8">
              <controlPr defaultSize="0" autoFill="0" autoLine="0" autoPict="0" macro="[0]!CheckBox1_Click" altText="">
                <anchor>
                  <from>
                    <xdr:col>22</xdr:col>
                    <xdr:colOff>104775</xdr:colOff>
                    <xdr:row>43</xdr:row>
                    <xdr:rowOff>142875</xdr:rowOff>
                  </from>
                  <to>
                    <xdr:col>35</xdr:col>
                    <xdr:colOff>76200</xdr:colOff>
                    <xdr:row>45</xdr:row>
                    <xdr:rowOff>0</xdr:rowOff>
                  </to>
                </anchor>
              </controlPr>
            </control>
          </mc:Choice>
        </mc:AlternateContent>
        <mc:AlternateContent xmlns:mc="http://schemas.openxmlformats.org/markup-compatibility/2006">
          <mc:Choice Requires="x14">
            <control shapeId="169993" r:id="rId12" name="Check Box 9">
              <controlPr defaultSize="0" autoFill="0" autoLine="0" autoPict="0" macro="[0]!CheckBox1_Click" altText="">
                <anchor>
                  <from>
                    <xdr:col>22</xdr:col>
                    <xdr:colOff>104775</xdr:colOff>
                    <xdr:row>44</xdr:row>
                    <xdr:rowOff>142875</xdr:rowOff>
                  </from>
                  <to>
                    <xdr:col>35</xdr:col>
                    <xdr:colOff>76200</xdr:colOff>
                    <xdr:row>46</xdr:row>
                    <xdr:rowOff>0</xdr:rowOff>
                  </to>
                </anchor>
              </controlPr>
            </control>
          </mc:Choice>
        </mc:AlternateContent>
        <mc:AlternateContent xmlns:mc="http://schemas.openxmlformats.org/markup-compatibility/2006">
          <mc:Choice Requires="x14">
            <control shapeId="169994" r:id="rId13" name="Check Box 10">
              <controlPr defaultSize="0" autoFill="0" autoLine="0" autoPict="0" macro="[0]!CheckBox1_Click" altText="">
                <anchor>
                  <from>
                    <xdr:col>22</xdr:col>
                    <xdr:colOff>104775</xdr:colOff>
                    <xdr:row>45</xdr:row>
                    <xdr:rowOff>142875</xdr:rowOff>
                  </from>
                  <to>
                    <xdr:col>35</xdr:col>
                    <xdr:colOff>76200</xdr:colOff>
                    <xdr:row>47</xdr:row>
                    <xdr:rowOff>0</xdr:rowOff>
                  </to>
                </anchor>
              </controlPr>
            </control>
          </mc:Choice>
        </mc:AlternateContent>
        <mc:AlternateContent xmlns:mc="http://schemas.openxmlformats.org/markup-compatibility/2006">
          <mc:Choice Requires="x14">
            <control shapeId="169995" r:id="rId14" name="Check Box 11">
              <controlPr defaultSize="0" autoFill="0" autoLine="0" autoPict="0" macro="[0]!CheckBox1_Click" altText="">
                <anchor>
                  <from>
                    <xdr:col>22</xdr:col>
                    <xdr:colOff>104775</xdr:colOff>
                    <xdr:row>46</xdr:row>
                    <xdr:rowOff>142875</xdr:rowOff>
                  </from>
                  <to>
                    <xdr:col>35</xdr:col>
                    <xdr:colOff>76200</xdr:colOff>
                    <xdr:row>48</xdr:row>
                    <xdr:rowOff>0</xdr:rowOff>
                  </to>
                </anchor>
              </controlPr>
            </control>
          </mc:Choice>
        </mc:AlternateContent>
        <mc:AlternateContent xmlns:mc="http://schemas.openxmlformats.org/markup-compatibility/2006">
          <mc:Choice Requires="x14">
            <control shapeId="169996" r:id="rId15" name="Check Box 12">
              <controlPr defaultSize="0" autoFill="0" autoLine="0" autoPict="0" macro="[0]!CheckBox1_Click" altText="">
                <anchor>
                  <from>
                    <xdr:col>22</xdr:col>
                    <xdr:colOff>104775</xdr:colOff>
                    <xdr:row>47</xdr:row>
                    <xdr:rowOff>142875</xdr:rowOff>
                  </from>
                  <to>
                    <xdr:col>35</xdr:col>
                    <xdr:colOff>76200</xdr:colOff>
                    <xdr:row>49</xdr:row>
                    <xdr:rowOff>0</xdr:rowOff>
                  </to>
                </anchor>
              </controlPr>
            </control>
          </mc:Choice>
        </mc:AlternateContent>
        <mc:AlternateContent xmlns:mc="http://schemas.openxmlformats.org/markup-compatibility/2006">
          <mc:Choice Requires="x14">
            <control shapeId="169997" r:id="rId16" name="Check Box 13">
              <controlPr defaultSize="0" autoFill="0" autoLine="0" autoPict="0" macro="[0]!CheckBox1_Click" altText="">
                <anchor>
                  <from>
                    <xdr:col>22</xdr:col>
                    <xdr:colOff>104775</xdr:colOff>
                    <xdr:row>48</xdr:row>
                    <xdr:rowOff>142875</xdr:rowOff>
                  </from>
                  <to>
                    <xdr:col>35</xdr:col>
                    <xdr:colOff>76200</xdr:colOff>
                    <xdr:row>50</xdr:row>
                    <xdr:rowOff>0</xdr:rowOff>
                  </to>
                </anchor>
              </controlPr>
            </control>
          </mc:Choice>
        </mc:AlternateContent>
        <mc:AlternateContent xmlns:mc="http://schemas.openxmlformats.org/markup-compatibility/2006">
          <mc:Choice Requires="x14">
            <control shapeId="169999" r:id="rId17" name="Check Box 15">
              <controlPr defaultSize="0" autoFill="0" autoLine="0" autoPict="0" macro="[0]!CheckBox1_Click" altText="">
                <anchor>
                  <from>
                    <xdr:col>22</xdr:col>
                    <xdr:colOff>104775</xdr:colOff>
                    <xdr:row>49</xdr:row>
                    <xdr:rowOff>152400</xdr:rowOff>
                  </from>
                  <to>
                    <xdr:col>35</xdr:col>
                    <xdr:colOff>76200</xdr:colOff>
                    <xdr:row>51</xdr:row>
                    <xdr:rowOff>9525</xdr:rowOff>
                  </to>
                </anchor>
              </controlPr>
            </control>
          </mc:Choice>
        </mc:AlternateContent>
        <mc:AlternateContent xmlns:mc="http://schemas.openxmlformats.org/markup-compatibility/2006">
          <mc:Choice Requires="x14">
            <control shapeId="170000" r:id="rId18" name="Check Box 16">
              <controlPr defaultSize="0" autoFill="0" autoLine="0" autoPict="0" macro="[0]!CheckBox1_Click" altText="">
                <anchor>
                  <from>
                    <xdr:col>22</xdr:col>
                    <xdr:colOff>104775</xdr:colOff>
                    <xdr:row>50</xdr:row>
                    <xdr:rowOff>152400</xdr:rowOff>
                  </from>
                  <to>
                    <xdr:col>35</xdr:col>
                    <xdr:colOff>76200</xdr:colOff>
                    <xdr:row>52</xdr:row>
                    <xdr:rowOff>9525</xdr:rowOff>
                  </to>
                </anchor>
              </controlPr>
            </control>
          </mc:Choice>
        </mc:AlternateContent>
        <mc:AlternateContent xmlns:mc="http://schemas.openxmlformats.org/markup-compatibility/2006">
          <mc:Choice Requires="x14">
            <control shapeId="170001" r:id="rId19" name="Check Box 17">
              <controlPr defaultSize="0" autoFill="0" autoLine="0" autoPict="0" macro="[0]!CheckBox1_Click" altText="">
                <anchor>
                  <from>
                    <xdr:col>22</xdr:col>
                    <xdr:colOff>104775</xdr:colOff>
                    <xdr:row>51</xdr:row>
                    <xdr:rowOff>161925</xdr:rowOff>
                  </from>
                  <to>
                    <xdr:col>35</xdr:col>
                    <xdr:colOff>76200</xdr:colOff>
                    <xdr:row>53</xdr:row>
                    <xdr:rowOff>19050</xdr:rowOff>
                  </to>
                </anchor>
              </controlPr>
            </control>
          </mc:Choice>
        </mc:AlternateContent>
        <mc:AlternateContent xmlns:mc="http://schemas.openxmlformats.org/markup-compatibility/2006">
          <mc:Choice Requires="x14">
            <control shapeId="170002" r:id="rId20" name="Check Box 18">
              <controlPr defaultSize="0" autoFill="0" autoLine="0" autoPict="0" macro="[0]!CheckBox1_Click" altText="">
                <anchor>
                  <from>
                    <xdr:col>22</xdr:col>
                    <xdr:colOff>104775</xdr:colOff>
                    <xdr:row>52</xdr:row>
                    <xdr:rowOff>161925</xdr:rowOff>
                  </from>
                  <to>
                    <xdr:col>35</xdr:col>
                    <xdr:colOff>76200</xdr:colOff>
                    <xdr:row>54</xdr:row>
                    <xdr:rowOff>19050</xdr:rowOff>
                  </to>
                </anchor>
              </controlPr>
            </control>
          </mc:Choice>
        </mc:AlternateContent>
        <mc:AlternateContent xmlns:mc="http://schemas.openxmlformats.org/markup-compatibility/2006">
          <mc:Choice Requires="x14">
            <control shapeId="170003" r:id="rId21" name="Check Box 19">
              <controlPr defaultSize="0" autoFill="0" autoLine="0" autoPict="0" macro="[0]!CheckBox1_Click" altText="">
                <anchor>
                  <from>
                    <xdr:col>22</xdr:col>
                    <xdr:colOff>104775</xdr:colOff>
                    <xdr:row>53</xdr:row>
                    <xdr:rowOff>161925</xdr:rowOff>
                  </from>
                  <to>
                    <xdr:col>35</xdr:col>
                    <xdr:colOff>76200</xdr:colOff>
                    <xdr:row>55</xdr:row>
                    <xdr:rowOff>19050</xdr:rowOff>
                  </to>
                </anchor>
              </controlPr>
            </control>
          </mc:Choice>
        </mc:AlternateContent>
        <mc:AlternateContent xmlns:mc="http://schemas.openxmlformats.org/markup-compatibility/2006">
          <mc:Choice Requires="x14">
            <control shapeId="170004" r:id="rId22" name="Check Box 20">
              <controlPr defaultSize="0" autoFill="0" autoLine="0" autoPict="0" macro="[0]!CheckBox1_Click" altText="">
                <anchor>
                  <from>
                    <xdr:col>22</xdr:col>
                    <xdr:colOff>104775</xdr:colOff>
                    <xdr:row>54</xdr:row>
                    <xdr:rowOff>161925</xdr:rowOff>
                  </from>
                  <to>
                    <xdr:col>35</xdr:col>
                    <xdr:colOff>76200</xdr:colOff>
                    <xdr:row>56</xdr:row>
                    <xdr:rowOff>19050</xdr:rowOff>
                  </to>
                </anchor>
              </controlPr>
            </control>
          </mc:Choice>
        </mc:AlternateContent>
        <mc:AlternateContent xmlns:mc="http://schemas.openxmlformats.org/markup-compatibility/2006">
          <mc:Choice Requires="x14">
            <control shapeId="170005" r:id="rId23" name="Check Box 21">
              <controlPr defaultSize="0" autoFill="0" autoLine="0" autoPict="0" macro="[0]!CheckBox1_Click" altText="">
                <anchor>
                  <from>
                    <xdr:col>22</xdr:col>
                    <xdr:colOff>104775</xdr:colOff>
                    <xdr:row>55</xdr:row>
                    <xdr:rowOff>161925</xdr:rowOff>
                  </from>
                  <to>
                    <xdr:col>35</xdr:col>
                    <xdr:colOff>76200</xdr:colOff>
                    <xdr:row>57</xdr:row>
                    <xdr:rowOff>19050</xdr:rowOff>
                  </to>
                </anchor>
              </controlPr>
            </control>
          </mc:Choice>
        </mc:AlternateContent>
        <mc:AlternateContent xmlns:mc="http://schemas.openxmlformats.org/markup-compatibility/2006">
          <mc:Choice Requires="x14">
            <control shapeId="170008" r:id="rId24" name="Check Box 24">
              <controlPr defaultSize="0" autoFill="0" autoLine="0" autoPict="0" macro="[0]!CheckBox1_Click" altText="">
                <anchor>
                  <from>
                    <xdr:col>22</xdr:col>
                    <xdr:colOff>104775</xdr:colOff>
                    <xdr:row>56</xdr:row>
                    <xdr:rowOff>161925</xdr:rowOff>
                  </from>
                  <to>
                    <xdr:col>35</xdr:col>
                    <xdr:colOff>76200</xdr:colOff>
                    <xdr:row>58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F2B3ACE2-CE22-4801-B993-56AFF5F16A5D}">
            <x14:dataBar minLength="0" maxLength="100" gradient="0" direction="leftToRight" negativeBarColorSameAsPositive="1">
              <x14:cfvo type="num">
                <xm:f>0.85</xm:f>
              </x14:cfvo>
              <x14:cfvo type="autoMax"/>
              <x14:axisColor rgb="FF000000"/>
            </x14:dataBar>
          </x14:cfRule>
          <xm:sqref>P11:P31</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3">
    <tabColor rgb="FFFFC000"/>
  </sheetPr>
  <dimension ref="A1:BX260"/>
  <sheetViews>
    <sheetView showGridLines="0" showRowColHeaders="0" workbookViewId="0"/>
  </sheetViews>
  <sheetFormatPr defaultColWidth="9.140625" defaultRowHeight="11.25" customHeight="1"/>
  <cols>
    <col min="1" max="1" width="1.7109375" style="52" customWidth="1"/>
    <col min="2" max="2" width="19.42578125" style="52" customWidth="1"/>
    <col min="3" max="3" width="1.140625" style="52" customWidth="1"/>
    <col min="4" max="8" width="7.42578125" style="52" customWidth="1"/>
    <col min="9" max="9" width="8" style="52" customWidth="1"/>
    <col min="10" max="10" width="1.140625" customWidth="1"/>
    <col min="11" max="14" width="7.42578125" style="52" customWidth="1"/>
    <col min="15" max="15" width="7.28515625" style="52" customWidth="1"/>
    <col min="16" max="16" width="6" style="52" customWidth="1"/>
    <col min="17" max="17" width="6.5703125" style="52" customWidth="1"/>
    <col min="18" max="18" width="1.140625" style="52" customWidth="1"/>
    <col min="19" max="19" width="8.7109375" style="52" customWidth="1"/>
    <col min="20" max="20" width="8.140625" style="52" customWidth="1"/>
    <col min="21" max="21" width="1.7109375" style="52" customWidth="1"/>
    <col min="22" max="22" width="6.42578125" style="55" customWidth="1"/>
    <col min="23" max="23" width="4.85546875" style="55" customWidth="1"/>
    <col min="24" max="24" width="5" style="55" hidden="1" customWidth="1"/>
    <col min="25" max="25" width="4.85546875" style="55" hidden="1" customWidth="1"/>
    <col min="26" max="26" width="17.85546875" style="56" hidden="1" customWidth="1"/>
    <col min="27" max="27" width="30.85546875" style="56" customWidth="1"/>
    <col min="28" max="28" width="19.85546875" style="56" hidden="1" customWidth="1"/>
    <col min="29" max="30" width="16.5703125" style="56" hidden="1" customWidth="1"/>
    <col min="31" max="31" width="8.5703125" style="56" hidden="1" customWidth="1"/>
    <col min="32" max="32" width="17.42578125" style="56" hidden="1" customWidth="1"/>
    <col min="33" max="34" width="8.5703125" style="56" hidden="1" customWidth="1"/>
    <col min="35" max="35" width="17" style="56" hidden="1" customWidth="1"/>
    <col min="36" max="36" width="8.5703125" style="56" hidden="1" customWidth="1"/>
    <col min="37" max="38" width="17" style="56" hidden="1" customWidth="1"/>
    <col min="39" max="39" width="8.5703125" style="56" hidden="1" customWidth="1"/>
    <col min="40" max="40" width="14.42578125" style="56" hidden="1" customWidth="1"/>
    <col min="41" max="42" width="6.5703125" style="56" hidden="1" customWidth="1"/>
    <col min="43" max="43" width="6.5703125" style="52" hidden="1" customWidth="1"/>
    <col min="44" max="44" width="31.5703125" style="52" hidden="1" customWidth="1"/>
    <col min="45" max="45" width="17" style="52" hidden="1" customWidth="1"/>
    <col min="46" max="50" width="13.5703125" style="52" hidden="1" customWidth="1"/>
    <col min="51" max="51" width="9.140625" style="52" hidden="1" customWidth="1"/>
    <col min="52" max="76" width="9.140625" style="52" customWidth="1"/>
    <col min="77" max="16384" width="9.140625" style="52"/>
  </cols>
  <sheetData>
    <row r="1" spans="1:53" ht="18.75" customHeight="1" thickBot="1">
      <c r="A1" s="81"/>
      <c r="B1" s="2047" t="s">
        <v>1203</v>
      </c>
      <c r="C1" s="2047"/>
      <c r="D1" s="2047"/>
      <c r="E1" s="2047"/>
      <c r="F1" s="82"/>
      <c r="G1" s="82"/>
      <c r="H1" s="82"/>
      <c r="I1" s="82"/>
      <c r="J1" s="83"/>
      <c r="K1" s="82"/>
      <c r="L1" s="82"/>
      <c r="M1" s="82"/>
      <c r="N1" s="82"/>
      <c r="O1" s="82"/>
      <c r="P1" s="82"/>
      <c r="Q1" s="82"/>
      <c r="R1" s="82"/>
      <c r="S1" s="82"/>
      <c r="T1" s="82"/>
      <c r="U1" s="84"/>
      <c r="V1" s="207"/>
      <c r="W1" s="117"/>
      <c r="X1" s="1334"/>
      <c r="Y1" s="1334"/>
      <c r="AA1" s="122"/>
      <c r="AC1" s="135"/>
      <c r="AD1" s="534" t="str">
        <f>IF(ReportData!$C$3="Annual"," the year ending 31st March"," the quarter")</f>
        <v xml:space="preserve"> the year ending 31st March</v>
      </c>
      <c r="AE1" s="135"/>
      <c r="AF1" s="135"/>
      <c r="AG1" s="135"/>
      <c r="AH1" s="135"/>
      <c r="AI1" s="135"/>
      <c r="AJ1" s="135"/>
      <c r="AK1" s="135"/>
      <c r="AL1" s="135"/>
      <c r="AM1" s="135"/>
      <c r="AN1" s="135"/>
      <c r="AO1" s="135"/>
      <c r="AP1" s="135"/>
      <c r="AQ1" s="136"/>
      <c r="AR1" s="260"/>
    </row>
    <row r="2" spans="1:53" ht="18.75" customHeight="1">
      <c r="A2" s="87"/>
      <c r="B2" s="2048"/>
      <c r="C2" s="2048"/>
      <c r="D2" s="2048"/>
      <c r="E2" s="2048"/>
      <c r="F2" s="5"/>
      <c r="G2" s="5"/>
      <c r="H2" s="5"/>
      <c r="I2" s="5"/>
      <c r="J2" s="1"/>
      <c r="K2" s="5"/>
      <c r="L2" s="5"/>
      <c r="M2" s="5"/>
      <c r="N2" s="5"/>
      <c r="O2" s="5"/>
      <c r="P2" s="5"/>
      <c r="Q2" s="5"/>
      <c r="R2" s="5"/>
      <c r="S2" s="5"/>
      <c r="T2" s="5"/>
      <c r="U2" s="86"/>
      <c r="V2" s="122"/>
      <c r="W2" s="114"/>
      <c r="AA2" s="122"/>
      <c r="AC2" s="483">
        <f>IF(ReportData!$C$3="Annual",1,4)</f>
        <v>1</v>
      </c>
      <c r="AD2" s="461" t="str">
        <f>IF(ReportData!$C$3="Annual","",ReportData!$D$28)</f>
        <v/>
      </c>
      <c r="AE2" s="462" t="str">
        <f>IF(ReportData!$C$3="Annual","",ReportData!$E$28)</f>
        <v/>
      </c>
      <c r="AF2" s="462" t="str">
        <f>IF(ReportData!$C$3="Annual","",ReportData!$F$28)</f>
        <v/>
      </c>
      <c r="AG2" s="462" t="str">
        <f>IF(ReportData!$C$3="Annual","",ReportData!$G$28)</f>
        <v/>
      </c>
      <c r="AH2" s="463" t="str">
        <f>IF(ReportData!$C$3="Annual","",ReportData!$H$28)</f>
        <v/>
      </c>
      <c r="AR2" s="119"/>
    </row>
    <row r="3" spans="1:53" ht="18.75" customHeight="1" thickBot="1">
      <c r="A3" s="91"/>
      <c r="B3" s="2049"/>
      <c r="C3" s="2049"/>
      <c r="D3" s="2049"/>
      <c r="E3" s="2049"/>
      <c r="F3" s="92"/>
      <c r="G3" s="92"/>
      <c r="H3" s="92"/>
      <c r="I3" s="200"/>
      <c r="J3" s="93"/>
      <c r="K3" s="92"/>
      <c r="L3" s="92"/>
      <c r="M3" s="92"/>
      <c r="N3" s="92"/>
      <c r="O3" s="92"/>
      <c r="P3" s="329"/>
      <c r="Q3" s="92"/>
      <c r="R3" s="92"/>
      <c r="S3" s="200"/>
      <c r="T3" s="92"/>
      <c r="U3" s="94"/>
      <c r="V3" s="122"/>
      <c r="W3" s="114"/>
      <c r="AA3" s="122"/>
      <c r="AC3" s="464"/>
      <c r="AD3" s="464" t="str">
        <f>ReportData!$D$27</f>
        <v>2019/20</v>
      </c>
      <c r="AE3" s="465" t="str">
        <f>ReportData!$E$27</f>
        <v>2020/21</v>
      </c>
      <c r="AF3" s="465" t="str">
        <f>ReportData!$F$27</f>
        <v>2021/22</v>
      </c>
      <c r="AG3" s="465" t="str">
        <f>ReportData!$G$27</f>
        <v>2022/23</v>
      </c>
      <c r="AH3" s="466" t="str">
        <f>ReportData!$H$27</f>
        <v>2023/24</v>
      </c>
      <c r="AR3" s="119"/>
    </row>
    <row r="4" spans="1:53" ht="11.25" customHeight="1">
      <c r="A4" s="81"/>
      <c r="B4" s="82"/>
      <c r="C4" s="82"/>
      <c r="D4" s="82"/>
      <c r="E4" s="82"/>
      <c r="F4" s="82"/>
      <c r="G4" s="82"/>
      <c r="H4" s="82"/>
      <c r="I4" s="82"/>
      <c r="J4" s="83"/>
      <c r="K4" s="82"/>
      <c r="L4" s="82"/>
      <c r="M4" s="82"/>
      <c r="N4" s="82"/>
      <c r="O4" s="82"/>
      <c r="P4" s="82"/>
      <c r="Q4" s="82"/>
      <c r="R4" s="82"/>
      <c r="S4" s="82"/>
      <c r="T4" s="82"/>
      <c r="U4" s="84"/>
      <c r="V4" s="119"/>
      <c r="W4" s="114"/>
      <c r="AA4" s="122"/>
      <c r="AC4" s="140"/>
      <c r="AD4" s="140" t="str">
        <f>Home!$D$5</f>
        <v>(none)</v>
      </c>
      <c r="AE4" s="25" t="str">
        <f>"Selected LA- "&amp;AD4</f>
        <v>Selected LA- (none)</v>
      </c>
      <c r="AR4" s="119"/>
    </row>
    <row r="5" spans="1:53" ht="18.75" customHeight="1">
      <c r="A5" s="87"/>
      <c r="B5" s="1900" t="s">
        <v>1291</v>
      </c>
      <c r="C5" s="1900"/>
      <c r="D5" s="1900"/>
      <c r="E5" s="1900"/>
      <c r="F5" s="1900"/>
      <c r="G5" s="1900"/>
      <c r="H5" s="1900"/>
      <c r="I5" s="1900"/>
      <c r="J5" s="1900"/>
      <c r="K5" s="1900"/>
      <c r="L5" s="1900"/>
      <c r="M5" s="1900"/>
      <c r="N5" s="1900"/>
      <c r="O5" s="1900"/>
      <c r="P5" s="1900"/>
      <c r="Q5" s="1900"/>
      <c r="R5" s="1900"/>
      <c r="S5" s="1900"/>
      <c r="T5" s="1900"/>
      <c r="U5" s="86"/>
      <c r="V5" s="119"/>
      <c r="W5" s="114"/>
      <c r="Z5" s="52"/>
      <c r="AA5" s="119"/>
      <c r="AB5" s="52"/>
      <c r="AC5" s="52"/>
      <c r="AD5" s="52"/>
      <c r="AE5" s="52"/>
      <c r="AF5" s="52"/>
      <c r="AG5" s="52"/>
      <c r="AH5" s="52"/>
      <c r="AI5" s="52"/>
      <c r="AJ5" s="52"/>
      <c r="AK5" s="52"/>
      <c r="AL5" s="52"/>
      <c r="AM5" s="52"/>
      <c r="AN5" s="52"/>
      <c r="AO5" s="52"/>
      <c r="AP5" s="52"/>
      <c r="AR5" s="119"/>
    </row>
    <row r="6" spans="1:53" ht="18.75" customHeight="1">
      <c r="A6" s="87"/>
      <c r="B6" s="1900"/>
      <c r="C6" s="1900"/>
      <c r="D6" s="1900"/>
      <c r="E6" s="1900"/>
      <c r="F6" s="1900"/>
      <c r="G6" s="1900"/>
      <c r="H6" s="1900"/>
      <c r="I6" s="1900"/>
      <c r="J6" s="1900"/>
      <c r="K6" s="1900"/>
      <c r="L6" s="1900"/>
      <c r="M6" s="1900"/>
      <c r="N6" s="1900"/>
      <c r="O6" s="1900"/>
      <c r="P6" s="1900"/>
      <c r="Q6" s="1900"/>
      <c r="R6" s="1900"/>
      <c r="S6" s="1900"/>
      <c r="T6" s="1900"/>
      <c r="U6" s="86"/>
      <c r="V6" s="119"/>
      <c r="W6" s="114"/>
      <c r="AA6" s="122"/>
      <c r="AD6" s="141"/>
      <c r="AK6" s="52"/>
      <c r="AR6" s="119"/>
    </row>
    <row r="7" spans="1:53" s="61" customFormat="1" ht="13.5" customHeight="1">
      <c r="A7" s="88"/>
      <c r="B7" s="1749" t="s">
        <v>177</v>
      </c>
      <c r="C7" s="59"/>
      <c r="D7" s="1998" t="s">
        <v>84</v>
      </c>
      <c r="E7" s="1998"/>
      <c r="F7" s="1998"/>
      <c r="G7" s="1998"/>
      <c r="H7" s="1999"/>
      <c r="I7" s="1761" t="str">
        <f>"Average "&amp;ReportData!C3&amp;" Change "</f>
        <v xml:space="preserve">Average Annual Change </v>
      </c>
      <c r="J7" s="896"/>
      <c r="K7" s="2037" t="s">
        <v>597</v>
      </c>
      <c r="L7" s="2038"/>
      <c r="M7" s="2038"/>
      <c r="N7" s="2038"/>
      <c r="O7" s="2038"/>
      <c r="P7" s="2038"/>
      <c r="Q7" s="1761" t="str">
        <f>IF(ISNA(O8),"Rank "&amp;O10,"Rank "&amp;LEFT(O8,5)&amp;" "&amp;RIGHT(O8,2))</f>
        <v>Rank 2023/ 24</v>
      </c>
      <c r="R7" s="64"/>
      <c r="S7" s="1783" t="str">
        <f>"Distance from "&amp;ReportData!$B$8&amp;" Expected Rate based on IDACI"</f>
        <v>Distance from 2024 Expected Rate based on IDACI</v>
      </c>
      <c r="T7" s="1784"/>
      <c r="U7" s="89"/>
      <c r="V7" s="186"/>
      <c r="W7" s="115"/>
      <c r="X7" s="1319"/>
      <c r="Y7" s="1319"/>
      <c r="AA7" s="121"/>
      <c r="AD7" s="2015" t="s">
        <v>671</v>
      </c>
      <c r="AE7" s="2016"/>
      <c r="AF7" s="856" t="s">
        <v>76</v>
      </c>
      <c r="AG7" s="857"/>
      <c r="AH7" s="857"/>
      <c r="AI7" s="857"/>
      <c r="AJ7" s="858"/>
      <c r="AK7" s="52"/>
      <c r="AL7" s="154" t="s">
        <v>88</v>
      </c>
      <c r="AM7" s="141"/>
      <c r="AN7" s="141"/>
      <c r="AQ7" s="52"/>
      <c r="AR7" s="119"/>
      <c r="AS7" s="52"/>
      <c r="AT7" s="52"/>
      <c r="AU7" s="52"/>
      <c r="AV7" s="52"/>
      <c r="AW7" s="52"/>
      <c r="AX7" s="52"/>
      <c r="AY7" s="52"/>
    </row>
    <row r="8" spans="1:53" s="61" customFormat="1" ht="13.5" customHeight="1">
      <c r="A8" s="217"/>
      <c r="B8" s="1749"/>
      <c r="C8" s="59"/>
      <c r="D8" s="2052" t="str">
        <f>ReportData!$D$27</f>
        <v>2019/20</v>
      </c>
      <c r="E8" s="2052" t="str">
        <f>ReportData!$E$27</f>
        <v>2020/21</v>
      </c>
      <c r="F8" s="2052" t="str">
        <f>ReportData!$F$27</f>
        <v>2021/22</v>
      </c>
      <c r="G8" s="2052" t="str">
        <f>ReportData!$G$27</f>
        <v>2022/23</v>
      </c>
      <c r="H8" s="2050" t="str">
        <f>ReportData!$H$27</f>
        <v>2023/24</v>
      </c>
      <c r="I8" s="1762"/>
      <c r="J8" s="896"/>
      <c r="K8" s="2052" t="str">
        <f>ReportData!$D$27</f>
        <v>2019/20</v>
      </c>
      <c r="L8" s="2052" t="str">
        <f>ReportData!$E$27</f>
        <v>2020/21</v>
      </c>
      <c r="M8" s="2052" t="str">
        <f>ReportData!$F$27</f>
        <v>2021/22</v>
      </c>
      <c r="N8" s="2052" t="str">
        <f>ReportData!$G$27</f>
        <v>2022/23</v>
      </c>
      <c r="O8" s="1789" t="str">
        <f>ReportData!$H$27</f>
        <v>2023/24</v>
      </c>
      <c r="P8" s="1790"/>
      <c r="Q8" s="1762"/>
      <c r="R8" s="64"/>
      <c r="S8" s="1785"/>
      <c r="T8" s="1786"/>
      <c r="U8" s="89"/>
      <c r="V8" s="103"/>
      <c r="W8" s="115"/>
      <c r="X8" s="1319"/>
      <c r="Y8" s="1319"/>
      <c r="AA8" s="121"/>
      <c r="AD8" s="1985" t="s">
        <v>73</v>
      </c>
      <c r="AE8" s="1984" t="s">
        <v>74</v>
      </c>
      <c r="AF8" s="626" t="str">
        <f>IF(ReportData!$C$3="Annual","",ReportData!$D$28)</f>
        <v/>
      </c>
      <c r="AG8" s="444" t="str">
        <f>IF(ReportData!$C$3="Annual","",ReportData!$E$28)</f>
        <v/>
      </c>
      <c r="AH8" s="444" t="str">
        <f>IF(ReportData!$C$3="Annual","",ReportData!$F$28)</f>
        <v/>
      </c>
      <c r="AI8" s="444" t="str">
        <f>IF(ReportData!$C$3="Annual","",ReportData!$G$28)</f>
        <v/>
      </c>
      <c r="AJ8" s="627" t="str">
        <f>IF(ReportData!$C$3="Annual","",ReportData!$H$28)</f>
        <v/>
      </c>
      <c r="AK8" s="52"/>
      <c r="AL8" s="154"/>
      <c r="AM8" s="141"/>
      <c r="AN8" s="141"/>
      <c r="AQ8" s="52"/>
      <c r="AR8" s="119"/>
      <c r="AS8" s="52"/>
      <c r="AT8" s="52"/>
      <c r="AU8" s="52"/>
      <c r="AV8" s="52"/>
      <c r="AW8" s="52"/>
      <c r="AX8" s="52"/>
      <c r="AY8" s="52"/>
    </row>
    <row r="9" spans="1:53" s="61" customFormat="1" ht="9" customHeight="1">
      <c r="A9" s="217"/>
      <c r="B9" s="1749"/>
      <c r="C9" s="59"/>
      <c r="D9" s="2053"/>
      <c r="E9" s="2053"/>
      <c r="F9" s="2053"/>
      <c r="G9" s="2053"/>
      <c r="H9" s="2051"/>
      <c r="I9" s="1762"/>
      <c r="J9" s="896"/>
      <c r="K9" s="2053"/>
      <c r="L9" s="2053"/>
      <c r="M9" s="2053"/>
      <c r="N9" s="2053"/>
      <c r="O9" s="1791"/>
      <c r="P9" s="1792"/>
      <c r="Q9" s="1762"/>
      <c r="R9" s="64"/>
      <c r="S9" s="1787"/>
      <c r="T9" s="1788"/>
      <c r="U9" s="89"/>
      <c r="V9" s="103"/>
      <c r="W9" s="918"/>
      <c r="X9" s="1319"/>
      <c r="Y9" s="1319"/>
      <c r="AA9" s="121"/>
      <c r="AD9" s="1985"/>
      <c r="AE9" s="1984"/>
      <c r="AF9" s="626"/>
      <c r="AG9" s="444"/>
      <c r="AH9" s="444"/>
      <c r="AI9" s="444"/>
      <c r="AJ9" s="627"/>
      <c r="AK9" s="52"/>
      <c r="AL9" s="154"/>
      <c r="AM9" s="141"/>
      <c r="AN9" s="141"/>
      <c r="AQ9" s="52"/>
      <c r="AR9" s="119"/>
      <c r="AS9" s="52"/>
      <c r="AT9" s="52"/>
      <c r="AU9" s="52"/>
      <c r="AV9" s="52"/>
      <c r="AW9" s="52"/>
      <c r="AX9" s="52"/>
      <c r="AY9" s="52"/>
    </row>
    <row r="10" spans="1:53" s="61" customFormat="1" ht="13.5" customHeight="1">
      <c r="A10" s="88"/>
      <c r="B10" s="1764"/>
      <c r="C10" s="59"/>
      <c r="D10" s="897" t="e">
        <f>ReportData!$D$28</f>
        <v>#N/A</v>
      </c>
      <c r="E10" s="897" t="e">
        <f>ReportData!$E$28</f>
        <v>#N/A</v>
      </c>
      <c r="F10" s="897" t="e">
        <f>ReportData!$F$28</f>
        <v>#N/A</v>
      </c>
      <c r="G10" s="897" t="e">
        <f>ReportData!$G$28</f>
        <v>#N/A</v>
      </c>
      <c r="H10" s="920" t="e">
        <f>ReportData!$H$28</f>
        <v>#N/A</v>
      </c>
      <c r="I10" s="1763"/>
      <c r="J10" s="896"/>
      <c r="K10" s="897" t="e">
        <f>ReportData!$D$28</f>
        <v>#N/A</v>
      </c>
      <c r="L10" s="897" t="e">
        <f>ReportData!$E$28</f>
        <v>#N/A</v>
      </c>
      <c r="M10" s="897" t="e">
        <f>ReportData!$F$28</f>
        <v>#N/A</v>
      </c>
      <c r="N10" s="897" t="e">
        <f>ReportData!$G$28</f>
        <v>#N/A</v>
      </c>
      <c r="O10" s="2054" t="e">
        <f>ReportData!$H$28</f>
        <v>#N/A</v>
      </c>
      <c r="P10" s="2055"/>
      <c r="Q10" s="1763"/>
      <c r="R10" s="64"/>
      <c r="S10" s="898" t="s">
        <v>110</v>
      </c>
      <c r="T10" s="899" t="s">
        <v>111</v>
      </c>
      <c r="U10" s="89"/>
      <c r="V10" s="103"/>
      <c r="W10" s="115"/>
      <c r="X10" s="1319"/>
      <c r="Y10" s="1319"/>
      <c r="AA10" s="121"/>
      <c r="AD10" s="1985"/>
      <c r="AE10" s="1984"/>
      <c r="AF10" s="626" t="str">
        <f>ReportData!$D$27</f>
        <v>2019/20</v>
      </c>
      <c r="AG10" s="444" t="str">
        <f>ReportData!$E$27</f>
        <v>2020/21</v>
      </c>
      <c r="AH10" s="444" t="str">
        <f>ReportData!$F$27</f>
        <v>2021/22</v>
      </c>
      <c r="AI10" s="444" t="str">
        <f>ReportData!$G$27</f>
        <v>2022/23</v>
      </c>
      <c r="AJ10" s="627" t="str">
        <f>ReportData!$H$27</f>
        <v>2023/24</v>
      </c>
      <c r="AK10" s="52"/>
      <c r="AL10" s="141"/>
      <c r="AM10" s="141">
        <v>14</v>
      </c>
      <c r="AN10" s="141"/>
      <c r="AR10" s="119"/>
      <c r="AS10" s="52"/>
      <c r="AT10" s="479" t="s">
        <v>598</v>
      </c>
      <c r="AU10" s="479" t="s">
        <v>599</v>
      </c>
      <c r="AV10" s="479" t="s">
        <v>600</v>
      </c>
      <c r="AW10" s="479" t="s">
        <v>601</v>
      </c>
      <c r="AX10" s="479" t="s">
        <v>602</v>
      </c>
    </row>
    <row r="11" spans="1:53" s="61" customFormat="1" ht="15.75" customHeight="1">
      <c r="A11" s="306">
        <f>VLOOKUP(B11,ReportData!$AQ$4:$AR$25,2,FALSE)</f>
        <v>0</v>
      </c>
      <c r="B11" s="885" t="str">
        <f>ReportData!$K$4</f>
        <v>Bracknell Forest</v>
      </c>
      <c r="C11" s="59"/>
      <c r="D11" s="889">
        <f>IF(Year1_Bracknell_Forest Year1_First_Time_Entrants_to_Youth_Justice_system="","",Year1_Bracknell_Forest Year1_First_Time_Entrants_to_Youth_Justice_system)</f>
        <v>21.22</v>
      </c>
      <c r="E11" s="889">
        <f>IF(Year2_Bracknell_Forest Year2_First_Time_Entrants_to_Youth_Justice_system="","",Year2_Bracknell_Forest Year2_First_Time_Entrants_to_Youth_Justice_system)</f>
        <v>15.05</v>
      </c>
      <c r="F11" s="889" t="str">
        <f>IF(Year3_Bracknell_Forest Year3_First_Time_Entrants_to_Youth_Justice_system="","",Year3_Bracknell_Forest Year3_First_Time_Entrants_to_Youth_Justice_system)</f>
        <v>x</v>
      </c>
      <c r="G11" s="889">
        <f>IF(Year4_Bracknell_Forest Year4_First_Time_Entrants_to_Youth_Justice_system="","",Year4_Bracknell_Forest Year4_First_Time_Entrants_to_Youth_Justice_system)</f>
        <v>15.22</v>
      </c>
      <c r="H11" s="890">
        <f>IF(Year5_Bracknell_Forest Year5_First_Time_Entrants_to_Youth_Justice_system="","",Year5_Bracknell_Forest Year5_First_Time_Entrants_to_Youth_Justice_system)</f>
        <v>18.27</v>
      </c>
      <c r="I11" s="900">
        <f>IF(ISNUMBER(H11),(H11-E11)/E11,"")</f>
        <v>0.21395348837209294</v>
      </c>
      <c r="J11" s="896"/>
      <c r="K11" s="901">
        <f>IF(ISNUMBER(D11),D11/Population!P11*100000,NA())</f>
        <v>172.98442977093015</v>
      </c>
      <c r="L11" s="901">
        <f>IF(ISNUMBER(E11),E11/Population!Q11*100000,NA())</f>
        <v>119.51083935519735</v>
      </c>
      <c r="M11" s="901" t="e">
        <f>IF(ISNUMBER(F11),F11/Population!R11*100000,NA())</f>
        <v>#N/A</v>
      </c>
      <c r="N11" s="901">
        <f>IF(ISNUMBER(G11),G11/Population!S11*100000,NA())</f>
        <v>114.16141614161417</v>
      </c>
      <c r="O11" s="902">
        <f>IF(ISNUMBER(H11),H11/Population!T11*100000,NA())</f>
        <v>133.74816983894581</v>
      </c>
      <c r="P11" s="903">
        <f>IF(ISNUMBER(O11),O11,"")</f>
        <v>133.74816983894581</v>
      </c>
      <c r="Q11" s="904">
        <f t="shared" ref="Q11:Q31" si="0">IF(ISNA(VLOOKUP(B11,$AL$11:$AN$27,3,FALSE)),"--",IF(ISNUMBER(H11),VLOOKUP(B11,$AL$11:$AN$27,3,FALSE),NA()))</f>
        <v>8</v>
      </c>
      <c r="R11" s="64"/>
      <c r="S11" s="905">
        <f>((IDACI!$C9*$AD$41)+$AE$41)/$AC$2</f>
        <v>182.31481537327485</v>
      </c>
      <c r="T11" s="906">
        <f>O11-S11</f>
        <v>-48.566645534329041</v>
      </c>
      <c r="U11" s="89"/>
      <c r="V11" s="103"/>
      <c r="W11" s="115"/>
      <c r="X11" s="1319"/>
      <c r="Y11" s="1319"/>
      <c r="AA11" s="121"/>
      <c r="AC11" s="622" t="str">
        <f>ReportData!$K$4</f>
        <v>Bracknell Forest</v>
      </c>
      <c r="AD11" s="620">
        <f>IF(ISNUMBER(H11),IDACI!D9,0)</f>
        <v>24849</v>
      </c>
      <c r="AE11" s="621">
        <f>IF(ISNUMBER(H11),IDACI!E9,0)</f>
        <v>2211.5610000000001</v>
      </c>
      <c r="AF11" s="628">
        <f>IF(ISNUMBER(D11),Population!P11,"")</f>
        <v>12267</v>
      </c>
      <c r="AG11" s="155">
        <f>IF(ISNUMBER(E11),Population!Q11,"")</f>
        <v>12593</v>
      </c>
      <c r="AH11" s="155" t="str">
        <f>IF(ISNUMBER(F11),Population!R11,"")</f>
        <v/>
      </c>
      <c r="AI11" s="155">
        <f>IF(ISNUMBER(G11),Population!S11,"")</f>
        <v>13332</v>
      </c>
      <c r="AJ11" s="629">
        <f>IF(ISNUMBER(H11),Population!T11,"")</f>
        <v>13660</v>
      </c>
      <c r="AK11" s="52"/>
      <c r="AL11" s="65" t="str">
        <f>B11</f>
        <v>Bracknell Forest</v>
      </c>
      <c r="AM11" s="70">
        <f t="shared" ref="AM11:AM27" si="1">IFERROR(VLOOKUP(AL11,$B$11:$O$29,AM$10,FALSE),"")</f>
        <v>133.74816983894581</v>
      </c>
      <c r="AN11" s="156">
        <f t="shared" ref="AN11:AN27" si="2">RANK(AM11,$AM$11:$AM$27,1)</f>
        <v>8</v>
      </c>
      <c r="AR11" s="119"/>
      <c r="AS11" s="52"/>
      <c r="AT11" s="480">
        <f t="shared" ref="AT11:AT31" si="3">IF(ISERROR((E11-D11)/D11),"x",(E11-D11)/D11)</f>
        <v>-0.29076343072573035</v>
      </c>
      <c r="AU11" s="480" t="str">
        <f t="shared" ref="AU11:AU31" si="4">IF(ISERROR((F11-E11)/E11),"x",(F11-E11)/E11)</f>
        <v>x</v>
      </c>
      <c r="AV11" s="480" t="str">
        <f t="shared" ref="AV11:AV31" si="5">IF(ISERROR((G11-F11)/F11),"x",(G11-F11)/F11)</f>
        <v>x</v>
      </c>
      <c r="AW11" s="480">
        <f t="shared" ref="AW11:AW31" si="6">IF(ISERROR((H11-G11)/G11),"x",(H11-G11)/G11)</f>
        <v>0.20039421813403407</v>
      </c>
      <c r="AX11" s="480">
        <f t="shared" ref="AX11:AX25" si="7">AVERAGE(AT11:AW11)</f>
        <v>-4.518460629584814E-2</v>
      </c>
    </row>
    <row r="12" spans="1:53" s="61" customFormat="1" ht="15.75" customHeight="1">
      <c r="A12" s="306">
        <f>VLOOKUP(B12,ReportData!$AQ$4:$AR$25,2,FALSE)</f>
        <v>0</v>
      </c>
      <c r="B12" s="885" t="str">
        <f>ReportData!$K$5</f>
        <v>Brighton &amp; Hove</v>
      </c>
      <c r="C12" s="59"/>
      <c r="D12" s="889">
        <f>IF(Year1_Brighton_and_Hove Year1_First_Time_Entrants_to_Youth_Justice_system="","",Year1_Brighton_and_Hove Year1_First_Time_Entrants_to_Youth_Justice_system)</f>
        <v>21.8</v>
      </c>
      <c r="E12" s="889">
        <f>IF(Year2_Brighton_and_Hove Year2_First_Time_Entrants_to_Youth_Justice_system="","",Year2_Brighton_and_Hove Year2_First_Time_Entrants_to_Youth_Justice_system)</f>
        <v>39.020000000000003</v>
      </c>
      <c r="F12" s="889">
        <f>IF(Year3_Brighton_and_Hove Year3_First_Time_Entrants_to_Youth_Justice_system="","",Year3_Brighton_and_Hove Year3_First_Time_Entrants_to_Youth_Justice_system)</f>
        <v>35.42</v>
      </c>
      <c r="G12" s="889">
        <f>IF(Year4_Brighton_and_Hove Year4_First_Time_Entrants_to_Youth_Justice_system="","",Year4_Brighton_and_Hove Year4_First_Time_Entrants_to_Youth_Justice_system)</f>
        <v>36.35</v>
      </c>
      <c r="H12" s="890">
        <f>IF(Year5_Brighton_and_Hove Year5_First_Time_Entrants_to_Youth_Justice_system="","",Year5_Brighton_and_Hove Year5_First_Time_Entrants_to_Youth_Justice_system)</f>
        <v>44.88</v>
      </c>
      <c r="I12" s="900">
        <f>IF(ISNUMBER(H12),(H12-E12)/E12,"")</f>
        <v>0.15017939518195794</v>
      </c>
      <c r="J12" s="896"/>
      <c r="K12" s="901">
        <f>IF(ISNUMBER(D12),D12/Population!P12*100000,NA())</f>
        <v>98.486559747007007</v>
      </c>
      <c r="L12" s="901">
        <f>IF(ISNUMBER(E12),E12/Population!Q12*100000,NA())</f>
        <v>173.91691923694066</v>
      </c>
      <c r="M12" s="901">
        <f>IF(ISNUMBER(F12),F12/Population!R12*100000,NA())</f>
        <v>157.70960416759428</v>
      </c>
      <c r="N12" s="901">
        <f>IF(ISNUMBER(G12),G12/Population!S12*100000,NA())</f>
        <v>159.03224395152469</v>
      </c>
      <c r="O12" s="902">
        <f>IF(ISNUMBER(H12),H12/Population!T12*100000,NA())</f>
        <v>195.94830597275586</v>
      </c>
      <c r="P12" s="903">
        <f t="shared" ref="P12:P25" si="8">IF(ISNUMBER(O12),O12,"")</f>
        <v>195.94830597275586</v>
      </c>
      <c r="Q12" s="904">
        <f t="shared" si="0"/>
        <v>14</v>
      </c>
      <c r="R12" s="64"/>
      <c r="S12" s="905">
        <f>((IDACI!$C10*$AD$41)+$AE$41)/$AC$2</f>
        <v>242.29764471114825</v>
      </c>
      <c r="T12" s="906">
        <f>O12-S12</f>
        <v>-46.34933873839239</v>
      </c>
      <c r="U12" s="89"/>
      <c r="V12" s="103"/>
      <c r="W12" s="115"/>
      <c r="X12" s="1319"/>
      <c r="Y12" s="1319"/>
      <c r="AA12" s="121"/>
      <c r="AC12" s="622" t="str">
        <f>ReportData!$K$5</f>
        <v>Brighton &amp; Hove</v>
      </c>
      <c r="AD12" s="620">
        <f>IF(ISNUMBER(H12),IDACI!D10,0)</f>
        <v>45576</v>
      </c>
      <c r="AE12" s="621">
        <f>IF(ISNUMBER(H12),IDACI!E10,0)</f>
        <v>6973.1279999999997</v>
      </c>
      <c r="AF12" s="628">
        <f>IF(ISNUMBER(D12),Population!P12,"")</f>
        <v>22135</v>
      </c>
      <c r="AG12" s="155">
        <f>IF(ISNUMBER(E12),Population!Q12,"")</f>
        <v>22436</v>
      </c>
      <c r="AH12" s="155">
        <f>IF(ISNUMBER(F12),Population!R12,"")</f>
        <v>22459</v>
      </c>
      <c r="AI12" s="155">
        <f>IF(ISNUMBER(G12),Population!S12,"")</f>
        <v>22857</v>
      </c>
      <c r="AJ12" s="629">
        <f>IF(ISNUMBER(H12),Population!T12,"")</f>
        <v>22904</v>
      </c>
      <c r="AK12" s="52"/>
      <c r="AL12" s="65" t="s">
        <v>28</v>
      </c>
      <c r="AM12" s="70">
        <f t="shared" si="1"/>
        <v>195.94830597275586</v>
      </c>
      <c r="AN12" s="156">
        <f t="shared" si="2"/>
        <v>14</v>
      </c>
      <c r="AR12" s="119"/>
      <c r="AS12" s="52"/>
      <c r="AT12" s="480">
        <f t="shared" si="3"/>
        <v>0.78990825688073407</v>
      </c>
      <c r="AU12" s="480">
        <f t="shared" si="4"/>
        <v>-9.2260379292670461E-2</v>
      </c>
      <c r="AV12" s="480">
        <f t="shared" si="5"/>
        <v>2.6256352343308857E-2</v>
      </c>
      <c r="AW12" s="480">
        <f t="shared" si="6"/>
        <v>0.2346629986244842</v>
      </c>
      <c r="AX12" s="480">
        <f t="shared" si="7"/>
        <v>0.23964180713896416</v>
      </c>
    </row>
    <row r="13" spans="1:53" s="61" customFormat="1" ht="15.75" customHeight="1">
      <c r="A13" s="306">
        <f>VLOOKUP(B13,ReportData!$AQ$4:$AR$25,2,FALSE)</f>
        <v>0</v>
      </c>
      <c r="B13" s="885" t="str">
        <f>ReportData!$K$6</f>
        <v>Buckinghamshire</v>
      </c>
      <c r="C13" s="59"/>
      <c r="D13" s="889">
        <f>IF(Year1_Buckinghamshire Year1_First_Time_Entrants_to_Youth_Justice_system="","",Year1_Buckinghamshire Year1_First_Time_Entrants_to_Youth_Justice_system)</f>
        <v>91.35</v>
      </c>
      <c r="E13" s="889">
        <f>IF(Year2_Buckinghamshire Year2_First_Time_Entrants_to_Youth_Justice_system="","",Year2_Buckinghamshire Year2_First_Time_Entrants_to_Youth_Justice_system)</f>
        <v>82.01</v>
      </c>
      <c r="F13" s="889">
        <f>IF(Year3_Buckinghamshire Year3_First_Time_Entrants_to_Youth_Justice_system="","",Year3_Buckinghamshire Year3_First_Time_Entrants_to_Youth_Justice_system)</f>
        <v>63.27</v>
      </c>
      <c r="G13" s="889">
        <f>IF(Year4_Buckinghamshire Year4_First_Time_Entrants_to_Youth_Justice_system="","",Year4_Buckinghamshire Year4_First_Time_Entrants_to_Youth_Justice_system)</f>
        <v>74.86</v>
      </c>
      <c r="H13" s="890">
        <f>IF(Year5_Buckinghamshire Year5_First_Time_Entrants_to_Youth_Justice_system="","",Year5_Buckinghamshire Year5_First_Time_Entrants_to_Youth_Justice_system)</f>
        <v>96.67</v>
      </c>
      <c r="I13" s="900">
        <f t="shared" ref="I13:I25" si="9">IF(ISNUMBER(H13),(H13-E13)/E13,"")</f>
        <v>0.17875868796488228</v>
      </c>
      <c r="J13" s="896"/>
      <c r="K13" s="901">
        <f>IF(ISNUMBER(D13),D13/Population!P13*100000,NA())</f>
        <v>164.49678569499216</v>
      </c>
      <c r="L13" s="901">
        <f>IF(ISNUMBER(E13),E13/Population!Q13*100000,NA())</f>
        <v>145.0605819403909</v>
      </c>
      <c r="M13" s="901">
        <f>IF(ISNUMBER(F13),F13/Population!R13*100000,NA())</f>
        <v>109.69140083217754</v>
      </c>
      <c r="N13" s="901">
        <f>IF(ISNUMBER(G13),G13/Population!S13*100000,NA())</f>
        <v>125.81301154602443</v>
      </c>
      <c r="O13" s="902">
        <f>IF(ISNUMBER(H13),H13/Population!T13*100000,NA())</f>
        <v>159.30326450571002</v>
      </c>
      <c r="P13" s="903">
        <f t="shared" si="8"/>
        <v>159.30326450571002</v>
      </c>
      <c r="Q13" s="904">
        <f t="shared" si="0"/>
        <v>10</v>
      </c>
      <c r="R13" s="64"/>
      <c r="S13" s="905">
        <f>((IDACI!$C11*$AD$41)+$AE$41)/$AC$2</f>
        <v>178.56588853965775</v>
      </c>
      <c r="T13" s="906">
        <f t="shared" ref="T13:T14" si="10">O13-S13</f>
        <v>-19.262624033947731</v>
      </c>
      <c r="U13" s="89"/>
      <c r="V13" s="103"/>
      <c r="W13" s="115"/>
      <c r="X13" s="1319"/>
      <c r="Y13" s="1319"/>
      <c r="AA13" s="121"/>
      <c r="AC13" s="622" t="str">
        <f>ReportData!$K$6</f>
        <v>Buckinghamshire</v>
      </c>
      <c r="AD13" s="620">
        <f>IF(ISNUMBER(H13),IDACI!D11,0)</f>
        <v>107385</v>
      </c>
      <c r="AE13" s="621">
        <f>IF(ISNUMBER(H13),IDACI!E11,0)</f>
        <v>9127.7250000000004</v>
      </c>
      <c r="AF13" s="628">
        <f>IF(ISNUMBER(D13),Population!P13,"")</f>
        <v>55533</v>
      </c>
      <c r="AG13" s="155">
        <f>IF(ISNUMBER(E13),Population!Q13,"")</f>
        <v>56535</v>
      </c>
      <c r="AH13" s="155">
        <f>IF(ISNUMBER(F13),Population!R13,"")</f>
        <v>57680</v>
      </c>
      <c r="AI13" s="155">
        <f>IF(ISNUMBER(G13),Population!S13,"")</f>
        <v>59501</v>
      </c>
      <c r="AJ13" s="629">
        <f>IF(ISNUMBER(H13),Population!T13,"")</f>
        <v>60683</v>
      </c>
      <c r="AK13" s="52"/>
      <c r="AL13" s="65" t="s">
        <v>8</v>
      </c>
      <c r="AM13" s="70">
        <f t="shared" si="1"/>
        <v>159.30326450571002</v>
      </c>
      <c r="AN13" s="156">
        <f t="shared" si="2"/>
        <v>10</v>
      </c>
      <c r="AR13" s="119"/>
      <c r="AS13" s="52"/>
      <c r="AT13" s="480">
        <f t="shared" si="3"/>
        <v>-0.10224411603721938</v>
      </c>
      <c r="AU13" s="480">
        <f t="shared" si="4"/>
        <v>-0.22850871844896964</v>
      </c>
      <c r="AV13" s="480">
        <f t="shared" si="5"/>
        <v>0.18318318318318311</v>
      </c>
      <c r="AW13" s="480">
        <f t="shared" si="6"/>
        <v>0.29134384183809781</v>
      </c>
      <c r="AX13" s="480">
        <f t="shared" si="7"/>
        <v>3.5943547633772971E-2</v>
      </c>
    </row>
    <row r="14" spans="1:53" s="61" customFormat="1" ht="15.75" customHeight="1">
      <c r="A14" s="306">
        <f>VLOOKUP(B14,ReportData!$AQ$4:$AR$25,2,FALSE)</f>
        <v>0</v>
      </c>
      <c r="B14" s="885" t="str">
        <f>ReportData!$K$7</f>
        <v>East Sussex</v>
      </c>
      <c r="C14" s="59"/>
      <c r="D14" s="889">
        <f>IF(Year1_East_Sussex Year1_First_Time_Entrants_to_Youth_Justice_system="","",Year1_East_Sussex Year1_First_Time_Entrants_to_Youth_Justice_system)</f>
        <v>99.97</v>
      </c>
      <c r="E14" s="889">
        <f>IF(Year2_East_Sussex Year2_First_Time_Entrants_to_Youth_Justice_system="","",Year2_East_Sussex Year2_First_Time_Entrants_to_Youth_Justice_system)</f>
        <v>84.98</v>
      </c>
      <c r="F14" s="889">
        <f>IF(Year3_East_Sussex Year3_First_Time_Entrants_to_Youth_Justice_system="","",Year3_East_Sussex Year3_First_Time_Entrants_to_Youth_Justice_system)</f>
        <v>86.5</v>
      </c>
      <c r="G14" s="889">
        <f>IF(Year4_East_Sussex Year4_First_Time_Entrants_to_Youth_Justice_system="","",Year4_East_Sussex Year4_First_Time_Entrants_to_Youth_Justice_system)</f>
        <v>54.31</v>
      </c>
      <c r="H14" s="890">
        <f>IF(Year5_East_Sussex Year5_First_Time_Entrants_to_Youth_Justice_system="","",Year5_East_Sussex Year5_First_Time_Entrants_to_Youth_Justice_system)</f>
        <v>63.09</v>
      </c>
      <c r="I14" s="900">
        <f t="shared" si="9"/>
        <v>-0.25759002118145446</v>
      </c>
      <c r="J14" s="896"/>
      <c r="K14" s="901">
        <f>IF(ISNUMBER(D14),D14/Population!P14*100000,NA())</f>
        <v>209.55874646263496</v>
      </c>
      <c r="L14" s="901">
        <f>IF(ISNUMBER(E14),E14/Population!Q14*100000,NA())</f>
        <v>176.41685696491592</v>
      </c>
      <c r="M14" s="901">
        <f>IF(ISNUMBER(F14),F14/Population!R14*100000,NA())</f>
        <v>178.22190172040794</v>
      </c>
      <c r="N14" s="901">
        <f>IF(ISNUMBER(G14),G14/Population!S14*100000,NA())</f>
        <v>109.45183393792826</v>
      </c>
      <c r="O14" s="902">
        <f>IF(ISNUMBER(H14),H14/Population!T14*100000,NA())</f>
        <v>124.54595704358812</v>
      </c>
      <c r="P14" s="903">
        <f t="shared" si="8"/>
        <v>124.54595704358812</v>
      </c>
      <c r="Q14" s="904">
        <f t="shared" si="0"/>
        <v>5</v>
      </c>
      <c r="R14" s="64"/>
      <c r="S14" s="905">
        <f>((IDACI!$C12*$AD$41)+$AE$41)/$AC$2</f>
        <v>249.79549837838246</v>
      </c>
      <c r="T14" s="906">
        <f t="shared" si="10"/>
        <v>-125.24954133479434</v>
      </c>
      <c r="U14" s="89"/>
      <c r="V14" s="103"/>
      <c r="W14" s="115"/>
      <c r="X14" s="1319"/>
      <c r="Y14" s="1319"/>
      <c r="AA14" s="121"/>
      <c r="AC14" s="622" t="str">
        <f>ReportData!$K$7</f>
        <v>East Sussex</v>
      </c>
      <c r="AD14" s="620">
        <f>IF(ISNUMBER(H14),IDACI!D12,0)</f>
        <v>93130</v>
      </c>
      <c r="AE14" s="621">
        <f>IF(ISNUMBER(H14),IDACI!E12,0)</f>
        <v>14993.93</v>
      </c>
      <c r="AF14" s="628">
        <f>IF(ISNUMBER(D14),Population!P14,"")</f>
        <v>47705</v>
      </c>
      <c r="AG14" s="155">
        <f>IF(ISNUMBER(E14),Population!Q14,"")</f>
        <v>48170</v>
      </c>
      <c r="AH14" s="155">
        <f>IF(ISNUMBER(F14),Population!R14,"")</f>
        <v>48535</v>
      </c>
      <c r="AI14" s="155">
        <f>IF(ISNUMBER(G14),Population!S14,"")</f>
        <v>49620</v>
      </c>
      <c r="AJ14" s="629">
        <f>IF(ISNUMBER(H14),Population!T14,"")</f>
        <v>50656</v>
      </c>
      <c r="AK14" s="52"/>
      <c r="AL14" s="65" t="s">
        <v>4</v>
      </c>
      <c r="AM14" s="70">
        <f t="shared" si="1"/>
        <v>124.54595704358812</v>
      </c>
      <c r="AN14" s="156">
        <f t="shared" si="2"/>
        <v>5</v>
      </c>
      <c r="AR14" s="119"/>
      <c r="AS14" s="52"/>
      <c r="AT14" s="480">
        <f t="shared" si="3"/>
        <v>-0.14994498349504848</v>
      </c>
      <c r="AU14" s="480">
        <f t="shared" si="4"/>
        <v>1.7886561543892635E-2</v>
      </c>
      <c r="AV14" s="480">
        <f t="shared" si="5"/>
        <v>-0.37213872832369937</v>
      </c>
      <c r="AW14" s="480">
        <f t="shared" si="6"/>
        <v>0.16166451850487942</v>
      </c>
      <c r="AX14" s="480">
        <f t="shared" si="7"/>
        <v>-8.5633157942493959E-2</v>
      </c>
    </row>
    <row r="15" spans="1:53" s="61" customFormat="1" ht="15.75" customHeight="1">
      <c r="A15" s="306">
        <f>VLOOKUP(B15,ReportData!$AQ$4:$AR$25,2,FALSE)</f>
        <v>0</v>
      </c>
      <c r="B15" s="885" t="str">
        <f>ReportData!$K$8</f>
        <v>Hampshire</v>
      </c>
      <c r="C15" s="59"/>
      <c r="D15" s="889">
        <f>IF(Year1_Hampshire Year1_First_Time_Entrants_to_Youth_Justice_system="","",Year1_Hampshire Year1_First_Time_Entrants_to_Youth_Justice_system)</f>
        <v>228.42</v>
      </c>
      <c r="E15" s="889">
        <f>IF(Year2_Hampshire Year2_First_Time_Entrants_to_Youth_Justice_system="","",Year2_Hampshire Year2_First_Time_Entrants_to_Youth_Justice_system)</f>
        <v>197.69</v>
      </c>
      <c r="F15" s="891">
        <f>IF(Year3_Hampshire Year3_First_Time_Entrants_to_Youth_Justice_system="","",Year3_Hampshire Year3_First_Time_Entrants_to_Youth_Justice_system)</f>
        <v>167.28</v>
      </c>
      <c r="G15" s="891">
        <f>IF(Year4_Hampshire Year4_First_Time_Entrants_to_Youth_Justice_system="","",Year4_Hampshire Year4_First_Time_Entrants_to_Youth_Justice_system)</f>
        <v>129.53</v>
      </c>
      <c r="H15" s="890">
        <f>IF(Year5_Hampshire Year5_First_Time_Entrants_to_Youth_Justice_system="","",Year5_Hampshire Year5_First_Time_Entrants_to_Youth_Justice_system)</f>
        <v>117.73</v>
      </c>
      <c r="I15" s="900">
        <f t="shared" si="9"/>
        <v>-0.40447164752895948</v>
      </c>
      <c r="J15" s="896"/>
      <c r="K15" s="901">
        <f>IF(ISNUMBER(D15),D15/Population!P15*100000,NA())</f>
        <v>182.17199550192603</v>
      </c>
      <c r="L15" s="901">
        <f>IF(ISNUMBER(E15),E15/Population!Q15*100000,NA())</f>
        <v>155.63935820119983</v>
      </c>
      <c r="M15" s="901">
        <f>IF(ISNUMBER(F15),F15/Population!R15*100000,NA())</f>
        <v>129.42760317534004</v>
      </c>
      <c r="N15" s="901">
        <f>IF(ISNUMBER(G15),G15/Population!S15*100000,NA())</f>
        <v>97.968475827433892</v>
      </c>
      <c r="O15" s="902">
        <f>IF(ISNUMBER(H15),H15/Population!T15*100000,NA())</f>
        <v>87.405526601036428</v>
      </c>
      <c r="P15" s="903">
        <f t="shared" si="8"/>
        <v>87.405526601036428</v>
      </c>
      <c r="Q15" s="904">
        <f t="shared" si="0"/>
        <v>3</v>
      </c>
      <c r="R15" s="64"/>
      <c r="S15" s="905">
        <f>((IDACI!$C13*$AD$41)+$AE$41)/$AC$2</f>
        <v>193.56159587412611</v>
      </c>
      <c r="T15" s="906">
        <f t="shared" ref="T15:T31" si="11">O15-S15</f>
        <v>-106.15606927308968</v>
      </c>
      <c r="U15" s="89"/>
      <c r="V15" s="103"/>
      <c r="W15" s="115"/>
      <c r="X15" s="1319"/>
      <c r="Y15" s="1319"/>
      <c r="AA15" s="121"/>
      <c r="AC15" s="622" t="str">
        <f>ReportData!$K$8</f>
        <v>Hampshire</v>
      </c>
      <c r="AD15" s="620">
        <f>IF(ISNUMBER(H15),IDACI!D13,0)</f>
        <v>249483</v>
      </c>
      <c r="AE15" s="621">
        <f>IF(ISNUMBER(H15),IDACI!E13,0)</f>
        <v>25197.783000000007</v>
      </c>
      <c r="AF15" s="628">
        <f>IF(ISNUMBER(D15),Population!P15,"")</f>
        <v>125387</v>
      </c>
      <c r="AG15" s="155">
        <f>IF(ISNUMBER(E15),Population!Q15,"")</f>
        <v>127018</v>
      </c>
      <c r="AH15" s="155">
        <f>IF(ISNUMBER(F15),Population!R15,"")</f>
        <v>129246</v>
      </c>
      <c r="AI15" s="155">
        <f>IF(ISNUMBER(G15),Population!S15,"")</f>
        <v>132216</v>
      </c>
      <c r="AJ15" s="629">
        <f>IF(ISNUMBER(H15),Population!T15,"")</f>
        <v>134694</v>
      </c>
      <c r="AK15" s="52"/>
      <c r="AL15" s="65" t="s">
        <v>6</v>
      </c>
      <c r="AM15" s="70">
        <f t="shared" si="1"/>
        <v>87.405526601036428</v>
      </c>
      <c r="AN15" s="156">
        <f t="shared" si="2"/>
        <v>3</v>
      </c>
      <c r="AR15" s="119"/>
      <c r="AS15" s="52"/>
      <c r="AT15" s="480">
        <f t="shared" si="3"/>
        <v>-0.13453287803169597</v>
      </c>
      <c r="AU15" s="480">
        <f t="shared" si="4"/>
        <v>-0.15382669836612878</v>
      </c>
      <c r="AV15" s="480">
        <f t="shared" si="5"/>
        <v>-0.22566953610712578</v>
      </c>
      <c r="AW15" s="480">
        <f t="shared" si="6"/>
        <v>-9.1098587199876457E-2</v>
      </c>
      <c r="AX15" s="480">
        <f t="shared" si="7"/>
        <v>-0.15128192492620673</v>
      </c>
    </row>
    <row r="16" spans="1:53" s="61" customFormat="1" ht="15.75" customHeight="1">
      <c r="A16" s="306">
        <f>VLOOKUP(B16,ReportData!$AQ$4:$AR$25,2,FALSE)</f>
        <v>0</v>
      </c>
      <c r="B16" s="885" t="str">
        <f>ReportData!$K$9</f>
        <v>Isle of Wight</v>
      </c>
      <c r="C16" s="59"/>
      <c r="D16" s="889">
        <f>IF(Year1_Isle_of_Wight Year1_First_Time_Entrants_to_Youth_Justice_system="","",Year1_Isle_of_Wight Year1_First_Time_Entrants_to_Youth_Justice_system)</f>
        <v>52.36</v>
      </c>
      <c r="E16" s="889">
        <f>IF(Year2_Isle_of_Wight Year2_First_Time_Entrants_to_Youth_Justice_system="","",Year2_Isle_of_Wight Year2_First_Time_Entrants_to_Youth_Justice_system)</f>
        <v>28.4</v>
      </c>
      <c r="F16" s="889">
        <f>IF(Year3_Isle_of_Wight Year3_First_Time_Entrants_to_Youth_Justice_system="","",Year3_Isle_of_Wight Year3_First_Time_Entrants_to_Youth_Justice_system)</f>
        <v>23.35</v>
      </c>
      <c r="G16" s="889">
        <f>IF(Year4_Isle_of_Wight Year4_First_Time_Entrants_to_Youth_Justice_system="","",Year4_Isle_of_Wight Year4_First_Time_Entrants_to_Youth_Justice_system)</f>
        <v>29.9</v>
      </c>
      <c r="H16" s="890">
        <f>IF(Year5_Isle_of_Wight Year5_First_Time_Entrants_to_Youth_Justice_system="","",Year5_Isle_of_Wight Year5_First_Time_Entrants_to_Youth_Justice_system)</f>
        <v>38.79</v>
      </c>
      <c r="I16" s="900">
        <f t="shared" si="9"/>
        <v>0.36584507042253522</v>
      </c>
      <c r="J16" s="896"/>
      <c r="K16" s="901">
        <f>IF(ISNUMBER(D16),D16/Population!P16*100000,NA())</f>
        <v>466.58349670290505</v>
      </c>
      <c r="L16" s="901">
        <f>IF(ISNUMBER(E16),E16/Population!Q16*100000,NA())</f>
        <v>252.22024866785077</v>
      </c>
      <c r="M16" s="901">
        <f>IF(ISNUMBER(F16),F16/Population!R16*100000,NA())</f>
        <v>207.16884038683349</v>
      </c>
      <c r="N16" s="901">
        <f>IF(ISNUMBER(G16),G16/Population!S16*100000,NA())</f>
        <v>262.23469566742676</v>
      </c>
      <c r="O16" s="902">
        <f>IF(ISNUMBER(H16),H16/Population!T16*100000,NA())</f>
        <v>338.8364779874214</v>
      </c>
      <c r="P16" s="903">
        <f t="shared" si="8"/>
        <v>338.8364779874214</v>
      </c>
      <c r="Q16" s="904">
        <f t="shared" si="0"/>
        <v>17</v>
      </c>
      <c r="R16" s="64"/>
      <c r="S16" s="905">
        <f>((IDACI!$C14*$AD$41)+$AE$41)/$AC$2</f>
        <v>267.60290083806365</v>
      </c>
      <c r="T16" s="906">
        <f t="shared" si="11"/>
        <v>71.233577149357757</v>
      </c>
      <c r="U16" s="89"/>
      <c r="V16" s="103"/>
      <c r="W16" s="115"/>
      <c r="X16" s="1319"/>
      <c r="Y16" s="1319"/>
      <c r="AA16" s="121"/>
      <c r="AC16" s="622" t="str">
        <f>ReportData!$K$9</f>
        <v>Isle of Wight</v>
      </c>
      <c r="AD16" s="620">
        <f>IF(ISNUMBER(H16),IDACI!D14,0)</f>
        <v>22123</v>
      </c>
      <c r="AE16" s="621">
        <f>IF(ISNUMBER(H16),IDACI!E14,0)</f>
        <v>3982.14</v>
      </c>
      <c r="AF16" s="628">
        <f>IF(ISNUMBER(D16),Population!P16,"")</f>
        <v>11222</v>
      </c>
      <c r="AG16" s="155">
        <f>IF(ISNUMBER(E16),Population!Q16,"")</f>
        <v>11260</v>
      </c>
      <c r="AH16" s="155">
        <f>IF(ISNUMBER(F16),Population!R16,"")</f>
        <v>11271</v>
      </c>
      <c r="AI16" s="155">
        <f>IF(ISNUMBER(G16),Population!S16,"")</f>
        <v>11402</v>
      </c>
      <c r="AJ16" s="629">
        <f>IF(ISNUMBER(H16),Population!T16,"")</f>
        <v>11448</v>
      </c>
      <c r="AK16" s="52"/>
      <c r="AL16" s="65" t="s">
        <v>1</v>
      </c>
      <c r="AM16" s="70">
        <f t="shared" si="1"/>
        <v>338.8364779874214</v>
      </c>
      <c r="AN16" s="156">
        <f t="shared" si="2"/>
        <v>17</v>
      </c>
      <c r="AR16" s="119"/>
      <c r="AS16" s="52"/>
      <c r="AT16" s="480">
        <f t="shared" si="3"/>
        <v>-0.4576012223071047</v>
      </c>
      <c r="AU16" s="480">
        <f t="shared" si="4"/>
        <v>-0.17781690140845061</v>
      </c>
      <c r="AV16" s="480">
        <f t="shared" si="5"/>
        <v>0.28051391862955016</v>
      </c>
      <c r="AW16" s="480">
        <f t="shared" si="6"/>
        <v>0.29732441471571908</v>
      </c>
      <c r="AX16" s="480">
        <f t="shared" si="7"/>
        <v>-1.4394947592571511E-2</v>
      </c>
      <c r="BA16" s="61" t="s">
        <v>95</v>
      </c>
    </row>
    <row r="17" spans="1:50" s="61" customFormat="1" ht="15.75" customHeight="1">
      <c r="A17" s="306">
        <f>VLOOKUP(B17,ReportData!$AQ$4:$AR$25,2,FALSE)</f>
        <v>0</v>
      </c>
      <c r="B17" s="885" t="str">
        <f>ReportData!$K$10</f>
        <v>Kent</v>
      </c>
      <c r="C17" s="59"/>
      <c r="D17" s="889">
        <f>IF(Year1_Kent Year1_First_Time_Entrants_to_Youth_Justice_system="","",Year1_Kent Year1_First_Time_Entrants_to_Youth_Justice_system)</f>
        <v>212.78</v>
      </c>
      <c r="E17" s="889">
        <f>IF(Year2_Kent Year2_First_Time_Entrants_to_Youth_Justice_system="","",Year2_Kent Year2_First_Time_Entrants_to_Youth_Justice_system)</f>
        <v>246.51</v>
      </c>
      <c r="F17" s="889">
        <f>IF(Year3_Kent Year3_First_Time_Entrants_to_Youth_Justice_system="","",Year3_Kent Year3_First_Time_Entrants_to_Youth_Justice_system)</f>
        <v>208.1</v>
      </c>
      <c r="G17" s="889">
        <f>IF(Year4_Kent Year4_First_Time_Entrants_to_Youth_Justice_system="","",Year4_Kent Year4_First_Time_Entrants_to_Youth_Justice_system)</f>
        <v>246.99</v>
      </c>
      <c r="H17" s="890">
        <f>IF(Year5_Kent Year5_First_Time_Entrants_to_Youth_Justice_system="","",Year5_Kent Year5_First_Time_Entrants_to_Youth_Justice_system)</f>
        <v>264.47000000000003</v>
      </c>
      <c r="I17" s="900">
        <f t="shared" si="9"/>
        <v>7.2857084905277827E-2</v>
      </c>
      <c r="J17" s="896"/>
      <c r="K17" s="901">
        <f>IF(ISNUMBER(D17),D17/Population!P17*100000,NA())</f>
        <v>142.7852450325793</v>
      </c>
      <c r="L17" s="901">
        <f>IF(ISNUMBER(E17),E17/Population!Q17*100000,NA())</f>
        <v>162.69783650355743</v>
      </c>
      <c r="M17" s="901">
        <f>IF(ISNUMBER(F17),F17/Population!R17*100000,NA())</f>
        <v>134.93535293278518</v>
      </c>
      <c r="N17" s="901">
        <f>IF(ISNUMBER(G17),G17/Population!S17*100000,NA())</f>
        <v>155.14154884016006</v>
      </c>
      <c r="O17" s="902">
        <f>IF(ISNUMBER(H17),H17/Population!T17*100000,NA())</f>
        <v>161.80879311821644</v>
      </c>
      <c r="P17" s="903">
        <f t="shared" si="8"/>
        <v>161.80879311821644</v>
      </c>
      <c r="Q17" s="904">
        <f t="shared" si="0"/>
        <v>11</v>
      </c>
      <c r="R17" s="64"/>
      <c r="S17" s="905">
        <f>((IDACI!$C15*$AD$41)+$AE$41)/$AC$2</f>
        <v>246.98380325316964</v>
      </c>
      <c r="T17" s="906">
        <f t="shared" si="11"/>
        <v>-85.175010134953197</v>
      </c>
      <c r="U17" s="89"/>
      <c r="V17" s="103"/>
      <c r="W17" s="115"/>
      <c r="X17" s="1319"/>
      <c r="Y17" s="1319"/>
      <c r="AA17" s="121"/>
      <c r="AC17" s="622" t="str">
        <f>ReportData!$K$10</f>
        <v>Kent</v>
      </c>
      <c r="AD17" s="620">
        <f>IF(ISNUMBER(H17),IDACI!D15,0)</f>
        <v>291866</v>
      </c>
      <c r="AE17" s="621">
        <f>IF(ISNUMBER(H17),IDACI!E15,0)</f>
        <v>46114.828000000001</v>
      </c>
      <c r="AF17" s="628">
        <f>IF(ISNUMBER(D17),Population!P17,"")</f>
        <v>149021</v>
      </c>
      <c r="AG17" s="155">
        <f>IF(ISNUMBER(E17),Population!Q17,"")</f>
        <v>151514</v>
      </c>
      <c r="AH17" s="155">
        <f>IF(ISNUMBER(F17),Population!R17,"")</f>
        <v>154222</v>
      </c>
      <c r="AI17" s="155">
        <f>IF(ISNUMBER(G17),Population!S17,"")</f>
        <v>159203</v>
      </c>
      <c r="AJ17" s="629">
        <f>IF(ISNUMBER(H17),Population!T17,"")</f>
        <v>163446</v>
      </c>
      <c r="AK17" s="52"/>
      <c r="AL17" s="65" t="s">
        <v>9</v>
      </c>
      <c r="AM17" s="70">
        <f t="shared" si="1"/>
        <v>161.80879311821644</v>
      </c>
      <c r="AN17" s="156">
        <f t="shared" si="2"/>
        <v>11</v>
      </c>
      <c r="AR17" s="119"/>
      <c r="AS17" s="52"/>
      <c r="AT17" s="480">
        <f t="shared" si="3"/>
        <v>0.1585205376445154</v>
      </c>
      <c r="AU17" s="480">
        <f t="shared" si="4"/>
        <v>-0.15581517991156543</v>
      </c>
      <c r="AV17" s="480">
        <f t="shared" si="5"/>
        <v>0.18688130706391165</v>
      </c>
      <c r="AW17" s="480">
        <f t="shared" si="6"/>
        <v>7.0772096036276849E-2</v>
      </c>
      <c r="AX17" s="480">
        <f t="shared" si="7"/>
        <v>6.5089690208284617E-2</v>
      </c>
    </row>
    <row r="18" spans="1:50" s="61" customFormat="1" ht="15.75" customHeight="1">
      <c r="A18" s="306">
        <f>VLOOKUP(B18,ReportData!$AQ$4:$AR$25,2,FALSE)</f>
        <v>0</v>
      </c>
      <c r="B18" s="885" t="str">
        <f>ReportData!$K$11</f>
        <v>Medway</v>
      </c>
      <c r="C18" s="59"/>
      <c r="D18" s="889">
        <f>IF(Year1_Medway Year1_First_Time_Entrants_to_Youth_Justice_system="","",Year1_Medway Year1_First_Time_Entrants_to_Youth_Justice_system)</f>
        <v>45.06</v>
      </c>
      <c r="E18" s="889">
        <f>IF(Year2_Medway Year2_First_Time_Entrants_to_Youth_Justice_system="","",Year2_Medway Year2_First_Time_Entrants_to_Youth_Justice_system)</f>
        <v>27.53</v>
      </c>
      <c r="F18" s="889">
        <f>IF(Year3_Medway Year3_First_Time_Entrants_to_Youth_Justice_system="","",Year3_Medway Year3_First_Time_Entrants_to_Youth_Justice_system)</f>
        <v>38.99</v>
      </c>
      <c r="G18" s="889">
        <f>IF(Year4_Medway Year4_First_Time_Entrants_to_Youth_Justice_system="","",Year4_Medway Year4_First_Time_Entrants_to_Youth_Justice_system)</f>
        <v>58.35</v>
      </c>
      <c r="H18" s="890">
        <f>IF(Year5_Medway Year5_First_Time_Entrants_to_Youth_Justice_system="","",Year5_Medway Year5_First_Time_Entrants_to_Youth_Justice_system)</f>
        <v>53.53</v>
      </c>
      <c r="I18" s="900">
        <f t="shared" si="9"/>
        <v>0.94442426443879401</v>
      </c>
      <c r="J18" s="896"/>
      <c r="K18" s="901">
        <f>IF(ISNUMBER(D18),D18/Population!P18*100000,NA())</f>
        <v>164.25472970509972</v>
      </c>
      <c r="L18" s="901">
        <f>IF(ISNUMBER(E18),E18/Population!Q18*100000,NA())</f>
        <v>99.128618752700575</v>
      </c>
      <c r="M18" s="901">
        <f>IF(ISNUMBER(F18),F18/Population!R18*100000,NA())</f>
        <v>137.99815955262972</v>
      </c>
      <c r="N18" s="901">
        <f>IF(ISNUMBER(G18),G18/Population!S18*100000,NA())</f>
        <v>199.86983626772624</v>
      </c>
      <c r="O18" s="902">
        <f>IF(ISNUMBER(H18),H18/Population!T18*100000,NA())</f>
        <v>177.55149424524859</v>
      </c>
      <c r="P18" s="903">
        <f t="shared" si="8"/>
        <v>177.55149424524859</v>
      </c>
      <c r="Q18" s="904">
        <f t="shared" si="0"/>
        <v>12</v>
      </c>
      <c r="R18" s="64"/>
      <c r="S18" s="905">
        <f>((IDACI!$C16*$AD$41)+$AE$41)/$AC$2</f>
        <v>276.03798621370208</v>
      </c>
      <c r="T18" s="906">
        <f t="shared" si="11"/>
        <v>-98.486491968453493</v>
      </c>
      <c r="U18" s="89"/>
      <c r="V18" s="103"/>
      <c r="W18" s="115"/>
      <c r="X18" s="1319"/>
      <c r="Y18" s="1319"/>
      <c r="AA18" s="121"/>
      <c r="AC18" s="622" t="str">
        <f>ReportData!$K$11</f>
        <v>Medway</v>
      </c>
      <c r="AD18" s="620">
        <f>IF(ISNUMBER(H18),IDACI!D16,0)</f>
        <v>55993</v>
      </c>
      <c r="AE18" s="621">
        <f>IF(ISNUMBER(H18),IDACI!E16,0)</f>
        <v>10582.676999999998</v>
      </c>
      <c r="AF18" s="628">
        <f>IF(ISNUMBER(D18),Population!P18,"")</f>
        <v>27433</v>
      </c>
      <c r="AG18" s="155">
        <f>IF(ISNUMBER(E18),Population!Q18,"")</f>
        <v>27772</v>
      </c>
      <c r="AH18" s="155">
        <f>IF(ISNUMBER(F18),Population!R18,"")</f>
        <v>28254</v>
      </c>
      <c r="AI18" s="155">
        <f>IF(ISNUMBER(G18),Population!S18,"")</f>
        <v>29194</v>
      </c>
      <c r="AJ18" s="629">
        <f>IF(ISNUMBER(H18),Population!T18,"")</f>
        <v>30149</v>
      </c>
      <c r="AK18" s="52"/>
      <c r="AL18" s="65" t="s">
        <v>2</v>
      </c>
      <c r="AM18" s="70">
        <f t="shared" si="1"/>
        <v>177.55149424524859</v>
      </c>
      <c r="AN18" s="156">
        <f t="shared" si="2"/>
        <v>12</v>
      </c>
      <c r="AR18" s="119"/>
      <c r="AS18" s="52"/>
      <c r="AT18" s="480">
        <f t="shared" si="3"/>
        <v>-0.38903683976919662</v>
      </c>
      <c r="AU18" s="480">
        <f t="shared" si="4"/>
        <v>0.41627315655648384</v>
      </c>
      <c r="AV18" s="480">
        <f t="shared" si="5"/>
        <v>0.49653757373685559</v>
      </c>
      <c r="AW18" s="480">
        <f t="shared" si="6"/>
        <v>-8.2604970008568979E-2</v>
      </c>
      <c r="AX18" s="480">
        <f t="shared" si="7"/>
        <v>0.11029223012889346</v>
      </c>
    </row>
    <row r="19" spans="1:50" s="61" customFormat="1" ht="15.75" customHeight="1">
      <c r="A19" s="306">
        <f>VLOOKUP(B19,ReportData!$AQ$4:$AR$25,2,FALSE)</f>
        <v>0</v>
      </c>
      <c r="B19" s="885" t="str">
        <f>ReportData!$K$12</f>
        <v>Milton Keynes</v>
      </c>
      <c r="C19" s="59"/>
      <c r="D19" s="889">
        <f>IF(Year1_Milton_Keynes Year1_First_Time_Entrants_to_Youth_Justice_system="","",Year1_Milton_Keynes Year1_First_Time_Entrants_to_Youth_Justice_system)</f>
        <v>41.97</v>
      </c>
      <c r="E19" s="889">
        <f>IF(Year2_Milton_Keynes Year2_First_Time_Entrants_to_Youth_Justice_system="","",Year2_Milton_Keynes Year2_First_Time_Entrants_to_Youth_Justice_system)</f>
        <v>41.88</v>
      </c>
      <c r="F19" s="889">
        <f>IF(Year3_Milton_Keynes Year3_First_Time_Entrants_to_Youth_Justice_system="","",Year3_Milton_Keynes Year3_First_Time_Entrants_to_Youth_Justice_system)</f>
        <v>34.869999999999997</v>
      </c>
      <c r="G19" s="889">
        <f>IF(Year4_Milton_Keynes Year4_First_Time_Entrants_to_Youth_Justice_system="","",Year4_Milton_Keynes Year4_First_Time_Entrants_to_Youth_Justice_system)</f>
        <v>54.78</v>
      </c>
      <c r="H19" s="890">
        <f>IF(Year5_Milton_Keynes Year5_First_Time_Entrants_to_Youth_Justice_system="","",Year5_Milton_Keynes Year5_First_Time_Entrants_to_Youth_Justice_system)</f>
        <v>43.86</v>
      </c>
      <c r="I19" s="900">
        <f t="shared" si="9"/>
        <v>4.7277936962750636E-2</v>
      </c>
      <c r="J19" s="896"/>
      <c r="K19" s="901">
        <f>IF(ISNUMBER(D19),D19/Population!P19*100000,NA())</f>
        <v>140.64542072986828</v>
      </c>
      <c r="L19" s="901">
        <f>IF(ISNUMBER(E19),E19/Population!Q19*100000,NA())</f>
        <v>135.66569484936832</v>
      </c>
      <c r="M19" s="901">
        <f>IF(ISNUMBER(F19),F19/Population!R19*100000,NA())</f>
        <v>109.74381569836973</v>
      </c>
      <c r="N19" s="901">
        <f>IF(ISNUMBER(G19),G19/Population!S19*100000,NA())</f>
        <v>166.71231626038528</v>
      </c>
      <c r="O19" s="902">
        <f>IF(ISNUMBER(H19),H19/Population!T19*100000,NA())</f>
        <v>128.56514729591089</v>
      </c>
      <c r="P19" s="903">
        <f t="shared" si="8"/>
        <v>128.56514729591089</v>
      </c>
      <c r="Q19" s="904">
        <f t="shared" si="0"/>
        <v>6</v>
      </c>
      <c r="R19" s="64"/>
      <c r="S19" s="905">
        <f>((IDACI!$C17*$AD$41)+$AE$41)/$AC$2</f>
        <v>239.48594958593546</v>
      </c>
      <c r="T19" s="906">
        <f t="shared" si="11"/>
        <v>-110.92080229002457</v>
      </c>
      <c r="U19" s="89"/>
      <c r="V19" s="103"/>
      <c r="W19" s="115"/>
      <c r="X19" s="1319"/>
      <c r="Y19" s="1319"/>
      <c r="AA19" s="121"/>
      <c r="AC19" s="622" t="str">
        <f>ReportData!$K$12</f>
        <v>Milton Keynes</v>
      </c>
      <c r="AD19" s="620">
        <f>IF(ISNUMBER(H19),IDACI!D17,0)</f>
        <v>59903</v>
      </c>
      <c r="AE19" s="621">
        <f>IF(ISNUMBER(H19),IDACI!E17,0)</f>
        <v>8985.4499999999989</v>
      </c>
      <c r="AF19" s="628">
        <f>IF(ISNUMBER(D19),Population!P19,"")</f>
        <v>29841</v>
      </c>
      <c r="AG19" s="155">
        <f>IF(ISNUMBER(E19),Population!Q19,"")</f>
        <v>30870</v>
      </c>
      <c r="AH19" s="155">
        <f>IF(ISNUMBER(F19),Population!R19,"")</f>
        <v>31774</v>
      </c>
      <c r="AI19" s="155">
        <f>IF(ISNUMBER(G19),Population!S19,"")</f>
        <v>32859</v>
      </c>
      <c r="AJ19" s="629">
        <f>IF(ISNUMBER(H19),Population!T19,"")</f>
        <v>34115</v>
      </c>
      <c r="AK19" s="52"/>
      <c r="AL19" s="65" t="s">
        <v>10</v>
      </c>
      <c r="AM19" s="70">
        <f t="shared" si="1"/>
        <v>128.56514729591089</v>
      </c>
      <c r="AN19" s="156">
        <f t="shared" si="2"/>
        <v>6</v>
      </c>
      <c r="AR19" s="119"/>
      <c r="AS19" s="52"/>
      <c r="AT19" s="480">
        <f t="shared" si="3"/>
        <v>-2.1443888491778965E-3</v>
      </c>
      <c r="AU19" s="480">
        <f t="shared" si="4"/>
        <v>-0.16738299904489026</v>
      </c>
      <c r="AV19" s="480">
        <f t="shared" si="5"/>
        <v>0.57097791798107267</v>
      </c>
      <c r="AW19" s="480">
        <f t="shared" si="6"/>
        <v>-0.19934282584884996</v>
      </c>
      <c r="AX19" s="480">
        <f t="shared" si="7"/>
        <v>5.0526926059538631E-2</v>
      </c>
    </row>
    <row r="20" spans="1:50" s="61" customFormat="1" ht="15.75" customHeight="1">
      <c r="A20" s="306">
        <f>VLOOKUP(B20,ReportData!$AQ$4:$AR$25,2,FALSE)</f>
        <v>0</v>
      </c>
      <c r="B20" s="885" t="str">
        <f>ReportData!$K$13</f>
        <v>Oxfordshire</v>
      </c>
      <c r="C20" s="59"/>
      <c r="D20" s="889">
        <f>IF(Year1_Oxfordshire Year1_First_Time_Entrants_to_Youth_Justice_system="","",Year1_Oxfordshire Year1_First_Time_Entrants_to_Youth_Justice_system)</f>
        <v>143.13</v>
      </c>
      <c r="E20" s="889">
        <f>IF(Year2_Oxfordshire Year2_First_Time_Entrants_to_Youth_Justice_system="","",Year2_Oxfordshire Year2_First_Time_Entrants_to_Youth_Justice_system)</f>
        <v>148.28</v>
      </c>
      <c r="F20" s="889">
        <f>IF(Year3_Oxfordshire Year3_First_Time_Entrants_to_Youth_Justice_system="","",Year3_Oxfordshire Year3_First_Time_Entrants_to_Youth_Justice_system)</f>
        <v>96.67</v>
      </c>
      <c r="G20" s="889">
        <f>IF(Year4_Oxfordshire Year4_First_Time_Entrants_to_Youth_Justice_system="","",Year4_Oxfordshire Year4_First_Time_Entrants_to_Youth_Justice_system)</f>
        <v>108.21</v>
      </c>
      <c r="H20" s="890">
        <f>IF(Year5_Oxfordshire Year5_First_Time_Entrants_to_Youth_Justice_system="","",Year5_Oxfordshire Year5_First_Time_Entrants_to_Youth_Justice_system)</f>
        <v>130.65</v>
      </c>
      <c r="I20" s="900">
        <f t="shared" si="9"/>
        <v>-0.11889668195306174</v>
      </c>
      <c r="J20" s="896"/>
      <c r="K20" s="901">
        <f>IF(ISNUMBER(D20),D20/Population!P20*100000,NA())</f>
        <v>220.51890426154748</v>
      </c>
      <c r="L20" s="901">
        <f>IF(ISNUMBER(E20),E20/Population!Q20*100000,NA())</f>
        <v>223.87631543188442</v>
      </c>
      <c r="M20" s="901">
        <f>IF(ISNUMBER(F20),F20/Population!R20*100000,NA())</f>
        <v>142.58953330579976</v>
      </c>
      <c r="N20" s="901">
        <f>IF(ISNUMBER(G20),G20/Population!S20*100000,NA())</f>
        <v>154.9287708497387</v>
      </c>
      <c r="O20" s="902">
        <f>IF(ISNUMBER(H20),H20/Population!T20*100000,NA())</f>
        <v>182.19470359369117</v>
      </c>
      <c r="P20" s="903">
        <f t="shared" si="8"/>
        <v>182.19470359369117</v>
      </c>
      <c r="Q20" s="904">
        <f t="shared" si="0"/>
        <v>13</v>
      </c>
      <c r="R20" s="64"/>
      <c r="S20" s="905">
        <f>((IDACI!$C18*$AD$41)+$AE$41)/$AC$2</f>
        <v>193.56159587412611</v>
      </c>
      <c r="T20" s="906">
        <f t="shared" si="11"/>
        <v>-11.366892280434939</v>
      </c>
      <c r="U20" s="89"/>
      <c r="V20" s="103"/>
      <c r="W20" s="115"/>
      <c r="X20" s="1319"/>
      <c r="Y20" s="1319"/>
      <c r="AA20" s="121"/>
      <c r="AC20" s="622" t="str">
        <f>ReportData!$K$13</f>
        <v>Oxfordshire</v>
      </c>
      <c r="AD20" s="620">
        <f>IF(ISNUMBER(H20),IDACI!D18,0)</f>
        <v>126119</v>
      </c>
      <c r="AE20" s="621">
        <f>IF(ISNUMBER(H20),IDACI!E18,0)</f>
        <v>12738.019000000002</v>
      </c>
      <c r="AF20" s="628">
        <f>IF(ISNUMBER(D20),Population!P20,"")</f>
        <v>64906</v>
      </c>
      <c r="AG20" s="155">
        <f>IF(ISNUMBER(E20),Population!Q20,"")</f>
        <v>66233</v>
      </c>
      <c r="AH20" s="155">
        <f>IF(ISNUMBER(F20),Population!R20,"")</f>
        <v>67796</v>
      </c>
      <c r="AI20" s="155">
        <f>IF(ISNUMBER(G20),Population!S20,"")</f>
        <v>69845</v>
      </c>
      <c r="AJ20" s="629">
        <f>IF(ISNUMBER(H20),Population!T20,"")</f>
        <v>71709</v>
      </c>
      <c r="AK20" s="52"/>
      <c r="AL20" s="65" t="s">
        <v>11</v>
      </c>
      <c r="AM20" s="70">
        <f t="shared" si="1"/>
        <v>182.19470359369117</v>
      </c>
      <c r="AN20" s="156">
        <f t="shared" si="2"/>
        <v>13</v>
      </c>
      <c r="AR20" s="119"/>
      <c r="AS20" s="52"/>
      <c r="AT20" s="480">
        <f t="shared" si="3"/>
        <v>3.5981275763292152E-2</v>
      </c>
      <c r="AU20" s="480">
        <f t="shared" si="4"/>
        <v>-0.34805772862152684</v>
      </c>
      <c r="AV20" s="480">
        <f t="shared" si="5"/>
        <v>0.11937519395882892</v>
      </c>
      <c r="AW20" s="480">
        <f t="shared" si="6"/>
        <v>0.20737454948710851</v>
      </c>
      <c r="AX20" s="480">
        <f t="shared" si="7"/>
        <v>3.6683226469256813E-3</v>
      </c>
    </row>
    <row r="21" spans="1:50" s="61" customFormat="1" ht="15.75" customHeight="1">
      <c r="A21" s="306">
        <f>VLOOKUP(B21,ReportData!$AQ$4:$AR$25,2,FALSE)</f>
        <v>0</v>
      </c>
      <c r="B21" s="885" t="str">
        <f>ReportData!$K$14</f>
        <v>Portsmouth</v>
      </c>
      <c r="C21" s="59"/>
      <c r="D21" s="889">
        <f>IF(Year1_Portsmouth Year1_First_Time_Entrants_to_Youth_Justice_system="","",Year1_Portsmouth Year1_First_Time_Entrants_to_Youth_Justice_system)</f>
        <v>84.08</v>
      </c>
      <c r="E21" s="889">
        <f>IF(Year2_Portsmouth Year2_First_Time_Entrants_to_Youth_Justice_system="","",Year2_Portsmouth Year2_First_Time_Entrants_to_Youth_Justice_system)</f>
        <v>53.25</v>
      </c>
      <c r="F21" s="889">
        <f>IF(Year3_Portsmouth Year3_First_Time_Entrants_to_Youth_Justice_system="","",Year3_Portsmouth Year3_First_Time_Entrants_to_Youth_Justice_system)</f>
        <v>56.12</v>
      </c>
      <c r="G21" s="889">
        <f>IF(Year4_Portsmouth Year4_First_Time_Entrants_to_Youth_Justice_system="","",Year4_Portsmouth Year4_First_Time_Entrants_to_Youth_Justice_system)</f>
        <v>41.3</v>
      </c>
      <c r="H21" s="890">
        <f>IF(Year5_Portsmouth Year5_First_Time_Entrants_to_Youth_Justice_system="","",Year5_Portsmouth Year5_First_Time_Entrants_to_Youth_Justice_system)</f>
        <v>42.52</v>
      </c>
      <c r="I21" s="900">
        <f t="shared" si="9"/>
        <v>-0.20150234741784032</v>
      </c>
      <c r="J21" s="896"/>
      <c r="K21" s="901">
        <f>IF(ISNUMBER(D21),D21/Population!P21*100000,NA())</f>
        <v>475.05508785807109</v>
      </c>
      <c r="L21" s="901">
        <f>IF(ISNUMBER(E21),E21/Population!Q21*100000,NA())</f>
        <v>296.39318713124794</v>
      </c>
      <c r="M21" s="901">
        <f>IF(ISNUMBER(F21),F21/Population!R21*100000,NA())</f>
        <v>309.95250193306083</v>
      </c>
      <c r="N21" s="901">
        <f>IF(ISNUMBER(G21),G21/Population!S21*100000,NA())</f>
        <v>221.8283381673649</v>
      </c>
      <c r="O21" s="902">
        <f>IF(ISNUMBER(H21),H21/Population!T21*100000,NA())</f>
        <v>223.42493825863065</v>
      </c>
      <c r="P21" s="903">
        <f t="shared" si="8"/>
        <v>223.42493825863065</v>
      </c>
      <c r="Q21" s="904">
        <f t="shared" si="0"/>
        <v>15</v>
      </c>
      <c r="R21" s="64"/>
      <c r="S21" s="905">
        <f>((IDACI!$C19*$AD$41)+$AE$41)/$AC$2</f>
        <v>288.22199842295765</v>
      </c>
      <c r="T21" s="906">
        <f t="shared" si="11"/>
        <v>-64.797060164327007</v>
      </c>
      <c r="U21" s="89"/>
      <c r="V21" s="103"/>
      <c r="W21" s="115"/>
      <c r="X21" s="1319"/>
      <c r="Y21" s="1319"/>
      <c r="AA21" s="121"/>
      <c r="AC21" s="622" t="str">
        <f>ReportData!$K$14</f>
        <v>Portsmouth</v>
      </c>
      <c r="AD21" s="620">
        <f>IF(ISNUMBER(H21),IDACI!D19,0)</f>
        <v>39325</v>
      </c>
      <c r="AE21" s="621">
        <f>IF(ISNUMBER(H21),IDACI!E19,0)</f>
        <v>7943.6500000000015</v>
      </c>
      <c r="AF21" s="628">
        <f>IF(ISNUMBER(D21),Population!P21,"")</f>
        <v>17699</v>
      </c>
      <c r="AG21" s="155">
        <f>IF(ISNUMBER(E21),Population!Q21,"")</f>
        <v>17966</v>
      </c>
      <c r="AH21" s="155">
        <f>IF(ISNUMBER(F21),Population!R21,"")</f>
        <v>18106</v>
      </c>
      <c r="AI21" s="155">
        <f>IF(ISNUMBER(G21),Population!S21,"")</f>
        <v>18618</v>
      </c>
      <c r="AJ21" s="629">
        <f>IF(ISNUMBER(H21),Population!T21,"")</f>
        <v>19031</v>
      </c>
      <c r="AK21" s="52"/>
      <c r="AL21" s="65" t="s">
        <v>12</v>
      </c>
      <c r="AM21" s="70">
        <f t="shared" si="1"/>
        <v>223.42493825863065</v>
      </c>
      <c r="AN21" s="156">
        <f t="shared" si="2"/>
        <v>15</v>
      </c>
      <c r="AR21" s="119"/>
      <c r="AS21" s="52"/>
      <c r="AT21" s="480">
        <f t="shared" si="3"/>
        <v>-0.36667459562321597</v>
      </c>
      <c r="AU21" s="480">
        <f t="shared" si="4"/>
        <v>5.3896713615023427E-2</v>
      </c>
      <c r="AV21" s="480">
        <f t="shared" si="5"/>
        <v>-0.26407697790449042</v>
      </c>
      <c r="AW21" s="480">
        <f t="shared" si="6"/>
        <v>2.9539951573850025E-2</v>
      </c>
      <c r="AX21" s="480">
        <f t="shared" si="7"/>
        <v>-0.13682872708470825</v>
      </c>
    </row>
    <row r="22" spans="1:50" s="61" customFormat="1" ht="15.75" customHeight="1">
      <c r="A22" s="306">
        <f>VLOOKUP(B22,ReportData!$AQ$4:$AR$25,2,FALSE)</f>
        <v>0</v>
      </c>
      <c r="B22" s="885" t="str">
        <f>ReportData!$K$15</f>
        <v>Reading</v>
      </c>
      <c r="C22" s="59"/>
      <c r="D22" s="889">
        <f>IF(Year1_Reading Year1_First_Time_Entrants_to_Youth_Justice_system="","",Year1_Reading Year1_First_Time_Entrants_to_Youth_Justice_system)</f>
        <v>50.8</v>
      </c>
      <c r="E22" s="889">
        <f>IF(Year2_Reading Year2_First_Time_Entrants_to_Youth_Justice_system="","",Year2_Reading Year2_First_Time_Entrants_to_Youth_Justice_system)</f>
        <v>33.869999999999997</v>
      </c>
      <c r="F22" s="889">
        <f>IF(Year3_Reading Year3_First_Time_Entrants_to_Youth_Justice_system="","",Year3_Reading Year3_First_Time_Entrants_to_Youth_Justice_system)</f>
        <v>37.75</v>
      </c>
      <c r="G22" s="889">
        <f>IF(Year4_Reading Year4_First_Time_Entrants_to_Youth_Justice_system="","",Year4_Reading Year4_First_Time_Entrants_to_Youth_Justice_system)</f>
        <v>30.82</v>
      </c>
      <c r="H22" s="890">
        <f>IF(Year5_Reading Year5_First_Time_Entrants_to_Youth_Justice_system="","",Year5_Reading Year5_First_Time_Entrants_to_Youth_Justice_system)</f>
        <v>42.69</v>
      </c>
      <c r="I22" s="900">
        <f t="shared" si="9"/>
        <v>0.26040744021257756</v>
      </c>
      <c r="J22" s="896"/>
      <c r="K22" s="901">
        <f>IF(ISNUMBER(D22),D22/Population!P22*100000,NA())</f>
        <v>334.58473292498189</v>
      </c>
      <c r="L22" s="901">
        <f>IF(ISNUMBER(E22),E22/Population!Q22*100000,NA())</f>
        <v>217.04581864786925</v>
      </c>
      <c r="M22" s="901">
        <f>IF(ISNUMBER(F22),F22/Population!R22*100000,NA())</f>
        <v>240.07886034088017</v>
      </c>
      <c r="N22" s="901">
        <f>IF(ISNUMBER(G22),G22/Population!S22*100000,NA())</f>
        <v>190.00061648480366</v>
      </c>
      <c r="O22" s="902">
        <f>IF(ISNUMBER(H22),H22/Population!T22*100000,NA())</f>
        <v>254.63763793617656</v>
      </c>
      <c r="P22" s="903">
        <f t="shared" si="8"/>
        <v>254.63763793617656</v>
      </c>
      <c r="Q22" s="904">
        <f t="shared" si="0"/>
        <v>16</v>
      </c>
      <c r="R22" s="64"/>
      <c r="S22" s="905">
        <f>((IDACI!$C20*$AD$41)+$AE$41)/$AC$2</f>
        <v>248.85826666997818</v>
      </c>
      <c r="T22" s="906">
        <f t="shared" si="11"/>
        <v>5.7793712661983818</v>
      </c>
      <c r="U22" s="89"/>
      <c r="V22" s="103"/>
      <c r="W22" s="115"/>
      <c r="X22" s="1319"/>
      <c r="Y22" s="1319"/>
      <c r="AA22" s="121"/>
      <c r="AC22" s="622" t="str">
        <f>ReportData!$K$15</f>
        <v>Reading</v>
      </c>
      <c r="AD22" s="620">
        <f>IF(ISNUMBER(H22),IDACI!D20,0)</f>
        <v>33203</v>
      </c>
      <c r="AE22" s="621">
        <f>IF(ISNUMBER(H22),IDACI!E20,0)</f>
        <v>5312.4800000000005</v>
      </c>
      <c r="AF22" s="628">
        <f>IF(ISNUMBER(D22),Population!P22,"")</f>
        <v>15183</v>
      </c>
      <c r="AG22" s="155">
        <f>IF(ISNUMBER(E22),Population!Q22,"")</f>
        <v>15605</v>
      </c>
      <c r="AH22" s="155">
        <f>IF(ISNUMBER(F22),Population!R22,"")</f>
        <v>15724</v>
      </c>
      <c r="AI22" s="155">
        <f>IF(ISNUMBER(G22),Population!S22,"")</f>
        <v>16221</v>
      </c>
      <c r="AJ22" s="629">
        <f>IF(ISNUMBER(H22),Population!T22,"")</f>
        <v>16765</v>
      </c>
      <c r="AK22" s="52"/>
      <c r="AL22" s="65" t="s">
        <v>3</v>
      </c>
      <c r="AM22" s="70">
        <f t="shared" si="1"/>
        <v>254.63763793617656</v>
      </c>
      <c r="AN22" s="156">
        <f t="shared" si="2"/>
        <v>16</v>
      </c>
      <c r="AR22" s="119"/>
      <c r="AS22" s="52"/>
      <c r="AT22" s="480">
        <f t="shared" si="3"/>
        <v>-0.33326771653543308</v>
      </c>
      <c r="AU22" s="480">
        <f t="shared" si="4"/>
        <v>0.11455565397106593</v>
      </c>
      <c r="AV22" s="480">
        <f t="shared" si="5"/>
        <v>-0.18357615894039733</v>
      </c>
      <c r="AW22" s="480">
        <f t="shared" si="6"/>
        <v>0.38513951979234257</v>
      </c>
      <c r="AX22" s="480">
        <f t="shared" si="7"/>
        <v>-4.2871754281054858E-3</v>
      </c>
    </row>
    <row r="23" spans="1:50" s="61" customFormat="1" ht="15.75" customHeight="1">
      <c r="A23" s="306">
        <f>VLOOKUP(B23,ReportData!$AQ$4:$AR$25,2,FALSE)</f>
        <v>0</v>
      </c>
      <c r="B23" s="885" t="str">
        <f>ReportData!$K$16</f>
        <v>Slough</v>
      </c>
      <c r="C23" s="59"/>
      <c r="D23" s="889">
        <f>IF(Year1_Slough Year1_First_Time_Entrants_to_Youth_Justice_system="","",Year1_Slough Year1_First_Time_Entrants_to_Youth_Justice_system)</f>
        <v>49.45</v>
      </c>
      <c r="E23" s="889">
        <f>IF(Year2_Slough Year2_First_Time_Entrants_to_Youth_Justice_system="","",Year2_Slough Year2_First_Time_Entrants_to_Youth_Justice_system)</f>
        <v>33.93</v>
      </c>
      <c r="F23" s="889">
        <f>IF(Year3_Slough Year3_First_Time_Entrants_to_Youth_Justice_system="","",Year3_Slough Year3_First_Time_Entrants_to_Youth_Justice_system)</f>
        <v>24.5</v>
      </c>
      <c r="G23" s="889">
        <f>IF(Year4_Slough Year4_First_Time_Entrants_to_Youth_Justice_system="","",Year4_Slough Year4_First_Time_Entrants_to_Youth_Justice_system)</f>
        <v>34.54</v>
      </c>
      <c r="H23" s="890">
        <f>IF(Year5_Slough Year5_First_Time_Entrants_to_Youth_Justice_system="","",Year5_Slough Year5_First_Time_Entrants_to_Youth_Justice_system)</f>
        <v>32.200000000000003</v>
      </c>
      <c r="I23" s="900">
        <f t="shared" si="9"/>
        <v>-5.098732684939572E-2</v>
      </c>
      <c r="J23" s="896"/>
      <c r="K23" s="901">
        <f>IF(ISNUMBER(D23),D23/Population!P23*100000,NA())</f>
        <v>274.82910020563554</v>
      </c>
      <c r="L23" s="901">
        <f>IF(ISNUMBER(E23),E23/Population!Q23*100000,NA())</f>
        <v>180.46912398276689</v>
      </c>
      <c r="M23" s="901">
        <f>IF(ISNUMBER(F23),F23/Population!R23*100000,NA())</f>
        <v>125.82169268693509</v>
      </c>
      <c r="N23" s="901">
        <f>IF(ISNUMBER(G23),G23/Population!S23*100000,NA())</f>
        <v>172.64820553833852</v>
      </c>
      <c r="O23" s="902">
        <f>IF(ISNUMBER(H23),H23/Population!T23*100000,NA())</f>
        <v>157.69626328419611</v>
      </c>
      <c r="P23" s="903">
        <f t="shared" si="8"/>
        <v>157.69626328419611</v>
      </c>
      <c r="Q23" s="904">
        <f t="shared" si="0"/>
        <v>9</v>
      </c>
      <c r="R23" s="64"/>
      <c r="S23" s="905">
        <f>((IDACI!$C21*$AD$41)+$AE$41)/$AC$2</f>
        <v>236.67425446072264</v>
      </c>
      <c r="T23" s="906">
        <f t="shared" si="11"/>
        <v>-78.97799117652653</v>
      </c>
      <c r="U23" s="89"/>
      <c r="V23" s="103"/>
      <c r="W23" s="115"/>
      <c r="X23" s="1319"/>
      <c r="Y23" s="1319"/>
      <c r="AA23" s="121"/>
      <c r="AC23" s="622" t="str">
        <f>ReportData!$K$16</f>
        <v>Slough</v>
      </c>
      <c r="AD23" s="620">
        <f>IF(ISNUMBER(H23),IDACI!D21,0)</f>
        <v>37031</v>
      </c>
      <c r="AE23" s="621">
        <f>IF(ISNUMBER(H23),IDACI!E21,0)</f>
        <v>5443.5569999999998</v>
      </c>
      <c r="AF23" s="628">
        <f>IF(ISNUMBER(D23),Population!P23,"")</f>
        <v>17993</v>
      </c>
      <c r="AG23" s="155">
        <f>IF(ISNUMBER(E23),Population!Q23,"")</f>
        <v>18801</v>
      </c>
      <c r="AH23" s="155">
        <f>IF(ISNUMBER(F23),Population!R23,"")</f>
        <v>19472</v>
      </c>
      <c r="AI23" s="155">
        <f>IF(ISNUMBER(G23),Population!S23,"")</f>
        <v>20006</v>
      </c>
      <c r="AJ23" s="629">
        <f>IF(ISNUMBER(H23),Population!T23,"")</f>
        <v>20419</v>
      </c>
      <c r="AK23" s="52"/>
      <c r="AL23" s="65" t="s">
        <v>13</v>
      </c>
      <c r="AM23" s="70">
        <f t="shared" si="1"/>
        <v>157.69626328419611</v>
      </c>
      <c r="AN23" s="156">
        <f t="shared" si="2"/>
        <v>9</v>
      </c>
      <c r="AR23" s="119"/>
      <c r="AS23" s="52"/>
      <c r="AT23" s="480">
        <f t="shared" si="3"/>
        <v>-0.31385237613751271</v>
      </c>
      <c r="AU23" s="480">
        <f t="shared" si="4"/>
        <v>-0.27792513999410551</v>
      </c>
      <c r="AV23" s="480">
        <f t="shared" si="5"/>
        <v>0.40979591836734691</v>
      </c>
      <c r="AW23" s="480">
        <f t="shared" si="6"/>
        <v>-6.7747539085118602E-2</v>
      </c>
      <c r="AX23" s="480">
        <f t="shared" si="7"/>
        <v>-6.2432284212347477E-2</v>
      </c>
    </row>
    <row r="24" spans="1:50" s="61" customFormat="1" ht="15.75" customHeight="1">
      <c r="A24" s="306">
        <f>VLOOKUP(B24,ReportData!$AQ$4:$AR$25,2,FALSE)</f>
        <v>0</v>
      </c>
      <c r="B24" s="885" t="str">
        <f>ReportData!$K$17</f>
        <v>Southampton</v>
      </c>
      <c r="C24" s="59"/>
      <c r="D24" s="889">
        <f>IF(Year1_Southampton Year1_First_Time_Entrants_to_Youth_Justice_system="","",Year1_Southampton Year1_First_Time_Entrants_to_Youth_Justice_system)</f>
        <v>75.55</v>
      </c>
      <c r="E24" s="889">
        <f>IF(Year2_Southampton Year2_First_Time_Entrants_to_Youth_Justice_system="","",Year2_Southampton Year2_First_Time_Entrants_to_Youth_Justice_system)</f>
        <v>63.4</v>
      </c>
      <c r="F24" s="889">
        <f>IF(Year3_Southampton Year3_First_Time_Entrants_to_Youth_Justice_system="","",Year3_Southampton Year3_First_Time_Entrants_to_Youth_Justice_system)</f>
        <v>39.869999999999997</v>
      </c>
      <c r="G24" s="889">
        <f>IF(Year4_Southampton Year4_First_Time_Entrants_to_Youth_Justice_system="","",Year4_Southampton Year4_First_Time_Entrants_to_Youth_Justice_system)</f>
        <v>40.97</v>
      </c>
      <c r="H24" s="890">
        <f>IF(Year5_Southampton Year5_First_Time_Entrants_to_Youth_Justice_system="","",Year5_Southampton Year5_First_Time_Entrants_to_Youth_Justice_system)</f>
        <v>31.57</v>
      </c>
      <c r="I24" s="900">
        <f t="shared" si="9"/>
        <v>-0.50205047318611984</v>
      </c>
      <c r="J24" s="896"/>
      <c r="K24" s="901">
        <f>IF(ISNUMBER(D24),D24/Population!P24*100000,NA())</f>
        <v>377.63670898730379</v>
      </c>
      <c r="L24" s="901">
        <f>IF(ISNUMBER(E24),E24/Population!Q24*100000,NA())</f>
        <v>306.38380128545884</v>
      </c>
      <c r="M24" s="901">
        <f>IF(ISNUMBER(F24),F24/Population!R24*100000,NA())</f>
        <v>186.57868875473815</v>
      </c>
      <c r="N24" s="901">
        <f>IF(ISNUMBER(G24),G24/Population!S24*100000,NA())</f>
        <v>186.80466897683749</v>
      </c>
      <c r="O24" s="902">
        <f>IF(ISNUMBER(H24),H24/Population!T24*100000,NA())</f>
        <v>140.37974120681224</v>
      </c>
      <c r="P24" s="903">
        <f t="shared" si="8"/>
        <v>140.37974120681224</v>
      </c>
      <c r="Q24" s="904" t="str">
        <f t="shared" si="0"/>
        <v>--</v>
      </c>
      <c r="R24" s="64"/>
      <c r="S24" s="905">
        <f>((IDACI!$C22*$AD$41)+$AE$41)/$AC$2</f>
        <v>291.03369354817039</v>
      </c>
      <c r="T24" s="906">
        <f t="shared" si="11"/>
        <v>-150.65395234135815</v>
      </c>
      <c r="U24" s="89"/>
      <c r="V24" s="103"/>
      <c r="W24" s="115"/>
      <c r="X24" s="1319"/>
      <c r="Y24" s="1319"/>
      <c r="AA24" s="121"/>
      <c r="AC24" s="622" t="str">
        <f>ReportData!$K$17</f>
        <v>Southampton</v>
      </c>
      <c r="AD24" s="620">
        <f>IF(ISNUMBER(H24),IDACI!D22,0)</f>
        <v>44295</v>
      </c>
      <c r="AE24" s="621">
        <f>IF(ISNUMBER(H24),IDACI!E22,0)</f>
        <v>9080.4750000000004</v>
      </c>
      <c r="AF24" s="628">
        <f>IF(ISNUMBER(D24),Population!P24,"")</f>
        <v>20006</v>
      </c>
      <c r="AG24" s="155">
        <f>IF(ISNUMBER(E24),Population!Q24,"")</f>
        <v>20693</v>
      </c>
      <c r="AH24" s="155">
        <f>IF(ISNUMBER(F24),Population!R24,"")</f>
        <v>21369</v>
      </c>
      <c r="AI24" s="155">
        <f>IF(ISNUMBER(G24),Population!S24,"")</f>
        <v>21932</v>
      </c>
      <c r="AJ24" s="629">
        <f>IF(ISNUMBER(H24),Population!T24,"")</f>
        <v>22489</v>
      </c>
      <c r="AK24" s="52"/>
      <c r="AL24" s="65" t="s">
        <v>7</v>
      </c>
      <c r="AM24" s="70">
        <f t="shared" si="1"/>
        <v>62.186631181237082</v>
      </c>
      <c r="AN24" s="156">
        <f t="shared" si="2"/>
        <v>1</v>
      </c>
      <c r="AR24" s="119"/>
      <c r="AS24" s="52"/>
      <c r="AT24" s="480">
        <f t="shared" si="3"/>
        <v>-0.16082064857710124</v>
      </c>
      <c r="AU24" s="480">
        <f t="shared" si="4"/>
        <v>-0.37113564668769716</v>
      </c>
      <c r="AV24" s="480">
        <f t="shared" si="5"/>
        <v>2.7589666415851553E-2</v>
      </c>
      <c r="AW24" s="480">
        <f t="shared" si="6"/>
        <v>-0.22943617280937267</v>
      </c>
      <c r="AX24" s="480">
        <f t="shared" si="7"/>
        <v>-0.18345070041457986</v>
      </c>
    </row>
    <row r="25" spans="1:50" s="61" customFormat="1" ht="15.75" customHeight="1">
      <c r="A25" s="306">
        <f>VLOOKUP(B25,ReportData!$AQ$4:$AR$25,2,FALSE)</f>
        <v>0</v>
      </c>
      <c r="B25" s="885" t="str">
        <f>ReportData!$K$18</f>
        <v>Surrey</v>
      </c>
      <c r="C25" s="59"/>
      <c r="D25" s="889">
        <f>IF(Year1_Surrey Year1_First_Time_Entrants_to_Youth_Justice_system="","",Year1_Surrey Year1_First_Time_Entrants_to_Youth_Justice_system)</f>
        <v>133.33000000000001</v>
      </c>
      <c r="E25" s="889">
        <f>IF(Year2_Surrey Year2_First_Time_Entrants_to_Youth_Justice_system="","",Year2_Surrey Year2_First_Time_Entrants_to_Youth_Justice_system)</f>
        <v>116.76</v>
      </c>
      <c r="F25" s="889">
        <f>IF(Year3_Surrey Year3_First_Time_Entrants_to_Youth_Justice_system="","",Year3_Surrey Year3_First_Time_Entrants_to_Youth_Justice_system)</f>
        <v>83.77</v>
      </c>
      <c r="G25" s="889">
        <f>IF(Year4_Surrey Year4_First_Time_Entrants_to_Youth_Justice_system="","",Year4_Surrey Year4_First_Time_Entrants_to_Youth_Justice_system)</f>
        <v>106.24</v>
      </c>
      <c r="H25" s="890">
        <f>IF(Year5_Surrey Year5_First_Time_Entrants_to_Youth_Justice_system="","",Year5_Surrey Year5_First_Time_Entrants_to_Youth_Justice_system)</f>
        <v>78.510000000000005</v>
      </c>
      <c r="I25" s="900">
        <f t="shared" si="9"/>
        <v>-0.32759506680369987</v>
      </c>
      <c r="J25" s="896"/>
      <c r="K25" s="901">
        <f>IF(ISNUMBER(D25),D25/Population!P25*100000,NA())</f>
        <v>115.17297974344579</v>
      </c>
      <c r="L25" s="901">
        <f>IF(ISNUMBER(E25),E25/Population!Q25*100000,NA())</f>
        <v>98.694053505768991</v>
      </c>
      <c r="M25" s="901">
        <f>IF(ISNUMBER(F25),F25/Population!R25*100000,NA())</f>
        <v>69.486379773715115</v>
      </c>
      <c r="N25" s="901">
        <f>IF(ISNUMBER(G25),G25/Population!S25*100000,NA())</f>
        <v>85.79227029733353</v>
      </c>
      <c r="O25" s="902">
        <f>IF(ISNUMBER(H25),H25/Population!T25*100000,NA())</f>
        <v>62.186631181237082</v>
      </c>
      <c r="P25" s="903">
        <f t="shared" si="8"/>
        <v>62.186631181237082</v>
      </c>
      <c r="Q25" s="904">
        <f t="shared" si="0"/>
        <v>1</v>
      </c>
      <c r="R25" s="64"/>
      <c r="S25" s="905">
        <f>((IDACI!$C23*$AD$41)+$AE$41)/$AC$2</f>
        <v>176.69142512284924</v>
      </c>
      <c r="T25" s="906">
        <f t="shared" si="11"/>
        <v>-114.50479394161215</v>
      </c>
      <c r="U25" s="89"/>
      <c r="V25" s="103"/>
      <c r="W25" s="115"/>
      <c r="X25" s="1319"/>
      <c r="Y25" s="1319"/>
      <c r="AA25" s="121"/>
      <c r="AC25" s="622" t="str">
        <f>ReportData!$K$18</f>
        <v>Surrey</v>
      </c>
      <c r="AD25" s="620">
        <f>IF(ISNUMBER(H25),IDACI!D23,0)</f>
        <v>228466</v>
      </c>
      <c r="AE25" s="621">
        <f>IF(ISNUMBER(H25),IDACI!E23,0)</f>
        <v>18962.678</v>
      </c>
      <c r="AF25" s="628">
        <f>IF(ISNUMBER(D25),Population!P25,"")</f>
        <v>115765</v>
      </c>
      <c r="AG25" s="155">
        <f>IF(ISNUMBER(E25),Population!Q25,"")</f>
        <v>118305</v>
      </c>
      <c r="AH25" s="155">
        <f>IF(ISNUMBER(F25),Population!R25,"")</f>
        <v>120556</v>
      </c>
      <c r="AI25" s="155">
        <f>IF(ISNUMBER(G25),Population!S25,"")</f>
        <v>123834</v>
      </c>
      <c r="AJ25" s="629">
        <f>IF(ISNUMBER(H25),Population!T25,"")</f>
        <v>126249</v>
      </c>
      <c r="AK25" s="52"/>
      <c r="AL25" s="65" t="s">
        <v>15</v>
      </c>
      <c r="AM25" s="70">
        <f t="shared" si="1"/>
        <v>131.46892655367233</v>
      </c>
      <c r="AN25" s="156">
        <f t="shared" si="2"/>
        <v>7</v>
      </c>
      <c r="AR25" s="119"/>
      <c r="AS25" s="52"/>
      <c r="AT25" s="480">
        <f t="shared" si="3"/>
        <v>-0.12427810695267386</v>
      </c>
      <c r="AU25" s="480">
        <f t="shared" si="4"/>
        <v>-0.28254539225762254</v>
      </c>
      <c r="AV25" s="480">
        <f t="shared" si="5"/>
        <v>0.26823445147427483</v>
      </c>
      <c r="AW25" s="480">
        <f t="shared" si="6"/>
        <v>-0.26101280120481918</v>
      </c>
      <c r="AX25" s="480">
        <f t="shared" si="7"/>
        <v>-9.990046223521018E-2</v>
      </c>
    </row>
    <row r="26" spans="1:50" s="61" customFormat="1" ht="15.75" customHeight="1">
      <c r="A26" s="306">
        <f>VLOOKUP(B26,ReportData!$AQ$4:$AR$25,2,FALSE)</f>
        <v>0</v>
      </c>
      <c r="B26" s="885" t="str">
        <f>ReportData!$K$19</f>
        <v>West Berkshire</v>
      </c>
      <c r="C26" s="59"/>
      <c r="D26" s="889">
        <f>IF(Year1_West_Berkshire Year1_First_Time_Entrants_to_Youth_Justice_system="","",Year1_West_Berkshire Year1_First_Time_Entrants_to_Youth_Justice_system)</f>
        <v>32.42</v>
      </c>
      <c r="E26" s="889">
        <f>IF(Year2_West_Berkshire Year2_First_Time_Entrants_to_Youth_Justice_system="","",Year2_West_Berkshire Year2_First_Time_Entrants_to_Youth_Justice_system)</f>
        <v>28.11</v>
      </c>
      <c r="F26" s="889">
        <f>IF(Year3_West_Berkshire Year3_First_Time_Entrants_to_Youth_Justice_system="","",Year3_West_Berkshire Year3_First_Time_Entrants_to_Youth_Justice_system)</f>
        <v>29.86</v>
      </c>
      <c r="G26" s="889">
        <f>IF(Year4_West_Berkshire Year4_First_Time_Entrants_to_Youth_Justice_system="","",Year4_West_Berkshire Year4_First_Time_Entrants_to_Youth_Justice_system)</f>
        <v>29.93</v>
      </c>
      <c r="H26" s="890">
        <f>IF(Year5_West_Berkshire Year5_First_Time_Entrants_to_Youth_Justice_system="","",Year5_West_Berkshire Year5_First_Time_Entrants_to_Youth_Justice_system)</f>
        <v>23.27</v>
      </c>
      <c r="I26" s="900">
        <f t="shared" ref="I26:I31" si="12">IF(ISNUMBER(H26),(H26-E26)/E26,"")</f>
        <v>-0.17218071860547848</v>
      </c>
      <c r="J26" s="896"/>
      <c r="K26" s="901">
        <f>IF(ISNUMBER(D26),D26/Population!P26*100000,NA())</f>
        <v>197.49025341130604</v>
      </c>
      <c r="L26" s="901">
        <f>IF(ISNUMBER(E26),E26/Population!Q26*100000,NA())</f>
        <v>168.79841470005405</v>
      </c>
      <c r="M26" s="901">
        <f>IF(ISNUMBER(F26),F26/Population!R26*100000,NA())</f>
        <v>178.09853274484075</v>
      </c>
      <c r="N26" s="901">
        <f>IF(ISNUMBER(G26),G26/Population!S26*100000,NA())</f>
        <v>174.37660219063156</v>
      </c>
      <c r="O26" s="902">
        <f>IF(ISNUMBER(H26),H26/Population!T26*100000,NA())</f>
        <v>131.46892655367233</v>
      </c>
      <c r="P26" s="903">
        <f t="shared" ref="P26:P31" si="13">IF(ISNUMBER(O26),O26,"")</f>
        <v>131.46892655367233</v>
      </c>
      <c r="Q26" s="904">
        <f t="shared" si="0"/>
        <v>7</v>
      </c>
      <c r="R26" s="64"/>
      <c r="S26" s="905">
        <f>((IDACI!$C24*$AD$41)+$AE$41)/$AC$2</f>
        <v>180.44035195646632</v>
      </c>
      <c r="T26" s="906">
        <f t="shared" si="11"/>
        <v>-48.971425402793983</v>
      </c>
      <c r="U26" s="89"/>
      <c r="V26" s="103"/>
      <c r="W26" s="115"/>
      <c r="X26" s="1319"/>
      <c r="Y26" s="1319"/>
      <c r="AA26" s="121"/>
      <c r="AC26" s="622" t="str">
        <f>ReportData!$K$19</f>
        <v>West Berkshire</v>
      </c>
      <c r="AD26" s="620">
        <f>IF(ISNUMBER(H26),IDACI!D24,0)</f>
        <v>31625</v>
      </c>
      <c r="AE26" s="621">
        <f>IF(ISNUMBER(H26),IDACI!E24,0)</f>
        <v>2751.375</v>
      </c>
      <c r="AF26" s="628">
        <f>IF(ISNUMBER(D26),Population!P26,"")</f>
        <v>16416</v>
      </c>
      <c r="AG26" s="155">
        <f>IF(ISNUMBER(E26),Population!Q26,"")</f>
        <v>16653</v>
      </c>
      <c r="AH26" s="155">
        <f>IF(ISNUMBER(F26),Population!R26,"")</f>
        <v>16766</v>
      </c>
      <c r="AI26" s="155">
        <f>IF(ISNUMBER(G26),Population!S26,"")</f>
        <v>17164</v>
      </c>
      <c r="AJ26" s="629">
        <f>IF(ISNUMBER(H26),Population!T26,"")</f>
        <v>17700</v>
      </c>
      <c r="AK26" s="52"/>
      <c r="AL26" s="65" t="s">
        <v>27</v>
      </c>
      <c r="AM26" s="70">
        <f t="shared" si="1"/>
        <v>94.421344421344429</v>
      </c>
      <c r="AN26" s="156">
        <f t="shared" si="2"/>
        <v>4</v>
      </c>
      <c r="AR26" s="119"/>
      <c r="AS26" s="52"/>
      <c r="AT26" s="480">
        <f t="shared" si="3"/>
        <v>-0.13294262800740289</v>
      </c>
      <c r="AU26" s="480">
        <f t="shared" si="4"/>
        <v>6.225542511561722E-2</v>
      </c>
      <c r="AV26" s="480">
        <f t="shared" si="5"/>
        <v>2.3442732752846714E-3</v>
      </c>
      <c r="AW26" s="480">
        <f t="shared" si="6"/>
        <v>-0.2225192114934848</v>
      </c>
      <c r="AX26" s="480">
        <f t="shared" ref="AX26:AX31" si="14">AVERAGE(AT26:AW26)</f>
        <v>-7.2715535277496454E-2</v>
      </c>
    </row>
    <row r="27" spans="1:50" s="61" customFormat="1" ht="15.75" customHeight="1">
      <c r="A27" s="306">
        <f>VLOOKUP(B27,ReportData!$AQ$4:$AR$25,2,FALSE)</f>
        <v>0</v>
      </c>
      <c r="B27" s="885" t="str">
        <f>ReportData!$K$20</f>
        <v>West Sussex</v>
      </c>
      <c r="C27" s="59"/>
      <c r="D27" s="889">
        <f>IF(Year1_West_Sussex Year1_First_Time_Entrants_to_Youth_Justice_system="","",Year1_West_Sussex Year1_First_Time_Entrants_to_Youth_Justice_system)</f>
        <v>77.59</v>
      </c>
      <c r="E27" s="889">
        <f>IF(Year2_West_Sussex Year2_First_Time_Entrants_to_Youth_Justice_system="","",Year2_West_Sussex Year2_First_Time_Entrants_to_Youth_Justice_system)</f>
        <v>58.28</v>
      </c>
      <c r="F27" s="889">
        <f>IF(Year3_West_Sussex Year3_First_Time_Entrants_to_Youth_Justice_system="","",Year3_West_Sussex Year3_First_Time_Entrants_to_Youth_Justice_system)</f>
        <v>87.3</v>
      </c>
      <c r="G27" s="889">
        <f>IF(Year4_West_Sussex Year4_First_Time_Entrants_to_Youth_Justice_system="","",Year4_West_Sussex Year4_First_Time_Entrants_to_Youth_Justice_system)</f>
        <v>78.930000000000007</v>
      </c>
      <c r="H27" s="890">
        <f>IF(Year5_West_Sussex Year5_First_Time_Entrants_to_Youth_Justice_system="","",Year5_West_Sussex Year5_First_Time_Entrants_to_Youth_Justice_system)</f>
        <v>69.22</v>
      </c>
      <c r="I27" s="900">
        <f t="shared" si="12"/>
        <v>0.18771448181194231</v>
      </c>
      <c r="J27" s="896"/>
      <c r="K27" s="901">
        <f>IF(ISNUMBER(D27),D27/Population!P27*100000,NA())</f>
        <v>99.951048590714691</v>
      </c>
      <c r="L27" s="901">
        <f>IF(ISNUMBER(E27),E27/Population!Q27*100000,NA())</f>
        <v>73.552425665101723</v>
      </c>
      <c r="M27" s="901">
        <f>IF(ISNUMBER(F27),F27/Population!R27*100000,NA())</f>
        <v>108.07264264227089</v>
      </c>
      <c r="N27" s="901">
        <f>IF(ISNUMBER(G27),G27/Population!S27*100000,NA())</f>
        <v>94.952241176046016</v>
      </c>
      <c r="O27" s="902">
        <f>IF(ISNUMBER(H27),H27/Population!T27*100000,NA())</f>
        <v>81.725660582304187</v>
      </c>
      <c r="P27" s="903">
        <f t="shared" si="13"/>
        <v>81.725660582304187</v>
      </c>
      <c r="Q27" s="904" t="str">
        <f t="shared" si="0"/>
        <v>--</v>
      </c>
      <c r="R27" s="64"/>
      <c r="S27" s="905">
        <f>((IDACI!$C25*$AD$41)+$AE$41)/$AC$2</f>
        <v>201.99668124976455</v>
      </c>
      <c r="T27" s="906">
        <f t="shared" si="11"/>
        <v>-120.27102066746036</v>
      </c>
      <c r="U27" s="89"/>
      <c r="V27" s="103"/>
      <c r="W27" s="115"/>
      <c r="X27" s="1319"/>
      <c r="Y27" s="1319"/>
      <c r="AA27" s="121"/>
      <c r="AC27" s="622" t="str">
        <f>ReportData!$K$20</f>
        <v>West Sussex</v>
      </c>
      <c r="AD27" s="620">
        <f>IF(ISNUMBER(H27),IDACI!D25,0)</f>
        <v>151487</v>
      </c>
      <c r="AE27" s="621">
        <f>IF(ISNUMBER(H27),IDACI!E25,0)</f>
        <v>16663.57</v>
      </c>
      <c r="AF27" s="628">
        <f>IF(ISNUMBER(D27),Population!P27,"")</f>
        <v>77628</v>
      </c>
      <c r="AG27" s="155">
        <f>IF(ISNUMBER(E27),Population!Q27,"")</f>
        <v>79236</v>
      </c>
      <c r="AH27" s="155">
        <f>IF(ISNUMBER(F27),Population!R27,"")</f>
        <v>80779</v>
      </c>
      <c r="AI27" s="155">
        <f>IF(ISNUMBER(G27),Population!S27,"")</f>
        <v>83126</v>
      </c>
      <c r="AJ27" s="629">
        <f>IF(ISNUMBER(H27),Population!T27,"")</f>
        <v>84698</v>
      </c>
      <c r="AK27" s="52"/>
      <c r="AL27" s="65" t="s">
        <v>16</v>
      </c>
      <c r="AM27" s="70">
        <f t="shared" si="1"/>
        <v>76.688125558009489</v>
      </c>
      <c r="AN27" s="156">
        <f t="shared" si="2"/>
        <v>2</v>
      </c>
      <c r="AR27" s="119"/>
      <c r="AS27" s="52"/>
      <c r="AT27" s="480">
        <f t="shared" si="3"/>
        <v>-0.24887227735532932</v>
      </c>
      <c r="AU27" s="480">
        <f t="shared" si="4"/>
        <v>0.49794097460535341</v>
      </c>
      <c r="AV27" s="480">
        <f t="shared" si="5"/>
        <v>-9.587628865979371E-2</v>
      </c>
      <c r="AW27" s="480">
        <f t="shared" si="6"/>
        <v>-0.12302039782085401</v>
      </c>
      <c r="AX27" s="480">
        <f t="shared" si="14"/>
        <v>7.5430026923440884E-3</v>
      </c>
    </row>
    <row r="28" spans="1:50" s="61" customFormat="1" ht="15.75" customHeight="1">
      <c r="A28" s="306">
        <f>VLOOKUP(B28,ReportData!$AQ$4:$AR$25,2,FALSE)</f>
        <v>0</v>
      </c>
      <c r="B28" s="885" t="str">
        <f>ReportData!$K$21</f>
        <v>Windsor &amp; Maidenhead</v>
      </c>
      <c r="C28" s="59"/>
      <c r="D28" s="889">
        <f>IF(Year1_Windsor_and_Maidenhead Year1_First_Time_Entrants_to_Youth_Justice_system="","",Year1_Windsor_and_Maidenhead Year1_First_Time_Entrants_to_Youth_Justice_system)</f>
        <v>15.35</v>
      </c>
      <c r="E28" s="889">
        <f>IF(Year2_Windsor_and_Maidenhead Year2_First_Time_Entrants_to_Youth_Justice_system="","",Year2_Windsor_and_Maidenhead Year2_First_Time_Entrants_to_Youth_Justice_system)</f>
        <v>22.12</v>
      </c>
      <c r="F28" s="889">
        <f>IF(Year3_Windsor_and_Maidenhead Year3_First_Time_Entrants_to_Youth_Justice_system="","",Year3_Windsor_and_Maidenhead Year3_First_Time_Entrants_to_Youth_Justice_system)</f>
        <v>21.99</v>
      </c>
      <c r="G28" s="889">
        <f>IF(Year4_Windsor_and_Maidenhead Year4_First_Time_Entrants_to_Youth_Justice_system="","",Year4_Windsor_and_Maidenhead Year4_First_Time_Entrants_to_Youth_Justice_system)</f>
        <v>21.75</v>
      </c>
      <c r="H28" s="890">
        <f>IF(Year5_Windsor_and_Maidenhead Year5_First_Time_Entrants_to_Youth_Justice_system="","",Year5_Windsor_and_Maidenhead Year5_First_Time_Entrants_to_Youth_Justice_system)</f>
        <v>16.350000000000001</v>
      </c>
      <c r="I28" s="900">
        <f t="shared" si="12"/>
        <v>-0.26084990958408677</v>
      </c>
      <c r="J28" s="896"/>
      <c r="K28" s="901">
        <f>IF(ISNUMBER(D28),D28/Population!P28*100000,NA())</f>
        <v>94.595427374129528</v>
      </c>
      <c r="L28" s="901">
        <f>IF(ISNUMBER(E28),E28/Population!Q28*100000,NA())</f>
        <v>133.84159254553157</v>
      </c>
      <c r="M28" s="901">
        <f>IF(ISNUMBER(F28),F28/Population!R28*100000,NA())</f>
        <v>131.34631465774697</v>
      </c>
      <c r="N28" s="901">
        <f>IF(ISNUMBER(G28),G28/Population!S28*100000,NA())</f>
        <v>127.23762723762724</v>
      </c>
      <c r="O28" s="902">
        <f>IF(ISNUMBER(H28),H28/Population!T28*100000,NA())</f>
        <v>94.421344421344429</v>
      </c>
      <c r="P28" s="903">
        <f t="shared" si="13"/>
        <v>94.421344421344429</v>
      </c>
      <c r="Q28" s="904">
        <f t="shared" si="0"/>
        <v>4</v>
      </c>
      <c r="R28" s="64"/>
      <c r="S28" s="905">
        <f>((IDACI!$C26*$AD$41)+$AE$41)/$AC$2</f>
        <v>161.69571778838088</v>
      </c>
      <c r="T28" s="906">
        <f t="shared" si="11"/>
        <v>-67.274373367036446</v>
      </c>
      <c r="U28" s="89"/>
      <c r="V28" s="103"/>
      <c r="W28" s="115"/>
      <c r="X28" s="1319"/>
      <c r="Y28" s="1319"/>
      <c r="AA28" s="121"/>
      <c r="AC28" s="622" t="str">
        <f>ReportData!$K$21</f>
        <v>Windsor &amp; Maidenhead</v>
      </c>
      <c r="AD28" s="620">
        <f>IF(ISNUMBER(H28),IDACI!D26,0)</f>
        <v>29792</v>
      </c>
      <c r="AE28" s="621">
        <f>IF(ISNUMBER(H28),IDACI!E26,0)</f>
        <v>1996.0640000000001</v>
      </c>
      <c r="AF28" s="628">
        <f>IF(ISNUMBER(D28),Population!P28,"")</f>
        <v>16227</v>
      </c>
      <c r="AG28" s="155">
        <f>IF(ISNUMBER(E28),Population!Q28,"")</f>
        <v>16527</v>
      </c>
      <c r="AH28" s="155">
        <f>IF(ISNUMBER(F28),Population!R28,"")</f>
        <v>16742</v>
      </c>
      <c r="AI28" s="155">
        <f>IF(ISNUMBER(G28),Population!S28,"")</f>
        <v>17094</v>
      </c>
      <c r="AJ28" s="629">
        <f>IF(ISNUMBER(H28),Population!T28,"")</f>
        <v>17316</v>
      </c>
      <c r="AK28" s="52"/>
      <c r="AL28" s="52"/>
      <c r="AM28" s="52"/>
      <c r="AN28" s="52"/>
      <c r="AQ28" s="141"/>
      <c r="AR28" s="119"/>
      <c r="AS28" s="52"/>
      <c r="AT28" s="480">
        <f t="shared" si="3"/>
        <v>0.44104234527687308</v>
      </c>
      <c r="AU28" s="480">
        <f t="shared" si="4"/>
        <v>-5.8770343580471316E-3</v>
      </c>
      <c r="AV28" s="480">
        <f t="shared" si="5"/>
        <v>-1.0914051841746177E-2</v>
      </c>
      <c r="AW28" s="480">
        <f t="shared" si="6"/>
        <v>-0.24827586206896546</v>
      </c>
      <c r="AX28" s="480">
        <f t="shared" si="14"/>
        <v>4.399384925202858E-2</v>
      </c>
    </row>
    <row r="29" spans="1:50" s="61" customFormat="1" ht="15.75" customHeight="1">
      <c r="A29" s="306">
        <f>VLOOKUP(B29,ReportData!$AQ$4:$AR$25,2,FALSE)</f>
        <v>0</v>
      </c>
      <c r="B29" s="885" t="str">
        <f>ReportData!$K$22</f>
        <v>Wokingham</v>
      </c>
      <c r="C29" s="59"/>
      <c r="D29" s="889">
        <f>IF(Year1_Wokingham Year1_First_Time_Entrants_to_Youth_Justice_system="","",Year1_Wokingham Year1_First_Time_Entrants_to_Youth_Justice_system)</f>
        <v>14.39</v>
      </c>
      <c r="E29" s="889">
        <f>IF(Year2_Wokingham Year2_First_Time_Entrants_to_Youth_Justice_system="","",Year2_Wokingham Year2_First_Time_Entrants_to_Youth_Justice_system)</f>
        <v>23.21</v>
      </c>
      <c r="F29" s="889">
        <f>IF(Year3_Wokingham Year3_First_Time_Entrants_to_Youth_Justice_system="","",Year3_Wokingham Year3_First_Time_Entrants_to_Youth_Justice_system)</f>
        <v>14.17</v>
      </c>
      <c r="G29" s="889">
        <f>IF(Year4_Wokingham Year4_First_Time_Entrants_to_Youth_Justice_system="","",Year4_Wokingham Year4_First_Time_Entrants_to_Youth_Justice_system)</f>
        <v>26.38</v>
      </c>
      <c r="H29" s="890">
        <f>IF(Year5_Wokingham Year5_First_Time_Entrants_to_Youth_Justice_system="","",Year5_Wokingham Year5_First_Time_Entrants_to_Youth_Justice_system)</f>
        <v>16.32</v>
      </c>
      <c r="I29" s="900">
        <f t="shared" si="12"/>
        <v>-0.2968548039638087</v>
      </c>
      <c r="J29" s="896"/>
      <c r="K29" s="901">
        <f>IF(ISNUMBER(D29),D29/Population!P29*100000,NA())</f>
        <v>80.413523330539263</v>
      </c>
      <c r="L29" s="901">
        <f>IF(ISNUMBER(E29),E29/Population!Q29*100000,NA())</f>
        <v>124.97307775145381</v>
      </c>
      <c r="M29" s="901">
        <f>IF(ISNUMBER(F29),F29/Population!R29*100000,NA())</f>
        <v>73.79823967501693</v>
      </c>
      <c r="N29" s="901">
        <f>IF(ISNUMBER(G29),G29/Population!S29*100000,NA())</f>
        <v>129.44062806673207</v>
      </c>
      <c r="O29" s="902">
        <f>IF(ISNUMBER(H29),H29/Population!T29*100000,NA())</f>
        <v>76.688125558009489</v>
      </c>
      <c r="P29" s="903">
        <f t="shared" si="13"/>
        <v>76.688125558009489</v>
      </c>
      <c r="Q29" s="904">
        <f t="shared" si="0"/>
        <v>2</v>
      </c>
      <c r="R29" s="64"/>
      <c r="S29" s="905">
        <f>((IDACI!$C27*$AD$41)+$AE$41)/$AC$2</f>
        <v>151.38616899593387</v>
      </c>
      <c r="T29" s="906">
        <f t="shared" si="11"/>
        <v>-74.698043437924383</v>
      </c>
      <c r="U29" s="89"/>
      <c r="V29" s="103"/>
      <c r="W29" s="115"/>
      <c r="X29" s="1319"/>
      <c r="Y29" s="1319"/>
      <c r="AA29" s="121"/>
      <c r="AC29" s="622" t="str">
        <f>ReportData!$K$22</f>
        <v>Wokingham</v>
      </c>
      <c r="AD29" s="620">
        <f>IF(ISNUMBER(H29),IDACI!D27,0)</f>
        <v>33327</v>
      </c>
      <c r="AE29" s="621">
        <f>IF(ISNUMBER(H29),IDACI!E27,0)</f>
        <v>1866.3120000000004</v>
      </c>
      <c r="AF29" s="628">
        <f>IF(ISNUMBER(D29),Population!P29,"")</f>
        <v>17895</v>
      </c>
      <c r="AG29" s="155">
        <f>IF(ISNUMBER(E29),Population!Q29,"")</f>
        <v>18572</v>
      </c>
      <c r="AH29" s="155">
        <f>IF(ISNUMBER(F29),Population!R29,"")</f>
        <v>19201</v>
      </c>
      <c r="AI29" s="155">
        <f>IF(ISNUMBER(G29),Population!S29,"")</f>
        <v>20380</v>
      </c>
      <c r="AJ29" s="629">
        <f>IF(ISNUMBER(H29),Population!T29,"")</f>
        <v>21281</v>
      </c>
      <c r="AK29" s="52"/>
      <c r="AL29" s="52"/>
      <c r="AM29" s="52"/>
      <c r="AN29" s="52"/>
      <c r="AQ29" s="141"/>
      <c r="AR29" s="119"/>
      <c r="AS29" s="52"/>
      <c r="AT29" s="480">
        <f t="shared" si="3"/>
        <v>0.61292564280750517</v>
      </c>
      <c r="AU29" s="480">
        <f t="shared" si="4"/>
        <v>-0.38948728996122362</v>
      </c>
      <c r="AV29" s="480">
        <f t="shared" si="5"/>
        <v>0.86167960479887085</v>
      </c>
      <c r="AW29" s="480">
        <f t="shared" si="6"/>
        <v>-0.38134950720242605</v>
      </c>
      <c r="AX29" s="480">
        <f t="shared" si="14"/>
        <v>0.1759421126106816</v>
      </c>
    </row>
    <row r="30" spans="1:50" s="61" customFormat="1" ht="15.75" customHeight="1">
      <c r="A30" s="306"/>
      <c r="B30" s="886" t="str">
        <f>ReportData!$K$23</f>
        <v>South East</v>
      </c>
      <c r="C30" s="59"/>
      <c r="D30" s="892">
        <f>IF(Year1_South_East Year1_First_Time_Entrants_to_Youth_Justice_system="","",Year1_South_East Year1_First_Time_Entrants_to_Youth_Justice_system)</f>
        <v>1491.01</v>
      </c>
      <c r="E30" s="892">
        <f>IF(Year2_South_East Year2_First_Time_Entrants_to_Youth_Justice_system="","",Year2_South_East Year2_First_Time_Entrants_to_Youth_Justice_system)</f>
        <v>1344.27</v>
      </c>
      <c r="F30" s="892">
        <f>IF(Year3_South_East Year3_First_Time_Entrants_to_Youth_Justice_system="","",Year3_South_East Year3_First_Time_Entrants_to_Youth_Justice_system)</f>
        <v>1158.9000000000001</v>
      </c>
      <c r="G30" s="892">
        <f>IF(Year4_South_East Year4_First_Time_Entrants_to_Youth_Justice_system="","",Year4_South_East Year4_First_Time_Entrants_to_Youth_Justice_system)</f>
        <v>1219.3600000000001</v>
      </c>
      <c r="H30" s="893">
        <f>IF(Year5_South_East Year5_First_Time_Entrants_to_Youth_Justice_system="","",Year5_South_East Year5_First_Time_Entrants_to_Youth_Justice_system)</f>
        <v>1224.58</v>
      </c>
      <c r="I30" s="907">
        <f t="shared" si="12"/>
        <v>-8.9037172591815678E-2</v>
      </c>
      <c r="J30" s="896"/>
      <c r="K30" s="908">
        <f>IF(AF30&gt;0,D30/AF30*100000,NA())</f>
        <v>173.32045353624827</v>
      </c>
      <c r="L30" s="908">
        <f>IF(AG30&gt;0,E30/AG30*100000,NA())</f>
        <v>153.32263484036091</v>
      </c>
      <c r="M30" s="908">
        <f>IF(AH30&gt;0,F30/AH30*100000,NA())</f>
        <v>131.70036547448044</v>
      </c>
      <c r="N30" s="908">
        <f>IF(AI30&gt;0,G30/AI30*100000,NA())</f>
        <v>132.76945657902189</v>
      </c>
      <c r="O30" s="909">
        <f>IF(AJ30&gt;0,H30/AJ30*100000,NA())</f>
        <v>130.35600992961554</v>
      </c>
      <c r="P30" s="903">
        <f t="shared" si="13"/>
        <v>130.35600992961554</v>
      </c>
      <c r="Q30" s="910" t="str">
        <f t="shared" si="0"/>
        <v>--</v>
      </c>
      <c r="R30" s="64"/>
      <c r="S30" s="911">
        <f>((IDACI!$C28*$AD$41)+$AE$41)/$AC$2</f>
        <v>214.8486421051233</v>
      </c>
      <c r="T30" s="912">
        <f t="shared" si="11"/>
        <v>-84.492632175507765</v>
      </c>
      <c r="U30" s="89"/>
      <c r="V30" s="103"/>
      <c r="W30" s="115"/>
      <c r="X30" s="1319"/>
      <c r="Y30" s="1319"/>
      <c r="AA30" s="121"/>
      <c r="AC30" s="622" t="str">
        <f>ReportData!$K$23</f>
        <v>South East</v>
      </c>
      <c r="AD30" s="620">
        <f>SUM(AD24:AD25,AD11:AD23,AD26:AD29)</f>
        <v>1704978</v>
      </c>
      <c r="AE30" s="621">
        <f>SUM(AE24:AE25,AE11:AE23,AE26:AE29)</f>
        <v>210927.40200000003</v>
      </c>
      <c r="AF30" s="628">
        <f>SUM(AF11:AF23,AF24:AF25,AF26:AF29)</f>
        <v>860262</v>
      </c>
      <c r="AG30" s="155">
        <f>SUM(AG11:AG23,AG24:AG25,AG26:AG29)</f>
        <v>876759</v>
      </c>
      <c r="AH30" s="155">
        <f>SUM(AH11:AH23,AH24:AH25,AH26:AH29)</f>
        <v>879952</v>
      </c>
      <c r="AI30" s="155">
        <f>SUM(AI11:AI23,AI24:AI25,AI26:AI29)</f>
        <v>918404</v>
      </c>
      <c r="AJ30" s="629">
        <f>SUM(AJ11:AJ23,AJ24:AJ25,AJ26:AJ29)</f>
        <v>939412</v>
      </c>
      <c r="AK30" s="52"/>
      <c r="AL30" s="52"/>
      <c r="AM30" s="52"/>
      <c r="AN30" s="52"/>
      <c r="AQ30" s="141"/>
      <c r="AR30" s="119"/>
      <c r="AS30" s="52"/>
      <c r="AT30" s="480">
        <f t="shared" si="3"/>
        <v>-9.8416509614288314E-2</v>
      </c>
      <c r="AU30" s="480">
        <f t="shared" si="4"/>
        <v>-0.13789640474011911</v>
      </c>
      <c r="AV30" s="480">
        <f t="shared" si="5"/>
        <v>5.2170161359910289E-2</v>
      </c>
      <c r="AW30" s="480">
        <f t="shared" si="6"/>
        <v>4.2809342605955574E-3</v>
      </c>
      <c r="AX30" s="480">
        <f t="shared" si="14"/>
        <v>-4.4965454683475396E-2</v>
      </c>
    </row>
    <row r="31" spans="1:50" s="61" customFormat="1" ht="15.75" customHeight="1">
      <c r="A31" s="306"/>
      <c r="B31" s="887" t="str">
        <f>ReportData!$K$24</f>
        <v>England</v>
      </c>
      <c r="C31" s="59"/>
      <c r="D31" s="894">
        <f>IF(Year1_England Year1_First_Time_Entrants_to_Youth_Justice_system="","",Year1_England Year1_First_Time_Entrants_to_Youth_Justice_system)</f>
        <v>10635.78</v>
      </c>
      <c r="E31" s="894">
        <f>IF(Year2_England Year2_First_Time_Entrants_to_Youth_Justice_system="","",Year2_England Year2_First_Time_Entrants_to_Youth_Justice_system)</f>
        <v>8535.82</v>
      </c>
      <c r="F31" s="894">
        <f>IF(Year3_England Year3_First_Time_Entrants_to_Youth_Justice_system="","",Year3_England Year3_First_Time_Entrants_to_Youth_Justice_system)</f>
        <v>7664.36</v>
      </c>
      <c r="G31" s="894">
        <f>IF(Year4_England Year4_First_Time_Entrants_to_Youth_Justice_system="","",Year4_England Year4_First_Time_Entrants_to_Youth_Justice_system)</f>
        <v>8128.3</v>
      </c>
      <c r="H31" s="895">
        <f>IF(Year5_England Year5_First_Time_Entrants_to_Youth_Justice_system="","",Year5_England Year5_First_Time_Entrants_to_Youth_Justice_system)</f>
        <v>7856.32</v>
      </c>
      <c r="I31" s="913">
        <f t="shared" si="12"/>
        <v>-7.9605708648964019E-2</v>
      </c>
      <c r="J31" s="896"/>
      <c r="K31" s="914">
        <f>IF(ISNUMBER(D31),D31/Population!P31*100000,NA())</f>
        <v>205.61986410944709</v>
      </c>
      <c r="L31" s="914">
        <f>IF(ISNUMBER(E31),E31/Population!Q31*100000,NA())</f>
        <v>161.97675007747003</v>
      </c>
      <c r="M31" s="914">
        <f>IF(ISNUMBER(F31),F31/Population!R31*100000,NA())</f>
        <v>142.8579949375771</v>
      </c>
      <c r="N31" s="914">
        <f>IF(ISNUMBER(G31),G31/Population!S31*100000,NA())</f>
        <v>148.23399608821128</v>
      </c>
      <c r="O31" s="914">
        <f>IF(ISNUMBER(H31),H31/Population!T31*100000,NA())</f>
        <v>140.66212350333254</v>
      </c>
      <c r="P31" s="903">
        <f t="shared" si="13"/>
        <v>140.66212350333254</v>
      </c>
      <c r="Q31" s="916" t="str">
        <f t="shared" si="0"/>
        <v>--</v>
      </c>
      <c r="R31" s="64"/>
      <c r="S31" s="917">
        <f>((IDACI!$C29*$AD$41)+$AE$41)/$AC$2</f>
        <v>259.02173295209991</v>
      </c>
      <c r="T31" s="919">
        <f t="shared" si="11"/>
        <v>-118.35960944876737</v>
      </c>
      <c r="U31" s="89"/>
      <c r="V31" s="103">
        <f>S31*4</f>
        <v>1036.0869318083996</v>
      </c>
      <c r="W31" s="115"/>
      <c r="X31" s="1319"/>
      <c r="Y31" s="1319"/>
      <c r="AA31" s="121"/>
      <c r="AC31" s="622" t="str">
        <f>ReportData!$K$24</f>
        <v>England</v>
      </c>
      <c r="AD31" s="620">
        <f>IF(H31&gt;0,IDACI!D29,0)</f>
        <v>10405050</v>
      </c>
      <c r="AE31" s="621">
        <f>IF(H31&gt;0,IDACI!E29,0)</f>
        <v>1777641.7570000088</v>
      </c>
      <c r="AF31" s="628">
        <f>IF(ISNUMBER(D31),Population!P31,"")</f>
        <v>5172545</v>
      </c>
      <c r="AG31" s="155">
        <f>IF(ISNUMBER(E31),Population!Q31,"")</f>
        <v>5269781</v>
      </c>
      <c r="AH31" s="155">
        <f>IF(ISNUMBER(F31),Population!R31,"")</f>
        <v>5365020</v>
      </c>
      <c r="AI31" s="155">
        <f>IF(ISNUMBER(G31),Population!S31,"")</f>
        <v>5483425</v>
      </c>
      <c r="AJ31" s="629"/>
      <c r="AK31" s="52"/>
      <c r="AL31" s="52"/>
      <c r="AM31" s="52"/>
      <c r="AN31" s="52"/>
      <c r="AQ31" s="141"/>
      <c r="AR31" s="119"/>
      <c r="AS31" s="52"/>
      <c r="AT31" s="480">
        <f t="shared" si="3"/>
        <v>-0.19744297080232956</v>
      </c>
      <c r="AU31" s="480">
        <f t="shared" si="4"/>
        <v>-0.10209446778399733</v>
      </c>
      <c r="AV31" s="480">
        <f t="shared" si="5"/>
        <v>6.0532125317704355E-2</v>
      </c>
      <c r="AW31" s="480">
        <f t="shared" si="6"/>
        <v>-3.3460871276896828E-2</v>
      </c>
      <c r="AX31" s="480">
        <f t="shared" si="14"/>
        <v>-6.8116546136379838E-2</v>
      </c>
    </row>
    <row r="32" spans="1:50" s="56" customFormat="1" ht="12.75" customHeight="1">
      <c r="A32" s="87"/>
      <c r="B32" s="90"/>
      <c r="C32" s="44"/>
      <c r="D32" s="44"/>
      <c r="E32" s="44"/>
      <c r="F32" s="44"/>
      <c r="G32" s="44"/>
      <c r="H32" s="44"/>
      <c r="I32" s="44"/>
      <c r="J32" s="44"/>
      <c r="K32" s="44"/>
      <c r="L32" s="44"/>
      <c r="M32" s="44"/>
      <c r="N32" s="44"/>
      <c r="O32" s="44"/>
      <c r="P32" s="44"/>
      <c r="Q32" s="101" t="s">
        <v>100</v>
      </c>
      <c r="S32" s="44"/>
      <c r="T32" s="44"/>
      <c r="U32" s="86"/>
      <c r="V32" s="121"/>
      <c r="W32" s="114"/>
      <c r="X32" s="55"/>
      <c r="Y32" s="55"/>
      <c r="AA32" s="122"/>
      <c r="AC32" s="632" t="s">
        <v>672</v>
      </c>
      <c r="AD32" s="52"/>
      <c r="AE32" s="52"/>
      <c r="AF32" s="52"/>
      <c r="AG32" s="52"/>
      <c r="AH32" s="52"/>
      <c r="AI32" s="52"/>
      <c r="AJ32" s="52"/>
      <c r="AK32" s="52"/>
      <c r="AL32" s="52"/>
      <c r="AM32" s="52"/>
      <c r="AN32" s="52"/>
      <c r="AO32" s="52"/>
      <c r="AQ32" s="52"/>
      <c r="AR32" s="119"/>
      <c r="AS32" s="52"/>
    </row>
    <row r="33" spans="1:76"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X33" s="55"/>
      <c r="Y33" s="55"/>
      <c r="AA33" s="122"/>
      <c r="AC33" s="55"/>
      <c r="AD33" s="52"/>
      <c r="AE33" s="52"/>
      <c r="AF33" s="52"/>
      <c r="AQ33" s="52"/>
      <c r="AR33" s="119"/>
      <c r="AS33" s="52"/>
      <c r="AT33" s="52"/>
      <c r="AU33" s="52"/>
      <c r="AV33" s="52"/>
      <c r="AW33" s="52"/>
      <c r="AX33" s="52"/>
      <c r="AY33" s="52"/>
    </row>
    <row r="34" spans="1:76" s="56" customFormat="1" ht="15" customHeight="1">
      <c r="A34" s="1565"/>
      <c r="B34" s="1751"/>
      <c r="C34" s="1751"/>
      <c r="D34" s="1751"/>
      <c r="E34" s="1751"/>
      <c r="F34" s="1751"/>
      <c r="G34" s="1751"/>
      <c r="H34" s="1751"/>
      <c r="I34" s="1751"/>
      <c r="J34" s="1751"/>
      <c r="K34" s="1751"/>
      <c r="L34" s="1751"/>
      <c r="M34" s="1751"/>
      <c r="N34" s="1751"/>
      <c r="O34" s="1751"/>
      <c r="P34" s="1751"/>
      <c r="Q34" s="1751"/>
      <c r="R34" s="1751"/>
      <c r="S34" s="1751"/>
      <c r="T34" s="1751"/>
      <c r="U34" s="1752"/>
      <c r="V34" s="185"/>
      <c r="W34" s="114"/>
      <c r="X34" s="55"/>
      <c r="Y34" s="55"/>
      <c r="AA34" s="122"/>
      <c r="AC34" s="55"/>
      <c r="AD34" s="52"/>
      <c r="AE34" s="52"/>
      <c r="AF34" s="52"/>
      <c r="BF34" s="146"/>
      <c r="BG34" s="146"/>
      <c r="BH34" s="146"/>
      <c r="BI34" s="147"/>
      <c r="BK34" s="146"/>
      <c r="BL34" s="146"/>
      <c r="BM34" s="146"/>
      <c r="BN34" s="147"/>
      <c r="BP34" s="146"/>
      <c r="BQ34" s="146"/>
      <c r="BR34" s="146"/>
      <c r="BS34" s="147"/>
      <c r="BU34" s="146"/>
      <c r="BV34" s="146"/>
      <c r="BW34" s="146"/>
      <c r="BX34" s="147"/>
    </row>
    <row r="35" spans="1:76" s="56" customFormat="1" ht="11.25" customHeight="1">
      <c r="A35" s="1739"/>
      <c r="B35" s="1740"/>
      <c r="C35" s="1740"/>
      <c r="D35" s="1740"/>
      <c r="E35" s="1740"/>
      <c r="F35" s="1740"/>
      <c r="G35" s="1740"/>
      <c r="H35" s="1740"/>
      <c r="I35" s="1741"/>
      <c r="J35" s="1740"/>
      <c r="K35" s="1740"/>
      <c r="L35" s="1740"/>
      <c r="M35" s="1740"/>
      <c r="N35" s="1740"/>
      <c r="O35" s="1740"/>
      <c r="P35" s="1742"/>
      <c r="Q35" s="1740"/>
      <c r="R35" s="1740"/>
      <c r="S35" s="1741"/>
      <c r="T35" s="1740"/>
      <c r="U35" s="1743"/>
      <c r="V35" s="185"/>
      <c r="W35" s="114"/>
      <c r="X35" s="55"/>
      <c r="Y35" s="55"/>
      <c r="AA35" s="122"/>
      <c r="AC35" s="55"/>
      <c r="AD35" s="52"/>
      <c r="AE35" s="52"/>
      <c r="AF35" s="52"/>
      <c r="BE35" s="148"/>
      <c r="BF35" s="146"/>
      <c r="BG35" s="146"/>
      <c r="BH35" s="146"/>
      <c r="BI35" s="147"/>
      <c r="BJ35" s="148"/>
      <c r="BK35" s="146"/>
      <c r="BL35" s="146"/>
      <c r="BM35" s="146"/>
      <c r="BN35" s="147"/>
      <c r="BO35" s="148"/>
      <c r="BP35" s="146"/>
      <c r="BQ35" s="146"/>
      <c r="BR35" s="146"/>
      <c r="BS35" s="147"/>
      <c r="BT35" s="172"/>
    </row>
    <row r="36" spans="1:76" s="56" customFormat="1" ht="11.25" customHeight="1">
      <c r="A36" s="81"/>
      <c r="B36" s="82"/>
      <c r="C36" s="82"/>
      <c r="D36" s="82"/>
      <c r="E36" s="82"/>
      <c r="F36" s="82"/>
      <c r="G36" s="82"/>
      <c r="H36" s="82"/>
      <c r="I36" s="82"/>
      <c r="J36" s="83"/>
      <c r="K36" s="82"/>
      <c r="L36" s="82"/>
      <c r="M36" s="82"/>
      <c r="N36" s="82"/>
      <c r="O36" s="82"/>
      <c r="P36" s="82"/>
      <c r="Q36" s="82"/>
      <c r="R36" s="82"/>
      <c r="S36" s="82"/>
      <c r="T36" s="82"/>
      <c r="U36" s="84"/>
      <c r="V36" s="102"/>
      <c r="X36" s="579"/>
      <c r="Y36" s="579"/>
      <c r="AA36" s="122"/>
      <c r="AC36" s="749"/>
      <c r="AD36" s="52"/>
      <c r="AE36" s="52"/>
      <c r="AF36" s="52"/>
      <c r="AG36" s="147"/>
      <c r="BE36" s="613"/>
      <c r="BF36" s="613"/>
      <c r="BG36" s="613"/>
      <c r="BH36" s="613"/>
      <c r="BI36" s="613"/>
      <c r="BJ36" s="613"/>
      <c r="BK36" s="613"/>
      <c r="BL36" s="613"/>
      <c r="BM36" s="613"/>
      <c r="BN36" s="613"/>
      <c r="BO36" s="613"/>
      <c r="BP36" s="613"/>
      <c r="BQ36" s="613"/>
      <c r="BR36" s="613"/>
      <c r="BS36" s="613"/>
    </row>
    <row r="37" spans="1:76" s="56" customFormat="1" ht="3.75" customHeight="1">
      <c r="A37" s="85"/>
      <c r="B37" s="5"/>
      <c r="C37" s="5"/>
      <c r="D37" s="5"/>
      <c r="E37" s="5"/>
      <c r="F37" s="5"/>
      <c r="G37" s="5"/>
      <c r="H37" s="5"/>
      <c r="I37" s="5"/>
      <c r="J37" s="1"/>
      <c r="K37" s="5"/>
      <c r="L37" s="5"/>
      <c r="M37" s="5"/>
      <c r="N37" s="5"/>
      <c r="O37" s="5"/>
      <c r="P37" s="5"/>
      <c r="Q37" s="5"/>
      <c r="R37" s="5"/>
      <c r="S37" s="5"/>
      <c r="T37" s="5"/>
      <c r="U37" s="86"/>
      <c r="V37" s="102"/>
      <c r="W37" s="218"/>
      <c r="X37" s="55"/>
      <c r="Y37" s="55"/>
      <c r="AA37" s="122"/>
      <c r="AH37" s="748" t="s">
        <v>762</v>
      </c>
      <c r="BE37" s="613"/>
      <c r="BF37" s="613"/>
      <c r="BG37" s="613"/>
      <c r="BH37" s="613"/>
      <c r="BI37" s="613"/>
      <c r="BJ37" s="613"/>
      <c r="BK37" s="613"/>
      <c r="BL37" s="613"/>
      <c r="BM37" s="613"/>
      <c r="BN37" s="613"/>
      <c r="BO37" s="613"/>
      <c r="BP37" s="613"/>
      <c r="BQ37" s="613"/>
      <c r="BR37" s="613"/>
      <c r="BS37" s="613"/>
      <c r="BT37" s="613"/>
      <c r="BU37" s="613"/>
      <c r="BV37" s="613"/>
      <c r="BW37" s="613"/>
      <c r="BX37" s="613"/>
    </row>
    <row r="38" spans="1:76" s="56" customFormat="1" ht="14.25" customHeight="1">
      <c r="A38" s="87"/>
      <c r="B38" s="5"/>
      <c r="C38" s="5"/>
      <c r="D38" s="5"/>
      <c r="E38" s="5"/>
      <c r="F38" s="5"/>
      <c r="G38" s="5"/>
      <c r="H38" s="5"/>
      <c r="I38" s="5"/>
      <c r="J38" s="1"/>
      <c r="K38" s="5"/>
      <c r="L38" s="5"/>
      <c r="M38" s="5"/>
      <c r="N38" s="5"/>
      <c r="O38" s="5"/>
      <c r="P38" s="5"/>
      <c r="Q38" s="5"/>
      <c r="R38" s="5"/>
      <c r="S38" s="5"/>
      <c r="T38" s="5"/>
      <c r="U38" s="86"/>
      <c r="V38" s="102"/>
      <c r="W38" s="218"/>
      <c r="X38" s="55"/>
      <c r="Y38" s="55"/>
      <c r="AA38" s="122"/>
      <c r="AC38" s="26" t="s">
        <v>69</v>
      </c>
      <c r="AD38" s="26" t="s">
        <v>67</v>
      </c>
      <c r="AE38" s="26" t="s">
        <v>68</v>
      </c>
      <c r="AF38" s="693">
        <v>3</v>
      </c>
      <c r="AG38" s="165">
        <f>(AF38*AD39)+AE39</f>
        <v>64.063504882329099</v>
      </c>
      <c r="AH38" s="156">
        <f>ROUND(ChartLabels!X62,3)</f>
        <v>0.38</v>
      </c>
      <c r="BE38" s="237"/>
      <c r="BF38" s="237"/>
      <c r="BG38" s="237"/>
      <c r="BH38" s="237"/>
      <c r="BI38" s="237"/>
      <c r="BJ38" s="237"/>
      <c r="BK38" s="237"/>
      <c r="BL38" s="237"/>
      <c r="BM38" s="237"/>
      <c r="BN38" s="237"/>
      <c r="BO38" s="237"/>
      <c r="BP38" s="237"/>
      <c r="BQ38" s="237"/>
      <c r="BR38" s="237"/>
      <c r="BS38" s="237"/>
      <c r="BT38" s="237"/>
      <c r="BU38" s="237"/>
      <c r="BV38" s="237"/>
      <c r="BW38" s="237"/>
      <c r="BX38" s="237"/>
    </row>
    <row r="39" spans="1:76" s="56" customFormat="1" ht="14.25" customHeight="1">
      <c r="A39" s="87"/>
      <c r="B39" s="5"/>
      <c r="C39" s="5"/>
      <c r="D39" s="5"/>
      <c r="E39" s="5"/>
      <c r="F39" s="5"/>
      <c r="G39" s="5"/>
      <c r="H39" s="5"/>
      <c r="I39" s="5"/>
      <c r="J39" s="1"/>
      <c r="K39" s="5"/>
      <c r="L39" s="5"/>
      <c r="M39" s="5"/>
      <c r="N39" s="5"/>
      <c r="O39" s="5"/>
      <c r="P39" s="5"/>
      <c r="Q39" s="5"/>
      <c r="R39" s="5"/>
      <c r="S39" s="5"/>
      <c r="T39" s="5"/>
      <c r="U39" s="86"/>
      <c r="V39" s="102"/>
      <c r="W39" s="218"/>
      <c r="X39" s="55"/>
      <c r="Y39" s="55"/>
      <c r="AA39" s="122"/>
      <c r="AC39" s="161" t="str">
        <f>"Y= "&amp;AD39&amp;"x + "&amp;AE39</f>
        <v>Y= 8.85752620909433x + 37.4909262550461</v>
      </c>
      <c r="AD39" s="433">
        <f>ChartLabels!V62</f>
        <v>8.8575262090943347</v>
      </c>
      <c r="AE39" s="433">
        <f>ChartLabels!W62</f>
        <v>37.490926255046091</v>
      </c>
      <c r="AF39" s="164">
        <v>22</v>
      </c>
      <c r="AG39" s="165">
        <f>(AF39*AD39)+AE39</f>
        <v>232.35650285512145</v>
      </c>
      <c r="AH39" s="747" t="str">
        <f>AH37&amp;" = "&amp;AH38</f>
        <v>r² = 0.38</v>
      </c>
      <c r="BE39" s="237"/>
      <c r="BF39" s="237"/>
      <c r="BG39" s="237"/>
      <c r="BH39" s="237"/>
      <c r="BI39" s="237"/>
      <c r="BJ39" s="237"/>
      <c r="BK39" s="237"/>
      <c r="BL39" s="237"/>
      <c r="BM39" s="237"/>
      <c r="BN39" s="237"/>
      <c r="BO39" s="237"/>
      <c r="BP39" s="237"/>
      <c r="BQ39" s="237"/>
      <c r="BR39" s="237"/>
      <c r="BS39" s="237"/>
      <c r="BT39" s="237"/>
      <c r="BU39" s="237"/>
      <c r="BV39" s="237"/>
      <c r="BW39" s="237"/>
      <c r="BX39" s="237"/>
    </row>
    <row r="40" spans="1:76" ht="14.25" customHeight="1">
      <c r="A40" s="87"/>
      <c r="B40" s="5"/>
      <c r="C40" s="5"/>
      <c r="D40" s="5"/>
      <c r="E40" s="5"/>
      <c r="F40" s="5"/>
      <c r="G40" s="5"/>
      <c r="H40" s="5"/>
      <c r="I40" s="5"/>
      <c r="J40" s="1"/>
      <c r="K40" s="5"/>
      <c r="L40" s="5"/>
      <c r="M40" s="5"/>
      <c r="N40" s="5"/>
      <c r="O40" s="5"/>
      <c r="P40" s="5"/>
      <c r="Q40" s="5"/>
      <c r="R40" s="5"/>
      <c r="S40" s="5"/>
      <c r="T40" s="5"/>
      <c r="U40" s="86"/>
      <c r="V40" s="102"/>
      <c r="W40" s="218"/>
      <c r="AA40" s="122"/>
      <c r="AC40" s="374" t="str">
        <f>"National Trend "&amp;ReportData!$B$8</f>
        <v>National Trend 2024</v>
      </c>
      <c r="AD40" s="158" t="s">
        <v>67</v>
      </c>
      <c r="AE40" s="26" t="s">
        <v>68</v>
      </c>
      <c r="AF40" s="693">
        <v>3</v>
      </c>
      <c r="AG40" s="160">
        <f>((AF40*AD41)+AE41)/$AC$2</f>
        <v>127.01814457742279</v>
      </c>
      <c r="AH40" s="630" t="s">
        <v>763</v>
      </c>
      <c r="BE40" s="237"/>
      <c r="BF40" s="237"/>
      <c r="BG40" s="237"/>
      <c r="BH40" s="237"/>
      <c r="BI40" s="237"/>
      <c r="BJ40" s="237"/>
      <c r="BK40" s="237"/>
      <c r="BL40" s="237"/>
      <c r="BM40" s="237"/>
      <c r="BN40" s="237"/>
      <c r="BO40" s="237"/>
      <c r="BP40" s="237"/>
      <c r="BQ40" s="237"/>
      <c r="BR40" s="237"/>
      <c r="BS40" s="237"/>
      <c r="BT40" s="237"/>
      <c r="BU40" s="237"/>
      <c r="BV40" s="237"/>
      <c r="BW40" s="237"/>
      <c r="BX40" s="237"/>
    </row>
    <row r="41" spans="1:76" ht="14.25" customHeight="1">
      <c r="A41" s="87"/>
      <c r="B41" s="5"/>
      <c r="C41" s="5"/>
      <c r="D41" s="5"/>
      <c r="E41" s="5"/>
      <c r="F41" s="5"/>
      <c r="G41" s="5"/>
      <c r="H41" s="5"/>
      <c r="I41" s="5"/>
      <c r="J41" s="1"/>
      <c r="K41" s="10"/>
      <c r="L41" s="10"/>
      <c r="M41" s="10"/>
      <c r="N41" s="10"/>
      <c r="O41" s="5"/>
      <c r="P41" s="5"/>
      <c r="Q41" s="5"/>
      <c r="R41" s="5"/>
      <c r="S41" s="5"/>
      <c r="T41" s="5"/>
      <c r="U41" s="86"/>
      <c r="V41" s="102"/>
      <c r="W41" s="218"/>
      <c r="AA41" s="122"/>
      <c r="AC41" s="51" t="str">
        <f>"Y= "&amp;AD41&amp;"x + "&amp;AE41</f>
        <v>Y= 9.37231708404272x + 98.9011933252946</v>
      </c>
      <c r="AD41" s="162">
        <v>9.3723170840427219</v>
      </c>
      <c r="AE41" s="163">
        <v>98.901193325294628</v>
      </c>
      <c r="AF41" s="164">
        <v>22</v>
      </c>
      <c r="AG41" s="165">
        <f>((AF41*AD41)+AE41)/$AC$2</f>
        <v>305.09216917423453</v>
      </c>
      <c r="AH41" s="630"/>
      <c r="BE41" s="237"/>
      <c r="BF41" s="237"/>
      <c r="BG41" s="237"/>
      <c r="BH41" s="237"/>
      <c r="BI41" s="237"/>
      <c r="BJ41" s="237"/>
      <c r="BK41" s="237"/>
      <c r="BL41" s="237"/>
      <c r="BM41" s="237"/>
      <c r="BN41" s="237"/>
      <c r="BO41" s="237"/>
      <c r="BP41" s="237"/>
      <c r="BQ41" s="237"/>
      <c r="BR41" s="237"/>
      <c r="BS41" s="237"/>
      <c r="BT41" s="237"/>
      <c r="BU41" s="237"/>
      <c r="BV41" s="237"/>
      <c r="BW41" s="237"/>
      <c r="BX41" s="237"/>
    </row>
    <row r="42" spans="1:76" ht="14.25" customHeight="1">
      <c r="A42" s="87"/>
      <c r="B42" s="76"/>
      <c r="C42" s="76"/>
      <c r="D42" s="77"/>
      <c r="E42" s="77"/>
      <c r="F42" s="77"/>
      <c r="G42" s="77"/>
      <c r="H42" s="77"/>
      <c r="I42" s="77"/>
      <c r="J42" s="1"/>
      <c r="K42" s="5"/>
      <c r="L42" s="5"/>
      <c r="M42" s="5"/>
      <c r="N42" s="5"/>
      <c r="O42" s="5"/>
      <c r="P42" s="5"/>
      <c r="Q42" s="5"/>
      <c r="R42" s="5"/>
      <c r="S42" s="5"/>
      <c r="T42" s="5"/>
      <c r="U42" s="86"/>
      <c r="V42" s="102"/>
      <c r="W42" s="218"/>
      <c r="Z42" s="52"/>
      <c r="AA42" s="119"/>
      <c r="AB42" s="52"/>
      <c r="AC42" s="52"/>
      <c r="AD42" s="52"/>
      <c r="AE42" s="52"/>
      <c r="AF42" s="52"/>
      <c r="AG42" s="52"/>
      <c r="AH42" s="52"/>
      <c r="AI42" s="52"/>
      <c r="AJ42" s="52"/>
      <c r="AK42" s="52"/>
      <c r="AL42" s="52"/>
      <c r="AM42" s="52"/>
      <c r="BE42" s="237"/>
      <c r="BF42" s="237"/>
      <c r="BG42" s="237"/>
      <c r="BH42" s="237"/>
      <c r="BI42" s="237"/>
      <c r="BJ42" s="237"/>
      <c r="BK42" s="237"/>
      <c r="BL42" s="237"/>
      <c r="BM42" s="237"/>
      <c r="BN42" s="237"/>
      <c r="BO42" s="237"/>
      <c r="BP42" s="237"/>
      <c r="BQ42" s="237"/>
      <c r="BR42" s="237"/>
      <c r="BS42" s="237"/>
      <c r="BT42" s="237"/>
      <c r="BU42" s="237"/>
      <c r="BV42" s="237"/>
      <c r="BW42" s="237"/>
      <c r="BX42" s="237"/>
    </row>
    <row r="43" spans="1:76" ht="14.25" customHeight="1">
      <c r="A43" s="87"/>
      <c r="B43" s="77"/>
      <c r="C43" s="77"/>
      <c r="D43" s="77"/>
      <c r="E43" s="77"/>
      <c r="F43" s="77"/>
      <c r="G43" s="77"/>
      <c r="H43" s="77"/>
      <c r="I43" s="77"/>
      <c r="J43" s="1"/>
      <c r="K43" s="5"/>
      <c r="L43" s="5"/>
      <c r="M43" s="5"/>
      <c r="N43" s="5"/>
      <c r="O43" s="5"/>
      <c r="P43" s="5"/>
      <c r="Q43" s="5"/>
      <c r="R43" s="5"/>
      <c r="S43" s="5"/>
      <c r="T43" s="5"/>
      <c r="U43" s="86"/>
      <c r="V43" s="102"/>
      <c r="W43" s="218"/>
      <c r="AA43" s="122"/>
      <c r="BE43" s="237"/>
      <c r="BF43" s="237"/>
      <c r="BG43" s="237"/>
      <c r="BH43" s="237"/>
      <c r="BI43" s="237"/>
      <c r="BJ43" s="237"/>
      <c r="BK43" s="237"/>
      <c r="BL43" s="237"/>
      <c r="BM43" s="237"/>
      <c r="BN43" s="237"/>
      <c r="BO43" s="237"/>
      <c r="BP43" s="237"/>
      <c r="BQ43" s="237"/>
      <c r="BR43" s="237"/>
      <c r="BS43" s="237"/>
      <c r="BT43" s="237"/>
      <c r="BU43" s="237"/>
      <c r="BV43" s="237"/>
      <c r="BW43" s="237"/>
      <c r="BX43" s="237"/>
    </row>
    <row r="44" spans="1:76" ht="14.25" customHeight="1">
      <c r="A44" s="87"/>
      <c r="B44" s="77"/>
      <c r="C44" s="77"/>
      <c r="D44" s="77"/>
      <c r="E44" s="77"/>
      <c r="F44" s="77"/>
      <c r="G44" s="77"/>
      <c r="H44" s="77"/>
      <c r="I44" s="77"/>
      <c r="J44" s="1"/>
      <c r="K44" s="5"/>
      <c r="L44" s="5"/>
      <c r="M44" s="5"/>
      <c r="N44" s="5"/>
      <c r="O44" s="5"/>
      <c r="P44" s="5"/>
      <c r="Q44" s="5"/>
      <c r="R44" s="5"/>
      <c r="S44" s="5"/>
      <c r="T44" s="5"/>
      <c r="U44" s="86"/>
      <c r="V44" s="102"/>
      <c r="W44" s="218"/>
      <c r="AA44" s="122"/>
      <c r="BE44" s="237"/>
      <c r="BF44" s="237"/>
      <c r="BG44" s="237"/>
      <c r="BH44" s="237"/>
      <c r="BI44" s="237"/>
      <c r="BJ44" s="237"/>
      <c r="BK44" s="237"/>
      <c r="BL44" s="237"/>
      <c r="BM44" s="237"/>
      <c r="BN44" s="237"/>
      <c r="BO44" s="237"/>
      <c r="BP44" s="237"/>
      <c r="BQ44" s="237"/>
      <c r="BR44" s="237"/>
      <c r="BS44" s="237"/>
      <c r="BT44" s="237"/>
      <c r="BU44" s="237"/>
      <c r="BV44" s="237"/>
      <c r="BW44" s="237"/>
      <c r="BX44" s="237"/>
    </row>
    <row r="45" spans="1:76" ht="14.25" customHeight="1">
      <c r="A45" s="87"/>
      <c r="B45" s="40"/>
      <c r="C45" s="40"/>
      <c r="D45" s="40"/>
      <c r="E45" s="40"/>
      <c r="F45" s="40"/>
      <c r="G45" s="40"/>
      <c r="H45" s="40"/>
      <c r="I45" s="40"/>
      <c r="J45" s="1"/>
      <c r="K45" s="5"/>
      <c r="L45" s="5"/>
      <c r="M45" s="5"/>
      <c r="N45" s="5"/>
      <c r="O45" s="5"/>
      <c r="P45" s="5"/>
      <c r="Q45" s="5"/>
      <c r="R45" s="5"/>
      <c r="S45" s="5"/>
      <c r="T45" s="5"/>
      <c r="U45" s="86"/>
      <c r="V45" s="102"/>
      <c r="W45" s="218"/>
      <c r="AA45" s="122"/>
      <c r="BE45" s="237"/>
      <c r="BF45" s="237"/>
      <c r="BG45" s="237"/>
      <c r="BH45" s="237"/>
      <c r="BI45" s="237"/>
      <c r="BJ45" s="237"/>
      <c r="BK45" s="237"/>
      <c r="BL45" s="237"/>
      <c r="BM45" s="237"/>
      <c r="BN45" s="237"/>
      <c r="BO45" s="237"/>
      <c r="BP45" s="237"/>
      <c r="BQ45" s="237"/>
      <c r="BR45" s="237"/>
      <c r="BS45" s="237"/>
      <c r="BT45" s="237"/>
      <c r="BU45" s="237"/>
      <c r="BV45" s="237"/>
      <c r="BW45" s="237"/>
      <c r="BX45" s="237"/>
    </row>
    <row r="46" spans="1:76" ht="14.25" customHeight="1">
      <c r="A46" s="87"/>
      <c r="B46" s="40"/>
      <c r="C46" s="40"/>
      <c r="D46" s="49"/>
      <c r="E46" s="50"/>
      <c r="F46" s="49"/>
      <c r="G46" s="50"/>
      <c r="H46" s="50"/>
      <c r="I46" s="50"/>
      <c r="J46" s="1"/>
      <c r="K46" s="5"/>
      <c r="L46" s="5"/>
      <c r="M46" s="5"/>
      <c r="N46" s="5"/>
      <c r="O46" s="5"/>
      <c r="P46" s="5"/>
      <c r="Q46" s="5"/>
      <c r="R46" s="5"/>
      <c r="S46" s="5"/>
      <c r="T46" s="5"/>
      <c r="U46" s="86"/>
      <c r="V46" s="102"/>
      <c r="W46" s="218"/>
      <c r="AA46" s="122"/>
      <c r="BE46" s="237"/>
      <c r="BF46" s="237"/>
      <c r="BG46" s="237"/>
      <c r="BH46" s="237"/>
      <c r="BI46" s="237"/>
      <c r="BJ46" s="237"/>
      <c r="BK46" s="237"/>
      <c r="BL46" s="237"/>
      <c r="BM46" s="237"/>
      <c r="BN46" s="237"/>
      <c r="BO46" s="237"/>
      <c r="BP46" s="237"/>
      <c r="BQ46" s="237"/>
      <c r="BR46" s="237"/>
      <c r="BS46" s="237"/>
      <c r="BT46" s="237"/>
      <c r="BU46" s="237"/>
      <c r="BV46" s="237"/>
      <c r="BW46" s="237"/>
      <c r="BX46" s="237"/>
    </row>
    <row r="47" spans="1:76" ht="14.25" customHeight="1">
      <c r="A47" s="87"/>
      <c r="B47" s="40"/>
      <c r="C47" s="40"/>
      <c r="D47" s="43"/>
      <c r="E47" s="43"/>
      <c r="F47" s="43"/>
      <c r="G47" s="43"/>
      <c r="H47" s="43"/>
      <c r="I47" s="43"/>
      <c r="J47" s="1"/>
      <c r="K47" s="5"/>
      <c r="L47" s="5"/>
      <c r="M47" s="5"/>
      <c r="N47" s="5"/>
      <c r="O47" s="5"/>
      <c r="P47" s="5"/>
      <c r="Q47" s="5"/>
      <c r="R47" s="5"/>
      <c r="S47" s="5"/>
      <c r="T47" s="5"/>
      <c r="U47" s="86"/>
      <c r="V47" s="102"/>
      <c r="W47" s="218"/>
      <c r="AA47" s="122"/>
      <c r="BE47" s="237"/>
      <c r="BF47" s="237"/>
      <c r="BG47" s="237"/>
      <c r="BH47" s="237"/>
      <c r="BI47" s="237"/>
      <c r="BJ47" s="237"/>
      <c r="BK47" s="237"/>
      <c r="BL47" s="237"/>
      <c r="BM47" s="237"/>
      <c r="BN47" s="237"/>
      <c r="BO47" s="237"/>
      <c r="BP47" s="237"/>
      <c r="BQ47" s="237"/>
      <c r="BR47" s="237"/>
      <c r="BS47" s="237"/>
      <c r="BT47" s="237"/>
      <c r="BU47" s="237"/>
      <c r="BV47" s="237"/>
      <c r="BW47" s="237"/>
      <c r="BX47" s="237"/>
    </row>
    <row r="48" spans="1:76" ht="14.25" customHeight="1">
      <c r="A48" s="87"/>
      <c r="B48" s="48"/>
      <c r="C48" s="48"/>
      <c r="D48" s="40"/>
      <c r="E48" s="40"/>
      <c r="F48" s="40"/>
      <c r="G48" s="40"/>
      <c r="H48" s="40"/>
      <c r="I48" s="40"/>
      <c r="J48" s="1"/>
      <c r="K48" s="5"/>
      <c r="L48" s="5"/>
      <c r="M48" s="5"/>
      <c r="N48" s="5"/>
      <c r="O48" s="5"/>
      <c r="P48" s="5"/>
      <c r="Q48" s="5"/>
      <c r="R48" s="5"/>
      <c r="S48" s="5"/>
      <c r="T48" s="5"/>
      <c r="U48" s="86"/>
      <c r="V48" s="102"/>
      <c r="W48" s="218"/>
      <c r="AA48" s="122"/>
      <c r="BE48" s="237"/>
      <c r="BF48" s="237"/>
      <c r="BG48" s="237"/>
      <c r="BH48" s="237"/>
      <c r="BI48" s="237"/>
      <c r="BJ48" s="237"/>
      <c r="BK48" s="237"/>
      <c r="BL48" s="237"/>
      <c r="BM48" s="237"/>
      <c r="BN48" s="237"/>
      <c r="BO48" s="237"/>
      <c r="BP48" s="237"/>
      <c r="BQ48" s="237"/>
      <c r="BR48" s="237"/>
      <c r="BS48" s="237"/>
      <c r="BT48" s="237"/>
      <c r="BU48" s="237"/>
      <c r="BV48" s="237"/>
      <c r="BW48" s="237"/>
      <c r="BX48" s="237"/>
    </row>
    <row r="49" spans="1:76" ht="14.25" customHeight="1">
      <c r="A49" s="87"/>
      <c r="B49" s="48"/>
      <c r="C49" s="48"/>
      <c r="D49" s="40"/>
      <c r="E49" s="40"/>
      <c r="F49" s="40"/>
      <c r="G49" s="40"/>
      <c r="H49" s="40"/>
      <c r="I49" s="40"/>
      <c r="J49" s="1"/>
      <c r="K49" s="5"/>
      <c r="L49" s="5"/>
      <c r="M49" s="5"/>
      <c r="N49" s="5"/>
      <c r="O49" s="5"/>
      <c r="P49" s="5"/>
      <c r="Q49" s="5"/>
      <c r="R49" s="5"/>
      <c r="S49" s="5"/>
      <c r="T49" s="5"/>
      <c r="U49" s="86"/>
      <c r="V49" s="102"/>
      <c r="W49" s="218"/>
      <c r="AA49" s="122"/>
      <c r="BE49" s="237"/>
      <c r="BF49" s="237"/>
      <c r="BG49" s="237"/>
      <c r="BH49" s="237"/>
      <c r="BI49" s="237"/>
      <c r="BJ49" s="237"/>
      <c r="BK49" s="237"/>
      <c r="BL49" s="237"/>
      <c r="BM49" s="237"/>
      <c r="BN49" s="237"/>
      <c r="BO49" s="237"/>
      <c r="BP49" s="237"/>
      <c r="BQ49" s="237"/>
      <c r="BR49" s="237"/>
      <c r="BS49" s="237"/>
      <c r="BT49" s="237"/>
      <c r="BU49" s="237"/>
      <c r="BV49" s="237"/>
      <c r="BW49" s="237"/>
      <c r="BX49" s="237"/>
    </row>
    <row r="50" spans="1:76" ht="14.25" customHeight="1">
      <c r="A50" s="87"/>
      <c r="B50" s="48"/>
      <c r="C50" s="48"/>
      <c r="D50" s="40"/>
      <c r="E50" s="40"/>
      <c r="F50" s="40"/>
      <c r="G50" s="40"/>
      <c r="H50" s="40"/>
      <c r="I50" s="40"/>
      <c r="J50" s="1"/>
      <c r="K50" s="5"/>
      <c r="L50" s="5"/>
      <c r="M50" s="5"/>
      <c r="N50" s="5"/>
      <c r="O50" s="5"/>
      <c r="P50" s="5"/>
      <c r="Q50" s="5"/>
      <c r="R50" s="5"/>
      <c r="S50" s="5"/>
      <c r="T50" s="5"/>
      <c r="U50" s="86"/>
      <c r="V50" s="102"/>
      <c r="W50" s="218"/>
      <c r="AA50" s="122"/>
      <c r="BE50" s="237"/>
      <c r="BF50" s="237"/>
      <c r="BG50" s="237"/>
      <c r="BH50" s="237"/>
      <c r="BI50" s="237"/>
      <c r="BJ50" s="237"/>
      <c r="BK50" s="237"/>
      <c r="BL50" s="237"/>
      <c r="BM50" s="237"/>
      <c r="BN50" s="237"/>
      <c r="BO50" s="237"/>
      <c r="BP50" s="237"/>
      <c r="BQ50" s="237"/>
      <c r="BR50" s="237"/>
      <c r="BS50" s="237"/>
      <c r="BT50" s="237"/>
      <c r="BU50" s="237"/>
      <c r="BV50" s="237"/>
      <c r="BW50" s="237"/>
      <c r="BX50" s="237"/>
    </row>
    <row r="51" spans="1:76" ht="14.25" customHeight="1">
      <c r="A51" s="87"/>
      <c r="B51" s="48"/>
      <c r="C51" s="48"/>
      <c r="D51" s="40"/>
      <c r="E51" s="40"/>
      <c r="F51" s="40"/>
      <c r="G51" s="40"/>
      <c r="H51" s="40"/>
      <c r="I51" s="40"/>
      <c r="J51" s="1"/>
      <c r="K51" s="5"/>
      <c r="L51" s="5"/>
      <c r="M51" s="5"/>
      <c r="N51" s="5"/>
      <c r="O51" s="5"/>
      <c r="P51" s="5"/>
      <c r="Q51" s="5"/>
      <c r="R51" s="5"/>
      <c r="S51" s="5"/>
      <c r="T51" s="5"/>
      <c r="U51" s="86"/>
      <c r="V51" s="102"/>
      <c r="W51" s="218"/>
      <c r="AA51" s="122"/>
      <c r="BE51" s="237"/>
      <c r="BF51" s="237"/>
      <c r="BG51" s="237"/>
      <c r="BH51" s="237"/>
      <c r="BI51" s="237"/>
      <c r="BJ51" s="237"/>
      <c r="BK51" s="237"/>
      <c r="BL51" s="237"/>
      <c r="BM51" s="237"/>
      <c r="BN51" s="237"/>
      <c r="BO51" s="237"/>
      <c r="BP51" s="237"/>
      <c r="BQ51" s="237"/>
      <c r="BR51" s="237"/>
      <c r="BS51" s="237"/>
      <c r="BT51" s="237"/>
      <c r="BU51" s="237"/>
      <c r="BV51" s="237"/>
      <c r="BW51" s="237"/>
      <c r="BX51" s="237"/>
    </row>
    <row r="52" spans="1:76" ht="14.25" customHeight="1">
      <c r="A52" s="87"/>
      <c r="B52" s="48"/>
      <c r="C52" s="48"/>
      <c r="D52" s="40"/>
      <c r="E52" s="40"/>
      <c r="F52" s="40"/>
      <c r="G52" s="40"/>
      <c r="H52" s="40"/>
      <c r="I52" s="40"/>
      <c r="J52" s="1"/>
      <c r="K52" s="5"/>
      <c r="L52" s="5"/>
      <c r="M52" s="5"/>
      <c r="N52" s="5"/>
      <c r="O52" s="5"/>
      <c r="P52" s="5"/>
      <c r="Q52" s="5"/>
      <c r="R52" s="5"/>
      <c r="S52" s="5"/>
      <c r="T52" s="5"/>
      <c r="U52" s="86"/>
      <c r="V52" s="102"/>
      <c r="W52" s="218"/>
      <c r="AA52" s="122"/>
      <c r="BE52" s="237"/>
      <c r="BF52" s="237"/>
      <c r="BG52" s="237"/>
      <c r="BH52" s="237"/>
      <c r="BI52" s="237"/>
      <c r="BJ52" s="237"/>
      <c r="BK52" s="237"/>
      <c r="BL52" s="237"/>
      <c r="BM52" s="237"/>
      <c r="BN52" s="237"/>
      <c r="BO52" s="237"/>
      <c r="BP52" s="237"/>
      <c r="BQ52" s="237"/>
      <c r="BR52" s="237"/>
      <c r="BS52" s="237"/>
      <c r="BT52" s="237"/>
      <c r="BU52" s="237"/>
      <c r="BV52" s="237"/>
      <c r="BW52" s="237"/>
      <c r="BX52" s="237"/>
    </row>
    <row r="53" spans="1:76" ht="14.25" customHeight="1">
      <c r="A53" s="87"/>
      <c r="B53" s="48"/>
      <c r="C53" s="48"/>
      <c r="D53" s="40"/>
      <c r="E53" s="40"/>
      <c r="F53" s="40"/>
      <c r="G53" s="40"/>
      <c r="H53" s="40"/>
      <c r="I53" s="40"/>
      <c r="J53" s="1"/>
      <c r="K53" s="5"/>
      <c r="L53" s="5"/>
      <c r="M53" s="5"/>
      <c r="N53" s="5"/>
      <c r="O53" s="5"/>
      <c r="P53" s="5"/>
      <c r="Q53" s="5"/>
      <c r="R53" s="5"/>
      <c r="S53" s="5"/>
      <c r="T53" s="5"/>
      <c r="U53" s="86"/>
      <c r="V53" s="102"/>
      <c r="W53" s="218"/>
      <c r="AA53" s="122"/>
      <c r="BE53" s="237"/>
      <c r="BF53" s="237"/>
      <c r="BG53" s="237"/>
      <c r="BH53" s="237"/>
      <c r="BI53" s="237"/>
      <c r="BJ53" s="237"/>
      <c r="BK53" s="237"/>
      <c r="BL53" s="237"/>
      <c r="BM53" s="237"/>
      <c r="BN53" s="237"/>
      <c r="BO53" s="237"/>
      <c r="BP53" s="237"/>
      <c r="BQ53" s="237"/>
      <c r="BR53" s="237"/>
      <c r="BS53" s="237"/>
      <c r="BT53" s="237"/>
      <c r="BU53" s="237"/>
      <c r="BV53" s="237"/>
      <c r="BW53" s="237"/>
      <c r="BX53" s="237"/>
    </row>
    <row r="54" spans="1:76" ht="14.25" customHeight="1">
      <c r="A54" s="208"/>
      <c r="B54" s="48"/>
      <c r="C54" s="48"/>
      <c r="D54" s="40"/>
      <c r="E54" s="40"/>
      <c r="F54" s="40"/>
      <c r="G54" s="40"/>
      <c r="H54" s="40"/>
      <c r="I54" s="40"/>
      <c r="J54" s="1"/>
      <c r="K54" s="5"/>
      <c r="L54" s="5"/>
      <c r="M54" s="5"/>
      <c r="N54" s="5"/>
      <c r="O54" s="5"/>
      <c r="P54" s="5"/>
      <c r="Q54" s="5"/>
      <c r="R54" s="5"/>
      <c r="S54" s="5"/>
      <c r="T54" s="5"/>
      <c r="U54" s="86"/>
      <c r="V54" s="102"/>
      <c r="W54" s="218"/>
      <c r="AA54" s="122"/>
      <c r="BE54" s="237"/>
      <c r="BF54" s="237"/>
      <c r="BG54" s="237"/>
      <c r="BH54" s="237"/>
      <c r="BI54" s="237"/>
      <c r="BJ54" s="237"/>
      <c r="BK54" s="237"/>
      <c r="BL54" s="237"/>
      <c r="BM54" s="237"/>
      <c r="BN54" s="237"/>
      <c r="BO54" s="237"/>
      <c r="BP54" s="237"/>
      <c r="BQ54" s="237"/>
      <c r="BR54" s="237"/>
      <c r="BS54" s="237"/>
      <c r="BT54" s="237"/>
      <c r="BU54" s="237"/>
      <c r="BV54" s="237"/>
      <c r="BW54" s="237"/>
      <c r="BX54" s="237"/>
    </row>
    <row r="55" spans="1:76" ht="14.25" customHeight="1">
      <c r="A55" s="208"/>
      <c r="B55" s="48"/>
      <c r="C55" s="48"/>
      <c r="D55" s="40"/>
      <c r="E55" s="40"/>
      <c r="F55" s="40"/>
      <c r="G55" s="40"/>
      <c r="H55" s="40"/>
      <c r="I55" s="40"/>
      <c r="J55" s="1"/>
      <c r="K55" s="5"/>
      <c r="L55" s="5"/>
      <c r="M55" s="5"/>
      <c r="N55" s="5"/>
      <c r="O55" s="5"/>
      <c r="P55" s="5"/>
      <c r="Q55" s="5"/>
      <c r="R55" s="5"/>
      <c r="S55" s="5"/>
      <c r="T55" s="5"/>
      <c r="U55" s="86"/>
      <c r="V55" s="102"/>
      <c r="W55" s="218"/>
      <c r="AA55" s="122"/>
      <c r="BE55" s="237"/>
      <c r="BF55" s="237"/>
      <c r="BG55" s="237"/>
      <c r="BH55" s="237"/>
      <c r="BI55" s="237"/>
      <c r="BJ55" s="237"/>
      <c r="BK55" s="237"/>
      <c r="BL55" s="237"/>
      <c r="BM55" s="237"/>
      <c r="BN55" s="237"/>
      <c r="BO55" s="237"/>
      <c r="BP55" s="237"/>
      <c r="BQ55" s="237"/>
      <c r="BR55" s="237"/>
      <c r="BS55" s="237"/>
      <c r="BT55" s="237"/>
      <c r="BU55" s="237"/>
      <c r="BV55" s="237"/>
      <c r="BW55" s="237"/>
      <c r="BX55" s="237"/>
    </row>
    <row r="56" spans="1:76" ht="14.25" customHeight="1">
      <c r="A56" s="87"/>
      <c r="B56" s="48"/>
      <c r="C56" s="48"/>
      <c r="D56" s="40"/>
      <c r="E56" s="40"/>
      <c r="F56" s="40"/>
      <c r="G56" s="40"/>
      <c r="H56" s="40"/>
      <c r="I56" s="40"/>
      <c r="J56" s="1"/>
      <c r="K56" s="5"/>
      <c r="L56" s="5"/>
      <c r="M56" s="5"/>
      <c r="N56" s="5"/>
      <c r="O56" s="5"/>
      <c r="P56" s="5"/>
      <c r="Q56" s="5"/>
      <c r="R56" s="5"/>
      <c r="S56" s="5"/>
      <c r="T56" s="5"/>
      <c r="U56" s="86"/>
      <c r="V56" s="102"/>
      <c r="W56" s="218"/>
      <c r="AA56" s="122"/>
      <c r="BE56" s="237"/>
      <c r="BF56" s="237"/>
      <c r="BG56" s="237"/>
      <c r="BH56" s="237"/>
      <c r="BI56" s="237"/>
      <c r="BJ56" s="237"/>
      <c r="BK56" s="237"/>
      <c r="BL56" s="237"/>
      <c r="BM56" s="237"/>
      <c r="BN56" s="237"/>
      <c r="BO56" s="237"/>
      <c r="BP56" s="237"/>
      <c r="BQ56" s="237"/>
      <c r="BR56" s="237"/>
      <c r="BS56" s="237"/>
      <c r="BT56" s="237"/>
      <c r="BU56" s="237"/>
      <c r="BV56" s="237"/>
      <c r="BW56" s="237"/>
      <c r="BX56" s="237"/>
    </row>
    <row r="57" spans="1:76" ht="14.25" customHeight="1">
      <c r="A57" s="87"/>
      <c r="B57" s="48"/>
      <c r="C57" s="48"/>
      <c r="D57" s="40"/>
      <c r="E57" s="40"/>
      <c r="F57" s="40"/>
      <c r="G57" s="40"/>
      <c r="H57" s="40"/>
      <c r="I57" s="40"/>
      <c r="J57" s="1"/>
      <c r="K57" s="5"/>
      <c r="L57" s="5"/>
      <c r="M57" s="5"/>
      <c r="N57" s="5"/>
      <c r="O57" s="5"/>
      <c r="P57" s="5"/>
      <c r="Q57" s="5"/>
      <c r="R57" s="5"/>
      <c r="S57" s="5"/>
      <c r="T57" s="5"/>
      <c r="U57" s="86"/>
      <c r="V57" s="102"/>
      <c r="W57" s="218"/>
      <c r="AA57" s="122"/>
      <c r="BE57" s="237"/>
      <c r="BF57" s="237"/>
      <c r="BG57" s="237"/>
      <c r="BH57" s="237"/>
      <c r="BI57" s="237"/>
      <c r="BJ57" s="237"/>
      <c r="BK57" s="237"/>
      <c r="BL57" s="237"/>
      <c r="BM57" s="237"/>
      <c r="BN57" s="237"/>
      <c r="BO57" s="237"/>
      <c r="BP57" s="237"/>
      <c r="BQ57" s="237"/>
      <c r="BR57" s="237"/>
      <c r="BS57" s="237"/>
      <c r="BT57" s="237"/>
      <c r="BU57" s="237"/>
      <c r="BV57" s="237"/>
      <c r="BW57" s="237"/>
      <c r="BX57" s="237"/>
    </row>
    <row r="58" spans="1:76"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218"/>
      <c r="X58" s="55"/>
      <c r="Y58" s="55"/>
      <c r="AA58" s="122"/>
      <c r="BE58" s="237"/>
      <c r="BF58" s="237"/>
      <c r="BG58" s="237"/>
      <c r="BH58" s="237"/>
      <c r="BI58" s="237"/>
      <c r="BJ58" s="237"/>
      <c r="BK58" s="237"/>
      <c r="BL58" s="237"/>
      <c r="BM58" s="237"/>
      <c r="BN58" s="237"/>
      <c r="BO58" s="237"/>
      <c r="BP58" s="237"/>
      <c r="BQ58" s="237"/>
      <c r="BR58" s="237"/>
      <c r="BS58" s="237"/>
      <c r="BT58" s="237"/>
      <c r="BU58" s="237"/>
      <c r="BV58" s="237"/>
      <c r="BW58" s="237"/>
      <c r="BX58" s="237"/>
    </row>
    <row r="59" spans="1:76" s="56" customFormat="1" ht="14.25" customHeight="1">
      <c r="A59" s="87"/>
      <c r="B59" s="48"/>
      <c r="C59" s="48"/>
      <c r="D59" s="40"/>
      <c r="E59" s="40"/>
      <c r="F59" s="40"/>
      <c r="G59" s="40"/>
      <c r="H59" s="40"/>
      <c r="I59" s="40"/>
      <c r="J59" s="1"/>
      <c r="K59" s="5"/>
      <c r="L59" s="5"/>
      <c r="M59" s="5"/>
      <c r="N59" s="5"/>
      <c r="O59" s="5"/>
      <c r="P59" s="5"/>
      <c r="Q59" s="5"/>
      <c r="R59" s="5"/>
      <c r="S59" s="5"/>
      <c r="T59" s="5"/>
      <c r="U59" s="86"/>
      <c r="V59" s="102"/>
      <c r="W59" s="218"/>
      <c r="X59" s="55"/>
      <c r="Y59" s="55"/>
      <c r="AA59" s="122"/>
      <c r="BE59" s="237"/>
      <c r="BF59" s="237"/>
      <c r="BG59" s="237"/>
      <c r="BH59" s="237"/>
      <c r="BI59" s="237"/>
      <c r="BJ59" s="237"/>
      <c r="BK59" s="237"/>
      <c r="BL59" s="237"/>
      <c r="BM59" s="237"/>
      <c r="BN59" s="237"/>
      <c r="BO59" s="237"/>
      <c r="BP59" s="237"/>
      <c r="BQ59" s="237"/>
      <c r="BR59" s="237"/>
      <c r="BS59" s="237"/>
      <c r="BT59" s="237"/>
      <c r="BU59" s="237"/>
      <c r="BV59" s="237"/>
      <c r="BW59" s="237"/>
      <c r="BX59" s="237"/>
    </row>
    <row r="60" spans="1:76" s="56" customFormat="1" ht="14.25" customHeight="1">
      <c r="A60" s="87"/>
      <c r="B60" s="48"/>
      <c r="C60" s="48"/>
      <c r="D60" s="40"/>
      <c r="E60" s="40"/>
      <c r="F60" s="40"/>
      <c r="G60" s="40"/>
      <c r="H60" s="40"/>
      <c r="I60" s="40"/>
      <c r="J60" s="1"/>
      <c r="K60" s="5"/>
      <c r="L60" s="5"/>
      <c r="M60" s="5"/>
      <c r="N60" s="5"/>
      <c r="O60" s="5"/>
      <c r="P60" s="5"/>
      <c r="Q60" s="5"/>
      <c r="R60" s="5"/>
      <c r="S60" s="5"/>
      <c r="T60" s="5"/>
      <c r="U60" s="86"/>
      <c r="V60" s="102"/>
      <c r="W60" s="218"/>
      <c r="X60" s="55"/>
      <c r="Y60" s="55"/>
      <c r="AA60" s="122"/>
      <c r="BE60" s="237"/>
      <c r="BF60" s="237"/>
      <c r="BG60" s="237"/>
      <c r="BH60" s="237"/>
      <c r="BI60" s="237"/>
      <c r="BJ60" s="237"/>
      <c r="BK60" s="237"/>
      <c r="BL60" s="237"/>
      <c r="BM60" s="237"/>
      <c r="BN60" s="237"/>
      <c r="BO60" s="237"/>
      <c r="BP60" s="237"/>
      <c r="BQ60" s="237"/>
      <c r="BR60" s="237"/>
      <c r="BS60" s="237"/>
      <c r="BT60" s="237"/>
      <c r="BU60" s="237"/>
      <c r="BV60" s="237"/>
      <c r="BW60" s="237"/>
      <c r="BX60" s="237"/>
    </row>
    <row r="61" spans="1:76" s="56" customFormat="1" ht="14.25" customHeight="1">
      <c r="A61" s="87"/>
      <c r="B61" s="48"/>
      <c r="C61" s="48"/>
      <c r="D61" s="40"/>
      <c r="E61" s="40"/>
      <c r="F61" s="40"/>
      <c r="G61" s="40"/>
      <c r="H61" s="40"/>
      <c r="I61" s="40"/>
      <c r="J61" s="1"/>
      <c r="K61" s="79"/>
      <c r="L61" s="1882" t="s">
        <v>69</v>
      </c>
      <c r="M61" s="1882"/>
      <c r="N61" s="1882"/>
      <c r="O61" s="1882"/>
      <c r="P61" s="80"/>
      <c r="Q61" s="1753" t="s">
        <v>93</v>
      </c>
      <c r="R61" s="1753"/>
      <c r="S61" s="1753"/>
      <c r="T61" s="1753"/>
      <c r="U61" s="86"/>
      <c r="V61" s="102"/>
      <c r="W61" s="218"/>
      <c r="X61" s="55"/>
      <c r="Y61" s="55"/>
      <c r="AA61" s="122"/>
      <c r="BE61" s="237"/>
      <c r="BF61" s="237"/>
      <c r="BG61" s="237"/>
      <c r="BH61" s="237"/>
      <c r="BI61" s="237"/>
      <c r="BJ61" s="237"/>
      <c r="BK61" s="237"/>
      <c r="BL61" s="237"/>
      <c r="BM61" s="237"/>
      <c r="BN61" s="237"/>
      <c r="BO61" s="237"/>
      <c r="BP61" s="237"/>
      <c r="BQ61" s="237"/>
      <c r="BR61" s="237"/>
      <c r="BS61" s="237"/>
      <c r="BT61" s="237"/>
      <c r="BU61" s="237"/>
      <c r="BV61" s="237"/>
      <c r="BW61" s="237"/>
      <c r="BX61" s="237"/>
    </row>
    <row r="62" spans="1:76" s="56" customFormat="1" ht="14.25" customHeight="1">
      <c r="A62" s="87"/>
      <c r="B62" s="48"/>
      <c r="C62" s="48"/>
      <c r="D62" s="40"/>
      <c r="E62" s="40"/>
      <c r="F62" s="40"/>
      <c r="G62" s="40"/>
      <c r="H62" s="40"/>
      <c r="I62" s="40"/>
      <c r="J62" s="1"/>
      <c r="K62" s="80"/>
      <c r="L62" s="1753" t="str">
        <f>AE4</f>
        <v>Selected LA- (none)</v>
      </c>
      <c r="M62" s="1753"/>
      <c r="N62" s="1753"/>
      <c r="O62" s="1753"/>
      <c r="P62" s="79"/>
      <c r="Q62" s="1753" t="s">
        <v>167</v>
      </c>
      <c r="R62" s="1753"/>
      <c r="S62" s="1753"/>
      <c r="T62" s="1753"/>
      <c r="U62" s="86"/>
      <c r="V62" s="102"/>
      <c r="W62" s="114"/>
      <c r="X62" s="55"/>
      <c r="Y62" s="55"/>
      <c r="AA62" s="122"/>
      <c r="BE62" s="132"/>
      <c r="BF62" s="132"/>
      <c r="BG62" s="132"/>
      <c r="BH62" s="132"/>
      <c r="BI62" s="132"/>
      <c r="BJ62" s="132"/>
      <c r="BK62" s="132"/>
      <c r="BL62" s="132"/>
      <c r="BM62" s="132"/>
      <c r="BN62" s="132"/>
      <c r="BO62" s="237"/>
      <c r="BP62" s="237"/>
      <c r="BQ62" s="237"/>
      <c r="BR62" s="237"/>
      <c r="BS62" s="237"/>
      <c r="BT62" s="237"/>
      <c r="BU62" s="237"/>
      <c r="BV62" s="237"/>
      <c r="BW62" s="237"/>
      <c r="BX62" s="237"/>
    </row>
    <row r="63" spans="1:76" s="56" customFormat="1" ht="42" customHeight="1">
      <c r="A63" s="87"/>
      <c r="B63" s="48"/>
      <c r="C63" s="48"/>
      <c r="D63" s="40"/>
      <c r="E63" s="40"/>
      <c r="F63" s="40"/>
      <c r="G63" s="40"/>
      <c r="H63" s="40"/>
      <c r="I63" s="40"/>
      <c r="J63" s="1"/>
      <c r="K63" s="5"/>
      <c r="L63" s="5"/>
      <c r="M63" s="5"/>
      <c r="N63" s="5"/>
      <c r="O63" s="5"/>
      <c r="P63" s="5"/>
      <c r="Q63" s="5"/>
      <c r="R63" s="5"/>
      <c r="S63" s="5"/>
      <c r="T63" s="5"/>
      <c r="U63" s="86"/>
      <c r="V63" s="102"/>
      <c r="W63" s="114"/>
      <c r="X63" s="55"/>
      <c r="Y63" s="55"/>
      <c r="AA63" s="122"/>
    </row>
    <row r="64" spans="1:76" s="61" customFormat="1" ht="42" customHeight="1">
      <c r="A64" s="88"/>
      <c r="B64" s="78"/>
      <c r="C64" s="78"/>
      <c r="D64" s="78"/>
      <c r="E64" s="78"/>
      <c r="F64" s="78"/>
      <c r="G64" s="78"/>
      <c r="H64" s="78"/>
      <c r="I64" s="78"/>
      <c r="J64" s="68"/>
      <c r="K64" s="59"/>
      <c r="L64" s="59"/>
      <c r="M64" s="59"/>
      <c r="N64" s="59"/>
      <c r="O64" s="59"/>
      <c r="P64" s="59"/>
      <c r="Q64" s="59"/>
      <c r="R64" s="59"/>
      <c r="S64" s="59"/>
      <c r="T64" s="59"/>
      <c r="U64" s="89"/>
      <c r="V64" s="103"/>
      <c r="W64" s="115"/>
      <c r="X64" s="1319"/>
      <c r="Y64" s="1319"/>
      <c r="AA64" s="121"/>
      <c r="AP64" s="141"/>
      <c r="AR64" s="56"/>
      <c r="AS64" s="56"/>
    </row>
    <row r="65" spans="1:52" s="61" customFormat="1" ht="42.75" customHeight="1">
      <c r="A65" s="88"/>
      <c r="B65" s="78"/>
      <c r="C65" s="78"/>
      <c r="D65" s="78"/>
      <c r="E65" s="78"/>
      <c r="F65" s="78"/>
      <c r="G65" s="78"/>
      <c r="H65" s="78"/>
      <c r="I65" s="78"/>
      <c r="J65" s="68"/>
      <c r="K65" s="59"/>
      <c r="L65" s="59"/>
      <c r="M65" s="59"/>
      <c r="N65" s="59"/>
      <c r="O65" s="59"/>
      <c r="P65" s="59"/>
      <c r="Q65" s="59"/>
      <c r="R65" s="59"/>
      <c r="S65" s="59"/>
      <c r="T65" s="59"/>
      <c r="U65" s="89"/>
      <c r="V65" s="121"/>
      <c r="W65" s="115"/>
      <c r="X65" s="1319"/>
      <c r="Y65" s="1319"/>
      <c r="AA65" s="121"/>
      <c r="AP65" s="141"/>
      <c r="AR65" s="56"/>
      <c r="AS65" s="56"/>
    </row>
    <row r="66" spans="1:52" ht="7.5" customHeight="1">
      <c r="A66" s="87"/>
      <c r="B66" s="12"/>
      <c r="C66" s="12"/>
      <c r="D66" s="11"/>
      <c r="E66" s="11"/>
      <c r="F66" s="11"/>
      <c r="G66" s="11"/>
      <c r="H66" s="11"/>
      <c r="I66" s="11"/>
      <c r="J66" s="1"/>
      <c r="K66" s="13"/>
      <c r="L66" s="13"/>
      <c r="M66" s="13"/>
      <c r="N66" s="13"/>
      <c r="O66" s="13"/>
      <c r="P66" s="13"/>
      <c r="Q66" s="13"/>
      <c r="R66" s="13"/>
      <c r="S66" s="13"/>
      <c r="T66" s="14"/>
      <c r="U66" s="86"/>
      <c r="V66" s="185"/>
      <c r="W66" s="114"/>
      <c r="AA66" s="122"/>
      <c r="AR66" s="56"/>
      <c r="AS66" s="56"/>
    </row>
    <row r="67" spans="1:52" ht="15" customHeight="1">
      <c r="A67" s="1565"/>
      <c r="B67" s="1751"/>
      <c r="C67" s="1751"/>
      <c r="D67" s="1751"/>
      <c r="E67" s="1751"/>
      <c r="F67" s="1751"/>
      <c r="G67" s="1751"/>
      <c r="H67" s="1751"/>
      <c r="I67" s="1751"/>
      <c r="J67" s="1751"/>
      <c r="K67" s="1751"/>
      <c r="L67" s="1751"/>
      <c r="M67" s="1751"/>
      <c r="N67" s="1751"/>
      <c r="O67" s="1751"/>
      <c r="P67" s="1751"/>
      <c r="Q67" s="1751"/>
      <c r="R67" s="1751"/>
      <c r="S67" s="1751"/>
      <c r="T67" s="1751"/>
      <c r="U67" s="1752"/>
      <c r="V67" s="185"/>
      <c r="W67" s="115"/>
      <c r="X67" s="1319"/>
      <c r="Y67" s="1319"/>
      <c r="Z67" s="61"/>
      <c r="AA67" s="121"/>
      <c r="AB67" s="61"/>
      <c r="AC67" s="61"/>
      <c r="AD67" s="61"/>
      <c r="AE67" s="61"/>
      <c r="AF67" s="61"/>
      <c r="AG67" s="61"/>
      <c r="AH67" s="61"/>
      <c r="AI67" s="61"/>
      <c r="AJ67" s="61"/>
      <c r="AK67" s="61"/>
      <c r="AL67" s="61"/>
      <c r="AM67" s="61"/>
      <c r="AR67" s="56"/>
      <c r="AS67" s="56"/>
    </row>
    <row r="68" spans="1:52" ht="11.25" customHeight="1">
      <c r="A68" s="1739"/>
      <c r="B68" s="1740"/>
      <c r="C68" s="1740"/>
      <c r="D68" s="1740"/>
      <c r="E68" s="1740"/>
      <c r="F68" s="1740"/>
      <c r="G68" s="1740"/>
      <c r="H68" s="1740"/>
      <c r="I68" s="1741"/>
      <c r="J68" s="1740"/>
      <c r="K68" s="1740"/>
      <c r="L68" s="1740"/>
      <c r="M68" s="1740"/>
      <c r="N68" s="1740"/>
      <c r="O68" s="1740"/>
      <c r="P68" s="1742"/>
      <c r="Q68" s="1740"/>
      <c r="R68" s="1740"/>
      <c r="S68" s="1741"/>
      <c r="T68" s="1740"/>
      <c r="U68" s="1743"/>
      <c r="V68" s="185"/>
      <c r="W68" s="115"/>
      <c r="X68" s="1319"/>
      <c r="Y68" s="1319"/>
      <c r="Z68" s="61"/>
      <c r="AA68" s="121"/>
      <c r="AB68" s="61"/>
      <c r="AC68" s="61"/>
      <c r="AD68" s="61"/>
      <c r="AE68" s="61"/>
      <c r="AF68" s="61"/>
      <c r="AG68" s="61"/>
      <c r="AH68" s="61"/>
      <c r="AI68" s="61"/>
      <c r="AJ68" s="61"/>
      <c r="AK68" s="61"/>
      <c r="AL68" s="61"/>
      <c r="AM68" s="61"/>
      <c r="AR68" s="56"/>
      <c r="AS68" s="56"/>
    </row>
    <row r="69" spans="1:52" ht="10.5" customHeight="1">
      <c r="A69" s="81"/>
      <c r="B69" s="82"/>
      <c r="C69" s="82"/>
      <c r="D69" s="82"/>
      <c r="E69" s="82"/>
      <c r="F69" s="82"/>
      <c r="G69" s="82"/>
      <c r="H69" s="82"/>
      <c r="I69" s="82"/>
      <c r="J69" s="83"/>
      <c r="K69" s="82"/>
      <c r="L69" s="82"/>
      <c r="M69" s="82"/>
      <c r="N69" s="82"/>
      <c r="O69" s="82"/>
      <c r="P69" s="82"/>
      <c r="Q69" s="82"/>
      <c r="R69" s="82"/>
      <c r="S69" s="82"/>
      <c r="T69" s="82"/>
      <c r="U69" s="84"/>
      <c r="V69" s="102"/>
      <c r="W69" s="115"/>
      <c r="X69" s="1319"/>
      <c r="Y69" s="1319"/>
      <c r="Z69" s="52"/>
      <c r="AA69" s="119"/>
      <c r="AM69" s="61"/>
      <c r="AR69" s="56"/>
      <c r="AS69" s="56"/>
    </row>
    <row r="70" spans="1:52" ht="18.75" customHeight="1">
      <c r="A70" s="87"/>
      <c r="B70" s="1886" t="s">
        <v>1292</v>
      </c>
      <c r="C70" s="1886"/>
      <c r="D70" s="1886"/>
      <c r="E70" s="1886"/>
      <c r="F70" s="1886"/>
      <c r="G70" s="1886"/>
      <c r="H70" s="1886"/>
      <c r="I70" s="1310"/>
      <c r="J70" s="50"/>
      <c r="K70" s="50"/>
      <c r="L70" s="50"/>
      <c r="M70" s="50"/>
      <c r="N70" s="224"/>
      <c r="O70" s="50"/>
      <c r="P70" s="50"/>
      <c r="Q70" s="50"/>
      <c r="R70" s="50"/>
      <c r="S70" s="50"/>
      <c r="T70" s="50"/>
      <c r="U70" s="86"/>
      <c r="V70" s="102"/>
      <c r="W70" s="114"/>
      <c r="AA70" s="122"/>
      <c r="AC70" s="56">
        <v>10</v>
      </c>
      <c r="AD70" s="56">
        <v>11</v>
      </c>
      <c r="AE70" s="56">
        <v>12</v>
      </c>
      <c r="AF70" s="56">
        <v>13</v>
      </c>
      <c r="AG70" s="56">
        <v>14</v>
      </c>
      <c r="AH70" s="56">
        <v>18</v>
      </c>
      <c r="AI70" s="56">
        <v>3</v>
      </c>
      <c r="AJ70" s="17">
        <v>4</v>
      </c>
      <c r="AK70" s="17">
        <v>5</v>
      </c>
      <c r="AL70" s="17">
        <v>6</v>
      </c>
      <c r="AM70" s="16">
        <v>7</v>
      </c>
      <c r="AN70" s="52"/>
      <c r="AO70" s="52"/>
      <c r="AP70" s="52"/>
      <c r="AR70" s="56"/>
      <c r="AS70" s="56"/>
    </row>
    <row r="71" spans="1:52" ht="18.75" customHeight="1">
      <c r="A71" s="87"/>
      <c r="B71" s="1886"/>
      <c r="C71" s="1886"/>
      <c r="D71" s="1886"/>
      <c r="E71" s="1886"/>
      <c r="F71" s="1886"/>
      <c r="G71" s="1886"/>
      <c r="H71" s="1886"/>
      <c r="I71" s="76"/>
      <c r="J71" s="50"/>
      <c r="K71" s="50"/>
      <c r="L71" s="50"/>
      <c r="M71" s="50"/>
      <c r="N71" s="224"/>
      <c r="O71" s="50"/>
      <c r="P71" s="50"/>
      <c r="Q71" s="50"/>
      <c r="R71" s="5"/>
      <c r="S71" s="50"/>
      <c r="T71" s="50"/>
      <c r="U71" s="86"/>
      <c r="V71" s="102"/>
      <c r="W71" s="114"/>
      <c r="Z71" s="52"/>
      <c r="AA71" s="121"/>
      <c r="AB71" s="61"/>
      <c r="AC71" s="1738" t="s">
        <v>85</v>
      </c>
      <c r="AD71" s="1738"/>
      <c r="AE71" s="1738"/>
      <c r="AF71" s="1738"/>
      <c r="AG71" s="1738"/>
      <c r="AH71" s="109" t="s">
        <v>862</v>
      </c>
      <c r="AI71" s="1737" t="s">
        <v>673</v>
      </c>
      <c r="AJ71" s="1737"/>
      <c r="AK71" s="1737"/>
      <c r="AL71" s="1737"/>
      <c r="AM71" s="1737"/>
      <c r="AR71" s="56"/>
      <c r="AS71" s="56"/>
    </row>
    <row r="72" spans="1:52" s="61" customFormat="1" ht="18.75" customHeight="1">
      <c r="A72" s="88"/>
      <c r="B72" s="1749" t="s">
        <v>177</v>
      </c>
      <c r="C72" s="230"/>
      <c r="D72" s="1708" t="s">
        <v>744</v>
      </c>
      <c r="E72" s="1708"/>
      <c r="F72" s="1708"/>
      <c r="G72" s="1708"/>
      <c r="H72" s="1709"/>
      <c r="I72" s="68"/>
      <c r="J72" s="68"/>
      <c r="K72" s="43"/>
      <c r="L72" s="43"/>
      <c r="M72" s="43"/>
      <c r="N72" s="43"/>
      <c r="O72" s="43"/>
      <c r="P72" s="43"/>
      <c r="Q72" s="225"/>
      <c r="R72" s="225"/>
      <c r="S72" s="120"/>
      <c r="T72" s="226"/>
      <c r="U72" s="89"/>
      <c r="V72" s="103"/>
      <c r="W72" s="114"/>
      <c r="X72" s="55"/>
      <c r="Y72" s="55"/>
      <c r="Z72" s="52"/>
      <c r="AA72" s="121"/>
      <c r="AC72" s="109" t="str">
        <f>IF(ReportData!$C$3="Annual","",ReportData!$D$28)</f>
        <v/>
      </c>
      <c r="AD72" s="109" t="str">
        <f>IF(ReportData!$C$3="Annual","",ReportData!$E$28)</f>
        <v/>
      </c>
      <c r="AE72" s="109" t="str">
        <f>IF(ReportData!$C$3="Annual","",ReportData!$F$28)</f>
        <v/>
      </c>
      <c r="AF72" s="109" t="str">
        <f>IF(ReportData!$C$3="Annual","",ReportData!$G$28)</f>
        <v/>
      </c>
      <c r="AG72" s="109" t="str">
        <f>IF(ReportData!$C$3="Annual","",ReportData!$H$28)</f>
        <v/>
      </c>
      <c r="AH72" s="173"/>
      <c r="AI72" s="109" t="str">
        <f>IF(ReportData!$C$3="Annual","",ReportData!$D$28)</f>
        <v/>
      </c>
      <c r="AJ72" s="109" t="str">
        <f>IF(ReportData!$C$3="Annual","",ReportData!$E$28)</f>
        <v/>
      </c>
      <c r="AK72" s="109" t="str">
        <f>IF(ReportData!$C$3="Annual","",ReportData!$F$28)</f>
        <v/>
      </c>
      <c r="AL72" s="109" t="str">
        <f>IF(ReportData!$C$3="Annual","",ReportData!$G$28)</f>
        <v/>
      </c>
      <c r="AM72" s="109" t="str">
        <f>IF(ReportData!$C$3="Annual","",ReportData!$H$28)</f>
        <v/>
      </c>
      <c r="AR72" s="56"/>
      <c r="AS72" s="56"/>
    </row>
    <row r="73" spans="1:52" s="61" customFormat="1" ht="16.5" customHeight="1">
      <c r="A73" s="217"/>
      <c r="B73" s="1750"/>
      <c r="C73" s="59"/>
      <c r="D73" s="931">
        <f>ReportData!$D$29</f>
        <v>43160</v>
      </c>
      <c r="E73" s="931">
        <f>ReportData!$E$29</f>
        <v>43525</v>
      </c>
      <c r="F73" s="931">
        <f>ReportData!$F$29</f>
        <v>43891</v>
      </c>
      <c r="G73" s="931">
        <f>ReportData!$G$29</f>
        <v>44256</v>
      </c>
      <c r="H73" s="932">
        <f>ReportData!$H$29</f>
        <v>44621</v>
      </c>
      <c r="I73" s="68"/>
      <c r="J73" s="68"/>
      <c r="K73" s="43"/>
      <c r="L73" s="43"/>
      <c r="M73" s="43"/>
      <c r="N73" s="43"/>
      <c r="O73" s="43"/>
      <c r="P73" s="43"/>
      <c r="Q73" s="225"/>
      <c r="R73" s="225"/>
      <c r="S73" s="120"/>
      <c r="T73" s="226"/>
      <c r="U73" s="89"/>
      <c r="V73" s="103"/>
      <c r="W73" s="1093" t="s">
        <v>94</v>
      </c>
      <c r="X73" s="1335"/>
      <c r="Y73" s="1335"/>
      <c r="Z73" s="1113"/>
      <c r="AA73" s="921"/>
      <c r="AC73" s="109" t="str">
        <f>ReportData!$D$27</f>
        <v>2019/20</v>
      </c>
      <c r="AD73" s="109" t="str">
        <f>ReportData!$E$27</f>
        <v>2020/21</v>
      </c>
      <c r="AE73" s="109" t="str">
        <f>ReportData!$F$27</f>
        <v>2021/22</v>
      </c>
      <c r="AF73" s="109" t="str">
        <f>ReportData!$G$27</f>
        <v>2022/23</v>
      </c>
      <c r="AG73" s="109" t="str">
        <f>ReportData!$H$27</f>
        <v>2023/24</v>
      </c>
      <c r="AH73" s="173"/>
      <c r="AI73" s="109" t="str">
        <f>ReportData!$D$27</f>
        <v>2019/20</v>
      </c>
      <c r="AJ73" s="109" t="str">
        <f>ReportData!$E$27</f>
        <v>2020/21</v>
      </c>
      <c r="AK73" s="109" t="str">
        <f>ReportData!$F$27</f>
        <v>2021/22</v>
      </c>
      <c r="AL73" s="109" t="str">
        <f>ReportData!$G$27</f>
        <v>2022/23</v>
      </c>
      <c r="AM73" s="109" t="str">
        <f>ReportData!$H$27</f>
        <v>2023/24</v>
      </c>
      <c r="AR73" s="56"/>
      <c r="AS73" s="56"/>
    </row>
    <row r="74" spans="1:52" s="61" customFormat="1" ht="13.5" customHeight="1">
      <c r="A74" s="306">
        <f>VLOOKUP(B74,ReportData!$AQ$4:$AR$25,2,FALSE)</f>
        <v>0</v>
      </c>
      <c r="B74" s="885" t="str">
        <f t="shared" ref="B74:B93" si="15">B11</f>
        <v>Bracknell Forest</v>
      </c>
      <c r="C74" s="59"/>
      <c r="D74" s="922">
        <f t="shared" ref="D74:D88" si="16">IF(AND(ISNUMBER(AO102),ISNUMBER(AC102)),AO102/AC102,NA())</f>
        <v>0.21276595744680851</v>
      </c>
      <c r="E74" s="922">
        <f t="shared" ref="E74:E88" si="17">IF(AND(ISNUMBER(AP102),ISNUMBER(AD102)),AP102/AD102,NA())</f>
        <v>0.2</v>
      </c>
      <c r="F74" s="922">
        <f t="shared" ref="F74:F88" si="18">IF(AND(ISNUMBER(AQ102),ISNUMBER(AE102)),AQ102/AE102,NA())</f>
        <v>0.375</v>
      </c>
      <c r="G74" s="922">
        <f t="shared" ref="G74:G88" si="19">IF(AND(ISNUMBER(AR102),ISNUMBER(AF102)),AR102/AF102,NA())</f>
        <v>0.27272727272727271</v>
      </c>
      <c r="H74" s="923">
        <f t="shared" ref="H74:H88" si="20">IF(AND(ISNUMBER(AS102),ISNUMBER(AG102)),AS102/AG102,NA())</f>
        <v>0.2608695652173913</v>
      </c>
      <c r="I74" s="68"/>
      <c r="J74" s="68"/>
      <c r="K74" s="127"/>
      <c r="L74" s="127"/>
      <c r="M74" s="127"/>
      <c r="N74" s="127"/>
      <c r="O74" s="127"/>
      <c r="P74" s="127"/>
      <c r="Q74" s="127"/>
      <c r="R74" s="128"/>
      <c r="S74" s="120"/>
      <c r="T74" s="127"/>
      <c r="U74" s="89"/>
      <c r="V74" s="103"/>
      <c r="W74" s="1311"/>
      <c r="X74" s="1335"/>
      <c r="Y74" s="1335"/>
      <c r="Z74" s="1161" t="b">
        <v>1</v>
      </c>
      <c r="AA74" s="921" t="s">
        <v>0</v>
      </c>
      <c r="AB74" s="860" t="str">
        <f t="shared" ref="AB74:AB94" si="21">IF(Z74=TRUE,B11,"")</f>
        <v>Bracknell Forest</v>
      </c>
      <c r="AC74" s="531">
        <f t="shared" ref="AC74:AG83" si="22">VLOOKUP($AB74,$B$11:$O$31,AC$70,FALSE)</f>
        <v>172.98442977093015</v>
      </c>
      <c r="AD74" s="531">
        <f t="shared" si="22"/>
        <v>119.51083935519735</v>
      </c>
      <c r="AE74" s="531" t="e">
        <f t="shared" si="22"/>
        <v>#N/A</v>
      </c>
      <c r="AF74" s="531">
        <f t="shared" si="22"/>
        <v>114.16141614161417</v>
      </c>
      <c r="AG74" s="531">
        <f t="shared" si="22"/>
        <v>133.74816983894581</v>
      </c>
      <c r="AH74" s="633">
        <f>VLOOKUP(AB74,IDACI!$B$8:$C$29,2,FALSE)</f>
        <v>8.9</v>
      </c>
      <c r="AI74" s="634">
        <f t="shared" ref="AI74:AM83" si="23">VLOOKUP($AB74,$B$74:$H$94,AI$70,FALSE)</f>
        <v>0.21276595744680851</v>
      </c>
      <c r="AJ74" s="634">
        <f t="shared" si="23"/>
        <v>0.2</v>
      </c>
      <c r="AK74" s="634">
        <f t="shared" si="23"/>
        <v>0.375</v>
      </c>
      <c r="AL74" s="634">
        <f t="shared" si="23"/>
        <v>0.27272727272727271</v>
      </c>
      <c r="AM74" s="634">
        <f t="shared" si="23"/>
        <v>0.2608695652173913</v>
      </c>
      <c r="AR74" s="56"/>
      <c r="AS74" s="56"/>
    </row>
    <row r="75" spans="1:52" s="61" customFormat="1" ht="13.5" customHeight="1">
      <c r="A75" s="306">
        <f>VLOOKUP(B75,ReportData!$AQ$4:$AR$25,2,FALSE)</f>
        <v>0</v>
      </c>
      <c r="B75" s="885" t="str">
        <f t="shared" si="15"/>
        <v>Brighton &amp; Hove</v>
      </c>
      <c r="C75" s="59"/>
      <c r="D75" s="922">
        <f t="shared" si="16"/>
        <v>0.5847457627118644</v>
      </c>
      <c r="E75" s="922">
        <f t="shared" si="17"/>
        <v>0.44262295081967212</v>
      </c>
      <c r="F75" s="922">
        <f t="shared" si="18"/>
        <v>0.5</v>
      </c>
      <c r="G75" s="922">
        <f t="shared" si="19"/>
        <v>0.50847457627118642</v>
      </c>
      <c r="H75" s="923">
        <f t="shared" si="20"/>
        <v>0.35483870967741937</v>
      </c>
      <c r="I75" s="68"/>
      <c r="J75" s="68"/>
      <c r="K75" s="127"/>
      <c r="L75" s="127"/>
      <c r="M75" s="127"/>
      <c r="N75" s="127"/>
      <c r="O75" s="127"/>
      <c r="P75" s="127"/>
      <c r="Q75" s="127"/>
      <c r="R75" s="128"/>
      <c r="S75" s="120"/>
      <c r="T75" s="127"/>
      <c r="U75" s="89"/>
      <c r="V75" s="103"/>
      <c r="W75" s="1145"/>
      <c r="X75" s="1336"/>
      <c r="Y75" s="1336"/>
      <c r="Z75" s="1161" t="b">
        <v>1</v>
      </c>
      <c r="AA75" s="921" t="s">
        <v>28</v>
      </c>
      <c r="AB75" s="860" t="str">
        <f t="shared" si="21"/>
        <v>Brighton &amp; Hove</v>
      </c>
      <c r="AC75" s="531">
        <f t="shared" si="22"/>
        <v>98.486559747007007</v>
      </c>
      <c r="AD75" s="531">
        <f t="shared" si="22"/>
        <v>173.91691923694066</v>
      </c>
      <c r="AE75" s="531">
        <f t="shared" si="22"/>
        <v>157.70960416759428</v>
      </c>
      <c r="AF75" s="531">
        <f t="shared" si="22"/>
        <v>159.03224395152469</v>
      </c>
      <c r="AG75" s="531">
        <f t="shared" si="22"/>
        <v>195.94830597275586</v>
      </c>
      <c r="AH75" s="633">
        <f>VLOOKUP(AB75,IDACI!$B$8:$C$29,2,FALSE)</f>
        <v>15.299999999999999</v>
      </c>
      <c r="AI75" s="634">
        <f t="shared" si="23"/>
        <v>0.5847457627118644</v>
      </c>
      <c r="AJ75" s="634">
        <f t="shared" si="23"/>
        <v>0.44262295081967212</v>
      </c>
      <c r="AK75" s="634">
        <f t="shared" si="23"/>
        <v>0.5</v>
      </c>
      <c r="AL75" s="634">
        <f t="shared" si="23"/>
        <v>0.50847457627118642</v>
      </c>
      <c r="AM75" s="634">
        <f t="shared" si="23"/>
        <v>0.35483870967741937</v>
      </c>
      <c r="AR75" s="56"/>
      <c r="AS75" s="56"/>
    </row>
    <row r="76" spans="1:52" s="61" customFormat="1" ht="13.5" customHeight="1">
      <c r="A76" s="306">
        <f>VLOOKUP(B76,ReportData!$AQ$4:$AR$25,2,FALSE)</f>
        <v>0</v>
      </c>
      <c r="B76" s="885" t="str">
        <f t="shared" si="15"/>
        <v>Buckinghamshire</v>
      </c>
      <c r="C76" s="59"/>
      <c r="D76" s="922">
        <f t="shared" si="16"/>
        <v>0.35537190082644626</v>
      </c>
      <c r="E76" s="922">
        <f t="shared" si="17"/>
        <v>0.28767123287671231</v>
      </c>
      <c r="F76" s="922">
        <f t="shared" si="18"/>
        <v>0.37209302325581395</v>
      </c>
      <c r="G76" s="922">
        <f t="shared" si="19"/>
        <v>0.23776223776223776</v>
      </c>
      <c r="H76" s="923">
        <f t="shared" si="20"/>
        <v>0.23529411764705882</v>
      </c>
      <c r="I76" s="68"/>
      <c r="J76" s="68"/>
      <c r="K76" s="127"/>
      <c r="L76" s="127"/>
      <c r="M76" s="127"/>
      <c r="N76" s="127"/>
      <c r="O76" s="127"/>
      <c r="P76" s="127"/>
      <c r="Q76" s="127"/>
      <c r="R76" s="128"/>
      <c r="S76" s="120"/>
      <c r="T76" s="127"/>
      <c r="U76" s="89"/>
      <c r="V76" s="103"/>
      <c r="W76" s="1145"/>
      <c r="X76" s="1336"/>
      <c r="Y76" s="1336"/>
      <c r="Z76" s="1161" t="b">
        <v>1</v>
      </c>
      <c r="AA76" s="921" t="s">
        <v>8</v>
      </c>
      <c r="AB76" s="860" t="str">
        <f t="shared" si="21"/>
        <v>Buckinghamshire</v>
      </c>
      <c r="AC76" s="531">
        <f t="shared" si="22"/>
        <v>164.49678569499216</v>
      </c>
      <c r="AD76" s="531">
        <f t="shared" si="22"/>
        <v>145.0605819403909</v>
      </c>
      <c r="AE76" s="531">
        <f t="shared" si="22"/>
        <v>109.69140083217754</v>
      </c>
      <c r="AF76" s="531">
        <f t="shared" si="22"/>
        <v>125.81301154602443</v>
      </c>
      <c r="AG76" s="531">
        <f t="shared" si="22"/>
        <v>159.30326450571002</v>
      </c>
      <c r="AH76" s="633">
        <f>VLOOKUP(AB76,IDACI!$B$8:$C$29,2,FALSE)</f>
        <v>8.5</v>
      </c>
      <c r="AI76" s="634">
        <f t="shared" si="23"/>
        <v>0.35537190082644626</v>
      </c>
      <c r="AJ76" s="634">
        <f t="shared" si="23"/>
        <v>0.28767123287671231</v>
      </c>
      <c r="AK76" s="634">
        <f t="shared" si="23"/>
        <v>0.37209302325581395</v>
      </c>
      <c r="AL76" s="634">
        <f t="shared" si="23"/>
        <v>0.23776223776223776</v>
      </c>
      <c r="AM76" s="634">
        <f t="shared" si="23"/>
        <v>0.23529411764705882</v>
      </c>
      <c r="AR76" s="56"/>
      <c r="AS76" s="56"/>
    </row>
    <row r="77" spans="1:52" s="61" customFormat="1" ht="13.5" customHeight="1">
      <c r="A77" s="306">
        <f>VLOOKUP(B77,ReportData!$AQ$4:$AR$25,2,FALSE)</f>
        <v>0</v>
      </c>
      <c r="B77" s="885" t="str">
        <f t="shared" si="15"/>
        <v>East Sussex</v>
      </c>
      <c r="C77" s="59"/>
      <c r="D77" s="922">
        <f t="shared" si="16"/>
        <v>0.38775510204081631</v>
      </c>
      <c r="E77" s="922">
        <f t="shared" si="17"/>
        <v>0.28169014084507044</v>
      </c>
      <c r="F77" s="922">
        <f t="shared" si="18"/>
        <v>0.44444444444444442</v>
      </c>
      <c r="G77" s="922">
        <f t="shared" si="19"/>
        <v>0.33757961783439489</v>
      </c>
      <c r="H77" s="923">
        <f t="shared" si="20"/>
        <v>0.24647887323943662</v>
      </c>
      <c r="I77" s="68"/>
      <c r="J77" s="68"/>
      <c r="K77" s="127"/>
      <c r="L77" s="127"/>
      <c r="M77" s="127"/>
      <c r="N77" s="127"/>
      <c r="O77" s="127"/>
      <c r="P77" s="127"/>
      <c r="Q77" s="127"/>
      <c r="R77" s="128"/>
      <c r="S77" s="120"/>
      <c r="T77" s="127"/>
      <c r="U77" s="89"/>
      <c r="V77" s="103"/>
      <c r="W77" s="1145"/>
      <c r="X77" s="1336"/>
      <c r="Y77" s="1336"/>
      <c r="Z77" s="1161" t="b">
        <v>1</v>
      </c>
      <c r="AA77" s="921" t="s">
        <v>4</v>
      </c>
      <c r="AB77" s="860" t="str">
        <f t="shared" si="21"/>
        <v>East Sussex</v>
      </c>
      <c r="AC77" s="531">
        <f t="shared" si="22"/>
        <v>209.55874646263496</v>
      </c>
      <c r="AD77" s="531">
        <f t="shared" si="22"/>
        <v>176.41685696491592</v>
      </c>
      <c r="AE77" s="531">
        <f t="shared" si="22"/>
        <v>178.22190172040794</v>
      </c>
      <c r="AF77" s="531">
        <f t="shared" si="22"/>
        <v>109.45183393792826</v>
      </c>
      <c r="AG77" s="531">
        <f t="shared" si="22"/>
        <v>124.54595704358812</v>
      </c>
      <c r="AH77" s="633">
        <f>VLOOKUP(AB77,IDACI!$B$8:$C$29,2,FALSE)</f>
        <v>16.100000000000001</v>
      </c>
      <c r="AI77" s="634">
        <f t="shared" si="23"/>
        <v>0.38775510204081631</v>
      </c>
      <c r="AJ77" s="634">
        <f t="shared" si="23"/>
        <v>0.28169014084507044</v>
      </c>
      <c r="AK77" s="634">
        <f t="shared" si="23"/>
        <v>0.44444444444444442</v>
      </c>
      <c r="AL77" s="634">
        <f t="shared" si="23"/>
        <v>0.33757961783439489</v>
      </c>
      <c r="AM77" s="634">
        <f t="shared" si="23"/>
        <v>0.24647887323943662</v>
      </c>
      <c r="AR77" s="56"/>
      <c r="AS77" s="56"/>
    </row>
    <row r="78" spans="1:52" s="61" customFormat="1" ht="13.5" customHeight="1">
      <c r="A78" s="306">
        <f>VLOOKUP(B78,ReportData!$AQ$4:$AR$25,2,FALSE)</f>
        <v>0</v>
      </c>
      <c r="B78" s="885" t="str">
        <f t="shared" si="15"/>
        <v>Hampshire</v>
      </c>
      <c r="C78" s="59"/>
      <c r="D78" s="922">
        <f t="shared" si="16"/>
        <v>0.45824847250509165</v>
      </c>
      <c r="E78" s="922">
        <f t="shared" si="17"/>
        <v>0.34468085106382979</v>
      </c>
      <c r="F78" s="922">
        <f t="shared" si="18"/>
        <v>0.37628865979381443</v>
      </c>
      <c r="G78" s="922">
        <f t="shared" si="19"/>
        <v>0.32564102564102565</v>
      </c>
      <c r="H78" s="923">
        <f t="shared" si="20"/>
        <v>0.3086053412462908</v>
      </c>
      <c r="I78" s="68"/>
      <c r="J78" s="68"/>
      <c r="K78" s="127"/>
      <c r="L78" s="127"/>
      <c r="M78" s="127"/>
      <c r="N78" s="127"/>
      <c r="O78" s="127"/>
      <c r="P78" s="127"/>
      <c r="Q78" s="127"/>
      <c r="R78" s="128"/>
      <c r="S78" s="120"/>
      <c r="T78" s="127"/>
      <c r="U78" s="89"/>
      <c r="V78" s="103"/>
      <c r="W78" s="1145"/>
      <c r="X78" s="1336"/>
      <c r="Y78" s="1336"/>
      <c r="Z78" s="1161" t="b">
        <v>1</v>
      </c>
      <c r="AA78" s="921" t="s">
        <v>6</v>
      </c>
      <c r="AB78" s="860" t="str">
        <f t="shared" si="21"/>
        <v>Hampshire</v>
      </c>
      <c r="AC78" s="531">
        <f t="shared" si="22"/>
        <v>182.17199550192603</v>
      </c>
      <c r="AD78" s="531">
        <f t="shared" si="22"/>
        <v>155.63935820119983</v>
      </c>
      <c r="AE78" s="531">
        <f t="shared" si="22"/>
        <v>129.42760317534004</v>
      </c>
      <c r="AF78" s="531">
        <f t="shared" si="22"/>
        <v>97.968475827433892</v>
      </c>
      <c r="AG78" s="531">
        <f t="shared" si="22"/>
        <v>87.405526601036428</v>
      </c>
      <c r="AH78" s="633">
        <f>VLOOKUP(AB78,IDACI!$B$8:$C$29,2,FALSE)</f>
        <v>10.100000000000001</v>
      </c>
      <c r="AI78" s="634">
        <f t="shared" si="23"/>
        <v>0.45824847250509165</v>
      </c>
      <c r="AJ78" s="634">
        <f t="shared" si="23"/>
        <v>0.34468085106382979</v>
      </c>
      <c r="AK78" s="634">
        <f t="shared" si="23"/>
        <v>0.37628865979381443</v>
      </c>
      <c r="AL78" s="634">
        <f t="shared" si="23"/>
        <v>0.32564102564102565</v>
      </c>
      <c r="AM78" s="634">
        <f t="shared" si="23"/>
        <v>0.3086053412462908</v>
      </c>
      <c r="AR78" s="56"/>
      <c r="AS78" s="56"/>
    </row>
    <row r="79" spans="1:52" s="61" customFormat="1" ht="13.5" customHeight="1">
      <c r="A79" s="306">
        <f>VLOOKUP(B79,ReportData!$AQ$4:$AR$25,2,FALSE)</f>
        <v>0</v>
      </c>
      <c r="B79" s="885" t="str">
        <f t="shared" si="15"/>
        <v>Isle of Wight</v>
      </c>
      <c r="C79" s="59"/>
      <c r="D79" s="922">
        <f t="shared" si="16"/>
        <v>0.5</v>
      </c>
      <c r="E79" s="922">
        <f t="shared" si="17"/>
        <v>0.45544554455445546</v>
      </c>
      <c r="F79" s="922">
        <f t="shared" si="18"/>
        <v>0.43055555555555558</v>
      </c>
      <c r="G79" s="922">
        <f t="shared" si="19"/>
        <v>0.33720930232558138</v>
      </c>
      <c r="H79" s="923">
        <f t="shared" si="20"/>
        <v>0.34615384615384615</v>
      </c>
      <c r="I79" s="68"/>
      <c r="J79" s="68"/>
      <c r="K79" s="127"/>
      <c r="L79" s="127"/>
      <c r="M79" s="127"/>
      <c r="N79" s="127"/>
      <c r="O79" s="127"/>
      <c r="P79" s="127"/>
      <c r="Q79" s="127"/>
      <c r="R79" s="128"/>
      <c r="S79" s="120"/>
      <c r="T79" s="127"/>
      <c r="U79" s="89"/>
      <c r="V79" s="103"/>
      <c r="W79" s="1145"/>
      <c r="X79" s="1336"/>
      <c r="Y79" s="1336"/>
      <c r="Z79" s="1161" t="b">
        <v>1</v>
      </c>
      <c r="AA79" s="921" t="s">
        <v>1</v>
      </c>
      <c r="AB79" s="860" t="str">
        <f t="shared" si="21"/>
        <v>Isle of Wight</v>
      </c>
      <c r="AC79" s="531">
        <f t="shared" si="22"/>
        <v>466.58349670290505</v>
      </c>
      <c r="AD79" s="531">
        <f t="shared" si="22"/>
        <v>252.22024866785077</v>
      </c>
      <c r="AE79" s="531">
        <f t="shared" si="22"/>
        <v>207.16884038683349</v>
      </c>
      <c r="AF79" s="531">
        <f t="shared" si="22"/>
        <v>262.23469566742676</v>
      </c>
      <c r="AG79" s="531">
        <f t="shared" si="22"/>
        <v>338.8364779874214</v>
      </c>
      <c r="AH79" s="633">
        <f>VLOOKUP(AB79,IDACI!$B$8:$C$29,2,FALSE)</f>
        <v>18</v>
      </c>
      <c r="AI79" s="634">
        <f t="shared" si="23"/>
        <v>0.5</v>
      </c>
      <c r="AJ79" s="634">
        <f t="shared" si="23"/>
        <v>0.45544554455445546</v>
      </c>
      <c r="AK79" s="634">
        <f t="shared" si="23"/>
        <v>0.43055555555555558</v>
      </c>
      <c r="AL79" s="634">
        <f t="shared" si="23"/>
        <v>0.33720930232558138</v>
      </c>
      <c r="AM79" s="634">
        <f t="shared" si="23"/>
        <v>0.34615384615384615</v>
      </c>
      <c r="AR79" s="56"/>
      <c r="AS79" s="56"/>
      <c r="AZ79" s="61" t="s">
        <v>95</v>
      </c>
    </row>
    <row r="80" spans="1:52" s="61" customFormat="1" ht="13.5" customHeight="1">
      <c r="A80" s="306">
        <f>VLOOKUP(B80,ReportData!$AQ$4:$AR$25,2,FALSE)</f>
        <v>0</v>
      </c>
      <c r="B80" s="885" t="str">
        <f t="shared" si="15"/>
        <v>Kent</v>
      </c>
      <c r="C80" s="59"/>
      <c r="D80" s="922">
        <f t="shared" si="16"/>
        <v>0.35500878734622143</v>
      </c>
      <c r="E80" s="922">
        <f t="shared" si="17"/>
        <v>0.34817813765182187</v>
      </c>
      <c r="F80" s="922">
        <f t="shared" si="18"/>
        <v>0.34180790960451979</v>
      </c>
      <c r="G80" s="922">
        <f t="shared" si="19"/>
        <v>0.40895522388059702</v>
      </c>
      <c r="H80" s="923">
        <f t="shared" si="20"/>
        <v>0.2857142857142857</v>
      </c>
      <c r="I80" s="68"/>
      <c r="J80" s="68"/>
      <c r="K80" s="127"/>
      <c r="L80" s="127"/>
      <c r="M80" s="127"/>
      <c r="N80" s="127"/>
      <c r="O80" s="127"/>
      <c r="P80" s="127"/>
      <c r="Q80" s="127"/>
      <c r="R80" s="128"/>
      <c r="S80" s="120"/>
      <c r="T80" s="127"/>
      <c r="U80" s="89"/>
      <c r="V80" s="103"/>
      <c r="W80" s="1145"/>
      <c r="X80" s="1336"/>
      <c r="Y80" s="1336"/>
      <c r="Z80" s="1161" t="b">
        <v>1</v>
      </c>
      <c r="AA80" s="921" t="s">
        <v>9</v>
      </c>
      <c r="AB80" s="860" t="str">
        <f t="shared" si="21"/>
        <v>Kent</v>
      </c>
      <c r="AC80" s="531">
        <f t="shared" si="22"/>
        <v>142.7852450325793</v>
      </c>
      <c r="AD80" s="531">
        <f t="shared" si="22"/>
        <v>162.69783650355743</v>
      </c>
      <c r="AE80" s="531">
        <f t="shared" si="22"/>
        <v>134.93535293278518</v>
      </c>
      <c r="AF80" s="531">
        <f t="shared" si="22"/>
        <v>155.14154884016006</v>
      </c>
      <c r="AG80" s="531">
        <f t="shared" si="22"/>
        <v>161.80879311821644</v>
      </c>
      <c r="AH80" s="633">
        <f>VLOOKUP(AB80,IDACI!$B$8:$C$29,2,FALSE)</f>
        <v>15.8</v>
      </c>
      <c r="AI80" s="634">
        <f t="shared" si="23"/>
        <v>0.35500878734622143</v>
      </c>
      <c r="AJ80" s="634">
        <f t="shared" si="23"/>
        <v>0.34817813765182187</v>
      </c>
      <c r="AK80" s="634">
        <f t="shared" si="23"/>
        <v>0.34180790960451979</v>
      </c>
      <c r="AL80" s="634">
        <f t="shared" si="23"/>
        <v>0.40895522388059702</v>
      </c>
      <c r="AM80" s="634">
        <f t="shared" si="23"/>
        <v>0.2857142857142857</v>
      </c>
      <c r="AR80" s="56"/>
      <c r="AS80" s="56"/>
    </row>
    <row r="81" spans="1:45" s="61" customFormat="1" ht="13.5" customHeight="1">
      <c r="A81" s="306">
        <f>VLOOKUP(B81,ReportData!$AQ$4:$AR$25,2,FALSE)</f>
        <v>0</v>
      </c>
      <c r="B81" s="885" t="str">
        <f t="shared" si="15"/>
        <v>Medway</v>
      </c>
      <c r="C81" s="59"/>
      <c r="D81" s="922">
        <f t="shared" si="16"/>
        <v>0.46794871794871795</v>
      </c>
      <c r="E81" s="922">
        <f t="shared" si="17"/>
        <v>0.35862068965517241</v>
      </c>
      <c r="F81" s="922">
        <f t="shared" si="18"/>
        <v>0.40517241379310343</v>
      </c>
      <c r="G81" s="922">
        <f t="shared" si="19"/>
        <v>0.34444444444444444</v>
      </c>
      <c r="H81" s="923">
        <f t="shared" si="20"/>
        <v>0.38028169014084506</v>
      </c>
      <c r="I81" s="68"/>
      <c r="J81" s="68"/>
      <c r="K81" s="127"/>
      <c r="L81" s="127"/>
      <c r="M81" s="127"/>
      <c r="N81" s="127"/>
      <c r="O81" s="127"/>
      <c r="P81" s="127"/>
      <c r="Q81" s="127"/>
      <c r="R81" s="128"/>
      <c r="S81" s="120"/>
      <c r="T81" s="127"/>
      <c r="U81" s="89"/>
      <c r="V81" s="103"/>
      <c r="W81" s="1145"/>
      <c r="X81" s="1336"/>
      <c r="Y81" s="1336"/>
      <c r="Z81" s="1161" t="b">
        <v>1</v>
      </c>
      <c r="AA81" s="921" t="s">
        <v>2</v>
      </c>
      <c r="AB81" s="860" t="str">
        <f t="shared" si="21"/>
        <v>Medway</v>
      </c>
      <c r="AC81" s="531">
        <f t="shared" si="22"/>
        <v>164.25472970509972</v>
      </c>
      <c r="AD81" s="531">
        <f t="shared" si="22"/>
        <v>99.128618752700575</v>
      </c>
      <c r="AE81" s="531">
        <f t="shared" si="22"/>
        <v>137.99815955262972</v>
      </c>
      <c r="AF81" s="531">
        <f t="shared" si="22"/>
        <v>199.86983626772624</v>
      </c>
      <c r="AG81" s="531">
        <f t="shared" si="22"/>
        <v>177.55149424524859</v>
      </c>
      <c r="AH81" s="633">
        <f>VLOOKUP(AB81,IDACI!$B$8:$C$29,2,FALSE)</f>
        <v>18.899999999999999</v>
      </c>
      <c r="AI81" s="634">
        <f t="shared" si="23"/>
        <v>0.46794871794871795</v>
      </c>
      <c r="AJ81" s="634">
        <f t="shared" si="23"/>
        <v>0.35862068965517241</v>
      </c>
      <c r="AK81" s="634">
        <f t="shared" si="23"/>
        <v>0.40517241379310343</v>
      </c>
      <c r="AL81" s="634">
        <f t="shared" si="23"/>
        <v>0.34444444444444444</v>
      </c>
      <c r="AM81" s="634">
        <f t="shared" si="23"/>
        <v>0.38028169014084506</v>
      </c>
      <c r="AR81" s="56"/>
      <c r="AS81" s="56"/>
    </row>
    <row r="82" spans="1:45" s="61" customFormat="1" ht="13.5" customHeight="1">
      <c r="A82" s="306">
        <f>VLOOKUP(B82,ReportData!$AQ$4:$AR$25,2,FALSE)</f>
        <v>0</v>
      </c>
      <c r="B82" s="885" t="str">
        <f t="shared" si="15"/>
        <v>Milton Keynes</v>
      </c>
      <c r="C82" s="59"/>
      <c r="D82" s="922">
        <f t="shared" si="16"/>
        <v>0.35911602209944754</v>
      </c>
      <c r="E82" s="922">
        <f t="shared" si="17"/>
        <v>0.40939597315436244</v>
      </c>
      <c r="F82" s="922">
        <f t="shared" si="18"/>
        <v>0.3135593220338983</v>
      </c>
      <c r="G82" s="922">
        <f t="shared" si="19"/>
        <v>0.27884615384615385</v>
      </c>
      <c r="H82" s="923">
        <f t="shared" si="20"/>
        <v>0.2558139534883721</v>
      </c>
      <c r="I82" s="68"/>
      <c r="J82" s="68"/>
      <c r="K82" s="127"/>
      <c r="L82" s="127"/>
      <c r="M82" s="127"/>
      <c r="N82" s="127"/>
      <c r="O82" s="127"/>
      <c r="P82" s="127"/>
      <c r="Q82" s="127"/>
      <c r="R82" s="128"/>
      <c r="S82" s="120"/>
      <c r="T82" s="127"/>
      <c r="U82" s="89"/>
      <c r="V82" s="103"/>
      <c r="W82" s="1145"/>
      <c r="X82" s="1336"/>
      <c r="Y82" s="1336"/>
      <c r="Z82" s="1161" t="b">
        <v>1</v>
      </c>
      <c r="AA82" s="921" t="s">
        <v>10</v>
      </c>
      <c r="AB82" s="860" t="str">
        <f t="shared" si="21"/>
        <v>Milton Keynes</v>
      </c>
      <c r="AC82" s="531">
        <f t="shared" si="22"/>
        <v>140.64542072986828</v>
      </c>
      <c r="AD82" s="531">
        <f t="shared" si="22"/>
        <v>135.66569484936832</v>
      </c>
      <c r="AE82" s="531">
        <f t="shared" si="22"/>
        <v>109.74381569836973</v>
      </c>
      <c r="AF82" s="531">
        <f t="shared" si="22"/>
        <v>166.71231626038528</v>
      </c>
      <c r="AG82" s="531">
        <f t="shared" si="22"/>
        <v>128.56514729591089</v>
      </c>
      <c r="AH82" s="633">
        <f>VLOOKUP(AB82,IDACI!$B$8:$C$29,2,FALSE)</f>
        <v>15</v>
      </c>
      <c r="AI82" s="634">
        <f t="shared" si="23"/>
        <v>0.35911602209944754</v>
      </c>
      <c r="AJ82" s="634">
        <f t="shared" si="23"/>
        <v>0.40939597315436244</v>
      </c>
      <c r="AK82" s="634">
        <f t="shared" si="23"/>
        <v>0.3135593220338983</v>
      </c>
      <c r="AL82" s="634">
        <f t="shared" si="23"/>
        <v>0.27884615384615385</v>
      </c>
      <c r="AM82" s="634">
        <f t="shared" si="23"/>
        <v>0.2558139534883721</v>
      </c>
      <c r="AR82" s="56"/>
      <c r="AS82" s="56"/>
    </row>
    <row r="83" spans="1:45" s="61" customFormat="1" ht="13.5" customHeight="1">
      <c r="A83" s="306">
        <f>VLOOKUP(B83,ReportData!$AQ$4:$AR$25,2,FALSE)</f>
        <v>0</v>
      </c>
      <c r="B83" s="885" t="str">
        <f t="shared" si="15"/>
        <v>Oxfordshire</v>
      </c>
      <c r="C83" s="59"/>
      <c r="D83" s="922">
        <f t="shared" si="16"/>
        <v>0.36879432624113473</v>
      </c>
      <c r="E83" s="922">
        <f t="shared" si="17"/>
        <v>0.29914529914529914</v>
      </c>
      <c r="F83" s="922">
        <f t="shared" si="18"/>
        <v>0.22222222222222221</v>
      </c>
      <c r="G83" s="922">
        <f t="shared" si="19"/>
        <v>0.23300970873786409</v>
      </c>
      <c r="H83" s="923">
        <f t="shared" si="20"/>
        <v>0.23148148148148148</v>
      </c>
      <c r="I83" s="68"/>
      <c r="J83" s="68"/>
      <c r="K83" s="127"/>
      <c r="L83" s="127"/>
      <c r="M83" s="127"/>
      <c r="N83" s="127"/>
      <c r="O83" s="127"/>
      <c r="P83" s="127"/>
      <c r="Q83" s="127"/>
      <c r="R83" s="128"/>
      <c r="S83" s="120"/>
      <c r="T83" s="127"/>
      <c r="U83" s="89"/>
      <c r="V83" s="103"/>
      <c r="W83" s="1145"/>
      <c r="X83" s="1336"/>
      <c r="Y83" s="1336"/>
      <c r="Z83" s="1161" t="b">
        <v>1</v>
      </c>
      <c r="AA83" s="921" t="s">
        <v>11</v>
      </c>
      <c r="AB83" s="860" t="str">
        <f t="shared" si="21"/>
        <v>Oxfordshire</v>
      </c>
      <c r="AC83" s="531">
        <f t="shared" si="22"/>
        <v>220.51890426154748</v>
      </c>
      <c r="AD83" s="531">
        <f t="shared" si="22"/>
        <v>223.87631543188442</v>
      </c>
      <c r="AE83" s="531">
        <f t="shared" si="22"/>
        <v>142.58953330579976</v>
      </c>
      <c r="AF83" s="531">
        <f t="shared" si="22"/>
        <v>154.9287708497387</v>
      </c>
      <c r="AG83" s="531">
        <f t="shared" si="22"/>
        <v>182.19470359369117</v>
      </c>
      <c r="AH83" s="633">
        <f>VLOOKUP(AB83,IDACI!$B$8:$C$29,2,FALSE)</f>
        <v>10.100000000000001</v>
      </c>
      <c r="AI83" s="634">
        <f t="shared" si="23"/>
        <v>0.36879432624113473</v>
      </c>
      <c r="AJ83" s="634">
        <f t="shared" si="23"/>
        <v>0.29914529914529914</v>
      </c>
      <c r="AK83" s="634">
        <f t="shared" si="23"/>
        <v>0.22222222222222221</v>
      </c>
      <c r="AL83" s="634">
        <f t="shared" si="23"/>
        <v>0.23300970873786409</v>
      </c>
      <c r="AM83" s="634">
        <f t="shared" si="23"/>
        <v>0.23148148148148148</v>
      </c>
      <c r="AR83" s="56"/>
      <c r="AS83" s="56"/>
    </row>
    <row r="84" spans="1:45" s="61" customFormat="1" ht="13.5" customHeight="1">
      <c r="A84" s="306">
        <f>VLOOKUP(B84,ReportData!$AQ$4:$AR$25,2,FALSE)</f>
        <v>0</v>
      </c>
      <c r="B84" s="885" t="str">
        <f t="shared" si="15"/>
        <v>Portsmouth</v>
      </c>
      <c r="C84" s="59"/>
      <c r="D84" s="922">
        <f t="shared" si="16"/>
        <v>0.56830601092896171</v>
      </c>
      <c r="E84" s="922">
        <f t="shared" si="17"/>
        <v>0.59624413145539901</v>
      </c>
      <c r="F84" s="922">
        <f t="shared" si="18"/>
        <v>0.48076923076923078</v>
      </c>
      <c r="G84" s="922">
        <f t="shared" si="19"/>
        <v>0.39086294416243655</v>
      </c>
      <c r="H84" s="923">
        <f t="shared" si="20"/>
        <v>0.41025641025641024</v>
      </c>
      <c r="I84" s="68"/>
      <c r="J84" s="68"/>
      <c r="K84" s="127"/>
      <c r="L84" s="127"/>
      <c r="M84" s="127"/>
      <c r="N84" s="127"/>
      <c r="O84" s="127"/>
      <c r="P84" s="127"/>
      <c r="Q84" s="127"/>
      <c r="R84" s="128"/>
      <c r="S84" s="120"/>
      <c r="T84" s="127"/>
      <c r="U84" s="89"/>
      <c r="V84" s="103"/>
      <c r="W84" s="1145"/>
      <c r="X84" s="1336"/>
      <c r="Y84" s="1336"/>
      <c r="Z84" s="1161" t="b">
        <v>1</v>
      </c>
      <c r="AA84" s="921" t="s">
        <v>12</v>
      </c>
      <c r="AB84" s="860" t="str">
        <f t="shared" si="21"/>
        <v>Portsmouth</v>
      </c>
      <c r="AC84" s="531">
        <f t="shared" ref="AC84:AG94" si="24">VLOOKUP($AB84,$B$11:$O$31,AC$70,FALSE)</f>
        <v>475.05508785807109</v>
      </c>
      <c r="AD84" s="531">
        <f t="shared" si="24"/>
        <v>296.39318713124794</v>
      </c>
      <c r="AE84" s="531">
        <f t="shared" si="24"/>
        <v>309.95250193306083</v>
      </c>
      <c r="AF84" s="531">
        <f t="shared" si="24"/>
        <v>221.8283381673649</v>
      </c>
      <c r="AG84" s="531">
        <f t="shared" si="24"/>
        <v>223.42493825863065</v>
      </c>
      <c r="AH84" s="633">
        <f>VLOOKUP(AB84,IDACI!$B$8:$C$29,2,FALSE)</f>
        <v>20.200000000000003</v>
      </c>
      <c r="AI84" s="634">
        <f t="shared" ref="AI84:AM94" si="25">VLOOKUP($AB84,$B$74:$H$94,AI$70,FALSE)</f>
        <v>0.56830601092896171</v>
      </c>
      <c r="AJ84" s="634">
        <f t="shared" si="25"/>
        <v>0.59624413145539901</v>
      </c>
      <c r="AK84" s="634">
        <f t="shared" si="25"/>
        <v>0.48076923076923078</v>
      </c>
      <c r="AL84" s="634">
        <f t="shared" si="25"/>
        <v>0.39086294416243655</v>
      </c>
      <c r="AM84" s="634">
        <f t="shared" si="25"/>
        <v>0.41025641025641024</v>
      </c>
      <c r="AR84" s="56"/>
      <c r="AS84" s="56"/>
    </row>
    <row r="85" spans="1:45" s="61" customFormat="1" ht="13.5" customHeight="1">
      <c r="A85" s="306">
        <f>VLOOKUP(B85,ReportData!$AQ$4:$AR$25,2,FALSE)</f>
        <v>0</v>
      </c>
      <c r="B85" s="885" t="str">
        <f t="shared" si="15"/>
        <v>Reading</v>
      </c>
      <c r="C85" s="59"/>
      <c r="D85" s="922">
        <f t="shared" si="16"/>
        <v>0.32173913043478258</v>
      </c>
      <c r="E85" s="922">
        <f t="shared" si="17"/>
        <v>0.30864197530864196</v>
      </c>
      <c r="F85" s="922">
        <f t="shared" si="18"/>
        <v>0.33333333333333331</v>
      </c>
      <c r="G85" s="922">
        <f t="shared" si="19"/>
        <v>0.23809523809523808</v>
      </c>
      <c r="H85" s="923">
        <f t="shared" si="20"/>
        <v>0.28125</v>
      </c>
      <c r="I85" s="68"/>
      <c r="J85" s="68"/>
      <c r="K85" s="127"/>
      <c r="L85" s="127"/>
      <c r="M85" s="127"/>
      <c r="N85" s="127"/>
      <c r="O85" s="127"/>
      <c r="P85" s="127"/>
      <c r="Q85" s="127"/>
      <c r="R85" s="128"/>
      <c r="S85" s="120"/>
      <c r="T85" s="127"/>
      <c r="U85" s="89"/>
      <c r="V85" s="103"/>
      <c r="W85" s="1145"/>
      <c r="X85" s="1336"/>
      <c r="Y85" s="1336"/>
      <c r="Z85" s="1161" t="b">
        <v>1</v>
      </c>
      <c r="AA85" s="921" t="s">
        <v>3</v>
      </c>
      <c r="AB85" s="860" t="str">
        <f t="shared" si="21"/>
        <v>Reading</v>
      </c>
      <c r="AC85" s="531">
        <f t="shared" si="24"/>
        <v>334.58473292498189</v>
      </c>
      <c r="AD85" s="531">
        <f t="shared" si="24"/>
        <v>217.04581864786925</v>
      </c>
      <c r="AE85" s="531">
        <f t="shared" si="24"/>
        <v>240.07886034088017</v>
      </c>
      <c r="AF85" s="531">
        <f t="shared" si="24"/>
        <v>190.00061648480366</v>
      </c>
      <c r="AG85" s="531">
        <f t="shared" si="24"/>
        <v>254.63763793617656</v>
      </c>
      <c r="AH85" s="633">
        <f>VLOOKUP(AB85,IDACI!$B$8:$C$29,2,FALSE)</f>
        <v>16</v>
      </c>
      <c r="AI85" s="634">
        <f t="shared" si="25"/>
        <v>0.32173913043478258</v>
      </c>
      <c r="AJ85" s="634">
        <f t="shared" si="25"/>
        <v>0.30864197530864196</v>
      </c>
      <c r="AK85" s="634">
        <f t="shared" si="25"/>
        <v>0.33333333333333331</v>
      </c>
      <c r="AL85" s="634">
        <f t="shared" si="25"/>
        <v>0.23809523809523808</v>
      </c>
      <c r="AM85" s="634">
        <f t="shared" si="25"/>
        <v>0.28125</v>
      </c>
      <c r="AR85" s="56"/>
      <c r="AS85" s="56"/>
    </row>
    <row r="86" spans="1:45" s="61" customFormat="1" ht="13.5" customHeight="1">
      <c r="A86" s="306">
        <f>VLOOKUP(B86,ReportData!$AQ$4:$AR$25,2,FALSE)</f>
        <v>0</v>
      </c>
      <c r="B86" s="885" t="str">
        <f t="shared" si="15"/>
        <v>Slough</v>
      </c>
      <c r="C86" s="59"/>
      <c r="D86" s="922">
        <f t="shared" si="16"/>
        <v>0.41346153846153844</v>
      </c>
      <c r="E86" s="922">
        <f t="shared" si="17"/>
        <v>0.51020408163265307</v>
      </c>
      <c r="F86" s="922">
        <f t="shared" si="18"/>
        <v>0.40350877192982454</v>
      </c>
      <c r="G86" s="922">
        <f t="shared" si="19"/>
        <v>0.27777777777777779</v>
      </c>
      <c r="H86" s="923">
        <f t="shared" si="20"/>
        <v>0.18</v>
      </c>
      <c r="I86" s="68"/>
      <c r="J86" s="68"/>
      <c r="K86" s="127"/>
      <c r="L86" s="127"/>
      <c r="M86" s="127"/>
      <c r="N86" s="127"/>
      <c r="O86" s="127"/>
      <c r="P86" s="127"/>
      <c r="Q86" s="127"/>
      <c r="R86" s="128"/>
      <c r="S86" s="120"/>
      <c r="T86" s="127"/>
      <c r="U86" s="89"/>
      <c r="V86" s="103"/>
      <c r="W86" s="1145"/>
      <c r="X86" s="1336"/>
      <c r="Y86" s="1336"/>
      <c r="Z86" s="1161" t="b">
        <v>1</v>
      </c>
      <c r="AA86" s="921" t="s">
        <v>13</v>
      </c>
      <c r="AB86" s="860" t="str">
        <f t="shared" si="21"/>
        <v>Slough</v>
      </c>
      <c r="AC86" s="531">
        <f t="shared" si="24"/>
        <v>274.82910020563554</v>
      </c>
      <c r="AD86" s="531">
        <f t="shared" si="24"/>
        <v>180.46912398276689</v>
      </c>
      <c r="AE86" s="531">
        <f t="shared" si="24"/>
        <v>125.82169268693509</v>
      </c>
      <c r="AF86" s="531">
        <f t="shared" si="24"/>
        <v>172.64820553833852</v>
      </c>
      <c r="AG86" s="531">
        <f t="shared" si="24"/>
        <v>157.69626328419611</v>
      </c>
      <c r="AH86" s="633">
        <f>VLOOKUP(AB86,IDACI!$B$8:$C$29,2,FALSE)</f>
        <v>14.7</v>
      </c>
      <c r="AI86" s="634">
        <f t="shared" si="25"/>
        <v>0.41346153846153844</v>
      </c>
      <c r="AJ86" s="634">
        <f t="shared" si="25"/>
        <v>0.51020408163265307</v>
      </c>
      <c r="AK86" s="634">
        <f t="shared" si="25"/>
        <v>0.40350877192982454</v>
      </c>
      <c r="AL86" s="634">
        <f t="shared" si="25"/>
        <v>0.27777777777777779</v>
      </c>
      <c r="AM86" s="634">
        <f t="shared" si="25"/>
        <v>0.18</v>
      </c>
      <c r="AR86" s="56"/>
      <c r="AS86" s="56"/>
    </row>
    <row r="87" spans="1:45" s="61" customFormat="1" ht="13.5" customHeight="1">
      <c r="A87" s="306">
        <f>VLOOKUP(B87,ReportData!$AQ$4:$AR$25,2,FALSE)</f>
        <v>0</v>
      </c>
      <c r="B87" s="885" t="str">
        <f t="shared" si="15"/>
        <v>Southampton</v>
      </c>
      <c r="C87" s="59"/>
      <c r="D87" s="922">
        <f t="shared" si="16"/>
        <v>0.4157303370786517</v>
      </c>
      <c r="E87" s="922">
        <f t="shared" si="17"/>
        <v>0.38372093023255816</v>
      </c>
      <c r="F87" s="922">
        <f t="shared" si="18"/>
        <v>0.50285714285714289</v>
      </c>
      <c r="G87" s="922">
        <f t="shared" si="19"/>
        <v>0.3559322033898305</v>
      </c>
      <c r="H87" s="923">
        <f t="shared" si="20"/>
        <v>0.41605839416058393</v>
      </c>
      <c r="I87" s="68"/>
      <c r="J87" s="68"/>
      <c r="K87" s="127"/>
      <c r="L87" s="127"/>
      <c r="M87" s="127"/>
      <c r="N87" s="127"/>
      <c r="O87" s="127"/>
      <c r="P87" s="127"/>
      <c r="Q87" s="127"/>
      <c r="R87" s="128"/>
      <c r="S87" s="120"/>
      <c r="T87" s="127"/>
      <c r="U87" s="89"/>
      <c r="V87" s="103"/>
      <c r="W87" s="1145"/>
      <c r="X87" s="1336"/>
      <c r="Y87" s="1336"/>
      <c r="Z87" s="1161" t="b">
        <v>1</v>
      </c>
      <c r="AA87" s="921" t="s">
        <v>14</v>
      </c>
      <c r="AB87" s="860" t="str">
        <f t="shared" si="21"/>
        <v>Southampton</v>
      </c>
      <c r="AC87" s="531">
        <f t="shared" si="24"/>
        <v>377.63670898730379</v>
      </c>
      <c r="AD87" s="531">
        <f t="shared" si="24"/>
        <v>306.38380128545884</v>
      </c>
      <c r="AE87" s="531">
        <f t="shared" si="24"/>
        <v>186.57868875473815</v>
      </c>
      <c r="AF87" s="531">
        <f t="shared" si="24"/>
        <v>186.80466897683749</v>
      </c>
      <c r="AG87" s="531">
        <f t="shared" si="24"/>
        <v>140.37974120681224</v>
      </c>
      <c r="AH87" s="633">
        <f>VLOOKUP(AB87,IDACI!$B$8:$C$29,2,FALSE)</f>
        <v>20.5</v>
      </c>
      <c r="AI87" s="634">
        <f t="shared" si="25"/>
        <v>0.4157303370786517</v>
      </c>
      <c r="AJ87" s="634">
        <f t="shared" si="25"/>
        <v>0.38372093023255816</v>
      </c>
      <c r="AK87" s="634">
        <f t="shared" si="25"/>
        <v>0.50285714285714289</v>
      </c>
      <c r="AL87" s="634">
        <f t="shared" si="25"/>
        <v>0.3559322033898305</v>
      </c>
      <c r="AM87" s="634">
        <f t="shared" si="25"/>
        <v>0.41605839416058393</v>
      </c>
      <c r="AR87" s="56"/>
      <c r="AS87" s="56"/>
    </row>
    <row r="88" spans="1:45" s="61" customFormat="1" ht="13.5" customHeight="1">
      <c r="A88" s="306">
        <f>VLOOKUP(B88,ReportData!$AQ$4:$AR$25,2,FALSE)</f>
        <v>0</v>
      </c>
      <c r="B88" s="885" t="str">
        <f t="shared" si="15"/>
        <v>Surrey</v>
      </c>
      <c r="C88" s="59"/>
      <c r="D88" s="922">
        <f t="shared" si="16"/>
        <v>0.40211640211640209</v>
      </c>
      <c r="E88" s="922">
        <f t="shared" si="17"/>
        <v>0.37128712871287128</v>
      </c>
      <c r="F88" s="922">
        <f t="shared" si="18"/>
        <v>0.39644970414201186</v>
      </c>
      <c r="G88" s="922">
        <f t="shared" si="19"/>
        <v>0.32178217821782179</v>
      </c>
      <c r="H88" s="923">
        <f t="shared" si="20"/>
        <v>0.27717391304347827</v>
      </c>
      <c r="I88" s="68"/>
      <c r="J88" s="68"/>
      <c r="K88" s="127"/>
      <c r="L88" s="127"/>
      <c r="M88" s="127"/>
      <c r="N88" s="127"/>
      <c r="O88" s="127"/>
      <c r="P88" s="127"/>
      <c r="Q88" s="127"/>
      <c r="R88" s="128"/>
      <c r="S88" s="120"/>
      <c r="T88" s="127"/>
      <c r="U88" s="89"/>
      <c r="V88" s="103"/>
      <c r="W88" s="1145"/>
      <c r="X88" s="1336"/>
      <c r="Y88" s="1336"/>
      <c r="Z88" s="1161" t="b">
        <v>1</v>
      </c>
      <c r="AA88" s="921" t="s">
        <v>7</v>
      </c>
      <c r="AB88" s="860" t="str">
        <f t="shared" si="21"/>
        <v>Surrey</v>
      </c>
      <c r="AC88" s="531">
        <f t="shared" si="24"/>
        <v>115.17297974344579</v>
      </c>
      <c r="AD88" s="531">
        <f t="shared" si="24"/>
        <v>98.694053505768991</v>
      </c>
      <c r="AE88" s="531">
        <f t="shared" si="24"/>
        <v>69.486379773715115</v>
      </c>
      <c r="AF88" s="531">
        <f t="shared" si="24"/>
        <v>85.79227029733353</v>
      </c>
      <c r="AG88" s="531">
        <f t="shared" si="24"/>
        <v>62.186631181237082</v>
      </c>
      <c r="AH88" s="633">
        <f>VLOOKUP(AB88,IDACI!$B$8:$C$29,2,FALSE)</f>
        <v>8.3000000000000007</v>
      </c>
      <c r="AI88" s="634">
        <f t="shared" si="25"/>
        <v>0.40211640211640209</v>
      </c>
      <c r="AJ88" s="634">
        <f t="shared" si="25"/>
        <v>0.37128712871287128</v>
      </c>
      <c r="AK88" s="634">
        <f t="shared" si="25"/>
        <v>0.39644970414201186</v>
      </c>
      <c r="AL88" s="634">
        <f t="shared" si="25"/>
        <v>0.32178217821782179</v>
      </c>
      <c r="AM88" s="634">
        <f t="shared" si="25"/>
        <v>0.27717391304347827</v>
      </c>
      <c r="AR88" s="56"/>
      <c r="AS88" s="56"/>
    </row>
    <row r="89" spans="1:45" s="61" customFormat="1" ht="13.5" customHeight="1">
      <c r="A89" s="306">
        <f>VLOOKUP(B89,ReportData!$AQ$4:$AR$25,2,FALSE)</f>
        <v>0</v>
      </c>
      <c r="B89" s="885" t="str">
        <f t="shared" si="15"/>
        <v>West Berkshire</v>
      </c>
      <c r="C89" s="59"/>
      <c r="D89" s="922">
        <f t="shared" ref="D89:H92" si="26">IF(AND(ISNUMBER(AO117),ISNUMBER(AC117)),AO117/AC117,NA())</f>
        <v>0.44047619047619047</v>
      </c>
      <c r="E89" s="922">
        <f t="shared" si="26"/>
        <v>0.32894736842105265</v>
      </c>
      <c r="F89" s="922">
        <f t="shared" si="26"/>
        <v>0.35135135135135137</v>
      </c>
      <c r="G89" s="922">
        <f t="shared" si="26"/>
        <v>0.29411764705882354</v>
      </c>
      <c r="H89" s="923">
        <f t="shared" si="26"/>
        <v>0.2</v>
      </c>
      <c r="I89" s="68"/>
      <c r="J89" s="68"/>
      <c r="K89" s="127"/>
      <c r="L89" s="127"/>
      <c r="M89" s="127"/>
      <c r="N89" s="127"/>
      <c r="O89" s="127"/>
      <c r="P89" s="127"/>
      <c r="Q89" s="127"/>
      <c r="R89" s="128"/>
      <c r="S89" s="120"/>
      <c r="T89" s="127"/>
      <c r="U89" s="89"/>
      <c r="V89" s="103"/>
      <c r="W89" s="1145"/>
      <c r="X89" s="1336"/>
      <c r="Y89" s="1336"/>
      <c r="Z89" s="1161" t="b">
        <v>1</v>
      </c>
      <c r="AA89" s="921" t="s">
        <v>15</v>
      </c>
      <c r="AB89" s="860" t="str">
        <f t="shared" si="21"/>
        <v>West Berkshire</v>
      </c>
      <c r="AC89" s="531">
        <f t="shared" si="24"/>
        <v>197.49025341130604</v>
      </c>
      <c r="AD89" s="531">
        <f t="shared" si="24"/>
        <v>168.79841470005405</v>
      </c>
      <c r="AE89" s="531">
        <f t="shared" si="24"/>
        <v>178.09853274484075</v>
      </c>
      <c r="AF89" s="531">
        <f t="shared" si="24"/>
        <v>174.37660219063156</v>
      </c>
      <c r="AG89" s="531">
        <f t="shared" si="24"/>
        <v>131.46892655367233</v>
      </c>
      <c r="AH89" s="633">
        <f>VLOOKUP(AB89,IDACI!$B$8:$C$29,2,FALSE)</f>
        <v>8.6999999999999993</v>
      </c>
      <c r="AI89" s="634">
        <f t="shared" si="25"/>
        <v>0.44047619047619047</v>
      </c>
      <c r="AJ89" s="634">
        <f t="shared" si="25"/>
        <v>0.32894736842105265</v>
      </c>
      <c r="AK89" s="634">
        <f t="shared" si="25"/>
        <v>0.35135135135135137</v>
      </c>
      <c r="AL89" s="634">
        <f t="shared" si="25"/>
        <v>0.29411764705882354</v>
      </c>
      <c r="AM89" s="634">
        <f t="shared" si="25"/>
        <v>0.2</v>
      </c>
      <c r="AR89" s="56"/>
      <c r="AS89" s="56"/>
    </row>
    <row r="90" spans="1:45" s="61" customFormat="1" ht="13.5" customHeight="1">
      <c r="A90" s="306">
        <f>VLOOKUP(B90,ReportData!$AQ$4:$AR$25,2,FALSE)</f>
        <v>0</v>
      </c>
      <c r="B90" s="885" t="str">
        <f t="shared" si="15"/>
        <v>West Sussex</v>
      </c>
      <c r="C90" s="59"/>
      <c r="D90" s="922">
        <f t="shared" si="26"/>
        <v>0.37223974763406942</v>
      </c>
      <c r="E90" s="922">
        <f t="shared" si="26"/>
        <v>0.38388625592417064</v>
      </c>
      <c r="F90" s="922">
        <f t="shared" si="26"/>
        <v>0.38732394366197181</v>
      </c>
      <c r="G90" s="922">
        <f t="shared" si="26"/>
        <v>0.31690140845070425</v>
      </c>
      <c r="H90" s="923">
        <f t="shared" si="26"/>
        <v>0.16842105263157894</v>
      </c>
      <c r="I90" s="68"/>
      <c r="J90" s="68"/>
      <c r="K90" s="127"/>
      <c r="L90" s="127"/>
      <c r="M90" s="127"/>
      <c r="N90" s="127"/>
      <c r="O90" s="127"/>
      <c r="P90" s="127"/>
      <c r="Q90" s="127"/>
      <c r="R90" s="128"/>
      <c r="S90" s="120"/>
      <c r="T90" s="127"/>
      <c r="U90" s="89"/>
      <c r="V90" s="103"/>
      <c r="W90" s="1145"/>
      <c r="X90" s="1336"/>
      <c r="Y90" s="1336"/>
      <c r="Z90" s="1161" t="b">
        <v>1</v>
      </c>
      <c r="AA90" s="921" t="s">
        <v>5</v>
      </c>
      <c r="AB90" s="860" t="str">
        <f t="shared" si="21"/>
        <v>West Sussex</v>
      </c>
      <c r="AC90" s="531">
        <f t="shared" si="24"/>
        <v>99.951048590714691</v>
      </c>
      <c r="AD90" s="531">
        <f t="shared" si="24"/>
        <v>73.552425665101723</v>
      </c>
      <c r="AE90" s="531">
        <f t="shared" si="24"/>
        <v>108.07264264227089</v>
      </c>
      <c r="AF90" s="531">
        <f t="shared" si="24"/>
        <v>94.952241176046016</v>
      </c>
      <c r="AG90" s="531">
        <f t="shared" si="24"/>
        <v>81.725660582304187</v>
      </c>
      <c r="AH90" s="633">
        <f>VLOOKUP(AB90,IDACI!$B$8:$C$29,2,FALSE)</f>
        <v>11</v>
      </c>
      <c r="AI90" s="634">
        <f t="shared" si="25"/>
        <v>0.37223974763406942</v>
      </c>
      <c r="AJ90" s="634">
        <f t="shared" si="25"/>
        <v>0.38388625592417064</v>
      </c>
      <c r="AK90" s="634">
        <f t="shared" si="25"/>
        <v>0.38732394366197181</v>
      </c>
      <c r="AL90" s="634">
        <f t="shared" si="25"/>
        <v>0.31690140845070425</v>
      </c>
      <c r="AM90" s="634">
        <f t="shared" si="25"/>
        <v>0.16842105263157894</v>
      </c>
      <c r="AR90" s="56"/>
      <c r="AS90" s="56"/>
    </row>
    <row r="91" spans="1:45" s="61" customFormat="1" ht="13.5" customHeight="1">
      <c r="A91" s="306">
        <f>VLOOKUP(B91,ReportData!$AQ$4:$AR$25,2,FALSE)</f>
        <v>0</v>
      </c>
      <c r="B91" s="885" t="str">
        <f t="shared" si="15"/>
        <v>Windsor &amp; Maidenhead</v>
      </c>
      <c r="C91" s="59"/>
      <c r="D91" s="922">
        <f t="shared" si="26"/>
        <v>0.27500000000000002</v>
      </c>
      <c r="E91" s="922">
        <f t="shared" si="26"/>
        <v>0.29545454545454547</v>
      </c>
      <c r="F91" s="922">
        <f t="shared" si="26"/>
        <v>0.28125</v>
      </c>
      <c r="G91" s="922">
        <f t="shared" si="26"/>
        <v>0.11538461538461539</v>
      </c>
      <c r="H91" s="923">
        <f t="shared" si="26"/>
        <v>3.2258064516129031E-2</v>
      </c>
      <c r="I91" s="68"/>
      <c r="J91" s="68"/>
      <c r="K91" s="127"/>
      <c r="L91" s="127"/>
      <c r="M91" s="127"/>
      <c r="N91" s="127"/>
      <c r="O91" s="127"/>
      <c r="P91" s="127"/>
      <c r="Q91" s="127"/>
      <c r="R91" s="128"/>
      <c r="S91" s="120"/>
      <c r="T91" s="127"/>
      <c r="U91" s="89"/>
      <c r="V91" s="103"/>
      <c r="W91" s="1145"/>
      <c r="X91" s="1336"/>
      <c r="Y91" s="1336"/>
      <c r="Z91" s="1161" t="b">
        <v>1</v>
      </c>
      <c r="AA91" s="921" t="s">
        <v>27</v>
      </c>
      <c r="AB91" s="860" t="str">
        <f t="shared" si="21"/>
        <v>Windsor &amp; Maidenhead</v>
      </c>
      <c r="AC91" s="531">
        <f t="shared" si="24"/>
        <v>94.595427374129528</v>
      </c>
      <c r="AD91" s="531">
        <f t="shared" si="24"/>
        <v>133.84159254553157</v>
      </c>
      <c r="AE91" s="531">
        <f t="shared" si="24"/>
        <v>131.34631465774697</v>
      </c>
      <c r="AF91" s="531">
        <f t="shared" si="24"/>
        <v>127.23762723762724</v>
      </c>
      <c r="AG91" s="531">
        <f t="shared" si="24"/>
        <v>94.421344421344429</v>
      </c>
      <c r="AH91" s="633">
        <f>VLOOKUP(AB91,IDACI!$B$8:$C$29,2,FALSE)</f>
        <v>6.7</v>
      </c>
      <c r="AI91" s="634">
        <f t="shared" si="25"/>
        <v>0.27500000000000002</v>
      </c>
      <c r="AJ91" s="634">
        <f t="shared" si="25"/>
        <v>0.29545454545454547</v>
      </c>
      <c r="AK91" s="634">
        <f t="shared" si="25"/>
        <v>0.28125</v>
      </c>
      <c r="AL91" s="634">
        <f t="shared" si="25"/>
        <v>0.11538461538461539</v>
      </c>
      <c r="AM91" s="634">
        <f t="shared" si="25"/>
        <v>3.2258064516129031E-2</v>
      </c>
      <c r="AR91" s="56"/>
      <c r="AS91" s="56"/>
    </row>
    <row r="92" spans="1:45" s="61" customFormat="1" ht="13.5" customHeight="1">
      <c r="A92" s="306">
        <f>VLOOKUP(B92,ReportData!$AQ$4:$AR$25,2,FALSE)</f>
        <v>0</v>
      </c>
      <c r="B92" s="885" t="str">
        <f t="shared" si="15"/>
        <v>Wokingham</v>
      </c>
      <c r="C92" s="59"/>
      <c r="D92" s="922">
        <f t="shared" si="26"/>
        <v>0.33333333333333331</v>
      </c>
      <c r="E92" s="922">
        <f t="shared" si="26"/>
        <v>0.30188679245283018</v>
      </c>
      <c r="F92" s="922">
        <f t="shared" si="26"/>
        <v>0.34090909090909088</v>
      </c>
      <c r="G92" s="922">
        <f t="shared" si="26"/>
        <v>0.3235294117647059</v>
      </c>
      <c r="H92" s="923">
        <f t="shared" si="26"/>
        <v>0.32500000000000001</v>
      </c>
      <c r="I92" s="68"/>
      <c r="J92" s="68"/>
      <c r="K92" s="127"/>
      <c r="L92" s="127"/>
      <c r="M92" s="127"/>
      <c r="N92" s="127"/>
      <c r="O92" s="127"/>
      <c r="P92" s="127"/>
      <c r="Q92" s="127"/>
      <c r="R92" s="128"/>
      <c r="S92" s="120"/>
      <c r="T92" s="127"/>
      <c r="U92" s="89"/>
      <c r="V92" s="103"/>
      <c r="W92" s="1145"/>
      <c r="X92" s="1336"/>
      <c r="Y92" s="1336"/>
      <c r="Z92" s="1161" t="b">
        <v>1</v>
      </c>
      <c r="AA92" s="921" t="s">
        <v>16</v>
      </c>
      <c r="AB92" s="860" t="str">
        <f t="shared" si="21"/>
        <v>Wokingham</v>
      </c>
      <c r="AC92" s="531">
        <f t="shared" si="24"/>
        <v>80.413523330539263</v>
      </c>
      <c r="AD92" s="531">
        <f t="shared" si="24"/>
        <v>124.97307775145381</v>
      </c>
      <c r="AE92" s="531">
        <f t="shared" si="24"/>
        <v>73.79823967501693</v>
      </c>
      <c r="AF92" s="531">
        <f t="shared" si="24"/>
        <v>129.44062806673207</v>
      </c>
      <c r="AG92" s="531">
        <f t="shared" si="24"/>
        <v>76.688125558009489</v>
      </c>
      <c r="AH92" s="633">
        <f>VLOOKUP(AB92,IDACI!$B$8:$C$29,2,FALSE)</f>
        <v>5.6000000000000005</v>
      </c>
      <c r="AI92" s="634">
        <f t="shared" si="25"/>
        <v>0.33333333333333331</v>
      </c>
      <c r="AJ92" s="634">
        <f t="shared" si="25"/>
        <v>0.30188679245283018</v>
      </c>
      <c r="AK92" s="634">
        <f t="shared" si="25"/>
        <v>0.34090909090909088</v>
      </c>
      <c r="AL92" s="634">
        <f t="shared" si="25"/>
        <v>0.3235294117647059</v>
      </c>
      <c r="AM92" s="634">
        <f t="shared" si="25"/>
        <v>0.32500000000000001</v>
      </c>
      <c r="AR92" s="56"/>
      <c r="AS92" s="56"/>
    </row>
    <row r="93" spans="1:45" s="61" customFormat="1" ht="13.5" customHeight="1">
      <c r="A93" s="88"/>
      <c r="B93" s="886" t="str">
        <f t="shared" si="15"/>
        <v>South East</v>
      </c>
      <c r="C93" s="59"/>
      <c r="D93" s="924">
        <f>IF(AND(ISNUMBER(AO121),ISNUMBER(AI121),AI121&lt;&gt;0),AO121/AI121,NA())</f>
        <v>0.36968228325255786</v>
      </c>
      <c r="E93" s="924">
        <f>IF(AND(ISNUMBER(AP121),ISNUMBER(AJ121),AJ121&lt;&gt;0),AP121/AJ121,NA())</f>
        <v>0.36812499999999998</v>
      </c>
      <c r="F93" s="924">
        <f>IF(AND(ISNUMBER(AQ121),ISNUMBER(AK121),AK121&lt;&gt;0),AQ121/AK121,NA())</f>
        <v>0.38328861632809508</v>
      </c>
      <c r="G93" s="924">
        <f>IF(AND(ISNUMBER(AR121),ISNUMBER(AL121),AL121&lt;&gt;0),AR121/AL121,NA())</f>
        <v>0.32632785632403516</v>
      </c>
      <c r="H93" s="925">
        <f>IF(AND(ISNUMBER(AS121),ISNUMBER(AM121),AM121&lt;&gt;0),AS121/AM121,NA())</f>
        <v>0.28545861297539149</v>
      </c>
      <c r="I93" s="68"/>
      <c r="J93" s="68"/>
      <c r="K93" s="129"/>
      <c r="L93" s="129"/>
      <c r="M93" s="129"/>
      <c r="N93" s="129"/>
      <c r="O93" s="129"/>
      <c r="P93" s="129"/>
      <c r="Q93" s="129"/>
      <c r="R93" s="130"/>
      <c r="S93" s="120"/>
      <c r="T93" s="131"/>
      <c r="U93" s="89"/>
      <c r="V93" s="103"/>
      <c r="W93" s="1145"/>
      <c r="X93" s="1336"/>
      <c r="Y93" s="1336"/>
      <c r="Z93" s="1161" t="b">
        <v>1</v>
      </c>
      <c r="AA93" s="921" t="s">
        <v>71</v>
      </c>
      <c r="AB93" s="860" t="str">
        <f t="shared" si="21"/>
        <v>South East</v>
      </c>
      <c r="AC93" s="531">
        <f t="shared" si="24"/>
        <v>173.32045353624827</v>
      </c>
      <c r="AD93" s="531">
        <f t="shared" si="24"/>
        <v>153.32263484036091</v>
      </c>
      <c r="AE93" s="531">
        <f t="shared" si="24"/>
        <v>131.70036547448044</v>
      </c>
      <c r="AF93" s="531">
        <f t="shared" si="24"/>
        <v>132.76945657902189</v>
      </c>
      <c r="AG93" s="531">
        <f t="shared" si="24"/>
        <v>130.35600992961554</v>
      </c>
      <c r="AH93" s="633">
        <f>VLOOKUP(AB93,IDACI!$B$8:$C$29,2,FALSE)</f>
        <v>12.371268250968637</v>
      </c>
      <c r="AI93" s="634">
        <f t="shared" si="25"/>
        <v>0.36968228325255786</v>
      </c>
      <c r="AJ93" s="634">
        <f t="shared" si="25"/>
        <v>0.36812499999999998</v>
      </c>
      <c r="AK93" s="634">
        <f t="shared" si="25"/>
        <v>0.38328861632809508</v>
      </c>
      <c r="AL93" s="634">
        <f t="shared" si="25"/>
        <v>0.32632785632403516</v>
      </c>
      <c r="AM93" s="634">
        <f t="shared" si="25"/>
        <v>0.28545861297539149</v>
      </c>
      <c r="AR93" s="56"/>
      <c r="AS93" s="56"/>
    </row>
    <row r="94" spans="1:45" s="61" customFormat="1" ht="13.5" customHeight="1">
      <c r="A94" s="88"/>
      <c r="B94" s="887" t="str">
        <f>ReportData!C29</f>
        <v>England and Wales</v>
      </c>
      <c r="C94" s="59"/>
      <c r="D94" s="926">
        <f>IF(AND(ISNUMBER(AO122),ISNUMBER(AC122)),AO122/AC122,NA())</f>
        <v>0.40944175192963561</v>
      </c>
      <c r="E94" s="926">
        <f>IF(AND(ISNUMBER(AP122),ISNUMBER(AD122)),AP122/AD122,NA())</f>
        <v>0.38410875920121157</v>
      </c>
      <c r="F94" s="926">
        <f>IF(AND(ISNUMBER(AQ122),ISNUMBER(AE122)),AQ122/AE122,NA())</f>
        <v>0.37775700140240531</v>
      </c>
      <c r="G94" s="926">
        <f>IF(AND(ISNUMBER(AR122),ISNUMBER(AF122)),AR122/AF122,NA())</f>
        <v>0.34206330031408555</v>
      </c>
      <c r="H94" s="927">
        <f>IF(AND(ISNUMBER(AS122),ISNUMBER(AG122)),AS122/AG122,NA())</f>
        <v>0.31213184609600203</v>
      </c>
      <c r="I94" s="68"/>
      <c r="J94" s="68"/>
      <c r="K94" s="129"/>
      <c r="L94" s="129"/>
      <c r="M94" s="129"/>
      <c r="N94" s="129"/>
      <c r="O94" s="129"/>
      <c r="P94" s="129"/>
      <c r="Q94" s="129"/>
      <c r="R94" s="130"/>
      <c r="S94" s="120"/>
      <c r="T94" s="131"/>
      <c r="U94" s="89"/>
      <c r="V94" s="103"/>
      <c r="W94" s="1145"/>
      <c r="X94" s="1336"/>
      <c r="Y94" s="1336"/>
      <c r="Z94" s="1161" t="b">
        <v>1</v>
      </c>
      <c r="AA94" s="921" t="s">
        <v>109</v>
      </c>
      <c r="AB94" s="860" t="str">
        <f t="shared" si="21"/>
        <v>England</v>
      </c>
      <c r="AC94" s="531">
        <f t="shared" si="24"/>
        <v>205.61986410944709</v>
      </c>
      <c r="AD94" s="531">
        <f t="shared" si="24"/>
        <v>161.97675007747003</v>
      </c>
      <c r="AE94" s="531">
        <f t="shared" si="24"/>
        <v>142.8579949375771</v>
      </c>
      <c r="AF94" s="531">
        <f t="shared" si="24"/>
        <v>148.23399608821128</v>
      </c>
      <c r="AG94" s="531">
        <f t="shared" si="24"/>
        <v>140.66212350333254</v>
      </c>
      <c r="AH94" s="633">
        <f>VLOOKUP(AB94,IDACI!$B$8:$C$29,2,FALSE)</f>
        <v>17.084413405029373</v>
      </c>
      <c r="AI94" s="634" t="e">
        <f t="shared" si="25"/>
        <v>#N/A</v>
      </c>
      <c r="AJ94" s="634" t="e">
        <f t="shared" si="25"/>
        <v>#N/A</v>
      </c>
      <c r="AK94" s="634" t="e">
        <f t="shared" si="25"/>
        <v>#N/A</v>
      </c>
      <c r="AL94" s="634" t="e">
        <f t="shared" si="25"/>
        <v>#N/A</v>
      </c>
      <c r="AM94" s="634" t="e">
        <f t="shared" si="25"/>
        <v>#N/A</v>
      </c>
      <c r="AR94" s="56"/>
      <c r="AS94" s="56"/>
    </row>
    <row r="95" spans="1:45" s="61" customFormat="1" ht="4.5" customHeight="1">
      <c r="A95" s="217"/>
      <c r="B95" s="68"/>
      <c r="C95" s="68"/>
      <c r="D95" s="68"/>
      <c r="E95" s="68"/>
      <c r="F95" s="68"/>
      <c r="G95" s="68"/>
      <c r="H95" s="68"/>
      <c r="I95" s="68"/>
      <c r="J95" s="68"/>
      <c r="K95" s="68"/>
      <c r="L95" s="68"/>
      <c r="M95" s="68"/>
      <c r="N95" s="68"/>
      <c r="O95" s="68"/>
      <c r="P95" s="68"/>
      <c r="Q95" s="68"/>
      <c r="R95" s="68"/>
      <c r="S95" s="68"/>
      <c r="T95" s="68"/>
      <c r="U95" s="89"/>
      <c r="V95" s="103"/>
      <c r="W95" s="115"/>
      <c r="X95" s="1319"/>
      <c r="Y95" s="1319"/>
      <c r="Z95" s="56"/>
      <c r="AA95" s="122"/>
      <c r="AB95" s="357" t="str">
        <f>AE4</f>
        <v>Selected LA- (none)</v>
      </c>
      <c r="AC95" s="635" t="e">
        <f>VLOOKUP($AD4,$B$11:$O$30,AC$70,FALSE)</f>
        <v>#N/A</v>
      </c>
      <c r="AD95" s="635" t="e">
        <f>VLOOKUP($AD4,$B$11:$O$30,AD$70,FALSE)</f>
        <v>#N/A</v>
      </c>
      <c r="AE95" s="635" t="e">
        <f>VLOOKUP($AD4,$B$11:$O$30,AE$70,FALSE)</f>
        <v>#N/A</v>
      </c>
      <c r="AF95" s="635" t="e">
        <f>VLOOKUP($AD4,$B$11:$O$30,AF$70,FALSE)</f>
        <v>#N/A</v>
      </c>
      <c r="AG95" s="635" t="e">
        <f>VLOOKUP($AD4,$B$11:$O$30,AG$70,FALSE)</f>
        <v>#N/A</v>
      </c>
      <c r="AH95" s="633" t="e">
        <f>VLOOKUP(AD4,IDACI!$B$8:$C$29,2,FALSE)</f>
        <v>#N/A</v>
      </c>
      <c r="AI95" s="636" t="e">
        <f>VLOOKUP($AD$4,$B$74:$H$94,AI$70,FALSE)</f>
        <v>#N/A</v>
      </c>
      <c r="AJ95" s="636" t="e">
        <f>VLOOKUP($AD$4,$B$74:$H$94,AJ$70,FALSE)</f>
        <v>#N/A</v>
      </c>
      <c r="AK95" s="636" t="e">
        <f>VLOOKUP($AD$4,$B$74:$H$94,AK$70,FALSE)</f>
        <v>#N/A</v>
      </c>
      <c r="AL95" s="636" t="e">
        <f>VLOOKUP($AD$4,$B$74:$H$94,AL$70,FALSE)</f>
        <v>#N/A</v>
      </c>
      <c r="AM95" s="636" t="e">
        <f>VLOOKUP($AD$4,$B$74:$H$94,AM$70,FALSE)</f>
        <v>#N/A</v>
      </c>
      <c r="AP95" s="141"/>
      <c r="AR95" s="56"/>
      <c r="AS95" s="56"/>
    </row>
    <row r="96" spans="1:45" s="56" customFormat="1" ht="42.75" customHeight="1">
      <c r="A96" s="166"/>
      <c r="B96" s="171"/>
      <c r="C96" s="171"/>
      <c r="D96" s="171"/>
      <c r="E96" s="171"/>
      <c r="F96" s="171"/>
      <c r="G96" s="171"/>
      <c r="H96" s="171"/>
      <c r="I96" s="68"/>
      <c r="J96" s="68"/>
      <c r="K96" s="68"/>
      <c r="L96" s="68"/>
      <c r="M96" s="68"/>
      <c r="N96" s="68"/>
      <c r="O96" s="68"/>
      <c r="P96" s="68"/>
      <c r="Q96" s="68"/>
      <c r="R96" s="68"/>
      <c r="S96" s="68"/>
      <c r="T96" s="68"/>
      <c r="U96" s="86"/>
      <c r="V96" s="102"/>
      <c r="W96" s="114"/>
      <c r="X96" s="55"/>
      <c r="Y96" s="55"/>
      <c r="AA96" s="122"/>
      <c r="AE96" s="147"/>
      <c r="AF96" s="147"/>
      <c r="AG96" s="147"/>
      <c r="AH96" s="147"/>
      <c r="AI96" s="147"/>
      <c r="AJ96" s="147"/>
      <c r="AK96" s="149"/>
      <c r="AL96" s="149"/>
      <c r="AM96" s="52"/>
      <c r="AN96" s="52"/>
      <c r="AO96" s="52"/>
      <c r="AQ96" s="52"/>
    </row>
    <row r="97" spans="1:66" s="56" customFormat="1" ht="42" customHeight="1">
      <c r="A97" s="166"/>
      <c r="B97" s="171"/>
      <c r="C97" s="171"/>
      <c r="D97" s="171"/>
      <c r="E97" s="171"/>
      <c r="F97" s="171"/>
      <c r="G97" s="171"/>
      <c r="H97" s="171"/>
      <c r="I97" s="2056"/>
      <c r="J97" s="2057"/>
      <c r="K97" s="2057"/>
      <c r="L97" s="2057"/>
      <c r="M97" s="2057"/>
      <c r="N97" s="2057"/>
      <c r="O97" s="2057"/>
      <c r="P97" s="2057"/>
      <c r="Q97" s="2057"/>
      <c r="R97" s="2057"/>
      <c r="S97" s="2057"/>
      <c r="T97" s="2057"/>
      <c r="U97" s="86"/>
      <c r="V97" s="102"/>
      <c r="W97" s="114"/>
      <c r="X97" s="55"/>
      <c r="Y97" s="55"/>
      <c r="AA97" s="864"/>
      <c r="AK97" s="149"/>
      <c r="AL97" s="149"/>
      <c r="AM97" s="52"/>
      <c r="AN97" s="52"/>
      <c r="AO97" s="52"/>
      <c r="AQ97" s="52"/>
    </row>
    <row r="98" spans="1:66" s="56" customFormat="1" ht="42" customHeight="1">
      <c r="A98" s="166"/>
      <c r="B98" s="171"/>
      <c r="C98" s="171"/>
      <c r="D98" s="171"/>
      <c r="E98" s="171"/>
      <c r="F98" s="171"/>
      <c r="G98" s="171"/>
      <c r="H98" s="171"/>
      <c r="I98" s="2057"/>
      <c r="J98" s="2057"/>
      <c r="K98" s="2057"/>
      <c r="L98" s="2057"/>
      <c r="M98" s="2057"/>
      <c r="N98" s="2057"/>
      <c r="O98" s="2057"/>
      <c r="P98" s="2057"/>
      <c r="Q98" s="2057"/>
      <c r="R98" s="2057"/>
      <c r="S98" s="2057"/>
      <c r="T98" s="2057"/>
      <c r="U98" s="86"/>
      <c r="V98" s="121"/>
      <c r="W98" s="114"/>
      <c r="X98" s="55"/>
      <c r="Y98" s="55"/>
      <c r="AA98" s="122"/>
      <c r="AB98" s="52" t="s">
        <v>658</v>
      </c>
      <c r="AC98" s="52"/>
      <c r="AD98" s="375"/>
      <c r="AE98" s="52"/>
      <c r="AF98" s="52"/>
      <c r="AG98" s="52"/>
      <c r="AH98" s="52" t="s">
        <v>660</v>
      </c>
      <c r="AI98" s="52"/>
      <c r="AJ98" s="52"/>
      <c r="AK98" s="52"/>
      <c r="AL98" s="52"/>
      <c r="AO98" s="375" t="s">
        <v>659</v>
      </c>
      <c r="AP98" s="141"/>
    </row>
    <row r="99" spans="1:66" s="56" customFormat="1" ht="7.5" customHeight="1">
      <c r="A99" s="87"/>
      <c r="B99" s="12"/>
      <c r="C99" s="12"/>
      <c r="D99" s="11"/>
      <c r="E99" s="11"/>
      <c r="F99" s="11"/>
      <c r="G99" s="11"/>
      <c r="H99" s="11"/>
      <c r="I99" s="11"/>
      <c r="J99" s="1"/>
      <c r="K99" s="13"/>
      <c r="L99" s="13"/>
      <c r="M99" s="13"/>
      <c r="N99" s="13"/>
      <c r="O99" s="13"/>
      <c r="P99" s="13"/>
      <c r="Q99" s="13"/>
      <c r="R99" s="13"/>
      <c r="S99" s="13"/>
      <c r="T99" s="14"/>
      <c r="U99" s="86"/>
      <c r="V99" s="185"/>
      <c r="W99" s="114"/>
      <c r="X99" s="55"/>
      <c r="Y99" s="55"/>
      <c r="AA99" s="122"/>
      <c r="AB99" s="251"/>
      <c r="AC99" s="250"/>
      <c r="AD99" s="249"/>
      <c r="AE99" s="251"/>
      <c r="AF99" s="251"/>
      <c r="AM99" s="251"/>
      <c r="AN99" s="251"/>
      <c r="AO99" s="250"/>
      <c r="AP99" s="251"/>
      <c r="AQ99" s="251"/>
      <c r="AR99" s="251"/>
      <c r="AT99" s="52"/>
      <c r="AU99" s="52"/>
      <c r="AV99" s="52"/>
      <c r="AW99" s="52"/>
      <c r="AX99" s="52"/>
      <c r="AY99" s="52"/>
    </row>
    <row r="100" spans="1:66" s="56" customFormat="1" ht="15" customHeight="1">
      <c r="A100" s="1565"/>
      <c r="B100" s="1751"/>
      <c r="C100" s="1751"/>
      <c r="D100" s="1751"/>
      <c r="E100" s="1751"/>
      <c r="F100" s="1751"/>
      <c r="G100" s="1751"/>
      <c r="H100" s="1751"/>
      <c r="I100" s="1751"/>
      <c r="J100" s="1751"/>
      <c r="K100" s="1751"/>
      <c r="L100" s="1751"/>
      <c r="M100" s="1751"/>
      <c r="N100" s="1751"/>
      <c r="O100" s="1751"/>
      <c r="P100" s="1751"/>
      <c r="Q100" s="1751"/>
      <c r="R100" s="1751"/>
      <c r="S100" s="1751"/>
      <c r="T100" s="1751"/>
      <c r="U100" s="1752"/>
      <c r="V100" s="185"/>
      <c r="W100" s="114"/>
      <c r="X100" s="55"/>
      <c r="Y100" s="55"/>
      <c r="AA100" s="122"/>
      <c r="AB100" s="861"/>
      <c r="AC100" s="355" t="str">
        <f>IF(ReportData!$C$3="Annual","",ReportData!$D$28)</f>
        <v/>
      </c>
      <c r="AD100" s="307" t="str">
        <f>IF(ReportData!$C$3="Annual","",ReportData!$E$28)</f>
        <v/>
      </c>
      <c r="AE100" s="307" t="str">
        <f>IF(ReportData!$C$3="Annual","",ReportData!$F$28)</f>
        <v/>
      </c>
      <c r="AF100" s="307" t="str">
        <f>IF(ReportData!$C$3="Annual","",ReportData!$G$28)</f>
        <v/>
      </c>
      <c r="AG100" s="353" t="str">
        <f>IF(ReportData!$C$3="Annual","",ReportData!$H$28)</f>
        <v/>
      </c>
      <c r="AH100" s="352"/>
      <c r="AI100" s="355" t="str">
        <f>IF(ReportData!$C$3="Annual","",ReportData!$D$28)</f>
        <v/>
      </c>
      <c r="AJ100" s="307" t="str">
        <f>IF(ReportData!$C$3="Annual","",ReportData!$E$28)</f>
        <v/>
      </c>
      <c r="AK100" s="307" t="str">
        <f>IF(ReportData!$C$3="Annual","",ReportData!$F$28)</f>
        <v/>
      </c>
      <c r="AL100" s="307" t="str">
        <f>IF(ReportData!$C$3="Annual","",ReportData!$G$28)</f>
        <v/>
      </c>
      <c r="AM100" s="353" t="str">
        <f>IF(ReportData!$C$3="Annual","",ReportData!$H$28)</f>
        <v/>
      </c>
      <c r="AN100" s="252"/>
      <c r="AO100" s="307" t="str">
        <f>IF(ReportData!$C$3="Annual","",ReportData!$D$28)</f>
        <v/>
      </c>
      <c r="AP100" s="307" t="str">
        <f>IF(ReportData!$C$3="Annual","",ReportData!$E$28)</f>
        <v/>
      </c>
      <c r="AQ100" s="307" t="str">
        <f>IF(ReportData!$C$3="Annual","",ReportData!$F$28)</f>
        <v/>
      </c>
      <c r="AR100" s="307" t="str">
        <f>IF(ReportData!$C$3="Annual","",ReportData!$G$28)</f>
        <v/>
      </c>
      <c r="AS100" s="307" t="str">
        <f>IF(ReportData!$C$3="Annual","",ReportData!$H$28)</f>
        <v/>
      </c>
      <c r="BA100" s="52"/>
    </row>
    <row r="101" spans="1:66" s="56" customFormat="1" ht="11.25" customHeight="1">
      <c r="A101" s="1739"/>
      <c r="B101" s="1740"/>
      <c r="C101" s="1740"/>
      <c r="D101" s="1740"/>
      <c r="E101" s="1740"/>
      <c r="F101" s="1740"/>
      <c r="G101" s="1740"/>
      <c r="H101" s="1740"/>
      <c r="I101" s="1741"/>
      <c r="J101" s="1740"/>
      <c r="K101" s="1740"/>
      <c r="L101" s="1740"/>
      <c r="M101" s="1740"/>
      <c r="N101" s="1740"/>
      <c r="O101" s="1740"/>
      <c r="P101" s="1742"/>
      <c r="Q101" s="1740"/>
      <c r="R101" s="1740"/>
      <c r="S101" s="1741"/>
      <c r="T101" s="1740"/>
      <c r="U101" s="1743"/>
      <c r="V101" s="185"/>
      <c r="W101" s="114"/>
      <c r="X101" s="55"/>
      <c r="Y101" s="55"/>
      <c r="AA101" s="122"/>
      <c r="AB101" s="861"/>
      <c r="AC101" s="355" t="str">
        <f>ReportData!$D$27</f>
        <v>2019/20</v>
      </c>
      <c r="AD101" s="307" t="str">
        <f>ReportData!$E$27</f>
        <v>2020/21</v>
      </c>
      <c r="AE101" s="307" t="str">
        <f>ReportData!$F$27</f>
        <v>2021/22</v>
      </c>
      <c r="AF101" s="307" t="str">
        <f>ReportData!$G$27</f>
        <v>2022/23</v>
      </c>
      <c r="AG101" s="353" t="str">
        <f>ReportData!$H$27</f>
        <v>2023/24</v>
      </c>
      <c r="AH101" s="352"/>
      <c r="AI101" s="355" t="str">
        <f>ReportData!$D$27</f>
        <v>2019/20</v>
      </c>
      <c r="AJ101" s="307" t="str">
        <f>ReportData!$E$27</f>
        <v>2020/21</v>
      </c>
      <c r="AK101" s="307" t="str">
        <f>ReportData!$F$27</f>
        <v>2021/22</v>
      </c>
      <c r="AL101" s="307" t="str">
        <f>ReportData!$G$27</f>
        <v>2022/23</v>
      </c>
      <c r="AM101" s="353" t="str">
        <f>ReportData!$H$27</f>
        <v>2023/24</v>
      </c>
      <c r="AN101" s="252"/>
      <c r="AO101" s="307" t="str">
        <f>ReportData!$D$27</f>
        <v>2019/20</v>
      </c>
      <c r="AP101" s="307" t="str">
        <f>ReportData!$E$27</f>
        <v>2020/21</v>
      </c>
      <c r="AQ101" s="307" t="str">
        <f>ReportData!$F$27</f>
        <v>2021/22</v>
      </c>
      <c r="AR101" s="307" t="str">
        <f>ReportData!$G$27</f>
        <v>2022/23</v>
      </c>
      <c r="AS101" s="307" t="str">
        <f>ReportData!$H$27</f>
        <v>2023/24</v>
      </c>
      <c r="BA101" s="52"/>
    </row>
    <row r="102" spans="1:66" ht="11.25" customHeight="1">
      <c r="A102" s="106"/>
      <c r="B102" s="705"/>
      <c r="C102" s="5"/>
      <c r="D102" s="5"/>
      <c r="E102" s="9"/>
      <c r="F102" s="5"/>
      <c r="G102" s="40"/>
      <c r="H102" s="554"/>
      <c r="I102" s="40"/>
      <c r="J102" s="40"/>
      <c r="K102" s="40"/>
      <c r="L102" s="40"/>
      <c r="M102" s="40"/>
      <c r="N102" s="40"/>
      <c r="O102" s="40"/>
      <c r="P102" s="40"/>
      <c r="Q102" s="40"/>
      <c r="R102" s="40"/>
      <c r="S102" s="40"/>
      <c r="T102" s="40"/>
      <c r="U102" s="40"/>
      <c r="V102" s="119"/>
      <c r="W102" s="114"/>
      <c r="AA102" s="122"/>
      <c r="AB102" s="623" t="str">
        <f>ReportData!$K$4</f>
        <v>Bracknell Forest</v>
      </c>
      <c r="AC102" s="591">
        <f>IF(Year1_Bracknell_Forest Year1_Juvenile_offenders_age_10_17="","",Year1_Bracknell_Forest Year1_Juvenile_offenders_age_10_17)</f>
        <v>47</v>
      </c>
      <c r="AD102" s="248">
        <f>IF(Year2_Bracknell_Forest Year2_Juvenile_offenders_age_10_17="","",Year2_Bracknell_Forest Year2_Juvenile_offenders_age_10_17)</f>
        <v>35</v>
      </c>
      <c r="AE102" s="248">
        <f>IF(Year3_Bracknell_Forest Year3_Juvenile_offenders_age_10_17="","",Year3_Bracknell_Forest Year3_Juvenile_offenders_age_10_17)</f>
        <v>32</v>
      </c>
      <c r="AF102" s="248">
        <f>IF(Year4_Bracknell_Forest Year4_Juvenile_offenders_age_10_17="","",Year4_Bracknell_Forest Year4_Juvenile_offenders_age_10_17)</f>
        <v>44</v>
      </c>
      <c r="AG102" s="352">
        <f>IF(Year5_Bracknell_Forest Year5_Juvenile_offenders_age_10_17="","",Year5_Bracknell_Forest Year5_Juvenile_offenders_age_10_17)</f>
        <v>23</v>
      </c>
      <c r="AH102" s="595" t="str">
        <f>ReportData!$K$4</f>
        <v>Bracknell Forest</v>
      </c>
      <c r="AI102" s="590">
        <f>IF(ISNUMBER(AO102),AC102,0)</f>
        <v>47</v>
      </c>
      <c r="AJ102" s="590">
        <f>IF(ISNUMBER(AP102),AD102,0)</f>
        <v>35</v>
      </c>
      <c r="AK102" s="590">
        <f>IF(ISNUMBER(AQ102),AE102,0)</f>
        <v>32</v>
      </c>
      <c r="AL102" s="590">
        <f>IF(ISNUMBER(AR102),AF102,0)</f>
        <v>44</v>
      </c>
      <c r="AM102" s="590">
        <f>IF(ISNUMBER(AS102),AG102,0)</f>
        <v>23</v>
      </c>
      <c r="AN102" s="252" t="str">
        <f t="shared" ref="AN102:AN122" si="27">AB102</f>
        <v>Bracknell Forest</v>
      </c>
      <c r="AO102" s="307">
        <f>IF(Year1_Bracknell_Forest Year1_Juvenile_Reoffenders_age_10_17="","",Year1_Bracknell_Forest Year1_Juvenile_Reoffenders_age_10_17)</f>
        <v>10</v>
      </c>
      <c r="AP102" s="248">
        <f>IF(Year2_Bracknell_Forest Year2_Juvenile_Reoffenders_age_10_17="","",Year2_Bracknell_Forest Year2_Juvenile_Reoffenders_age_10_17)</f>
        <v>7</v>
      </c>
      <c r="AQ102" s="248">
        <f>IF(Year3_Bracknell_Forest Year3_Juvenile_Reoffenders_age_10_17="","",Year3_Bracknell_Forest Year3_Juvenile_Reoffenders_age_10_17)</f>
        <v>12</v>
      </c>
      <c r="AR102" s="248">
        <f>IF(Year4_Bracknell_Forest Year4_Juvenile_Reoffenders_age_10_17="","",Year4_Bracknell_Forest Year4_Juvenile_Reoffenders_age_10_17)</f>
        <v>12</v>
      </c>
      <c r="AS102" s="248">
        <f>IF(Year5_Bracknell_Forest Year5_Juvenile_Reoffenders_age_10_17="","",Year5_Bracknell_Forest Year5_Juvenile_Reoffenders_age_10_17)</f>
        <v>6</v>
      </c>
      <c r="AZ102" s="56"/>
      <c r="BA102" s="56"/>
      <c r="BB102" s="56"/>
      <c r="BC102" s="56"/>
      <c r="BD102" s="56"/>
      <c r="BE102" s="56"/>
      <c r="BF102" s="56"/>
      <c r="BG102" s="56"/>
      <c r="BH102" s="56"/>
      <c r="BI102" s="56"/>
      <c r="BJ102" s="56"/>
      <c r="BK102" s="56"/>
      <c r="BL102" s="56"/>
      <c r="BM102" s="56"/>
      <c r="BN102" s="56"/>
    </row>
    <row r="103" spans="1:66" ht="11.25" customHeight="1">
      <c r="A103" s="106"/>
      <c r="B103" s="705"/>
      <c r="C103" s="5"/>
      <c r="D103" s="5"/>
      <c r="E103" s="9"/>
      <c r="F103" s="5"/>
      <c r="G103" s="40"/>
      <c r="H103" s="554"/>
      <c r="I103" s="40"/>
      <c r="J103" s="40"/>
      <c r="K103" s="40"/>
      <c r="L103" s="40"/>
      <c r="M103" s="40"/>
      <c r="N103" s="40"/>
      <c r="O103" s="40"/>
      <c r="P103" s="40"/>
      <c r="Q103" s="40"/>
      <c r="R103" s="40"/>
      <c r="S103" s="40"/>
      <c r="T103" s="40"/>
      <c r="U103" s="40"/>
      <c r="V103" s="119"/>
      <c r="W103" s="114"/>
      <c r="AA103" s="122"/>
      <c r="AB103" s="623" t="str">
        <f>ReportData!$K$5</f>
        <v>Brighton &amp; Hove</v>
      </c>
      <c r="AC103" s="591">
        <f>IF(Year1_Brighton_and_Hove Year1_Juvenile_offenders_age_10_17="","",Year1_Brighton_and_Hove Year1_Juvenile_offenders_age_10_17)</f>
        <v>118</v>
      </c>
      <c r="AD103" s="248">
        <f>IF(Year2_Brighton_and_Hove Year2_Juvenile_offenders_age_10_17="","",Year2_Brighton_and_Hove Year2_Juvenile_offenders_age_10_17)</f>
        <v>61</v>
      </c>
      <c r="AE103" s="248">
        <f>IF(Year3_Brighton_and_Hove Year3_Juvenile_offenders_age_10_17="","",Year3_Brighton_and_Hove Year3_Juvenile_offenders_age_10_17)</f>
        <v>70</v>
      </c>
      <c r="AF103" s="248">
        <f>IF(Year4_Brighton_and_Hove Year4_Juvenile_offenders_age_10_17="","",Year4_Brighton_and_Hove Year4_Juvenile_offenders_age_10_17)</f>
        <v>59</v>
      </c>
      <c r="AG103" s="352">
        <f>IF(Year5_Brighton_and_Hove Year5_Juvenile_offenders_age_10_17="","",Year5_Brighton_and_Hove Year5_Juvenile_offenders_age_10_17)</f>
        <v>62</v>
      </c>
      <c r="AH103" s="595" t="str">
        <f>ReportData!$K$5</f>
        <v>Brighton &amp; Hove</v>
      </c>
      <c r="AI103" s="590">
        <f t="shared" ref="AI103:AI122" si="28">IF(ISNUMBER(AO103),AC103,0)</f>
        <v>118</v>
      </c>
      <c r="AJ103" s="590">
        <f t="shared" ref="AJ103:AJ120" si="29">IF(ISNUMBER(AP103),AD103,0)</f>
        <v>61</v>
      </c>
      <c r="AK103" s="590">
        <f t="shared" ref="AK103:AK120" si="30">IF(ISNUMBER(AQ103),AE103,0)</f>
        <v>70</v>
      </c>
      <c r="AL103" s="590">
        <f t="shared" ref="AL103:AL120" si="31">IF(ISNUMBER(AR103),AF103,0)</f>
        <v>59</v>
      </c>
      <c r="AM103" s="590">
        <f t="shared" ref="AM103:AM120" si="32">IF(ISNUMBER(AS103),AG103,0)</f>
        <v>62</v>
      </c>
      <c r="AN103" s="252" t="str">
        <f t="shared" si="27"/>
        <v>Brighton &amp; Hove</v>
      </c>
      <c r="AO103" s="307">
        <f>IF(Year1_Brighton_and_Hove Year1_Juvenile_Reoffenders_age_10_17="","",Year1_Brighton_and_Hove Year1_Juvenile_Reoffenders_age_10_17)</f>
        <v>69</v>
      </c>
      <c r="AP103" s="248">
        <f>IF(Year2_Brighton_and_Hove Year2_Juvenile_Reoffenders_age_10_17="","",Year2_Brighton_and_Hove Year2_Juvenile_Reoffenders_age_10_17)</f>
        <v>27</v>
      </c>
      <c r="AQ103" s="248">
        <f>IF(Year3_Brighton_and_Hove Year3_Juvenile_Reoffenders_age_10_17="","",Year3_Brighton_and_Hove Year3_Juvenile_Reoffenders_age_10_17)</f>
        <v>35</v>
      </c>
      <c r="AR103" s="248">
        <f>IF(Year4_Brighton_and_Hove Year4_Juvenile_Reoffenders_age_10_17="","",Year4_Brighton_and_Hove Year4_Juvenile_Reoffenders_age_10_17)</f>
        <v>30</v>
      </c>
      <c r="AS103" s="248">
        <f>IF(Year5_Brighton_and_Hove Year5_Juvenile_Reoffenders_age_10_17="","",Year5_Brighton_and_Hove Year5_Juvenile_Reoffenders_age_10_17)</f>
        <v>22</v>
      </c>
      <c r="AT103" s="56"/>
      <c r="AU103" s="56"/>
      <c r="AV103" s="56"/>
      <c r="AW103" s="56"/>
      <c r="AX103" s="56"/>
      <c r="AY103" s="56"/>
    </row>
    <row r="104" spans="1:66" ht="11.25" customHeight="1">
      <c r="A104" s="106"/>
      <c r="B104" s="1317"/>
      <c r="C104" s="5"/>
      <c r="D104" s="5"/>
      <c r="E104" s="9"/>
      <c r="F104" s="5"/>
      <c r="G104" s="40"/>
      <c r="H104" s="554"/>
      <c r="I104" s="40"/>
      <c r="J104" s="40"/>
      <c r="K104" s="40"/>
      <c r="L104" s="40"/>
      <c r="M104" s="40"/>
      <c r="N104" s="40"/>
      <c r="O104" s="40"/>
      <c r="P104" s="40"/>
      <c r="Q104" s="40"/>
      <c r="R104" s="40"/>
      <c r="S104" s="40"/>
      <c r="T104" s="40"/>
      <c r="U104" s="40"/>
      <c r="V104" s="119"/>
      <c r="W104" s="114"/>
      <c r="AA104" s="122"/>
      <c r="AB104" s="623" t="str">
        <f>ReportData!$K$6</f>
        <v>Buckinghamshire</v>
      </c>
      <c r="AC104" s="591">
        <f>IF(Year1_Buckinghamshire Year1_Juvenile_offenders_age_10_17="","",Year1_Buckinghamshire Year1_Juvenile_offenders_age_10_17)</f>
        <v>242</v>
      </c>
      <c r="AD104" s="248">
        <f>IF(Year2_Buckinghamshire Year2_Juvenile_offenders_age_10_17="","",Year2_Buckinghamshire Year2_Juvenile_offenders_age_10_17)</f>
        <v>219</v>
      </c>
      <c r="AE104" s="248">
        <f>IF(Year3_Buckinghamshire Year3_Juvenile_offenders_age_10_17="","",Year3_Buckinghamshire Year3_Juvenile_offenders_age_10_17)</f>
        <v>172</v>
      </c>
      <c r="AF104" s="248">
        <f>IF(Year4_Buckinghamshire Year4_Juvenile_offenders_age_10_17="","",Year4_Buckinghamshire Year4_Juvenile_offenders_age_10_17)</f>
        <v>143</v>
      </c>
      <c r="AG104" s="352">
        <f>IF(Year5_Buckinghamshire Year5_Juvenile_offenders_age_10_17="","",Year5_Buckinghamshire Year5_Juvenile_offenders_age_10_17)</f>
        <v>119</v>
      </c>
      <c r="AH104" s="595" t="str">
        <f>ReportData!$K$6</f>
        <v>Buckinghamshire</v>
      </c>
      <c r="AI104" s="590">
        <f t="shared" si="28"/>
        <v>242</v>
      </c>
      <c r="AJ104" s="590">
        <f t="shared" si="29"/>
        <v>219</v>
      </c>
      <c r="AK104" s="590">
        <f t="shared" si="30"/>
        <v>172</v>
      </c>
      <c r="AL104" s="590">
        <f t="shared" si="31"/>
        <v>143</v>
      </c>
      <c r="AM104" s="590">
        <f t="shared" si="32"/>
        <v>119</v>
      </c>
      <c r="AN104" s="252" t="str">
        <f t="shared" si="27"/>
        <v>Buckinghamshire</v>
      </c>
      <c r="AO104" s="307">
        <f>IF(Year1_Buckinghamshire Year1_Juvenile_Reoffenders_age_10_17="","",Year1_Buckinghamshire Year1_Juvenile_Reoffenders_age_10_17)</f>
        <v>86</v>
      </c>
      <c r="AP104" s="248">
        <f>IF(Year2_Buckinghamshire Year2_Juvenile_Reoffenders_age_10_17="","",Year2_Buckinghamshire Year2_Juvenile_Reoffenders_age_10_17)</f>
        <v>63</v>
      </c>
      <c r="AQ104" s="248">
        <f>IF(Year3_Buckinghamshire Year3_Juvenile_Reoffenders_age_10_17="","",Year3_Buckinghamshire Year3_Juvenile_Reoffenders_age_10_17)</f>
        <v>64</v>
      </c>
      <c r="AR104" s="248">
        <f>IF(Year4_Buckinghamshire Year4_Juvenile_Reoffenders_age_10_17="","",Year4_Buckinghamshire Year4_Juvenile_Reoffenders_age_10_17)</f>
        <v>34</v>
      </c>
      <c r="AS104" s="248">
        <f>IF(Year5_Buckinghamshire Year5_Juvenile_Reoffenders_age_10_17="","",Year5_Buckinghamshire Year5_Juvenile_Reoffenders_age_10_17)</f>
        <v>28</v>
      </c>
      <c r="AT104" s="56"/>
      <c r="AU104" s="56"/>
      <c r="AV104" s="56"/>
      <c r="AW104" s="56"/>
      <c r="AX104" s="56"/>
      <c r="AY104" s="56"/>
    </row>
    <row r="105" spans="1:66" ht="11.25" customHeight="1">
      <c r="A105" s="106"/>
      <c r="B105" s="1318"/>
      <c r="C105" s="5"/>
      <c r="D105" s="5"/>
      <c r="E105" s="9"/>
      <c r="F105" s="2"/>
      <c r="G105" s="554"/>
      <c r="H105" s="554"/>
      <c r="I105" s="40"/>
      <c r="J105" s="40"/>
      <c r="K105" s="40"/>
      <c r="L105" s="40"/>
      <c r="M105" s="40"/>
      <c r="N105" s="40"/>
      <c r="O105" s="40"/>
      <c r="P105" s="40"/>
      <c r="Q105" s="40"/>
      <c r="R105" s="40"/>
      <c r="S105" s="40"/>
      <c r="T105" s="40"/>
      <c r="U105" s="40"/>
      <c r="V105" s="119"/>
      <c r="W105" s="114"/>
      <c r="AA105" s="122"/>
      <c r="AB105" s="623" t="str">
        <f>ReportData!$K$7</f>
        <v>East Sussex</v>
      </c>
      <c r="AC105" s="591">
        <f>IF(Year1_East_Sussex Year1_Juvenile_offenders_age_10_17="","",Year1_East_Sussex Year1_Juvenile_offenders_age_10_17)</f>
        <v>294</v>
      </c>
      <c r="AD105" s="248">
        <f>IF(Year2_East_Sussex Year2_Juvenile_offenders_age_10_17="","",Year2_East_Sussex Year2_Juvenile_offenders_age_10_17)</f>
        <v>142</v>
      </c>
      <c r="AE105" s="248">
        <f>IF(Year3_East_Sussex Year3_Juvenile_offenders_age_10_17="","",Year3_East_Sussex Year3_Juvenile_offenders_age_10_17)</f>
        <v>117</v>
      </c>
      <c r="AF105" s="248">
        <f>IF(Year4_East_Sussex Year4_Juvenile_offenders_age_10_17="","",Year4_East_Sussex Year4_Juvenile_offenders_age_10_17)</f>
        <v>157</v>
      </c>
      <c r="AG105" s="352">
        <f>IF(Year5_East_Sussex Year5_Juvenile_offenders_age_10_17="","",Year5_East_Sussex Year5_Juvenile_offenders_age_10_17)</f>
        <v>142</v>
      </c>
      <c r="AH105" s="595" t="str">
        <f>ReportData!$K$7</f>
        <v>East Sussex</v>
      </c>
      <c r="AI105" s="590">
        <f t="shared" si="28"/>
        <v>294</v>
      </c>
      <c r="AJ105" s="590">
        <f t="shared" si="29"/>
        <v>142</v>
      </c>
      <c r="AK105" s="590">
        <f t="shared" si="30"/>
        <v>117</v>
      </c>
      <c r="AL105" s="590">
        <f t="shared" si="31"/>
        <v>157</v>
      </c>
      <c r="AM105" s="590">
        <f t="shared" si="32"/>
        <v>142</v>
      </c>
      <c r="AN105" s="252" t="str">
        <f t="shared" si="27"/>
        <v>East Sussex</v>
      </c>
      <c r="AO105" s="307">
        <f>IF(Year1_East_Sussex Year1_Juvenile_Reoffenders_age_10_17="","",Year1_East_Sussex Year1_Juvenile_Reoffenders_age_10_17)</f>
        <v>114</v>
      </c>
      <c r="AP105" s="248">
        <f>IF(Year2_East_Sussex Year2_Juvenile_Reoffenders_age_10_17="","",Year2_East_Sussex Year2_Juvenile_Reoffenders_age_10_17)</f>
        <v>40</v>
      </c>
      <c r="AQ105" s="248">
        <f>IF(Year3_East_Sussex Year3_Juvenile_Reoffenders_age_10_17="","",Year3_East_Sussex Year3_Juvenile_Reoffenders_age_10_17)</f>
        <v>52</v>
      </c>
      <c r="AR105" s="248">
        <f>IF(Year4_East_Sussex Year4_Juvenile_Reoffenders_age_10_17="","",Year4_East_Sussex Year4_Juvenile_Reoffenders_age_10_17)</f>
        <v>53</v>
      </c>
      <c r="AS105" s="248">
        <f>IF(Year5_East_Sussex Year5_Juvenile_Reoffenders_age_10_17="","",Year5_East_Sussex Year5_Juvenile_Reoffenders_age_10_17)</f>
        <v>35</v>
      </c>
    </row>
    <row r="106" spans="1:66" ht="11.25" customHeight="1">
      <c r="A106" s="106"/>
      <c r="B106" s="420"/>
      <c r="C106" s="420"/>
      <c r="D106" s="420"/>
      <c r="E106" s="420"/>
      <c r="F106" s="420"/>
      <c r="G106" s="420"/>
      <c r="H106" s="554"/>
      <c r="I106" s="40"/>
      <c r="J106" s="40"/>
      <c r="K106" s="40"/>
      <c r="L106" s="40"/>
      <c r="M106" s="40"/>
      <c r="N106" s="40"/>
      <c r="O106" s="40"/>
      <c r="P106" s="40"/>
      <c r="Q106" s="40"/>
      <c r="R106" s="40"/>
      <c r="S106" s="40"/>
      <c r="T106" s="40"/>
      <c r="U106" s="40"/>
      <c r="V106" s="119"/>
      <c r="W106" s="114"/>
      <c r="AA106" s="122"/>
      <c r="AB106" s="623" t="str">
        <f>ReportData!$K$8</f>
        <v>Hampshire</v>
      </c>
      <c r="AC106" s="591">
        <f>IF(Year1_Hampshire Year1_Juvenile_offenders_age_10_17="","",Year1_Hampshire Year1_Juvenile_offenders_age_10_17)</f>
        <v>491</v>
      </c>
      <c r="AD106" s="355">
        <f>IF(Year2_Hampshire Year2_Juvenile_offenders_age_10_17="","",Year2_Hampshire Year2_Juvenile_offenders_age_10_17)</f>
        <v>470</v>
      </c>
      <c r="AE106" s="248">
        <f>IF(Year3_Hampshire Year3_Juvenile_offenders_age_10_17="","",Year3_Hampshire Year3_Juvenile_offenders_age_10_17)</f>
        <v>388</v>
      </c>
      <c r="AF106" s="248">
        <f>IF(Year4_Hampshire Year4_Juvenile_offenders_age_10_17="","",Year4_Hampshire Year4_Juvenile_offenders_age_10_17)</f>
        <v>390</v>
      </c>
      <c r="AG106" s="352">
        <f>IF(Year5_Hampshire Year5_Juvenile_offenders_age_10_17="","",Year5_Hampshire Year5_Juvenile_offenders_age_10_17)</f>
        <v>337</v>
      </c>
      <c r="AH106" s="595" t="str">
        <f>ReportData!$K$8</f>
        <v>Hampshire</v>
      </c>
      <c r="AI106" s="590">
        <f t="shared" si="28"/>
        <v>491</v>
      </c>
      <c r="AJ106" s="590">
        <f t="shared" si="29"/>
        <v>470</v>
      </c>
      <c r="AK106" s="590">
        <f t="shared" si="30"/>
        <v>388</v>
      </c>
      <c r="AL106" s="590">
        <f t="shared" si="31"/>
        <v>390</v>
      </c>
      <c r="AM106" s="590">
        <f t="shared" si="32"/>
        <v>337</v>
      </c>
      <c r="AN106" s="252" t="str">
        <f t="shared" si="27"/>
        <v>Hampshire</v>
      </c>
      <c r="AO106" s="307">
        <f>IF(Year1_Hampshire Year1_Juvenile_Reoffenders_age_10_17="","",Year1_Hampshire Year1_Juvenile_Reoffenders_age_10_17)</f>
        <v>225</v>
      </c>
      <c r="AP106" s="248">
        <f>IF(Year2_Hampshire Year2_Juvenile_Reoffenders_age_10_17="","",Year2_Hampshire Year2_Juvenile_Reoffenders_age_10_17)</f>
        <v>162</v>
      </c>
      <c r="AQ106" s="248">
        <f>IF(Year3_Hampshire Year3_Juvenile_Reoffenders_age_10_17="","",Year3_Hampshire Year3_Juvenile_Reoffenders_age_10_17)</f>
        <v>146</v>
      </c>
      <c r="AR106" s="248">
        <f>IF(Year4_Hampshire Year4_Juvenile_Reoffenders_age_10_17="","",Year4_Hampshire Year4_Juvenile_Reoffenders_age_10_17)</f>
        <v>127</v>
      </c>
      <c r="AS106" s="248">
        <f>IF(Year5_Hampshire Year5_Juvenile_Reoffenders_age_10_17="","",Year5_Hampshire Year5_Juvenile_Reoffenders_age_10_17)</f>
        <v>104</v>
      </c>
    </row>
    <row r="107" spans="1:66" ht="11.25" customHeight="1">
      <c r="A107" s="106"/>
      <c r="B107" s="420"/>
      <c r="C107" s="420"/>
      <c r="D107" s="420"/>
      <c r="E107" s="420"/>
      <c r="F107" s="420"/>
      <c r="G107" s="420"/>
      <c r="H107" s="554"/>
      <c r="I107" s="40"/>
      <c r="J107" s="40"/>
      <c r="K107" s="40"/>
      <c r="L107" s="40"/>
      <c r="M107" s="40"/>
      <c r="N107" s="40"/>
      <c r="O107" s="40"/>
      <c r="P107" s="40"/>
      <c r="Q107" s="40"/>
      <c r="R107" s="40"/>
      <c r="S107" s="40"/>
      <c r="T107" s="40"/>
      <c r="U107" s="40"/>
      <c r="V107" s="119"/>
      <c r="W107" s="114"/>
      <c r="AA107" s="122"/>
      <c r="AB107" s="623" t="str">
        <f>ReportData!$K$9</f>
        <v>Isle of Wight</v>
      </c>
      <c r="AC107" s="591">
        <f>IF(Year1_Isle_of_Wight Year1_Juvenile_offenders_age_10_17="","",Year1_Isle_of_Wight Year1_Juvenile_offenders_age_10_17)</f>
        <v>82</v>
      </c>
      <c r="AD107" s="355">
        <f>IF(Year2_Isle_of_Wight Year2_Juvenile_offenders_age_10_17="","",Year2_Isle_of_Wight Year2_Juvenile_offenders_age_10_17)</f>
        <v>101</v>
      </c>
      <c r="AE107" s="248">
        <f>IF(Year3_Isle_of_Wight Year3_Juvenile_offenders_age_10_17="","",Year3_Isle_of_Wight Year3_Juvenile_offenders_age_10_17)</f>
        <v>72</v>
      </c>
      <c r="AF107" s="248">
        <f>IF(Year4_Isle_of_Wight Year4_Juvenile_offenders_age_10_17="","",Year4_Isle_of_Wight Year4_Juvenile_offenders_age_10_17)</f>
        <v>86</v>
      </c>
      <c r="AG107" s="352">
        <f>IF(Year5_Isle_of_Wight Year5_Juvenile_offenders_age_10_17="","",Year5_Isle_of_Wight Year5_Juvenile_offenders_age_10_17)</f>
        <v>52</v>
      </c>
      <c r="AH107" s="595" t="str">
        <f>ReportData!$K$9</f>
        <v>Isle of Wight</v>
      </c>
      <c r="AI107" s="590">
        <f t="shared" si="28"/>
        <v>82</v>
      </c>
      <c r="AJ107" s="590">
        <f t="shared" si="29"/>
        <v>101</v>
      </c>
      <c r="AK107" s="590">
        <f t="shared" si="30"/>
        <v>72</v>
      </c>
      <c r="AL107" s="590">
        <f t="shared" si="31"/>
        <v>86</v>
      </c>
      <c r="AM107" s="590">
        <f t="shared" si="32"/>
        <v>52</v>
      </c>
      <c r="AN107" s="252" t="str">
        <f t="shared" si="27"/>
        <v>Isle of Wight</v>
      </c>
      <c r="AO107" s="307">
        <f>IF(Year1_Isle_of_Wight Year1_Juvenile_Reoffenders_age_10_17="","",Year1_Isle_of_Wight Year1_Juvenile_Reoffenders_age_10_17)</f>
        <v>41</v>
      </c>
      <c r="AP107" s="248">
        <f>IF(Year2_Isle_of_Wight Year2_Juvenile_Reoffenders_age_10_17="","",Year2_Isle_of_Wight Year2_Juvenile_Reoffenders_age_10_17)</f>
        <v>46</v>
      </c>
      <c r="AQ107" s="248">
        <f>IF(Year3_Isle_of_Wight Year3_Juvenile_Reoffenders_age_10_17="","",Year3_Isle_of_Wight Year3_Juvenile_Reoffenders_age_10_17)</f>
        <v>31</v>
      </c>
      <c r="AR107" s="248">
        <f>IF(Year4_Isle_of_Wight Year4_Juvenile_Reoffenders_age_10_17="","",Year4_Isle_of_Wight Year4_Juvenile_Reoffenders_age_10_17)</f>
        <v>29</v>
      </c>
      <c r="AS107" s="248">
        <f>IF(Year5_Isle_of_Wight Year5_Juvenile_Reoffenders_age_10_17="","",Year5_Isle_of_Wight Year5_Juvenile_Reoffenders_age_10_17)</f>
        <v>18</v>
      </c>
    </row>
    <row r="108" spans="1:66" ht="11.25" customHeight="1">
      <c r="A108" s="106"/>
      <c r="B108" s="420"/>
      <c r="C108" s="420"/>
      <c r="D108" s="420"/>
      <c r="E108" s="420"/>
      <c r="F108" s="420"/>
      <c r="G108" s="420"/>
      <c r="H108" s="554"/>
      <c r="I108" s="40"/>
      <c r="J108" s="40"/>
      <c r="K108" s="40"/>
      <c r="L108" s="40"/>
      <c r="M108" s="40"/>
      <c r="N108" s="40"/>
      <c r="O108" s="40"/>
      <c r="P108" s="40"/>
      <c r="Q108" s="40"/>
      <c r="R108" s="40"/>
      <c r="S108" s="40"/>
      <c r="T108" s="40"/>
      <c r="U108" s="40"/>
      <c r="V108" s="119"/>
      <c r="W108" s="116"/>
      <c r="X108" s="52"/>
      <c r="Y108" s="52"/>
      <c r="Z108" s="52"/>
      <c r="AA108" s="119"/>
      <c r="AB108" s="623" t="str">
        <f>ReportData!$K$10</f>
        <v>Kent</v>
      </c>
      <c r="AC108" s="591">
        <f>IF(Year1_Kent Year1_Juvenile_offenders_age_10_17="","",Year1_Kent Year1_Juvenile_offenders_age_10_17)</f>
        <v>569</v>
      </c>
      <c r="AD108" s="355">
        <f>IF(Year2_Kent Year2_Juvenile_offenders_age_10_17="","",Year2_Kent Year2_Juvenile_offenders_age_10_17)</f>
        <v>494</v>
      </c>
      <c r="AE108" s="248">
        <f>IF(Year3_Kent Year3_Juvenile_offenders_age_10_17="","",Year3_Kent Year3_Juvenile_offenders_age_10_17)</f>
        <v>354</v>
      </c>
      <c r="AF108" s="248">
        <f>IF(Year4_Kent Year4_Juvenile_offenders_age_10_17="","",Year4_Kent Year4_Juvenile_offenders_age_10_17)</f>
        <v>335</v>
      </c>
      <c r="AG108" s="352">
        <f>IF(Year5_Kent Year5_Juvenile_offenders_age_10_17="","",Year5_Kent Year5_Juvenile_offenders_age_10_17)</f>
        <v>364</v>
      </c>
      <c r="AH108" s="595" t="str">
        <f>ReportData!$K$10</f>
        <v>Kent</v>
      </c>
      <c r="AI108" s="590">
        <f t="shared" si="28"/>
        <v>569</v>
      </c>
      <c r="AJ108" s="590">
        <f t="shared" si="29"/>
        <v>494</v>
      </c>
      <c r="AK108" s="590">
        <f t="shared" si="30"/>
        <v>354</v>
      </c>
      <c r="AL108" s="590">
        <f t="shared" si="31"/>
        <v>335</v>
      </c>
      <c r="AM108" s="590">
        <f t="shared" si="32"/>
        <v>364</v>
      </c>
      <c r="AN108" s="252" t="str">
        <f t="shared" si="27"/>
        <v>Kent</v>
      </c>
      <c r="AO108" s="307">
        <f>IF(Year1_Kent Year1_Juvenile_Reoffenders_age_10_17="","",Year1_Kent Year1_Juvenile_Reoffenders_age_10_17)</f>
        <v>202</v>
      </c>
      <c r="AP108" s="248">
        <f>IF(Year2_Kent Year2_Juvenile_Reoffenders_age_10_17="","",Year2_Kent Year2_Juvenile_Reoffenders_age_10_17)</f>
        <v>172</v>
      </c>
      <c r="AQ108" s="248">
        <f>IF(Year3_Kent Year3_Juvenile_Reoffenders_age_10_17="","",Year3_Kent Year3_Juvenile_Reoffenders_age_10_17)</f>
        <v>121</v>
      </c>
      <c r="AR108" s="248">
        <f>IF(Year4_Kent Year4_Juvenile_Reoffenders_age_10_17="","",Year4_Kent Year4_Juvenile_Reoffenders_age_10_17)</f>
        <v>137</v>
      </c>
      <c r="AS108" s="248">
        <f>IF(Year5_Kent Year5_Juvenile_Reoffenders_age_10_17="","",Year5_Kent Year5_Juvenile_Reoffenders_age_10_17)</f>
        <v>104</v>
      </c>
    </row>
    <row r="109" spans="1:66" ht="11.25" customHeight="1">
      <c r="A109" s="106"/>
      <c r="B109" s="420"/>
      <c r="C109" s="420"/>
      <c r="D109" s="420"/>
      <c r="E109" s="420"/>
      <c r="F109" s="420"/>
      <c r="G109" s="420"/>
      <c r="H109" s="554"/>
      <c r="I109" s="40"/>
      <c r="J109" s="40"/>
      <c r="K109" s="40"/>
      <c r="L109" s="40"/>
      <c r="M109" s="40"/>
      <c r="N109" s="40"/>
      <c r="O109" s="40"/>
      <c r="P109" s="40"/>
      <c r="Q109" s="40"/>
      <c r="R109" s="40"/>
      <c r="S109" s="40"/>
      <c r="T109" s="40"/>
      <c r="U109" s="40"/>
      <c r="V109" s="119"/>
      <c r="W109" s="114"/>
      <c r="AA109" s="122"/>
      <c r="AB109" s="623" t="str">
        <f>ReportData!$K$11</f>
        <v>Medway</v>
      </c>
      <c r="AC109" s="591">
        <f>IF(Year1_Medway Year1_Juvenile_offenders_age_10_17="","",Year1_Medway Year1_Juvenile_offenders_age_10_17)</f>
        <v>156</v>
      </c>
      <c r="AD109" s="355">
        <f>IF(Year2_Medway Year2_Juvenile_offenders_age_10_17="","",Year2_Medway Year2_Juvenile_offenders_age_10_17)</f>
        <v>145</v>
      </c>
      <c r="AE109" s="248">
        <f>IF(Year3_Medway Year3_Juvenile_offenders_age_10_17="","",Year3_Medway Year3_Juvenile_offenders_age_10_17)</f>
        <v>116</v>
      </c>
      <c r="AF109" s="248">
        <f>IF(Year4_Medway Year4_Juvenile_offenders_age_10_17="","",Year4_Medway Year4_Juvenile_offenders_age_10_17)</f>
        <v>90</v>
      </c>
      <c r="AG109" s="352">
        <f>IF(Year5_Medway Year5_Juvenile_offenders_age_10_17="","",Year5_Medway Year5_Juvenile_offenders_age_10_17)</f>
        <v>71</v>
      </c>
      <c r="AH109" s="595" t="str">
        <f>ReportData!$K$11</f>
        <v>Medway</v>
      </c>
      <c r="AI109" s="590">
        <f t="shared" si="28"/>
        <v>156</v>
      </c>
      <c r="AJ109" s="590">
        <f t="shared" si="29"/>
        <v>145</v>
      </c>
      <c r="AK109" s="590">
        <f t="shared" si="30"/>
        <v>116</v>
      </c>
      <c r="AL109" s="590">
        <f t="shared" si="31"/>
        <v>90</v>
      </c>
      <c r="AM109" s="590">
        <f t="shared" si="32"/>
        <v>71</v>
      </c>
      <c r="AN109" s="252" t="str">
        <f t="shared" si="27"/>
        <v>Medway</v>
      </c>
      <c r="AO109" s="307">
        <f>IF(Year1_Medway Year1_Juvenile_Reoffenders_age_10_17="","",Year1_Medway Year1_Juvenile_Reoffenders_age_10_17)</f>
        <v>73</v>
      </c>
      <c r="AP109" s="248">
        <f>IF(Year2_Medway Year2_Juvenile_Reoffenders_age_10_17="","",Year2_Medway Year2_Juvenile_Reoffenders_age_10_17)</f>
        <v>52</v>
      </c>
      <c r="AQ109" s="248">
        <f>IF(Year3_Medway Year3_Juvenile_Reoffenders_age_10_17="","",Year3_Medway Year3_Juvenile_Reoffenders_age_10_17)</f>
        <v>47</v>
      </c>
      <c r="AR109" s="248">
        <f>IF(Year4_Medway Year4_Juvenile_Reoffenders_age_10_17="","",Year4_Medway Year4_Juvenile_Reoffenders_age_10_17)</f>
        <v>31</v>
      </c>
      <c r="AS109" s="248">
        <f>IF(Year5_Medway Year5_Juvenile_Reoffenders_age_10_17="","",Year5_Medway Year5_Juvenile_Reoffenders_age_10_17)</f>
        <v>27</v>
      </c>
    </row>
    <row r="110" spans="1:66" ht="11.25" customHeight="1">
      <c r="A110" s="106"/>
      <c r="B110" s="420"/>
      <c r="C110" s="420"/>
      <c r="D110" s="420"/>
      <c r="E110" s="420"/>
      <c r="F110" s="420"/>
      <c r="G110" s="420"/>
      <c r="H110" s="554"/>
      <c r="I110" s="40"/>
      <c r="J110" s="40"/>
      <c r="K110" s="40"/>
      <c r="L110" s="40"/>
      <c r="M110" s="40"/>
      <c r="N110" s="40"/>
      <c r="O110" s="40"/>
      <c r="P110" s="40"/>
      <c r="Q110" s="40"/>
      <c r="R110" s="40"/>
      <c r="S110" s="40"/>
      <c r="T110" s="40"/>
      <c r="U110" s="40"/>
      <c r="V110" s="119"/>
      <c r="W110" s="114"/>
      <c r="AA110" s="122"/>
      <c r="AB110" s="623" t="str">
        <f>ReportData!$K$12</f>
        <v>Milton Keynes</v>
      </c>
      <c r="AC110" s="591">
        <f>IF(Year1_Milton_Keynes Year1_Juvenile_offenders_age_10_17="","",Year1_Milton_Keynes Year1_Juvenile_offenders_age_10_17)</f>
        <v>181</v>
      </c>
      <c r="AD110" s="248">
        <f>IF(Year2_Milton_Keynes Year2_Juvenile_offenders_age_10_17="","",Year2_Milton_Keynes Year2_Juvenile_offenders_age_10_17)</f>
        <v>149</v>
      </c>
      <c r="AE110" s="248">
        <f>IF(Year3_Milton_Keynes Year3_Juvenile_offenders_age_10_17="","",Year3_Milton_Keynes Year3_Juvenile_offenders_age_10_17)</f>
        <v>118</v>
      </c>
      <c r="AF110" s="248">
        <f>IF(Year4_Milton_Keynes Year4_Juvenile_offenders_age_10_17="","",Year4_Milton_Keynes Year4_Juvenile_offenders_age_10_17)</f>
        <v>104</v>
      </c>
      <c r="AG110" s="352">
        <f>IF(Year5_Milton_Keynes Year5_Juvenile_offenders_age_10_17="","",Year5_Milton_Keynes Year5_Juvenile_offenders_age_10_17)</f>
        <v>86</v>
      </c>
      <c r="AH110" s="595" t="str">
        <f>ReportData!$K$12</f>
        <v>Milton Keynes</v>
      </c>
      <c r="AI110" s="590">
        <f t="shared" si="28"/>
        <v>181</v>
      </c>
      <c r="AJ110" s="590">
        <f t="shared" si="29"/>
        <v>149</v>
      </c>
      <c r="AK110" s="590">
        <f t="shared" si="30"/>
        <v>118</v>
      </c>
      <c r="AL110" s="590">
        <f t="shared" si="31"/>
        <v>104</v>
      </c>
      <c r="AM110" s="590">
        <f t="shared" si="32"/>
        <v>86</v>
      </c>
      <c r="AN110" s="252" t="str">
        <f t="shared" si="27"/>
        <v>Milton Keynes</v>
      </c>
      <c r="AO110" s="307">
        <f>IF(Year1_Milton_Keynes Year1_Juvenile_Reoffenders_age_10_17="","",Year1_Milton_Keynes Year1_Juvenile_Reoffenders_age_10_17)</f>
        <v>65</v>
      </c>
      <c r="AP110" s="248">
        <f>IF(Year2_Milton_Keynes Year2_Juvenile_Reoffenders_age_10_17="","",Year2_Milton_Keynes Year2_Juvenile_Reoffenders_age_10_17)</f>
        <v>61</v>
      </c>
      <c r="AQ110" s="248">
        <f>IF(Year3_Milton_Keynes Year3_Juvenile_Reoffenders_age_10_17="","",Year3_Milton_Keynes Year3_Juvenile_Reoffenders_age_10_17)</f>
        <v>37</v>
      </c>
      <c r="AR110" s="248">
        <f>IF(Year4_Milton_Keynes Year4_Juvenile_Reoffenders_age_10_17="","",Year4_Milton_Keynes Year4_Juvenile_Reoffenders_age_10_17)</f>
        <v>29</v>
      </c>
      <c r="AS110" s="248">
        <f>IF(Year5_Milton_Keynes Year5_Juvenile_Reoffenders_age_10_17="","",Year5_Milton_Keynes Year5_Juvenile_Reoffenders_age_10_17)</f>
        <v>22</v>
      </c>
    </row>
    <row r="111" spans="1:66" ht="11.25" customHeight="1">
      <c r="A111" s="106"/>
      <c r="B111" s="420"/>
      <c r="C111" s="420"/>
      <c r="D111" s="420"/>
      <c r="E111" s="420"/>
      <c r="F111" s="420"/>
      <c r="G111" s="420"/>
      <c r="H111" s="554"/>
      <c r="I111" s="40"/>
      <c r="J111" s="40"/>
      <c r="K111" s="40"/>
      <c r="L111" s="40"/>
      <c r="M111" s="40"/>
      <c r="N111" s="40"/>
      <c r="O111" s="40"/>
      <c r="P111" s="40"/>
      <c r="Q111" s="40"/>
      <c r="R111" s="40"/>
      <c r="S111" s="40"/>
      <c r="T111" s="40"/>
      <c r="U111" s="40"/>
      <c r="V111" s="119"/>
      <c r="W111" s="114"/>
      <c r="AA111" s="122"/>
      <c r="AB111" s="623" t="str">
        <f>ReportData!$K$13</f>
        <v>Oxfordshire</v>
      </c>
      <c r="AC111" s="591">
        <f>IF(Year1_Oxfordshire Year1_Juvenile_offenders_age_10_17="","",Year1_Oxfordshire Year1_Juvenile_offenders_age_10_17)</f>
        <v>282</v>
      </c>
      <c r="AD111" s="248">
        <f>IF(Year2_Oxfordshire Year2_Juvenile_offenders_age_10_17="","",Year2_Oxfordshire Year2_Juvenile_offenders_age_10_17)</f>
        <v>234</v>
      </c>
      <c r="AE111" s="248">
        <f>IF(Year3_Oxfordshire Year3_Juvenile_offenders_age_10_17="","",Year3_Oxfordshire Year3_Juvenile_offenders_age_10_17)</f>
        <v>189</v>
      </c>
      <c r="AF111" s="248">
        <f>IF(Year4_Oxfordshire Year4_Juvenile_offenders_age_10_17="","",Year4_Oxfordshire Year4_Juvenile_offenders_age_10_17)</f>
        <v>206</v>
      </c>
      <c r="AG111" s="352">
        <f>IF(Year5_Oxfordshire Year5_Juvenile_offenders_age_10_17="","",Year5_Oxfordshire Year5_Juvenile_offenders_age_10_17)</f>
        <v>216</v>
      </c>
      <c r="AH111" s="595" t="str">
        <f>ReportData!$K$13</f>
        <v>Oxfordshire</v>
      </c>
      <c r="AI111" s="590">
        <f t="shared" si="28"/>
        <v>282</v>
      </c>
      <c r="AJ111" s="590">
        <f t="shared" si="29"/>
        <v>234</v>
      </c>
      <c r="AK111" s="590">
        <f t="shared" si="30"/>
        <v>189</v>
      </c>
      <c r="AL111" s="590">
        <f t="shared" si="31"/>
        <v>206</v>
      </c>
      <c r="AM111" s="590">
        <f t="shared" si="32"/>
        <v>216</v>
      </c>
      <c r="AN111" s="252" t="str">
        <f t="shared" si="27"/>
        <v>Oxfordshire</v>
      </c>
      <c r="AO111" s="307">
        <f>IF(Year1_Oxfordshire Year1_Juvenile_Reoffenders_age_10_17="","",Year1_Oxfordshire Year1_Juvenile_Reoffenders_age_10_17)</f>
        <v>104</v>
      </c>
      <c r="AP111" s="248">
        <f>IF(Year2_Oxfordshire Year2_Juvenile_Reoffenders_age_10_17="","",Year2_Oxfordshire Year2_Juvenile_Reoffenders_age_10_17)</f>
        <v>70</v>
      </c>
      <c r="AQ111" s="248">
        <f>IF(Year3_Oxfordshire Year3_Juvenile_Reoffenders_age_10_17="","",Year3_Oxfordshire Year3_Juvenile_Reoffenders_age_10_17)</f>
        <v>42</v>
      </c>
      <c r="AR111" s="248">
        <f>IF(Year4_Oxfordshire Year4_Juvenile_Reoffenders_age_10_17="","",Year4_Oxfordshire Year4_Juvenile_Reoffenders_age_10_17)</f>
        <v>48</v>
      </c>
      <c r="AS111" s="248">
        <f>IF(Year5_Oxfordshire Year5_Juvenile_Reoffenders_age_10_17="","",Year5_Oxfordshire Year5_Juvenile_Reoffenders_age_10_17)</f>
        <v>50</v>
      </c>
    </row>
    <row r="112" spans="1:66" ht="11.25" customHeight="1">
      <c r="A112" s="106"/>
      <c r="B112" s="420"/>
      <c r="C112" s="420"/>
      <c r="D112" s="420"/>
      <c r="E112" s="420"/>
      <c r="F112" s="420"/>
      <c r="G112" s="420"/>
      <c r="H112" s="554"/>
      <c r="I112" s="40"/>
      <c r="J112" s="40"/>
      <c r="K112" s="40"/>
      <c r="L112" s="40"/>
      <c r="M112" s="40"/>
      <c r="N112" s="40"/>
      <c r="O112" s="40"/>
      <c r="P112" s="40"/>
      <c r="Q112" s="40"/>
      <c r="R112" s="40"/>
      <c r="S112" s="40"/>
      <c r="T112" s="40"/>
      <c r="U112" s="40"/>
      <c r="V112" s="119"/>
      <c r="W112" s="114"/>
      <c r="AA112" s="122"/>
      <c r="AB112" s="623" t="str">
        <f>ReportData!$K$14</f>
        <v>Portsmouth</v>
      </c>
      <c r="AC112" s="591">
        <f>IF(Year1_Portsmouth Year1_Juvenile_offenders_age_10_17="","",Year1_Portsmouth Year1_Juvenile_offenders_age_10_17)</f>
        <v>183</v>
      </c>
      <c r="AD112" s="248">
        <f>IF(Year2_Portsmouth Year2_Juvenile_offenders_age_10_17="","",Year2_Portsmouth Year2_Juvenile_offenders_age_10_17)</f>
        <v>213</v>
      </c>
      <c r="AE112" s="248">
        <f>IF(Year3_Portsmouth Year3_Juvenile_offenders_age_10_17="","",Year3_Portsmouth Year3_Juvenile_offenders_age_10_17)</f>
        <v>208</v>
      </c>
      <c r="AF112" s="248">
        <f>IF(Year4_Portsmouth Year4_Juvenile_offenders_age_10_17="","",Year4_Portsmouth Year4_Juvenile_offenders_age_10_17)</f>
        <v>197</v>
      </c>
      <c r="AG112" s="352">
        <f>IF(Year5_Portsmouth Year5_Juvenile_offenders_age_10_17="","",Year5_Portsmouth Year5_Juvenile_offenders_age_10_17)</f>
        <v>117</v>
      </c>
      <c r="AH112" s="595" t="str">
        <f>ReportData!$K$14</f>
        <v>Portsmouth</v>
      </c>
      <c r="AI112" s="590">
        <f t="shared" si="28"/>
        <v>183</v>
      </c>
      <c r="AJ112" s="590">
        <f t="shared" si="29"/>
        <v>213</v>
      </c>
      <c r="AK112" s="590">
        <f t="shared" si="30"/>
        <v>208</v>
      </c>
      <c r="AL112" s="590">
        <f t="shared" si="31"/>
        <v>197</v>
      </c>
      <c r="AM112" s="590">
        <f t="shared" si="32"/>
        <v>117</v>
      </c>
      <c r="AN112" s="252" t="str">
        <f t="shared" si="27"/>
        <v>Portsmouth</v>
      </c>
      <c r="AO112" s="307">
        <f>IF(Year1_Portsmouth Year1_Juvenile_Reoffenders_age_10_17="","",Year1_Portsmouth Year1_Juvenile_Reoffenders_age_10_17)</f>
        <v>104</v>
      </c>
      <c r="AP112" s="248">
        <f>IF(Year2_Portsmouth Year2_Juvenile_Reoffenders_age_10_17="","",Year2_Portsmouth Year2_Juvenile_Reoffenders_age_10_17)</f>
        <v>127</v>
      </c>
      <c r="AQ112" s="248">
        <f>IF(Year3_Portsmouth Year3_Juvenile_Reoffenders_age_10_17="","",Year3_Portsmouth Year3_Juvenile_Reoffenders_age_10_17)</f>
        <v>100</v>
      </c>
      <c r="AR112" s="248">
        <f>IF(Year4_Portsmouth Year4_Juvenile_Reoffenders_age_10_17="","",Year4_Portsmouth Year4_Juvenile_Reoffenders_age_10_17)</f>
        <v>77</v>
      </c>
      <c r="AS112" s="248">
        <f>IF(Year5_Portsmouth Year5_Juvenile_Reoffenders_age_10_17="","",Year5_Portsmouth Year5_Juvenile_Reoffenders_age_10_17)</f>
        <v>48</v>
      </c>
    </row>
    <row r="113" spans="1:45" ht="11.25" customHeight="1">
      <c r="A113" s="106"/>
      <c r="B113" s="420"/>
      <c r="C113" s="420"/>
      <c r="D113" s="420"/>
      <c r="E113" s="420"/>
      <c r="F113" s="420"/>
      <c r="G113" s="420"/>
      <c r="H113" s="554"/>
      <c r="I113" s="40"/>
      <c r="J113" s="40"/>
      <c r="K113" s="40"/>
      <c r="L113" s="40"/>
      <c r="M113" s="40"/>
      <c r="N113" s="40"/>
      <c r="O113" s="40"/>
      <c r="P113" s="40"/>
      <c r="Q113" s="40"/>
      <c r="R113" s="40"/>
      <c r="S113" s="40"/>
      <c r="T113" s="40"/>
      <c r="U113" s="40"/>
      <c r="V113" s="119"/>
      <c r="W113" s="114"/>
      <c r="AA113" s="122"/>
      <c r="AB113" s="623" t="str">
        <f>ReportData!$K$15</f>
        <v>Reading</v>
      </c>
      <c r="AC113" s="591">
        <f>IF(Year1_Reading Year1_Juvenile_offenders_age_10_17="","",Year1_Reading Year1_Juvenile_offenders_age_10_17)</f>
        <v>115</v>
      </c>
      <c r="AD113" s="248">
        <f>IF(Year2_Reading Year2_Juvenile_offenders_age_10_17="","",Year2_Reading Year2_Juvenile_offenders_age_10_17)</f>
        <v>81</v>
      </c>
      <c r="AE113" s="248">
        <f>IF(Year3_Reading Year3_Juvenile_offenders_age_10_17="","",Year3_Reading Year3_Juvenile_offenders_age_10_17)</f>
        <v>60</v>
      </c>
      <c r="AF113" s="248">
        <f>IF(Year4_Reading Year4_Juvenile_offenders_age_10_17="","",Year4_Reading Year4_Juvenile_offenders_age_10_17)</f>
        <v>84</v>
      </c>
      <c r="AG113" s="352">
        <f>IF(Year5_Reading Year5_Juvenile_offenders_age_10_17="","",Year5_Reading Year5_Juvenile_offenders_age_10_17)</f>
        <v>64</v>
      </c>
      <c r="AH113" s="595" t="str">
        <f>ReportData!$K$15</f>
        <v>Reading</v>
      </c>
      <c r="AI113" s="590">
        <f t="shared" si="28"/>
        <v>115</v>
      </c>
      <c r="AJ113" s="590">
        <f t="shared" si="29"/>
        <v>81</v>
      </c>
      <c r="AK113" s="590">
        <f t="shared" si="30"/>
        <v>60</v>
      </c>
      <c r="AL113" s="590">
        <f t="shared" si="31"/>
        <v>84</v>
      </c>
      <c r="AM113" s="590">
        <f t="shared" si="32"/>
        <v>64</v>
      </c>
      <c r="AN113" s="252" t="str">
        <f t="shared" si="27"/>
        <v>Reading</v>
      </c>
      <c r="AO113" s="307">
        <f>IF(Year1_Reading Year1_Juvenile_Reoffenders_age_10_17="","",Year1_Reading Year1_Juvenile_Reoffenders_age_10_17)</f>
        <v>37</v>
      </c>
      <c r="AP113" s="248">
        <f>IF(Year2_Reading Year2_Juvenile_Reoffenders_age_10_17="","",Year2_Reading Year2_Juvenile_Reoffenders_age_10_17)</f>
        <v>25</v>
      </c>
      <c r="AQ113" s="248">
        <f>IF(Year3_Reading Year3_Juvenile_Reoffenders_age_10_17="","",Year3_Reading Year3_Juvenile_Reoffenders_age_10_17)</f>
        <v>20</v>
      </c>
      <c r="AR113" s="248">
        <f>IF(Year4_Reading Year4_Juvenile_Reoffenders_age_10_17="","",Year4_Reading Year4_Juvenile_Reoffenders_age_10_17)</f>
        <v>20</v>
      </c>
      <c r="AS113" s="248">
        <f>IF(Year5_Reading Year5_Juvenile_Reoffenders_age_10_17="","",Year5_Reading Year5_Juvenile_Reoffenders_age_10_17)</f>
        <v>18</v>
      </c>
    </row>
    <row r="114" spans="1:45" ht="11.25" customHeight="1">
      <c r="A114" s="106"/>
      <c r="B114" s="420"/>
      <c r="C114" s="420"/>
      <c r="D114" s="420"/>
      <c r="E114" s="420"/>
      <c r="F114" s="420"/>
      <c r="G114" s="420"/>
      <c r="H114" s="554"/>
      <c r="I114" s="40"/>
      <c r="J114" s="40"/>
      <c r="K114" s="40"/>
      <c r="L114" s="40"/>
      <c r="M114" s="40"/>
      <c r="N114" s="40"/>
      <c r="O114" s="40"/>
      <c r="P114" s="40"/>
      <c r="Q114" s="40"/>
      <c r="R114" s="40"/>
      <c r="S114" s="40"/>
      <c r="T114" s="40"/>
      <c r="U114" s="40"/>
      <c r="V114" s="119"/>
      <c r="W114" s="114"/>
      <c r="AA114" s="122"/>
      <c r="AB114" s="623" t="str">
        <f>ReportData!$K$16</f>
        <v>Slough</v>
      </c>
      <c r="AC114" s="591">
        <f>IF(Year1_Slough Year1_Juvenile_offenders_age_10_17="","",Year1_Slough Year1_Juvenile_offenders_age_10_17)</f>
        <v>104</v>
      </c>
      <c r="AD114" s="248">
        <f>IF(Year2_Slough Year2_Juvenile_offenders_age_10_17="","",Year2_Slough Year2_Juvenile_offenders_age_10_17)</f>
        <v>98</v>
      </c>
      <c r="AE114" s="248">
        <f>IF(Year3_Slough Year3_Juvenile_offenders_age_10_17="","",Year3_Slough Year3_Juvenile_offenders_age_10_17)</f>
        <v>114</v>
      </c>
      <c r="AF114" s="248">
        <f>IF(Year4_Slough Year4_Juvenile_offenders_age_10_17="","",Year4_Slough Year4_Juvenile_offenders_age_10_17)</f>
        <v>90</v>
      </c>
      <c r="AG114" s="352">
        <f>IF(Year5_Slough Year5_Juvenile_offenders_age_10_17="","",Year5_Slough Year5_Juvenile_offenders_age_10_17)</f>
        <v>50</v>
      </c>
      <c r="AH114" s="595" t="str">
        <f>ReportData!$K$16</f>
        <v>Slough</v>
      </c>
      <c r="AI114" s="590">
        <f t="shared" si="28"/>
        <v>104</v>
      </c>
      <c r="AJ114" s="590">
        <f t="shared" si="29"/>
        <v>98</v>
      </c>
      <c r="AK114" s="590">
        <f t="shared" si="30"/>
        <v>114</v>
      </c>
      <c r="AL114" s="590">
        <f t="shared" si="31"/>
        <v>90</v>
      </c>
      <c r="AM114" s="590">
        <f t="shared" si="32"/>
        <v>50</v>
      </c>
      <c r="AN114" s="252" t="str">
        <f t="shared" si="27"/>
        <v>Slough</v>
      </c>
      <c r="AO114" s="307">
        <f>IF(Year1_Slough Year1_Juvenile_Reoffenders_age_10_17="","",Year1_Slough Year1_Juvenile_Reoffenders_age_10_17)</f>
        <v>43</v>
      </c>
      <c r="AP114" s="248">
        <f>IF(Year2_Slough Year2_Juvenile_Reoffenders_age_10_17="","",Year2_Slough Year2_Juvenile_Reoffenders_age_10_17)</f>
        <v>50</v>
      </c>
      <c r="AQ114" s="248">
        <f>IF(Year3_Slough Year3_Juvenile_Reoffenders_age_10_17="","",Year3_Slough Year3_Juvenile_Reoffenders_age_10_17)</f>
        <v>46</v>
      </c>
      <c r="AR114" s="248">
        <f>IF(Year4_Slough Year4_Juvenile_Reoffenders_age_10_17="","",Year4_Slough Year4_Juvenile_Reoffenders_age_10_17)</f>
        <v>25</v>
      </c>
      <c r="AS114" s="248">
        <f>IF(Year5_Slough Year5_Juvenile_Reoffenders_age_10_17="","",Year5_Slough Year5_Juvenile_Reoffenders_age_10_17)</f>
        <v>9</v>
      </c>
    </row>
    <row r="115" spans="1:45" ht="11.25" customHeight="1">
      <c r="A115" s="106"/>
      <c r="B115" s="420"/>
      <c r="C115" s="420"/>
      <c r="D115" s="420"/>
      <c r="E115" s="420"/>
      <c r="F115" s="420"/>
      <c r="G115" s="420"/>
      <c r="H115" s="554"/>
      <c r="I115" s="40"/>
      <c r="J115" s="40"/>
      <c r="K115" s="40"/>
      <c r="L115" s="40"/>
      <c r="M115" s="40"/>
      <c r="N115" s="40"/>
      <c r="O115" s="40"/>
      <c r="P115" s="40"/>
      <c r="Q115" s="40"/>
      <c r="R115" s="40"/>
      <c r="S115" s="40"/>
      <c r="T115" s="40"/>
      <c r="U115" s="40"/>
      <c r="V115" s="119"/>
      <c r="W115" s="114"/>
      <c r="AA115" s="122"/>
      <c r="AB115" s="623" t="str">
        <f>ReportData!$K$17</f>
        <v>Southampton</v>
      </c>
      <c r="AC115" s="591">
        <f>IF(Year1_Southampton Year1_Juvenile_offenders_age_10_17="","",Year1_Southampton Year1_Juvenile_offenders_age_10_17)</f>
        <v>178</v>
      </c>
      <c r="AD115" s="248">
        <f>IF(Year2_Southampton Year2_Juvenile_offenders_age_10_17="","",Year2_Southampton Year2_Juvenile_offenders_age_10_17)</f>
        <v>172</v>
      </c>
      <c r="AE115" s="248">
        <f>IF(Year3_Southampton Year3_Juvenile_offenders_age_10_17="","",Year3_Southampton Year3_Juvenile_offenders_age_10_17)</f>
        <v>175</v>
      </c>
      <c r="AF115" s="248">
        <f>IF(Year4_Southampton Year4_Juvenile_offenders_age_10_17="","",Year4_Southampton Year4_Juvenile_offenders_age_10_17)</f>
        <v>177</v>
      </c>
      <c r="AG115" s="352">
        <f>IF(Year5_Southampton Year5_Juvenile_offenders_age_10_17="","",Year5_Southampton Year5_Juvenile_offenders_age_10_17)</f>
        <v>137</v>
      </c>
      <c r="AH115" s="595" t="str">
        <f>ReportData!$K$17</f>
        <v>Southampton</v>
      </c>
      <c r="AI115" s="590">
        <f t="shared" si="28"/>
        <v>178</v>
      </c>
      <c r="AJ115" s="590">
        <f t="shared" si="29"/>
        <v>172</v>
      </c>
      <c r="AK115" s="590">
        <f t="shared" si="30"/>
        <v>175</v>
      </c>
      <c r="AL115" s="590">
        <f t="shared" si="31"/>
        <v>177</v>
      </c>
      <c r="AM115" s="590">
        <f t="shared" si="32"/>
        <v>137</v>
      </c>
      <c r="AN115" s="252" t="str">
        <f t="shared" si="27"/>
        <v>Southampton</v>
      </c>
      <c r="AO115" s="307">
        <f>IF(Year1_Southampton Year1_Juvenile_Reoffenders_age_10_17="","",Year1_Southampton Year1_Juvenile_Reoffenders_age_10_17)</f>
        <v>74</v>
      </c>
      <c r="AP115" s="248">
        <f>IF(Year2_Southampton Year2_Juvenile_Reoffenders_age_10_17="","",Year2_Southampton Year2_Juvenile_Reoffenders_age_10_17)</f>
        <v>66</v>
      </c>
      <c r="AQ115" s="248">
        <f>IF(Year3_Southampton Year3_Juvenile_Reoffenders_age_10_17="","",Year3_Southampton Year3_Juvenile_Reoffenders_age_10_17)</f>
        <v>88</v>
      </c>
      <c r="AR115" s="248">
        <f>IF(Year4_Southampton Year4_Juvenile_Reoffenders_age_10_17="","",Year4_Southampton Year4_Juvenile_Reoffenders_age_10_17)</f>
        <v>63</v>
      </c>
      <c r="AS115" s="248">
        <f>IF(Year5_Southampton Year5_Juvenile_Reoffenders_age_10_17="","",Year5_Southampton Year5_Juvenile_Reoffenders_age_10_17)</f>
        <v>57</v>
      </c>
    </row>
    <row r="116" spans="1:45" ht="11.25" customHeight="1">
      <c r="A116" s="106"/>
      <c r="B116" s="420"/>
      <c r="C116" s="420"/>
      <c r="D116" s="420"/>
      <c r="E116" s="420"/>
      <c r="F116" s="420"/>
      <c r="G116" s="420"/>
      <c r="H116" s="554"/>
      <c r="I116" s="40"/>
      <c r="J116" s="40"/>
      <c r="K116" s="40"/>
      <c r="L116" s="40"/>
      <c r="M116" s="40"/>
      <c r="N116" s="40"/>
      <c r="O116" s="40"/>
      <c r="P116" s="40"/>
      <c r="Q116" s="40"/>
      <c r="R116" s="40"/>
      <c r="S116" s="40"/>
      <c r="T116" s="40"/>
      <c r="U116" s="40"/>
      <c r="V116" s="119"/>
      <c r="W116" s="114"/>
      <c r="AA116" s="122"/>
      <c r="AB116" s="623" t="str">
        <f>ReportData!$K$18</f>
        <v>Surrey</v>
      </c>
      <c r="AC116" s="591">
        <f>IF(Year1_Surrey Year1_Juvenile_offenders_age_10_17="","",Year1_Surrey Year1_Juvenile_offenders_age_10_17)</f>
        <v>189</v>
      </c>
      <c r="AD116" s="248">
        <f>IF(Year2_Surrey Year2_Juvenile_offenders_age_10_17="","",Year2_Surrey Year2_Juvenile_offenders_age_10_17)</f>
        <v>202</v>
      </c>
      <c r="AE116" s="248">
        <f>IF(Year3_Surrey Year3_Juvenile_offenders_age_10_17="","",Year3_Surrey Year3_Juvenile_offenders_age_10_17)</f>
        <v>169</v>
      </c>
      <c r="AF116" s="248">
        <f>IF(Year4_Surrey Year4_Juvenile_offenders_age_10_17="","",Year4_Surrey Year4_Juvenile_offenders_age_10_17)</f>
        <v>202</v>
      </c>
      <c r="AG116" s="352">
        <f>IF(Year5_Surrey Year5_Juvenile_offenders_age_10_17="","",Year5_Surrey Year5_Juvenile_offenders_age_10_17)</f>
        <v>184</v>
      </c>
      <c r="AH116" s="595" t="str">
        <f>ReportData!$K$18</f>
        <v>Surrey</v>
      </c>
      <c r="AI116" s="590">
        <f t="shared" si="28"/>
        <v>189</v>
      </c>
      <c r="AJ116" s="590">
        <f t="shared" si="29"/>
        <v>202</v>
      </c>
      <c r="AK116" s="590">
        <f t="shared" si="30"/>
        <v>169</v>
      </c>
      <c r="AL116" s="590">
        <f t="shared" si="31"/>
        <v>202</v>
      </c>
      <c r="AM116" s="590">
        <f t="shared" si="32"/>
        <v>184</v>
      </c>
      <c r="AN116" s="252" t="str">
        <f t="shared" si="27"/>
        <v>Surrey</v>
      </c>
      <c r="AO116" s="307">
        <f>IF(Year1_Surrey Year1_Juvenile_Reoffenders_age_10_17="","",Year1_Surrey Year1_Juvenile_Reoffenders_age_10_17)</f>
        <v>76</v>
      </c>
      <c r="AP116" s="248">
        <f>IF(Year2_Surrey Year2_Juvenile_Reoffenders_age_10_17="","",Year2_Surrey Year2_Juvenile_Reoffenders_age_10_17)</f>
        <v>75</v>
      </c>
      <c r="AQ116" s="248">
        <f>IF(Year3_Surrey Year3_Juvenile_Reoffenders_age_10_17="","",Year3_Surrey Year3_Juvenile_Reoffenders_age_10_17)</f>
        <v>67</v>
      </c>
      <c r="AR116" s="248">
        <f>IF(Year4_Surrey Year4_Juvenile_Reoffenders_age_10_17="","",Year4_Surrey Year4_Juvenile_Reoffenders_age_10_17)</f>
        <v>65</v>
      </c>
      <c r="AS116" s="248">
        <f>IF(Year5_Surrey Year5_Juvenile_Reoffenders_age_10_17="","",Year5_Surrey Year5_Juvenile_Reoffenders_age_10_17)</f>
        <v>51</v>
      </c>
    </row>
    <row r="117" spans="1:45" ht="11.25" customHeight="1">
      <c r="A117" s="106"/>
      <c r="B117" s="420"/>
      <c r="C117" s="420"/>
      <c r="D117" s="420"/>
      <c r="E117" s="420"/>
      <c r="F117" s="420"/>
      <c r="G117" s="420"/>
      <c r="H117" s="554"/>
      <c r="I117" s="40"/>
      <c r="J117" s="40"/>
      <c r="K117" s="40"/>
      <c r="L117" s="40"/>
      <c r="M117" s="40"/>
      <c r="N117" s="40"/>
      <c r="O117" s="40"/>
      <c r="P117" s="40"/>
      <c r="Q117" s="40"/>
      <c r="R117" s="40"/>
      <c r="S117" s="40"/>
      <c r="T117" s="40"/>
      <c r="U117" s="40"/>
      <c r="V117" s="119"/>
      <c r="W117" s="114"/>
      <c r="AA117" s="122"/>
      <c r="AB117" s="623" t="str">
        <f>ReportData!$K$19</f>
        <v>West Berkshire</v>
      </c>
      <c r="AC117" s="591">
        <f>IF(Year1_West_Berkshire Year1_Juvenile_offenders_age_10_17="","",Year1_West_Berkshire Year1_Juvenile_offenders_age_10_17)</f>
        <v>84</v>
      </c>
      <c r="AD117" s="248">
        <f>IF(Year2_West_Berkshire Year2_Juvenile_offenders_age_10_17="","",Year2_West_Berkshire Year2_Juvenile_offenders_age_10_17)</f>
        <v>76</v>
      </c>
      <c r="AE117" s="248">
        <f>IF(Year3_West_Berkshire Year3_Juvenile_offenders_age_10_17="","",Year3_West_Berkshire Year3_Juvenile_offenders_age_10_17)</f>
        <v>37</v>
      </c>
      <c r="AF117" s="248">
        <f>IF(Year4_West_Berkshire Year4_Juvenile_offenders_age_10_17="","",Year4_West_Berkshire Year4_Juvenile_offenders_age_10_17)</f>
        <v>51</v>
      </c>
      <c r="AG117" s="352">
        <f>IF(Year5_West_Berkshire Year5_Juvenile_offenders_age_10_17="","",Year5_West_Berkshire Year5_Juvenile_offenders_age_10_17)</f>
        <v>45</v>
      </c>
      <c r="AH117" s="595" t="str">
        <f>ReportData!$K$19</f>
        <v>West Berkshire</v>
      </c>
      <c r="AI117" s="590">
        <f t="shared" si="28"/>
        <v>84</v>
      </c>
      <c r="AJ117" s="590">
        <f t="shared" si="29"/>
        <v>76</v>
      </c>
      <c r="AK117" s="590">
        <f t="shared" si="30"/>
        <v>37</v>
      </c>
      <c r="AL117" s="590">
        <f t="shared" si="31"/>
        <v>51</v>
      </c>
      <c r="AM117" s="590">
        <f t="shared" si="32"/>
        <v>45</v>
      </c>
      <c r="AN117" s="252" t="str">
        <f t="shared" si="27"/>
        <v>West Berkshire</v>
      </c>
      <c r="AO117" s="307">
        <f>IF(Year1_West_Berkshire Year1_Juvenile_Reoffenders_age_10_17="","",Year1_West_Berkshire Year1_Juvenile_Reoffenders_age_10_17)</f>
        <v>37</v>
      </c>
      <c r="AP117" s="248">
        <f>IF(Year2_West_Berkshire Year2_Juvenile_Reoffenders_age_10_17="","",Year2_West_Berkshire Year2_Juvenile_Reoffenders_age_10_17)</f>
        <v>25</v>
      </c>
      <c r="AQ117" s="248">
        <f>IF(Year3_West_Berkshire Year3_Juvenile_Reoffenders_age_10_17="","",Year3_West_Berkshire Year3_Juvenile_Reoffenders_age_10_17)</f>
        <v>13</v>
      </c>
      <c r="AR117" s="248">
        <f>IF(Year4_West_Berkshire Year4_Juvenile_Reoffenders_age_10_17="","",Year4_West_Berkshire Year4_Juvenile_Reoffenders_age_10_17)</f>
        <v>15</v>
      </c>
      <c r="AS117" s="248">
        <f>IF(Year5_West_Berkshire Year5_Juvenile_Reoffenders_age_10_17="","",Year5_West_Berkshire Year5_Juvenile_Reoffenders_age_10_17)</f>
        <v>9</v>
      </c>
    </row>
    <row r="118" spans="1:45" ht="11.25" customHeight="1">
      <c r="A118" s="106"/>
      <c r="B118" s="420"/>
      <c r="C118" s="420"/>
      <c r="D118" s="420"/>
      <c r="E118" s="420"/>
      <c r="F118" s="420"/>
      <c r="G118" s="420"/>
      <c r="H118" s="554"/>
      <c r="I118" s="40"/>
      <c r="J118" s="40"/>
      <c r="K118" s="40"/>
      <c r="L118" s="40"/>
      <c r="M118" s="40"/>
      <c r="N118" s="40"/>
      <c r="O118" s="40"/>
      <c r="P118" s="40"/>
      <c r="Q118" s="40"/>
      <c r="R118" s="40"/>
      <c r="S118" s="40"/>
      <c r="T118" s="40"/>
      <c r="U118" s="40"/>
      <c r="V118" s="119"/>
      <c r="W118" s="114"/>
      <c r="AA118" s="122"/>
      <c r="AB118" s="623" t="str">
        <f>ReportData!$K$20</f>
        <v>West Sussex</v>
      </c>
      <c r="AC118" s="591">
        <f>IF(Year1_West_Sussex Year1_Juvenile_offenders_age_10_17="","",Year1_West_Sussex Year1_Juvenile_offenders_age_10_17)</f>
        <v>317</v>
      </c>
      <c r="AD118" s="248">
        <f>IF(Year2_West_Sussex Year2_Juvenile_offenders_age_10_17="","",Year2_West_Sussex Year2_Juvenile_offenders_age_10_17)</f>
        <v>211</v>
      </c>
      <c r="AE118" s="248">
        <f>IF(Year3_West_Sussex Year3_Juvenile_offenders_age_10_17="","",Year3_West_Sussex Year3_Juvenile_offenders_age_10_17)</f>
        <v>142</v>
      </c>
      <c r="AF118" s="248">
        <f>IF(Year4_West_Sussex Year4_Juvenile_offenders_age_10_17="","",Year4_West_Sussex Year4_Juvenile_offenders_age_10_17)</f>
        <v>142</v>
      </c>
      <c r="AG118" s="352">
        <f>IF(Year5_West_Sussex Year5_Juvenile_offenders_age_10_17="","",Year5_West_Sussex Year5_Juvenile_offenders_age_10_17)</f>
        <v>95</v>
      </c>
      <c r="AH118" s="595" t="str">
        <f>ReportData!$K$20</f>
        <v>West Sussex</v>
      </c>
      <c r="AI118" s="590">
        <f t="shared" si="28"/>
        <v>317</v>
      </c>
      <c r="AJ118" s="590">
        <f t="shared" si="29"/>
        <v>211</v>
      </c>
      <c r="AK118" s="590">
        <f t="shared" si="30"/>
        <v>142</v>
      </c>
      <c r="AL118" s="590">
        <f t="shared" si="31"/>
        <v>142</v>
      </c>
      <c r="AM118" s="590">
        <f t="shared" si="32"/>
        <v>95</v>
      </c>
      <c r="AN118" s="252" t="str">
        <f t="shared" si="27"/>
        <v>West Sussex</v>
      </c>
      <c r="AO118" s="307">
        <f>IF(Year1_West_Sussex Year1_Juvenile_Reoffenders_age_10_17="","",Year1_West_Sussex Year1_Juvenile_Reoffenders_age_10_17)</f>
        <v>118</v>
      </c>
      <c r="AP118" s="248">
        <f>IF(Year2_West_Sussex Year2_Juvenile_Reoffenders_age_10_17="","",Year2_West_Sussex Year2_Juvenile_Reoffenders_age_10_17)</f>
        <v>81</v>
      </c>
      <c r="AQ118" s="248">
        <f>IF(Year3_West_Sussex Year3_Juvenile_Reoffenders_age_10_17="","",Year3_West_Sussex Year3_Juvenile_Reoffenders_age_10_17)</f>
        <v>55</v>
      </c>
      <c r="AR118" s="248">
        <f>IF(Year4_West_Sussex Year4_Juvenile_Reoffenders_age_10_17="","",Year4_West_Sussex Year4_Juvenile_Reoffenders_age_10_17)</f>
        <v>45</v>
      </c>
      <c r="AS118" s="248">
        <f>IF(Year5_West_Sussex Year5_Juvenile_Reoffenders_age_10_17="","",Year5_West_Sussex Year5_Juvenile_Reoffenders_age_10_17)</f>
        <v>16</v>
      </c>
    </row>
    <row r="119" spans="1:45" ht="11.25" customHeight="1">
      <c r="A119" s="106"/>
      <c r="B119" s="420"/>
      <c r="C119" s="420"/>
      <c r="D119" s="420"/>
      <c r="E119" s="420"/>
      <c r="F119" s="420"/>
      <c r="G119" s="420"/>
      <c r="H119" s="554"/>
      <c r="I119" s="40"/>
      <c r="J119" s="40"/>
      <c r="K119" s="40"/>
      <c r="L119" s="40"/>
      <c r="M119" s="40"/>
      <c r="N119" s="40"/>
      <c r="O119" s="40"/>
      <c r="P119" s="40"/>
      <c r="Q119" s="40"/>
      <c r="R119" s="40"/>
      <c r="S119" s="40"/>
      <c r="T119" s="40"/>
      <c r="U119" s="40"/>
      <c r="V119" s="119"/>
      <c r="W119" s="114"/>
      <c r="AA119" s="122"/>
      <c r="AB119" s="623" t="str">
        <f>ReportData!$K$21</f>
        <v>Windsor &amp; Maidenhead</v>
      </c>
      <c r="AC119" s="591">
        <f>IF(Year1_Windsor_and_Maidenhead Year1_Juvenile_offenders_age_10_17="","",Year1_Windsor_and_Maidenhead Year1_Juvenile_offenders_age_10_17)</f>
        <v>40</v>
      </c>
      <c r="AD119" s="248">
        <f>IF(Year2_Windsor_and_Maidenhead Year2_Juvenile_offenders_age_10_17="","",Year2_Windsor_and_Maidenhead Year2_Juvenile_offenders_age_10_17)</f>
        <v>44</v>
      </c>
      <c r="AE119" s="248">
        <f>IF(Year3_Windsor_and_Maidenhead Year3_Juvenile_offenders_age_10_17="","",Year3_Windsor_and_Maidenhead Year3_Juvenile_offenders_age_10_17)</f>
        <v>32</v>
      </c>
      <c r="AF119" s="248">
        <f>IF(Year4_Windsor_and_Maidenhead Year4_Juvenile_offenders_age_10_17="","",Year4_Windsor_and_Maidenhead Year4_Juvenile_offenders_age_10_17)</f>
        <v>26</v>
      </c>
      <c r="AG119" s="352">
        <f>IF(Year5_Windsor_and_Maidenhead Year5_Juvenile_offenders_age_10_17="","",Year5_Windsor_and_Maidenhead Year5_Juvenile_offenders_age_10_17)</f>
        <v>31</v>
      </c>
      <c r="AH119" s="595" t="str">
        <f>ReportData!$K$21</f>
        <v>Windsor &amp; Maidenhead</v>
      </c>
      <c r="AI119" s="590">
        <f t="shared" si="28"/>
        <v>40</v>
      </c>
      <c r="AJ119" s="590">
        <f t="shared" si="29"/>
        <v>44</v>
      </c>
      <c r="AK119" s="590">
        <f t="shared" si="30"/>
        <v>32</v>
      </c>
      <c r="AL119" s="590">
        <f t="shared" si="31"/>
        <v>26</v>
      </c>
      <c r="AM119" s="590">
        <f t="shared" si="32"/>
        <v>31</v>
      </c>
      <c r="AN119" s="252" t="str">
        <f t="shared" si="27"/>
        <v>Windsor &amp; Maidenhead</v>
      </c>
      <c r="AO119" s="307">
        <f>IF(Year1_Windsor_and_Maidenhead Year1_Juvenile_Reoffenders_age_10_17="","",Year1_Windsor_and_Maidenhead Year1_Juvenile_Reoffenders_age_10_17)</f>
        <v>11</v>
      </c>
      <c r="AP119" s="248">
        <f>IF(Year2_Windsor_and_Maidenhead Year2_Juvenile_Reoffenders_age_10_17="","",Year2_Windsor_and_Maidenhead Year2_Juvenile_Reoffenders_age_10_17)</f>
        <v>13</v>
      </c>
      <c r="AQ119" s="248">
        <f>IF(Year3_Windsor_and_Maidenhead Year3_Juvenile_Reoffenders_age_10_17="","",Year3_Windsor_and_Maidenhead Year3_Juvenile_Reoffenders_age_10_17)</f>
        <v>9</v>
      </c>
      <c r="AR119" s="248">
        <f>IF(Year4_Windsor_and_Maidenhead Year4_Juvenile_Reoffenders_age_10_17="","",Year4_Windsor_and_Maidenhead Year4_Juvenile_Reoffenders_age_10_17)</f>
        <v>3</v>
      </c>
      <c r="AS119" s="248">
        <f>IF(Year5_Windsor_and_Maidenhead Year5_Juvenile_Reoffenders_age_10_17="","",Year5_Windsor_and_Maidenhead Year5_Juvenile_Reoffenders_age_10_17)</f>
        <v>1</v>
      </c>
    </row>
    <row r="120" spans="1:45" ht="11.25" customHeight="1">
      <c r="A120" s="106"/>
      <c r="B120" s="420"/>
      <c r="C120" s="420"/>
      <c r="D120" s="420"/>
      <c r="E120" s="420"/>
      <c r="F120" s="420"/>
      <c r="G120" s="420"/>
      <c r="H120" s="554"/>
      <c r="I120" s="40"/>
      <c r="J120" s="40"/>
      <c r="K120" s="40"/>
      <c r="L120" s="40"/>
      <c r="M120" s="40"/>
      <c r="N120" s="40"/>
      <c r="O120" s="40"/>
      <c r="P120" s="40"/>
      <c r="Q120" s="40"/>
      <c r="R120" s="40"/>
      <c r="S120" s="40"/>
      <c r="T120" s="40"/>
      <c r="U120" s="40"/>
      <c r="V120" s="119"/>
      <c r="W120" s="114"/>
      <c r="AA120" s="122"/>
      <c r="AB120" s="623" t="str">
        <f>ReportData!$K$22</f>
        <v>Wokingham</v>
      </c>
      <c r="AC120" s="591">
        <f>IF(Year1_Wokingham Year1_Juvenile_offenders_age_10_17="","",Year1_Wokingham Year1_Juvenile_offenders_age_10_17)</f>
        <v>42</v>
      </c>
      <c r="AD120" s="248">
        <f>IF(Year2_Wokingham Year2_Juvenile_offenders_age_10_17="","",Year2_Wokingham Year2_Juvenile_offenders_age_10_17)</f>
        <v>53</v>
      </c>
      <c r="AE120" s="248">
        <f>IF(Year3_Wokingham Year3_Juvenile_offenders_age_10_17="","",Year3_Wokingham Year3_Juvenile_offenders_age_10_17)</f>
        <v>44</v>
      </c>
      <c r="AF120" s="248">
        <f>IF(Year4_Wokingham Year4_Juvenile_offenders_age_10_17="","",Year4_Wokingham Year4_Juvenile_offenders_age_10_17)</f>
        <v>34</v>
      </c>
      <c r="AG120" s="352">
        <f>IF(Year5_Wokingham Year5_Juvenile_offenders_age_10_17="","",Year5_Wokingham Year5_Juvenile_offenders_age_10_17)</f>
        <v>40</v>
      </c>
      <c r="AH120" s="595" t="str">
        <f>ReportData!$K$22</f>
        <v>Wokingham</v>
      </c>
      <c r="AI120" s="590">
        <f t="shared" si="28"/>
        <v>42</v>
      </c>
      <c r="AJ120" s="590">
        <f t="shared" si="29"/>
        <v>53</v>
      </c>
      <c r="AK120" s="590">
        <f t="shared" si="30"/>
        <v>44</v>
      </c>
      <c r="AL120" s="590">
        <f t="shared" si="31"/>
        <v>34</v>
      </c>
      <c r="AM120" s="590">
        <f t="shared" si="32"/>
        <v>40</v>
      </c>
      <c r="AN120" s="252" t="str">
        <f t="shared" si="27"/>
        <v>Wokingham</v>
      </c>
      <c r="AO120" s="307">
        <f>IF(Year1_Wokingham Year1_Juvenile_Reoffenders_age_10_17="","",Year1_Wokingham Year1_Juvenile_Reoffenders_age_10_17)</f>
        <v>14</v>
      </c>
      <c r="AP120" s="248">
        <f>IF(Year2_Wokingham Year2_Juvenile_Reoffenders_age_10_17="","",Year2_Wokingham Year2_Juvenile_Reoffenders_age_10_17)</f>
        <v>16</v>
      </c>
      <c r="AQ120" s="248">
        <f>IF(Year3_Wokingham Year3_Juvenile_Reoffenders_age_10_17="","",Year3_Wokingham Year3_Juvenile_Reoffenders_age_10_17)</f>
        <v>15</v>
      </c>
      <c r="AR120" s="248">
        <f>IF(Year4_Wokingham Year4_Juvenile_Reoffenders_age_10_17="","",Year4_Wokingham Year4_Juvenile_Reoffenders_age_10_17)</f>
        <v>11</v>
      </c>
      <c r="AS120" s="248">
        <f>IF(Year5_Wokingham Year5_Juvenile_Reoffenders_age_10_17="","",Year5_Wokingham Year5_Juvenile_Reoffenders_age_10_17)</f>
        <v>13</v>
      </c>
    </row>
    <row r="121" spans="1:45" ht="11.25" customHeight="1">
      <c r="A121" s="106"/>
      <c r="B121" s="420"/>
      <c r="C121" s="420"/>
      <c r="D121" s="420"/>
      <c r="E121" s="420"/>
      <c r="F121" s="420"/>
      <c r="G121" s="420"/>
      <c r="H121" s="554"/>
      <c r="I121" s="40"/>
      <c r="J121" s="40"/>
      <c r="K121" s="40"/>
      <c r="L121" s="40"/>
      <c r="M121" s="40"/>
      <c r="N121" s="40"/>
      <c r="O121" s="40"/>
      <c r="P121" s="40"/>
      <c r="Q121" s="40"/>
      <c r="R121" s="40"/>
      <c r="S121" s="40"/>
      <c r="T121" s="40"/>
      <c r="U121" s="40"/>
      <c r="V121" s="119"/>
      <c r="W121" s="114"/>
      <c r="AA121" s="122"/>
      <c r="AB121" s="862" t="str">
        <f>ReportData!$K$23</f>
        <v>South East</v>
      </c>
      <c r="AC121" s="592">
        <f>IF(SUM(AC102:AC114,AC115:AC116,AC117:AC120)&gt;0,SUM(AC102:AC114,AC115:AC116,AC117:AC120),NA())</f>
        <v>3714</v>
      </c>
      <c r="AD121" s="589">
        <f>IF(SUM(AD102:AD114,AD115:AD116,AD117:AD120)&gt;0,SUM(AD102:AD114,AD115:AD116,AD117:AD120),NA())</f>
        <v>3200</v>
      </c>
      <c r="AE121" s="589">
        <f>IF(SUM(AE102:AE114,AE115:AE116,AE117:AE120)&gt;0,SUM(AE102:AE114,AE115:AE116,AE117:AE120),NA())</f>
        <v>2609</v>
      </c>
      <c r="AF121" s="589">
        <f>IF(SUM(AF102:AF114,AF115:AF116,AF117:AF120)&gt;0,SUM(AF102:AF114,AF115:AF116,AF117:AF120),NA())</f>
        <v>2617</v>
      </c>
      <c r="AG121" s="593">
        <f>IF(SUM(AG102:AG114,AG115:AG116,AG117:AG120)&gt;0,SUM(AG102:AG114,AG115:AG116,AG117:AG120),NA())</f>
        <v>2235</v>
      </c>
      <c r="AH121" s="596" t="str">
        <f>ReportData!$K$23</f>
        <v>South East</v>
      </c>
      <c r="AI121" s="598">
        <f>IF(SUM(AI102:AI114,AI115:AI116,AI117:AI120)&gt;0,SUM(AI102:AI114,AI115:AI116,AI117:AI120),NA())</f>
        <v>3714</v>
      </c>
      <c r="AJ121" s="598">
        <f>IF(SUM(AJ102:AJ114,AJ115:AJ116,AJ117:AJ120)&gt;0,SUM(AJ102:AJ114,AJ115:AJ116,AJ117:AJ120),NA())</f>
        <v>3200</v>
      </c>
      <c r="AK121" s="598">
        <f>IF(SUM(AK102:AK114,AK115:AK116,AK117:AK120)&gt;0,SUM(AK102:AK114,AK115:AK116,AK117:AK120),NA())</f>
        <v>2609</v>
      </c>
      <c r="AL121" s="598">
        <f>IF(SUM(AL102:AL114,AL115:AL116,AL117:AL120)&gt;0,SUM(AL102:AL114,AL115:AL116,AL117:AL120),NA())</f>
        <v>2617</v>
      </c>
      <c r="AM121" s="598">
        <f>IF(SUM(AM102:AM114,AM115:AM116,AM117:AM120)&gt;0,SUM(AM102:AM114,AM115:AM116,AM117:AM120),NA())</f>
        <v>2235</v>
      </c>
      <c r="AN121" s="252" t="str">
        <f t="shared" si="27"/>
        <v>South East</v>
      </c>
      <c r="AO121" s="307">
        <f>IF(Year1_South_East Year1_Juvenile_Reoffenders_age_10_17="","",Year1_South_East Year1_Juvenile_Reoffenders_age_10_17)</f>
        <v>1373</v>
      </c>
      <c r="AP121" s="307">
        <f>IF(Year2_South_East Year2_Juvenile_Reoffenders_age_10_17="","",Year2_South_East Year2_Juvenile_Reoffenders_age_10_17)</f>
        <v>1178</v>
      </c>
      <c r="AQ121" s="307">
        <f>IF(Year3_South_East Year3_Juvenile_Reoffenders_age_10_17="","",Year3_South_East Year3_Juvenile_Reoffenders_age_10_17)</f>
        <v>1000</v>
      </c>
      <c r="AR121" s="307">
        <f>IF(Year4_South_East Year4_Juvenile_Reoffenders_age_10_17="","",Year4_South_East Year4_Juvenile_Reoffenders_age_10_17)</f>
        <v>854</v>
      </c>
      <c r="AS121" s="307">
        <f>IF(Year5_South_East Year5_Juvenile_Reoffenders_age_10_17="","",Year5_South_East Year5_Juvenile_Reoffenders_age_10_17)</f>
        <v>638</v>
      </c>
    </row>
    <row r="122" spans="1:45" ht="11.25" customHeight="1">
      <c r="A122" s="106"/>
      <c r="B122" s="420"/>
      <c r="C122" s="420"/>
      <c r="D122" s="420"/>
      <c r="E122" s="420"/>
      <c r="F122" s="420"/>
      <c r="G122" s="420"/>
      <c r="H122" s="554"/>
      <c r="I122" s="40"/>
      <c r="J122" s="40"/>
      <c r="K122" s="40"/>
      <c r="L122" s="40"/>
      <c r="M122" s="40"/>
      <c r="N122" s="40"/>
      <c r="O122" s="40"/>
      <c r="P122" s="40"/>
      <c r="Q122" s="40"/>
      <c r="R122" s="40"/>
      <c r="S122" s="40"/>
      <c r="T122" s="40"/>
      <c r="U122" s="40"/>
      <c r="V122" s="119"/>
      <c r="W122" s="114"/>
      <c r="AA122" s="122"/>
      <c r="AB122" s="863" t="str">
        <f>ReportData!$K$24</f>
        <v>England</v>
      </c>
      <c r="AC122" s="594">
        <f>IF(Year1_England Year1_Juvenile_offenders_age_10_17="","",Year1_England Year1_Juvenile_offenders_age_10_17)</f>
        <v>33426</v>
      </c>
      <c r="AD122" s="248">
        <f>IF(Year2_England Year2_Juvenile_offenders_age_10_17="","",Year2_England Year2_Juvenile_offenders_age_10_17)</f>
        <v>28393</v>
      </c>
      <c r="AE122" s="248">
        <f>IF(Year3_England Year3_Juvenile_offenders_age_10_17="","",Year3_England Year3_Juvenile_offenders_age_10_17)</f>
        <v>23531</v>
      </c>
      <c r="AF122" s="248">
        <f>IF(Year4_England Year4_Juvenile_offenders_age_10_17="","",Year4_England Year4_Juvenile_offenders_age_10_17)</f>
        <v>20695</v>
      </c>
      <c r="AG122" s="438">
        <f>IF(Year5_England Year5_Juvenile_offenders_age_10_17="","",Year5_England Year5_Juvenile_offenders_age_10_17)</f>
        <v>15958</v>
      </c>
      <c r="AH122" s="597" t="str">
        <f>ReportData!$K$24</f>
        <v>England</v>
      </c>
      <c r="AI122" s="590">
        <f t="shared" si="28"/>
        <v>33426</v>
      </c>
      <c r="AJ122" s="590">
        <f>IF(ISNUMBER(AP122),AD122,0)</f>
        <v>28393</v>
      </c>
      <c r="AK122" s="590">
        <f>IF(ISNUMBER(AQ122),AE122,0)</f>
        <v>23531</v>
      </c>
      <c r="AL122" s="590">
        <f>IF(ISNUMBER(AR122),AF122,0)</f>
        <v>20695</v>
      </c>
      <c r="AM122" s="590">
        <f>IF(ISNUMBER(AS122),AG122,0)</f>
        <v>15958</v>
      </c>
      <c r="AN122" s="252" t="str">
        <f t="shared" si="27"/>
        <v>England</v>
      </c>
      <c r="AO122" s="307">
        <f>IF(Year1_England Year1_Juvenile_Reoffenders_age_10_17="","",Year1_England Year1_Juvenile_Reoffenders_age_10_17)</f>
        <v>13686</v>
      </c>
      <c r="AP122" s="307">
        <f>IF(Year2_England Year2_Juvenile_Reoffenders_age_10_17="","",Year2_England Year2_Juvenile_Reoffenders_age_10_17)</f>
        <v>10906</v>
      </c>
      <c r="AQ122" s="307">
        <f>IF(Year3_England Year3_Juvenile_Reoffenders_age_10_17="","",Year3_England Year3_Juvenile_Reoffenders_age_10_17)</f>
        <v>8889</v>
      </c>
      <c r="AR122" s="248">
        <f>IF(Year4_England Year4_Juvenile_Reoffenders_age_10_17="","",Year4_England Year4_Juvenile_Reoffenders_age_10_17)</f>
        <v>7079</v>
      </c>
      <c r="AS122" s="248">
        <f>IF(Year5_England Year5_Juvenile_Reoffenders_age_10_17="","",Year5_England Year5_Juvenile_Reoffenders_age_10_17)</f>
        <v>4981</v>
      </c>
    </row>
    <row r="123" spans="1:45" ht="11.25" customHeight="1">
      <c r="A123" s="106"/>
      <c r="B123" s="420"/>
      <c r="C123" s="420"/>
      <c r="D123" s="420"/>
      <c r="E123" s="420"/>
      <c r="F123" s="420"/>
      <c r="G123" s="420"/>
      <c r="H123" s="554"/>
      <c r="I123" s="40"/>
      <c r="J123" s="40"/>
      <c r="K123" s="40"/>
      <c r="L123" s="40"/>
      <c r="M123" s="40"/>
      <c r="N123" s="40"/>
      <c r="O123" s="40"/>
      <c r="P123" s="40"/>
      <c r="Q123" s="40"/>
      <c r="R123" s="40"/>
      <c r="S123" s="40"/>
      <c r="T123" s="40"/>
      <c r="U123" s="40"/>
      <c r="V123" s="119"/>
      <c r="W123" s="114"/>
      <c r="AA123" s="122"/>
      <c r="AM123" s="57"/>
      <c r="AP123" s="52"/>
    </row>
    <row r="124" spans="1:45" ht="11.25" customHeight="1">
      <c r="A124" s="106"/>
      <c r="B124" s="420"/>
      <c r="C124" s="420"/>
      <c r="D124" s="420"/>
      <c r="E124" s="420"/>
      <c r="F124" s="420"/>
      <c r="G124" s="420"/>
      <c r="H124" s="554"/>
      <c r="I124" s="40"/>
      <c r="J124" s="40"/>
      <c r="K124" s="40"/>
      <c r="L124" s="40"/>
      <c r="M124" s="40"/>
      <c r="N124" s="40"/>
      <c r="O124" s="40"/>
      <c r="P124" s="40"/>
      <c r="Q124" s="40"/>
      <c r="R124" s="40"/>
      <c r="S124" s="40"/>
      <c r="T124" s="40"/>
      <c r="U124" s="40"/>
      <c r="V124" s="119"/>
      <c r="W124" s="114"/>
      <c r="AA124" s="122"/>
      <c r="AM124" s="57"/>
      <c r="AP124" s="52"/>
    </row>
    <row r="125" spans="1:45" ht="11.25" customHeight="1">
      <c r="A125" s="106"/>
      <c r="B125" s="420"/>
      <c r="C125" s="420"/>
      <c r="D125" s="420"/>
      <c r="E125" s="420"/>
      <c r="F125" s="420"/>
      <c r="G125" s="420"/>
      <c r="H125" s="554"/>
      <c r="I125" s="40"/>
      <c r="J125" s="40"/>
      <c r="K125" s="40"/>
      <c r="L125" s="40"/>
      <c r="M125" s="40"/>
      <c r="N125" s="40"/>
      <c r="O125" s="40"/>
      <c r="P125" s="40"/>
      <c r="Q125" s="40"/>
      <c r="R125" s="40"/>
      <c r="S125" s="40"/>
      <c r="T125" s="40"/>
      <c r="U125" s="40"/>
      <c r="V125" s="119"/>
      <c r="W125" s="114"/>
      <c r="AA125" s="122"/>
      <c r="AM125" s="57"/>
      <c r="AP125" s="52"/>
    </row>
    <row r="126" spans="1:45" ht="11.25" customHeight="1">
      <c r="A126" s="106"/>
      <c r="B126" s="420"/>
      <c r="C126" s="420"/>
      <c r="D126" s="420"/>
      <c r="E126" s="420"/>
      <c r="F126" s="420"/>
      <c r="G126" s="420"/>
      <c r="H126" s="554"/>
      <c r="I126" s="40"/>
      <c r="J126" s="40"/>
      <c r="K126" s="40"/>
      <c r="L126" s="40"/>
      <c r="M126" s="40"/>
      <c r="N126" s="40"/>
      <c r="O126" s="40"/>
      <c r="P126" s="40"/>
      <c r="Q126" s="40"/>
      <c r="R126" s="40"/>
      <c r="S126" s="40"/>
      <c r="T126" s="40"/>
      <c r="U126" s="40"/>
      <c r="V126" s="119"/>
      <c r="W126" s="114"/>
      <c r="AA126" s="122"/>
      <c r="AM126" s="57"/>
      <c r="AP126" s="52"/>
    </row>
    <row r="127" spans="1:45" ht="11.25" customHeight="1">
      <c r="A127" s="106"/>
      <c r="B127" s="420"/>
      <c r="C127" s="420"/>
      <c r="D127" s="420"/>
      <c r="E127" s="420"/>
      <c r="F127" s="420"/>
      <c r="G127" s="420"/>
      <c r="H127" s="554"/>
      <c r="I127" s="40"/>
      <c r="J127" s="40"/>
      <c r="K127" s="40"/>
      <c r="L127" s="40"/>
      <c r="M127" s="40"/>
      <c r="N127" s="40"/>
      <c r="O127" s="40"/>
      <c r="P127" s="40"/>
      <c r="Q127" s="40"/>
      <c r="R127" s="40"/>
      <c r="S127" s="40"/>
      <c r="T127" s="40"/>
      <c r="U127" s="40"/>
      <c r="V127" s="119"/>
      <c r="W127" s="114"/>
      <c r="AA127" s="122"/>
      <c r="AM127" s="57"/>
      <c r="AP127" s="52"/>
    </row>
    <row r="128" spans="1:45" ht="11.25" customHeight="1">
      <c r="A128" s="106"/>
      <c r="B128" s="420"/>
      <c r="C128" s="420"/>
      <c r="D128" s="420"/>
      <c r="E128" s="420"/>
      <c r="F128" s="420"/>
      <c r="G128" s="420"/>
      <c r="H128" s="554"/>
      <c r="I128" s="40"/>
      <c r="J128" s="40"/>
      <c r="K128" s="40"/>
      <c r="L128" s="40"/>
      <c r="M128" s="40"/>
      <c r="N128" s="40"/>
      <c r="O128" s="40"/>
      <c r="P128" s="40"/>
      <c r="Q128" s="40"/>
      <c r="R128" s="40"/>
      <c r="S128" s="40"/>
      <c r="T128" s="40"/>
      <c r="U128" s="40"/>
      <c r="V128" s="119"/>
      <c r="W128" s="114"/>
      <c r="AA128" s="122"/>
      <c r="AM128" s="57"/>
      <c r="AP128" s="52"/>
    </row>
    <row r="129" spans="1:58" ht="11.25" customHeight="1">
      <c r="A129" s="106"/>
      <c r="B129" s="420"/>
      <c r="C129" s="420"/>
      <c r="D129" s="420"/>
      <c r="E129" s="420"/>
      <c r="F129" s="420"/>
      <c r="G129" s="420"/>
      <c r="H129" s="554"/>
      <c r="I129" s="40"/>
      <c r="J129" s="40"/>
      <c r="K129" s="40"/>
      <c r="L129" s="40"/>
      <c r="M129" s="40"/>
      <c r="N129" s="40"/>
      <c r="O129" s="40"/>
      <c r="P129" s="40"/>
      <c r="Q129" s="40"/>
      <c r="R129" s="40"/>
      <c r="S129" s="40"/>
      <c r="T129" s="40"/>
      <c r="U129" s="40"/>
      <c r="V129" s="119"/>
      <c r="W129" s="114"/>
      <c r="AA129" s="122"/>
      <c r="AM129" s="57"/>
      <c r="AP129" s="52"/>
    </row>
    <row r="130" spans="1:58" ht="11.25" customHeight="1">
      <c r="A130" s="106"/>
      <c r="B130" s="420"/>
      <c r="C130" s="420"/>
      <c r="D130" s="420"/>
      <c r="E130" s="420"/>
      <c r="F130" s="420"/>
      <c r="G130" s="420"/>
      <c r="H130" s="554"/>
      <c r="I130" s="40"/>
      <c r="J130" s="40"/>
      <c r="K130" s="40"/>
      <c r="L130" s="40"/>
      <c r="M130" s="40"/>
      <c r="N130" s="40"/>
      <c r="O130" s="40"/>
      <c r="P130" s="40"/>
      <c r="Q130" s="40"/>
      <c r="R130" s="40"/>
      <c r="S130" s="40"/>
      <c r="T130" s="40"/>
      <c r="U130" s="40"/>
      <c r="V130" s="119"/>
      <c r="W130" s="114"/>
      <c r="AA130" s="122"/>
      <c r="AM130" s="57"/>
      <c r="AP130" s="52"/>
    </row>
    <row r="131" spans="1:58" ht="11.25" customHeight="1">
      <c r="A131" s="106"/>
      <c r="B131" s="420"/>
      <c r="C131" s="420"/>
      <c r="D131" s="420"/>
      <c r="E131" s="420"/>
      <c r="F131" s="420"/>
      <c r="G131" s="420"/>
      <c r="H131" s="554"/>
      <c r="I131" s="40"/>
      <c r="J131" s="40"/>
      <c r="K131" s="40"/>
      <c r="L131" s="40"/>
      <c r="M131" s="40"/>
      <c r="N131" s="40"/>
      <c r="O131" s="40"/>
      <c r="P131" s="40"/>
      <c r="Q131" s="40"/>
      <c r="R131" s="40"/>
      <c r="S131" s="40"/>
      <c r="T131" s="40"/>
      <c r="U131" s="40"/>
      <c r="V131" s="119"/>
      <c r="W131" s="114"/>
      <c r="AA131" s="122"/>
      <c r="AM131" s="57"/>
      <c r="AP131" s="52"/>
    </row>
    <row r="132" spans="1:58" ht="11.25" customHeight="1">
      <c r="A132" s="106"/>
      <c r="B132" s="420"/>
      <c r="C132" s="420"/>
      <c r="D132" s="420"/>
      <c r="E132" s="420"/>
      <c r="F132" s="420"/>
      <c r="G132" s="420"/>
      <c r="H132" s="554"/>
      <c r="I132" s="40"/>
      <c r="J132" s="40"/>
      <c r="K132" s="40"/>
      <c r="L132" s="40"/>
      <c r="M132" s="40"/>
      <c r="N132" s="40"/>
      <c r="O132" s="40"/>
      <c r="P132" s="40"/>
      <c r="Q132" s="40"/>
      <c r="R132" s="40"/>
      <c r="S132" s="40"/>
      <c r="T132" s="40"/>
      <c r="U132" s="40"/>
      <c r="V132" s="119"/>
      <c r="W132" s="114"/>
      <c r="AA132" s="122"/>
      <c r="AM132" s="57"/>
      <c r="AP132" s="52"/>
    </row>
    <row r="133" spans="1:58" ht="11.25" customHeight="1">
      <c r="A133" s="106"/>
      <c r="B133" s="420"/>
      <c r="C133" s="420"/>
      <c r="D133" s="420"/>
      <c r="E133" s="420"/>
      <c r="F133" s="420"/>
      <c r="G133" s="420"/>
      <c r="H133" s="554"/>
      <c r="I133" s="40"/>
      <c r="J133" s="40"/>
      <c r="K133" s="40"/>
      <c r="L133" s="40"/>
      <c r="M133" s="40"/>
      <c r="N133" s="40"/>
      <c r="O133" s="40"/>
      <c r="P133" s="40"/>
      <c r="Q133" s="40"/>
      <c r="R133" s="40"/>
      <c r="S133" s="40"/>
      <c r="T133" s="40"/>
      <c r="U133" s="40"/>
      <c r="V133" s="119"/>
      <c r="W133" s="114"/>
      <c r="AA133" s="122"/>
      <c r="AM133" s="57"/>
      <c r="AP133" s="52"/>
    </row>
    <row r="134" spans="1:58" ht="11.25" customHeight="1">
      <c r="A134" s="106"/>
      <c r="B134" s="420"/>
      <c r="C134" s="420"/>
      <c r="D134" s="420"/>
      <c r="E134" s="420"/>
      <c r="F134" s="420"/>
      <c r="G134" s="420"/>
      <c r="H134" s="554"/>
      <c r="I134" s="40"/>
      <c r="J134" s="40"/>
      <c r="K134" s="40"/>
      <c r="L134" s="40"/>
      <c r="M134" s="40"/>
      <c r="N134" s="40"/>
      <c r="O134" s="40"/>
      <c r="P134" s="40"/>
      <c r="Q134" s="40"/>
      <c r="R134" s="40"/>
      <c r="S134" s="40"/>
      <c r="T134" s="40"/>
      <c r="U134" s="40"/>
      <c r="V134" s="119"/>
      <c r="W134" s="114"/>
      <c r="AA134" s="122"/>
      <c r="AM134" s="57"/>
      <c r="AP134" s="52"/>
    </row>
    <row r="135" spans="1:58" ht="11.25" customHeight="1">
      <c r="A135" s="106"/>
      <c r="B135" s="420"/>
      <c r="C135" s="420"/>
      <c r="D135" s="420"/>
      <c r="E135" s="420"/>
      <c r="F135" s="420"/>
      <c r="G135" s="420"/>
      <c r="H135" s="554"/>
      <c r="I135" s="40"/>
      <c r="J135" s="40"/>
      <c r="K135" s="40"/>
      <c r="L135" s="40"/>
      <c r="M135" s="40"/>
      <c r="N135" s="40"/>
      <c r="O135" s="40"/>
      <c r="P135" s="40"/>
      <c r="Q135" s="40"/>
      <c r="R135" s="40"/>
      <c r="S135" s="40"/>
      <c r="T135" s="40"/>
      <c r="U135" s="40"/>
      <c r="V135" s="119"/>
      <c r="W135" s="114"/>
      <c r="AA135" s="122"/>
      <c r="AM135" s="57"/>
      <c r="AP135" s="52"/>
    </row>
    <row r="136" spans="1:58" ht="11.25" customHeight="1">
      <c r="A136" s="106"/>
      <c r="B136" s="420"/>
      <c r="C136" s="420"/>
      <c r="D136" s="420"/>
      <c r="E136" s="420"/>
      <c r="F136" s="420"/>
      <c r="G136" s="420"/>
      <c r="H136" s="554"/>
      <c r="I136" s="40"/>
      <c r="J136" s="40"/>
      <c r="K136" s="40"/>
      <c r="L136" s="40"/>
      <c r="M136" s="40"/>
      <c r="N136" s="40"/>
      <c r="O136" s="40"/>
      <c r="P136" s="40"/>
      <c r="Q136" s="40"/>
      <c r="R136" s="40"/>
      <c r="S136" s="40"/>
      <c r="T136" s="40"/>
      <c r="U136" s="40"/>
      <c r="V136" s="119"/>
      <c r="W136" s="114"/>
      <c r="AA136" s="122"/>
      <c r="AM136" s="57"/>
      <c r="AP136" s="52"/>
    </row>
    <row r="137" spans="1:58" ht="11.25" customHeight="1">
      <c r="A137" s="106"/>
      <c r="B137" s="420"/>
      <c r="C137" s="420"/>
      <c r="D137" s="420"/>
      <c r="E137" s="420"/>
      <c r="F137" s="420"/>
      <c r="G137" s="420"/>
      <c r="H137" s="554"/>
      <c r="I137" s="40"/>
      <c r="J137" s="40"/>
      <c r="K137" s="40"/>
      <c r="L137" s="40"/>
      <c r="M137" s="40"/>
      <c r="N137" s="40"/>
      <c r="O137" s="40"/>
      <c r="P137" s="40"/>
      <c r="Q137" s="40"/>
      <c r="R137" s="40"/>
      <c r="S137" s="40"/>
      <c r="T137" s="40"/>
      <c r="U137" s="40"/>
      <c r="V137" s="119"/>
      <c r="W137" s="114"/>
      <c r="AA137" s="122"/>
      <c r="AM137" s="57"/>
      <c r="AP137" s="52"/>
    </row>
    <row r="138" spans="1:58" s="55" customFormat="1" ht="11.25" customHeight="1">
      <c r="A138" s="106"/>
      <c r="B138" s="420"/>
      <c r="C138" s="420"/>
      <c r="D138" s="420"/>
      <c r="E138" s="420"/>
      <c r="F138" s="420"/>
      <c r="G138" s="420"/>
      <c r="H138" s="554"/>
      <c r="I138" s="40"/>
      <c r="J138" s="40"/>
      <c r="K138" s="40"/>
      <c r="L138" s="40"/>
      <c r="M138" s="40"/>
      <c r="N138" s="40"/>
      <c r="O138" s="40"/>
      <c r="P138" s="40"/>
      <c r="Q138" s="40"/>
      <c r="R138" s="40"/>
      <c r="S138" s="40"/>
      <c r="T138" s="40"/>
      <c r="U138" s="40"/>
      <c r="V138" s="119"/>
      <c r="W138" s="114"/>
      <c r="Z138" s="56"/>
      <c r="AA138" s="122"/>
      <c r="AB138" s="56"/>
      <c r="AC138" s="56"/>
      <c r="AD138" s="56"/>
      <c r="AE138" s="56"/>
      <c r="AF138" s="56"/>
      <c r="AG138" s="56"/>
      <c r="AH138" s="56"/>
      <c r="AI138" s="56"/>
      <c r="AJ138" s="56"/>
      <c r="AK138" s="56"/>
      <c r="AL138" s="56"/>
      <c r="AM138" s="57"/>
      <c r="AN138" s="56"/>
      <c r="AO138" s="56"/>
      <c r="AP138" s="52"/>
      <c r="AQ138" s="52"/>
      <c r="AR138" s="52"/>
      <c r="AS138" s="52"/>
      <c r="AT138" s="52"/>
      <c r="AU138" s="52"/>
      <c r="AV138" s="52"/>
      <c r="AW138" s="52"/>
      <c r="AX138" s="52"/>
      <c r="AY138" s="52"/>
      <c r="AZ138" s="52"/>
      <c r="BA138" s="52"/>
      <c r="BB138" s="52"/>
      <c r="BC138" s="52"/>
      <c r="BD138" s="52"/>
      <c r="BE138" s="52"/>
      <c r="BF138" s="52"/>
    </row>
    <row r="139" spans="1:58" ht="11.25" customHeight="1">
      <c r="A139" s="711"/>
      <c r="B139" s="712"/>
      <c r="C139" s="713"/>
      <c r="D139" s="713"/>
      <c r="E139" s="713"/>
      <c r="F139" s="152"/>
      <c r="G139" s="152"/>
      <c r="H139" s="714"/>
      <c r="I139" s="152"/>
      <c r="J139" s="152"/>
      <c r="K139" s="152"/>
      <c r="L139" s="152"/>
      <c r="M139" s="152"/>
      <c r="N139" s="152"/>
      <c r="O139" s="152"/>
      <c r="P139" s="152"/>
      <c r="Q139" s="152"/>
      <c r="R139" s="152"/>
      <c r="S139" s="859"/>
      <c r="T139" s="151"/>
      <c r="U139" s="151"/>
      <c r="V139" s="865"/>
      <c r="W139" s="114"/>
      <c r="AA139" s="122"/>
      <c r="AM139" s="57"/>
      <c r="AP139" s="52"/>
    </row>
    <row r="140" spans="1:58" ht="11.25" customHeight="1">
      <c r="J140" s="52"/>
      <c r="V140" s="52"/>
      <c r="W140" s="869"/>
      <c r="X140" s="869"/>
      <c r="Y140" s="869"/>
      <c r="Z140" s="135"/>
      <c r="AA140" s="135"/>
      <c r="AM140" s="57"/>
      <c r="AP140" s="52"/>
    </row>
    <row r="141" spans="1:58" ht="11.25" customHeight="1">
      <c r="J141" s="52"/>
      <c r="V141" s="52"/>
      <c r="AM141" s="57"/>
      <c r="AP141" s="52"/>
    </row>
    <row r="142" spans="1:58" ht="11.25" customHeight="1">
      <c r="J142" s="52"/>
      <c r="V142" s="52"/>
      <c r="AM142" s="57"/>
      <c r="AP142" s="52"/>
    </row>
    <row r="143" spans="1:58" ht="11.25" customHeight="1">
      <c r="J143" s="52"/>
      <c r="V143" s="52"/>
      <c r="AM143" s="57"/>
      <c r="AP143" s="52"/>
    </row>
    <row r="144" spans="1:58" ht="11.25" customHeight="1">
      <c r="J144" s="52"/>
      <c r="V144" s="52"/>
      <c r="AM144" s="57"/>
      <c r="AP144" s="52"/>
    </row>
    <row r="145" spans="10:42" ht="11.25" customHeight="1">
      <c r="J145" s="52"/>
      <c r="V145" s="52"/>
      <c r="AM145" s="57"/>
      <c r="AP145" s="52"/>
    </row>
    <row r="146" spans="10:42" ht="11.25" customHeight="1">
      <c r="J146" s="52"/>
      <c r="V146" s="52"/>
      <c r="AM146" s="57"/>
      <c r="AP146" s="52"/>
    </row>
    <row r="147" spans="10:42" ht="11.25" customHeight="1">
      <c r="J147" s="52"/>
      <c r="V147" s="52"/>
      <c r="AM147" s="57"/>
      <c r="AP147" s="52"/>
    </row>
    <row r="148" spans="10:42" ht="11.25" customHeight="1">
      <c r="J148" s="52"/>
      <c r="V148" s="52"/>
      <c r="AM148" s="57"/>
      <c r="AP148" s="52"/>
    </row>
    <row r="149" spans="10:42" ht="11.25" customHeight="1">
      <c r="J149" s="52"/>
      <c r="V149" s="52"/>
      <c r="AM149" s="57"/>
      <c r="AP149" s="52"/>
    </row>
    <row r="150" spans="10:42" ht="11.25" customHeight="1">
      <c r="J150" s="52"/>
      <c r="V150" s="52"/>
      <c r="AM150" s="57"/>
      <c r="AP150" s="52"/>
    </row>
    <row r="151" spans="10:42" ht="11.25" customHeight="1">
      <c r="J151" s="52"/>
      <c r="V151" s="52"/>
      <c r="AM151" s="57"/>
      <c r="AP151" s="52"/>
    </row>
    <row r="152" spans="10:42" ht="11.25" customHeight="1">
      <c r="AM152" s="57"/>
      <c r="AP152" s="52"/>
    </row>
    <row r="153" spans="10:42" ht="11.25" customHeight="1">
      <c r="AM153" s="57"/>
      <c r="AP153" s="52"/>
    </row>
    <row r="154" spans="10:42" ht="11.25" customHeight="1">
      <c r="AM154" s="57"/>
      <c r="AP154" s="52"/>
    </row>
    <row r="155" spans="10:42" ht="11.25" customHeight="1">
      <c r="AM155" s="57"/>
      <c r="AP155" s="52"/>
    </row>
    <row r="260" spans="45:45" ht="11.25" customHeight="1">
      <c r="AS260" s="52" t="b">
        <v>1</v>
      </c>
    </row>
  </sheetData>
  <mergeCells count="38">
    <mergeCell ref="A67:U67"/>
    <mergeCell ref="A68:U68"/>
    <mergeCell ref="I97:T98"/>
    <mergeCell ref="D72:H72"/>
    <mergeCell ref="L61:O61"/>
    <mergeCell ref="L62:O62"/>
    <mergeCell ref="Q62:T62"/>
    <mergeCell ref="Q61:T61"/>
    <mergeCell ref="B70:H71"/>
    <mergeCell ref="AD7:AE7"/>
    <mergeCell ref="AD8:AD10"/>
    <mergeCell ref="AE8:AE10"/>
    <mergeCell ref="A34:U34"/>
    <mergeCell ref="A35:U35"/>
    <mergeCell ref="G8:G9"/>
    <mergeCell ref="F8:F9"/>
    <mergeCell ref="E8:E9"/>
    <mergeCell ref="D8:D9"/>
    <mergeCell ref="K8:K9"/>
    <mergeCell ref="L8:L9"/>
    <mergeCell ref="B7:B10"/>
    <mergeCell ref="D7:H7"/>
    <mergeCell ref="O8:P9"/>
    <mergeCell ref="O10:P10"/>
    <mergeCell ref="S7:T9"/>
    <mergeCell ref="AI71:AM71"/>
    <mergeCell ref="AC71:AG71"/>
    <mergeCell ref="B72:B73"/>
    <mergeCell ref="A100:U100"/>
    <mergeCell ref="A101:U101"/>
    <mergeCell ref="B1:E3"/>
    <mergeCell ref="H8:H9"/>
    <mergeCell ref="B5:T6"/>
    <mergeCell ref="I7:I10"/>
    <mergeCell ref="Q7:Q10"/>
    <mergeCell ref="K7:P7"/>
    <mergeCell ref="M8:M9"/>
    <mergeCell ref="N8:N9"/>
  </mergeCells>
  <conditionalFormatting sqref="A1:A101">
    <cfRule type="containsErrors" dxfId="27" priority="29">
      <formula>ISERROR(A1)</formula>
    </cfRule>
  </conditionalFormatting>
  <conditionalFormatting sqref="A11:A31 A74:A92">
    <cfRule type="cellIs" dxfId="26" priority="44" operator="equal">
      <formula>0</formula>
    </cfRule>
  </conditionalFormatting>
  <conditionalFormatting sqref="A35">
    <cfRule type="cellIs" dxfId="25" priority="32" operator="equal">
      <formula>0</formula>
    </cfRule>
  </conditionalFormatting>
  <conditionalFormatting sqref="A68">
    <cfRule type="cellIs" dxfId="24" priority="30" operator="equal">
      <formula>0</formula>
    </cfRule>
  </conditionalFormatting>
  <conditionalFormatting sqref="A101">
    <cfRule type="cellIs" dxfId="23" priority="28" operator="equal">
      <formula>0</formula>
    </cfRule>
  </conditionalFormatting>
  <conditionalFormatting sqref="A152:A1048576">
    <cfRule type="containsErrors" dxfId="22" priority="41">
      <formula>ISERROR(A152)</formula>
    </cfRule>
  </conditionalFormatting>
  <conditionalFormatting sqref="B11:B29 D11:I29 K11:O29 Q11:Q29 S11:T29 P11:P31 B48:C63">
    <cfRule type="expression" dxfId="21" priority="3120">
      <formula>$B11=$AD$4</formula>
    </cfRule>
  </conditionalFormatting>
  <conditionalFormatting sqref="B74:B92 D74:H92">
    <cfRule type="expression" dxfId="20" priority="3116">
      <formula>$B74=$AD$4</formula>
    </cfRule>
    <cfRule type="containsErrors" dxfId="19" priority="3117">
      <formula>ISERROR(B74)</formula>
    </cfRule>
  </conditionalFormatting>
  <conditionalFormatting sqref="D72">
    <cfRule type="containsErrors" dxfId="18" priority="10">
      <formula>ISERROR(D72)</formula>
    </cfRule>
  </conditionalFormatting>
  <conditionalFormatting sqref="D8:H8">
    <cfRule type="containsErrors" dxfId="17" priority="23">
      <formula>ISERROR(D8)</formula>
    </cfRule>
  </conditionalFormatting>
  <conditionalFormatting sqref="D10:H10">
    <cfRule type="containsErrors" dxfId="16" priority="3">
      <formula>ISERROR(D10)</formula>
    </cfRule>
  </conditionalFormatting>
  <conditionalFormatting sqref="D73:H73">
    <cfRule type="containsErrors" dxfId="15" priority="11">
      <formula>ISERROR(D73)</formula>
    </cfRule>
  </conditionalFormatting>
  <conditionalFormatting sqref="D93:H93">
    <cfRule type="containsErrors" dxfId="14" priority="5">
      <formula>ISERROR(D93)</formula>
    </cfRule>
  </conditionalFormatting>
  <conditionalFormatting sqref="D11:I29 Q11:Q29 AL11:AM27 B11:B29 K11:O29 S11:T29 B48:C63 AB102:AB120 AH102:AH120">
    <cfRule type="containsErrors" dxfId="13" priority="51">
      <formula>ISERROR(B11)</formula>
    </cfRule>
  </conditionalFormatting>
  <conditionalFormatting sqref="D31:O31 Q31:T31 D94:H94">
    <cfRule type="containsErrors" dxfId="12" priority="37">
      <formula>ISERROR(D31)</formula>
    </cfRule>
  </conditionalFormatting>
  <conditionalFormatting sqref="I11:I29 Q11:Q29">
    <cfRule type="containsErrors" dxfId="11" priority="49">
      <formula>ISERROR(I11)</formula>
    </cfRule>
  </conditionalFormatting>
  <conditionalFormatting sqref="K8:O8">
    <cfRule type="containsErrors" dxfId="10" priority="2">
      <formula>ISERROR(K8)</formula>
    </cfRule>
  </conditionalFormatting>
  <conditionalFormatting sqref="K10:O10">
    <cfRule type="containsErrors" dxfId="9" priority="1">
      <formula>ISERROR(K10)</formula>
    </cfRule>
  </conditionalFormatting>
  <conditionalFormatting sqref="K30:O30">
    <cfRule type="containsErrors" dxfId="8" priority="4">
      <formula>ISERROR(K30)</formula>
    </cfRule>
  </conditionalFormatting>
  <conditionalFormatting sqref="P11:P31">
    <cfRule type="containsErrors" dxfId="7" priority="3109">
      <formula>ISERROR(P11)</formula>
    </cfRule>
    <cfRule type="dataBar" priority="3110">
      <dataBar showValue="0">
        <cfvo type="min"/>
        <cfvo type="max"/>
        <color theme="9"/>
      </dataBar>
      <extLst>
        <ext xmlns:x14="http://schemas.microsoft.com/office/spreadsheetml/2009/9/main" uri="{B025F937-C7B1-47D3-B67F-A62EFF666E3E}">
          <x14:id>{12CF930A-8BF4-460E-93C5-9ED834D22303}</x14:id>
        </ext>
      </extLst>
    </cfRule>
  </conditionalFormatting>
  <conditionalFormatting sqref="S30:T30 P30:P31">
    <cfRule type="containsErrors" dxfId="6" priority="15">
      <formula>ISERROR(P30)</formula>
    </cfRule>
  </conditionalFormatting>
  <conditionalFormatting sqref="AB102:AB120 AH102:AH120">
    <cfRule type="expression" dxfId="5" priority="2787">
      <formula>$B74=$AD$4</formula>
    </cfRule>
  </conditionalFormatting>
  <conditionalFormatting sqref="AC2:AH3">
    <cfRule type="containsErrors" dxfId="4" priority="17">
      <formula>ISERROR(AC2)</formula>
    </cfRule>
  </conditionalFormatting>
  <conditionalFormatting sqref="AF10:AJ10">
    <cfRule type="cellIs" dxfId="3" priority="48" stopIfTrue="1" operator="equal">
      <formula>0</formula>
    </cfRule>
  </conditionalFormatting>
  <conditionalFormatting sqref="AL11:AM22 AM12:AM25">
    <cfRule type="expression" dxfId="2" priority="39">
      <formula>$B11=$W$4</formula>
    </cfRule>
  </conditionalFormatting>
  <conditionalFormatting sqref="AM26">
    <cfRule type="expression" dxfId="1" priority="2740">
      <formula>#REF!=$W$4</formula>
    </cfRule>
  </conditionalFormatting>
  <conditionalFormatting sqref="AM27">
    <cfRule type="expression" dxfId="0" priority="2739">
      <formula>$B26=$W$4</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ignoredErrors>
    <ignoredError sqref="D7:P1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71009" r:id="rId4" name="Check Box 1">
              <controlPr defaultSize="0" autoFill="0" autoLine="0" autoPict="0" macro="[0]!CheckBox1_Click" altText="">
                <anchor moveWithCells="1" sizeWithCells="1">
                  <from>
                    <xdr:col>22</xdr:col>
                    <xdr:colOff>95250</xdr:colOff>
                    <xdr:row>72</xdr:row>
                    <xdr:rowOff>152400</xdr:rowOff>
                  </from>
                  <to>
                    <xdr:col>26</xdr:col>
                    <xdr:colOff>66675</xdr:colOff>
                    <xdr:row>74</xdr:row>
                    <xdr:rowOff>9525</xdr:rowOff>
                  </to>
                </anchor>
              </controlPr>
            </control>
          </mc:Choice>
        </mc:AlternateContent>
        <mc:AlternateContent xmlns:mc="http://schemas.openxmlformats.org/markup-compatibility/2006">
          <mc:Choice Requires="x14">
            <control shapeId="171010" r:id="rId5" name="Check Box 2">
              <controlPr defaultSize="0" autoFill="0" autoLine="0" autoPict="0" macro="[0]!CheckBox1_Click" altText="">
                <anchor moveWithCells="1" sizeWithCells="1">
                  <from>
                    <xdr:col>22</xdr:col>
                    <xdr:colOff>95250</xdr:colOff>
                    <xdr:row>73</xdr:row>
                    <xdr:rowOff>142875</xdr:rowOff>
                  </from>
                  <to>
                    <xdr:col>26</xdr:col>
                    <xdr:colOff>66675</xdr:colOff>
                    <xdr:row>75</xdr:row>
                    <xdr:rowOff>9525</xdr:rowOff>
                  </to>
                </anchor>
              </controlPr>
            </control>
          </mc:Choice>
        </mc:AlternateContent>
        <mc:AlternateContent xmlns:mc="http://schemas.openxmlformats.org/markup-compatibility/2006">
          <mc:Choice Requires="x14">
            <control shapeId="171011" r:id="rId6" name="Check Box 3">
              <controlPr defaultSize="0" autoFill="0" autoLine="0" autoPict="0" macro="[0]!CheckBox1_Click" altText="">
                <anchor moveWithCells="1" sizeWithCells="1">
                  <from>
                    <xdr:col>22</xdr:col>
                    <xdr:colOff>95250</xdr:colOff>
                    <xdr:row>74</xdr:row>
                    <xdr:rowOff>142875</xdr:rowOff>
                  </from>
                  <to>
                    <xdr:col>26</xdr:col>
                    <xdr:colOff>66675</xdr:colOff>
                    <xdr:row>76</xdr:row>
                    <xdr:rowOff>9525</xdr:rowOff>
                  </to>
                </anchor>
              </controlPr>
            </control>
          </mc:Choice>
        </mc:AlternateContent>
        <mc:AlternateContent xmlns:mc="http://schemas.openxmlformats.org/markup-compatibility/2006">
          <mc:Choice Requires="x14">
            <control shapeId="171012" r:id="rId7" name="Check Box 4">
              <controlPr defaultSize="0" autoFill="0" autoLine="0" autoPict="0" macro="[0]!CheckBox1_Click" altText="">
                <anchor moveWithCells="1" sizeWithCells="1">
                  <from>
                    <xdr:col>22</xdr:col>
                    <xdr:colOff>95250</xdr:colOff>
                    <xdr:row>75</xdr:row>
                    <xdr:rowOff>142875</xdr:rowOff>
                  </from>
                  <to>
                    <xdr:col>26</xdr:col>
                    <xdr:colOff>66675</xdr:colOff>
                    <xdr:row>77</xdr:row>
                    <xdr:rowOff>9525</xdr:rowOff>
                  </to>
                </anchor>
              </controlPr>
            </control>
          </mc:Choice>
        </mc:AlternateContent>
        <mc:AlternateContent xmlns:mc="http://schemas.openxmlformats.org/markup-compatibility/2006">
          <mc:Choice Requires="x14">
            <control shapeId="171013" r:id="rId8" name="Check Box 5">
              <controlPr defaultSize="0" autoFill="0" autoLine="0" autoPict="0" macro="[0]!CheckBox1_Click" altText="">
                <anchor moveWithCells="1" sizeWithCells="1">
                  <from>
                    <xdr:col>22</xdr:col>
                    <xdr:colOff>95250</xdr:colOff>
                    <xdr:row>76</xdr:row>
                    <xdr:rowOff>142875</xdr:rowOff>
                  </from>
                  <to>
                    <xdr:col>26</xdr:col>
                    <xdr:colOff>66675</xdr:colOff>
                    <xdr:row>78</xdr:row>
                    <xdr:rowOff>9525</xdr:rowOff>
                  </to>
                </anchor>
              </controlPr>
            </control>
          </mc:Choice>
        </mc:AlternateContent>
        <mc:AlternateContent xmlns:mc="http://schemas.openxmlformats.org/markup-compatibility/2006">
          <mc:Choice Requires="x14">
            <control shapeId="171014" r:id="rId9" name="Check Box 6">
              <controlPr defaultSize="0" autoFill="0" autoLine="0" autoPict="0" macro="[0]!CheckBox1_Click" altText="">
                <anchor moveWithCells="1" sizeWithCells="1">
                  <from>
                    <xdr:col>22</xdr:col>
                    <xdr:colOff>95250</xdr:colOff>
                    <xdr:row>77</xdr:row>
                    <xdr:rowOff>142875</xdr:rowOff>
                  </from>
                  <to>
                    <xdr:col>26</xdr:col>
                    <xdr:colOff>66675</xdr:colOff>
                    <xdr:row>79</xdr:row>
                    <xdr:rowOff>9525</xdr:rowOff>
                  </to>
                </anchor>
              </controlPr>
            </control>
          </mc:Choice>
        </mc:AlternateContent>
        <mc:AlternateContent xmlns:mc="http://schemas.openxmlformats.org/markup-compatibility/2006">
          <mc:Choice Requires="x14">
            <control shapeId="171015" r:id="rId10" name="Check Box 7">
              <controlPr defaultSize="0" autoFill="0" autoLine="0" autoPict="0" macro="[0]!CheckBox1_Click" altText="">
                <anchor moveWithCells="1" sizeWithCells="1">
                  <from>
                    <xdr:col>22</xdr:col>
                    <xdr:colOff>95250</xdr:colOff>
                    <xdr:row>78</xdr:row>
                    <xdr:rowOff>142875</xdr:rowOff>
                  </from>
                  <to>
                    <xdr:col>26</xdr:col>
                    <xdr:colOff>66675</xdr:colOff>
                    <xdr:row>80</xdr:row>
                    <xdr:rowOff>9525</xdr:rowOff>
                  </to>
                </anchor>
              </controlPr>
            </control>
          </mc:Choice>
        </mc:AlternateContent>
        <mc:AlternateContent xmlns:mc="http://schemas.openxmlformats.org/markup-compatibility/2006">
          <mc:Choice Requires="x14">
            <control shapeId="171016" r:id="rId11" name="Check Box 8">
              <controlPr defaultSize="0" autoFill="0" autoLine="0" autoPict="0" macro="[0]!CheckBox1_Click" altText="">
                <anchor moveWithCells="1" sizeWithCells="1">
                  <from>
                    <xdr:col>22</xdr:col>
                    <xdr:colOff>95250</xdr:colOff>
                    <xdr:row>79</xdr:row>
                    <xdr:rowOff>142875</xdr:rowOff>
                  </from>
                  <to>
                    <xdr:col>26</xdr:col>
                    <xdr:colOff>66675</xdr:colOff>
                    <xdr:row>81</xdr:row>
                    <xdr:rowOff>9525</xdr:rowOff>
                  </to>
                </anchor>
              </controlPr>
            </control>
          </mc:Choice>
        </mc:AlternateContent>
        <mc:AlternateContent xmlns:mc="http://schemas.openxmlformats.org/markup-compatibility/2006">
          <mc:Choice Requires="x14">
            <control shapeId="171017" r:id="rId12" name="Check Box 9">
              <controlPr defaultSize="0" autoFill="0" autoLine="0" autoPict="0" macro="[0]!CheckBox1_Click" altText="">
                <anchor moveWithCells="1" sizeWithCells="1">
                  <from>
                    <xdr:col>22</xdr:col>
                    <xdr:colOff>95250</xdr:colOff>
                    <xdr:row>80</xdr:row>
                    <xdr:rowOff>142875</xdr:rowOff>
                  </from>
                  <to>
                    <xdr:col>26</xdr:col>
                    <xdr:colOff>66675</xdr:colOff>
                    <xdr:row>82</xdr:row>
                    <xdr:rowOff>9525</xdr:rowOff>
                  </to>
                </anchor>
              </controlPr>
            </control>
          </mc:Choice>
        </mc:AlternateContent>
        <mc:AlternateContent xmlns:mc="http://schemas.openxmlformats.org/markup-compatibility/2006">
          <mc:Choice Requires="x14">
            <control shapeId="171018" r:id="rId13" name="Check Box 10">
              <controlPr defaultSize="0" autoFill="0" autoLine="0" autoPict="0" macro="[0]!CheckBox1_Click" altText="">
                <anchor moveWithCells="1" sizeWithCells="1">
                  <from>
                    <xdr:col>22</xdr:col>
                    <xdr:colOff>95250</xdr:colOff>
                    <xdr:row>81</xdr:row>
                    <xdr:rowOff>142875</xdr:rowOff>
                  </from>
                  <to>
                    <xdr:col>26</xdr:col>
                    <xdr:colOff>66675</xdr:colOff>
                    <xdr:row>83</xdr:row>
                    <xdr:rowOff>9525</xdr:rowOff>
                  </to>
                </anchor>
              </controlPr>
            </control>
          </mc:Choice>
        </mc:AlternateContent>
        <mc:AlternateContent xmlns:mc="http://schemas.openxmlformats.org/markup-compatibility/2006">
          <mc:Choice Requires="x14">
            <control shapeId="171019" r:id="rId14" name="Check Box 11">
              <controlPr defaultSize="0" autoFill="0" autoLine="0" autoPict="0" macro="[0]!CheckBox1_Click" altText="">
                <anchor moveWithCells="1" sizeWithCells="1">
                  <from>
                    <xdr:col>22</xdr:col>
                    <xdr:colOff>95250</xdr:colOff>
                    <xdr:row>82</xdr:row>
                    <xdr:rowOff>142875</xdr:rowOff>
                  </from>
                  <to>
                    <xdr:col>26</xdr:col>
                    <xdr:colOff>66675</xdr:colOff>
                    <xdr:row>84</xdr:row>
                    <xdr:rowOff>9525</xdr:rowOff>
                  </to>
                </anchor>
              </controlPr>
            </control>
          </mc:Choice>
        </mc:AlternateContent>
        <mc:AlternateContent xmlns:mc="http://schemas.openxmlformats.org/markup-compatibility/2006">
          <mc:Choice Requires="x14">
            <control shapeId="171020" r:id="rId15" name="Check Box 12">
              <controlPr defaultSize="0" autoFill="0" autoLine="0" autoPict="0" macro="[0]!CheckBox1_Click" altText="">
                <anchor moveWithCells="1" sizeWithCells="1">
                  <from>
                    <xdr:col>22</xdr:col>
                    <xdr:colOff>95250</xdr:colOff>
                    <xdr:row>83</xdr:row>
                    <xdr:rowOff>142875</xdr:rowOff>
                  </from>
                  <to>
                    <xdr:col>26</xdr:col>
                    <xdr:colOff>66675</xdr:colOff>
                    <xdr:row>85</xdr:row>
                    <xdr:rowOff>9525</xdr:rowOff>
                  </to>
                </anchor>
              </controlPr>
            </control>
          </mc:Choice>
        </mc:AlternateContent>
        <mc:AlternateContent xmlns:mc="http://schemas.openxmlformats.org/markup-compatibility/2006">
          <mc:Choice Requires="x14">
            <control shapeId="171021" r:id="rId16" name="Check Box 13">
              <controlPr defaultSize="0" autoFill="0" autoLine="0" autoPict="0" macro="[0]!CheckBox1_Click" altText="">
                <anchor moveWithCells="1" sizeWithCells="1">
                  <from>
                    <xdr:col>22</xdr:col>
                    <xdr:colOff>95250</xdr:colOff>
                    <xdr:row>84</xdr:row>
                    <xdr:rowOff>142875</xdr:rowOff>
                  </from>
                  <to>
                    <xdr:col>26</xdr:col>
                    <xdr:colOff>66675</xdr:colOff>
                    <xdr:row>86</xdr:row>
                    <xdr:rowOff>0</xdr:rowOff>
                  </to>
                </anchor>
              </controlPr>
            </control>
          </mc:Choice>
        </mc:AlternateContent>
        <mc:AlternateContent xmlns:mc="http://schemas.openxmlformats.org/markup-compatibility/2006">
          <mc:Choice Requires="x14">
            <control shapeId="171023" r:id="rId17" name="Check Box 15">
              <controlPr defaultSize="0" autoFill="0" autoLine="0" autoPict="0" macro="[0]!CheckBox1_Click" altText="">
                <anchor moveWithCells="1" sizeWithCells="1">
                  <from>
                    <xdr:col>22</xdr:col>
                    <xdr:colOff>95250</xdr:colOff>
                    <xdr:row>86</xdr:row>
                    <xdr:rowOff>0</xdr:rowOff>
                  </from>
                  <to>
                    <xdr:col>26</xdr:col>
                    <xdr:colOff>66675</xdr:colOff>
                    <xdr:row>87</xdr:row>
                    <xdr:rowOff>9525</xdr:rowOff>
                  </to>
                </anchor>
              </controlPr>
            </control>
          </mc:Choice>
        </mc:AlternateContent>
        <mc:AlternateContent xmlns:mc="http://schemas.openxmlformats.org/markup-compatibility/2006">
          <mc:Choice Requires="x14">
            <control shapeId="171024" r:id="rId18" name="Check Box 16">
              <controlPr defaultSize="0" autoFill="0" autoLine="0" autoPict="0" macro="[0]!CheckBox1_Click" altText="">
                <anchor moveWithCells="1" sizeWithCells="1">
                  <from>
                    <xdr:col>22</xdr:col>
                    <xdr:colOff>95250</xdr:colOff>
                    <xdr:row>86</xdr:row>
                    <xdr:rowOff>142875</xdr:rowOff>
                  </from>
                  <to>
                    <xdr:col>26</xdr:col>
                    <xdr:colOff>66675</xdr:colOff>
                    <xdr:row>88</xdr:row>
                    <xdr:rowOff>0</xdr:rowOff>
                  </to>
                </anchor>
              </controlPr>
            </control>
          </mc:Choice>
        </mc:AlternateContent>
        <mc:AlternateContent xmlns:mc="http://schemas.openxmlformats.org/markup-compatibility/2006">
          <mc:Choice Requires="x14">
            <control shapeId="171025" r:id="rId19" name="Check Box 17">
              <controlPr defaultSize="0" autoFill="0" autoLine="0" autoPict="0" macro="[0]!CheckBox1_Click" altText="">
                <anchor moveWithCells="1" sizeWithCells="1">
                  <from>
                    <xdr:col>22</xdr:col>
                    <xdr:colOff>95250</xdr:colOff>
                    <xdr:row>88</xdr:row>
                    <xdr:rowOff>0</xdr:rowOff>
                  </from>
                  <to>
                    <xdr:col>26</xdr:col>
                    <xdr:colOff>66675</xdr:colOff>
                    <xdr:row>89</xdr:row>
                    <xdr:rowOff>19050</xdr:rowOff>
                  </to>
                </anchor>
              </controlPr>
            </control>
          </mc:Choice>
        </mc:AlternateContent>
        <mc:AlternateContent xmlns:mc="http://schemas.openxmlformats.org/markup-compatibility/2006">
          <mc:Choice Requires="x14">
            <control shapeId="171026" r:id="rId20" name="Check Box 18">
              <controlPr defaultSize="0" autoFill="0" autoLine="0" autoPict="0" macro="[0]!CheckBox1_Click" altText="">
                <anchor moveWithCells="1" sizeWithCells="1">
                  <from>
                    <xdr:col>22</xdr:col>
                    <xdr:colOff>95250</xdr:colOff>
                    <xdr:row>88</xdr:row>
                    <xdr:rowOff>142875</xdr:rowOff>
                  </from>
                  <to>
                    <xdr:col>26</xdr:col>
                    <xdr:colOff>66675</xdr:colOff>
                    <xdr:row>90</xdr:row>
                    <xdr:rowOff>19050</xdr:rowOff>
                  </to>
                </anchor>
              </controlPr>
            </control>
          </mc:Choice>
        </mc:AlternateContent>
        <mc:AlternateContent xmlns:mc="http://schemas.openxmlformats.org/markup-compatibility/2006">
          <mc:Choice Requires="x14">
            <control shapeId="171027" r:id="rId21" name="Check Box 19">
              <controlPr defaultSize="0" autoFill="0" autoLine="0" autoPict="0" macro="[0]!CheckBox1_Click" altText="">
                <anchor moveWithCells="1" sizeWithCells="1">
                  <from>
                    <xdr:col>22</xdr:col>
                    <xdr:colOff>95250</xdr:colOff>
                    <xdr:row>89</xdr:row>
                    <xdr:rowOff>142875</xdr:rowOff>
                  </from>
                  <to>
                    <xdr:col>26</xdr:col>
                    <xdr:colOff>66675</xdr:colOff>
                    <xdr:row>91</xdr:row>
                    <xdr:rowOff>19050</xdr:rowOff>
                  </to>
                </anchor>
              </controlPr>
            </control>
          </mc:Choice>
        </mc:AlternateContent>
        <mc:AlternateContent xmlns:mc="http://schemas.openxmlformats.org/markup-compatibility/2006">
          <mc:Choice Requires="x14">
            <control shapeId="171028" r:id="rId22" name="Check Box 20">
              <controlPr defaultSize="0" autoFill="0" autoLine="0" autoPict="0" macro="[0]!CheckBox1_Click" altText="">
                <anchor moveWithCells="1" sizeWithCells="1">
                  <from>
                    <xdr:col>22</xdr:col>
                    <xdr:colOff>95250</xdr:colOff>
                    <xdr:row>90</xdr:row>
                    <xdr:rowOff>142875</xdr:rowOff>
                  </from>
                  <to>
                    <xdr:col>26</xdr:col>
                    <xdr:colOff>66675</xdr:colOff>
                    <xdr:row>92</xdr:row>
                    <xdr:rowOff>19050</xdr:rowOff>
                  </to>
                </anchor>
              </controlPr>
            </control>
          </mc:Choice>
        </mc:AlternateContent>
        <mc:AlternateContent xmlns:mc="http://schemas.openxmlformats.org/markup-compatibility/2006">
          <mc:Choice Requires="x14">
            <control shapeId="171029" r:id="rId23" name="Check Box 21">
              <controlPr defaultSize="0" autoFill="0" autoLine="0" autoPict="0" macro="[0]!CheckBox1_Click" altText="">
                <anchor moveWithCells="1" sizeWithCells="1">
                  <from>
                    <xdr:col>22</xdr:col>
                    <xdr:colOff>95250</xdr:colOff>
                    <xdr:row>91</xdr:row>
                    <xdr:rowOff>142875</xdr:rowOff>
                  </from>
                  <to>
                    <xdr:col>26</xdr:col>
                    <xdr:colOff>66675</xdr:colOff>
                    <xdr:row>93</xdr:row>
                    <xdr:rowOff>19050</xdr:rowOff>
                  </to>
                </anchor>
              </controlPr>
            </control>
          </mc:Choice>
        </mc:AlternateContent>
        <mc:AlternateContent xmlns:mc="http://schemas.openxmlformats.org/markup-compatibility/2006">
          <mc:Choice Requires="x14">
            <control shapeId="171032" r:id="rId24" name="Check Box 24">
              <controlPr defaultSize="0" autoFill="0" autoLine="0" autoPict="0" macro="[0]!CheckBox1_Click" altText="">
                <anchor moveWithCells="1" sizeWithCells="1">
                  <from>
                    <xdr:col>22</xdr:col>
                    <xdr:colOff>95250</xdr:colOff>
                    <xdr:row>92</xdr:row>
                    <xdr:rowOff>142875</xdr:rowOff>
                  </from>
                  <to>
                    <xdr:col>26</xdr:col>
                    <xdr:colOff>66675</xdr:colOff>
                    <xdr:row>94</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12CF930A-8BF4-460E-93C5-9ED834D22303}">
            <x14:dataBar minLength="0" maxLength="100" gradient="0" negativeBarColorSameAsPositive="1">
              <x14:cfvo type="autoMin"/>
              <x14:cfvo type="autoMax"/>
              <x14:axisColor rgb="FF000000"/>
            </x14:dataBar>
          </x14:cfRule>
          <xm:sqref>P11:P31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66FFCC"/>
    <pageSetUpPr fitToPage="1"/>
  </sheetPr>
  <dimension ref="A1:W133"/>
  <sheetViews>
    <sheetView topLeftCell="A75" workbookViewId="0">
      <selection activeCell="B23" sqref="B23"/>
    </sheetView>
  </sheetViews>
  <sheetFormatPr defaultColWidth="9.140625" defaultRowHeight="12.75"/>
  <cols>
    <col min="1" max="1" width="8.28515625" style="290" bestFit="1" customWidth="1"/>
    <col min="2" max="2" width="40.28515625" style="332" bestFit="1" customWidth="1"/>
    <col min="3" max="21" width="5.42578125" style="290" customWidth="1"/>
    <col min="22" max="22" width="6.140625" style="478" bestFit="1" customWidth="1"/>
    <col min="23" max="23" width="10" style="290" bestFit="1" customWidth="1"/>
    <col min="24" max="24" width="9.140625" style="290" customWidth="1"/>
    <col min="25" max="16384" width="9.140625" style="290"/>
  </cols>
  <sheetData>
    <row r="1" spans="1:23" ht="67.5">
      <c r="A1" s="472" t="str">
        <f>IF(ReportData!$C$3="Quarterly",ReportData!$G$24&amp;" "&amp;ReportData!$G$25,ReportData!$G$22)</f>
        <v>2022/23</v>
      </c>
      <c r="B1" s="472"/>
      <c r="C1" s="772" t="s">
        <v>828</v>
      </c>
      <c r="D1" s="772" t="s">
        <v>1038</v>
      </c>
      <c r="E1" s="772" t="s">
        <v>829</v>
      </c>
      <c r="F1" s="772" t="s">
        <v>830</v>
      </c>
      <c r="G1" s="772" t="s">
        <v>831</v>
      </c>
      <c r="H1" s="772" t="s">
        <v>832</v>
      </c>
      <c r="I1" s="772" t="s">
        <v>833</v>
      </c>
      <c r="J1" s="772" t="s">
        <v>834</v>
      </c>
      <c r="K1" s="772" t="s">
        <v>835</v>
      </c>
      <c r="L1" s="772" t="s">
        <v>836</v>
      </c>
      <c r="M1" s="772" t="s">
        <v>837</v>
      </c>
      <c r="N1" s="772" t="s">
        <v>838</v>
      </c>
      <c r="O1" s="772" t="s">
        <v>839</v>
      </c>
      <c r="P1" s="772" t="s">
        <v>840</v>
      </c>
      <c r="Q1" s="772" t="s">
        <v>841</v>
      </c>
      <c r="R1" s="772" t="s">
        <v>842</v>
      </c>
      <c r="S1" s="772" t="s">
        <v>843</v>
      </c>
      <c r="T1" s="772" t="s">
        <v>1039</v>
      </c>
      <c r="U1" s="772" t="s">
        <v>844</v>
      </c>
      <c r="V1" s="379" t="s">
        <v>1074</v>
      </c>
      <c r="W1" s="380" t="s">
        <v>845</v>
      </c>
    </row>
    <row r="2" spans="1:23" s="331" customFormat="1" ht="13.5">
      <c r="A2" s="803">
        <v>1</v>
      </c>
      <c r="B2" s="473" t="s">
        <v>498</v>
      </c>
      <c r="C2" s="817"/>
      <c r="D2" s="817"/>
      <c r="E2" s="817"/>
      <c r="F2" s="817"/>
      <c r="G2" s="817"/>
      <c r="H2" s="817"/>
      <c r="I2" s="817"/>
      <c r="J2" s="817"/>
      <c r="K2" s="817"/>
      <c r="L2" s="817"/>
      <c r="M2" s="817"/>
      <c r="N2" s="817"/>
      <c r="O2" s="817"/>
      <c r="P2" s="817"/>
      <c r="Q2" s="817"/>
      <c r="R2" s="817"/>
      <c r="S2" s="817"/>
      <c r="T2" s="381"/>
      <c r="U2" s="381"/>
      <c r="V2" s="818"/>
      <c r="W2" s="820"/>
    </row>
    <row r="3" spans="1:23" s="331" customFormat="1" ht="13.5">
      <c r="A3" s="803">
        <v>2</v>
      </c>
      <c r="B3" s="473" t="s">
        <v>330</v>
      </c>
      <c r="C3" s="817"/>
      <c r="D3" s="817"/>
      <c r="E3" s="817"/>
      <c r="F3" s="817"/>
      <c r="G3" s="817"/>
      <c r="H3" s="817"/>
      <c r="I3" s="817"/>
      <c r="J3" s="817"/>
      <c r="K3" s="817"/>
      <c r="L3" s="817"/>
      <c r="M3" s="817"/>
      <c r="N3" s="817"/>
      <c r="O3" s="817"/>
      <c r="P3" s="817"/>
      <c r="Q3" s="817"/>
      <c r="R3" s="817"/>
      <c r="S3" s="817"/>
      <c r="T3" s="817"/>
      <c r="U3" s="817"/>
      <c r="V3" s="818"/>
      <c r="W3" s="381"/>
    </row>
    <row r="4" spans="1:23" s="331" customFormat="1" ht="13.5">
      <c r="A4" s="803">
        <v>3</v>
      </c>
      <c r="B4" s="473" t="s">
        <v>331</v>
      </c>
      <c r="C4" s="817"/>
      <c r="D4" s="817"/>
      <c r="E4" s="817"/>
      <c r="F4" s="817"/>
      <c r="G4" s="817"/>
      <c r="H4" s="817"/>
      <c r="I4" s="817"/>
      <c r="J4" s="817"/>
      <c r="K4" s="817"/>
      <c r="L4" s="817"/>
      <c r="M4" s="817"/>
      <c r="N4" s="817"/>
      <c r="O4" s="817"/>
      <c r="P4" s="817"/>
      <c r="Q4" s="817"/>
      <c r="R4" s="817"/>
      <c r="S4" s="817"/>
      <c r="T4" s="817"/>
      <c r="U4" s="817"/>
      <c r="V4" s="818"/>
      <c r="W4" s="381"/>
    </row>
    <row r="5" spans="1:23" s="331" customFormat="1" ht="13.5">
      <c r="A5" s="803">
        <v>4</v>
      </c>
      <c r="B5" s="473" t="s">
        <v>332</v>
      </c>
      <c r="C5" s="817"/>
      <c r="D5" s="817"/>
      <c r="E5" s="817"/>
      <c r="F5" s="817"/>
      <c r="G5" s="817"/>
      <c r="H5" s="817"/>
      <c r="I5" s="817"/>
      <c r="J5" s="817"/>
      <c r="K5" s="817"/>
      <c r="L5" s="817"/>
      <c r="M5" s="817"/>
      <c r="N5" s="382"/>
      <c r="O5" s="817"/>
      <c r="P5" s="817"/>
      <c r="Q5" s="817"/>
      <c r="R5" s="383"/>
      <c r="S5" s="817"/>
      <c r="T5" s="817"/>
      <c r="U5" s="817"/>
      <c r="V5" s="818"/>
      <c r="W5" s="381"/>
    </row>
    <row r="6" spans="1:23" s="331" customFormat="1" ht="13.5">
      <c r="A6" s="803">
        <v>5</v>
      </c>
      <c r="B6" s="473" t="s">
        <v>333</v>
      </c>
      <c r="C6" s="817"/>
      <c r="D6" s="817"/>
      <c r="E6" s="817"/>
      <c r="F6" s="817"/>
      <c r="G6" s="817"/>
      <c r="H6" s="817"/>
      <c r="I6" s="817"/>
      <c r="J6" s="817"/>
      <c r="K6" s="817"/>
      <c r="L6" s="817"/>
      <c r="M6" s="817"/>
      <c r="N6" s="382"/>
      <c r="O6" s="817"/>
      <c r="P6" s="817"/>
      <c r="Q6" s="817"/>
      <c r="R6" s="383"/>
      <c r="S6" s="817"/>
      <c r="T6" s="817"/>
      <c r="U6" s="817"/>
      <c r="V6" s="818"/>
      <c r="W6" s="381"/>
    </row>
    <row r="7" spans="1:23" s="331" customFormat="1">
      <c r="A7" s="804">
        <v>6</v>
      </c>
      <c r="B7" s="475" t="s">
        <v>334</v>
      </c>
      <c r="C7" s="817"/>
      <c r="D7" s="817"/>
      <c r="E7" s="817"/>
      <c r="F7" s="817"/>
      <c r="G7" s="817"/>
      <c r="H7" s="817"/>
      <c r="I7" s="817"/>
      <c r="J7" s="817"/>
      <c r="K7" s="817"/>
      <c r="L7" s="817"/>
      <c r="M7" s="817"/>
      <c r="N7" s="382"/>
      <c r="O7" s="817"/>
      <c r="P7" s="817"/>
      <c r="Q7" s="817"/>
      <c r="R7" s="383"/>
      <c r="S7" s="817"/>
      <c r="T7" s="817"/>
      <c r="U7" s="817"/>
      <c r="V7" s="818"/>
      <c r="W7" s="381"/>
    </row>
    <row r="8" spans="1:23" s="331" customFormat="1" ht="13.5">
      <c r="A8" s="803">
        <v>7</v>
      </c>
      <c r="B8" s="473" t="s">
        <v>335</v>
      </c>
      <c r="C8" s="817"/>
      <c r="D8" s="817"/>
      <c r="E8" s="817"/>
      <c r="F8" s="817"/>
      <c r="G8" s="817"/>
      <c r="H8" s="817"/>
      <c r="I8" s="817"/>
      <c r="J8" s="817"/>
      <c r="K8" s="817"/>
      <c r="L8" s="817"/>
      <c r="M8" s="817"/>
      <c r="N8" s="382"/>
      <c r="O8" s="817"/>
      <c r="P8" s="817"/>
      <c r="Q8" s="817"/>
      <c r="R8" s="383"/>
      <c r="S8" s="817"/>
      <c r="T8" s="817"/>
      <c r="U8" s="817"/>
      <c r="V8" s="818"/>
      <c r="W8" s="381"/>
    </row>
    <row r="9" spans="1:23" s="331" customFormat="1" ht="13.5">
      <c r="A9" s="1544" t="s">
        <v>1109</v>
      </c>
      <c r="B9" s="838" t="s">
        <v>336</v>
      </c>
      <c r="C9" s="835">
        <v>1780</v>
      </c>
      <c r="D9" s="835">
        <v>3249</v>
      </c>
      <c r="E9" s="835">
        <v>12157</v>
      </c>
      <c r="F9" s="835">
        <v>3914</v>
      </c>
      <c r="G9" s="835">
        <v>30502</v>
      </c>
      <c r="H9" s="835">
        <v>3870</v>
      </c>
      <c r="I9" s="835">
        <v>22589</v>
      </c>
      <c r="J9" s="835">
        <v>4714</v>
      </c>
      <c r="K9" s="835">
        <v>3436</v>
      </c>
      <c r="L9" s="835">
        <v>5203</v>
      </c>
      <c r="M9" s="835">
        <v>2897</v>
      </c>
      <c r="N9" s="835">
        <v>2843</v>
      </c>
      <c r="O9" s="835">
        <v>3417</v>
      </c>
      <c r="P9" s="835">
        <v>3747</v>
      </c>
      <c r="Q9" s="835">
        <v>7113</v>
      </c>
      <c r="R9" s="835">
        <v>2143</v>
      </c>
      <c r="S9" s="835">
        <v>9598</v>
      </c>
      <c r="T9" s="835">
        <v>1969</v>
      </c>
      <c r="U9" s="835">
        <v>1607</v>
      </c>
      <c r="V9" s="834">
        <v>126750</v>
      </c>
      <c r="W9" s="836">
        <v>640430</v>
      </c>
    </row>
    <row r="10" spans="1:23" s="331" customFormat="1" ht="13.5">
      <c r="A10" s="1544" t="s">
        <v>1299</v>
      </c>
      <c r="B10" s="473" t="s">
        <v>337</v>
      </c>
      <c r="C10" s="817"/>
      <c r="D10" s="817"/>
      <c r="E10" s="817"/>
      <c r="F10" s="817"/>
      <c r="G10" s="817"/>
      <c r="H10" s="817"/>
      <c r="I10" s="817"/>
      <c r="J10" s="817"/>
      <c r="K10" s="817"/>
      <c r="L10" s="817"/>
      <c r="M10" s="817"/>
      <c r="N10" s="817"/>
      <c r="O10" s="817"/>
      <c r="P10" s="817"/>
      <c r="Q10" s="817"/>
      <c r="R10" s="817"/>
      <c r="S10" s="817"/>
      <c r="T10" s="817"/>
      <c r="U10" s="817"/>
      <c r="V10" s="818"/>
      <c r="W10" s="381"/>
    </row>
    <row r="11" spans="1:23" s="331" customFormat="1" ht="13.5">
      <c r="A11" s="1544" t="s">
        <v>1172</v>
      </c>
      <c r="B11" s="838" t="s">
        <v>942</v>
      </c>
      <c r="C11" s="835">
        <v>1555</v>
      </c>
      <c r="D11" s="835">
        <v>2633</v>
      </c>
      <c r="E11" s="835">
        <v>6199</v>
      </c>
      <c r="F11" s="835">
        <v>3749</v>
      </c>
      <c r="G11" s="835">
        <v>25780</v>
      </c>
      <c r="H11" s="835">
        <v>3087</v>
      </c>
      <c r="I11" s="835">
        <v>22389</v>
      </c>
      <c r="J11" s="835">
        <v>4217</v>
      </c>
      <c r="K11" s="835">
        <v>3096</v>
      </c>
      <c r="L11" s="835">
        <v>4985</v>
      </c>
      <c r="M11" s="835">
        <v>2897</v>
      </c>
      <c r="N11" s="835">
        <v>2664</v>
      </c>
      <c r="O11" s="835">
        <v>3407</v>
      </c>
      <c r="P11" s="835">
        <v>3213</v>
      </c>
      <c r="Q11" s="835">
        <v>6765</v>
      </c>
      <c r="R11" s="835">
        <v>2143</v>
      </c>
      <c r="S11" s="835">
        <v>9598</v>
      </c>
      <c r="T11" s="835">
        <v>1893</v>
      </c>
      <c r="U11" s="835">
        <v>1384</v>
      </c>
      <c r="V11" s="834">
        <v>111660</v>
      </c>
      <c r="W11" s="836">
        <v>595090</v>
      </c>
    </row>
    <row r="12" spans="1:23" s="331" customFormat="1" ht="13.5">
      <c r="A12" s="727"/>
      <c r="B12" s="474" t="s">
        <v>210</v>
      </c>
      <c r="C12" s="819"/>
      <c r="D12" s="819"/>
      <c r="E12" s="819"/>
      <c r="F12" s="819"/>
      <c r="G12" s="819"/>
      <c r="H12" s="819"/>
      <c r="I12" s="819"/>
      <c r="J12" s="819"/>
      <c r="K12" s="819"/>
      <c r="L12" s="819"/>
      <c r="M12" s="819"/>
      <c r="N12" s="819"/>
      <c r="O12" s="819"/>
      <c r="P12" s="819"/>
      <c r="Q12" s="819"/>
      <c r="R12" s="819"/>
      <c r="S12" s="819"/>
      <c r="T12" s="819"/>
      <c r="U12" s="819"/>
      <c r="V12" s="819"/>
      <c r="W12" s="725"/>
    </row>
    <row r="13" spans="1:23" s="331" customFormat="1" ht="13.5">
      <c r="A13" s="1544" t="s">
        <v>1158</v>
      </c>
      <c r="B13" s="838" t="s">
        <v>338</v>
      </c>
      <c r="C13" s="826">
        <v>146</v>
      </c>
      <c r="D13" s="835">
        <v>262</v>
      </c>
      <c r="E13" s="835">
        <v>910</v>
      </c>
      <c r="F13" s="835">
        <v>389</v>
      </c>
      <c r="G13" s="835">
        <v>2864</v>
      </c>
      <c r="H13" s="835">
        <v>239</v>
      </c>
      <c r="I13" s="835">
        <v>1774</v>
      </c>
      <c r="J13" s="835">
        <v>361</v>
      </c>
      <c r="K13" s="835">
        <v>215</v>
      </c>
      <c r="L13" s="835">
        <v>378</v>
      </c>
      <c r="M13" s="835">
        <v>193</v>
      </c>
      <c r="N13" s="835">
        <v>155</v>
      </c>
      <c r="O13" s="835">
        <v>89</v>
      </c>
      <c r="P13" s="835">
        <v>201</v>
      </c>
      <c r="Q13" s="835">
        <v>491</v>
      </c>
      <c r="R13" s="835">
        <v>186</v>
      </c>
      <c r="S13" s="835">
        <v>861</v>
      </c>
      <c r="T13" s="835">
        <v>79</v>
      </c>
      <c r="U13" s="840">
        <v>107</v>
      </c>
      <c r="V13" s="834">
        <v>9900</v>
      </c>
      <c r="W13" s="836">
        <v>53020</v>
      </c>
    </row>
    <row r="14" spans="1:23" s="331" customFormat="1" ht="13.5">
      <c r="A14" s="1544" t="s">
        <v>1159</v>
      </c>
      <c r="B14" s="476" t="s">
        <v>339</v>
      </c>
      <c r="C14" s="383"/>
      <c r="D14" s="817"/>
      <c r="E14" s="817"/>
      <c r="F14" s="817"/>
      <c r="G14" s="817"/>
      <c r="H14" s="817"/>
      <c r="I14" s="817"/>
      <c r="J14" s="817"/>
      <c r="K14" s="817"/>
      <c r="L14" s="817"/>
      <c r="M14" s="817"/>
      <c r="N14" s="385"/>
      <c r="O14" s="817"/>
      <c r="P14" s="817"/>
      <c r="Q14" s="817"/>
      <c r="R14" s="384"/>
      <c r="S14" s="817"/>
      <c r="T14" s="817"/>
      <c r="U14" s="817"/>
      <c r="V14" s="818"/>
      <c r="W14" s="381"/>
    </row>
    <row r="15" spans="1:23" s="331" customFormat="1" ht="13.5">
      <c r="A15" s="1544" t="s">
        <v>1160</v>
      </c>
      <c r="B15" s="476" t="s">
        <v>340</v>
      </c>
      <c r="C15" s="383"/>
      <c r="D15" s="817"/>
      <c r="E15" s="817"/>
      <c r="F15" s="817"/>
      <c r="G15" s="817"/>
      <c r="H15" s="817"/>
      <c r="I15" s="817"/>
      <c r="J15" s="817"/>
      <c r="K15" s="817"/>
      <c r="L15" s="817"/>
      <c r="M15" s="817"/>
      <c r="N15" s="385"/>
      <c r="O15" s="817"/>
      <c r="P15" s="817"/>
      <c r="Q15" s="817"/>
      <c r="R15" s="384"/>
      <c r="S15" s="817"/>
      <c r="T15" s="817"/>
      <c r="U15" s="817"/>
      <c r="V15" s="818"/>
      <c r="W15" s="381"/>
    </row>
    <row r="16" spans="1:23" s="331" customFormat="1" ht="13.5">
      <c r="A16" s="1544" t="s">
        <v>1161</v>
      </c>
      <c r="B16" s="476" t="s">
        <v>341</v>
      </c>
      <c r="C16" s="384"/>
      <c r="D16" s="817"/>
      <c r="E16" s="817"/>
      <c r="F16" s="817"/>
      <c r="G16" s="817"/>
      <c r="H16" s="817"/>
      <c r="I16" s="817"/>
      <c r="J16" s="817"/>
      <c r="K16" s="817"/>
      <c r="L16" s="817"/>
      <c r="M16" s="817"/>
      <c r="N16" s="385"/>
      <c r="O16" s="817"/>
      <c r="P16" s="817"/>
      <c r="Q16" s="817"/>
      <c r="R16" s="384"/>
      <c r="S16" s="817"/>
      <c r="T16" s="817"/>
      <c r="U16" s="817"/>
      <c r="V16" s="818"/>
      <c r="W16" s="381"/>
    </row>
    <row r="17" spans="1:23" s="331" customFormat="1" ht="13.5">
      <c r="A17" s="1544" t="s">
        <v>1114</v>
      </c>
      <c r="B17" s="838" t="s">
        <v>342</v>
      </c>
      <c r="C17" s="826">
        <v>511</v>
      </c>
      <c r="D17" s="835">
        <v>0</v>
      </c>
      <c r="E17" s="835">
        <v>2605</v>
      </c>
      <c r="F17" s="835">
        <v>616</v>
      </c>
      <c r="G17" s="835">
        <v>9040</v>
      </c>
      <c r="H17" s="835">
        <v>1340</v>
      </c>
      <c r="I17" s="835">
        <v>5686</v>
      </c>
      <c r="J17" s="835">
        <v>1239</v>
      </c>
      <c r="K17" s="835">
        <v>619</v>
      </c>
      <c r="L17" s="835">
        <v>22</v>
      </c>
      <c r="M17" s="835">
        <v>605</v>
      </c>
      <c r="N17" s="827">
        <v>490</v>
      </c>
      <c r="O17" s="835">
        <v>766</v>
      </c>
      <c r="P17" s="835">
        <v>1211</v>
      </c>
      <c r="Q17" s="835">
        <v>1285</v>
      </c>
      <c r="R17" s="826">
        <v>448</v>
      </c>
      <c r="S17" s="835">
        <v>2418</v>
      </c>
      <c r="T17" s="835">
        <v>441</v>
      </c>
      <c r="U17" s="840">
        <v>378</v>
      </c>
      <c r="V17" s="834">
        <v>29720</v>
      </c>
      <c r="W17" s="836">
        <v>128650</v>
      </c>
    </row>
    <row r="18" spans="1:23" s="331" customFormat="1" ht="13.5">
      <c r="A18" s="1544" t="s">
        <v>1115</v>
      </c>
      <c r="B18" s="838" t="s">
        <v>343</v>
      </c>
      <c r="C18" s="826">
        <v>24</v>
      </c>
      <c r="D18" s="835">
        <v>616</v>
      </c>
      <c r="E18" s="835">
        <v>93</v>
      </c>
      <c r="F18" s="835">
        <v>82</v>
      </c>
      <c r="G18" s="835">
        <v>0</v>
      </c>
      <c r="H18" s="835">
        <v>18</v>
      </c>
      <c r="I18" s="835">
        <v>117</v>
      </c>
      <c r="J18" s="835">
        <v>25</v>
      </c>
      <c r="K18" s="835">
        <v>54</v>
      </c>
      <c r="L18" s="835">
        <v>1250</v>
      </c>
      <c r="M18" s="835">
        <v>49</v>
      </c>
      <c r="N18" s="827">
        <v>23</v>
      </c>
      <c r="O18" s="835">
        <v>8</v>
      </c>
      <c r="P18" s="835">
        <v>0</v>
      </c>
      <c r="Q18" s="835">
        <v>113</v>
      </c>
      <c r="R18" s="826">
        <v>78</v>
      </c>
      <c r="S18" s="835">
        <v>0</v>
      </c>
      <c r="T18" s="835">
        <v>0</v>
      </c>
      <c r="U18" s="840">
        <v>17</v>
      </c>
      <c r="V18" s="834">
        <v>2610</v>
      </c>
      <c r="W18" s="836">
        <v>12600</v>
      </c>
    </row>
    <row r="19" spans="1:23" s="331" customFormat="1" ht="13.5">
      <c r="A19" s="1544" t="s">
        <v>1162</v>
      </c>
      <c r="B19" s="838" t="s">
        <v>344</v>
      </c>
      <c r="C19" s="826">
        <v>171</v>
      </c>
      <c r="D19" s="835">
        <v>441</v>
      </c>
      <c r="E19" s="835">
        <v>2239</v>
      </c>
      <c r="F19" s="835">
        <v>432</v>
      </c>
      <c r="G19" s="835">
        <v>5562</v>
      </c>
      <c r="H19" s="835">
        <v>594</v>
      </c>
      <c r="I19" s="835">
        <v>3346</v>
      </c>
      <c r="J19" s="835">
        <v>478</v>
      </c>
      <c r="K19" s="835">
        <v>443</v>
      </c>
      <c r="L19" s="835">
        <v>685</v>
      </c>
      <c r="M19" s="835">
        <v>424</v>
      </c>
      <c r="N19" s="827">
        <v>501</v>
      </c>
      <c r="O19" s="835">
        <v>490</v>
      </c>
      <c r="P19" s="835">
        <v>445</v>
      </c>
      <c r="Q19" s="835">
        <v>1120</v>
      </c>
      <c r="R19" s="826">
        <v>265</v>
      </c>
      <c r="S19" s="835">
        <v>1206</v>
      </c>
      <c r="T19" s="835">
        <v>261</v>
      </c>
      <c r="U19" s="840">
        <v>239</v>
      </c>
      <c r="V19" s="834">
        <v>19340</v>
      </c>
      <c r="W19" s="836">
        <v>92350</v>
      </c>
    </row>
    <row r="20" spans="1:23" s="331" customFormat="1" ht="13.5">
      <c r="A20" s="1544" t="s">
        <v>1163</v>
      </c>
      <c r="B20" s="476" t="s">
        <v>345</v>
      </c>
      <c r="C20" s="383"/>
      <c r="D20" s="817"/>
      <c r="E20" s="817"/>
      <c r="F20" s="817"/>
      <c r="G20" s="817"/>
      <c r="H20" s="817"/>
      <c r="I20" s="817"/>
      <c r="J20" s="817"/>
      <c r="K20" s="817"/>
      <c r="L20" s="817"/>
      <c r="M20" s="817"/>
      <c r="N20" s="385"/>
      <c r="O20" s="817"/>
      <c r="P20" s="817"/>
      <c r="Q20" s="817"/>
      <c r="R20" s="384"/>
      <c r="S20" s="817"/>
      <c r="T20" s="817"/>
      <c r="U20" s="817"/>
      <c r="V20" s="818"/>
      <c r="W20" s="381"/>
    </row>
    <row r="21" spans="1:23" s="331" customFormat="1" ht="13.5">
      <c r="A21" s="1544" t="s">
        <v>1164</v>
      </c>
      <c r="B21" s="476" t="s">
        <v>346</v>
      </c>
      <c r="C21" s="384"/>
      <c r="D21" s="817"/>
      <c r="E21" s="817"/>
      <c r="F21" s="817"/>
      <c r="G21" s="817"/>
      <c r="H21" s="817"/>
      <c r="I21" s="817"/>
      <c r="J21" s="817"/>
      <c r="K21" s="817"/>
      <c r="L21" s="817"/>
      <c r="M21" s="817"/>
      <c r="N21" s="385"/>
      <c r="O21" s="817"/>
      <c r="P21" s="817"/>
      <c r="Q21" s="817"/>
      <c r="R21" s="384"/>
      <c r="S21" s="817"/>
      <c r="T21" s="817"/>
      <c r="U21" s="817"/>
      <c r="V21" s="818"/>
      <c r="W21" s="381"/>
    </row>
    <row r="22" spans="1:23" s="331" customFormat="1" ht="13.5">
      <c r="A22" s="1544" t="s">
        <v>1165</v>
      </c>
      <c r="B22" s="476" t="s">
        <v>347</v>
      </c>
      <c r="C22" s="383"/>
      <c r="D22" s="817"/>
      <c r="E22" s="817"/>
      <c r="F22" s="817"/>
      <c r="G22" s="817"/>
      <c r="H22" s="817"/>
      <c r="I22" s="817"/>
      <c r="J22" s="817"/>
      <c r="K22" s="817"/>
      <c r="L22" s="817"/>
      <c r="M22" s="817"/>
      <c r="N22" s="385"/>
      <c r="O22" s="817"/>
      <c r="P22" s="817"/>
      <c r="Q22" s="817"/>
      <c r="R22" s="384"/>
      <c r="S22" s="817"/>
      <c r="T22" s="817"/>
      <c r="U22" s="817"/>
      <c r="V22" s="818"/>
      <c r="W22" s="381"/>
    </row>
    <row r="23" spans="1:23" s="331" customFormat="1" ht="13.5">
      <c r="A23" s="1544" t="s">
        <v>1166</v>
      </c>
      <c r="B23" s="476" t="s">
        <v>348</v>
      </c>
      <c r="C23" s="383"/>
      <c r="D23" s="817"/>
      <c r="E23" s="817"/>
      <c r="F23" s="817"/>
      <c r="G23" s="817"/>
      <c r="H23" s="817"/>
      <c r="I23" s="817"/>
      <c r="J23" s="817"/>
      <c r="K23" s="817"/>
      <c r="L23" s="817"/>
      <c r="M23" s="817"/>
      <c r="N23" s="385"/>
      <c r="O23" s="817"/>
      <c r="P23" s="817"/>
      <c r="Q23" s="817"/>
      <c r="R23" s="384"/>
      <c r="S23" s="817"/>
      <c r="T23" s="817"/>
      <c r="U23" s="817"/>
      <c r="V23" s="818"/>
      <c r="W23" s="381"/>
    </row>
    <row r="24" spans="1:23" s="331" customFormat="1" ht="13.5">
      <c r="A24" s="1544" t="s">
        <v>1167</v>
      </c>
      <c r="B24" s="476" t="s">
        <v>349</v>
      </c>
      <c r="C24" s="384"/>
      <c r="D24" s="817"/>
      <c r="E24" s="817"/>
      <c r="F24" s="817"/>
      <c r="G24" s="817"/>
      <c r="H24" s="817"/>
      <c r="I24" s="817"/>
      <c r="J24" s="817"/>
      <c r="K24" s="817"/>
      <c r="L24" s="817"/>
      <c r="M24" s="817"/>
      <c r="N24" s="385"/>
      <c r="O24" s="817"/>
      <c r="P24" s="817"/>
      <c r="Q24" s="817"/>
      <c r="R24" s="384"/>
      <c r="S24" s="817"/>
      <c r="T24" s="817"/>
      <c r="U24" s="817"/>
      <c r="V24" s="818"/>
      <c r="W24" s="381"/>
    </row>
    <row r="25" spans="1:23" s="331" customFormat="1" ht="13.5">
      <c r="A25" s="1544" t="s">
        <v>1117</v>
      </c>
      <c r="B25" s="838" t="s">
        <v>350</v>
      </c>
      <c r="C25" s="826">
        <v>0</v>
      </c>
      <c r="D25" s="835">
        <v>44</v>
      </c>
      <c r="E25" s="835">
        <v>49</v>
      </c>
      <c r="F25" s="835">
        <v>59</v>
      </c>
      <c r="G25" s="835">
        <v>0</v>
      </c>
      <c r="H25" s="835">
        <v>75</v>
      </c>
      <c r="I25" s="835">
        <v>398</v>
      </c>
      <c r="J25" s="835">
        <v>100</v>
      </c>
      <c r="K25" s="835">
        <v>0</v>
      </c>
      <c r="L25" s="835">
        <v>46</v>
      </c>
      <c r="M25" s="835">
        <v>60</v>
      </c>
      <c r="N25" s="827">
        <v>97</v>
      </c>
      <c r="O25" s="835">
        <v>9</v>
      </c>
      <c r="P25" s="835">
        <v>35</v>
      </c>
      <c r="Q25" s="835">
        <v>91</v>
      </c>
      <c r="R25" s="826">
        <v>14</v>
      </c>
      <c r="S25" s="835">
        <v>72</v>
      </c>
      <c r="T25" s="835">
        <v>17</v>
      </c>
      <c r="U25" s="840">
        <v>11</v>
      </c>
      <c r="V25" s="834">
        <v>1420</v>
      </c>
      <c r="W25" s="836">
        <v>7240</v>
      </c>
    </row>
    <row r="26" spans="1:23" s="331" customFormat="1" ht="13.5">
      <c r="A26" s="1544" t="s">
        <v>1168</v>
      </c>
      <c r="B26" s="838" t="s">
        <v>351</v>
      </c>
      <c r="C26" s="826">
        <v>375</v>
      </c>
      <c r="D26" s="835">
        <v>617</v>
      </c>
      <c r="E26" s="835">
        <v>1216</v>
      </c>
      <c r="F26" s="835">
        <v>789</v>
      </c>
      <c r="G26" s="835">
        <v>2843</v>
      </c>
      <c r="H26" s="835">
        <v>259</v>
      </c>
      <c r="I26" s="835">
        <v>2675</v>
      </c>
      <c r="J26" s="835">
        <v>698</v>
      </c>
      <c r="K26" s="835">
        <v>509</v>
      </c>
      <c r="L26" s="835">
        <v>901</v>
      </c>
      <c r="M26" s="835">
        <v>483</v>
      </c>
      <c r="N26" s="827">
        <v>407</v>
      </c>
      <c r="O26" s="835">
        <v>475</v>
      </c>
      <c r="P26" s="835">
        <v>618</v>
      </c>
      <c r="Q26" s="835">
        <v>915</v>
      </c>
      <c r="R26" s="826">
        <v>408</v>
      </c>
      <c r="S26" s="835">
        <v>1541</v>
      </c>
      <c r="T26" s="835">
        <v>243</v>
      </c>
      <c r="U26" s="840">
        <v>163</v>
      </c>
      <c r="V26" s="834">
        <v>16140</v>
      </c>
      <c r="W26" s="836">
        <v>90070</v>
      </c>
    </row>
    <row r="27" spans="1:23" s="331" customFormat="1" ht="13.5">
      <c r="A27" s="1544" t="s">
        <v>1169</v>
      </c>
      <c r="B27" s="476" t="s">
        <v>352</v>
      </c>
      <c r="C27" s="383"/>
      <c r="D27" s="817"/>
      <c r="E27" s="817"/>
      <c r="F27" s="817"/>
      <c r="G27" s="817"/>
      <c r="H27" s="817"/>
      <c r="I27" s="817"/>
      <c r="J27" s="817"/>
      <c r="K27" s="817"/>
      <c r="L27" s="817"/>
      <c r="M27" s="817"/>
      <c r="N27" s="385"/>
      <c r="O27" s="817"/>
      <c r="P27" s="817"/>
      <c r="Q27" s="817"/>
      <c r="R27" s="384"/>
      <c r="S27" s="817"/>
      <c r="T27" s="817"/>
      <c r="U27" s="817"/>
      <c r="V27" s="818"/>
      <c r="W27" s="381"/>
    </row>
    <row r="28" spans="1:23" s="331" customFormat="1" ht="13.5">
      <c r="A28" s="1544" t="s">
        <v>1170</v>
      </c>
      <c r="B28" s="476" t="s">
        <v>353</v>
      </c>
      <c r="C28" s="383"/>
      <c r="D28" s="817"/>
      <c r="E28" s="817"/>
      <c r="F28" s="817"/>
      <c r="G28" s="817"/>
      <c r="H28" s="817"/>
      <c r="I28" s="817"/>
      <c r="J28" s="817"/>
      <c r="K28" s="817"/>
      <c r="L28" s="817"/>
      <c r="M28" s="817"/>
      <c r="N28" s="385"/>
      <c r="O28" s="817"/>
      <c r="P28" s="817"/>
      <c r="Q28" s="817"/>
      <c r="R28" s="384"/>
      <c r="S28" s="817"/>
      <c r="T28" s="817"/>
      <c r="U28" s="817"/>
      <c r="V28" s="818"/>
      <c r="W28" s="381"/>
    </row>
    <row r="29" spans="1:23" s="331" customFormat="1" ht="13.5">
      <c r="A29" s="1544" t="s">
        <v>1171</v>
      </c>
      <c r="B29" s="476" t="s">
        <v>1328</v>
      </c>
      <c r="C29" s="384"/>
      <c r="D29" s="817"/>
      <c r="E29" s="817"/>
      <c r="F29" s="817"/>
      <c r="G29" s="817"/>
      <c r="H29" s="817"/>
      <c r="I29" s="817"/>
      <c r="J29" s="817"/>
      <c r="K29" s="817"/>
      <c r="L29" s="817"/>
      <c r="M29" s="817"/>
      <c r="N29" s="385"/>
      <c r="O29" s="817"/>
      <c r="P29" s="817"/>
      <c r="Q29" s="817"/>
      <c r="R29" s="384"/>
      <c r="S29" s="817"/>
      <c r="T29" s="817"/>
      <c r="U29" s="817"/>
      <c r="V29" s="818"/>
      <c r="W29" s="381"/>
    </row>
    <row r="30" spans="1:23" s="331" customFormat="1" ht="13.5">
      <c r="A30" s="1544" t="s">
        <v>1119</v>
      </c>
      <c r="B30" s="838" t="s">
        <v>354</v>
      </c>
      <c r="C30" s="826">
        <v>408</v>
      </c>
      <c r="D30" s="835">
        <v>1047</v>
      </c>
      <c r="E30" s="835">
        <v>4239</v>
      </c>
      <c r="F30" s="835">
        <v>1069</v>
      </c>
      <c r="G30" s="835">
        <v>6443</v>
      </c>
      <c r="H30" s="835">
        <v>777</v>
      </c>
      <c r="I30" s="835">
        <v>5046</v>
      </c>
      <c r="J30" s="835">
        <v>1228</v>
      </c>
      <c r="K30" s="835">
        <v>1195</v>
      </c>
      <c r="L30" s="835">
        <v>1484</v>
      </c>
      <c r="M30" s="835">
        <v>779</v>
      </c>
      <c r="N30" s="827">
        <v>923</v>
      </c>
      <c r="O30" s="835">
        <v>1256</v>
      </c>
      <c r="P30" s="835">
        <v>959</v>
      </c>
      <c r="Q30" s="835">
        <v>2172</v>
      </c>
      <c r="R30" s="826">
        <v>619</v>
      </c>
      <c r="S30" s="835">
        <v>2341</v>
      </c>
      <c r="T30" s="835">
        <v>591</v>
      </c>
      <c r="U30" s="840">
        <v>536</v>
      </c>
      <c r="V30" s="834">
        <v>33110</v>
      </c>
      <c r="W30" s="836">
        <v>184530</v>
      </c>
    </row>
    <row r="31" spans="1:23" s="331" customFormat="1" ht="13.5">
      <c r="A31" s="1544" t="s">
        <v>1120</v>
      </c>
      <c r="B31" s="838" t="s">
        <v>355</v>
      </c>
      <c r="C31" s="826">
        <v>56</v>
      </c>
      <c r="D31" s="835">
        <v>46</v>
      </c>
      <c r="E31" s="835">
        <v>260</v>
      </c>
      <c r="F31" s="835">
        <v>229</v>
      </c>
      <c r="G31" s="835">
        <v>1260</v>
      </c>
      <c r="H31" s="835">
        <v>106</v>
      </c>
      <c r="I31" s="835">
        <v>2085</v>
      </c>
      <c r="J31" s="835">
        <v>184</v>
      </c>
      <c r="K31" s="835">
        <v>162</v>
      </c>
      <c r="L31" s="835">
        <v>201</v>
      </c>
      <c r="M31" s="835">
        <v>110</v>
      </c>
      <c r="N31" s="827">
        <v>109</v>
      </c>
      <c r="O31" s="835">
        <v>66</v>
      </c>
      <c r="P31" s="835">
        <v>98</v>
      </c>
      <c r="Q31" s="835">
        <v>240</v>
      </c>
      <c r="R31" s="826">
        <v>63</v>
      </c>
      <c r="S31" s="835">
        <v>61</v>
      </c>
      <c r="T31" s="835">
        <v>23</v>
      </c>
      <c r="U31" s="840">
        <v>55</v>
      </c>
      <c r="V31" s="834">
        <v>5410</v>
      </c>
      <c r="W31" s="836">
        <v>26520</v>
      </c>
    </row>
    <row r="32" spans="1:23" s="331" customFormat="1" ht="13.5">
      <c r="A32" s="1544" t="s">
        <v>1121</v>
      </c>
      <c r="B32" s="838" t="s">
        <v>356</v>
      </c>
      <c r="C32" s="826">
        <v>58</v>
      </c>
      <c r="D32" s="835">
        <v>0</v>
      </c>
      <c r="E32" s="835">
        <v>343</v>
      </c>
      <c r="F32" s="835">
        <v>160</v>
      </c>
      <c r="G32" s="835">
        <v>1433</v>
      </c>
      <c r="H32" s="835">
        <v>329</v>
      </c>
      <c r="I32" s="835">
        <v>688</v>
      </c>
      <c r="J32" s="835">
        <v>201</v>
      </c>
      <c r="K32" s="835">
        <v>159</v>
      </c>
      <c r="L32" s="835">
        <v>131</v>
      </c>
      <c r="M32" s="835">
        <v>130</v>
      </c>
      <c r="N32" s="827">
        <v>96</v>
      </c>
      <c r="O32" s="835">
        <v>242</v>
      </c>
      <c r="P32" s="835">
        <v>108</v>
      </c>
      <c r="Q32" s="835">
        <v>563</v>
      </c>
      <c r="R32" s="826">
        <v>17</v>
      </c>
      <c r="S32" s="835">
        <v>1088</v>
      </c>
      <c r="T32" s="835">
        <v>183</v>
      </c>
      <c r="U32" s="840">
        <v>29</v>
      </c>
      <c r="V32" s="834">
        <v>5960</v>
      </c>
      <c r="W32" s="836">
        <v>27560</v>
      </c>
    </row>
    <row r="33" spans="1:23" s="331" customFormat="1" ht="13.5">
      <c r="A33" s="1544" t="s">
        <v>1122</v>
      </c>
      <c r="B33" s="838" t="s">
        <v>357</v>
      </c>
      <c r="C33" s="826">
        <v>20</v>
      </c>
      <c r="D33" s="835">
        <v>62</v>
      </c>
      <c r="E33" s="835">
        <v>194</v>
      </c>
      <c r="F33" s="835">
        <v>70</v>
      </c>
      <c r="G33" s="835">
        <v>595</v>
      </c>
      <c r="H33" s="835">
        <v>112</v>
      </c>
      <c r="I33" s="835">
        <v>227</v>
      </c>
      <c r="J33" s="835">
        <v>181</v>
      </c>
      <c r="K33" s="835">
        <v>66</v>
      </c>
      <c r="L33" s="835">
        <v>81</v>
      </c>
      <c r="M33" s="835">
        <v>64</v>
      </c>
      <c r="N33" s="827">
        <v>42</v>
      </c>
      <c r="O33" s="835">
        <v>16</v>
      </c>
      <c r="P33" s="835">
        <v>37</v>
      </c>
      <c r="Q33" s="835">
        <v>123</v>
      </c>
      <c r="R33" s="826">
        <v>18</v>
      </c>
      <c r="S33" s="835">
        <v>0</v>
      </c>
      <c r="T33" s="835">
        <v>0</v>
      </c>
      <c r="U33" s="840">
        <v>44</v>
      </c>
      <c r="V33" s="834">
        <v>1970</v>
      </c>
      <c r="W33" s="836">
        <v>11150</v>
      </c>
    </row>
    <row r="34" spans="1:23" s="331" customFormat="1" ht="13.5">
      <c r="A34" s="1544" t="s">
        <v>1123</v>
      </c>
      <c r="B34" s="838" t="s">
        <v>358</v>
      </c>
      <c r="C34" s="826">
        <v>0</v>
      </c>
      <c r="D34" s="835">
        <v>108</v>
      </c>
      <c r="E34" s="835">
        <v>9</v>
      </c>
      <c r="F34" s="835">
        <v>19</v>
      </c>
      <c r="G34" s="835">
        <v>237</v>
      </c>
      <c r="H34" s="835">
        <v>21</v>
      </c>
      <c r="I34" s="835">
        <v>547</v>
      </c>
      <c r="J34" s="835">
        <v>19</v>
      </c>
      <c r="K34" s="835">
        <v>0</v>
      </c>
      <c r="L34" s="835">
        <v>24</v>
      </c>
      <c r="M34" s="835">
        <v>0</v>
      </c>
      <c r="N34" s="827">
        <v>0</v>
      </c>
      <c r="O34" s="840">
        <v>0</v>
      </c>
      <c r="P34" s="835">
        <v>0</v>
      </c>
      <c r="Q34" s="835">
        <v>0</v>
      </c>
      <c r="R34" s="840">
        <v>27</v>
      </c>
      <c r="S34" s="835">
        <v>10</v>
      </c>
      <c r="T34" s="835">
        <v>110</v>
      </c>
      <c r="U34" s="840">
        <v>28</v>
      </c>
      <c r="V34" s="825">
        <v>1160</v>
      </c>
      <c r="W34" s="836">
        <v>6730</v>
      </c>
    </row>
    <row r="35" spans="1:23" s="331" customFormat="1" ht="13.5">
      <c r="A35" s="1544" t="s">
        <v>1134</v>
      </c>
      <c r="B35" s="838" t="s">
        <v>359</v>
      </c>
      <c r="C35" s="826">
        <v>402</v>
      </c>
      <c r="D35" s="835">
        <v>811</v>
      </c>
      <c r="E35" s="835">
        <v>4752</v>
      </c>
      <c r="F35" s="835">
        <v>643</v>
      </c>
      <c r="G35" s="835">
        <v>11807</v>
      </c>
      <c r="H35" s="835">
        <v>1608</v>
      </c>
      <c r="I35" s="835">
        <v>4915</v>
      </c>
      <c r="J35" s="835">
        <v>997</v>
      </c>
      <c r="K35" s="835">
        <v>683</v>
      </c>
      <c r="L35" s="835">
        <v>1098</v>
      </c>
      <c r="M35" s="835">
        <v>803</v>
      </c>
      <c r="N35" s="827">
        <v>713</v>
      </c>
      <c r="O35" s="835">
        <v>690</v>
      </c>
      <c r="P35" s="835">
        <v>853</v>
      </c>
      <c r="Q35" s="835">
        <v>1229</v>
      </c>
      <c r="R35" s="826">
        <v>458</v>
      </c>
      <c r="S35" s="835">
        <v>2212</v>
      </c>
      <c r="T35" s="835">
        <v>421</v>
      </c>
      <c r="U35" s="840">
        <v>291</v>
      </c>
      <c r="V35" s="834">
        <v>35390</v>
      </c>
      <c r="W35" s="836">
        <v>143770</v>
      </c>
    </row>
    <row r="36" spans="1:23" s="331" customFormat="1" ht="13.5">
      <c r="A36" s="1544" t="s">
        <v>1300</v>
      </c>
      <c r="B36" s="838" t="s">
        <v>360</v>
      </c>
      <c r="C36" s="826">
        <v>1410</v>
      </c>
      <c r="D36" s="835">
        <v>3144</v>
      </c>
      <c r="E36" s="835">
        <v>8877</v>
      </c>
      <c r="F36" s="835">
        <v>3712</v>
      </c>
      <c r="G36" s="835">
        <v>28484</v>
      </c>
      <c r="H36" s="835">
        <v>3957</v>
      </c>
      <c r="I36" s="835">
        <v>20733</v>
      </c>
      <c r="J36" s="835">
        <v>4041</v>
      </c>
      <c r="K36" s="835">
        <v>4052</v>
      </c>
      <c r="L36" s="835">
        <v>5732</v>
      </c>
      <c r="M36" s="835">
        <v>2830</v>
      </c>
      <c r="N36" s="827">
        <v>2680</v>
      </c>
      <c r="O36" s="835">
        <v>3716</v>
      </c>
      <c r="P36" s="835">
        <v>3839</v>
      </c>
      <c r="Q36" s="835">
        <v>7491</v>
      </c>
      <c r="R36" s="826">
        <v>2849</v>
      </c>
      <c r="S36" s="835">
        <v>10060</v>
      </c>
      <c r="T36" s="835">
        <v>1525</v>
      </c>
      <c r="U36" s="840">
        <v>1493</v>
      </c>
      <c r="V36" s="834">
        <v>120630</v>
      </c>
      <c r="W36" s="836">
        <v>655540</v>
      </c>
    </row>
    <row r="37" spans="1:23" s="331" customFormat="1" ht="22.5">
      <c r="A37" s="727"/>
      <c r="B37" s="474" t="s">
        <v>211</v>
      </c>
      <c r="C37" s="819"/>
      <c r="D37" s="819"/>
      <c r="E37" s="819"/>
      <c r="F37" s="819"/>
      <c r="G37" s="819"/>
      <c r="H37" s="819"/>
      <c r="I37" s="819"/>
      <c r="J37" s="819"/>
      <c r="K37" s="819"/>
      <c r="L37" s="819"/>
      <c r="M37" s="819"/>
      <c r="N37" s="819"/>
      <c r="O37" s="819"/>
      <c r="P37" s="819"/>
      <c r="Q37" s="819"/>
      <c r="R37" s="819"/>
      <c r="S37" s="819"/>
      <c r="T37" s="819"/>
      <c r="U37" s="819"/>
      <c r="V37" s="819"/>
      <c r="W37" s="725"/>
    </row>
    <row r="38" spans="1:23" s="331" customFormat="1" ht="13.5">
      <c r="A38" s="1544" t="s">
        <v>1173</v>
      </c>
      <c r="B38" s="838" t="s">
        <v>361</v>
      </c>
      <c r="C38" s="826">
        <v>239</v>
      </c>
      <c r="D38" s="835">
        <v>974</v>
      </c>
      <c r="E38" s="835">
        <v>2320</v>
      </c>
      <c r="F38" s="835">
        <v>362</v>
      </c>
      <c r="G38" s="835">
        <v>8365</v>
      </c>
      <c r="H38" s="835">
        <v>1489</v>
      </c>
      <c r="I38" s="835">
        <v>1451</v>
      </c>
      <c r="J38" s="835">
        <v>301</v>
      </c>
      <c r="K38" s="835">
        <v>452</v>
      </c>
      <c r="L38" s="835">
        <v>368</v>
      </c>
      <c r="M38" s="835">
        <v>728</v>
      </c>
      <c r="N38" s="827">
        <v>144</v>
      </c>
      <c r="O38" s="835">
        <v>178</v>
      </c>
      <c r="P38" s="835">
        <v>565</v>
      </c>
      <c r="Q38" s="835">
        <v>463</v>
      </c>
      <c r="R38" s="826">
        <v>770</v>
      </c>
      <c r="S38" s="835">
        <v>995</v>
      </c>
      <c r="T38" s="835">
        <v>270</v>
      </c>
      <c r="U38" s="835">
        <v>63</v>
      </c>
      <c r="V38" s="834">
        <v>20500</v>
      </c>
      <c r="W38" s="836">
        <v>83970</v>
      </c>
    </row>
    <row r="39" spans="1:23" s="331" customFormat="1" ht="13.5">
      <c r="A39" s="1544" t="s">
        <v>1174</v>
      </c>
      <c r="B39" s="838" t="s">
        <v>559</v>
      </c>
      <c r="C39" s="826">
        <v>461</v>
      </c>
      <c r="D39" s="835">
        <v>357</v>
      </c>
      <c r="E39" s="835">
        <v>1297</v>
      </c>
      <c r="F39" s="835">
        <v>491</v>
      </c>
      <c r="G39" s="835">
        <v>14568</v>
      </c>
      <c r="H39" s="835">
        <v>1259</v>
      </c>
      <c r="I39" s="835">
        <v>1732</v>
      </c>
      <c r="J39" s="835">
        <v>257</v>
      </c>
      <c r="K39" s="835">
        <v>735</v>
      </c>
      <c r="L39" s="835">
        <v>639</v>
      </c>
      <c r="M39" s="835">
        <v>766</v>
      </c>
      <c r="N39" s="827">
        <v>317</v>
      </c>
      <c r="O39" s="835">
        <v>539</v>
      </c>
      <c r="P39" s="835">
        <v>563</v>
      </c>
      <c r="Q39" s="835">
        <v>1046</v>
      </c>
      <c r="R39" s="826">
        <v>564</v>
      </c>
      <c r="S39" s="835">
        <v>1296</v>
      </c>
      <c r="T39" s="835">
        <v>368</v>
      </c>
      <c r="U39" s="835">
        <v>127</v>
      </c>
      <c r="V39" s="834">
        <v>27380</v>
      </c>
      <c r="W39" s="836">
        <v>113050</v>
      </c>
    </row>
    <row r="40" spans="1:23" s="331" customFormat="1" ht="13.5">
      <c r="A40" s="1544" t="s">
        <v>1175</v>
      </c>
      <c r="B40" s="838" t="s">
        <v>560</v>
      </c>
      <c r="C40" s="826">
        <v>260</v>
      </c>
      <c r="D40" s="835">
        <v>430</v>
      </c>
      <c r="E40" s="835">
        <v>1608</v>
      </c>
      <c r="F40" s="835">
        <v>531</v>
      </c>
      <c r="G40" s="835">
        <v>2228</v>
      </c>
      <c r="H40" s="835">
        <v>429</v>
      </c>
      <c r="I40" s="835">
        <v>3495</v>
      </c>
      <c r="J40" s="835">
        <v>481</v>
      </c>
      <c r="K40" s="835">
        <v>882</v>
      </c>
      <c r="L40" s="835">
        <v>740</v>
      </c>
      <c r="M40" s="835">
        <v>676</v>
      </c>
      <c r="N40" s="827">
        <v>429</v>
      </c>
      <c r="O40" s="835">
        <v>1006</v>
      </c>
      <c r="P40" s="835">
        <v>629</v>
      </c>
      <c r="Q40" s="835">
        <v>1020</v>
      </c>
      <c r="R40" s="826">
        <v>447</v>
      </c>
      <c r="S40" s="835">
        <v>1715</v>
      </c>
      <c r="T40" s="835">
        <v>221</v>
      </c>
      <c r="U40" s="835">
        <v>250</v>
      </c>
      <c r="V40" s="834">
        <v>17480</v>
      </c>
      <c r="W40" s="836">
        <v>106340</v>
      </c>
    </row>
    <row r="41" spans="1:23" s="331" customFormat="1" ht="13.5">
      <c r="A41" s="1544" t="s">
        <v>1176</v>
      </c>
      <c r="B41" s="838" t="s">
        <v>561</v>
      </c>
      <c r="C41" s="826">
        <v>251</v>
      </c>
      <c r="D41" s="835">
        <v>865</v>
      </c>
      <c r="E41" s="835">
        <v>2568</v>
      </c>
      <c r="F41" s="835">
        <v>855</v>
      </c>
      <c r="G41" s="835">
        <v>1917</v>
      </c>
      <c r="H41" s="835">
        <v>554</v>
      </c>
      <c r="I41" s="835">
        <v>9270</v>
      </c>
      <c r="J41" s="835">
        <v>1797</v>
      </c>
      <c r="K41" s="835">
        <v>1137</v>
      </c>
      <c r="L41" s="835">
        <v>2224</v>
      </c>
      <c r="M41" s="835">
        <v>610</v>
      </c>
      <c r="N41" s="827">
        <v>772</v>
      </c>
      <c r="O41" s="835">
        <v>1485</v>
      </c>
      <c r="P41" s="824">
        <v>1377</v>
      </c>
      <c r="Q41" s="835">
        <v>2914</v>
      </c>
      <c r="R41" s="826">
        <v>988</v>
      </c>
      <c r="S41" s="835">
        <v>4184</v>
      </c>
      <c r="T41" s="835">
        <v>393</v>
      </c>
      <c r="U41" s="835">
        <v>556</v>
      </c>
      <c r="V41" s="834">
        <v>34720</v>
      </c>
      <c r="W41" s="836">
        <v>237410</v>
      </c>
    </row>
    <row r="42" spans="1:23" s="331" customFormat="1" ht="13.5">
      <c r="A42" s="1544" t="s">
        <v>1177</v>
      </c>
      <c r="B42" s="838" t="s">
        <v>362</v>
      </c>
      <c r="C42" s="826">
        <v>199</v>
      </c>
      <c r="D42" s="835">
        <v>518</v>
      </c>
      <c r="E42" s="835">
        <v>1084</v>
      </c>
      <c r="F42" s="835">
        <v>1473</v>
      </c>
      <c r="G42" s="835">
        <v>1406</v>
      </c>
      <c r="H42" s="835">
        <v>226</v>
      </c>
      <c r="I42" s="835">
        <v>4785</v>
      </c>
      <c r="J42" s="835">
        <v>1205</v>
      </c>
      <c r="K42" s="835">
        <v>846</v>
      </c>
      <c r="L42" s="835">
        <v>1761</v>
      </c>
      <c r="M42" s="835">
        <v>50</v>
      </c>
      <c r="N42" s="827">
        <v>1018</v>
      </c>
      <c r="O42" s="835">
        <v>402</v>
      </c>
      <c r="P42" s="824">
        <v>705</v>
      </c>
      <c r="Q42" s="835">
        <v>2048</v>
      </c>
      <c r="R42" s="826">
        <v>80</v>
      </c>
      <c r="S42" s="835">
        <v>1870</v>
      </c>
      <c r="T42" s="835">
        <v>273</v>
      </c>
      <c r="U42" s="835">
        <v>497</v>
      </c>
      <c r="V42" s="834">
        <v>20550</v>
      </c>
      <c r="W42" s="836">
        <v>114780</v>
      </c>
    </row>
    <row r="43" spans="1:23" s="331" customFormat="1" ht="13.5">
      <c r="A43" s="1547"/>
      <c r="B43" s="828" t="s">
        <v>905</v>
      </c>
      <c r="C43" s="826">
        <v>13</v>
      </c>
      <c r="D43" s="835">
        <v>7</v>
      </c>
      <c r="E43" s="835">
        <v>10</v>
      </c>
      <c r="F43" s="835">
        <v>22</v>
      </c>
      <c r="G43" s="835">
        <v>9</v>
      </c>
      <c r="H43" s="835">
        <v>7</v>
      </c>
      <c r="I43" s="835">
        <v>26</v>
      </c>
      <c r="J43" s="835">
        <v>30</v>
      </c>
      <c r="K43" s="835">
        <v>18</v>
      </c>
      <c r="L43" s="835">
        <v>26</v>
      </c>
      <c r="M43" s="835">
        <v>10</v>
      </c>
      <c r="N43" s="827">
        <v>25</v>
      </c>
      <c r="O43" s="835">
        <v>23</v>
      </c>
      <c r="P43" s="824">
        <v>18</v>
      </c>
      <c r="Q43" s="835">
        <v>24</v>
      </c>
      <c r="R43" s="826">
        <v>10</v>
      </c>
      <c r="S43" s="835">
        <v>22</v>
      </c>
      <c r="T43" s="835">
        <v>13</v>
      </c>
      <c r="U43" s="835">
        <v>27</v>
      </c>
      <c r="V43" s="834">
        <v>14</v>
      </c>
      <c r="W43" s="836">
        <v>17</v>
      </c>
    </row>
    <row r="44" spans="1:23" s="331" customFormat="1" ht="13.5">
      <c r="A44" s="1547"/>
      <c r="B44" s="828" t="s">
        <v>906</v>
      </c>
      <c r="C44" s="826">
        <v>21</v>
      </c>
      <c r="D44" s="835">
        <v>28</v>
      </c>
      <c r="E44" s="835">
        <v>26</v>
      </c>
      <c r="F44" s="835">
        <v>40</v>
      </c>
      <c r="G44" s="835">
        <v>14</v>
      </c>
      <c r="H44" s="835">
        <v>14</v>
      </c>
      <c r="I44" s="835">
        <v>39</v>
      </c>
      <c r="J44" s="835">
        <v>42</v>
      </c>
      <c r="K44" s="835">
        <v>30</v>
      </c>
      <c r="L44" s="835">
        <v>41</v>
      </c>
      <c r="M44" s="835">
        <v>19</v>
      </c>
      <c r="N44" s="827">
        <v>39</v>
      </c>
      <c r="O44" s="835">
        <v>32</v>
      </c>
      <c r="P44" s="824">
        <v>33</v>
      </c>
      <c r="Q44" s="835">
        <v>40</v>
      </c>
      <c r="R44" s="826">
        <v>23</v>
      </c>
      <c r="S44" s="835">
        <v>36</v>
      </c>
      <c r="T44" s="835">
        <v>26</v>
      </c>
      <c r="U44" s="835">
        <v>41</v>
      </c>
      <c r="V44" s="834">
        <v>28</v>
      </c>
      <c r="W44" s="836">
        <v>33</v>
      </c>
    </row>
    <row r="45" spans="1:23" s="331" customFormat="1" ht="13.5">
      <c r="A45" s="1547"/>
      <c r="B45" s="828" t="s">
        <v>907</v>
      </c>
      <c r="C45" s="826">
        <v>36</v>
      </c>
      <c r="D45" s="835">
        <v>40</v>
      </c>
      <c r="E45" s="835">
        <v>38</v>
      </c>
      <c r="F45" s="835">
        <v>55</v>
      </c>
      <c r="G45" s="835">
        <v>17</v>
      </c>
      <c r="H45" s="835">
        <v>24</v>
      </c>
      <c r="I45" s="835">
        <v>45</v>
      </c>
      <c r="J45" s="835">
        <v>47</v>
      </c>
      <c r="K45" s="835">
        <v>42</v>
      </c>
      <c r="L45" s="835">
        <v>48</v>
      </c>
      <c r="M45" s="835">
        <v>29</v>
      </c>
      <c r="N45" s="827">
        <v>51</v>
      </c>
      <c r="O45" s="835">
        <v>42</v>
      </c>
      <c r="P45" s="824">
        <v>44</v>
      </c>
      <c r="Q45" s="835">
        <v>46</v>
      </c>
      <c r="R45" s="826">
        <v>36</v>
      </c>
      <c r="S45" s="835">
        <v>45</v>
      </c>
      <c r="T45" s="835">
        <v>42</v>
      </c>
      <c r="U45" s="835">
        <v>51</v>
      </c>
      <c r="V45" s="834">
        <v>43</v>
      </c>
      <c r="W45" s="836">
        <v>44</v>
      </c>
    </row>
    <row r="46" spans="1:23" s="331" customFormat="1" ht="13.5">
      <c r="A46" s="1544" t="s">
        <v>1302</v>
      </c>
      <c r="B46" s="476" t="s">
        <v>363</v>
      </c>
      <c r="C46" s="383"/>
      <c r="D46" s="817"/>
      <c r="E46" s="817"/>
      <c r="F46" s="817"/>
      <c r="G46" s="817"/>
      <c r="H46" s="817"/>
      <c r="I46" s="817"/>
      <c r="J46" s="817"/>
      <c r="K46" s="817"/>
      <c r="L46" s="817"/>
      <c r="M46" s="817"/>
      <c r="N46" s="385"/>
      <c r="O46" s="817"/>
      <c r="P46" s="817"/>
      <c r="Q46" s="817"/>
      <c r="R46" s="384"/>
      <c r="S46" s="817"/>
      <c r="T46" s="817"/>
      <c r="U46" s="817"/>
      <c r="V46" s="818"/>
      <c r="W46" s="381"/>
    </row>
    <row r="47" spans="1:23" s="331" customFormat="1" ht="13.5">
      <c r="A47" s="1544" t="s">
        <v>1303</v>
      </c>
      <c r="B47" s="476" t="s">
        <v>364</v>
      </c>
      <c r="C47" s="384"/>
      <c r="D47" s="817"/>
      <c r="E47" s="817"/>
      <c r="F47" s="817"/>
      <c r="G47" s="817"/>
      <c r="H47" s="817"/>
      <c r="I47" s="817"/>
      <c r="J47" s="817"/>
      <c r="K47" s="817"/>
      <c r="L47" s="817"/>
      <c r="M47" s="817"/>
      <c r="N47" s="385"/>
      <c r="O47" s="817"/>
      <c r="P47" s="817"/>
      <c r="Q47" s="817"/>
      <c r="R47" s="384"/>
      <c r="S47" s="817"/>
      <c r="T47" s="817"/>
      <c r="U47" s="817"/>
      <c r="V47" s="818"/>
      <c r="W47" s="381"/>
    </row>
    <row r="48" spans="1:23" s="331" customFormat="1" ht="13.5">
      <c r="A48" s="1544" t="s">
        <v>1211</v>
      </c>
      <c r="B48" s="838" t="s">
        <v>365</v>
      </c>
      <c r="C48" s="826">
        <v>1091</v>
      </c>
      <c r="D48" s="835">
        <v>2180</v>
      </c>
      <c r="E48" s="835">
        <v>3846</v>
      </c>
      <c r="F48" s="835">
        <v>3580</v>
      </c>
      <c r="G48" s="835">
        <v>9368</v>
      </c>
      <c r="H48" s="835">
        <v>1364</v>
      </c>
      <c r="I48" s="835">
        <v>11784</v>
      </c>
      <c r="J48" s="835">
        <v>2732</v>
      </c>
      <c r="K48" s="835">
        <v>2624</v>
      </c>
      <c r="L48" s="835">
        <v>4287</v>
      </c>
      <c r="M48" s="835">
        <v>1641</v>
      </c>
      <c r="N48" s="827">
        <v>1601</v>
      </c>
      <c r="O48" s="835">
        <v>1656</v>
      </c>
      <c r="P48" s="835">
        <v>2588</v>
      </c>
      <c r="Q48" s="835">
        <v>5855</v>
      </c>
      <c r="R48" s="826">
        <v>1494</v>
      </c>
      <c r="S48" s="835">
        <v>5555</v>
      </c>
      <c r="T48" s="835">
        <v>766</v>
      </c>
      <c r="U48" s="835">
        <v>977</v>
      </c>
      <c r="V48" s="834">
        <v>64990</v>
      </c>
      <c r="W48" s="836">
        <v>403090</v>
      </c>
    </row>
    <row r="49" spans="1:23" s="331" customFormat="1" ht="13.5">
      <c r="A49" s="1544" t="s">
        <v>1212</v>
      </c>
      <c r="B49" s="838" t="s">
        <v>366</v>
      </c>
      <c r="C49" s="826">
        <v>859</v>
      </c>
      <c r="D49" s="835">
        <v>1127</v>
      </c>
      <c r="E49" s="835">
        <v>2850</v>
      </c>
      <c r="F49" s="835">
        <v>1372</v>
      </c>
      <c r="G49" s="835">
        <v>8439</v>
      </c>
      <c r="H49" s="835">
        <v>1087</v>
      </c>
      <c r="I49" s="835">
        <v>7265</v>
      </c>
      <c r="J49" s="835">
        <v>1735</v>
      </c>
      <c r="K49" s="835">
        <v>1093</v>
      </c>
      <c r="L49" s="835">
        <v>2129</v>
      </c>
      <c r="M49" s="835">
        <v>1013</v>
      </c>
      <c r="N49" s="827">
        <v>1026</v>
      </c>
      <c r="O49" s="835">
        <v>1380</v>
      </c>
      <c r="P49" s="835">
        <v>1737</v>
      </c>
      <c r="Q49" s="835">
        <v>3017</v>
      </c>
      <c r="R49" s="826">
        <v>907</v>
      </c>
      <c r="S49" s="835">
        <v>3549</v>
      </c>
      <c r="T49" s="835">
        <v>661</v>
      </c>
      <c r="U49" s="835">
        <v>604</v>
      </c>
      <c r="V49" s="834">
        <v>41850</v>
      </c>
      <c r="W49" s="836">
        <v>225400</v>
      </c>
    </row>
    <row r="50" spans="1:23" s="331" customFormat="1" ht="13.5">
      <c r="A50" s="1544" t="s">
        <v>1213</v>
      </c>
      <c r="B50" s="838" t="s">
        <v>367</v>
      </c>
      <c r="C50" s="826">
        <v>245</v>
      </c>
      <c r="D50" s="835">
        <v>374</v>
      </c>
      <c r="E50" s="835">
        <v>712</v>
      </c>
      <c r="F50" s="835">
        <v>821</v>
      </c>
      <c r="G50" s="835">
        <v>1664</v>
      </c>
      <c r="H50" s="835">
        <v>327</v>
      </c>
      <c r="I50" s="835">
        <v>1783</v>
      </c>
      <c r="J50" s="835">
        <v>463</v>
      </c>
      <c r="K50" s="835">
        <v>326</v>
      </c>
      <c r="L50" s="835">
        <v>825</v>
      </c>
      <c r="M50" s="835">
        <v>276</v>
      </c>
      <c r="N50" s="827">
        <v>339</v>
      </c>
      <c r="O50" s="835">
        <v>370</v>
      </c>
      <c r="P50" s="835">
        <v>415</v>
      </c>
      <c r="Q50" s="835">
        <v>1000</v>
      </c>
      <c r="R50" s="826">
        <v>489</v>
      </c>
      <c r="S50" s="835">
        <v>1151</v>
      </c>
      <c r="T50" s="835">
        <v>253</v>
      </c>
      <c r="U50" s="835">
        <v>146</v>
      </c>
      <c r="V50" s="834">
        <v>11980</v>
      </c>
      <c r="W50" s="836">
        <v>74380</v>
      </c>
    </row>
    <row r="51" spans="1:23" s="331" customFormat="1" ht="13.5">
      <c r="A51" s="1544" t="s">
        <v>1214</v>
      </c>
      <c r="B51" s="838" t="s">
        <v>368</v>
      </c>
      <c r="C51" s="826">
        <v>187</v>
      </c>
      <c r="D51" s="835">
        <v>335</v>
      </c>
      <c r="E51" s="835">
        <v>499</v>
      </c>
      <c r="F51" s="835">
        <v>578</v>
      </c>
      <c r="G51" s="835">
        <v>1308</v>
      </c>
      <c r="H51" s="835">
        <v>217</v>
      </c>
      <c r="I51" s="835">
        <v>1448</v>
      </c>
      <c r="J51" s="835">
        <v>420</v>
      </c>
      <c r="K51" s="835">
        <v>263</v>
      </c>
      <c r="L51" s="835">
        <v>656</v>
      </c>
      <c r="M51" s="835">
        <v>236</v>
      </c>
      <c r="N51" s="827">
        <v>233</v>
      </c>
      <c r="O51" s="835">
        <v>189</v>
      </c>
      <c r="P51" s="835">
        <v>279</v>
      </c>
      <c r="Q51" s="835">
        <v>773</v>
      </c>
      <c r="R51" s="826">
        <v>435</v>
      </c>
      <c r="S51" s="835">
        <v>947</v>
      </c>
      <c r="T51" s="835">
        <v>167</v>
      </c>
      <c r="U51" s="835">
        <v>129</v>
      </c>
      <c r="V51" s="834">
        <v>9310</v>
      </c>
      <c r="W51" s="836">
        <v>58330</v>
      </c>
    </row>
    <row r="52" spans="1:23" s="331" customFormat="1" ht="13.5">
      <c r="A52" s="1544" t="s">
        <v>1215</v>
      </c>
      <c r="B52" s="838" t="s">
        <v>369</v>
      </c>
      <c r="C52" s="826">
        <v>150</v>
      </c>
      <c r="D52" s="835">
        <v>285</v>
      </c>
      <c r="E52" s="835">
        <v>520</v>
      </c>
      <c r="F52" s="835">
        <v>663</v>
      </c>
      <c r="G52" s="835">
        <v>1046</v>
      </c>
      <c r="H52" s="835">
        <v>216</v>
      </c>
      <c r="I52" s="835">
        <v>1333</v>
      </c>
      <c r="J52" s="835">
        <v>288</v>
      </c>
      <c r="K52" s="835">
        <v>170</v>
      </c>
      <c r="L52" s="835">
        <v>560</v>
      </c>
      <c r="M52" s="835">
        <v>176</v>
      </c>
      <c r="N52" s="827">
        <v>179</v>
      </c>
      <c r="O52" s="835">
        <v>258</v>
      </c>
      <c r="P52" s="835">
        <v>315</v>
      </c>
      <c r="Q52" s="835">
        <v>775</v>
      </c>
      <c r="R52" s="826">
        <v>346</v>
      </c>
      <c r="S52" s="835">
        <v>755</v>
      </c>
      <c r="T52" s="835">
        <v>105</v>
      </c>
      <c r="U52" s="835">
        <v>157</v>
      </c>
      <c r="V52" s="834">
        <v>8300</v>
      </c>
      <c r="W52" s="836">
        <v>50780</v>
      </c>
    </row>
    <row r="53" spans="1:23" s="331" customFormat="1" ht="13.5">
      <c r="A53" s="1544" t="s">
        <v>1304</v>
      </c>
      <c r="B53" s="838" t="s">
        <v>370</v>
      </c>
      <c r="C53" s="826">
        <v>98</v>
      </c>
      <c r="D53" s="835">
        <v>201</v>
      </c>
      <c r="E53" s="835">
        <v>394</v>
      </c>
      <c r="F53" s="835">
        <v>479</v>
      </c>
      <c r="G53" s="835">
        <v>704</v>
      </c>
      <c r="H53" s="835">
        <v>131</v>
      </c>
      <c r="I53" s="835">
        <v>975</v>
      </c>
      <c r="J53" s="835">
        <v>179</v>
      </c>
      <c r="K53" s="835">
        <v>108</v>
      </c>
      <c r="L53" s="835">
        <v>433</v>
      </c>
      <c r="M53" s="835">
        <v>113</v>
      </c>
      <c r="N53" s="827">
        <v>111</v>
      </c>
      <c r="O53" s="835">
        <v>176</v>
      </c>
      <c r="P53" s="835">
        <v>207</v>
      </c>
      <c r="Q53" s="835">
        <v>556</v>
      </c>
      <c r="R53" s="826">
        <v>218</v>
      </c>
      <c r="S53" s="835">
        <v>517</v>
      </c>
      <c r="T53" s="835">
        <v>66</v>
      </c>
      <c r="U53" s="835">
        <v>104</v>
      </c>
      <c r="V53" s="834">
        <v>5770</v>
      </c>
      <c r="W53" s="836">
        <v>35240</v>
      </c>
    </row>
    <row r="54" spans="1:23" s="331" customFormat="1" ht="13.5">
      <c r="A54" s="1544" t="s">
        <v>1178</v>
      </c>
      <c r="B54" s="838" t="s">
        <v>371</v>
      </c>
      <c r="C54" s="826">
        <v>96</v>
      </c>
      <c r="D54" s="835">
        <v>114</v>
      </c>
      <c r="E54" s="835">
        <v>317</v>
      </c>
      <c r="F54" s="835">
        <v>438</v>
      </c>
      <c r="G54" s="835">
        <v>573</v>
      </c>
      <c r="H54" s="835">
        <v>122</v>
      </c>
      <c r="I54" s="835">
        <v>954</v>
      </c>
      <c r="J54" s="835">
        <v>173</v>
      </c>
      <c r="K54" s="835">
        <v>100</v>
      </c>
      <c r="L54" s="835">
        <v>397</v>
      </c>
      <c r="M54" s="835">
        <v>109</v>
      </c>
      <c r="N54" s="827">
        <v>87</v>
      </c>
      <c r="O54" s="835">
        <v>172</v>
      </c>
      <c r="P54" s="835">
        <v>166</v>
      </c>
      <c r="Q54" s="835">
        <v>543</v>
      </c>
      <c r="R54" s="826">
        <v>151</v>
      </c>
      <c r="S54" s="835">
        <v>419</v>
      </c>
      <c r="T54" s="835">
        <v>57</v>
      </c>
      <c r="U54" s="835">
        <v>103</v>
      </c>
      <c r="V54" s="834">
        <v>5090</v>
      </c>
      <c r="W54" s="836">
        <v>31050</v>
      </c>
    </row>
    <row r="55" spans="1:23" s="331" customFormat="1" ht="13.5">
      <c r="A55" s="1544" t="s">
        <v>1305</v>
      </c>
      <c r="B55" s="473" t="s">
        <v>497</v>
      </c>
      <c r="C55" s="384"/>
      <c r="D55" s="817"/>
      <c r="E55" s="817"/>
      <c r="F55" s="817"/>
      <c r="G55" s="817"/>
      <c r="H55" s="817"/>
      <c r="I55" s="817"/>
      <c r="J55" s="817"/>
      <c r="K55" s="817"/>
      <c r="L55" s="817"/>
      <c r="M55" s="817"/>
      <c r="N55" s="385"/>
      <c r="O55" s="817"/>
      <c r="P55" s="817"/>
      <c r="Q55" s="817"/>
      <c r="R55" s="384"/>
      <c r="S55" s="817"/>
      <c r="T55" s="817"/>
      <c r="U55" s="817"/>
      <c r="V55" s="818"/>
      <c r="W55" s="381"/>
    </row>
    <row r="56" spans="1:23" s="331" customFormat="1" ht="13.5">
      <c r="A56" s="1544" t="s">
        <v>1179</v>
      </c>
      <c r="B56" s="838" t="s">
        <v>617</v>
      </c>
      <c r="C56" s="826" t="s">
        <v>920</v>
      </c>
      <c r="D56" s="842">
        <v>9</v>
      </c>
      <c r="E56" s="842">
        <v>9</v>
      </c>
      <c r="F56" s="842">
        <v>34</v>
      </c>
      <c r="G56" s="842">
        <v>20</v>
      </c>
      <c r="H56" s="842" t="s">
        <v>920</v>
      </c>
      <c r="I56" s="842">
        <v>38</v>
      </c>
      <c r="J56" s="842" t="s">
        <v>920</v>
      </c>
      <c r="K56" s="842" t="s">
        <v>920</v>
      </c>
      <c r="L56" s="842" t="s">
        <v>920</v>
      </c>
      <c r="M56" s="842">
        <v>9</v>
      </c>
      <c r="N56" s="827" t="s">
        <v>920</v>
      </c>
      <c r="O56" s="842" t="s">
        <v>920</v>
      </c>
      <c r="P56" s="842">
        <v>6</v>
      </c>
      <c r="Q56" s="842">
        <v>33</v>
      </c>
      <c r="R56" s="826">
        <v>11</v>
      </c>
      <c r="S56" s="842">
        <v>6</v>
      </c>
      <c r="T56" s="842">
        <v>0</v>
      </c>
      <c r="U56" s="842" t="s">
        <v>920</v>
      </c>
      <c r="V56" s="825">
        <v>190</v>
      </c>
      <c r="W56" s="1546">
        <v>1120</v>
      </c>
    </row>
    <row r="57" spans="1:23" s="331" customFormat="1" ht="13.5">
      <c r="A57" s="1544" t="s">
        <v>1216</v>
      </c>
      <c r="B57" s="838" t="s">
        <v>372</v>
      </c>
      <c r="C57" s="826">
        <v>233</v>
      </c>
      <c r="D57" s="835">
        <v>302</v>
      </c>
      <c r="E57" s="835">
        <v>787</v>
      </c>
      <c r="F57" s="835">
        <v>591</v>
      </c>
      <c r="G57" s="835">
        <v>1426</v>
      </c>
      <c r="H57" s="835">
        <v>245</v>
      </c>
      <c r="I57" s="835">
        <v>1482</v>
      </c>
      <c r="J57" s="835">
        <v>326</v>
      </c>
      <c r="K57" s="835">
        <v>313</v>
      </c>
      <c r="L57" s="835">
        <v>739</v>
      </c>
      <c r="M57" s="835">
        <v>305</v>
      </c>
      <c r="N57" s="827">
        <v>291</v>
      </c>
      <c r="O57" s="835">
        <v>335</v>
      </c>
      <c r="P57" s="835">
        <v>540</v>
      </c>
      <c r="Q57" s="835">
        <v>1077</v>
      </c>
      <c r="R57" s="826">
        <v>227</v>
      </c>
      <c r="S57" s="835">
        <v>912</v>
      </c>
      <c r="T57" s="835">
        <v>234</v>
      </c>
      <c r="U57" s="835">
        <v>145</v>
      </c>
      <c r="V57" s="834">
        <v>10510</v>
      </c>
      <c r="W57" s="836">
        <v>63910</v>
      </c>
    </row>
    <row r="58" spans="1:23" s="331" customFormat="1" ht="13.5">
      <c r="A58" s="1544" t="s">
        <v>1180</v>
      </c>
      <c r="B58" s="838" t="s">
        <v>373</v>
      </c>
      <c r="C58" s="826">
        <v>13</v>
      </c>
      <c r="D58" s="835">
        <v>22</v>
      </c>
      <c r="E58" s="835">
        <v>33</v>
      </c>
      <c r="F58" s="835">
        <v>24</v>
      </c>
      <c r="G58" s="835">
        <v>51</v>
      </c>
      <c r="H58" s="835">
        <v>7</v>
      </c>
      <c r="I58" s="835">
        <v>69</v>
      </c>
      <c r="J58" s="835">
        <v>11</v>
      </c>
      <c r="K58" s="835">
        <v>11</v>
      </c>
      <c r="L58" s="835">
        <v>33</v>
      </c>
      <c r="M58" s="835">
        <v>23</v>
      </c>
      <c r="N58" s="827">
        <v>12</v>
      </c>
      <c r="O58" s="835">
        <v>8</v>
      </c>
      <c r="P58" s="835">
        <v>13</v>
      </c>
      <c r="Q58" s="835">
        <v>82</v>
      </c>
      <c r="R58" s="826">
        <v>0</v>
      </c>
      <c r="S58" s="835">
        <v>31</v>
      </c>
      <c r="T58" s="835">
        <v>8</v>
      </c>
      <c r="U58" s="835">
        <v>9</v>
      </c>
      <c r="V58" s="834">
        <v>460</v>
      </c>
      <c r="W58" s="836">
        <v>2480</v>
      </c>
    </row>
    <row r="59" spans="1:23" s="331" customFormat="1" ht="13.5">
      <c r="A59" s="1544" t="s">
        <v>1217</v>
      </c>
      <c r="B59" s="838" t="s">
        <v>374</v>
      </c>
      <c r="C59" s="826">
        <v>198</v>
      </c>
      <c r="D59" s="835">
        <v>318</v>
      </c>
      <c r="E59" s="835">
        <v>555</v>
      </c>
      <c r="F59" s="835">
        <v>720</v>
      </c>
      <c r="G59" s="835">
        <v>1449</v>
      </c>
      <c r="H59" s="835">
        <v>300</v>
      </c>
      <c r="I59" s="835">
        <v>1559</v>
      </c>
      <c r="J59" s="835">
        <v>395</v>
      </c>
      <c r="K59" s="835">
        <v>291</v>
      </c>
      <c r="L59" s="835">
        <v>736</v>
      </c>
      <c r="M59" s="835">
        <v>258</v>
      </c>
      <c r="N59" s="827">
        <v>251</v>
      </c>
      <c r="O59" s="835">
        <v>306</v>
      </c>
      <c r="P59" s="835">
        <v>378</v>
      </c>
      <c r="Q59" s="835">
        <v>852</v>
      </c>
      <c r="R59" s="826">
        <v>389</v>
      </c>
      <c r="S59" s="835">
        <v>992</v>
      </c>
      <c r="T59" s="835">
        <v>198</v>
      </c>
      <c r="U59" s="835">
        <v>138</v>
      </c>
      <c r="V59" s="834">
        <v>10280</v>
      </c>
      <c r="W59" s="836">
        <v>63870</v>
      </c>
    </row>
    <row r="60" spans="1:23" s="331" customFormat="1" ht="13.5">
      <c r="A60" s="1544" t="s">
        <v>1218</v>
      </c>
      <c r="B60" s="838" t="s">
        <v>375</v>
      </c>
      <c r="C60" s="826">
        <v>66</v>
      </c>
      <c r="D60" s="835">
        <v>106</v>
      </c>
      <c r="E60" s="835">
        <v>143</v>
      </c>
      <c r="F60" s="835">
        <v>192</v>
      </c>
      <c r="G60" s="835">
        <v>354</v>
      </c>
      <c r="H60" s="835">
        <v>84</v>
      </c>
      <c r="I60" s="835">
        <v>362</v>
      </c>
      <c r="J60" s="835">
        <v>82</v>
      </c>
      <c r="K60" s="835">
        <v>48</v>
      </c>
      <c r="L60" s="835">
        <v>196</v>
      </c>
      <c r="M60" s="835">
        <v>56</v>
      </c>
      <c r="N60" s="827">
        <v>70</v>
      </c>
      <c r="O60" s="835">
        <v>55</v>
      </c>
      <c r="P60" s="835">
        <v>125</v>
      </c>
      <c r="Q60" s="835">
        <v>221</v>
      </c>
      <c r="R60" s="826">
        <v>98</v>
      </c>
      <c r="S60" s="835">
        <v>237</v>
      </c>
      <c r="T60" s="835">
        <v>61</v>
      </c>
      <c r="U60" s="835">
        <v>29</v>
      </c>
      <c r="V60" s="834">
        <v>2590</v>
      </c>
      <c r="W60" s="836">
        <v>15050</v>
      </c>
    </row>
    <row r="61" spans="1:23" s="331" customFormat="1" ht="13.5">
      <c r="A61" s="1544" t="s">
        <v>1306</v>
      </c>
      <c r="B61" s="838" t="s">
        <v>376</v>
      </c>
      <c r="C61" s="826"/>
      <c r="D61" s="835"/>
      <c r="E61" s="835"/>
      <c r="F61" s="835"/>
      <c r="G61" s="835"/>
      <c r="H61" s="835"/>
      <c r="I61" s="835"/>
      <c r="J61" s="835"/>
      <c r="K61" s="835"/>
      <c r="L61" s="835"/>
      <c r="M61" s="835"/>
      <c r="N61" s="827"/>
      <c r="O61" s="835"/>
      <c r="P61" s="835"/>
      <c r="Q61" s="835"/>
      <c r="R61" s="826"/>
      <c r="S61" s="835"/>
      <c r="T61" s="835"/>
      <c r="U61" s="835"/>
      <c r="V61" s="834"/>
      <c r="W61" s="836"/>
    </row>
    <row r="62" spans="1:23" s="331" customFormat="1" ht="13.5">
      <c r="A62" s="1544" t="s">
        <v>1219</v>
      </c>
      <c r="B62" s="838" t="s">
        <v>377</v>
      </c>
      <c r="C62" s="826">
        <v>157</v>
      </c>
      <c r="D62" s="835">
        <v>345</v>
      </c>
      <c r="E62" s="835">
        <v>497</v>
      </c>
      <c r="F62" s="835">
        <v>661</v>
      </c>
      <c r="G62" s="835">
        <v>1853</v>
      </c>
      <c r="H62" s="835">
        <v>288</v>
      </c>
      <c r="I62" s="835">
        <v>1942</v>
      </c>
      <c r="J62" s="835">
        <v>465</v>
      </c>
      <c r="K62" s="835">
        <v>354</v>
      </c>
      <c r="L62" s="835">
        <v>881</v>
      </c>
      <c r="M62" s="835">
        <v>388</v>
      </c>
      <c r="N62" s="827">
        <v>252</v>
      </c>
      <c r="O62" s="835">
        <v>253</v>
      </c>
      <c r="P62" s="835">
        <v>538</v>
      </c>
      <c r="Q62" s="835">
        <v>1013</v>
      </c>
      <c r="R62" s="826">
        <v>197</v>
      </c>
      <c r="S62" s="835">
        <v>887</v>
      </c>
      <c r="T62" s="835">
        <v>151</v>
      </c>
      <c r="U62" s="835">
        <v>137</v>
      </c>
      <c r="V62" s="834">
        <v>11260</v>
      </c>
      <c r="W62" s="836">
        <v>83840</v>
      </c>
    </row>
    <row r="63" spans="1:23" s="331" customFormat="1" ht="13.5">
      <c r="A63" s="1544"/>
      <c r="B63" s="726" t="s">
        <v>742</v>
      </c>
      <c r="C63" s="821"/>
      <c r="D63" s="822"/>
      <c r="E63" s="822"/>
      <c r="F63" s="822"/>
      <c r="G63" s="822"/>
      <c r="H63" s="822"/>
      <c r="I63" s="822"/>
      <c r="J63" s="822"/>
      <c r="K63" s="822"/>
      <c r="L63" s="822"/>
      <c r="M63" s="822"/>
      <c r="N63" s="823"/>
      <c r="O63" s="822"/>
      <c r="P63" s="822"/>
      <c r="Q63" s="822"/>
      <c r="R63" s="821"/>
      <c r="S63" s="822"/>
      <c r="T63" s="822"/>
      <c r="U63" s="822"/>
      <c r="V63" s="819"/>
      <c r="W63" s="725"/>
    </row>
    <row r="64" spans="1:23" s="331" customFormat="1" ht="13.5">
      <c r="A64" s="1544" t="s">
        <v>1205</v>
      </c>
      <c r="B64" s="838" t="s">
        <v>520</v>
      </c>
      <c r="C64" s="826" t="s">
        <v>920</v>
      </c>
      <c r="D64" s="835">
        <v>6</v>
      </c>
      <c r="E64" s="835">
        <v>18</v>
      </c>
      <c r="F64" s="835">
        <v>28</v>
      </c>
      <c r="G64" s="835">
        <v>53</v>
      </c>
      <c r="H64" s="835" t="s">
        <v>920</v>
      </c>
      <c r="I64" s="835">
        <v>76</v>
      </c>
      <c r="J64" s="835">
        <v>18</v>
      </c>
      <c r="K64" s="835">
        <v>23</v>
      </c>
      <c r="L64" s="835">
        <v>28</v>
      </c>
      <c r="M64" s="835">
        <v>27</v>
      </c>
      <c r="N64" s="827">
        <v>12</v>
      </c>
      <c r="O64" s="835">
        <v>18</v>
      </c>
      <c r="P64" s="835">
        <v>28</v>
      </c>
      <c r="Q64" s="835">
        <v>31</v>
      </c>
      <c r="R64" s="826">
        <v>7</v>
      </c>
      <c r="S64" s="835">
        <v>49</v>
      </c>
      <c r="T64" s="835">
        <v>7</v>
      </c>
      <c r="U64" s="835" t="s">
        <v>920</v>
      </c>
      <c r="V64" s="834">
        <v>440</v>
      </c>
      <c r="W64" s="836">
        <v>3840</v>
      </c>
    </row>
    <row r="65" spans="1:23" s="331" customFormat="1" ht="13.5">
      <c r="A65" s="1544" t="s">
        <v>1182</v>
      </c>
      <c r="B65" s="838" t="s">
        <v>521</v>
      </c>
      <c r="C65" s="826">
        <v>15</v>
      </c>
      <c r="D65" s="835">
        <v>38</v>
      </c>
      <c r="E65" s="835">
        <v>38</v>
      </c>
      <c r="F65" s="835">
        <v>75</v>
      </c>
      <c r="G65" s="835">
        <v>188</v>
      </c>
      <c r="H65" s="835" t="s">
        <v>920</v>
      </c>
      <c r="I65" s="835">
        <v>189</v>
      </c>
      <c r="J65" s="835">
        <v>62</v>
      </c>
      <c r="K65" s="835">
        <v>55</v>
      </c>
      <c r="L65" s="835">
        <v>97</v>
      </c>
      <c r="M65" s="835">
        <v>43</v>
      </c>
      <c r="N65" s="827">
        <v>28</v>
      </c>
      <c r="O65" s="835">
        <v>31</v>
      </c>
      <c r="P65" s="835">
        <v>52</v>
      </c>
      <c r="Q65" s="835">
        <v>114</v>
      </c>
      <c r="R65" s="826">
        <v>36</v>
      </c>
      <c r="S65" s="835">
        <v>93</v>
      </c>
      <c r="T65" s="835">
        <v>11</v>
      </c>
      <c r="U65" s="835" t="s">
        <v>920</v>
      </c>
      <c r="V65" s="834">
        <v>1210</v>
      </c>
      <c r="W65" s="836">
        <v>11140</v>
      </c>
    </row>
    <row r="66" spans="1:23" s="331" customFormat="1" ht="13.5">
      <c r="A66" s="1544" t="s">
        <v>1183</v>
      </c>
      <c r="B66" s="838" t="s">
        <v>522</v>
      </c>
      <c r="C66" s="826" t="s">
        <v>920</v>
      </c>
      <c r="D66" s="835">
        <v>51</v>
      </c>
      <c r="E66" s="835">
        <v>71</v>
      </c>
      <c r="F66" s="835">
        <v>116</v>
      </c>
      <c r="G66" s="835">
        <v>343</v>
      </c>
      <c r="H66" s="835">
        <v>69</v>
      </c>
      <c r="I66" s="835">
        <v>221</v>
      </c>
      <c r="J66" s="835">
        <v>92</v>
      </c>
      <c r="K66" s="835">
        <v>48</v>
      </c>
      <c r="L66" s="835">
        <v>126</v>
      </c>
      <c r="M66" s="835">
        <v>58</v>
      </c>
      <c r="N66" s="827">
        <v>34</v>
      </c>
      <c r="O66" s="835">
        <v>39</v>
      </c>
      <c r="P66" s="835">
        <v>108</v>
      </c>
      <c r="Q66" s="835">
        <v>164</v>
      </c>
      <c r="R66" s="826">
        <v>34</v>
      </c>
      <c r="S66" s="835">
        <v>131</v>
      </c>
      <c r="T66" s="835">
        <v>25</v>
      </c>
      <c r="U66" s="835">
        <v>22</v>
      </c>
      <c r="V66" s="834">
        <v>1770</v>
      </c>
      <c r="W66" s="836">
        <v>14910</v>
      </c>
    </row>
    <row r="67" spans="1:23" s="331" customFormat="1" ht="13.5">
      <c r="A67" s="1544" t="s">
        <v>1184</v>
      </c>
      <c r="B67" s="838" t="s">
        <v>523</v>
      </c>
      <c r="C67" s="826">
        <v>64</v>
      </c>
      <c r="D67" s="835">
        <v>135</v>
      </c>
      <c r="E67" s="835">
        <v>195</v>
      </c>
      <c r="F67" s="835">
        <v>266</v>
      </c>
      <c r="G67" s="835">
        <v>763</v>
      </c>
      <c r="H67" s="835">
        <v>111</v>
      </c>
      <c r="I67" s="835">
        <v>692</v>
      </c>
      <c r="J67" s="835">
        <v>199</v>
      </c>
      <c r="K67" s="835">
        <v>129</v>
      </c>
      <c r="L67" s="835">
        <v>379</v>
      </c>
      <c r="M67" s="835">
        <v>156</v>
      </c>
      <c r="N67" s="827">
        <v>106</v>
      </c>
      <c r="O67" s="835">
        <v>70</v>
      </c>
      <c r="P67" s="835">
        <v>223</v>
      </c>
      <c r="Q67" s="835">
        <v>396</v>
      </c>
      <c r="R67" s="826">
        <v>61</v>
      </c>
      <c r="S67" s="835">
        <v>366</v>
      </c>
      <c r="T67" s="835">
        <v>50</v>
      </c>
      <c r="U67" s="835">
        <v>53</v>
      </c>
      <c r="V67" s="834">
        <v>4410</v>
      </c>
      <c r="W67" s="836">
        <v>31870</v>
      </c>
    </row>
    <row r="68" spans="1:23" s="331" customFormat="1" ht="13.5">
      <c r="A68" s="1544" t="s">
        <v>1185</v>
      </c>
      <c r="B68" s="838" t="s">
        <v>524</v>
      </c>
      <c r="C68" s="826">
        <v>59</v>
      </c>
      <c r="D68" s="835">
        <v>115</v>
      </c>
      <c r="E68" s="835">
        <v>175</v>
      </c>
      <c r="F68" s="835">
        <v>176</v>
      </c>
      <c r="G68" s="835">
        <v>506</v>
      </c>
      <c r="H68" s="835">
        <v>71</v>
      </c>
      <c r="I68" s="835">
        <v>764</v>
      </c>
      <c r="J68" s="835">
        <v>94</v>
      </c>
      <c r="K68" s="835">
        <v>99</v>
      </c>
      <c r="L68" s="835">
        <v>251</v>
      </c>
      <c r="M68" s="835">
        <v>104</v>
      </c>
      <c r="N68" s="827">
        <v>72</v>
      </c>
      <c r="O68" s="835">
        <v>95</v>
      </c>
      <c r="P68" s="835">
        <v>127</v>
      </c>
      <c r="Q68" s="835">
        <v>308</v>
      </c>
      <c r="R68" s="826">
        <v>59</v>
      </c>
      <c r="S68" s="835">
        <v>248</v>
      </c>
      <c r="T68" s="835">
        <v>58</v>
      </c>
      <c r="U68" s="835">
        <v>47</v>
      </c>
      <c r="V68" s="834">
        <v>3430</v>
      </c>
      <c r="W68" s="836">
        <v>22080</v>
      </c>
    </row>
    <row r="69" spans="1:23" s="331" customFormat="1" ht="13.5">
      <c r="A69" s="1544" t="s">
        <v>1186</v>
      </c>
      <c r="B69" s="838" t="s">
        <v>378</v>
      </c>
      <c r="C69" s="826">
        <v>98</v>
      </c>
      <c r="D69" s="826">
        <v>230</v>
      </c>
      <c r="E69" s="826">
        <v>322</v>
      </c>
      <c r="F69" s="826">
        <v>485</v>
      </c>
      <c r="G69" s="826">
        <v>1347</v>
      </c>
      <c r="H69" s="826">
        <v>217</v>
      </c>
      <c r="I69" s="826">
        <v>1178</v>
      </c>
      <c r="J69" s="826">
        <v>371</v>
      </c>
      <c r="K69" s="826">
        <v>255</v>
      </c>
      <c r="L69" s="826">
        <v>630</v>
      </c>
      <c r="M69" s="826">
        <v>284</v>
      </c>
      <c r="N69" s="826">
        <v>180</v>
      </c>
      <c r="O69" s="826">
        <v>158</v>
      </c>
      <c r="P69" s="826">
        <v>411</v>
      </c>
      <c r="Q69" s="826">
        <v>705</v>
      </c>
      <c r="R69" s="826">
        <v>138</v>
      </c>
      <c r="S69" s="826">
        <v>639</v>
      </c>
      <c r="T69" s="826">
        <v>93</v>
      </c>
      <c r="U69" s="826">
        <v>90</v>
      </c>
      <c r="V69" s="826">
        <v>7830</v>
      </c>
      <c r="W69" s="826">
        <v>61760</v>
      </c>
    </row>
    <row r="70" spans="1:23" s="331" customFormat="1" ht="13.5">
      <c r="A70" s="1544" t="s">
        <v>1187</v>
      </c>
      <c r="B70" s="838" t="s">
        <v>379</v>
      </c>
      <c r="C70" s="826">
        <v>40</v>
      </c>
      <c r="D70" s="835">
        <v>119</v>
      </c>
      <c r="E70" s="835">
        <v>158</v>
      </c>
      <c r="F70" s="835">
        <v>241</v>
      </c>
      <c r="G70" s="835">
        <v>636</v>
      </c>
      <c r="H70" s="835">
        <v>110</v>
      </c>
      <c r="I70" s="835">
        <v>458</v>
      </c>
      <c r="J70" s="835">
        <v>175</v>
      </c>
      <c r="K70" s="835">
        <v>103</v>
      </c>
      <c r="L70" s="835">
        <v>301</v>
      </c>
      <c r="M70" s="835">
        <v>145</v>
      </c>
      <c r="N70" s="827">
        <v>102</v>
      </c>
      <c r="O70" s="835">
        <v>50</v>
      </c>
      <c r="P70" s="835">
        <v>184</v>
      </c>
      <c r="Q70" s="835">
        <v>340</v>
      </c>
      <c r="R70" s="826">
        <v>54</v>
      </c>
      <c r="S70" s="835">
        <v>275</v>
      </c>
      <c r="T70" s="835">
        <v>35</v>
      </c>
      <c r="U70" s="835">
        <v>29</v>
      </c>
      <c r="V70" s="834">
        <v>3560</v>
      </c>
      <c r="W70" s="836">
        <v>29630</v>
      </c>
    </row>
    <row r="71" spans="1:23" s="331" customFormat="1" ht="13.5">
      <c r="A71" s="1544" t="s">
        <v>1188</v>
      </c>
      <c r="B71" s="838" t="s">
        <v>380</v>
      </c>
      <c r="C71" s="826">
        <v>25</v>
      </c>
      <c r="D71" s="835">
        <v>89</v>
      </c>
      <c r="E71" s="835">
        <v>97</v>
      </c>
      <c r="F71" s="835">
        <v>172</v>
      </c>
      <c r="G71" s="835">
        <v>409</v>
      </c>
      <c r="H71" s="835">
        <v>71</v>
      </c>
      <c r="I71" s="835">
        <v>330</v>
      </c>
      <c r="J71" s="835">
        <v>124</v>
      </c>
      <c r="K71" s="835">
        <v>65</v>
      </c>
      <c r="L71" s="835">
        <v>207</v>
      </c>
      <c r="M71" s="835">
        <v>106</v>
      </c>
      <c r="N71" s="827">
        <v>71</v>
      </c>
      <c r="O71" s="835">
        <v>29</v>
      </c>
      <c r="P71" s="835">
        <v>124</v>
      </c>
      <c r="Q71" s="835">
        <v>240</v>
      </c>
      <c r="R71" s="826">
        <v>39</v>
      </c>
      <c r="S71" s="835">
        <v>193</v>
      </c>
      <c r="T71" s="835">
        <v>23</v>
      </c>
      <c r="U71" s="835">
        <v>17</v>
      </c>
      <c r="V71" s="834">
        <v>2430</v>
      </c>
      <c r="W71" s="836">
        <v>20350</v>
      </c>
    </row>
    <row r="72" spans="1:23" s="331" customFormat="1" ht="13.5">
      <c r="A72" s="1544" t="s">
        <v>1220</v>
      </c>
      <c r="B72" s="838" t="s">
        <v>509</v>
      </c>
      <c r="C72" s="826">
        <v>32</v>
      </c>
      <c r="D72" s="835">
        <v>53</v>
      </c>
      <c r="E72" s="835">
        <v>71</v>
      </c>
      <c r="F72" s="835">
        <v>72</v>
      </c>
      <c r="G72" s="835">
        <v>239</v>
      </c>
      <c r="H72" s="835">
        <v>23</v>
      </c>
      <c r="I72" s="835">
        <v>445</v>
      </c>
      <c r="J72" s="835" t="s">
        <v>920</v>
      </c>
      <c r="K72" s="835">
        <v>31</v>
      </c>
      <c r="L72" s="835">
        <v>104</v>
      </c>
      <c r="M72" s="835">
        <v>39</v>
      </c>
      <c r="N72" s="827">
        <v>34</v>
      </c>
      <c r="O72" s="835">
        <v>40</v>
      </c>
      <c r="P72" s="835">
        <v>40</v>
      </c>
      <c r="Q72" s="835">
        <v>143</v>
      </c>
      <c r="R72" s="826">
        <v>26</v>
      </c>
      <c r="S72" s="835">
        <v>88</v>
      </c>
      <c r="T72" s="835">
        <v>31</v>
      </c>
      <c r="U72" s="835">
        <v>40</v>
      </c>
      <c r="V72" s="834">
        <v>1550</v>
      </c>
      <c r="W72" s="836">
        <v>7290</v>
      </c>
    </row>
    <row r="73" spans="1:23" s="331" customFormat="1" ht="13.5">
      <c r="A73" s="1544" t="s">
        <v>1189</v>
      </c>
      <c r="B73" s="838" t="s">
        <v>493</v>
      </c>
      <c r="C73" s="826">
        <v>18</v>
      </c>
      <c r="D73" s="835">
        <v>35</v>
      </c>
      <c r="E73" s="835">
        <v>60</v>
      </c>
      <c r="F73" s="835">
        <v>99</v>
      </c>
      <c r="G73" s="835">
        <v>300</v>
      </c>
      <c r="H73" s="835">
        <v>31</v>
      </c>
      <c r="I73" s="835">
        <v>241</v>
      </c>
      <c r="J73" s="835">
        <v>55</v>
      </c>
      <c r="K73" s="835">
        <v>54</v>
      </c>
      <c r="L73" s="835">
        <v>114</v>
      </c>
      <c r="M73" s="835">
        <v>30</v>
      </c>
      <c r="N73" s="827">
        <v>20</v>
      </c>
      <c r="O73" s="835">
        <v>28</v>
      </c>
      <c r="P73" s="835">
        <v>72</v>
      </c>
      <c r="Q73" s="835">
        <v>88</v>
      </c>
      <c r="R73" s="826">
        <v>22</v>
      </c>
      <c r="S73" s="835">
        <v>110</v>
      </c>
      <c r="T73" s="835">
        <v>16</v>
      </c>
      <c r="U73" s="835">
        <v>11</v>
      </c>
      <c r="V73" s="834">
        <v>1400</v>
      </c>
      <c r="W73" s="836">
        <v>8630</v>
      </c>
    </row>
    <row r="74" spans="1:23" s="331" customFormat="1" ht="13.5">
      <c r="A74" s="1544" t="s">
        <v>1307</v>
      </c>
      <c r="B74" s="473" t="s">
        <v>503</v>
      </c>
      <c r="C74" s="384"/>
      <c r="D74" s="817"/>
      <c r="E74" s="817"/>
      <c r="F74" s="817"/>
      <c r="G74" s="817"/>
      <c r="H74" s="817"/>
      <c r="I74" s="817"/>
      <c r="J74" s="817"/>
      <c r="K74" s="817"/>
      <c r="L74" s="817"/>
      <c r="M74" s="817"/>
      <c r="N74" s="385"/>
      <c r="O74" s="817"/>
      <c r="P74" s="817"/>
      <c r="Q74" s="817"/>
      <c r="R74" s="384"/>
      <c r="S74" s="817"/>
      <c r="T74" s="817"/>
      <c r="U74" s="817"/>
      <c r="V74" s="818"/>
      <c r="W74" s="381"/>
    </row>
    <row r="75" spans="1:23" s="331" customFormat="1" ht="13.5">
      <c r="A75" s="1544" t="s">
        <v>1308</v>
      </c>
      <c r="B75" s="473" t="s">
        <v>504</v>
      </c>
      <c r="C75" s="384"/>
      <c r="D75" s="817"/>
      <c r="E75" s="817"/>
      <c r="F75" s="817"/>
      <c r="G75" s="817"/>
      <c r="H75" s="817"/>
      <c r="I75" s="817"/>
      <c r="J75" s="817"/>
      <c r="K75" s="817"/>
      <c r="L75" s="817"/>
      <c r="M75" s="817"/>
      <c r="N75" s="385"/>
      <c r="O75" s="817"/>
      <c r="P75" s="817"/>
      <c r="Q75" s="817"/>
      <c r="R75" s="384"/>
      <c r="S75" s="817"/>
      <c r="T75" s="817"/>
      <c r="U75" s="817"/>
      <c r="V75" s="330"/>
      <c r="W75" s="381"/>
    </row>
    <row r="76" spans="1:23" s="331" customFormat="1" ht="13.5">
      <c r="A76" s="1544" t="s">
        <v>1221</v>
      </c>
      <c r="B76" s="838" t="s">
        <v>494</v>
      </c>
      <c r="C76" s="826">
        <v>84</v>
      </c>
      <c r="D76" s="835">
        <v>116</v>
      </c>
      <c r="E76" s="835">
        <v>193</v>
      </c>
      <c r="F76" s="835">
        <v>241</v>
      </c>
      <c r="G76" s="835">
        <v>731</v>
      </c>
      <c r="H76" s="835">
        <v>84</v>
      </c>
      <c r="I76" s="835">
        <v>1785</v>
      </c>
      <c r="J76" s="835">
        <v>162</v>
      </c>
      <c r="K76" s="835">
        <v>166</v>
      </c>
      <c r="L76" s="835">
        <v>368</v>
      </c>
      <c r="M76" s="835">
        <v>153</v>
      </c>
      <c r="N76" s="827">
        <v>99</v>
      </c>
      <c r="O76" s="835">
        <v>140</v>
      </c>
      <c r="P76" s="835">
        <v>195</v>
      </c>
      <c r="Q76" s="835">
        <v>379</v>
      </c>
      <c r="R76" s="826">
        <v>100</v>
      </c>
      <c r="S76" s="835">
        <v>398</v>
      </c>
      <c r="T76" s="835">
        <v>98</v>
      </c>
      <c r="U76" s="835">
        <v>67</v>
      </c>
      <c r="V76" s="834">
        <v>5560</v>
      </c>
      <c r="W76" s="836">
        <v>33000</v>
      </c>
    </row>
    <row r="77" spans="1:23" s="331" customFormat="1" ht="13.5">
      <c r="A77" s="1544" t="s">
        <v>1309</v>
      </c>
      <c r="B77" s="473" t="s">
        <v>495</v>
      </c>
      <c r="C77" s="384"/>
      <c r="D77" s="817"/>
      <c r="E77" s="817"/>
      <c r="F77" s="817"/>
      <c r="G77" s="817"/>
      <c r="H77" s="817"/>
      <c r="I77" s="817"/>
      <c r="J77" s="817"/>
      <c r="K77" s="817"/>
      <c r="L77" s="817"/>
      <c r="M77" s="817"/>
      <c r="N77" s="385"/>
      <c r="O77" s="817"/>
      <c r="P77" s="817"/>
      <c r="Q77" s="817"/>
      <c r="R77" s="384"/>
      <c r="S77" s="817"/>
      <c r="T77" s="817"/>
      <c r="U77" s="817"/>
      <c r="V77" s="818"/>
      <c r="W77" s="381"/>
    </row>
    <row r="78" spans="1:23" s="331" customFormat="1" ht="13.5">
      <c r="A78" s="1544" t="s">
        <v>1190</v>
      </c>
      <c r="B78" s="838" t="s">
        <v>496</v>
      </c>
      <c r="C78" s="826">
        <v>0</v>
      </c>
      <c r="D78" s="835">
        <v>0</v>
      </c>
      <c r="E78" s="835" t="s">
        <v>920</v>
      </c>
      <c r="F78" s="835">
        <v>6</v>
      </c>
      <c r="G78" s="835" t="s">
        <v>920</v>
      </c>
      <c r="H78" s="835" t="s">
        <v>920</v>
      </c>
      <c r="I78" s="835">
        <v>12</v>
      </c>
      <c r="J78" s="835" t="s">
        <v>920</v>
      </c>
      <c r="K78" s="835">
        <v>0</v>
      </c>
      <c r="L78" s="835" t="s">
        <v>920</v>
      </c>
      <c r="M78" s="835" t="s">
        <v>920</v>
      </c>
      <c r="N78" s="827" t="s">
        <v>920</v>
      </c>
      <c r="O78" s="835" t="s">
        <v>920</v>
      </c>
      <c r="P78" s="835">
        <v>7</v>
      </c>
      <c r="Q78" s="835" t="s">
        <v>920</v>
      </c>
      <c r="R78" s="826">
        <v>0</v>
      </c>
      <c r="S78" s="835" t="s">
        <v>920</v>
      </c>
      <c r="T78" s="835" t="s">
        <v>920</v>
      </c>
      <c r="U78" s="835">
        <v>0</v>
      </c>
      <c r="V78" s="834">
        <v>50</v>
      </c>
      <c r="W78" s="836">
        <v>470</v>
      </c>
    </row>
    <row r="79" spans="1:23" s="331" customFormat="1" ht="13.5">
      <c r="A79" s="1544" t="s">
        <v>1191</v>
      </c>
      <c r="B79" s="838" t="s">
        <v>533</v>
      </c>
      <c r="C79" s="826" t="s">
        <v>920</v>
      </c>
      <c r="D79" s="835">
        <v>20</v>
      </c>
      <c r="E79" s="835" t="s">
        <v>920</v>
      </c>
      <c r="F79" s="835">
        <v>16</v>
      </c>
      <c r="G79" s="835">
        <v>37</v>
      </c>
      <c r="H79" s="835" t="s">
        <v>920</v>
      </c>
      <c r="I79" s="835">
        <v>46</v>
      </c>
      <c r="J79" s="835">
        <v>10</v>
      </c>
      <c r="K79" s="835">
        <v>9</v>
      </c>
      <c r="L79" s="835">
        <v>16</v>
      </c>
      <c r="M79" s="835">
        <v>6</v>
      </c>
      <c r="N79" s="827" t="s">
        <v>920</v>
      </c>
      <c r="O79" s="835" t="s">
        <v>920</v>
      </c>
      <c r="P79" s="835">
        <v>16</v>
      </c>
      <c r="Q79" s="835">
        <v>10</v>
      </c>
      <c r="R79" s="826" t="s">
        <v>920</v>
      </c>
      <c r="S79" s="835">
        <v>20</v>
      </c>
      <c r="T79" s="835" t="s">
        <v>920</v>
      </c>
      <c r="U79" s="835">
        <v>6</v>
      </c>
      <c r="V79" s="834">
        <v>230</v>
      </c>
      <c r="W79" s="836">
        <v>1990</v>
      </c>
    </row>
    <row r="80" spans="1:23" s="331" customFormat="1" ht="13.5">
      <c r="A80" s="1544" t="s">
        <v>1222</v>
      </c>
      <c r="B80" s="838" t="s">
        <v>381</v>
      </c>
      <c r="C80" s="826">
        <v>68</v>
      </c>
      <c r="D80" s="835">
        <v>163</v>
      </c>
      <c r="E80" s="835">
        <v>199</v>
      </c>
      <c r="F80" s="835">
        <v>213</v>
      </c>
      <c r="G80" s="835">
        <v>612</v>
      </c>
      <c r="H80" s="835">
        <v>77</v>
      </c>
      <c r="I80" s="835">
        <v>1631</v>
      </c>
      <c r="J80" s="835">
        <v>147</v>
      </c>
      <c r="K80" s="835">
        <v>174</v>
      </c>
      <c r="L80" s="835">
        <v>347</v>
      </c>
      <c r="M80" s="835">
        <v>157</v>
      </c>
      <c r="N80" s="827">
        <v>82</v>
      </c>
      <c r="O80" s="835">
        <v>121</v>
      </c>
      <c r="P80" s="835">
        <v>218</v>
      </c>
      <c r="Q80" s="835">
        <v>421</v>
      </c>
      <c r="R80" s="826">
        <v>70</v>
      </c>
      <c r="S80" s="835">
        <v>377</v>
      </c>
      <c r="T80" s="835">
        <v>73</v>
      </c>
      <c r="U80" s="835">
        <v>67</v>
      </c>
      <c r="V80" s="834">
        <v>5220</v>
      </c>
      <c r="W80" s="836">
        <v>31680</v>
      </c>
    </row>
    <row r="81" spans="1:23" s="331" customFormat="1" ht="13.5">
      <c r="A81" s="1544" t="s">
        <v>1310</v>
      </c>
      <c r="B81" s="473" t="s">
        <v>868</v>
      </c>
      <c r="C81" s="384"/>
      <c r="D81" s="817"/>
      <c r="E81" s="817"/>
      <c r="F81" s="817"/>
      <c r="G81" s="817"/>
      <c r="H81" s="817"/>
      <c r="I81" s="817"/>
      <c r="J81" s="817"/>
      <c r="K81" s="817"/>
      <c r="L81" s="817"/>
      <c r="M81" s="817"/>
      <c r="N81" s="385"/>
      <c r="O81" s="817"/>
      <c r="P81" s="817"/>
      <c r="Q81" s="817"/>
      <c r="R81" s="384"/>
      <c r="S81" s="817"/>
      <c r="T81" s="817"/>
      <c r="U81" s="817"/>
      <c r="V81" s="818"/>
      <c r="W81" s="381"/>
    </row>
    <row r="82" spans="1:23" s="331" customFormat="1" ht="13.5">
      <c r="A82" s="1544" t="s">
        <v>1311</v>
      </c>
      <c r="B82" s="473" t="s">
        <v>869</v>
      </c>
      <c r="C82" s="384"/>
      <c r="D82" s="817"/>
      <c r="E82" s="817"/>
      <c r="F82" s="817"/>
      <c r="G82" s="817"/>
      <c r="H82" s="817"/>
      <c r="I82" s="817"/>
      <c r="J82" s="817"/>
      <c r="K82" s="817"/>
      <c r="L82" s="817"/>
      <c r="M82" s="817"/>
      <c r="N82" s="385"/>
      <c r="O82" s="817"/>
      <c r="P82" s="817"/>
      <c r="Q82" s="817"/>
      <c r="R82" s="384"/>
      <c r="S82" s="817"/>
      <c r="T82" s="817"/>
      <c r="U82" s="817"/>
      <c r="V82" s="818"/>
      <c r="W82" s="381"/>
    </row>
    <row r="83" spans="1:23" s="331" customFormat="1" ht="13.5">
      <c r="A83" s="1544" t="s">
        <v>1193</v>
      </c>
      <c r="B83" s="838" t="s">
        <v>382</v>
      </c>
      <c r="C83" s="826">
        <v>6</v>
      </c>
      <c r="D83" s="835">
        <v>11</v>
      </c>
      <c r="E83" s="835">
        <v>16</v>
      </c>
      <c r="F83" s="835">
        <v>15</v>
      </c>
      <c r="G83" s="835">
        <v>57</v>
      </c>
      <c r="H83" s="835" t="s">
        <v>920</v>
      </c>
      <c r="I83" s="835">
        <v>56</v>
      </c>
      <c r="J83" s="835">
        <v>21</v>
      </c>
      <c r="K83" s="835">
        <v>19</v>
      </c>
      <c r="L83" s="835">
        <v>24</v>
      </c>
      <c r="M83" s="835">
        <v>13</v>
      </c>
      <c r="N83" s="827">
        <v>14</v>
      </c>
      <c r="O83" s="835">
        <v>20</v>
      </c>
      <c r="P83" s="835">
        <v>32</v>
      </c>
      <c r="Q83" s="835">
        <v>31</v>
      </c>
      <c r="R83" s="826" t="s">
        <v>920</v>
      </c>
      <c r="S83" s="835">
        <v>29</v>
      </c>
      <c r="T83" s="835">
        <v>6</v>
      </c>
      <c r="U83" s="835" t="s">
        <v>920</v>
      </c>
      <c r="V83" s="825">
        <v>380</v>
      </c>
      <c r="W83" s="836">
        <v>2960</v>
      </c>
    </row>
    <row r="84" spans="1:23" s="331" customFormat="1" ht="13.5">
      <c r="A84" s="1544" t="s">
        <v>1312</v>
      </c>
      <c r="B84" s="838" t="s">
        <v>383</v>
      </c>
      <c r="C84" s="835">
        <v>5399</v>
      </c>
      <c r="D84" s="835">
        <v>6960</v>
      </c>
      <c r="E84" s="835">
        <v>6707</v>
      </c>
      <c r="F84" s="835">
        <v>8706</v>
      </c>
      <c r="G84" s="835">
        <v>28540</v>
      </c>
      <c r="H84" s="835" t="s">
        <v>920</v>
      </c>
      <c r="I84" s="835">
        <v>19717</v>
      </c>
      <c r="J84" s="835">
        <v>8958</v>
      </c>
      <c r="K84" s="835">
        <v>6285</v>
      </c>
      <c r="L84" s="835">
        <v>9602</v>
      </c>
      <c r="M84" s="835">
        <v>5332</v>
      </c>
      <c r="N84" s="835">
        <v>7174</v>
      </c>
      <c r="O84" s="835">
        <v>10835.78947368421</v>
      </c>
      <c r="P84" s="835">
        <v>11091</v>
      </c>
      <c r="Q84" s="835">
        <v>13890</v>
      </c>
      <c r="R84" s="835" t="s">
        <v>920</v>
      </c>
      <c r="S84" s="835">
        <v>11030</v>
      </c>
      <c r="T84" s="835">
        <v>1874</v>
      </c>
      <c r="U84" s="835" t="s">
        <v>920</v>
      </c>
      <c r="V84" s="825">
        <v>167960</v>
      </c>
      <c r="W84" s="836">
        <v>1420800</v>
      </c>
    </row>
    <row r="85" spans="1:23" s="331" customFormat="1" ht="22.5">
      <c r="A85" s="1544" t="s">
        <v>1313</v>
      </c>
      <c r="B85" s="473" t="s">
        <v>384</v>
      </c>
      <c r="C85" s="817"/>
      <c r="D85" s="817"/>
      <c r="E85" s="817"/>
      <c r="F85" s="817"/>
      <c r="G85" s="817"/>
      <c r="H85" s="817"/>
      <c r="I85" s="817"/>
      <c r="J85" s="817"/>
      <c r="K85" s="817"/>
      <c r="L85" s="817"/>
      <c r="M85" s="817"/>
      <c r="N85" s="817"/>
      <c r="O85" s="817"/>
      <c r="P85" s="817"/>
      <c r="Q85" s="817"/>
      <c r="R85" s="817"/>
      <c r="S85" s="817"/>
      <c r="T85" s="817"/>
      <c r="U85" s="817"/>
      <c r="V85" s="818"/>
      <c r="W85" s="381"/>
    </row>
    <row r="86" spans="1:23" s="331" customFormat="1" ht="13.5">
      <c r="A86" s="1544" t="s">
        <v>1194</v>
      </c>
      <c r="B86" s="838" t="s">
        <v>870</v>
      </c>
      <c r="C86" s="835">
        <v>7</v>
      </c>
      <c r="D86" s="835">
        <v>13</v>
      </c>
      <c r="E86" s="835">
        <v>12</v>
      </c>
      <c r="F86" s="835">
        <v>19</v>
      </c>
      <c r="G86" s="835">
        <v>40</v>
      </c>
      <c r="H86" s="835" t="s">
        <v>920</v>
      </c>
      <c r="I86" s="835">
        <v>31</v>
      </c>
      <c r="J86" s="835">
        <v>10</v>
      </c>
      <c r="K86" s="835">
        <v>10</v>
      </c>
      <c r="L86" s="835">
        <v>10</v>
      </c>
      <c r="M86" s="835">
        <v>15</v>
      </c>
      <c r="N86" s="835">
        <v>7</v>
      </c>
      <c r="O86" s="835">
        <v>8</v>
      </c>
      <c r="P86" s="835">
        <v>26</v>
      </c>
      <c r="Q86" s="835">
        <v>25</v>
      </c>
      <c r="R86" s="835">
        <v>10</v>
      </c>
      <c r="S86" s="835">
        <v>30</v>
      </c>
      <c r="T86" s="835">
        <v>6</v>
      </c>
      <c r="U86" s="835" t="s">
        <v>920</v>
      </c>
      <c r="V86" s="834">
        <v>290</v>
      </c>
      <c r="W86" s="1545">
        <v>2290</v>
      </c>
    </row>
    <row r="87" spans="1:23" s="331" customFormat="1" ht="13.5">
      <c r="A87" s="1544" t="s">
        <v>1314</v>
      </c>
      <c r="B87" s="838" t="s">
        <v>888</v>
      </c>
      <c r="C87" s="842">
        <v>12</v>
      </c>
      <c r="D87" s="842">
        <v>55</v>
      </c>
      <c r="E87" s="842">
        <v>51</v>
      </c>
      <c r="F87" s="842">
        <v>49</v>
      </c>
      <c r="G87" s="842">
        <v>163</v>
      </c>
      <c r="H87" s="842">
        <v>18</v>
      </c>
      <c r="I87" s="842">
        <v>151</v>
      </c>
      <c r="J87" s="842">
        <v>41</v>
      </c>
      <c r="K87" s="842">
        <v>30</v>
      </c>
      <c r="L87" s="842">
        <v>46</v>
      </c>
      <c r="M87" s="842">
        <v>48</v>
      </c>
      <c r="N87" s="842">
        <v>23</v>
      </c>
      <c r="O87" s="842">
        <v>20</v>
      </c>
      <c r="P87" s="842">
        <v>55</v>
      </c>
      <c r="Q87" s="842">
        <v>100</v>
      </c>
      <c r="R87" s="842">
        <v>24</v>
      </c>
      <c r="S87" s="842">
        <v>78</v>
      </c>
      <c r="T87" s="842">
        <v>19</v>
      </c>
      <c r="U87" s="842">
        <v>16</v>
      </c>
      <c r="V87" s="825">
        <v>1000</v>
      </c>
      <c r="W87" s="844">
        <v>7160</v>
      </c>
    </row>
    <row r="88" spans="1:23" s="331" customFormat="1" ht="13.5">
      <c r="A88" s="1544" t="s">
        <v>1195</v>
      </c>
      <c r="B88" s="838" t="s">
        <v>489</v>
      </c>
      <c r="C88" s="842">
        <v>72</v>
      </c>
      <c r="D88" s="842">
        <v>209</v>
      </c>
      <c r="E88" s="842">
        <v>247</v>
      </c>
      <c r="F88" s="842">
        <v>247</v>
      </c>
      <c r="G88" s="842">
        <v>710</v>
      </c>
      <c r="H88" s="842">
        <v>76</v>
      </c>
      <c r="I88" s="842">
        <v>1214</v>
      </c>
      <c r="J88" s="842">
        <v>147</v>
      </c>
      <c r="K88" s="842">
        <v>169</v>
      </c>
      <c r="L88" s="842">
        <v>354</v>
      </c>
      <c r="M88" s="842">
        <v>259</v>
      </c>
      <c r="N88" s="842">
        <v>115</v>
      </c>
      <c r="O88" s="842">
        <v>95</v>
      </c>
      <c r="P88" s="842">
        <v>161</v>
      </c>
      <c r="Q88" s="842">
        <v>561</v>
      </c>
      <c r="R88" s="842">
        <v>104</v>
      </c>
      <c r="S88" s="842">
        <v>441</v>
      </c>
      <c r="T88" s="842">
        <v>61</v>
      </c>
      <c r="U88" s="842">
        <v>60</v>
      </c>
      <c r="V88" s="825">
        <v>5300</v>
      </c>
      <c r="W88" s="844">
        <v>34650</v>
      </c>
    </row>
    <row r="89" spans="1:23" s="331" customFormat="1" ht="13.5">
      <c r="A89" s="1544" t="s">
        <v>1196</v>
      </c>
      <c r="B89" s="838" t="s">
        <v>490</v>
      </c>
      <c r="C89" s="842">
        <v>62</v>
      </c>
      <c r="D89" s="842">
        <v>202</v>
      </c>
      <c r="E89" s="842">
        <v>224</v>
      </c>
      <c r="F89" s="842">
        <v>225</v>
      </c>
      <c r="G89" s="842">
        <v>529</v>
      </c>
      <c r="H89" s="842">
        <v>70</v>
      </c>
      <c r="I89" s="842">
        <v>1137</v>
      </c>
      <c r="J89" s="842">
        <v>146</v>
      </c>
      <c r="K89" s="842">
        <v>153</v>
      </c>
      <c r="L89" s="842">
        <v>329</v>
      </c>
      <c r="M89" s="842">
        <v>228</v>
      </c>
      <c r="N89" s="842">
        <v>98</v>
      </c>
      <c r="O89" s="842">
        <v>75</v>
      </c>
      <c r="P89" s="842">
        <v>140</v>
      </c>
      <c r="Q89" s="842">
        <v>531</v>
      </c>
      <c r="R89" s="842">
        <v>96</v>
      </c>
      <c r="S89" s="842">
        <v>416</v>
      </c>
      <c r="T89" s="842">
        <v>57</v>
      </c>
      <c r="U89" s="842">
        <v>55</v>
      </c>
      <c r="V89" s="825">
        <v>4770</v>
      </c>
      <c r="W89" s="844">
        <v>32050</v>
      </c>
    </row>
    <row r="90" spans="1:23" s="331" customFormat="1" ht="13.5">
      <c r="A90" s="1544" t="s">
        <v>1197</v>
      </c>
      <c r="B90" s="838" t="s">
        <v>491</v>
      </c>
      <c r="C90" s="842">
        <v>62</v>
      </c>
      <c r="D90" s="842">
        <v>190</v>
      </c>
      <c r="E90" s="842">
        <v>213</v>
      </c>
      <c r="F90" s="842">
        <v>216</v>
      </c>
      <c r="G90" s="842">
        <v>494</v>
      </c>
      <c r="H90" s="842">
        <v>68</v>
      </c>
      <c r="I90" s="842">
        <v>1068</v>
      </c>
      <c r="J90" s="842">
        <v>138</v>
      </c>
      <c r="K90" s="842">
        <v>147</v>
      </c>
      <c r="L90" s="842">
        <v>310</v>
      </c>
      <c r="M90" s="842">
        <v>214</v>
      </c>
      <c r="N90" s="842">
        <v>92</v>
      </c>
      <c r="O90" s="842">
        <v>81</v>
      </c>
      <c r="P90" s="842">
        <v>129</v>
      </c>
      <c r="Q90" s="842">
        <v>507</v>
      </c>
      <c r="R90" s="842">
        <v>97</v>
      </c>
      <c r="S90" s="842">
        <v>401</v>
      </c>
      <c r="T90" s="842">
        <v>57</v>
      </c>
      <c r="U90" s="842">
        <v>57</v>
      </c>
      <c r="V90" s="825">
        <v>4540</v>
      </c>
      <c r="W90" s="844">
        <v>30320</v>
      </c>
    </row>
    <row r="91" spans="1:23" s="331" customFormat="1" ht="13.5">
      <c r="A91" s="1544" t="s">
        <v>1198</v>
      </c>
      <c r="B91" s="838" t="s">
        <v>492</v>
      </c>
      <c r="C91" s="842">
        <v>41</v>
      </c>
      <c r="D91" s="842">
        <v>137</v>
      </c>
      <c r="E91" s="842">
        <v>159</v>
      </c>
      <c r="F91" s="842">
        <v>138</v>
      </c>
      <c r="G91" s="842">
        <v>359</v>
      </c>
      <c r="H91" s="842">
        <v>54</v>
      </c>
      <c r="I91" s="842">
        <v>685</v>
      </c>
      <c r="J91" s="842">
        <v>84</v>
      </c>
      <c r="K91" s="842">
        <v>88</v>
      </c>
      <c r="L91" s="842">
        <v>204</v>
      </c>
      <c r="M91" s="842">
        <v>140</v>
      </c>
      <c r="N91" s="842">
        <v>58</v>
      </c>
      <c r="O91" s="842">
        <v>47</v>
      </c>
      <c r="P91" s="842">
        <v>73</v>
      </c>
      <c r="Q91" s="842">
        <v>323</v>
      </c>
      <c r="R91" s="842">
        <v>67</v>
      </c>
      <c r="S91" s="842">
        <v>266</v>
      </c>
      <c r="T91" s="842">
        <v>41</v>
      </c>
      <c r="U91" s="842">
        <v>34</v>
      </c>
      <c r="V91" s="825">
        <v>3000</v>
      </c>
      <c r="W91" s="844">
        <v>19380</v>
      </c>
    </row>
    <row r="92" spans="1:23" s="331" customFormat="1" ht="13.5">
      <c r="A92" s="1544" t="s">
        <v>1206</v>
      </c>
      <c r="B92" s="838" t="s">
        <v>537</v>
      </c>
      <c r="C92" s="835" t="s">
        <v>920</v>
      </c>
      <c r="D92" s="835">
        <v>9</v>
      </c>
      <c r="E92" s="835">
        <v>0</v>
      </c>
      <c r="F92" s="835">
        <v>8</v>
      </c>
      <c r="G92" s="835">
        <v>10</v>
      </c>
      <c r="H92" s="835" t="s">
        <v>920</v>
      </c>
      <c r="I92" s="835">
        <v>14</v>
      </c>
      <c r="J92" s="835">
        <v>8</v>
      </c>
      <c r="K92" s="835" t="s">
        <v>920</v>
      </c>
      <c r="L92" s="835" t="s">
        <v>920</v>
      </c>
      <c r="M92" s="835">
        <v>13</v>
      </c>
      <c r="N92" s="835" t="s">
        <v>920</v>
      </c>
      <c r="O92" s="835" t="s">
        <v>920</v>
      </c>
      <c r="P92" s="835">
        <v>15</v>
      </c>
      <c r="Q92" s="835">
        <v>9</v>
      </c>
      <c r="R92" s="835" t="s">
        <v>920</v>
      </c>
      <c r="S92" s="835">
        <v>13</v>
      </c>
      <c r="T92" s="835" t="s">
        <v>920</v>
      </c>
      <c r="U92" s="835">
        <v>10</v>
      </c>
      <c r="V92" s="834">
        <v>130</v>
      </c>
      <c r="W92" s="1545">
        <v>1110</v>
      </c>
    </row>
    <row r="93" spans="1:23" s="331" customFormat="1" ht="13.5">
      <c r="A93" s="1544" t="s">
        <v>1241</v>
      </c>
      <c r="B93" s="838" t="s">
        <v>538</v>
      </c>
      <c r="C93" s="835" t="s">
        <v>920</v>
      </c>
      <c r="D93" s="835">
        <v>14</v>
      </c>
      <c r="E93" s="835">
        <v>14</v>
      </c>
      <c r="F93" s="835">
        <v>40</v>
      </c>
      <c r="G93" s="835">
        <v>81</v>
      </c>
      <c r="H93" s="835">
        <v>6</v>
      </c>
      <c r="I93" s="835">
        <v>33</v>
      </c>
      <c r="J93" s="835">
        <v>11</v>
      </c>
      <c r="K93" s="835">
        <v>31</v>
      </c>
      <c r="L93" s="835">
        <v>35</v>
      </c>
      <c r="M93" s="835">
        <v>11</v>
      </c>
      <c r="N93" s="835" t="s">
        <v>920</v>
      </c>
      <c r="O93" s="835">
        <v>12</v>
      </c>
      <c r="P93" s="835">
        <v>30</v>
      </c>
      <c r="Q93" s="835">
        <v>82</v>
      </c>
      <c r="R93" s="835" t="s">
        <v>920</v>
      </c>
      <c r="S93" s="835">
        <v>51</v>
      </c>
      <c r="T93" s="835">
        <v>10</v>
      </c>
      <c r="U93" s="835">
        <v>6</v>
      </c>
      <c r="V93" s="834">
        <v>830</v>
      </c>
      <c r="W93" s="1545">
        <v>7690</v>
      </c>
    </row>
    <row r="94" spans="1:23" s="331" customFormat="1" ht="13.5">
      <c r="A94" s="1544" t="s">
        <v>1315</v>
      </c>
      <c r="B94" s="477" t="s">
        <v>385</v>
      </c>
      <c r="C94" s="817"/>
      <c r="D94" s="817"/>
      <c r="E94" s="817"/>
      <c r="F94" s="817"/>
      <c r="G94" s="817"/>
      <c r="H94" s="817"/>
      <c r="I94" s="817"/>
      <c r="J94" s="817"/>
      <c r="K94" s="817"/>
      <c r="L94" s="817"/>
      <c r="M94" s="817"/>
      <c r="N94" s="817"/>
      <c r="O94" s="817"/>
      <c r="P94" s="817"/>
      <c r="Q94" s="817"/>
      <c r="R94" s="817"/>
      <c r="S94" s="817"/>
      <c r="T94" s="817"/>
      <c r="U94" s="817"/>
      <c r="V94" s="818"/>
      <c r="W94" s="820"/>
    </row>
    <row r="95" spans="1:23" s="331" customFormat="1" ht="13.5">
      <c r="A95" s="1544" t="s">
        <v>1316</v>
      </c>
      <c r="B95" s="477" t="s">
        <v>386</v>
      </c>
      <c r="C95" s="817"/>
      <c r="D95" s="817"/>
      <c r="E95" s="817"/>
      <c r="F95" s="817"/>
      <c r="G95" s="817"/>
      <c r="H95" s="817"/>
      <c r="I95" s="817"/>
      <c r="J95" s="817"/>
      <c r="K95" s="817"/>
      <c r="L95" s="817"/>
      <c r="M95" s="817"/>
      <c r="N95" s="817"/>
      <c r="O95" s="817"/>
      <c r="P95" s="817"/>
      <c r="Q95" s="817"/>
      <c r="R95" s="817"/>
      <c r="S95" s="817"/>
      <c r="T95" s="817"/>
      <c r="U95" s="817"/>
      <c r="V95" s="818"/>
      <c r="W95" s="820"/>
    </row>
    <row r="96" spans="1:23" s="331" customFormat="1" ht="13.5">
      <c r="A96" s="1544" t="s">
        <v>1223</v>
      </c>
      <c r="B96" s="838" t="s">
        <v>487</v>
      </c>
      <c r="C96" s="842">
        <v>15.22</v>
      </c>
      <c r="D96" s="842">
        <v>36.35</v>
      </c>
      <c r="E96" s="842">
        <v>74.86</v>
      </c>
      <c r="F96" s="842">
        <v>54.31</v>
      </c>
      <c r="G96" s="842">
        <v>129.53</v>
      </c>
      <c r="H96" s="842">
        <v>29.9</v>
      </c>
      <c r="I96" s="842">
        <v>246.99</v>
      </c>
      <c r="J96" s="842">
        <v>58.35</v>
      </c>
      <c r="K96" s="842">
        <v>54.78</v>
      </c>
      <c r="L96" s="842">
        <v>108.21</v>
      </c>
      <c r="M96" s="842">
        <v>41.3</v>
      </c>
      <c r="N96" s="842">
        <v>30.82</v>
      </c>
      <c r="O96" s="842">
        <v>34.54</v>
      </c>
      <c r="P96" s="842">
        <v>40.97</v>
      </c>
      <c r="Q96" s="842">
        <v>106.24</v>
      </c>
      <c r="R96" s="842">
        <v>29.93</v>
      </c>
      <c r="S96" s="842">
        <v>78.930000000000007</v>
      </c>
      <c r="T96" s="842">
        <v>21.75</v>
      </c>
      <c r="U96" s="842">
        <v>26.38</v>
      </c>
      <c r="V96" s="825">
        <v>1219.3600000000001</v>
      </c>
      <c r="W96" s="844">
        <v>8128.3</v>
      </c>
    </row>
    <row r="97" spans="1:23" s="331" customFormat="1" ht="13.5">
      <c r="A97" s="1544" t="s">
        <v>1317</v>
      </c>
      <c r="B97" s="473" t="s">
        <v>488</v>
      </c>
      <c r="C97" s="602"/>
      <c r="D97" s="602"/>
      <c r="E97" s="602"/>
      <c r="F97" s="602"/>
      <c r="G97" s="602"/>
      <c r="H97" s="602"/>
      <c r="I97" s="602"/>
      <c r="J97" s="602"/>
      <c r="K97" s="602"/>
      <c r="L97" s="602"/>
      <c r="M97" s="602"/>
      <c r="N97" s="602"/>
      <c r="O97" s="602"/>
      <c r="P97" s="602"/>
      <c r="Q97" s="602"/>
      <c r="R97" s="602"/>
      <c r="S97" s="602"/>
      <c r="T97" s="602"/>
      <c r="U97" s="602"/>
      <c r="V97" s="330"/>
      <c r="W97" s="603"/>
    </row>
    <row r="98" spans="1:23" s="331" customFormat="1" ht="13.5">
      <c r="A98" s="1544" t="s">
        <v>1318</v>
      </c>
      <c r="B98" s="473" t="s">
        <v>1069</v>
      </c>
      <c r="C98" s="602"/>
      <c r="D98" s="602"/>
      <c r="E98" s="602"/>
      <c r="F98" s="602"/>
      <c r="G98" s="602"/>
      <c r="H98" s="602"/>
      <c r="I98" s="602"/>
      <c r="J98" s="602"/>
      <c r="K98" s="602"/>
      <c r="L98" s="602"/>
      <c r="M98" s="602"/>
      <c r="N98" s="602"/>
      <c r="O98" s="602"/>
      <c r="P98" s="602"/>
      <c r="Q98" s="602"/>
      <c r="R98" s="602"/>
      <c r="S98" s="602"/>
      <c r="T98" s="602"/>
      <c r="U98" s="602"/>
      <c r="V98" s="330"/>
      <c r="W98" s="603"/>
    </row>
    <row r="99" spans="1:23" s="331" customFormat="1" ht="13.5">
      <c r="A99" s="1544" t="s">
        <v>1204</v>
      </c>
      <c r="B99" s="838" t="s">
        <v>770</v>
      </c>
      <c r="C99" s="842">
        <v>21</v>
      </c>
      <c r="D99" s="842">
        <v>37</v>
      </c>
      <c r="E99" s="842">
        <v>59</v>
      </c>
      <c r="F99" s="842">
        <v>69</v>
      </c>
      <c r="G99" s="842">
        <v>224</v>
      </c>
      <c r="H99" s="842">
        <v>36</v>
      </c>
      <c r="I99" s="842">
        <v>263</v>
      </c>
      <c r="J99" s="842">
        <v>84</v>
      </c>
      <c r="K99" s="842">
        <v>72</v>
      </c>
      <c r="L99" s="842">
        <v>106</v>
      </c>
      <c r="M99" s="842">
        <v>65</v>
      </c>
      <c r="N99" s="842">
        <v>33</v>
      </c>
      <c r="O99" s="842">
        <v>43</v>
      </c>
      <c r="P99" s="842">
        <v>61</v>
      </c>
      <c r="Q99" s="842">
        <v>129</v>
      </c>
      <c r="R99" s="842">
        <v>32</v>
      </c>
      <c r="S99" s="842">
        <v>161</v>
      </c>
      <c r="T99" s="842">
        <v>27</v>
      </c>
      <c r="U99" s="842">
        <v>31</v>
      </c>
      <c r="V99" s="825">
        <v>1553</v>
      </c>
      <c r="W99" s="844">
        <v>11942</v>
      </c>
    </row>
    <row r="100" spans="1:23" s="331" customFormat="1" ht="13.5">
      <c r="A100" s="1544" t="s">
        <v>1181</v>
      </c>
      <c r="B100" s="838" t="s">
        <v>771</v>
      </c>
      <c r="C100" s="842">
        <v>38</v>
      </c>
      <c r="D100" s="842">
        <v>50</v>
      </c>
      <c r="E100" s="842">
        <v>84</v>
      </c>
      <c r="F100" s="842">
        <v>126</v>
      </c>
      <c r="G100" s="842">
        <v>381</v>
      </c>
      <c r="H100" s="842">
        <v>70</v>
      </c>
      <c r="I100" s="842">
        <v>458</v>
      </c>
      <c r="J100" s="842">
        <v>154</v>
      </c>
      <c r="K100" s="842">
        <v>122</v>
      </c>
      <c r="L100" s="842">
        <v>200</v>
      </c>
      <c r="M100" s="842">
        <v>103</v>
      </c>
      <c r="N100" s="842">
        <v>58</v>
      </c>
      <c r="O100" s="842">
        <v>70</v>
      </c>
      <c r="P100" s="842">
        <v>117</v>
      </c>
      <c r="Q100" s="842">
        <v>207</v>
      </c>
      <c r="R100" s="842">
        <v>48</v>
      </c>
      <c r="S100" s="842">
        <v>250</v>
      </c>
      <c r="T100" s="842">
        <v>55</v>
      </c>
      <c r="U100" s="842">
        <v>56</v>
      </c>
      <c r="V100" s="825">
        <v>2647</v>
      </c>
      <c r="W100" s="844">
        <v>19448</v>
      </c>
    </row>
    <row r="101" spans="1:23" s="331" customFormat="1" ht="13.5">
      <c r="A101" s="1544" t="s">
        <v>1207</v>
      </c>
      <c r="B101" s="838" t="s">
        <v>1083</v>
      </c>
      <c r="C101" s="824">
        <v>2581.0000000000005</v>
      </c>
      <c r="D101" s="824">
        <v>4664</v>
      </c>
      <c r="E101" s="824">
        <v>11598.000000000002</v>
      </c>
      <c r="F101" s="824">
        <v>9478.0000000000018</v>
      </c>
      <c r="G101" s="824">
        <v>27279.000000000004</v>
      </c>
      <c r="H101" s="824">
        <v>2527.0000000000005</v>
      </c>
      <c r="I101" s="824">
        <v>30563</v>
      </c>
      <c r="J101" s="824">
        <v>5782</v>
      </c>
      <c r="K101" s="824">
        <v>6315</v>
      </c>
      <c r="L101" s="824">
        <v>12606.999999999998</v>
      </c>
      <c r="M101" s="824">
        <v>3792.9999999999995</v>
      </c>
      <c r="N101" s="824">
        <v>3158.0000000000005</v>
      </c>
      <c r="O101" s="824">
        <v>3923</v>
      </c>
      <c r="P101" s="824">
        <v>4189</v>
      </c>
      <c r="Q101" s="824">
        <v>22329</v>
      </c>
      <c r="R101" s="824">
        <v>3198.0000000000005</v>
      </c>
      <c r="S101" s="824">
        <v>15704.000000000002</v>
      </c>
      <c r="T101" s="824">
        <v>2796</v>
      </c>
      <c r="U101" s="824">
        <v>3760</v>
      </c>
      <c r="V101" s="330">
        <v>176244</v>
      </c>
      <c r="W101" s="837">
        <v>1125888</v>
      </c>
    </row>
    <row r="102" spans="1:23" s="331" customFormat="1" ht="13.5">
      <c r="A102" s="1544" t="s">
        <v>1208</v>
      </c>
      <c r="B102" s="838" t="s">
        <v>1082</v>
      </c>
      <c r="C102" s="824">
        <v>41.917340934491847</v>
      </c>
      <c r="D102" s="824">
        <v>166.01566371722942</v>
      </c>
      <c r="E102" s="824">
        <v>146.24168588126281</v>
      </c>
      <c r="F102" s="824">
        <v>443.94986566697906</v>
      </c>
      <c r="G102" s="824">
        <v>692.0524884347758</v>
      </c>
      <c r="H102" s="824">
        <v>49.327359180687637</v>
      </c>
      <c r="I102" s="824">
        <v>983.15361296773608</v>
      </c>
      <c r="J102" s="824">
        <v>202.37654196670499</v>
      </c>
      <c r="K102" s="824">
        <v>164.65401179823789</v>
      </c>
      <c r="L102" s="824">
        <v>233.76496562852418</v>
      </c>
      <c r="M102" s="824">
        <v>159.54865765401638</v>
      </c>
      <c r="N102" s="824">
        <v>72.026603506153549</v>
      </c>
      <c r="O102" s="824">
        <v>93.975044563279866</v>
      </c>
      <c r="P102" s="824">
        <v>185.40766596066575</v>
      </c>
      <c r="Q102" s="824">
        <v>295.39520913701637</v>
      </c>
      <c r="R102" s="824">
        <v>59.819055919043919</v>
      </c>
      <c r="S102" s="824">
        <v>375.34097994235634</v>
      </c>
      <c r="T102" s="824">
        <v>20.65997989081291</v>
      </c>
      <c r="U102" s="824">
        <v>67.088634506510374</v>
      </c>
      <c r="V102" s="330">
        <v>4453.1418231129819</v>
      </c>
      <c r="W102" s="837">
        <v>31860.097417096946</v>
      </c>
    </row>
    <row r="103" spans="1:23" s="331" customFormat="1" ht="13.5">
      <c r="A103" s="1544" t="s">
        <v>1209</v>
      </c>
      <c r="B103" s="838" t="s">
        <v>1084</v>
      </c>
      <c r="C103" s="824">
        <v>48.572892418551945</v>
      </c>
      <c r="D103" s="824">
        <v>42.760546258510843</v>
      </c>
      <c r="E103" s="824">
        <v>608.28293821535965</v>
      </c>
      <c r="F103" s="824">
        <v>124.98798247327571</v>
      </c>
      <c r="G103" s="824">
        <v>377.66736171840341</v>
      </c>
      <c r="H103" s="824">
        <v>22.331138746647156</v>
      </c>
      <c r="I103" s="824">
        <v>631.31231146924199</v>
      </c>
      <c r="J103" s="824">
        <v>567.06867274122658</v>
      </c>
      <c r="K103" s="824">
        <v>91.162736557905291</v>
      </c>
      <c r="L103" s="824">
        <v>252.87468201786376</v>
      </c>
      <c r="M103" s="824">
        <v>35.051772132638654</v>
      </c>
      <c r="N103" s="824">
        <v>12.005241512989382</v>
      </c>
      <c r="O103" s="824">
        <v>28.884135472370765</v>
      </c>
      <c r="P103" s="824">
        <v>104.04314678586492</v>
      </c>
      <c r="Q103" s="824">
        <v>1209.1219922987602</v>
      </c>
      <c r="R103" s="824">
        <v>11.030320758982429</v>
      </c>
      <c r="S103" s="824">
        <v>603.01201890084906</v>
      </c>
      <c r="T103" s="824">
        <v>267.24683576950451</v>
      </c>
      <c r="U103" s="824">
        <v>29.056748682300235</v>
      </c>
      <c r="V103" s="330">
        <v>5066.4513447170775</v>
      </c>
      <c r="W103" s="837">
        <v>21828.077873536971</v>
      </c>
    </row>
    <row r="104" spans="1:23" s="331" customFormat="1" ht="13.5">
      <c r="A104" s="1544" t="s">
        <v>1319</v>
      </c>
      <c r="B104" s="838" t="s">
        <v>1095</v>
      </c>
      <c r="C104" s="842">
        <v>44</v>
      </c>
      <c r="D104" s="842">
        <v>59</v>
      </c>
      <c r="E104" s="842">
        <v>143</v>
      </c>
      <c r="F104" s="842">
        <v>157</v>
      </c>
      <c r="G104" s="842">
        <v>390</v>
      </c>
      <c r="H104" s="842">
        <v>86</v>
      </c>
      <c r="I104" s="842">
        <v>335</v>
      </c>
      <c r="J104" s="842">
        <v>90</v>
      </c>
      <c r="K104" s="842">
        <v>104</v>
      </c>
      <c r="L104" s="842">
        <v>206</v>
      </c>
      <c r="M104" s="842">
        <v>197</v>
      </c>
      <c r="N104" s="842">
        <v>84</v>
      </c>
      <c r="O104" s="842">
        <v>90</v>
      </c>
      <c r="P104" s="842">
        <v>177</v>
      </c>
      <c r="Q104" s="842">
        <v>202</v>
      </c>
      <c r="R104" s="842">
        <v>51</v>
      </c>
      <c r="S104" s="842">
        <v>142</v>
      </c>
      <c r="T104" s="842">
        <v>26</v>
      </c>
      <c r="U104" s="842">
        <v>34</v>
      </c>
      <c r="V104" s="825">
        <v>2617</v>
      </c>
      <c r="W104" s="844">
        <v>20695</v>
      </c>
    </row>
    <row r="105" spans="1:23" s="331" customFormat="1" ht="13.5">
      <c r="A105" s="1544" t="s">
        <v>1199</v>
      </c>
      <c r="B105" s="838" t="s">
        <v>1096</v>
      </c>
      <c r="C105" s="842">
        <v>12</v>
      </c>
      <c r="D105" s="842">
        <v>30</v>
      </c>
      <c r="E105" s="842">
        <v>34</v>
      </c>
      <c r="F105" s="842">
        <v>53</v>
      </c>
      <c r="G105" s="842">
        <v>127</v>
      </c>
      <c r="H105" s="842">
        <v>29</v>
      </c>
      <c r="I105" s="842">
        <v>137</v>
      </c>
      <c r="J105" s="842">
        <v>31</v>
      </c>
      <c r="K105" s="842">
        <v>29</v>
      </c>
      <c r="L105" s="842">
        <v>48</v>
      </c>
      <c r="M105" s="842">
        <v>77</v>
      </c>
      <c r="N105" s="842">
        <v>20</v>
      </c>
      <c r="O105" s="842">
        <v>25</v>
      </c>
      <c r="P105" s="842">
        <v>63</v>
      </c>
      <c r="Q105" s="842">
        <v>65</v>
      </c>
      <c r="R105" s="842">
        <v>15</v>
      </c>
      <c r="S105" s="842">
        <v>45</v>
      </c>
      <c r="T105" s="842">
        <v>3</v>
      </c>
      <c r="U105" s="842">
        <v>11</v>
      </c>
      <c r="V105" s="825">
        <v>854</v>
      </c>
      <c r="W105" s="844">
        <v>7079</v>
      </c>
    </row>
    <row r="106" spans="1:23" s="418" customFormat="1" ht="13.5">
      <c r="A106" s="1548" t="s">
        <v>1320</v>
      </c>
      <c r="B106" s="1549" t="s">
        <v>1031</v>
      </c>
      <c r="C106" s="1550">
        <v>899.83333333333337</v>
      </c>
      <c r="D106" s="1550">
        <v>632.72727272727275</v>
      </c>
      <c r="E106" s="1550">
        <v>419.1875</v>
      </c>
      <c r="F106" s="1550">
        <v>580.4</v>
      </c>
      <c r="G106" s="1550">
        <v>500.70175438596493</v>
      </c>
      <c r="H106" s="1550">
        <v>531.66666666666663</v>
      </c>
      <c r="I106" s="1550">
        <v>352.08928571428572</v>
      </c>
      <c r="J106" s="1550">
        <v>426.57142857142856</v>
      </c>
      <c r="K106" s="1550">
        <v>330.78947368421052</v>
      </c>
      <c r="L106" s="1550">
        <v>400.08333333333331</v>
      </c>
      <c r="M106" s="1550">
        <v>410.15384615384613</v>
      </c>
      <c r="N106" s="1550">
        <v>512.42857142857144</v>
      </c>
      <c r="O106" s="1550">
        <v>541.78947368421052</v>
      </c>
      <c r="P106" s="1550">
        <v>346.59375</v>
      </c>
      <c r="Q106" s="1550">
        <v>448.06451612903226</v>
      </c>
      <c r="R106" s="1550">
        <v>604</v>
      </c>
      <c r="S106" s="1550">
        <v>380.34482758620692</v>
      </c>
      <c r="T106" s="1550">
        <v>312.33333333333331</v>
      </c>
      <c r="U106" s="1550">
        <v>565</v>
      </c>
      <c r="V106" s="1551">
        <v>442</v>
      </c>
      <c r="W106" s="1552">
        <v>480</v>
      </c>
    </row>
    <row r="107" spans="1:23" ht="13.5">
      <c r="A107" s="1548" t="s">
        <v>1321</v>
      </c>
      <c r="B107" s="1549" t="s">
        <v>1340</v>
      </c>
      <c r="C107" s="1550">
        <v>72</v>
      </c>
      <c r="D107" s="1550">
        <v>207</v>
      </c>
      <c r="E107" s="1550">
        <v>246</v>
      </c>
      <c r="F107" s="1550">
        <v>247</v>
      </c>
      <c r="G107" s="1550">
        <v>710</v>
      </c>
      <c r="H107" s="1550">
        <v>76</v>
      </c>
      <c r="I107" s="1550">
        <v>1204</v>
      </c>
      <c r="J107" s="1550">
        <v>145</v>
      </c>
      <c r="K107" s="1550">
        <v>169</v>
      </c>
      <c r="L107" s="1550">
        <v>340</v>
      </c>
      <c r="M107" s="1550">
        <v>259</v>
      </c>
      <c r="N107" s="1550">
        <v>115</v>
      </c>
      <c r="O107" s="1550">
        <v>95</v>
      </c>
      <c r="P107" s="1550">
        <v>161</v>
      </c>
      <c r="Q107" s="1550">
        <v>557</v>
      </c>
      <c r="R107" s="1550">
        <v>103</v>
      </c>
      <c r="S107" s="1550">
        <v>429</v>
      </c>
      <c r="T107" s="1550">
        <v>60</v>
      </c>
      <c r="U107" s="1550">
        <v>60</v>
      </c>
      <c r="V107" s="1551">
        <v>5260</v>
      </c>
      <c r="W107" s="1552">
        <v>34420</v>
      </c>
    </row>
    <row r="108" spans="1:23" ht="13.5">
      <c r="A108" s="1548" t="s">
        <v>1322</v>
      </c>
      <c r="B108" s="1549" t="s">
        <v>1341</v>
      </c>
      <c r="C108" s="1553">
        <v>1.8000000000000002E-2</v>
      </c>
      <c r="D108" s="1553">
        <v>3.3000000000000002E-2</v>
      </c>
      <c r="E108" s="1553">
        <v>1.4999999999999999E-2</v>
      </c>
      <c r="F108" s="1553">
        <v>4.2000000000000003E-2</v>
      </c>
      <c r="G108" s="1553">
        <v>0.03</v>
      </c>
      <c r="H108" s="1553">
        <v>3.6000000000000004E-2</v>
      </c>
      <c r="I108" s="1553">
        <v>3.3000000000000002E-2</v>
      </c>
      <c r="J108" s="1553">
        <v>0.03</v>
      </c>
      <c r="K108" s="1553">
        <v>0.02</v>
      </c>
      <c r="L108" s="1553">
        <v>1.8000000000000002E-2</v>
      </c>
      <c r="M108" s="1553">
        <v>3.9E-2</v>
      </c>
      <c r="N108" s="1553">
        <v>2.7999999999999997E-2</v>
      </c>
      <c r="O108" s="1553">
        <v>2.6000000000000002E-2</v>
      </c>
      <c r="P108" s="1553">
        <v>4.0999999999999995E-2</v>
      </c>
      <c r="Q108" s="1553">
        <v>9.0000000000000011E-3</v>
      </c>
      <c r="R108" s="1553">
        <v>1.9E-2</v>
      </c>
      <c r="S108" s="1553">
        <v>0.02</v>
      </c>
      <c r="T108" s="1553">
        <v>1.1000000000000001E-2</v>
      </c>
      <c r="U108" s="1553">
        <v>0.02</v>
      </c>
      <c r="V108" s="1554">
        <v>2.5000000000000001E-2</v>
      </c>
      <c r="W108" s="1555">
        <v>2.7999999999999997E-2</v>
      </c>
    </row>
    <row r="109" spans="1:23" ht="13.5">
      <c r="A109" s="1548" t="s">
        <v>1323</v>
      </c>
      <c r="B109" s="1549" t="s">
        <v>1342</v>
      </c>
      <c r="C109" s="1553">
        <v>0.94200000000000006</v>
      </c>
      <c r="D109" s="1553">
        <v>0.92700000000000005</v>
      </c>
      <c r="E109" s="1553">
        <v>0.91900000000000004</v>
      </c>
      <c r="F109" s="1553">
        <v>0.88300000000000001</v>
      </c>
      <c r="G109" s="1553">
        <v>0.91099999999999992</v>
      </c>
      <c r="H109" s="1553">
        <v>0.90400000000000003</v>
      </c>
      <c r="I109" s="1553">
        <v>0.90300000000000002</v>
      </c>
      <c r="J109" s="1553">
        <v>0.91700000000000004</v>
      </c>
      <c r="K109" s="1553">
        <v>0.94400000000000006</v>
      </c>
      <c r="L109" s="1553">
        <v>0.93599999999999994</v>
      </c>
      <c r="M109" s="1553">
        <v>0.90500000000000003</v>
      </c>
      <c r="N109" s="1553">
        <v>0.92099999999999993</v>
      </c>
      <c r="O109" s="1553">
        <v>0.93799999999999994</v>
      </c>
      <c r="P109" s="1553">
        <v>0.8859999999999999</v>
      </c>
      <c r="Q109" s="1553">
        <v>0.90700000000000003</v>
      </c>
      <c r="R109" s="1553">
        <v>0.91299999999999992</v>
      </c>
      <c r="S109" s="1553">
        <v>0.88800000000000001</v>
      </c>
      <c r="T109" s="1553">
        <v>0.94299999999999995</v>
      </c>
      <c r="U109" s="1553">
        <v>0.94799999999999995</v>
      </c>
      <c r="V109" s="1554">
        <v>0.91099999999999992</v>
      </c>
      <c r="W109" s="1555">
        <v>0.92299999999999993</v>
      </c>
    </row>
    <row r="110" spans="1:23" ht="13.5">
      <c r="A110" s="1548" t="s">
        <v>1324</v>
      </c>
      <c r="B110" s="1549" t="s">
        <v>1343</v>
      </c>
      <c r="C110" s="1553">
        <v>1.7000000000000001E-2</v>
      </c>
      <c r="D110" s="1553">
        <v>6.0000000000000001E-3</v>
      </c>
      <c r="E110" s="1553">
        <v>7.0000000000000007E-2</v>
      </c>
      <c r="F110" s="1553">
        <v>9.0000000000000011E-3</v>
      </c>
      <c r="G110" s="1553">
        <v>1.8000000000000002E-2</v>
      </c>
      <c r="H110" s="1553">
        <v>5.0000000000000001E-3</v>
      </c>
      <c r="I110" s="1553">
        <v>2.5000000000000001E-2</v>
      </c>
      <c r="J110" s="1553">
        <v>3.2000000000000001E-2</v>
      </c>
      <c r="K110" s="1553">
        <v>1.3000000000000001E-2</v>
      </c>
      <c r="L110" s="1553">
        <v>2.6000000000000002E-2</v>
      </c>
      <c r="M110" s="1553">
        <v>1.6E-2</v>
      </c>
      <c r="N110" s="1553">
        <v>4.0000000000000001E-3</v>
      </c>
      <c r="O110" s="1553">
        <v>2.2000000000000002E-2</v>
      </c>
      <c r="P110" s="1553">
        <v>3.2000000000000001E-2</v>
      </c>
      <c r="Q110" s="1553">
        <v>0.14300000000000002</v>
      </c>
      <c r="R110" s="1553">
        <v>6.0000000000000001E-3</v>
      </c>
      <c r="S110" s="1553">
        <v>7.4999999999999997E-2</v>
      </c>
      <c r="T110" s="1553">
        <v>4.2999999999999997E-2</v>
      </c>
      <c r="U110" s="1553">
        <v>2.2000000000000002E-2</v>
      </c>
      <c r="V110" s="1554">
        <v>4.2999999999999997E-2</v>
      </c>
      <c r="W110" s="1555">
        <v>2.4E-2</v>
      </c>
    </row>
    <row r="111" spans="1:23" ht="13.5">
      <c r="A111" s="1548" t="s">
        <v>1331</v>
      </c>
      <c r="B111" s="1549" t="s">
        <v>1344</v>
      </c>
      <c r="C111" s="1550">
        <v>2725</v>
      </c>
      <c r="D111" s="1550">
        <v>5222</v>
      </c>
      <c r="E111" s="1550">
        <v>12453</v>
      </c>
      <c r="F111" s="1550">
        <v>11238</v>
      </c>
      <c r="G111" s="1550">
        <v>30096</v>
      </c>
      <c r="H111" s="1550">
        <v>2814</v>
      </c>
      <c r="I111" s="1550">
        <v>34192</v>
      </c>
      <c r="J111" s="1550">
        <v>6811</v>
      </c>
      <c r="K111" s="1550">
        <v>6654</v>
      </c>
      <c r="L111" s="1550">
        <v>13967</v>
      </c>
      <c r="M111" s="1550">
        <v>4263</v>
      </c>
      <c r="N111" s="1550">
        <v>3410</v>
      </c>
      <c r="O111" s="1550">
        <v>4435</v>
      </c>
      <c r="P111" s="1550">
        <v>4959</v>
      </c>
      <c r="Q111" s="1550">
        <v>24436</v>
      </c>
      <c r="R111" s="1550">
        <v>3477</v>
      </c>
      <c r="S111" s="1550">
        <v>16925</v>
      </c>
      <c r="T111" s="1550">
        <v>3105</v>
      </c>
      <c r="U111" s="1550">
        <v>3954</v>
      </c>
      <c r="V111" s="1551">
        <v>195136</v>
      </c>
      <c r="W111" s="1552">
        <v>1236365</v>
      </c>
    </row>
    <row r="112" spans="1:23">
      <c r="A112" s="535" t="s">
        <v>1301</v>
      </c>
      <c r="B112" s="774" t="s">
        <v>387</v>
      </c>
      <c r="C112" s="724">
        <f t="shared" ref="C112:W112" si="0">IF(SUM(C38:C41)&gt;0,SUM(C38:C41),NA())</f>
        <v>1211</v>
      </c>
      <c r="D112" s="724">
        <f t="shared" si="0"/>
        <v>2626</v>
      </c>
      <c r="E112" s="724">
        <f t="shared" si="0"/>
        <v>7793</v>
      </c>
      <c r="F112" s="724">
        <f t="shared" si="0"/>
        <v>2239</v>
      </c>
      <c r="G112" s="724">
        <f t="shared" si="0"/>
        <v>27078</v>
      </c>
      <c r="H112" s="724">
        <f t="shared" si="0"/>
        <v>3731</v>
      </c>
      <c r="I112" s="724">
        <f t="shared" si="0"/>
        <v>15948</v>
      </c>
      <c r="J112" s="724">
        <f t="shared" si="0"/>
        <v>2836</v>
      </c>
      <c r="K112" s="724">
        <f t="shared" si="0"/>
        <v>3206</v>
      </c>
      <c r="L112" s="724">
        <f t="shared" si="0"/>
        <v>3971</v>
      </c>
      <c r="M112" s="724">
        <f t="shared" si="0"/>
        <v>2780</v>
      </c>
      <c r="N112" s="724">
        <f t="shared" si="0"/>
        <v>1662</v>
      </c>
      <c r="O112" s="724">
        <f t="shared" si="0"/>
        <v>3208</v>
      </c>
      <c r="P112" s="724">
        <f t="shared" si="0"/>
        <v>3134</v>
      </c>
      <c r="Q112" s="724">
        <f t="shared" si="0"/>
        <v>5443</v>
      </c>
      <c r="R112" s="724">
        <f t="shared" si="0"/>
        <v>2769</v>
      </c>
      <c r="S112" s="724">
        <f t="shared" si="0"/>
        <v>8190</v>
      </c>
      <c r="T112" s="724">
        <f t="shared" si="0"/>
        <v>1252</v>
      </c>
      <c r="U112" s="724">
        <f t="shared" si="0"/>
        <v>996</v>
      </c>
      <c r="V112" s="724">
        <f t="shared" si="0"/>
        <v>100080</v>
      </c>
      <c r="W112" s="724">
        <f t="shared" si="0"/>
        <v>540770</v>
      </c>
    </row>
    <row r="113" spans="1:23">
      <c r="A113" s="535" t="s">
        <v>1325</v>
      </c>
      <c r="B113" s="774" t="s">
        <v>388</v>
      </c>
      <c r="C113" s="724">
        <f t="shared" ref="C113:W113" si="1">SUM(C38:C42)</f>
        <v>1410</v>
      </c>
      <c r="D113" s="724">
        <f t="shared" si="1"/>
        <v>3144</v>
      </c>
      <c r="E113" s="724">
        <f t="shared" si="1"/>
        <v>8877</v>
      </c>
      <c r="F113" s="724">
        <f t="shared" si="1"/>
        <v>3712</v>
      </c>
      <c r="G113" s="724">
        <f t="shared" si="1"/>
        <v>28484</v>
      </c>
      <c r="H113" s="724">
        <f t="shared" si="1"/>
        <v>3957</v>
      </c>
      <c r="I113" s="724">
        <f t="shared" si="1"/>
        <v>20733</v>
      </c>
      <c r="J113" s="724">
        <f t="shared" si="1"/>
        <v>4041</v>
      </c>
      <c r="K113" s="724">
        <f t="shared" si="1"/>
        <v>4052</v>
      </c>
      <c r="L113" s="724">
        <f t="shared" si="1"/>
        <v>5732</v>
      </c>
      <c r="M113" s="724">
        <f t="shared" si="1"/>
        <v>2830</v>
      </c>
      <c r="N113" s="724">
        <f t="shared" si="1"/>
        <v>2680</v>
      </c>
      <c r="O113" s="724">
        <f t="shared" si="1"/>
        <v>3610</v>
      </c>
      <c r="P113" s="724">
        <f t="shared" si="1"/>
        <v>3839</v>
      </c>
      <c r="Q113" s="724">
        <f t="shared" si="1"/>
        <v>7491</v>
      </c>
      <c r="R113" s="724">
        <f t="shared" si="1"/>
        <v>2849</v>
      </c>
      <c r="S113" s="724">
        <f t="shared" si="1"/>
        <v>10060</v>
      </c>
      <c r="T113" s="724">
        <f t="shared" si="1"/>
        <v>1525</v>
      </c>
      <c r="U113" s="724">
        <f t="shared" si="1"/>
        <v>1493</v>
      </c>
      <c r="V113" s="724">
        <f t="shared" si="1"/>
        <v>120630</v>
      </c>
      <c r="W113" s="724">
        <f t="shared" si="1"/>
        <v>655550</v>
      </c>
    </row>
    <row r="114" spans="1:23">
      <c r="B114" s="418"/>
      <c r="C114" s="832"/>
      <c r="D114" s="832"/>
      <c r="E114" s="832"/>
      <c r="F114" s="832"/>
      <c r="G114" s="832"/>
      <c r="H114" s="832"/>
      <c r="I114" s="832"/>
      <c r="J114" s="832"/>
      <c r="K114" s="832"/>
      <c r="L114" s="832"/>
      <c r="M114" s="832"/>
      <c r="N114" s="832"/>
      <c r="O114" s="832"/>
      <c r="P114" s="832"/>
      <c r="Q114" s="832"/>
      <c r="R114" s="832"/>
      <c r="S114" s="832"/>
      <c r="T114" s="832"/>
      <c r="U114" s="832"/>
      <c r="V114" s="832"/>
      <c r="W114" s="832"/>
    </row>
    <row r="115" spans="1:23">
      <c r="B115" s="800"/>
      <c r="C115" s="833"/>
      <c r="D115" s="833"/>
      <c r="E115" s="833"/>
      <c r="F115" s="833"/>
      <c r="G115" s="833"/>
      <c r="H115" s="833"/>
      <c r="I115" s="833"/>
      <c r="J115" s="833"/>
      <c r="K115" s="833"/>
      <c r="L115" s="833"/>
      <c r="M115" s="833"/>
      <c r="N115" s="833"/>
      <c r="O115" s="833"/>
      <c r="P115" s="833"/>
      <c r="Q115" s="833"/>
      <c r="R115" s="833"/>
      <c r="S115" s="833"/>
      <c r="T115" s="833"/>
      <c r="U115" s="833"/>
      <c r="V115" s="833"/>
      <c r="W115" s="833"/>
    </row>
    <row r="116" spans="1:23">
      <c r="B116" s="800"/>
      <c r="C116" s="872"/>
      <c r="D116" s="872"/>
      <c r="E116" s="872"/>
      <c r="F116" s="872"/>
      <c r="G116" s="872"/>
      <c r="H116" s="872"/>
      <c r="I116" s="872"/>
      <c r="J116" s="872"/>
      <c r="K116" s="872"/>
      <c r="L116" s="872"/>
      <c r="M116" s="872"/>
      <c r="N116" s="872"/>
      <c r="O116" s="872"/>
      <c r="P116" s="872"/>
      <c r="Q116" s="872"/>
      <c r="R116" s="872"/>
      <c r="S116" s="872"/>
      <c r="T116" s="872"/>
      <c r="U116" s="872"/>
      <c r="V116" s="872"/>
      <c r="W116" s="872"/>
    </row>
    <row r="117" spans="1:23">
      <c r="B117" s="800"/>
      <c r="V117" s="290"/>
    </row>
    <row r="118" spans="1:23">
      <c r="B118" s="290"/>
      <c r="V118" s="290"/>
    </row>
    <row r="119" spans="1:23">
      <c r="B119" s="290"/>
      <c r="V119" s="290"/>
    </row>
    <row r="120" spans="1:23">
      <c r="B120" s="290"/>
      <c r="V120" s="290"/>
    </row>
    <row r="121" spans="1:23">
      <c r="B121" s="290"/>
      <c r="V121" s="290"/>
    </row>
    <row r="122" spans="1:23">
      <c r="B122" s="290"/>
      <c r="V122" s="290"/>
    </row>
    <row r="123" spans="1:23">
      <c r="B123" s="290"/>
      <c r="V123" s="290"/>
    </row>
    <row r="124" spans="1:23">
      <c r="B124" s="290"/>
      <c r="V124" s="290"/>
    </row>
    <row r="125" spans="1:23">
      <c r="B125" s="290"/>
      <c r="V125" s="290"/>
    </row>
    <row r="126" spans="1:23">
      <c r="B126" s="290"/>
      <c r="V126" s="290"/>
    </row>
    <row r="127" spans="1:23">
      <c r="B127" s="290"/>
      <c r="V127" s="290"/>
    </row>
    <row r="128" spans="1:23">
      <c r="B128" s="290"/>
      <c r="V128" s="290"/>
    </row>
    <row r="129" s="290" customFormat="1"/>
    <row r="130" s="290" customFormat="1"/>
    <row r="131" s="290" customFormat="1"/>
    <row r="132" s="290" customFormat="1"/>
    <row r="133" s="290" customFormat="1"/>
  </sheetData>
  <conditionalFormatting sqref="C1:U1">
    <cfRule type="expression" dxfId="667" priority="3">
      <formula>SUM(C$2:C$98)=0</formula>
    </cfRule>
    <cfRule type="containsErrors" dxfId="666" priority="4">
      <formula>ISERROR(C1)</formula>
    </cfRule>
  </conditionalFormatting>
  <conditionalFormatting sqref="P41:P45">
    <cfRule type="containsErrors" dxfId="665" priority="1">
      <formula>ISERROR(P41)</formula>
    </cfRule>
  </conditionalFormatting>
  <pageMargins left="0.70866141732283472" right="0.70866141732283472" top="0.35433070866141736" bottom="0.35433070866141736" header="0.31496062992125984" footer="0.31496062992125984"/>
  <pageSetup scale="49" orientation="portrait" r:id="rId1"/>
  <extLst>
    <ext xmlns:x14="http://schemas.microsoft.com/office/spreadsheetml/2009/9/main" uri="{78C0D931-6437-407d-A8EE-F0AAD7539E65}">
      <x14:conditionalFormattings>
        <x14:conditionalFormatting xmlns:xm="http://schemas.microsoft.com/office/excel/2006/main">
          <x14:cfRule type="expression" priority="2" id="{9858469E-7844-462E-8D2B-86BE3B34F9F3}">
            <xm:f>C$1=ReportData!$AR$3</xm:f>
            <x14:dxf>
              <fill>
                <patternFill>
                  <bgColor rgb="FF66FF99"/>
                </patternFill>
              </fill>
            </x14:dxf>
          </x14:cfRule>
          <xm:sqref>C1:U1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66FFCC"/>
    <pageSetUpPr fitToPage="1"/>
  </sheetPr>
  <dimension ref="A1:Y130"/>
  <sheetViews>
    <sheetView workbookViewId="0">
      <pane xSplit="2" ySplit="1" topLeftCell="C36" activePane="bottomRight" state="frozen"/>
      <selection activeCell="B23" sqref="B23"/>
      <selection pane="topRight" activeCell="B23" sqref="B23"/>
      <selection pane="bottomLeft" activeCell="B23" sqref="B23"/>
      <selection pane="bottomRight" activeCell="B23" sqref="B23"/>
    </sheetView>
  </sheetViews>
  <sheetFormatPr defaultColWidth="9.140625" defaultRowHeight="12.75"/>
  <cols>
    <col min="1" max="1" width="8.28515625" style="800" bestFit="1" customWidth="1"/>
    <col min="2" max="2" width="40.7109375" style="831" bestFit="1" customWidth="1"/>
    <col min="3" max="21" width="5.42578125" style="800" customWidth="1"/>
    <col min="22" max="22" width="6.140625" style="478" bestFit="1" customWidth="1"/>
    <col min="23" max="23" width="7" style="800" bestFit="1" customWidth="1"/>
    <col min="24" max="24" width="9.140625" style="800"/>
    <col min="25" max="43" width="4.85546875" style="800" customWidth="1"/>
    <col min="44" max="16384" width="9.140625" style="800"/>
  </cols>
  <sheetData>
    <row r="1" spans="1:23" ht="88.5">
      <c r="A1" s="472" t="str">
        <f>IF(ReportData!$C$3="Quarterly",ReportData!$H$24&amp;" "&amp;ReportData!$H$25,ReportData!$H$22)</f>
        <v>2023/24</v>
      </c>
      <c r="B1" s="472"/>
      <c r="C1" s="772" t="s">
        <v>928</v>
      </c>
      <c r="D1" s="772" t="s">
        <v>1040</v>
      </c>
      <c r="E1" s="772" t="s">
        <v>929</v>
      </c>
      <c r="F1" s="772" t="s">
        <v>846</v>
      </c>
      <c r="G1" s="772" t="s">
        <v>847</v>
      </c>
      <c r="H1" s="772" t="s">
        <v>848</v>
      </c>
      <c r="I1" s="772" t="s">
        <v>849</v>
      </c>
      <c r="J1" s="772" t="s">
        <v>850</v>
      </c>
      <c r="K1" s="772" t="s">
        <v>851</v>
      </c>
      <c r="L1" s="772" t="s">
        <v>852</v>
      </c>
      <c r="M1" s="772" t="s">
        <v>853</v>
      </c>
      <c r="N1" s="772" t="s">
        <v>854</v>
      </c>
      <c r="O1" s="772" t="s">
        <v>855</v>
      </c>
      <c r="P1" s="772" t="s">
        <v>856</v>
      </c>
      <c r="Q1" s="772" t="s">
        <v>857</v>
      </c>
      <c r="R1" s="772" t="s">
        <v>858</v>
      </c>
      <c r="S1" s="772" t="s">
        <v>859</v>
      </c>
      <c r="T1" s="772" t="s">
        <v>1041</v>
      </c>
      <c r="U1" s="772" t="s">
        <v>860</v>
      </c>
      <c r="V1" s="379" t="s">
        <v>1075</v>
      </c>
      <c r="W1" s="380" t="s">
        <v>861</v>
      </c>
    </row>
    <row r="2" spans="1:23" ht="13.5">
      <c r="A2" s="803">
        <v>1</v>
      </c>
      <c r="B2" s="473" t="s">
        <v>389</v>
      </c>
      <c r="C2" s="817"/>
      <c r="D2" s="817"/>
      <c r="E2" s="817"/>
      <c r="F2" s="817"/>
      <c r="G2" s="817"/>
      <c r="H2" s="817"/>
      <c r="I2" s="817"/>
      <c r="J2" s="817"/>
      <c r="K2" s="817"/>
      <c r="L2" s="817"/>
      <c r="M2" s="817"/>
      <c r="N2" s="817"/>
      <c r="O2" s="817"/>
      <c r="P2" s="817"/>
      <c r="Q2" s="817"/>
      <c r="R2" s="817"/>
      <c r="S2" s="817"/>
      <c r="T2" s="381"/>
      <c r="U2" s="381"/>
      <c r="V2" s="818"/>
      <c r="W2" s="820"/>
    </row>
    <row r="3" spans="1:23" s="829" customFormat="1" ht="13.5">
      <c r="A3" s="803">
        <v>2</v>
      </c>
      <c r="B3" s="473" t="s">
        <v>390</v>
      </c>
      <c r="C3" s="817"/>
      <c r="D3" s="817"/>
      <c r="E3" s="817"/>
      <c r="F3" s="817"/>
      <c r="G3" s="817"/>
      <c r="H3" s="817"/>
      <c r="I3" s="817"/>
      <c r="J3" s="817"/>
      <c r="K3" s="817"/>
      <c r="L3" s="817"/>
      <c r="M3" s="817"/>
      <c r="N3" s="817"/>
      <c r="O3" s="817"/>
      <c r="P3" s="817"/>
      <c r="Q3" s="817"/>
      <c r="R3" s="817"/>
      <c r="S3" s="817"/>
      <c r="T3" s="817"/>
      <c r="U3" s="817"/>
      <c r="V3" s="818"/>
      <c r="W3" s="381"/>
    </row>
    <row r="4" spans="1:23" s="829" customFormat="1" ht="13.5">
      <c r="A4" s="803">
        <v>3</v>
      </c>
      <c r="B4" s="473" t="s">
        <v>391</v>
      </c>
      <c r="C4" s="817"/>
      <c r="D4" s="817"/>
      <c r="E4" s="817"/>
      <c r="F4" s="817"/>
      <c r="G4" s="817"/>
      <c r="H4" s="817"/>
      <c r="I4" s="817"/>
      <c r="J4" s="817"/>
      <c r="K4" s="817"/>
      <c r="L4" s="817"/>
      <c r="M4" s="817"/>
      <c r="N4" s="817"/>
      <c r="O4" s="817"/>
      <c r="P4" s="817"/>
      <c r="Q4" s="817"/>
      <c r="R4" s="817"/>
      <c r="S4" s="817"/>
      <c r="T4" s="817"/>
      <c r="U4" s="817"/>
      <c r="V4" s="818"/>
      <c r="W4" s="381"/>
    </row>
    <row r="5" spans="1:23" s="829" customFormat="1" ht="13.5">
      <c r="A5" s="803">
        <v>4</v>
      </c>
      <c r="B5" s="473" t="s">
        <v>392</v>
      </c>
      <c r="C5" s="817"/>
      <c r="D5" s="817"/>
      <c r="E5" s="817"/>
      <c r="F5" s="817"/>
      <c r="G5" s="817"/>
      <c r="H5" s="817"/>
      <c r="I5" s="817"/>
      <c r="J5" s="817"/>
      <c r="K5" s="817"/>
      <c r="L5" s="817"/>
      <c r="M5" s="817"/>
      <c r="N5" s="382"/>
      <c r="O5" s="817"/>
      <c r="P5" s="817"/>
      <c r="Q5" s="817"/>
      <c r="R5" s="383"/>
      <c r="S5" s="817"/>
      <c r="T5" s="817"/>
      <c r="U5" s="817"/>
      <c r="V5" s="818"/>
      <c r="W5" s="381"/>
    </row>
    <row r="6" spans="1:23" s="829" customFormat="1" ht="13.5">
      <c r="A6" s="803">
        <v>5</v>
      </c>
      <c r="B6" s="473" t="s">
        <v>393</v>
      </c>
      <c r="C6" s="817"/>
      <c r="D6" s="817"/>
      <c r="E6" s="817"/>
      <c r="F6" s="817"/>
      <c r="G6" s="817"/>
      <c r="H6" s="817"/>
      <c r="I6" s="817"/>
      <c r="J6" s="817"/>
      <c r="K6" s="817"/>
      <c r="L6" s="817"/>
      <c r="M6" s="817"/>
      <c r="N6" s="382"/>
      <c r="O6" s="817"/>
      <c r="P6" s="817"/>
      <c r="Q6" s="817"/>
      <c r="R6" s="383"/>
      <c r="S6" s="817"/>
      <c r="T6" s="817"/>
      <c r="U6" s="817"/>
      <c r="V6" s="818"/>
      <c r="W6" s="381"/>
    </row>
    <row r="7" spans="1:23" s="829" customFormat="1">
      <c r="A7" s="804">
        <v>6</v>
      </c>
      <c r="B7" s="475" t="s">
        <v>394</v>
      </c>
      <c r="C7" s="817"/>
      <c r="D7" s="817"/>
      <c r="E7" s="817"/>
      <c r="F7" s="817"/>
      <c r="G7" s="817"/>
      <c r="H7" s="817"/>
      <c r="I7" s="817"/>
      <c r="J7" s="817"/>
      <c r="K7" s="817"/>
      <c r="L7" s="817"/>
      <c r="M7" s="817"/>
      <c r="N7" s="382"/>
      <c r="O7" s="817"/>
      <c r="P7" s="817"/>
      <c r="Q7" s="817"/>
      <c r="R7" s="383"/>
      <c r="S7" s="817"/>
      <c r="T7" s="817"/>
      <c r="U7" s="817"/>
      <c r="V7" s="818"/>
      <c r="W7" s="381"/>
    </row>
    <row r="8" spans="1:23" s="829" customFormat="1" ht="13.5">
      <c r="A8" s="803">
        <v>7</v>
      </c>
      <c r="B8" s="473" t="s">
        <v>395</v>
      </c>
      <c r="C8" s="817"/>
      <c r="D8" s="817"/>
      <c r="E8" s="817"/>
      <c r="F8" s="817"/>
      <c r="G8" s="817"/>
      <c r="H8" s="817"/>
      <c r="I8" s="817"/>
      <c r="J8" s="817"/>
      <c r="K8" s="817"/>
      <c r="L8" s="817"/>
      <c r="M8" s="817"/>
      <c r="N8" s="382"/>
      <c r="O8" s="817"/>
      <c r="P8" s="817"/>
      <c r="Q8" s="817"/>
      <c r="R8" s="383"/>
      <c r="S8" s="817"/>
      <c r="T8" s="817"/>
      <c r="U8" s="817"/>
      <c r="V8" s="818"/>
      <c r="W8" s="381"/>
    </row>
    <row r="9" spans="1:23" s="829" customFormat="1" ht="13.5">
      <c r="A9" s="1544" t="s">
        <v>1109</v>
      </c>
      <c r="B9" s="838" t="s">
        <v>396</v>
      </c>
      <c r="C9" s="835">
        <v>1511</v>
      </c>
      <c r="D9" s="835">
        <v>3257</v>
      </c>
      <c r="E9" s="835">
        <v>6620</v>
      </c>
      <c r="F9" s="835">
        <v>4311</v>
      </c>
      <c r="G9" s="835" t="s">
        <v>1334</v>
      </c>
      <c r="H9" s="835">
        <v>4378</v>
      </c>
      <c r="I9" s="835">
        <v>24111</v>
      </c>
      <c r="J9" s="835">
        <v>5283</v>
      </c>
      <c r="K9" s="835">
        <v>3114</v>
      </c>
      <c r="L9" s="835">
        <v>5047</v>
      </c>
      <c r="M9" s="835">
        <v>3061</v>
      </c>
      <c r="N9" s="835">
        <v>3003</v>
      </c>
      <c r="O9" s="835">
        <v>3361</v>
      </c>
      <c r="P9" s="835">
        <v>3094</v>
      </c>
      <c r="Q9" s="835">
        <v>7682</v>
      </c>
      <c r="R9" s="835">
        <v>1603</v>
      </c>
      <c r="S9" s="835">
        <v>7931</v>
      </c>
      <c r="T9" s="835">
        <v>1813</v>
      </c>
      <c r="U9" s="835">
        <v>1548</v>
      </c>
      <c r="V9" s="834">
        <v>121230</v>
      </c>
      <c r="W9" s="836">
        <v>621880</v>
      </c>
    </row>
    <row r="10" spans="1:23" s="829" customFormat="1" ht="13.5">
      <c r="A10" s="1544" t="s">
        <v>1299</v>
      </c>
      <c r="B10" s="473" t="s">
        <v>1332</v>
      </c>
      <c r="C10" s="817"/>
      <c r="D10" s="817"/>
      <c r="E10" s="817"/>
      <c r="F10" s="817"/>
      <c r="G10" s="817"/>
      <c r="H10" s="817"/>
      <c r="I10" s="817"/>
      <c r="J10" s="817"/>
      <c r="K10" s="817"/>
      <c r="L10" s="817"/>
      <c r="M10" s="817"/>
      <c r="N10" s="817"/>
      <c r="O10" s="817"/>
      <c r="P10" s="817"/>
      <c r="Q10" s="817"/>
      <c r="R10" s="817"/>
      <c r="S10" s="817"/>
      <c r="T10" s="817"/>
      <c r="U10" s="817"/>
      <c r="V10" s="818"/>
      <c r="W10" s="381"/>
    </row>
    <row r="11" spans="1:23" s="829" customFormat="1" ht="13.5">
      <c r="A11" s="1544" t="s">
        <v>1172</v>
      </c>
      <c r="B11" s="838" t="s">
        <v>397</v>
      </c>
      <c r="C11" s="835">
        <v>1341</v>
      </c>
      <c r="D11" s="835">
        <v>2875</v>
      </c>
      <c r="E11" s="835">
        <v>6508</v>
      </c>
      <c r="F11" s="835">
        <v>4143</v>
      </c>
      <c r="G11" s="835" t="s">
        <v>1334</v>
      </c>
      <c r="H11" s="835">
        <v>3261</v>
      </c>
      <c r="I11" s="835">
        <v>23978</v>
      </c>
      <c r="J11" s="835">
        <v>4689</v>
      </c>
      <c r="K11" s="835">
        <v>2875</v>
      </c>
      <c r="L11" s="835">
        <v>4861</v>
      </c>
      <c r="M11" s="835">
        <v>3061</v>
      </c>
      <c r="N11" s="835">
        <v>2826</v>
      </c>
      <c r="O11" s="835">
        <v>3344</v>
      </c>
      <c r="P11" s="835">
        <v>2828</v>
      </c>
      <c r="Q11" s="835">
        <v>7163</v>
      </c>
      <c r="R11" s="835">
        <v>1603</v>
      </c>
      <c r="S11" s="835">
        <v>7931</v>
      </c>
      <c r="T11" s="835">
        <v>1713</v>
      </c>
      <c r="U11" s="835">
        <v>1471</v>
      </c>
      <c r="V11" s="834">
        <v>112250</v>
      </c>
      <c r="W11" s="836">
        <v>582960</v>
      </c>
    </row>
    <row r="12" spans="1:23" s="829" customFormat="1" ht="13.5">
      <c r="A12" s="727"/>
      <c r="B12" s="474" t="s">
        <v>210</v>
      </c>
      <c r="C12" s="819"/>
      <c r="D12" s="819"/>
      <c r="E12" s="819"/>
      <c r="F12" s="819"/>
      <c r="G12" s="819"/>
      <c r="H12" s="819"/>
      <c r="I12" s="819"/>
      <c r="J12" s="819"/>
      <c r="K12" s="819"/>
      <c r="L12" s="819"/>
      <c r="M12" s="819"/>
      <c r="N12" s="819"/>
      <c r="O12" s="819"/>
      <c r="P12" s="819"/>
      <c r="Q12" s="819"/>
      <c r="R12" s="819"/>
      <c r="S12" s="819"/>
      <c r="T12" s="819"/>
      <c r="U12" s="819"/>
      <c r="V12" s="819"/>
      <c r="W12" s="725"/>
    </row>
    <row r="13" spans="1:23" s="829" customFormat="1" ht="13.5">
      <c r="A13" s="1544" t="s">
        <v>1158</v>
      </c>
      <c r="B13" s="838" t="s">
        <v>398</v>
      </c>
      <c r="C13" s="826">
        <v>112</v>
      </c>
      <c r="D13" s="835">
        <v>212</v>
      </c>
      <c r="E13" s="835">
        <v>377</v>
      </c>
      <c r="F13" s="835">
        <v>435</v>
      </c>
      <c r="G13" s="835" t="s">
        <v>1334</v>
      </c>
      <c r="H13" s="835">
        <v>294</v>
      </c>
      <c r="I13" s="835">
        <v>1767</v>
      </c>
      <c r="J13" s="835">
        <v>420</v>
      </c>
      <c r="K13" s="835">
        <v>238</v>
      </c>
      <c r="L13" s="835">
        <v>404</v>
      </c>
      <c r="M13" s="835">
        <v>210</v>
      </c>
      <c r="N13" s="835">
        <v>144</v>
      </c>
      <c r="O13" s="835">
        <v>110</v>
      </c>
      <c r="P13" s="835">
        <v>200</v>
      </c>
      <c r="Q13" s="835">
        <v>517</v>
      </c>
      <c r="R13" s="835">
        <v>132</v>
      </c>
      <c r="S13" s="835">
        <v>668</v>
      </c>
      <c r="T13" s="835">
        <v>66</v>
      </c>
      <c r="U13" s="840">
        <v>140</v>
      </c>
      <c r="V13" s="834">
        <v>9310</v>
      </c>
      <c r="W13" s="836">
        <v>49870</v>
      </c>
    </row>
    <row r="14" spans="1:23" s="829" customFormat="1" ht="13.5">
      <c r="A14" s="1544" t="s">
        <v>1159</v>
      </c>
      <c r="B14" s="476" t="s">
        <v>399</v>
      </c>
      <c r="C14" s="383"/>
      <c r="D14" s="817"/>
      <c r="E14" s="817"/>
      <c r="F14" s="817"/>
      <c r="G14" s="817"/>
      <c r="H14" s="817"/>
      <c r="I14" s="817"/>
      <c r="J14" s="817"/>
      <c r="K14" s="817"/>
      <c r="L14" s="817"/>
      <c r="M14" s="817"/>
      <c r="N14" s="385"/>
      <c r="O14" s="817"/>
      <c r="P14" s="817"/>
      <c r="Q14" s="817"/>
      <c r="R14" s="384"/>
      <c r="S14" s="817"/>
      <c r="T14" s="817"/>
      <c r="U14" s="817"/>
      <c r="V14" s="818"/>
      <c r="W14" s="381"/>
    </row>
    <row r="15" spans="1:23" s="829" customFormat="1" ht="13.5">
      <c r="A15" s="1544" t="s">
        <v>1160</v>
      </c>
      <c r="B15" s="476" t="s">
        <v>400</v>
      </c>
      <c r="C15" s="383"/>
      <c r="D15" s="817"/>
      <c r="E15" s="817"/>
      <c r="F15" s="817"/>
      <c r="G15" s="817"/>
      <c r="H15" s="817"/>
      <c r="I15" s="817"/>
      <c r="J15" s="817"/>
      <c r="K15" s="817"/>
      <c r="L15" s="817"/>
      <c r="M15" s="817"/>
      <c r="N15" s="385"/>
      <c r="O15" s="817"/>
      <c r="P15" s="817"/>
      <c r="Q15" s="817"/>
      <c r="R15" s="384"/>
      <c r="S15" s="817"/>
      <c r="T15" s="817"/>
      <c r="U15" s="817"/>
      <c r="V15" s="818"/>
      <c r="W15" s="381"/>
    </row>
    <row r="16" spans="1:23" s="829" customFormat="1" ht="13.5">
      <c r="A16" s="1544" t="s">
        <v>1161</v>
      </c>
      <c r="B16" s="476" t="s">
        <v>401</v>
      </c>
      <c r="C16" s="384"/>
      <c r="D16" s="817"/>
      <c r="E16" s="817"/>
      <c r="F16" s="817"/>
      <c r="G16" s="817"/>
      <c r="H16" s="817"/>
      <c r="I16" s="817"/>
      <c r="J16" s="817"/>
      <c r="K16" s="817"/>
      <c r="L16" s="817"/>
      <c r="M16" s="817"/>
      <c r="N16" s="385"/>
      <c r="O16" s="817"/>
      <c r="P16" s="817"/>
      <c r="Q16" s="817"/>
      <c r="R16" s="384"/>
      <c r="S16" s="817"/>
      <c r="T16" s="817"/>
      <c r="U16" s="817"/>
      <c r="V16" s="818"/>
      <c r="W16" s="381"/>
    </row>
    <row r="17" spans="1:23" s="829" customFormat="1" ht="13.5">
      <c r="A17" s="1544" t="s">
        <v>1114</v>
      </c>
      <c r="B17" s="838" t="s">
        <v>402</v>
      </c>
      <c r="C17" s="826">
        <v>421</v>
      </c>
      <c r="D17" s="835">
        <v>190</v>
      </c>
      <c r="E17" s="835">
        <v>1333</v>
      </c>
      <c r="F17" s="835">
        <v>513</v>
      </c>
      <c r="G17" s="835" t="s">
        <v>1334</v>
      </c>
      <c r="H17" s="835">
        <v>1502</v>
      </c>
      <c r="I17" s="835">
        <v>6080</v>
      </c>
      <c r="J17" s="835">
        <v>1612</v>
      </c>
      <c r="K17" s="835">
        <v>437</v>
      </c>
      <c r="L17" s="835">
        <v>968</v>
      </c>
      <c r="M17" s="835">
        <v>555</v>
      </c>
      <c r="N17" s="827">
        <v>529</v>
      </c>
      <c r="O17" s="835">
        <v>856</v>
      </c>
      <c r="P17" s="835">
        <v>870</v>
      </c>
      <c r="Q17" s="835">
        <v>1503</v>
      </c>
      <c r="R17" s="826">
        <v>304</v>
      </c>
      <c r="S17" s="835">
        <v>1468</v>
      </c>
      <c r="T17" s="835">
        <v>444</v>
      </c>
      <c r="U17" s="840">
        <v>366</v>
      </c>
      <c r="V17" s="834">
        <v>28990</v>
      </c>
      <c r="W17" s="836">
        <v>126460</v>
      </c>
    </row>
    <row r="18" spans="1:23" s="829" customFormat="1" ht="13.5">
      <c r="A18" s="1544" t="s">
        <v>1115</v>
      </c>
      <c r="B18" s="838" t="s">
        <v>403</v>
      </c>
      <c r="C18" s="826">
        <v>9</v>
      </c>
      <c r="D18" s="835">
        <v>562</v>
      </c>
      <c r="E18" s="835">
        <v>88</v>
      </c>
      <c r="F18" s="835">
        <v>141</v>
      </c>
      <c r="G18" s="835" t="s">
        <v>1334</v>
      </c>
      <c r="H18" s="835">
        <v>10</v>
      </c>
      <c r="I18" s="835">
        <v>126</v>
      </c>
      <c r="J18" s="835">
        <v>19</v>
      </c>
      <c r="K18" s="835">
        <v>305</v>
      </c>
      <c r="L18" s="835">
        <v>88</v>
      </c>
      <c r="M18" s="835">
        <v>0</v>
      </c>
      <c r="N18" s="827">
        <v>27</v>
      </c>
      <c r="O18" s="835">
        <v>0</v>
      </c>
      <c r="P18" s="835">
        <v>23</v>
      </c>
      <c r="Q18" s="835">
        <v>116</v>
      </c>
      <c r="R18" s="826">
        <v>47</v>
      </c>
      <c r="S18" s="835">
        <v>0</v>
      </c>
      <c r="T18" s="835">
        <v>10</v>
      </c>
      <c r="U18" s="840">
        <v>18</v>
      </c>
      <c r="V18" s="834">
        <v>1630</v>
      </c>
      <c r="W18" s="836">
        <v>10330</v>
      </c>
    </row>
    <row r="19" spans="1:23" s="829" customFormat="1" ht="13.5">
      <c r="A19" s="1544" t="s">
        <v>1162</v>
      </c>
      <c r="B19" s="838" t="s">
        <v>404</v>
      </c>
      <c r="C19" s="826">
        <v>189</v>
      </c>
      <c r="D19" s="835">
        <v>484</v>
      </c>
      <c r="E19" s="835">
        <v>1018</v>
      </c>
      <c r="F19" s="835">
        <v>516</v>
      </c>
      <c r="G19" s="835" t="s">
        <v>1334</v>
      </c>
      <c r="H19" s="835">
        <v>639</v>
      </c>
      <c r="I19" s="835">
        <v>3476</v>
      </c>
      <c r="J19" s="835">
        <v>592</v>
      </c>
      <c r="K19" s="835">
        <v>384</v>
      </c>
      <c r="L19" s="835">
        <v>665</v>
      </c>
      <c r="M19" s="835">
        <v>448</v>
      </c>
      <c r="N19" s="827">
        <v>458</v>
      </c>
      <c r="O19" s="835">
        <v>480</v>
      </c>
      <c r="P19" s="835">
        <v>459</v>
      </c>
      <c r="Q19" s="835">
        <v>1283</v>
      </c>
      <c r="R19" s="826">
        <v>180</v>
      </c>
      <c r="S19" s="835">
        <v>957</v>
      </c>
      <c r="T19" s="835">
        <v>258</v>
      </c>
      <c r="U19" s="840">
        <v>233</v>
      </c>
      <c r="V19" s="834">
        <v>18280</v>
      </c>
      <c r="W19" s="836">
        <v>91370</v>
      </c>
    </row>
    <row r="20" spans="1:23" s="829" customFormat="1" ht="13.5">
      <c r="A20" s="1544" t="s">
        <v>1163</v>
      </c>
      <c r="B20" s="476" t="s">
        <v>405</v>
      </c>
      <c r="C20" s="383"/>
      <c r="D20" s="817"/>
      <c r="E20" s="817"/>
      <c r="F20" s="817"/>
      <c r="G20" s="817"/>
      <c r="H20" s="817"/>
      <c r="I20" s="817"/>
      <c r="J20" s="817"/>
      <c r="K20" s="817"/>
      <c r="L20" s="817"/>
      <c r="M20" s="817"/>
      <c r="N20" s="385"/>
      <c r="O20" s="817"/>
      <c r="P20" s="817"/>
      <c r="Q20" s="817"/>
      <c r="R20" s="384"/>
      <c r="S20" s="817"/>
      <c r="T20" s="817"/>
      <c r="U20" s="817"/>
      <c r="V20" s="818"/>
      <c r="W20" s="381"/>
    </row>
    <row r="21" spans="1:23" s="829" customFormat="1" ht="13.5">
      <c r="A21" s="1544" t="s">
        <v>1164</v>
      </c>
      <c r="B21" s="476" t="s">
        <v>406</v>
      </c>
      <c r="C21" s="384"/>
      <c r="D21" s="817"/>
      <c r="E21" s="817"/>
      <c r="F21" s="817"/>
      <c r="G21" s="817"/>
      <c r="H21" s="817"/>
      <c r="I21" s="817"/>
      <c r="J21" s="817"/>
      <c r="K21" s="817"/>
      <c r="L21" s="817"/>
      <c r="M21" s="817"/>
      <c r="N21" s="385"/>
      <c r="O21" s="817"/>
      <c r="P21" s="817"/>
      <c r="Q21" s="817"/>
      <c r="R21" s="384"/>
      <c r="S21" s="817"/>
      <c r="T21" s="817"/>
      <c r="U21" s="817"/>
      <c r="V21" s="818"/>
      <c r="W21" s="381"/>
    </row>
    <row r="22" spans="1:23" s="829" customFormat="1" ht="13.5">
      <c r="A22" s="1544" t="s">
        <v>1165</v>
      </c>
      <c r="B22" s="476" t="s">
        <v>407</v>
      </c>
      <c r="C22" s="383"/>
      <c r="D22" s="817"/>
      <c r="E22" s="817"/>
      <c r="F22" s="817"/>
      <c r="G22" s="817"/>
      <c r="H22" s="817"/>
      <c r="I22" s="817"/>
      <c r="J22" s="817"/>
      <c r="K22" s="817"/>
      <c r="L22" s="817"/>
      <c r="M22" s="817"/>
      <c r="N22" s="385"/>
      <c r="O22" s="817"/>
      <c r="P22" s="817"/>
      <c r="Q22" s="817"/>
      <c r="R22" s="384"/>
      <c r="S22" s="817"/>
      <c r="T22" s="817"/>
      <c r="U22" s="817"/>
      <c r="V22" s="818"/>
      <c r="W22" s="381"/>
    </row>
    <row r="23" spans="1:23" s="829" customFormat="1" ht="13.5">
      <c r="A23" s="1544" t="s">
        <v>1166</v>
      </c>
      <c r="B23" s="476" t="s">
        <v>408</v>
      </c>
      <c r="C23" s="383"/>
      <c r="D23" s="817"/>
      <c r="E23" s="817"/>
      <c r="F23" s="817"/>
      <c r="G23" s="817"/>
      <c r="H23" s="817"/>
      <c r="I23" s="817"/>
      <c r="J23" s="817"/>
      <c r="K23" s="817"/>
      <c r="L23" s="817"/>
      <c r="M23" s="817"/>
      <c r="N23" s="385"/>
      <c r="O23" s="817"/>
      <c r="P23" s="817"/>
      <c r="Q23" s="817"/>
      <c r="R23" s="384"/>
      <c r="S23" s="817"/>
      <c r="T23" s="817"/>
      <c r="U23" s="817"/>
      <c r="V23" s="818"/>
      <c r="W23" s="381"/>
    </row>
    <row r="24" spans="1:23" s="829" customFormat="1" ht="13.5">
      <c r="A24" s="1544" t="s">
        <v>1167</v>
      </c>
      <c r="B24" s="476" t="s">
        <v>409</v>
      </c>
      <c r="C24" s="384"/>
      <c r="D24" s="817"/>
      <c r="E24" s="817"/>
      <c r="F24" s="817"/>
      <c r="G24" s="817"/>
      <c r="H24" s="817"/>
      <c r="I24" s="817"/>
      <c r="J24" s="817"/>
      <c r="K24" s="817"/>
      <c r="L24" s="817"/>
      <c r="M24" s="817"/>
      <c r="N24" s="385"/>
      <c r="O24" s="817"/>
      <c r="P24" s="817"/>
      <c r="Q24" s="817"/>
      <c r="R24" s="384"/>
      <c r="S24" s="817"/>
      <c r="T24" s="817"/>
      <c r="U24" s="817"/>
      <c r="V24" s="818"/>
      <c r="W24" s="381"/>
    </row>
    <row r="25" spans="1:23" s="829" customFormat="1" ht="13.5">
      <c r="A25" s="1544" t="s">
        <v>1117</v>
      </c>
      <c r="B25" s="838" t="s">
        <v>410</v>
      </c>
      <c r="C25" s="826">
        <v>26</v>
      </c>
      <c r="D25" s="835">
        <v>39</v>
      </c>
      <c r="E25" s="835">
        <v>35</v>
      </c>
      <c r="F25" s="835">
        <v>69</v>
      </c>
      <c r="G25" s="835" t="s">
        <v>1334</v>
      </c>
      <c r="H25" s="835">
        <v>61</v>
      </c>
      <c r="I25" s="835">
        <v>411</v>
      </c>
      <c r="J25" s="835">
        <v>91</v>
      </c>
      <c r="K25" s="835">
        <v>0</v>
      </c>
      <c r="L25" s="835">
        <v>44</v>
      </c>
      <c r="M25" s="835">
        <v>62</v>
      </c>
      <c r="N25" s="827">
        <v>67</v>
      </c>
      <c r="O25" s="835">
        <v>0</v>
      </c>
      <c r="P25" s="835">
        <v>28</v>
      </c>
      <c r="Q25" s="835">
        <v>81</v>
      </c>
      <c r="R25" s="826">
        <v>6</v>
      </c>
      <c r="S25" s="835">
        <v>67</v>
      </c>
      <c r="T25" s="835">
        <v>11</v>
      </c>
      <c r="U25" s="840">
        <v>9</v>
      </c>
      <c r="V25" s="834">
        <v>1370</v>
      </c>
      <c r="W25" s="836">
        <v>7710</v>
      </c>
    </row>
    <row r="26" spans="1:23" s="829" customFormat="1" ht="13.5">
      <c r="A26" s="1544" t="s">
        <v>1168</v>
      </c>
      <c r="B26" s="838" t="s">
        <v>411</v>
      </c>
      <c r="C26" s="826">
        <v>314</v>
      </c>
      <c r="D26" s="835">
        <v>618</v>
      </c>
      <c r="E26" s="835">
        <v>864</v>
      </c>
      <c r="F26" s="835">
        <v>920</v>
      </c>
      <c r="G26" s="835" t="s">
        <v>1334</v>
      </c>
      <c r="H26" s="835">
        <v>286</v>
      </c>
      <c r="I26" s="835">
        <v>2523</v>
      </c>
      <c r="J26" s="835">
        <v>707</v>
      </c>
      <c r="K26" s="835">
        <v>434</v>
      </c>
      <c r="L26" s="835">
        <v>988</v>
      </c>
      <c r="M26" s="835">
        <v>538</v>
      </c>
      <c r="N26" s="827">
        <v>464</v>
      </c>
      <c r="O26" s="835">
        <v>333</v>
      </c>
      <c r="P26" s="835">
        <v>419</v>
      </c>
      <c r="Q26" s="835">
        <v>929</v>
      </c>
      <c r="R26" s="826">
        <v>253</v>
      </c>
      <c r="S26" s="835">
        <v>950</v>
      </c>
      <c r="T26" s="835">
        <v>217</v>
      </c>
      <c r="U26" s="840">
        <v>190</v>
      </c>
      <c r="V26" s="834">
        <v>14790</v>
      </c>
      <c r="W26" s="836">
        <v>87980</v>
      </c>
    </row>
    <row r="27" spans="1:23" s="829" customFormat="1" ht="13.5">
      <c r="A27" s="1544" t="s">
        <v>1169</v>
      </c>
      <c r="B27" s="476" t="s">
        <v>412</v>
      </c>
      <c r="C27" s="383"/>
      <c r="D27" s="817"/>
      <c r="E27" s="817"/>
      <c r="F27" s="817"/>
      <c r="G27" s="817"/>
      <c r="H27" s="817"/>
      <c r="I27" s="817"/>
      <c r="J27" s="817"/>
      <c r="K27" s="817"/>
      <c r="L27" s="817"/>
      <c r="M27" s="817"/>
      <c r="N27" s="385"/>
      <c r="O27" s="817"/>
      <c r="P27" s="817"/>
      <c r="Q27" s="817"/>
      <c r="R27" s="384"/>
      <c r="S27" s="817"/>
      <c r="T27" s="817"/>
      <c r="U27" s="817"/>
      <c r="V27" s="818"/>
      <c r="W27" s="381"/>
    </row>
    <row r="28" spans="1:23" s="829" customFormat="1" ht="13.5">
      <c r="A28" s="1544" t="s">
        <v>1170</v>
      </c>
      <c r="B28" s="476" t="s">
        <v>413</v>
      </c>
      <c r="C28" s="383"/>
      <c r="D28" s="817"/>
      <c r="E28" s="817"/>
      <c r="F28" s="817"/>
      <c r="G28" s="817"/>
      <c r="H28" s="817"/>
      <c r="I28" s="817"/>
      <c r="J28" s="817"/>
      <c r="K28" s="817"/>
      <c r="L28" s="817"/>
      <c r="M28" s="817"/>
      <c r="N28" s="385"/>
      <c r="O28" s="817"/>
      <c r="P28" s="817"/>
      <c r="Q28" s="817"/>
      <c r="R28" s="384"/>
      <c r="S28" s="817"/>
      <c r="T28" s="817"/>
      <c r="U28" s="817"/>
      <c r="V28" s="818"/>
      <c r="W28" s="381"/>
    </row>
    <row r="29" spans="1:23" s="829" customFormat="1" ht="13.5">
      <c r="A29" s="1544" t="s">
        <v>1171</v>
      </c>
      <c r="B29" s="476" t="s">
        <v>1329</v>
      </c>
      <c r="C29" s="384"/>
      <c r="D29" s="817"/>
      <c r="E29" s="817"/>
      <c r="F29" s="817"/>
      <c r="G29" s="817"/>
      <c r="H29" s="817"/>
      <c r="I29" s="817"/>
      <c r="J29" s="817"/>
      <c r="K29" s="817"/>
      <c r="L29" s="817"/>
      <c r="M29" s="817"/>
      <c r="N29" s="385"/>
      <c r="O29" s="817"/>
      <c r="P29" s="817"/>
      <c r="Q29" s="817"/>
      <c r="R29" s="384"/>
      <c r="S29" s="817"/>
      <c r="T29" s="817"/>
      <c r="U29" s="817"/>
      <c r="V29" s="818"/>
      <c r="W29" s="381"/>
    </row>
    <row r="30" spans="1:23" s="829" customFormat="1" ht="13.5">
      <c r="A30" s="1544" t="s">
        <v>1119</v>
      </c>
      <c r="B30" s="838" t="s">
        <v>414</v>
      </c>
      <c r="C30" s="826">
        <v>346</v>
      </c>
      <c r="D30" s="835">
        <v>1029</v>
      </c>
      <c r="E30" s="835">
        <v>2374</v>
      </c>
      <c r="F30" s="835">
        <v>1289</v>
      </c>
      <c r="G30" s="835" t="s">
        <v>1334</v>
      </c>
      <c r="H30" s="835">
        <v>977</v>
      </c>
      <c r="I30" s="835">
        <v>5139</v>
      </c>
      <c r="J30" s="835">
        <v>1254</v>
      </c>
      <c r="K30" s="835">
        <v>986</v>
      </c>
      <c r="L30" s="835">
        <v>1452</v>
      </c>
      <c r="M30" s="835">
        <v>880</v>
      </c>
      <c r="N30" s="827">
        <v>1037</v>
      </c>
      <c r="O30" s="835">
        <v>1305</v>
      </c>
      <c r="P30" s="835">
        <v>852</v>
      </c>
      <c r="Q30" s="835">
        <v>2275</v>
      </c>
      <c r="R30" s="826">
        <v>517</v>
      </c>
      <c r="S30" s="835">
        <v>2250</v>
      </c>
      <c r="T30" s="835">
        <v>599</v>
      </c>
      <c r="U30" s="840">
        <v>482</v>
      </c>
      <c r="V30" s="834">
        <v>31490</v>
      </c>
      <c r="W30" s="836">
        <v>177210</v>
      </c>
    </row>
    <row r="31" spans="1:23" s="829" customFormat="1" ht="13.5">
      <c r="A31" s="1544" t="s">
        <v>1120</v>
      </c>
      <c r="B31" s="838" t="s">
        <v>415</v>
      </c>
      <c r="C31" s="826">
        <v>39</v>
      </c>
      <c r="D31" s="835">
        <v>36</v>
      </c>
      <c r="E31" s="835">
        <v>210</v>
      </c>
      <c r="F31" s="835">
        <v>192</v>
      </c>
      <c r="G31" s="835" t="s">
        <v>1334</v>
      </c>
      <c r="H31" s="835">
        <v>149</v>
      </c>
      <c r="I31" s="835">
        <v>3246</v>
      </c>
      <c r="J31" s="835">
        <v>225</v>
      </c>
      <c r="K31" s="835">
        <v>113</v>
      </c>
      <c r="L31" s="835">
        <v>203</v>
      </c>
      <c r="M31" s="835">
        <v>124</v>
      </c>
      <c r="N31" s="827">
        <v>120</v>
      </c>
      <c r="O31" s="835">
        <v>87</v>
      </c>
      <c r="P31" s="835">
        <v>104</v>
      </c>
      <c r="Q31" s="835">
        <v>261</v>
      </c>
      <c r="R31" s="826">
        <v>78</v>
      </c>
      <c r="S31" s="835">
        <v>44</v>
      </c>
      <c r="T31" s="835">
        <v>22</v>
      </c>
      <c r="U31" s="840">
        <v>68</v>
      </c>
      <c r="V31" s="834">
        <v>6580</v>
      </c>
      <c r="W31" s="836">
        <v>27590</v>
      </c>
    </row>
    <row r="32" spans="1:23" s="829" customFormat="1" ht="13.5">
      <c r="A32" s="1544" t="s">
        <v>1121</v>
      </c>
      <c r="B32" s="838" t="s">
        <v>416</v>
      </c>
      <c r="C32" s="826">
        <v>40</v>
      </c>
      <c r="D32" s="835">
        <v>0</v>
      </c>
      <c r="E32" s="835">
        <v>253</v>
      </c>
      <c r="F32" s="835">
        <v>120</v>
      </c>
      <c r="G32" s="835" t="s">
        <v>1334</v>
      </c>
      <c r="H32" s="835">
        <v>353</v>
      </c>
      <c r="I32" s="835">
        <v>648</v>
      </c>
      <c r="J32" s="835">
        <v>131</v>
      </c>
      <c r="K32" s="835">
        <v>112</v>
      </c>
      <c r="L32" s="835">
        <v>118</v>
      </c>
      <c r="M32" s="835">
        <v>111</v>
      </c>
      <c r="N32" s="827">
        <v>101</v>
      </c>
      <c r="O32" s="835">
        <v>173</v>
      </c>
      <c r="P32" s="835">
        <v>118</v>
      </c>
      <c r="Q32" s="835">
        <v>626</v>
      </c>
      <c r="R32" s="826">
        <v>21</v>
      </c>
      <c r="S32" s="835">
        <v>994</v>
      </c>
      <c r="T32" s="835">
        <v>87</v>
      </c>
      <c r="U32" s="840">
        <v>23</v>
      </c>
      <c r="V32" s="834">
        <v>5460</v>
      </c>
      <c r="W32" s="836">
        <v>26120</v>
      </c>
    </row>
    <row r="33" spans="1:23" s="829" customFormat="1" ht="13.5">
      <c r="A33" s="1544" t="s">
        <v>1122</v>
      </c>
      <c r="B33" s="838" t="s">
        <v>417</v>
      </c>
      <c r="C33" s="826">
        <v>15</v>
      </c>
      <c r="D33" s="835">
        <v>54</v>
      </c>
      <c r="E33" s="835">
        <v>42</v>
      </c>
      <c r="F33" s="835">
        <v>93</v>
      </c>
      <c r="G33" s="835" t="s">
        <v>1334</v>
      </c>
      <c r="H33" s="835">
        <v>81</v>
      </c>
      <c r="I33" s="835">
        <v>167</v>
      </c>
      <c r="J33" s="835">
        <v>224</v>
      </c>
      <c r="K33" s="835">
        <v>64</v>
      </c>
      <c r="L33" s="835">
        <v>95</v>
      </c>
      <c r="M33" s="835">
        <v>96</v>
      </c>
      <c r="N33" s="827">
        <v>56</v>
      </c>
      <c r="O33" s="835">
        <v>7</v>
      </c>
      <c r="P33" s="835">
        <v>21</v>
      </c>
      <c r="Q33" s="835">
        <v>91</v>
      </c>
      <c r="R33" s="826">
        <v>38</v>
      </c>
      <c r="S33" s="835">
        <v>0</v>
      </c>
      <c r="T33" s="835">
        <v>14</v>
      </c>
      <c r="U33" s="840">
        <v>11</v>
      </c>
      <c r="V33" s="834">
        <v>1760</v>
      </c>
      <c r="W33" s="836">
        <v>10030</v>
      </c>
    </row>
    <row r="34" spans="1:23" s="829" customFormat="1" ht="13.5">
      <c r="A34" s="1544" t="s">
        <v>1123</v>
      </c>
      <c r="B34" s="838" t="s">
        <v>418</v>
      </c>
      <c r="C34" s="826">
        <v>0</v>
      </c>
      <c r="D34" s="835">
        <v>33</v>
      </c>
      <c r="E34" s="835">
        <v>26</v>
      </c>
      <c r="F34" s="835">
        <v>23</v>
      </c>
      <c r="G34" s="835" t="s">
        <v>1334</v>
      </c>
      <c r="H34" s="835">
        <v>26</v>
      </c>
      <c r="I34" s="835">
        <v>528</v>
      </c>
      <c r="J34" s="835">
        <v>8</v>
      </c>
      <c r="K34" s="835">
        <v>0</v>
      </c>
      <c r="L34" s="835">
        <v>22</v>
      </c>
      <c r="M34" s="835">
        <v>0</v>
      </c>
      <c r="N34" s="827">
        <v>0</v>
      </c>
      <c r="O34" s="840">
        <v>0</v>
      </c>
      <c r="P34" s="835">
        <v>0</v>
      </c>
      <c r="Q34" s="835">
        <v>0</v>
      </c>
      <c r="R34" s="840">
        <v>27</v>
      </c>
      <c r="S34" s="835">
        <v>533</v>
      </c>
      <c r="T34" s="835">
        <v>85</v>
      </c>
      <c r="U34" s="840">
        <v>8</v>
      </c>
      <c r="V34" s="825">
        <v>1560</v>
      </c>
      <c r="W34" s="836">
        <v>7190</v>
      </c>
    </row>
    <row r="35" spans="1:23" s="829" customFormat="1" ht="13.5">
      <c r="A35" s="1544" t="s">
        <v>1134</v>
      </c>
      <c r="B35" s="838" t="s">
        <v>419</v>
      </c>
      <c r="C35" s="826">
        <v>376</v>
      </c>
      <c r="D35" s="835">
        <v>798</v>
      </c>
      <c r="E35" s="835">
        <v>1541</v>
      </c>
      <c r="F35" s="835">
        <v>653</v>
      </c>
      <c r="G35" s="835" t="s">
        <v>1334</v>
      </c>
      <c r="H35" s="835">
        <v>1988</v>
      </c>
      <c r="I35" s="835">
        <v>5615</v>
      </c>
      <c r="J35" s="835">
        <v>1263</v>
      </c>
      <c r="K35" s="835">
        <v>598</v>
      </c>
      <c r="L35" s="835">
        <v>940</v>
      </c>
      <c r="M35" s="835">
        <v>735</v>
      </c>
      <c r="N35" s="827">
        <v>800</v>
      </c>
      <c r="O35" s="835">
        <v>771</v>
      </c>
      <c r="P35" s="835">
        <v>768</v>
      </c>
      <c r="Q35" s="835">
        <v>1256</v>
      </c>
      <c r="R35" s="826">
        <v>350</v>
      </c>
      <c r="S35" s="835">
        <v>1347</v>
      </c>
      <c r="T35" s="835">
        <v>410</v>
      </c>
      <c r="U35" s="840">
        <v>290</v>
      </c>
      <c r="V35" s="834">
        <v>32310</v>
      </c>
      <c r="W35" s="836">
        <v>139080</v>
      </c>
    </row>
    <row r="36" spans="1:23" s="829" customFormat="1" ht="13.5">
      <c r="A36" s="1544" t="s">
        <v>1300</v>
      </c>
      <c r="B36" s="838" t="s">
        <v>420</v>
      </c>
      <c r="C36" s="826">
        <v>1423</v>
      </c>
      <c r="D36" s="835">
        <v>2869</v>
      </c>
      <c r="E36" s="835">
        <v>8590</v>
      </c>
      <c r="F36" s="835">
        <v>4223</v>
      </c>
      <c r="G36" s="835" t="s">
        <v>1334</v>
      </c>
      <c r="H36" s="835">
        <v>3969</v>
      </c>
      <c r="I36" s="835">
        <v>21680</v>
      </c>
      <c r="J36" s="835">
        <v>5377</v>
      </c>
      <c r="K36" s="835">
        <v>3607</v>
      </c>
      <c r="L36" s="835">
        <v>5366</v>
      </c>
      <c r="M36" s="835">
        <v>2792</v>
      </c>
      <c r="N36" s="827">
        <v>2767</v>
      </c>
      <c r="O36" s="835">
        <v>3576</v>
      </c>
      <c r="P36" s="835">
        <v>3189</v>
      </c>
      <c r="Q36" s="835">
        <v>7611</v>
      </c>
      <c r="R36" s="826">
        <v>2406</v>
      </c>
      <c r="S36" s="835">
        <v>8562</v>
      </c>
      <c r="T36" s="835">
        <v>1525</v>
      </c>
      <c r="U36" s="840">
        <v>1576</v>
      </c>
      <c r="V36" s="834">
        <v>119590</v>
      </c>
      <c r="W36" s="836">
        <v>643170</v>
      </c>
    </row>
    <row r="37" spans="1:23" s="829" customFormat="1" ht="22.5">
      <c r="A37" s="727"/>
      <c r="B37" s="474" t="s">
        <v>211</v>
      </c>
      <c r="C37" s="819"/>
      <c r="D37" s="819"/>
      <c r="E37" s="819"/>
      <c r="F37" s="819"/>
      <c r="G37" s="819"/>
      <c r="H37" s="819"/>
      <c r="I37" s="819"/>
      <c r="J37" s="819"/>
      <c r="K37" s="819"/>
      <c r="L37" s="819"/>
      <c r="M37" s="819"/>
      <c r="N37" s="819"/>
      <c r="O37" s="819"/>
      <c r="P37" s="819"/>
      <c r="Q37" s="819"/>
      <c r="R37" s="819"/>
      <c r="S37" s="819"/>
      <c r="T37" s="819"/>
      <c r="U37" s="819"/>
      <c r="V37" s="819"/>
      <c r="W37" s="819"/>
    </row>
    <row r="38" spans="1:23" s="829" customFormat="1" ht="13.5">
      <c r="A38" s="1544" t="s">
        <v>1173</v>
      </c>
      <c r="B38" s="838" t="s">
        <v>421</v>
      </c>
      <c r="C38" s="826">
        <v>330</v>
      </c>
      <c r="D38" s="835">
        <v>450</v>
      </c>
      <c r="E38" s="835">
        <v>1760</v>
      </c>
      <c r="F38" s="835">
        <v>349</v>
      </c>
      <c r="G38" s="835" t="s">
        <v>1334</v>
      </c>
      <c r="H38" s="835">
        <v>1784</v>
      </c>
      <c r="I38" s="835">
        <v>2919</v>
      </c>
      <c r="J38" s="835">
        <v>293</v>
      </c>
      <c r="K38" s="835">
        <v>338</v>
      </c>
      <c r="L38" s="835">
        <v>465</v>
      </c>
      <c r="M38" s="835">
        <v>520</v>
      </c>
      <c r="N38" s="827">
        <v>130</v>
      </c>
      <c r="O38" s="835" t="s">
        <v>920</v>
      </c>
      <c r="P38" s="835">
        <v>434</v>
      </c>
      <c r="Q38" s="835">
        <v>484</v>
      </c>
      <c r="R38" s="826">
        <v>870</v>
      </c>
      <c r="S38" s="835">
        <v>589</v>
      </c>
      <c r="T38" s="835">
        <v>211</v>
      </c>
      <c r="U38" s="835" t="s">
        <v>920</v>
      </c>
      <c r="V38" s="834">
        <v>20480</v>
      </c>
      <c r="W38" s="836">
        <v>83300</v>
      </c>
    </row>
    <row r="39" spans="1:23" s="829" customFormat="1" ht="13.5">
      <c r="A39" s="1544" t="s">
        <v>1174</v>
      </c>
      <c r="B39" s="838" t="s">
        <v>562</v>
      </c>
      <c r="C39" s="826">
        <v>378</v>
      </c>
      <c r="D39" s="835">
        <v>370</v>
      </c>
      <c r="E39" s="835">
        <v>948</v>
      </c>
      <c r="F39" s="835">
        <v>586</v>
      </c>
      <c r="G39" s="835" t="s">
        <v>1334</v>
      </c>
      <c r="H39" s="835">
        <v>1271</v>
      </c>
      <c r="I39" s="835">
        <v>1949</v>
      </c>
      <c r="J39" s="835">
        <v>425</v>
      </c>
      <c r="K39" s="835">
        <v>642</v>
      </c>
      <c r="L39" s="835">
        <v>805</v>
      </c>
      <c r="M39" s="835">
        <v>830</v>
      </c>
      <c r="N39" s="827">
        <v>321</v>
      </c>
      <c r="O39" s="835">
        <v>391</v>
      </c>
      <c r="P39" s="835">
        <v>433</v>
      </c>
      <c r="Q39" s="835">
        <v>848</v>
      </c>
      <c r="R39" s="826">
        <v>390</v>
      </c>
      <c r="S39" s="835">
        <v>1404</v>
      </c>
      <c r="T39" s="835">
        <v>359</v>
      </c>
      <c r="U39" s="835">
        <v>143</v>
      </c>
      <c r="V39" s="834">
        <v>27060</v>
      </c>
      <c r="W39" s="836">
        <v>110950</v>
      </c>
    </row>
    <row r="40" spans="1:23" s="829" customFormat="1" ht="13.5">
      <c r="A40" s="1544" t="s">
        <v>1175</v>
      </c>
      <c r="B40" s="838" t="s">
        <v>563</v>
      </c>
      <c r="C40" s="826">
        <v>213</v>
      </c>
      <c r="D40" s="835">
        <v>447</v>
      </c>
      <c r="E40" s="835">
        <v>1336</v>
      </c>
      <c r="F40" s="835">
        <v>602</v>
      </c>
      <c r="G40" s="835" t="s">
        <v>1334</v>
      </c>
      <c r="H40" s="835">
        <v>324</v>
      </c>
      <c r="I40" s="835">
        <v>3767</v>
      </c>
      <c r="J40" s="835">
        <v>647</v>
      </c>
      <c r="K40" s="835">
        <v>784</v>
      </c>
      <c r="L40" s="835">
        <v>933</v>
      </c>
      <c r="M40" s="835">
        <v>672</v>
      </c>
      <c r="N40" s="827">
        <v>412</v>
      </c>
      <c r="O40" s="835">
        <v>927</v>
      </c>
      <c r="P40" s="835">
        <v>511</v>
      </c>
      <c r="Q40" s="835">
        <v>822</v>
      </c>
      <c r="R40" s="826">
        <v>343</v>
      </c>
      <c r="S40" s="835">
        <v>1434</v>
      </c>
      <c r="T40" s="835">
        <v>296</v>
      </c>
      <c r="U40" s="835">
        <v>159</v>
      </c>
      <c r="V40" s="834">
        <v>16860</v>
      </c>
      <c r="W40" s="836">
        <v>102600</v>
      </c>
    </row>
    <row r="41" spans="1:23" s="829" customFormat="1" ht="13.5">
      <c r="A41" s="1544" t="s">
        <v>1176</v>
      </c>
      <c r="B41" s="838" t="s">
        <v>564</v>
      </c>
      <c r="C41" s="826">
        <v>249</v>
      </c>
      <c r="D41" s="835">
        <v>1200</v>
      </c>
      <c r="E41" s="835">
        <v>2579</v>
      </c>
      <c r="F41" s="835">
        <v>1260</v>
      </c>
      <c r="G41" s="835" t="s">
        <v>1334</v>
      </c>
      <c r="H41" s="835">
        <v>450</v>
      </c>
      <c r="I41" s="835">
        <v>9759</v>
      </c>
      <c r="J41" s="835">
        <v>2838</v>
      </c>
      <c r="K41" s="835">
        <v>1161</v>
      </c>
      <c r="L41" s="835">
        <v>2153</v>
      </c>
      <c r="M41" s="835">
        <v>679</v>
      </c>
      <c r="N41" s="827">
        <v>856</v>
      </c>
      <c r="O41" s="835">
        <v>1632</v>
      </c>
      <c r="P41" s="824">
        <v>1431</v>
      </c>
      <c r="Q41" s="835">
        <v>4332</v>
      </c>
      <c r="R41" s="826">
        <v>740</v>
      </c>
      <c r="S41" s="835">
        <v>4241</v>
      </c>
      <c r="T41" s="835">
        <v>512</v>
      </c>
      <c r="U41" s="835">
        <v>926</v>
      </c>
      <c r="V41" s="834">
        <v>38920</v>
      </c>
      <c r="W41" s="836">
        <v>246360</v>
      </c>
    </row>
    <row r="42" spans="1:23" s="829" customFormat="1" ht="13.5">
      <c r="A42" s="1544" t="s">
        <v>1177</v>
      </c>
      <c r="B42" s="838" t="s">
        <v>422</v>
      </c>
      <c r="C42" s="826">
        <v>253</v>
      </c>
      <c r="D42" s="835">
        <v>402</v>
      </c>
      <c r="E42" s="835">
        <v>1967</v>
      </c>
      <c r="F42" s="835">
        <v>1426</v>
      </c>
      <c r="G42" s="835" t="s">
        <v>1334</v>
      </c>
      <c r="H42" s="835">
        <v>140</v>
      </c>
      <c r="I42" s="835">
        <v>3286</v>
      </c>
      <c r="J42" s="835">
        <v>1174</v>
      </c>
      <c r="K42" s="835">
        <v>682</v>
      </c>
      <c r="L42" s="835">
        <v>1010</v>
      </c>
      <c r="M42" s="835" t="s">
        <v>920</v>
      </c>
      <c r="N42" s="827">
        <v>1048</v>
      </c>
      <c r="O42" s="835">
        <v>463</v>
      </c>
      <c r="P42" s="824">
        <v>380</v>
      </c>
      <c r="Q42" s="835">
        <v>1125</v>
      </c>
      <c r="R42" s="826">
        <v>63</v>
      </c>
      <c r="S42" s="835">
        <v>894</v>
      </c>
      <c r="T42" s="835">
        <v>147</v>
      </c>
      <c r="U42" s="835">
        <v>285</v>
      </c>
      <c r="V42" s="834">
        <v>16280</v>
      </c>
      <c r="W42" s="836">
        <v>99950</v>
      </c>
    </row>
    <row r="43" spans="1:23" s="829" customFormat="1" ht="13.5">
      <c r="A43" s="1547"/>
      <c r="B43" s="828" t="s">
        <v>896</v>
      </c>
      <c r="C43" s="826"/>
      <c r="D43" s="835"/>
      <c r="E43" s="835"/>
      <c r="F43" s="835"/>
      <c r="G43" s="835"/>
      <c r="H43" s="835"/>
      <c r="I43" s="835"/>
      <c r="J43" s="835"/>
      <c r="K43" s="835"/>
      <c r="L43" s="835"/>
      <c r="M43" s="835"/>
      <c r="N43" s="827"/>
      <c r="O43" s="835"/>
      <c r="P43" s="824"/>
      <c r="Q43" s="835"/>
      <c r="R43" s="826"/>
      <c r="S43" s="835"/>
      <c r="T43" s="835"/>
      <c r="U43" s="835"/>
      <c r="V43" s="834"/>
      <c r="W43" s="836"/>
    </row>
    <row r="44" spans="1:23" s="829" customFormat="1" ht="13.5">
      <c r="A44" s="1547"/>
      <c r="B44" s="828" t="s">
        <v>897</v>
      </c>
      <c r="C44" s="826"/>
      <c r="D44" s="835"/>
      <c r="E44" s="835"/>
      <c r="F44" s="835"/>
      <c r="G44" s="835"/>
      <c r="H44" s="835"/>
      <c r="I44" s="835"/>
      <c r="J44" s="835"/>
      <c r="K44" s="835"/>
      <c r="L44" s="835"/>
      <c r="M44" s="835"/>
      <c r="N44" s="827"/>
      <c r="O44" s="835"/>
      <c r="P44" s="824"/>
      <c r="Q44" s="835"/>
      <c r="R44" s="826"/>
      <c r="S44" s="835"/>
      <c r="T44" s="835"/>
      <c r="U44" s="835"/>
      <c r="V44" s="834"/>
      <c r="W44" s="836"/>
    </row>
    <row r="45" spans="1:23" s="829" customFormat="1" ht="13.5">
      <c r="A45" s="1547"/>
      <c r="B45" s="828" t="s">
        <v>898</v>
      </c>
      <c r="C45" s="826"/>
      <c r="D45" s="835"/>
      <c r="E45" s="835"/>
      <c r="F45" s="835"/>
      <c r="G45" s="835"/>
      <c r="H45" s="835"/>
      <c r="I45" s="835"/>
      <c r="J45" s="835"/>
      <c r="K45" s="835"/>
      <c r="L45" s="835"/>
      <c r="M45" s="835"/>
      <c r="N45" s="827"/>
      <c r="O45" s="835"/>
      <c r="P45" s="824"/>
      <c r="Q45" s="835"/>
      <c r="R45" s="826"/>
      <c r="S45" s="835"/>
      <c r="T45" s="835"/>
      <c r="U45" s="835"/>
      <c r="V45" s="834"/>
      <c r="W45" s="836"/>
    </row>
    <row r="46" spans="1:23" s="829" customFormat="1" ht="13.5">
      <c r="A46" s="1544" t="s">
        <v>1302</v>
      </c>
      <c r="B46" s="476" t="s">
        <v>423</v>
      </c>
      <c r="C46" s="383"/>
      <c r="D46" s="817"/>
      <c r="E46" s="817"/>
      <c r="F46" s="817"/>
      <c r="G46" s="817"/>
      <c r="H46" s="817"/>
      <c r="I46" s="817"/>
      <c r="J46" s="817"/>
      <c r="K46" s="817"/>
      <c r="L46" s="817"/>
      <c r="M46" s="817"/>
      <c r="N46" s="385"/>
      <c r="O46" s="817"/>
      <c r="P46" s="817"/>
      <c r="Q46" s="817"/>
      <c r="R46" s="384"/>
      <c r="S46" s="817"/>
      <c r="T46" s="817"/>
      <c r="U46" s="817"/>
      <c r="V46" s="818"/>
      <c r="W46" s="381"/>
    </row>
    <row r="47" spans="1:23" s="829" customFormat="1" ht="13.5">
      <c r="A47" s="1544" t="s">
        <v>1303</v>
      </c>
      <c r="B47" s="476" t="s">
        <v>424</v>
      </c>
      <c r="C47" s="384"/>
      <c r="D47" s="817"/>
      <c r="E47" s="817"/>
      <c r="F47" s="817"/>
      <c r="G47" s="817"/>
      <c r="H47" s="817"/>
      <c r="I47" s="817"/>
      <c r="J47" s="817"/>
      <c r="K47" s="817"/>
      <c r="L47" s="817"/>
      <c r="M47" s="817"/>
      <c r="N47" s="385"/>
      <c r="O47" s="817"/>
      <c r="P47" s="817"/>
      <c r="Q47" s="817"/>
      <c r="R47" s="384"/>
      <c r="S47" s="817"/>
      <c r="T47" s="817"/>
      <c r="U47" s="817"/>
      <c r="V47" s="818"/>
      <c r="W47" s="381"/>
    </row>
    <row r="48" spans="1:23" s="829" customFormat="1" ht="13.5">
      <c r="A48" s="1544" t="s">
        <v>1211</v>
      </c>
      <c r="B48" s="838" t="s">
        <v>425</v>
      </c>
      <c r="C48" s="826">
        <v>924</v>
      </c>
      <c r="D48" s="835">
        <v>1991</v>
      </c>
      <c r="E48" s="835">
        <v>3469</v>
      </c>
      <c r="F48" s="835">
        <v>3708</v>
      </c>
      <c r="G48" s="835" t="s">
        <v>1334</v>
      </c>
      <c r="H48" s="835">
        <v>1467</v>
      </c>
      <c r="I48" s="835">
        <v>11717</v>
      </c>
      <c r="J48" s="835">
        <v>2247</v>
      </c>
      <c r="K48" s="835">
        <v>2501</v>
      </c>
      <c r="L48" s="835">
        <v>3862</v>
      </c>
      <c r="M48" s="835">
        <v>1846</v>
      </c>
      <c r="N48" s="827">
        <v>1710</v>
      </c>
      <c r="O48" s="835">
        <v>1730</v>
      </c>
      <c r="P48" s="835">
        <v>2059</v>
      </c>
      <c r="Q48" s="835">
        <v>5348</v>
      </c>
      <c r="R48" s="826">
        <v>1065</v>
      </c>
      <c r="S48" s="835">
        <v>6106</v>
      </c>
      <c r="T48" s="835">
        <v>842</v>
      </c>
      <c r="U48" s="835">
        <v>1000</v>
      </c>
      <c r="V48" s="834">
        <v>62960</v>
      </c>
      <c r="W48" s="836">
        <v>399460</v>
      </c>
    </row>
    <row r="49" spans="1:25" s="829" customFormat="1" ht="13.5">
      <c r="A49" s="1544" t="s">
        <v>1212</v>
      </c>
      <c r="B49" s="838" t="s">
        <v>426</v>
      </c>
      <c r="C49" s="826">
        <v>698</v>
      </c>
      <c r="D49" s="835">
        <v>1224</v>
      </c>
      <c r="E49" s="835">
        <v>2717</v>
      </c>
      <c r="F49" s="835">
        <v>1273</v>
      </c>
      <c r="G49" s="835" t="s">
        <v>1334</v>
      </c>
      <c r="H49" s="835">
        <v>1166</v>
      </c>
      <c r="I49" s="835">
        <v>7339</v>
      </c>
      <c r="J49" s="835">
        <v>2009</v>
      </c>
      <c r="K49" s="835">
        <v>1214</v>
      </c>
      <c r="L49" s="835">
        <v>1863</v>
      </c>
      <c r="M49" s="835">
        <v>1417</v>
      </c>
      <c r="N49" s="827">
        <v>1093</v>
      </c>
      <c r="O49" s="835">
        <v>1235</v>
      </c>
      <c r="P49" s="835">
        <v>1320</v>
      </c>
      <c r="Q49" s="835">
        <v>2471</v>
      </c>
      <c r="R49" s="826">
        <v>716</v>
      </c>
      <c r="S49" s="835">
        <v>3059</v>
      </c>
      <c r="T49" s="835">
        <v>649</v>
      </c>
      <c r="U49" s="835">
        <v>570</v>
      </c>
      <c r="V49" s="834">
        <v>40470</v>
      </c>
      <c r="W49" s="836">
        <v>224520</v>
      </c>
    </row>
    <row r="50" spans="1:25" s="829" customFormat="1" ht="13.5">
      <c r="A50" s="1544" t="s">
        <v>1213</v>
      </c>
      <c r="B50" s="838" t="s">
        <v>427</v>
      </c>
      <c r="C50" s="826">
        <v>139</v>
      </c>
      <c r="D50" s="835">
        <v>343</v>
      </c>
      <c r="E50" s="835">
        <v>648</v>
      </c>
      <c r="F50" s="835">
        <v>825</v>
      </c>
      <c r="G50" s="835" t="s">
        <v>1334</v>
      </c>
      <c r="H50" s="835">
        <v>276</v>
      </c>
      <c r="I50" s="835">
        <v>1558</v>
      </c>
      <c r="J50" s="835">
        <v>475</v>
      </c>
      <c r="K50" s="835">
        <v>335</v>
      </c>
      <c r="L50" s="835">
        <v>744</v>
      </c>
      <c r="M50" s="835">
        <v>341</v>
      </c>
      <c r="N50" s="827">
        <v>309</v>
      </c>
      <c r="O50" s="835">
        <v>314</v>
      </c>
      <c r="P50" s="835">
        <v>375</v>
      </c>
      <c r="Q50" s="835">
        <v>714</v>
      </c>
      <c r="R50" s="826">
        <v>257</v>
      </c>
      <c r="S50" s="835">
        <v>1017</v>
      </c>
      <c r="T50" s="835">
        <v>230</v>
      </c>
      <c r="U50" s="835">
        <v>163</v>
      </c>
      <c r="V50" s="834">
        <v>10730</v>
      </c>
      <c r="W50" s="836">
        <v>72250</v>
      </c>
    </row>
    <row r="51" spans="1:25" s="829" customFormat="1" ht="13.5">
      <c r="A51" s="1544" t="s">
        <v>1214</v>
      </c>
      <c r="B51" s="838" t="s">
        <v>428</v>
      </c>
      <c r="C51" s="826">
        <v>103</v>
      </c>
      <c r="D51" s="835">
        <v>307</v>
      </c>
      <c r="E51" s="835">
        <v>450</v>
      </c>
      <c r="F51" s="835">
        <v>645</v>
      </c>
      <c r="G51" s="835" t="s">
        <v>1334</v>
      </c>
      <c r="H51" s="835">
        <v>201</v>
      </c>
      <c r="I51" s="835">
        <v>1364</v>
      </c>
      <c r="J51" s="835">
        <v>408</v>
      </c>
      <c r="K51" s="835">
        <v>231</v>
      </c>
      <c r="L51" s="835">
        <v>602</v>
      </c>
      <c r="M51" s="835">
        <v>288</v>
      </c>
      <c r="N51" s="827">
        <v>211</v>
      </c>
      <c r="O51" s="835">
        <v>261</v>
      </c>
      <c r="P51" s="835">
        <v>270</v>
      </c>
      <c r="Q51" s="835">
        <v>584</v>
      </c>
      <c r="R51" s="826">
        <v>212</v>
      </c>
      <c r="S51" s="835">
        <v>726</v>
      </c>
      <c r="T51" s="835">
        <v>174</v>
      </c>
      <c r="U51" s="835">
        <v>152</v>
      </c>
      <c r="V51" s="834">
        <v>8510</v>
      </c>
      <c r="W51" s="836">
        <v>57580</v>
      </c>
    </row>
    <row r="52" spans="1:25" s="829" customFormat="1" ht="13.5">
      <c r="A52" s="1544" t="s">
        <v>1215</v>
      </c>
      <c r="B52" s="838" t="s">
        <v>429</v>
      </c>
      <c r="C52" s="826">
        <v>112</v>
      </c>
      <c r="D52" s="835">
        <v>262</v>
      </c>
      <c r="E52" s="835">
        <v>430</v>
      </c>
      <c r="F52" s="835">
        <v>685</v>
      </c>
      <c r="G52" s="835" t="s">
        <v>1334</v>
      </c>
      <c r="H52" s="835">
        <v>184</v>
      </c>
      <c r="I52" s="835">
        <v>1211</v>
      </c>
      <c r="J52" s="835">
        <v>281</v>
      </c>
      <c r="K52" s="835">
        <v>193</v>
      </c>
      <c r="L52" s="835">
        <v>532</v>
      </c>
      <c r="M52" s="835">
        <v>227</v>
      </c>
      <c r="N52" s="827">
        <v>235</v>
      </c>
      <c r="O52" s="835">
        <v>195</v>
      </c>
      <c r="P52" s="835">
        <v>276</v>
      </c>
      <c r="Q52" s="835">
        <v>579</v>
      </c>
      <c r="R52" s="826">
        <v>191</v>
      </c>
      <c r="S52" s="835">
        <v>644</v>
      </c>
      <c r="T52" s="835">
        <v>99</v>
      </c>
      <c r="U52" s="835">
        <v>125</v>
      </c>
      <c r="V52" s="834">
        <v>7510</v>
      </c>
      <c r="W52" s="836">
        <v>49900</v>
      </c>
      <c r="Y52" s="830"/>
    </row>
    <row r="53" spans="1:25" s="829" customFormat="1" ht="13.5">
      <c r="A53" s="1544" t="s">
        <v>1304</v>
      </c>
      <c r="B53" s="838" t="s">
        <v>430</v>
      </c>
      <c r="C53" s="826">
        <v>87</v>
      </c>
      <c r="D53" s="835">
        <v>192</v>
      </c>
      <c r="E53" s="835">
        <v>299</v>
      </c>
      <c r="F53" s="835">
        <v>532</v>
      </c>
      <c r="G53" s="835" t="s">
        <v>1334</v>
      </c>
      <c r="H53" s="835">
        <v>152</v>
      </c>
      <c r="I53" s="835">
        <v>854</v>
      </c>
      <c r="J53" s="835">
        <v>183</v>
      </c>
      <c r="K53" s="835">
        <v>115</v>
      </c>
      <c r="L53" s="835">
        <v>348</v>
      </c>
      <c r="M53" s="835">
        <v>134</v>
      </c>
      <c r="N53" s="827">
        <v>186</v>
      </c>
      <c r="O53" s="835">
        <v>140</v>
      </c>
      <c r="P53" s="835">
        <v>212</v>
      </c>
      <c r="Q53" s="835">
        <v>431</v>
      </c>
      <c r="R53" s="826">
        <v>155</v>
      </c>
      <c r="S53" s="835">
        <v>456</v>
      </c>
      <c r="T53" s="835">
        <v>66</v>
      </c>
      <c r="U53" s="835">
        <v>86</v>
      </c>
      <c r="V53" s="834">
        <v>5330</v>
      </c>
      <c r="W53" s="836">
        <v>35090</v>
      </c>
    </row>
    <row r="54" spans="1:25" s="829" customFormat="1" ht="13.5">
      <c r="A54" s="1544" t="s">
        <v>1178</v>
      </c>
      <c r="B54" s="838" t="s">
        <v>431</v>
      </c>
      <c r="C54" s="826">
        <v>86</v>
      </c>
      <c r="D54" s="835">
        <v>167</v>
      </c>
      <c r="E54" s="835">
        <v>264</v>
      </c>
      <c r="F54" s="835">
        <v>474</v>
      </c>
      <c r="G54" s="835" t="s">
        <v>1334</v>
      </c>
      <c r="H54" s="835">
        <v>128</v>
      </c>
      <c r="I54" s="835">
        <v>852</v>
      </c>
      <c r="J54" s="835">
        <v>177</v>
      </c>
      <c r="K54" s="835">
        <v>101</v>
      </c>
      <c r="L54" s="835">
        <v>338</v>
      </c>
      <c r="M54" s="835">
        <v>134</v>
      </c>
      <c r="N54" s="827">
        <v>142</v>
      </c>
      <c r="O54" s="835">
        <v>133</v>
      </c>
      <c r="P54" s="835">
        <v>177</v>
      </c>
      <c r="Q54" s="835">
        <v>414</v>
      </c>
      <c r="R54" s="826">
        <v>130</v>
      </c>
      <c r="S54" s="835">
        <v>340</v>
      </c>
      <c r="T54" s="835">
        <v>60</v>
      </c>
      <c r="U54" s="835">
        <v>84</v>
      </c>
      <c r="V54" s="834">
        <v>4770</v>
      </c>
      <c r="W54" s="836">
        <v>31500</v>
      </c>
    </row>
    <row r="55" spans="1:25" s="829" customFormat="1" ht="13.5">
      <c r="A55" s="1544" t="s">
        <v>1305</v>
      </c>
      <c r="B55" s="473" t="s">
        <v>543</v>
      </c>
      <c r="C55" s="384"/>
      <c r="D55" s="817"/>
      <c r="E55" s="817"/>
      <c r="F55" s="817"/>
      <c r="G55" s="817"/>
      <c r="H55" s="817"/>
      <c r="I55" s="817"/>
      <c r="J55" s="817"/>
      <c r="K55" s="817"/>
      <c r="L55" s="817"/>
      <c r="M55" s="817"/>
      <c r="N55" s="385"/>
      <c r="O55" s="817"/>
      <c r="P55" s="817"/>
      <c r="Q55" s="817"/>
      <c r="R55" s="384"/>
      <c r="S55" s="817"/>
      <c r="T55" s="817"/>
      <c r="U55" s="817"/>
      <c r="V55" s="818"/>
      <c r="W55" s="381"/>
    </row>
    <row r="56" spans="1:25" s="829" customFormat="1" ht="13.5">
      <c r="A56" s="1544" t="s">
        <v>1179</v>
      </c>
      <c r="B56" s="838" t="s">
        <v>614</v>
      </c>
      <c r="C56" s="826">
        <v>7</v>
      </c>
      <c r="D56" s="842" t="s">
        <v>920</v>
      </c>
      <c r="E56" s="842">
        <v>28</v>
      </c>
      <c r="F56" s="842">
        <v>54</v>
      </c>
      <c r="G56" s="842" t="s">
        <v>1334</v>
      </c>
      <c r="H56" s="842">
        <v>0</v>
      </c>
      <c r="I56" s="842">
        <v>23</v>
      </c>
      <c r="J56" s="842" t="s">
        <v>920</v>
      </c>
      <c r="K56" s="842" t="s">
        <v>920</v>
      </c>
      <c r="L56" s="842">
        <v>13</v>
      </c>
      <c r="M56" s="842" t="s">
        <v>920</v>
      </c>
      <c r="N56" s="827">
        <v>9</v>
      </c>
      <c r="O56" s="842" t="s">
        <v>920</v>
      </c>
      <c r="P56" s="842">
        <v>11</v>
      </c>
      <c r="Q56" s="842">
        <v>37</v>
      </c>
      <c r="R56" s="826">
        <v>11</v>
      </c>
      <c r="S56" s="842">
        <v>13</v>
      </c>
      <c r="T56" s="842">
        <v>6</v>
      </c>
      <c r="U56" s="842" t="s">
        <v>920</v>
      </c>
      <c r="V56" s="825">
        <v>250</v>
      </c>
      <c r="W56" s="1546">
        <v>1270</v>
      </c>
    </row>
    <row r="57" spans="1:25" s="829" customFormat="1" ht="13.5">
      <c r="A57" s="1544" t="s">
        <v>1216</v>
      </c>
      <c r="B57" s="838" t="s">
        <v>432</v>
      </c>
      <c r="C57" s="826">
        <v>157</v>
      </c>
      <c r="D57" s="835">
        <v>312</v>
      </c>
      <c r="E57" s="835">
        <v>638</v>
      </c>
      <c r="F57" s="835">
        <v>649</v>
      </c>
      <c r="G57" s="835" t="s">
        <v>1334</v>
      </c>
      <c r="H57" s="835">
        <v>265</v>
      </c>
      <c r="I57" s="835">
        <v>1471</v>
      </c>
      <c r="J57" s="835">
        <v>392</v>
      </c>
      <c r="K57" s="835">
        <v>263</v>
      </c>
      <c r="L57" s="835">
        <v>608</v>
      </c>
      <c r="M57" s="835">
        <v>260</v>
      </c>
      <c r="N57" s="827">
        <v>211</v>
      </c>
      <c r="O57" s="835">
        <v>322</v>
      </c>
      <c r="P57" s="835">
        <v>369</v>
      </c>
      <c r="Q57" s="835">
        <v>830</v>
      </c>
      <c r="R57" s="826">
        <v>347</v>
      </c>
      <c r="S57" s="835">
        <v>915</v>
      </c>
      <c r="T57" s="835">
        <v>196</v>
      </c>
      <c r="U57" s="835">
        <v>157</v>
      </c>
      <c r="V57" s="834">
        <v>9790</v>
      </c>
      <c r="W57" s="836">
        <v>62870</v>
      </c>
    </row>
    <row r="58" spans="1:25" s="829" customFormat="1" ht="13.5">
      <c r="A58" s="1544" t="s">
        <v>1180</v>
      </c>
      <c r="B58" s="838" t="s">
        <v>433</v>
      </c>
      <c r="C58" s="826">
        <v>8</v>
      </c>
      <c r="D58" s="835">
        <v>16</v>
      </c>
      <c r="E58" s="835">
        <v>39</v>
      </c>
      <c r="F58" s="835">
        <v>45</v>
      </c>
      <c r="G58" s="835" t="s">
        <v>1334</v>
      </c>
      <c r="H58" s="835">
        <v>13</v>
      </c>
      <c r="I58" s="835">
        <v>73</v>
      </c>
      <c r="J58" s="835">
        <v>6</v>
      </c>
      <c r="K58" s="835" t="s">
        <v>920</v>
      </c>
      <c r="L58" s="835">
        <v>9</v>
      </c>
      <c r="M58" s="835">
        <v>8</v>
      </c>
      <c r="N58" s="827">
        <v>18</v>
      </c>
      <c r="O58" s="835">
        <v>11</v>
      </c>
      <c r="P58" s="835">
        <v>24</v>
      </c>
      <c r="Q58" s="835">
        <v>68</v>
      </c>
      <c r="R58" s="826">
        <v>13</v>
      </c>
      <c r="S58" s="835">
        <v>14</v>
      </c>
      <c r="T58" s="835" t="s">
        <v>920</v>
      </c>
      <c r="U58" s="835">
        <v>8</v>
      </c>
      <c r="V58" s="834">
        <v>430</v>
      </c>
      <c r="W58" s="836">
        <v>2400</v>
      </c>
    </row>
    <row r="59" spans="1:25" s="829" customFormat="1" ht="13.5">
      <c r="A59" s="1544" t="s">
        <v>1217</v>
      </c>
      <c r="B59" s="838" t="s">
        <v>434</v>
      </c>
      <c r="C59" s="826">
        <v>119</v>
      </c>
      <c r="D59" s="835">
        <v>285</v>
      </c>
      <c r="E59" s="835">
        <v>542</v>
      </c>
      <c r="F59" s="835">
        <v>675</v>
      </c>
      <c r="G59" s="835" t="s">
        <v>1334</v>
      </c>
      <c r="H59" s="835">
        <v>233</v>
      </c>
      <c r="I59" s="835">
        <v>1349</v>
      </c>
      <c r="J59" s="835">
        <v>385</v>
      </c>
      <c r="K59" s="835">
        <v>286</v>
      </c>
      <c r="L59" s="835">
        <v>580</v>
      </c>
      <c r="M59" s="835">
        <v>305</v>
      </c>
      <c r="N59" s="827">
        <v>263</v>
      </c>
      <c r="O59" s="835">
        <v>259</v>
      </c>
      <c r="P59" s="835">
        <v>328</v>
      </c>
      <c r="Q59" s="835">
        <v>634</v>
      </c>
      <c r="R59" s="826">
        <v>204</v>
      </c>
      <c r="S59" s="835">
        <v>836</v>
      </c>
      <c r="T59" s="835">
        <v>189</v>
      </c>
      <c r="U59" s="835">
        <v>125</v>
      </c>
      <c r="V59" s="834">
        <v>9050</v>
      </c>
      <c r="W59" s="836">
        <v>62110</v>
      </c>
    </row>
    <row r="60" spans="1:25" s="829" customFormat="1" ht="13.5">
      <c r="A60" s="1544" t="s">
        <v>1218</v>
      </c>
      <c r="B60" s="838" t="s">
        <v>435</v>
      </c>
      <c r="C60" s="826">
        <v>28</v>
      </c>
      <c r="D60" s="835">
        <v>69</v>
      </c>
      <c r="E60" s="835">
        <v>154</v>
      </c>
      <c r="F60" s="835">
        <v>182</v>
      </c>
      <c r="G60" s="835" t="s">
        <v>1334</v>
      </c>
      <c r="H60" s="835">
        <v>45</v>
      </c>
      <c r="I60" s="835">
        <v>267</v>
      </c>
      <c r="J60" s="835">
        <v>102</v>
      </c>
      <c r="K60" s="835">
        <v>66</v>
      </c>
      <c r="L60" s="835">
        <v>160</v>
      </c>
      <c r="M60" s="835">
        <v>91</v>
      </c>
      <c r="N60" s="827">
        <v>79</v>
      </c>
      <c r="O60" s="835">
        <v>51</v>
      </c>
      <c r="P60" s="835">
        <v>96</v>
      </c>
      <c r="Q60" s="835">
        <v>186</v>
      </c>
      <c r="R60" s="826">
        <v>62</v>
      </c>
      <c r="S60" s="835">
        <v>216</v>
      </c>
      <c r="T60" s="835">
        <v>57</v>
      </c>
      <c r="U60" s="835">
        <v>27</v>
      </c>
      <c r="V60" s="834">
        <v>2290</v>
      </c>
      <c r="W60" s="836">
        <v>15330</v>
      </c>
    </row>
    <row r="61" spans="1:25" s="829" customFormat="1" ht="13.5">
      <c r="A61" s="1544" t="s">
        <v>1306</v>
      </c>
      <c r="B61" s="473" t="s">
        <v>436</v>
      </c>
      <c r="C61" s="383"/>
      <c r="D61" s="817"/>
      <c r="E61" s="817"/>
      <c r="F61" s="817"/>
      <c r="G61" s="817"/>
      <c r="H61" s="817"/>
      <c r="I61" s="817"/>
      <c r="J61" s="817"/>
      <c r="K61" s="817"/>
      <c r="L61" s="817"/>
      <c r="M61" s="817"/>
      <c r="N61" s="382"/>
      <c r="O61" s="817"/>
      <c r="P61" s="817"/>
      <c r="Q61" s="817"/>
      <c r="R61" s="383"/>
      <c r="S61" s="817"/>
      <c r="T61" s="817"/>
      <c r="U61" s="817"/>
      <c r="V61" s="1556"/>
      <c r="W61" s="381"/>
    </row>
    <row r="62" spans="1:25" s="829" customFormat="1" ht="13.5">
      <c r="A62" s="1544" t="s">
        <v>1219</v>
      </c>
      <c r="B62" s="838" t="s">
        <v>437</v>
      </c>
      <c r="C62" s="826">
        <v>140</v>
      </c>
      <c r="D62" s="835">
        <v>354</v>
      </c>
      <c r="E62" s="835">
        <v>523</v>
      </c>
      <c r="F62" s="835">
        <v>657</v>
      </c>
      <c r="G62" s="835">
        <v>1917</v>
      </c>
      <c r="H62" s="835">
        <v>279</v>
      </c>
      <c r="I62" s="835">
        <v>1960</v>
      </c>
      <c r="J62" s="835">
        <v>476</v>
      </c>
      <c r="K62" s="835">
        <v>410</v>
      </c>
      <c r="L62" s="835">
        <v>770</v>
      </c>
      <c r="M62" s="835">
        <v>402</v>
      </c>
      <c r="N62" s="827">
        <v>266</v>
      </c>
      <c r="O62" s="835">
        <v>201</v>
      </c>
      <c r="P62" s="835">
        <v>488</v>
      </c>
      <c r="Q62" s="835">
        <v>963</v>
      </c>
      <c r="R62" s="826">
        <v>187</v>
      </c>
      <c r="S62" s="835">
        <v>906</v>
      </c>
      <c r="T62" s="835">
        <v>140</v>
      </c>
      <c r="U62" s="835">
        <v>137</v>
      </c>
      <c r="V62" s="834">
        <v>11180</v>
      </c>
      <c r="W62" s="836">
        <v>83630</v>
      </c>
    </row>
    <row r="63" spans="1:25" s="829" customFormat="1" ht="13.5">
      <c r="A63" s="1544"/>
      <c r="B63" s="726" t="s">
        <v>742</v>
      </c>
      <c r="C63" s="821"/>
      <c r="D63" s="822"/>
      <c r="E63" s="822"/>
      <c r="F63" s="822"/>
      <c r="G63" s="822"/>
      <c r="H63" s="822"/>
      <c r="I63" s="822"/>
      <c r="J63" s="822"/>
      <c r="K63" s="822"/>
      <c r="L63" s="822"/>
      <c r="M63" s="822"/>
      <c r="N63" s="823"/>
      <c r="O63" s="822"/>
      <c r="P63" s="822"/>
      <c r="Q63" s="822"/>
      <c r="R63" s="821"/>
      <c r="S63" s="822"/>
      <c r="T63" s="822"/>
      <c r="U63" s="822"/>
      <c r="V63" s="819"/>
      <c r="W63" s="725"/>
    </row>
    <row r="64" spans="1:25" s="829" customFormat="1" ht="13.5">
      <c r="A64" s="1544" t="s">
        <v>1205</v>
      </c>
      <c r="B64" s="838" t="s">
        <v>525</v>
      </c>
      <c r="C64" s="826">
        <v>9</v>
      </c>
      <c r="D64" s="835">
        <v>15</v>
      </c>
      <c r="E64" s="835">
        <v>24</v>
      </c>
      <c r="F64" s="835">
        <v>22</v>
      </c>
      <c r="G64" s="835">
        <v>55</v>
      </c>
      <c r="H64" s="835">
        <v>8</v>
      </c>
      <c r="I64" s="835">
        <v>67</v>
      </c>
      <c r="J64" s="835">
        <v>23</v>
      </c>
      <c r="K64" s="835">
        <v>24</v>
      </c>
      <c r="L64" s="835">
        <v>22</v>
      </c>
      <c r="M64" s="835">
        <v>22</v>
      </c>
      <c r="N64" s="827">
        <v>13</v>
      </c>
      <c r="O64" s="835">
        <v>8</v>
      </c>
      <c r="P64" s="835">
        <v>13</v>
      </c>
      <c r="Q64" s="835">
        <v>27</v>
      </c>
      <c r="R64" s="826">
        <v>8</v>
      </c>
      <c r="S64" s="835">
        <v>33</v>
      </c>
      <c r="T64" s="835">
        <v>8</v>
      </c>
      <c r="U64" s="835">
        <v>8</v>
      </c>
      <c r="V64" s="834">
        <v>410</v>
      </c>
      <c r="W64" s="836">
        <v>3730</v>
      </c>
    </row>
    <row r="65" spans="1:23" s="829" customFormat="1" ht="13.5">
      <c r="A65" s="1544" t="s">
        <v>1182</v>
      </c>
      <c r="B65" s="838" t="s">
        <v>526</v>
      </c>
      <c r="C65" s="826">
        <v>11</v>
      </c>
      <c r="D65" s="835">
        <v>32</v>
      </c>
      <c r="E65" s="835">
        <v>44</v>
      </c>
      <c r="F65" s="835">
        <v>69</v>
      </c>
      <c r="G65" s="835">
        <v>175</v>
      </c>
      <c r="H65" s="835">
        <v>32</v>
      </c>
      <c r="I65" s="835">
        <v>172</v>
      </c>
      <c r="J65" s="835">
        <v>54</v>
      </c>
      <c r="K65" s="835">
        <v>60</v>
      </c>
      <c r="L65" s="835">
        <v>55</v>
      </c>
      <c r="M65" s="835">
        <v>62</v>
      </c>
      <c r="N65" s="827">
        <v>27</v>
      </c>
      <c r="O65" s="835">
        <v>25</v>
      </c>
      <c r="P65" s="835">
        <v>39</v>
      </c>
      <c r="Q65" s="835">
        <v>103</v>
      </c>
      <c r="R65" s="826">
        <v>22</v>
      </c>
      <c r="S65" s="835">
        <v>88</v>
      </c>
      <c r="T65" s="835">
        <v>16</v>
      </c>
      <c r="U65" s="835">
        <v>9</v>
      </c>
      <c r="V65" s="834">
        <v>1100</v>
      </c>
      <c r="W65" s="836">
        <v>10820</v>
      </c>
    </row>
    <row r="66" spans="1:23" s="829" customFormat="1" ht="13.5">
      <c r="A66" s="1544" t="s">
        <v>1183</v>
      </c>
      <c r="B66" s="838" t="s">
        <v>527</v>
      </c>
      <c r="C66" s="826">
        <v>14</v>
      </c>
      <c r="D66" s="835">
        <v>51</v>
      </c>
      <c r="E66" s="835">
        <v>82</v>
      </c>
      <c r="F66" s="835">
        <v>105</v>
      </c>
      <c r="G66" s="835">
        <v>344</v>
      </c>
      <c r="H66" s="835">
        <v>58</v>
      </c>
      <c r="I66" s="835">
        <v>233</v>
      </c>
      <c r="J66" s="835">
        <v>81</v>
      </c>
      <c r="K66" s="835">
        <v>58</v>
      </c>
      <c r="L66" s="835">
        <v>99</v>
      </c>
      <c r="M66" s="835">
        <v>71</v>
      </c>
      <c r="N66" s="827">
        <v>38</v>
      </c>
      <c r="O66" s="835">
        <v>34</v>
      </c>
      <c r="P66" s="835">
        <v>88</v>
      </c>
      <c r="Q66" s="835">
        <v>155</v>
      </c>
      <c r="R66" s="826">
        <v>42</v>
      </c>
      <c r="S66" s="835">
        <v>141</v>
      </c>
      <c r="T66" s="835">
        <v>25</v>
      </c>
      <c r="U66" s="835">
        <v>20</v>
      </c>
      <c r="V66" s="834">
        <v>1740</v>
      </c>
      <c r="W66" s="836">
        <v>15020</v>
      </c>
    </row>
    <row r="67" spans="1:23" s="829" customFormat="1" ht="13.5">
      <c r="A67" s="1544" t="s">
        <v>1184</v>
      </c>
      <c r="B67" s="838" t="s">
        <v>528</v>
      </c>
      <c r="C67" s="826">
        <v>42</v>
      </c>
      <c r="D67" s="835">
        <v>139</v>
      </c>
      <c r="E67" s="835">
        <v>203</v>
      </c>
      <c r="F67" s="835">
        <v>282</v>
      </c>
      <c r="G67" s="835">
        <v>755</v>
      </c>
      <c r="H67" s="835">
        <v>111</v>
      </c>
      <c r="I67" s="835">
        <v>662</v>
      </c>
      <c r="J67" s="835">
        <v>208</v>
      </c>
      <c r="K67" s="835">
        <v>165</v>
      </c>
      <c r="L67" s="835">
        <v>328</v>
      </c>
      <c r="M67" s="835">
        <v>141</v>
      </c>
      <c r="N67" s="827">
        <v>116</v>
      </c>
      <c r="O67" s="835">
        <v>60</v>
      </c>
      <c r="P67" s="835">
        <v>211</v>
      </c>
      <c r="Q67" s="835">
        <v>375</v>
      </c>
      <c r="R67" s="826">
        <v>58</v>
      </c>
      <c r="S67" s="835">
        <v>372</v>
      </c>
      <c r="T67" s="835">
        <v>53</v>
      </c>
      <c r="U67" s="835">
        <v>45</v>
      </c>
      <c r="V67" s="834">
        <v>4330</v>
      </c>
      <c r="W67" s="836">
        <v>31440</v>
      </c>
    </row>
    <row r="68" spans="1:23" s="829" customFormat="1" ht="13.5">
      <c r="A68" s="1544" t="s">
        <v>1185</v>
      </c>
      <c r="B68" s="838" t="s">
        <v>529</v>
      </c>
      <c r="C68" s="826">
        <v>64</v>
      </c>
      <c r="D68" s="835">
        <v>117</v>
      </c>
      <c r="E68" s="835">
        <v>170</v>
      </c>
      <c r="F68" s="835">
        <v>179</v>
      </c>
      <c r="G68" s="835">
        <v>588</v>
      </c>
      <c r="H68" s="835">
        <v>70</v>
      </c>
      <c r="I68" s="835">
        <v>826</v>
      </c>
      <c r="J68" s="835">
        <v>110</v>
      </c>
      <c r="K68" s="835">
        <v>103</v>
      </c>
      <c r="L68" s="835">
        <v>266</v>
      </c>
      <c r="M68" s="835">
        <v>106</v>
      </c>
      <c r="N68" s="827">
        <v>72</v>
      </c>
      <c r="O68" s="835">
        <v>74</v>
      </c>
      <c r="P68" s="835">
        <v>137</v>
      </c>
      <c r="Q68" s="835">
        <v>303</v>
      </c>
      <c r="R68" s="826">
        <v>57</v>
      </c>
      <c r="S68" s="835">
        <v>272</v>
      </c>
      <c r="T68" s="835">
        <v>38</v>
      </c>
      <c r="U68" s="835">
        <v>55</v>
      </c>
      <c r="V68" s="834">
        <v>3610</v>
      </c>
      <c r="W68" s="836">
        <v>22620</v>
      </c>
    </row>
    <row r="69" spans="1:23" s="829" customFormat="1" ht="13.5">
      <c r="A69" s="1544" t="s">
        <v>1186</v>
      </c>
      <c r="B69" s="838" t="s">
        <v>438</v>
      </c>
      <c r="C69" s="826">
        <f>C62-C68</f>
        <v>76</v>
      </c>
      <c r="D69" s="826">
        <f t="shared" ref="D69:U69" si="0">D62-D68</f>
        <v>237</v>
      </c>
      <c r="E69" s="826">
        <f t="shared" si="0"/>
        <v>353</v>
      </c>
      <c r="F69" s="826">
        <f t="shared" si="0"/>
        <v>478</v>
      </c>
      <c r="G69" s="826">
        <f t="shared" si="0"/>
        <v>1329</v>
      </c>
      <c r="H69" s="826">
        <f t="shared" si="0"/>
        <v>209</v>
      </c>
      <c r="I69" s="826">
        <f t="shared" si="0"/>
        <v>1134</v>
      </c>
      <c r="J69" s="826">
        <f t="shared" si="0"/>
        <v>366</v>
      </c>
      <c r="K69" s="826">
        <f t="shared" si="0"/>
        <v>307</v>
      </c>
      <c r="L69" s="826">
        <f t="shared" si="0"/>
        <v>504</v>
      </c>
      <c r="M69" s="826">
        <f t="shared" si="0"/>
        <v>296</v>
      </c>
      <c r="N69" s="826">
        <f t="shared" si="0"/>
        <v>194</v>
      </c>
      <c r="O69" s="826">
        <f t="shared" si="0"/>
        <v>127</v>
      </c>
      <c r="P69" s="826">
        <f t="shared" si="0"/>
        <v>351</v>
      </c>
      <c r="Q69" s="826">
        <f t="shared" si="0"/>
        <v>660</v>
      </c>
      <c r="R69" s="826">
        <f t="shared" si="0"/>
        <v>130</v>
      </c>
      <c r="S69" s="826">
        <f t="shared" si="0"/>
        <v>634</v>
      </c>
      <c r="T69" s="826">
        <f t="shared" si="0"/>
        <v>102</v>
      </c>
      <c r="U69" s="826">
        <f t="shared" si="0"/>
        <v>82</v>
      </c>
      <c r="V69" s="834">
        <f>V62-V68</f>
        <v>7570</v>
      </c>
      <c r="W69" s="826">
        <f>W62-W68</f>
        <v>61010</v>
      </c>
    </row>
    <row r="70" spans="1:23" s="829" customFormat="1" ht="13.5">
      <c r="A70" s="1544" t="s">
        <v>1187</v>
      </c>
      <c r="B70" s="838" t="s">
        <v>439</v>
      </c>
      <c r="C70" s="826">
        <v>36</v>
      </c>
      <c r="D70" s="835">
        <v>118</v>
      </c>
      <c r="E70" s="835">
        <v>144</v>
      </c>
      <c r="F70" s="835">
        <v>242</v>
      </c>
      <c r="G70" s="835">
        <v>666</v>
      </c>
      <c r="H70" s="835">
        <v>110</v>
      </c>
      <c r="I70" s="835">
        <v>448</v>
      </c>
      <c r="J70" s="835">
        <v>175</v>
      </c>
      <c r="K70" s="835">
        <v>106</v>
      </c>
      <c r="L70" s="835">
        <v>276</v>
      </c>
      <c r="M70" s="835">
        <v>135</v>
      </c>
      <c r="N70" s="827">
        <v>98</v>
      </c>
      <c r="O70" s="835">
        <v>55</v>
      </c>
      <c r="P70" s="835">
        <v>191</v>
      </c>
      <c r="Q70" s="835">
        <v>337</v>
      </c>
      <c r="R70" s="826">
        <v>50</v>
      </c>
      <c r="S70" s="835">
        <v>274</v>
      </c>
      <c r="T70" s="835">
        <v>38</v>
      </c>
      <c r="U70" s="835">
        <v>29</v>
      </c>
      <c r="V70" s="834">
        <v>3530</v>
      </c>
      <c r="W70" s="836">
        <v>29000</v>
      </c>
    </row>
    <row r="71" spans="1:23" s="829" customFormat="1" ht="13.5">
      <c r="A71" s="1544" t="s">
        <v>1188</v>
      </c>
      <c r="B71" s="838" t="s">
        <v>440</v>
      </c>
      <c r="C71" s="826">
        <v>23</v>
      </c>
      <c r="D71" s="835">
        <v>90</v>
      </c>
      <c r="E71" s="835">
        <v>96</v>
      </c>
      <c r="F71" s="835">
        <v>162</v>
      </c>
      <c r="G71" s="835">
        <v>377</v>
      </c>
      <c r="H71" s="835">
        <v>80</v>
      </c>
      <c r="I71" s="835">
        <v>300</v>
      </c>
      <c r="J71" s="835">
        <v>109</v>
      </c>
      <c r="K71" s="835">
        <v>65</v>
      </c>
      <c r="L71" s="835">
        <v>188</v>
      </c>
      <c r="M71" s="835">
        <v>102</v>
      </c>
      <c r="N71" s="827">
        <v>70</v>
      </c>
      <c r="O71" s="835">
        <v>37</v>
      </c>
      <c r="P71" s="835">
        <v>116</v>
      </c>
      <c r="Q71" s="835">
        <v>240</v>
      </c>
      <c r="R71" s="826">
        <v>32</v>
      </c>
      <c r="S71" s="835">
        <v>189</v>
      </c>
      <c r="T71" s="835">
        <v>23</v>
      </c>
      <c r="U71" s="835">
        <v>17</v>
      </c>
      <c r="V71" s="834">
        <v>2320</v>
      </c>
      <c r="W71" s="836">
        <v>19750</v>
      </c>
    </row>
    <row r="72" spans="1:23" s="829" customFormat="1" ht="13.5">
      <c r="A72" s="1544" t="s">
        <v>1220</v>
      </c>
      <c r="B72" s="838" t="s">
        <v>459</v>
      </c>
      <c r="C72" s="826">
        <v>22</v>
      </c>
      <c r="D72" s="835">
        <v>51</v>
      </c>
      <c r="E72" s="835">
        <v>65</v>
      </c>
      <c r="F72" s="835">
        <v>73</v>
      </c>
      <c r="G72" s="835">
        <v>305</v>
      </c>
      <c r="H72" s="835">
        <v>21</v>
      </c>
      <c r="I72" s="835">
        <v>498</v>
      </c>
      <c r="J72" s="835">
        <v>22</v>
      </c>
      <c r="K72" s="835">
        <v>46</v>
      </c>
      <c r="L72" s="835">
        <v>95</v>
      </c>
      <c r="M72" s="835">
        <v>39</v>
      </c>
      <c r="N72" s="827">
        <v>29</v>
      </c>
      <c r="O72" s="835">
        <v>26</v>
      </c>
      <c r="P72" s="835">
        <v>39</v>
      </c>
      <c r="Q72" s="835">
        <v>102</v>
      </c>
      <c r="R72" s="826">
        <v>25</v>
      </c>
      <c r="S72" s="835">
        <v>85</v>
      </c>
      <c r="T72" s="835">
        <v>22</v>
      </c>
      <c r="U72" s="835">
        <v>36</v>
      </c>
      <c r="V72" s="834">
        <v>1600</v>
      </c>
      <c r="W72" s="836">
        <v>7380</v>
      </c>
    </row>
    <row r="73" spans="1:23" s="829" customFormat="1" ht="13.5">
      <c r="A73" s="1544" t="s">
        <v>1189</v>
      </c>
      <c r="B73" s="838" t="s">
        <v>441</v>
      </c>
      <c r="C73" s="826">
        <v>15</v>
      </c>
      <c r="D73" s="835">
        <v>44</v>
      </c>
      <c r="E73" s="835">
        <v>46</v>
      </c>
      <c r="F73" s="835">
        <v>94</v>
      </c>
      <c r="G73" s="835">
        <v>232</v>
      </c>
      <c r="H73" s="835">
        <v>33</v>
      </c>
      <c r="I73" s="835">
        <v>221</v>
      </c>
      <c r="J73" s="835">
        <v>65</v>
      </c>
      <c r="K73" s="835">
        <v>67</v>
      </c>
      <c r="L73" s="835">
        <v>101</v>
      </c>
      <c r="M73" s="835">
        <v>37</v>
      </c>
      <c r="N73" s="827">
        <v>32</v>
      </c>
      <c r="O73" s="835">
        <v>28</v>
      </c>
      <c r="P73" s="835">
        <v>90</v>
      </c>
      <c r="Q73" s="835">
        <v>113</v>
      </c>
      <c r="R73" s="826">
        <v>29</v>
      </c>
      <c r="S73" s="835">
        <v>99</v>
      </c>
      <c r="T73" s="835">
        <v>22</v>
      </c>
      <c r="U73" s="835">
        <v>0</v>
      </c>
      <c r="V73" s="834">
        <v>1370</v>
      </c>
      <c r="W73" s="836">
        <v>8690</v>
      </c>
    </row>
    <row r="74" spans="1:23" s="829" customFormat="1" ht="13.5">
      <c r="A74" s="1544" t="s">
        <v>1307</v>
      </c>
      <c r="B74" s="473" t="s">
        <v>505</v>
      </c>
      <c r="C74" s="384"/>
      <c r="D74" s="817"/>
      <c r="E74" s="817"/>
      <c r="F74" s="817"/>
      <c r="G74" s="817"/>
      <c r="H74" s="817"/>
      <c r="I74" s="817"/>
      <c r="J74" s="817"/>
      <c r="K74" s="817"/>
      <c r="L74" s="817"/>
      <c r="M74" s="817"/>
      <c r="N74" s="385"/>
      <c r="O74" s="817"/>
      <c r="P74" s="817"/>
      <c r="Q74" s="817"/>
      <c r="R74" s="384"/>
      <c r="S74" s="817"/>
      <c r="T74" s="817"/>
      <c r="U74" s="817"/>
      <c r="V74" s="818"/>
      <c r="W74" s="381"/>
    </row>
    <row r="75" spans="1:23" s="829" customFormat="1" ht="13.5">
      <c r="A75" s="1544" t="s">
        <v>1308</v>
      </c>
      <c r="B75" s="473" t="s">
        <v>506</v>
      </c>
      <c r="C75" s="384"/>
      <c r="D75" s="817"/>
      <c r="E75" s="817"/>
      <c r="F75" s="817"/>
      <c r="G75" s="817"/>
      <c r="H75" s="817"/>
      <c r="I75" s="817"/>
      <c r="J75" s="817"/>
      <c r="K75" s="817"/>
      <c r="L75" s="817"/>
      <c r="M75" s="817"/>
      <c r="N75" s="385"/>
      <c r="O75" s="817"/>
      <c r="P75" s="817"/>
      <c r="Q75" s="817"/>
      <c r="R75" s="384"/>
      <c r="S75" s="817"/>
      <c r="T75" s="817"/>
      <c r="U75" s="817"/>
      <c r="V75" s="330"/>
      <c r="W75" s="381"/>
    </row>
    <row r="76" spans="1:23" s="829" customFormat="1" ht="13.5">
      <c r="A76" s="1544" t="s">
        <v>1221</v>
      </c>
      <c r="B76" s="838" t="s">
        <v>442</v>
      </c>
      <c r="C76" s="826">
        <v>40</v>
      </c>
      <c r="D76" s="835">
        <v>140</v>
      </c>
      <c r="E76" s="835">
        <v>230</v>
      </c>
      <c r="F76" s="835">
        <v>240</v>
      </c>
      <c r="G76" s="835">
        <v>686</v>
      </c>
      <c r="H76" s="835">
        <v>69</v>
      </c>
      <c r="I76" s="835">
        <v>2741</v>
      </c>
      <c r="J76" s="835">
        <v>190</v>
      </c>
      <c r="K76" s="835">
        <v>238</v>
      </c>
      <c r="L76" s="835">
        <v>219</v>
      </c>
      <c r="M76" s="835">
        <v>168</v>
      </c>
      <c r="N76" s="827">
        <v>112</v>
      </c>
      <c r="O76" s="835">
        <v>73</v>
      </c>
      <c r="P76" s="835">
        <v>163</v>
      </c>
      <c r="Q76" s="835">
        <v>358</v>
      </c>
      <c r="R76" s="826">
        <v>70</v>
      </c>
      <c r="S76" s="835">
        <v>410</v>
      </c>
      <c r="T76" s="835">
        <v>63</v>
      </c>
      <c r="U76" s="835">
        <v>58</v>
      </c>
      <c r="V76" s="834">
        <v>6270</v>
      </c>
      <c r="W76" s="836">
        <v>33050</v>
      </c>
    </row>
    <row r="77" spans="1:23" s="829" customFormat="1" ht="13.5">
      <c r="A77" s="1544" t="s">
        <v>1309</v>
      </c>
      <c r="B77" s="473" t="s">
        <v>443</v>
      </c>
      <c r="C77" s="384"/>
      <c r="D77" s="817"/>
      <c r="E77" s="817"/>
      <c r="F77" s="817"/>
      <c r="G77" s="817"/>
      <c r="H77" s="817"/>
      <c r="I77" s="817"/>
      <c r="J77" s="817"/>
      <c r="K77" s="817"/>
      <c r="L77" s="817"/>
      <c r="M77" s="817"/>
      <c r="N77" s="385"/>
      <c r="O77" s="817"/>
      <c r="P77" s="817"/>
      <c r="Q77" s="817"/>
      <c r="R77" s="384"/>
      <c r="S77" s="817"/>
      <c r="T77" s="817"/>
      <c r="U77" s="817"/>
      <c r="V77" s="818"/>
      <c r="W77" s="381"/>
    </row>
    <row r="78" spans="1:23" s="829" customFormat="1" ht="13.5">
      <c r="A78" s="1544" t="s">
        <v>1190</v>
      </c>
      <c r="B78" s="838" t="s">
        <v>444</v>
      </c>
      <c r="C78" s="826">
        <v>0</v>
      </c>
      <c r="D78" s="835" t="s">
        <v>920</v>
      </c>
      <c r="E78" s="835">
        <v>7</v>
      </c>
      <c r="F78" s="835" t="s">
        <v>920</v>
      </c>
      <c r="G78" s="835" t="s">
        <v>920</v>
      </c>
      <c r="H78" s="835" t="s">
        <v>920</v>
      </c>
      <c r="I78" s="835">
        <v>17</v>
      </c>
      <c r="J78" s="835" t="s">
        <v>920</v>
      </c>
      <c r="K78" s="835" t="s">
        <v>920</v>
      </c>
      <c r="L78" s="835" t="s">
        <v>920</v>
      </c>
      <c r="M78" s="835" t="s">
        <v>920</v>
      </c>
      <c r="N78" s="827" t="s">
        <v>920</v>
      </c>
      <c r="O78" s="835" t="s">
        <v>920</v>
      </c>
      <c r="P78" s="835">
        <v>8</v>
      </c>
      <c r="Q78" s="835" t="s">
        <v>920</v>
      </c>
      <c r="R78" s="826" t="s">
        <v>920</v>
      </c>
      <c r="S78" s="835" t="s">
        <v>920</v>
      </c>
      <c r="T78" s="835">
        <v>0</v>
      </c>
      <c r="U78" s="835">
        <v>0</v>
      </c>
      <c r="V78" s="834">
        <v>70</v>
      </c>
      <c r="W78" s="836">
        <v>500</v>
      </c>
    </row>
    <row r="79" spans="1:23" s="829" customFormat="1" ht="13.5">
      <c r="A79" s="1544" t="s">
        <v>1191</v>
      </c>
      <c r="B79" s="838" t="s">
        <v>534</v>
      </c>
      <c r="C79" s="826">
        <v>0</v>
      </c>
      <c r="D79" s="835">
        <v>10</v>
      </c>
      <c r="E79" s="835" t="s">
        <v>920</v>
      </c>
      <c r="F79" s="835">
        <v>14</v>
      </c>
      <c r="G79" s="835">
        <v>26</v>
      </c>
      <c r="H79" s="835" t="s">
        <v>920</v>
      </c>
      <c r="I79" s="835">
        <v>48</v>
      </c>
      <c r="J79" s="835">
        <v>8</v>
      </c>
      <c r="K79" s="835">
        <v>11</v>
      </c>
      <c r="L79" s="835" t="s">
        <v>920</v>
      </c>
      <c r="M79" s="835">
        <v>10</v>
      </c>
      <c r="N79" s="827" t="s">
        <v>920</v>
      </c>
      <c r="O79" s="835">
        <v>10</v>
      </c>
      <c r="P79" s="835">
        <v>15</v>
      </c>
      <c r="Q79" s="835">
        <v>15</v>
      </c>
      <c r="R79" s="826">
        <v>7</v>
      </c>
      <c r="S79" s="835">
        <v>29</v>
      </c>
      <c r="T79" s="835" t="s">
        <v>920</v>
      </c>
      <c r="U79" s="835" t="s">
        <v>920</v>
      </c>
      <c r="V79" s="834">
        <v>230</v>
      </c>
      <c r="W79" s="836">
        <v>1910</v>
      </c>
    </row>
    <row r="80" spans="1:23" s="829" customFormat="1" ht="13.5">
      <c r="A80" s="1544" t="s">
        <v>1222</v>
      </c>
      <c r="B80" s="838" t="s">
        <v>445</v>
      </c>
      <c r="C80" s="826">
        <v>57</v>
      </c>
      <c r="D80" s="835">
        <v>135</v>
      </c>
      <c r="E80" s="835">
        <v>204</v>
      </c>
      <c r="F80" s="835">
        <v>235</v>
      </c>
      <c r="G80" s="835">
        <v>641</v>
      </c>
      <c r="H80" s="835">
        <v>84</v>
      </c>
      <c r="I80" s="835">
        <v>2735</v>
      </c>
      <c r="J80" s="835">
        <v>185</v>
      </c>
      <c r="K80" s="835">
        <v>181</v>
      </c>
      <c r="L80" s="835">
        <v>335</v>
      </c>
      <c r="M80" s="835">
        <v>156</v>
      </c>
      <c r="N80" s="827">
        <v>97</v>
      </c>
      <c r="O80" s="835">
        <v>124</v>
      </c>
      <c r="P80" s="835">
        <v>214</v>
      </c>
      <c r="Q80" s="835">
        <v>419</v>
      </c>
      <c r="R80" s="826">
        <v>81</v>
      </c>
      <c r="S80" s="835">
        <v>401</v>
      </c>
      <c r="T80" s="835">
        <v>75</v>
      </c>
      <c r="U80" s="835">
        <v>56</v>
      </c>
      <c r="V80" s="834">
        <v>6420</v>
      </c>
      <c r="W80" s="836">
        <v>33620</v>
      </c>
    </row>
    <row r="81" spans="1:23" s="829" customFormat="1" ht="13.5">
      <c r="A81" s="1544" t="s">
        <v>1310</v>
      </c>
      <c r="B81" s="473" t="s">
        <v>865</v>
      </c>
      <c r="C81" s="384"/>
      <c r="D81" s="817"/>
      <c r="E81" s="817"/>
      <c r="F81" s="817"/>
      <c r="G81" s="817"/>
      <c r="H81" s="817"/>
      <c r="I81" s="817"/>
      <c r="J81" s="817"/>
      <c r="K81" s="817"/>
      <c r="L81" s="817"/>
      <c r="M81" s="817"/>
      <c r="N81" s="385"/>
      <c r="O81" s="817"/>
      <c r="P81" s="817"/>
      <c r="Q81" s="817"/>
      <c r="R81" s="384"/>
      <c r="S81" s="817"/>
      <c r="T81" s="817"/>
      <c r="U81" s="817"/>
      <c r="V81" s="818"/>
      <c r="W81" s="381"/>
    </row>
    <row r="82" spans="1:23" s="829" customFormat="1" ht="13.5">
      <c r="A82" s="1544" t="s">
        <v>1311</v>
      </c>
      <c r="B82" s="473" t="s">
        <v>866</v>
      </c>
      <c r="C82" s="384"/>
      <c r="D82" s="817"/>
      <c r="E82" s="817"/>
      <c r="F82" s="817"/>
      <c r="G82" s="817"/>
      <c r="H82" s="817"/>
      <c r="I82" s="817"/>
      <c r="J82" s="817"/>
      <c r="K82" s="817"/>
      <c r="L82" s="817"/>
      <c r="M82" s="817"/>
      <c r="N82" s="385"/>
      <c r="O82" s="817"/>
      <c r="P82" s="817"/>
      <c r="Q82" s="817"/>
      <c r="R82" s="384"/>
      <c r="S82" s="817"/>
      <c r="T82" s="817"/>
      <c r="U82" s="817"/>
      <c r="V82" s="818"/>
      <c r="W82" s="381"/>
    </row>
    <row r="83" spans="1:23" s="829" customFormat="1" ht="13.5">
      <c r="A83" s="1544" t="s">
        <v>1193</v>
      </c>
      <c r="B83" s="838" t="s">
        <v>446</v>
      </c>
      <c r="C83" s="826" t="s">
        <v>920</v>
      </c>
      <c r="D83" s="835">
        <v>22</v>
      </c>
      <c r="E83" s="835">
        <v>12</v>
      </c>
      <c r="F83" s="835">
        <v>19</v>
      </c>
      <c r="G83" s="835">
        <v>70</v>
      </c>
      <c r="H83" s="835">
        <v>7</v>
      </c>
      <c r="I83" s="835">
        <v>68</v>
      </c>
      <c r="J83" s="835">
        <v>18</v>
      </c>
      <c r="K83" s="835">
        <v>19</v>
      </c>
      <c r="L83" s="835">
        <v>25</v>
      </c>
      <c r="M83" s="835">
        <v>18</v>
      </c>
      <c r="N83" s="827" t="s">
        <v>920</v>
      </c>
      <c r="O83" s="835" t="s">
        <v>920</v>
      </c>
      <c r="P83" s="835">
        <v>30</v>
      </c>
      <c r="Q83" s="835">
        <v>26</v>
      </c>
      <c r="R83" s="826" t="s">
        <v>920</v>
      </c>
      <c r="S83" s="835">
        <v>32</v>
      </c>
      <c r="T83" s="835" t="s">
        <v>920</v>
      </c>
      <c r="U83" s="835" t="s">
        <v>920</v>
      </c>
      <c r="V83" s="825">
        <v>390</v>
      </c>
      <c r="W83" s="836">
        <v>2980</v>
      </c>
    </row>
    <row r="84" spans="1:23" s="829" customFormat="1" ht="13.5">
      <c r="A84" s="1544" t="s">
        <v>1312</v>
      </c>
      <c r="B84" s="838" t="s">
        <v>447</v>
      </c>
      <c r="C84" s="835"/>
      <c r="D84" s="835"/>
      <c r="E84" s="835"/>
      <c r="F84" s="835"/>
      <c r="G84" s="835"/>
      <c r="H84" s="835"/>
      <c r="I84" s="835"/>
      <c r="J84" s="835"/>
      <c r="K84" s="835"/>
      <c r="L84" s="835"/>
      <c r="M84" s="835"/>
      <c r="N84" s="835"/>
      <c r="O84" s="835"/>
      <c r="P84" s="835"/>
      <c r="Q84" s="835"/>
      <c r="R84" s="835"/>
      <c r="S84" s="835"/>
      <c r="T84" s="835"/>
      <c r="U84" s="835"/>
      <c r="V84" s="825"/>
      <c r="W84" s="836"/>
    </row>
    <row r="85" spans="1:23" s="829" customFormat="1" ht="13.5">
      <c r="A85" s="1544" t="s">
        <v>1313</v>
      </c>
      <c r="B85" s="473" t="s">
        <v>448</v>
      </c>
      <c r="C85" s="817"/>
      <c r="D85" s="817"/>
      <c r="E85" s="817"/>
      <c r="F85" s="817"/>
      <c r="G85" s="817"/>
      <c r="H85" s="817"/>
      <c r="I85" s="817"/>
      <c r="J85" s="817"/>
      <c r="K85" s="817"/>
      <c r="L85" s="817"/>
      <c r="M85" s="817"/>
      <c r="N85" s="817"/>
      <c r="O85" s="817"/>
      <c r="P85" s="817"/>
      <c r="Q85" s="817"/>
      <c r="R85" s="817"/>
      <c r="S85" s="817"/>
      <c r="T85" s="817"/>
      <c r="U85" s="817"/>
      <c r="V85" s="818"/>
      <c r="W85" s="381"/>
    </row>
    <row r="86" spans="1:23" ht="13.5">
      <c r="A86" s="1544" t="s">
        <v>1194</v>
      </c>
      <c r="B86" s="838" t="s">
        <v>867</v>
      </c>
      <c r="C86" s="835">
        <v>7</v>
      </c>
      <c r="D86" s="835">
        <v>17</v>
      </c>
      <c r="E86" s="835">
        <v>11</v>
      </c>
      <c r="F86" s="835">
        <v>20</v>
      </c>
      <c r="G86" s="835">
        <v>21</v>
      </c>
      <c r="H86" s="835" t="s">
        <v>920</v>
      </c>
      <c r="I86" s="835">
        <v>14</v>
      </c>
      <c r="J86" s="835">
        <v>8</v>
      </c>
      <c r="K86" s="835">
        <v>13</v>
      </c>
      <c r="L86" s="835">
        <v>13</v>
      </c>
      <c r="M86" s="835">
        <v>12</v>
      </c>
      <c r="N86" s="835">
        <v>9</v>
      </c>
      <c r="O86" s="835">
        <v>6</v>
      </c>
      <c r="P86" s="835">
        <v>27</v>
      </c>
      <c r="Q86" s="835">
        <v>30</v>
      </c>
      <c r="R86" s="835">
        <v>11</v>
      </c>
      <c r="S86" s="835">
        <v>35</v>
      </c>
      <c r="T86" s="835" t="s">
        <v>920</v>
      </c>
      <c r="U86" s="835" t="s">
        <v>920</v>
      </c>
      <c r="V86" s="834">
        <v>270</v>
      </c>
      <c r="W86" s="1545">
        <v>2350</v>
      </c>
    </row>
    <row r="87" spans="1:23" ht="13.5">
      <c r="A87" s="1544" t="s">
        <v>1314</v>
      </c>
      <c r="B87" s="838" t="s">
        <v>887</v>
      </c>
      <c r="C87" s="842">
        <v>13</v>
      </c>
      <c r="D87" s="842">
        <v>61</v>
      </c>
      <c r="E87" s="842">
        <v>48</v>
      </c>
      <c r="F87" s="842">
        <v>56</v>
      </c>
      <c r="G87" s="842">
        <v>152</v>
      </c>
      <c r="H87" s="842">
        <v>21</v>
      </c>
      <c r="I87" s="842">
        <v>159</v>
      </c>
      <c r="J87" s="842">
        <v>39</v>
      </c>
      <c r="K87" s="842">
        <v>38</v>
      </c>
      <c r="L87" s="842">
        <v>47</v>
      </c>
      <c r="M87" s="842">
        <v>65</v>
      </c>
      <c r="N87" s="842">
        <v>25</v>
      </c>
      <c r="O87" s="842">
        <v>24</v>
      </c>
      <c r="P87" s="842">
        <v>66</v>
      </c>
      <c r="Q87" s="842">
        <v>95</v>
      </c>
      <c r="R87" s="842">
        <v>23</v>
      </c>
      <c r="S87" s="842">
        <v>89</v>
      </c>
      <c r="T87" s="842">
        <v>11</v>
      </c>
      <c r="U87" s="842">
        <v>15</v>
      </c>
      <c r="V87" s="825">
        <v>1050</v>
      </c>
      <c r="W87" s="844">
        <v>7260</v>
      </c>
    </row>
    <row r="88" spans="1:23" ht="13.5">
      <c r="A88" s="1544" t="s">
        <v>1195</v>
      </c>
      <c r="B88" s="838" t="s">
        <v>449</v>
      </c>
      <c r="C88" s="842">
        <v>74</v>
      </c>
      <c r="D88" s="842">
        <v>221</v>
      </c>
      <c r="E88" s="842">
        <v>243</v>
      </c>
      <c r="F88" s="842">
        <v>267</v>
      </c>
      <c r="G88" s="842">
        <v>711</v>
      </c>
      <c r="H88" s="842">
        <v>91</v>
      </c>
      <c r="I88" s="842">
        <v>1203</v>
      </c>
      <c r="J88" s="842">
        <v>151</v>
      </c>
      <c r="K88" s="842">
        <v>192</v>
      </c>
      <c r="L88" s="842">
        <v>387</v>
      </c>
      <c r="M88" s="842">
        <v>229</v>
      </c>
      <c r="N88" s="842">
        <v>136</v>
      </c>
      <c r="O88" s="842">
        <v>112</v>
      </c>
      <c r="P88" s="842">
        <v>192</v>
      </c>
      <c r="Q88" s="842">
        <v>619</v>
      </c>
      <c r="R88" s="842">
        <v>111</v>
      </c>
      <c r="S88" s="842">
        <v>482</v>
      </c>
      <c r="T88" s="842">
        <v>67</v>
      </c>
      <c r="U88" s="842">
        <v>77</v>
      </c>
      <c r="V88" s="825">
        <v>5570</v>
      </c>
      <c r="W88" s="844">
        <v>36370</v>
      </c>
    </row>
    <row r="89" spans="1:23" ht="13.5">
      <c r="A89" s="1544" t="s">
        <v>1196</v>
      </c>
      <c r="B89" s="838" t="s">
        <v>450</v>
      </c>
      <c r="C89" s="842">
        <v>69</v>
      </c>
      <c r="D89" s="842">
        <v>212</v>
      </c>
      <c r="E89" s="842">
        <v>224</v>
      </c>
      <c r="F89" s="842">
        <v>247</v>
      </c>
      <c r="G89" s="842">
        <v>255</v>
      </c>
      <c r="H89" s="842">
        <v>84</v>
      </c>
      <c r="I89" s="842">
        <v>1109</v>
      </c>
      <c r="J89" s="842">
        <v>146</v>
      </c>
      <c r="K89" s="842">
        <v>178</v>
      </c>
      <c r="L89" s="842">
        <v>349</v>
      </c>
      <c r="M89" s="842">
        <v>213</v>
      </c>
      <c r="N89" s="842">
        <v>116</v>
      </c>
      <c r="O89" s="842">
        <v>84</v>
      </c>
      <c r="P89" s="842">
        <v>166</v>
      </c>
      <c r="Q89" s="842">
        <v>578</v>
      </c>
      <c r="R89" s="842">
        <v>97</v>
      </c>
      <c r="S89" s="842">
        <v>461</v>
      </c>
      <c r="T89" s="842">
        <v>65</v>
      </c>
      <c r="U89" s="842">
        <v>74</v>
      </c>
      <c r="V89" s="825">
        <v>4730</v>
      </c>
      <c r="W89" s="844">
        <v>33420</v>
      </c>
    </row>
    <row r="90" spans="1:23" ht="13.5">
      <c r="A90" s="1544" t="s">
        <v>1197</v>
      </c>
      <c r="B90" s="838" t="s">
        <v>451</v>
      </c>
      <c r="C90" s="842">
        <v>65</v>
      </c>
      <c r="D90" s="842">
        <v>203</v>
      </c>
      <c r="E90" s="842">
        <v>214</v>
      </c>
      <c r="F90" s="842">
        <v>242</v>
      </c>
      <c r="G90" s="842">
        <v>232</v>
      </c>
      <c r="H90" s="842">
        <v>80</v>
      </c>
      <c r="I90" s="842">
        <v>1006</v>
      </c>
      <c r="J90" s="842">
        <v>141</v>
      </c>
      <c r="K90" s="842">
        <v>168</v>
      </c>
      <c r="L90" s="842">
        <v>348</v>
      </c>
      <c r="M90" s="842">
        <v>195</v>
      </c>
      <c r="N90" s="842">
        <v>110</v>
      </c>
      <c r="O90" s="842">
        <v>99</v>
      </c>
      <c r="P90" s="842">
        <v>151</v>
      </c>
      <c r="Q90" s="842">
        <v>546</v>
      </c>
      <c r="R90" s="842">
        <v>97</v>
      </c>
      <c r="S90" s="842">
        <v>428</v>
      </c>
      <c r="T90" s="842">
        <v>60</v>
      </c>
      <c r="U90" s="842">
        <v>72</v>
      </c>
      <c r="V90" s="825">
        <v>4460</v>
      </c>
      <c r="W90" s="844">
        <v>31630</v>
      </c>
    </row>
    <row r="91" spans="1:23" ht="13.5">
      <c r="A91" s="1544" t="s">
        <v>1198</v>
      </c>
      <c r="B91" s="838" t="s">
        <v>452</v>
      </c>
      <c r="C91" s="842">
        <v>40</v>
      </c>
      <c r="D91" s="842">
        <v>142</v>
      </c>
      <c r="E91" s="842">
        <v>125</v>
      </c>
      <c r="F91" s="842">
        <v>155</v>
      </c>
      <c r="G91" s="842">
        <v>153</v>
      </c>
      <c r="H91" s="842">
        <v>62</v>
      </c>
      <c r="I91" s="842">
        <v>664</v>
      </c>
      <c r="J91" s="842">
        <v>75</v>
      </c>
      <c r="K91" s="842">
        <v>113</v>
      </c>
      <c r="L91" s="842">
        <v>235</v>
      </c>
      <c r="M91" s="842">
        <v>118</v>
      </c>
      <c r="N91" s="842">
        <v>59</v>
      </c>
      <c r="O91" s="842">
        <v>49</v>
      </c>
      <c r="P91" s="842">
        <v>85</v>
      </c>
      <c r="Q91" s="842">
        <v>343</v>
      </c>
      <c r="R91" s="842">
        <v>73</v>
      </c>
      <c r="S91" s="842">
        <v>273</v>
      </c>
      <c r="T91" s="842">
        <v>40</v>
      </c>
      <c r="U91" s="842">
        <v>41</v>
      </c>
      <c r="V91" s="825">
        <v>2850</v>
      </c>
      <c r="W91" s="844">
        <v>19550</v>
      </c>
    </row>
    <row r="92" spans="1:23" s="829" customFormat="1" ht="13.5">
      <c r="A92" s="1544" t="s">
        <v>1206</v>
      </c>
      <c r="B92" s="838" t="s">
        <v>535</v>
      </c>
      <c r="C92" s="835" t="s">
        <v>920</v>
      </c>
      <c r="D92" s="835" t="s">
        <v>920</v>
      </c>
      <c r="E92" s="835" t="s">
        <v>920</v>
      </c>
      <c r="F92" s="835">
        <v>12</v>
      </c>
      <c r="G92" s="835">
        <v>24</v>
      </c>
      <c r="H92" s="835" t="s">
        <v>920</v>
      </c>
      <c r="I92" s="835">
        <v>30</v>
      </c>
      <c r="J92" s="835">
        <v>6</v>
      </c>
      <c r="K92" s="835" t="s">
        <v>920</v>
      </c>
      <c r="L92" s="835">
        <v>21</v>
      </c>
      <c r="M92" s="835">
        <v>10</v>
      </c>
      <c r="N92" s="835">
        <v>0</v>
      </c>
      <c r="O92" s="835">
        <v>8</v>
      </c>
      <c r="P92" s="835">
        <v>7</v>
      </c>
      <c r="Q92" s="835">
        <v>7</v>
      </c>
      <c r="R92" s="835" t="s">
        <v>920</v>
      </c>
      <c r="S92" s="835" t="s">
        <v>920</v>
      </c>
      <c r="T92" s="835" t="s">
        <v>920</v>
      </c>
      <c r="U92" s="835" t="s">
        <v>920</v>
      </c>
      <c r="V92" s="834">
        <v>140</v>
      </c>
      <c r="W92" s="1545">
        <v>1150</v>
      </c>
    </row>
    <row r="93" spans="1:23" s="829" customFormat="1" ht="13.5">
      <c r="A93" s="1544" t="s">
        <v>1241</v>
      </c>
      <c r="B93" s="838" t="s">
        <v>536</v>
      </c>
      <c r="C93" s="835" t="s">
        <v>920</v>
      </c>
      <c r="D93" s="835">
        <v>14</v>
      </c>
      <c r="E93" s="835">
        <v>18</v>
      </c>
      <c r="F93" s="835">
        <v>38</v>
      </c>
      <c r="G93" s="835">
        <v>73</v>
      </c>
      <c r="H93" s="835" t="s">
        <v>920</v>
      </c>
      <c r="I93" s="835">
        <v>39</v>
      </c>
      <c r="J93" s="835">
        <v>23</v>
      </c>
      <c r="K93" s="835">
        <v>33</v>
      </c>
      <c r="L93" s="835">
        <v>28</v>
      </c>
      <c r="M93" s="835">
        <v>16</v>
      </c>
      <c r="N93" s="835">
        <v>15</v>
      </c>
      <c r="O93" s="835">
        <v>13</v>
      </c>
      <c r="P93" s="835">
        <v>28</v>
      </c>
      <c r="Q93" s="835">
        <v>30</v>
      </c>
      <c r="R93" s="835">
        <v>10</v>
      </c>
      <c r="S93" s="835">
        <v>41</v>
      </c>
      <c r="T93" s="835" t="s">
        <v>920</v>
      </c>
      <c r="U93" s="835" t="s">
        <v>920</v>
      </c>
      <c r="V93" s="834">
        <v>430</v>
      </c>
      <c r="W93" s="1545">
        <v>3860</v>
      </c>
    </row>
    <row r="94" spans="1:23" ht="13.5">
      <c r="A94" s="1544" t="s">
        <v>1315</v>
      </c>
      <c r="B94" s="477" t="s">
        <v>453</v>
      </c>
      <c r="C94" s="817"/>
      <c r="D94" s="817"/>
      <c r="E94" s="817"/>
      <c r="F94" s="817"/>
      <c r="G94" s="817"/>
      <c r="H94" s="817"/>
      <c r="I94" s="817"/>
      <c r="J94" s="817"/>
      <c r="K94" s="817"/>
      <c r="L94" s="817"/>
      <c r="M94" s="817"/>
      <c r="N94" s="817"/>
      <c r="O94" s="817"/>
      <c r="P94" s="817"/>
      <c r="Q94" s="817"/>
      <c r="R94" s="817"/>
      <c r="S94" s="817"/>
      <c r="T94" s="817"/>
      <c r="U94" s="817"/>
      <c r="V94" s="818"/>
      <c r="W94" s="820"/>
    </row>
    <row r="95" spans="1:23" ht="13.5">
      <c r="A95" s="1544" t="s">
        <v>1316</v>
      </c>
      <c r="B95" s="477" t="s">
        <v>454</v>
      </c>
      <c r="C95" s="817"/>
      <c r="D95" s="817"/>
      <c r="E95" s="817"/>
      <c r="F95" s="817"/>
      <c r="G95" s="817"/>
      <c r="H95" s="817"/>
      <c r="I95" s="817"/>
      <c r="J95" s="817"/>
      <c r="K95" s="817"/>
      <c r="L95" s="817"/>
      <c r="M95" s="817"/>
      <c r="N95" s="817"/>
      <c r="O95" s="817"/>
      <c r="P95" s="817"/>
      <c r="Q95" s="817"/>
      <c r="R95" s="817"/>
      <c r="S95" s="817"/>
      <c r="T95" s="817"/>
      <c r="U95" s="817"/>
      <c r="V95" s="818"/>
      <c r="W95" s="820"/>
    </row>
    <row r="96" spans="1:23" ht="13.5">
      <c r="A96" s="1544" t="s">
        <v>1223</v>
      </c>
      <c r="B96" s="838" t="s">
        <v>455</v>
      </c>
      <c r="C96" s="842">
        <v>18.27</v>
      </c>
      <c r="D96" s="842">
        <v>44.88</v>
      </c>
      <c r="E96" s="842">
        <v>96.67</v>
      </c>
      <c r="F96" s="842">
        <v>63.09</v>
      </c>
      <c r="G96" s="842">
        <v>117.73</v>
      </c>
      <c r="H96" s="842">
        <v>38.79</v>
      </c>
      <c r="I96" s="842">
        <v>264.47000000000003</v>
      </c>
      <c r="J96" s="842">
        <v>53.53</v>
      </c>
      <c r="K96" s="842">
        <v>43.86</v>
      </c>
      <c r="L96" s="842">
        <v>130.65</v>
      </c>
      <c r="M96" s="842">
        <v>42.52</v>
      </c>
      <c r="N96" s="842">
        <v>42.69</v>
      </c>
      <c r="O96" s="842">
        <v>32.200000000000003</v>
      </c>
      <c r="P96" s="842">
        <v>31.57</v>
      </c>
      <c r="Q96" s="842">
        <v>78.510000000000005</v>
      </c>
      <c r="R96" s="842">
        <v>23.27</v>
      </c>
      <c r="S96" s="842">
        <v>69.22</v>
      </c>
      <c r="T96" s="842">
        <v>16.350000000000001</v>
      </c>
      <c r="U96" s="842">
        <v>16.32</v>
      </c>
      <c r="V96" s="825">
        <v>1224.58</v>
      </c>
      <c r="W96" s="844">
        <v>7856.32</v>
      </c>
    </row>
    <row r="97" spans="1:23" ht="13.5">
      <c r="A97" s="1544" t="s">
        <v>1317</v>
      </c>
      <c r="B97" s="473" t="s">
        <v>456</v>
      </c>
      <c r="C97" s="602"/>
      <c r="D97" s="602"/>
      <c r="E97" s="602"/>
      <c r="F97" s="602"/>
      <c r="G97" s="602"/>
      <c r="H97" s="602"/>
      <c r="I97" s="602"/>
      <c r="J97" s="602"/>
      <c r="K97" s="602"/>
      <c r="L97" s="602"/>
      <c r="M97" s="602"/>
      <c r="N97" s="602"/>
      <c r="O97" s="602"/>
      <c r="P97" s="602"/>
      <c r="Q97" s="602"/>
      <c r="R97" s="602"/>
      <c r="S97" s="602"/>
      <c r="T97" s="602"/>
      <c r="U97" s="602"/>
      <c r="V97" s="330"/>
      <c r="W97" s="603"/>
    </row>
    <row r="98" spans="1:23" ht="13.5">
      <c r="A98" s="1544" t="s">
        <v>1318</v>
      </c>
      <c r="B98" s="473" t="s">
        <v>1070</v>
      </c>
      <c r="C98" s="602"/>
      <c r="D98" s="602"/>
      <c r="E98" s="602"/>
      <c r="F98" s="602"/>
      <c r="G98" s="602"/>
      <c r="H98" s="602"/>
      <c r="I98" s="602"/>
      <c r="J98" s="602"/>
      <c r="K98" s="602"/>
      <c r="L98" s="602"/>
      <c r="M98" s="602"/>
      <c r="N98" s="602"/>
      <c r="O98" s="602"/>
      <c r="P98" s="602"/>
      <c r="Q98" s="602"/>
      <c r="R98" s="602"/>
      <c r="S98" s="602"/>
      <c r="T98" s="602"/>
      <c r="U98" s="602"/>
      <c r="V98" s="330"/>
      <c r="W98" s="603"/>
    </row>
    <row r="99" spans="1:23" ht="13.5">
      <c r="A99" s="1544" t="s">
        <v>1204</v>
      </c>
      <c r="B99" s="838" t="s">
        <v>772</v>
      </c>
      <c r="C99" s="842">
        <v>17</v>
      </c>
      <c r="D99" s="842">
        <v>45</v>
      </c>
      <c r="E99" s="842">
        <v>77</v>
      </c>
      <c r="F99" s="842">
        <v>70</v>
      </c>
      <c r="G99" s="842">
        <v>222</v>
      </c>
      <c r="H99" s="842">
        <v>31</v>
      </c>
      <c r="I99" s="842">
        <v>205</v>
      </c>
      <c r="J99" s="842">
        <v>67</v>
      </c>
      <c r="K99" s="842">
        <v>89</v>
      </c>
      <c r="L99" s="842">
        <v>79</v>
      </c>
      <c r="M99" s="842">
        <v>62</v>
      </c>
      <c r="N99" s="842">
        <v>54</v>
      </c>
      <c r="O99" s="842">
        <v>25</v>
      </c>
      <c r="P99" s="842">
        <v>44</v>
      </c>
      <c r="Q99" s="842">
        <v>113</v>
      </c>
      <c r="R99" s="842">
        <v>34</v>
      </c>
      <c r="S99" s="842">
        <v>135</v>
      </c>
      <c r="T99" s="842">
        <v>30</v>
      </c>
      <c r="U99" s="842">
        <v>29</v>
      </c>
      <c r="V99" s="825">
        <f>SUM(C99:U99)</f>
        <v>1428</v>
      </c>
      <c r="W99" s="844">
        <v>11445</v>
      </c>
    </row>
    <row r="100" spans="1:23" ht="13.5">
      <c r="A100" s="1544" t="s">
        <v>1181</v>
      </c>
      <c r="B100" s="838" t="s">
        <v>773</v>
      </c>
      <c r="C100" s="842">
        <v>22</v>
      </c>
      <c r="D100" s="842">
        <v>84</v>
      </c>
      <c r="E100" s="842">
        <v>131</v>
      </c>
      <c r="F100" s="842">
        <v>122</v>
      </c>
      <c r="G100" s="842">
        <v>370</v>
      </c>
      <c r="H100" s="842">
        <v>52</v>
      </c>
      <c r="I100" s="842">
        <v>320</v>
      </c>
      <c r="J100" s="842">
        <v>112</v>
      </c>
      <c r="K100" s="842">
        <v>153</v>
      </c>
      <c r="L100" s="842">
        <v>117</v>
      </c>
      <c r="M100" s="842">
        <v>109</v>
      </c>
      <c r="N100" s="842">
        <v>86</v>
      </c>
      <c r="O100" s="842">
        <v>37</v>
      </c>
      <c r="P100" s="842">
        <v>72</v>
      </c>
      <c r="Q100" s="842">
        <v>175</v>
      </c>
      <c r="R100" s="842">
        <v>64</v>
      </c>
      <c r="S100" s="842">
        <v>212</v>
      </c>
      <c r="T100" s="842">
        <v>50</v>
      </c>
      <c r="U100" s="842">
        <v>47</v>
      </c>
      <c r="V100" s="825">
        <f>SUM(C100:U100)</f>
        <v>2335</v>
      </c>
      <c r="W100" s="844">
        <v>18887</v>
      </c>
    </row>
    <row r="101" spans="1:23" ht="13.5">
      <c r="A101" s="1544" t="s">
        <v>1207</v>
      </c>
      <c r="B101" s="838" t="s">
        <v>1080</v>
      </c>
      <c r="C101" s="824">
        <f>C109*C111</f>
        <v>2566.9500000000003</v>
      </c>
      <c r="D101" s="824">
        <f t="shared" ref="D101:W101" si="1">D109*D111</f>
        <v>4840.7939999999999</v>
      </c>
      <c r="E101" s="824">
        <f t="shared" si="1"/>
        <v>11444.307000000001</v>
      </c>
      <c r="F101" s="824">
        <f t="shared" si="1"/>
        <v>9923.1540000000005</v>
      </c>
      <c r="G101" s="824">
        <f t="shared" si="1"/>
        <v>27417.455999999998</v>
      </c>
      <c r="H101" s="824">
        <f t="shared" si="1"/>
        <v>2543.8560000000002</v>
      </c>
      <c r="I101" s="824">
        <f t="shared" si="1"/>
        <v>30875.376</v>
      </c>
      <c r="J101" s="824">
        <f t="shared" si="1"/>
        <v>6245.6869999999999</v>
      </c>
      <c r="K101" s="824">
        <f t="shared" si="1"/>
        <v>6281.3760000000002</v>
      </c>
      <c r="L101" s="824">
        <f t="shared" si="1"/>
        <v>13073.111999999999</v>
      </c>
      <c r="M101" s="824">
        <f t="shared" si="1"/>
        <v>3858.0150000000003</v>
      </c>
      <c r="N101" s="824">
        <f t="shared" si="1"/>
        <v>3140.6099999999997</v>
      </c>
      <c r="O101" s="824">
        <f t="shared" si="1"/>
        <v>4160.03</v>
      </c>
      <c r="P101" s="824">
        <f t="shared" si="1"/>
        <v>4393.6739999999991</v>
      </c>
      <c r="Q101" s="824">
        <f t="shared" si="1"/>
        <v>22163.452000000001</v>
      </c>
      <c r="R101" s="824">
        <f t="shared" si="1"/>
        <v>3174.5009999999997</v>
      </c>
      <c r="S101" s="824">
        <f t="shared" si="1"/>
        <v>15029.4</v>
      </c>
      <c r="T101" s="824">
        <f t="shared" si="1"/>
        <v>2928.0149999999999</v>
      </c>
      <c r="U101" s="824">
        <f t="shared" si="1"/>
        <v>3748.3919999999998</v>
      </c>
      <c r="V101" s="824">
        <f t="shared" si="1"/>
        <v>177768.89599999998</v>
      </c>
      <c r="W101" s="824">
        <f t="shared" si="1"/>
        <v>1141164.895</v>
      </c>
    </row>
    <row r="102" spans="1:23" ht="13.5">
      <c r="A102" s="1544" t="s">
        <v>1208</v>
      </c>
      <c r="B102" s="838" t="s">
        <v>1079</v>
      </c>
      <c r="C102" s="824">
        <f>C108*C111</f>
        <v>49.050000000000004</v>
      </c>
      <c r="D102" s="824">
        <f t="shared" ref="D102:W102" si="2">D108*D111</f>
        <v>172.32600000000002</v>
      </c>
      <c r="E102" s="824">
        <f t="shared" si="2"/>
        <v>186.79499999999999</v>
      </c>
      <c r="F102" s="824">
        <f t="shared" si="2"/>
        <v>471.99600000000004</v>
      </c>
      <c r="G102" s="824">
        <f t="shared" si="2"/>
        <v>902.88</v>
      </c>
      <c r="H102" s="824">
        <f t="shared" si="2"/>
        <v>101.30400000000002</v>
      </c>
      <c r="I102" s="824">
        <f t="shared" si="2"/>
        <v>1128.336</v>
      </c>
      <c r="J102" s="824">
        <f t="shared" si="2"/>
        <v>204.32999999999998</v>
      </c>
      <c r="K102" s="824">
        <f t="shared" si="2"/>
        <v>133.08000000000001</v>
      </c>
      <c r="L102" s="824">
        <f t="shared" si="2"/>
        <v>251.40600000000003</v>
      </c>
      <c r="M102" s="824">
        <f t="shared" si="2"/>
        <v>166.25700000000001</v>
      </c>
      <c r="N102" s="824">
        <f t="shared" si="2"/>
        <v>95.47999999999999</v>
      </c>
      <c r="O102" s="824">
        <f t="shared" si="2"/>
        <v>115.31000000000002</v>
      </c>
      <c r="P102" s="824">
        <f t="shared" si="2"/>
        <v>203.31899999999996</v>
      </c>
      <c r="Q102" s="824">
        <f t="shared" si="2"/>
        <v>219.92400000000004</v>
      </c>
      <c r="R102" s="824">
        <f t="shared" si="2"/>
        <v>66.063000000000002</v>
      </c>
      <c r="S102" s="824">
        <f t="shared" si="2"/>
        <v>338.5</v>
      </c>
      <c r="T102" s="824">
        <f t="shared" si="2"/>
        <v>34.155000000000001</v>
      </c>
      <c r="U102" s="824">
        <f t="shared" si="2"/>
        <v>79.08</v>
      </c>
      <c r="V102" s="824">
        <f t="shared" si="2"/>
        <v>4878.4000000000005</v>
      </c>
      <c r="W102" s="824">
        <f t="shared" si="2"/>
        <v>34618.219999999994</v>
      </c>
    </row>
    <row r="103" spans="1:23" ht="13.5">
      <c r="A103" s="1544" t="s">
        <v>1209</v>
      </c>
      <c r="B103" s="838" t="s">
        <v>1081</v>
      </c>
      <c r="C103" s="824">
        <f>C110*C111</f>
        <v>46.325000000000003</v>
      </c>
      <c r="D103" s="824">
        <f t="shared" ref="D103:W103" si="3">D110*D111</f>
        <v>31.332000000000001</v>
      </c>
      <c r="E103" s="824">
        <f t="shared" si="3"/>
        <v>871.71</v>
      </c>
      <c r="F103" s="824">
        <f t="shared" si="3"/>
        <v>101.14200000000001</v>
      </c>
      <c r="G103" s="824">
        <f t="shared" si="3"/>
        <v>541.72800000000007</v>
      </c>
      <c r="H103" s="824">
        <f t="shared" si="3"/>
        <v>14.07</v>
      </c>
      <c r="I103" s="824">
        <f t="shared" si="3"/>
        <v>854.80000000000007</v>
      </c>
      <c r="J103" s="824">
        <f t="shared" si="3"/>
        <v>217.952</v>
      </c>
      <c r="K103" s="824">
        <f t="shared" si="3"/>
        <v>86.50200000000001</v>
      </c>
      <c r="L103" s="824">
        <f t="shared" si="3"/>
        <v>363.14200000000005</v>
      </c>
      <c r="M103" s="824">
        <f t="shared" si="3"/>
        <v>68.207999999999998</v>
      </c>
      <c r="N103" s="824">
        <f t="shared" si="3"/>
        <v>13.64</v>
      </c>
      <c r="O103" s="824">
        <f t="shared" si="3"/>
        <v>97.570000000000007</v>
      </c>
      <c r="P103" s="824">
        <f t="shared" si="3"/>
        <v>158.68800000000002</v>
      </c>
      <c r="Q103" s="824">
        <f t="shared" si="3"/>
        <v>3494.3480000000004</v>
      </c>
      <c r="R103" s="824">
        <f t="shared" si="3"/>
        <v>20.862000000000002</v>
      </c>
      <c r="S103" s="824">
        <f t="shared" si="3"/>
        <v>1269.375</v>
      </c>
      <c r="T103" s="824">
        <f t="shared" si="3"/>
        <v>133.51499999999999</v>
      </c>
      <c r="U103" s="824">
        <f t="shared" si="3"/>
        <v>86.988000000000014</v>
      </c>
      <c r="V103" s="824">
        <f t="shared" si="3"/>
        <v>8390.848</v>
      </c>
      <c r="W103" s="824">
        <f t="shared" si="3"/>
        <v>29672.760000000002</v>
      </c>
    </row>
    <row r="104" spans="1:23" ht="13.5">
      <c r="A104" s="1544" t="s">
        <v>1319</v>
      </c>
      <c r="B104" s="838" t="s">
        <v>1093</v>
      </c>
      <c r="C104" s="842">
        <v>23</v>
      </c>
      <c r="D104" s="842">
        <v>62</v>
      </c>
      <c r="E104" s="842">
        <v>119</v>
      </c>
      <c r="F104" s="842">
        <v>142</v>
      </c>
      <c r="G104" s="842">
        <v>337</v>
      </c>
      <c r="H104" s="842">
        <v>52</v>
      </c>
      <c r="I104" s="842">
        <v>364</v>
      </c>
      <c r="J104" s="842">
        <v>71</v>
      </c>
      <c r="K104" s="842">
        <v>86</v>
      </c>
      <c r="L104" s="842">
        <v>216</v>
      </c>
      <c r="M104" s="842">
        <v>117</v>
      </c>
      <c r="N104" s="842">
        <v>64</v>
      </c>
      <c r="O104" s="842">
        <v>50</v>
      </c>
      <c r="P104" s="842">
        <v>137</v>
      </c>
      <c r="Q104" s="842">
        <v>184</v>
      </c>
      <c r="R104" s="842">
        <v>45</v>
      </c>
      <c r="S104" s="842">
        <v>95</v>
      </c>
      <c r="T104" s="842">
        <v>31</v>
      </c>
      <c r="U104" s="842">
        <v>40</v>
      </c>
      <c r="V104" s="825">
        <v>2235</v>
      </c>
      <c r="W104" s="844">
        <v>15958</v>
      </c>
    </row>
    <row r="105" spans="1:23" ht="13.5">
      <c r="A105" s="1544" t="s">
        <v>1199</v>
      </c>
      <c r="B105" s="838" t="s">
        <v>1094</v>
      </c>
      <c r="C105" s="842">
        <v>6</v>
      </c>
      <c r="D105" s="842">
        <v>22</v>
      </c>
      <c r="E105" s="842">
        <v>28</v>
      </c>
      <c r="F105" s="842">
        <v>35</v>
      </c>
      <c r="G105" s="842">
        <v>104</v>
      </c>
      <c r="H105" s="842">
        <v>18</v>
      </c>
      <c r="I105" s="842">
        <v>104</v>
      </c>
      <c r="J105" s="842">
        <v>27</v>
      </c>
      <c r="K105" s="842">
        <v>22</v>
      </c>
      <c r="L105" s="842">
        <v>50</v>
      </c>
      <c r="M105" s="842">
        <v>48</v>
      </c>
      <c r="N105" s="842">
        <v>18</v>
      </c>
      <c r="O105" s="842">
        <v>9</v>
      </c>
      <c r="P105" s="842">
        <v>57</v>
      </c>
      <c r="Q105" s="842">
        <v>51</v>
      </c>
      <c r="R105" s="842">
        <v>9</v>
      </c>
      <c r="S105" s="842">
        <v>16</v>
      </c>
      <c r="T105" s="842">
        <v>1</v>
      </c>
      <c r="U105" s="842">
        <v>13</v>
      </c>
      <c r="V105" s="825">
        <v>638</v>
      </c>
      <c r="W105" s="844">
        <v>4981</v>
      </c>
    </row>
    <row r="106" spans="1:23" s="418" customFormat="1" ht="13.5">
      <c r="A106" s="1547" t="s">
        <v>1320</v>
      </c>
      <c r="B106" s="828" t="s">
        <v>931</v>
      </c>
      <c r="C106" s="824">
        <v>139.66666666666666</v>
      </c>
      <c r="D106" s="824">
        <v>724.68181818181813</v>
      </c>
      <c r="E106" s="824">
        <v>275.5</v>
      </c>
      <c r="F106" s="824">
        <v>503.15789473684208</v>
      </c>
      <c r="G106" s="824">
        <v>393.34285714285716</v>
      </c>
      <c r="H106" s="824">
        <v>425.85714285714283</v>
      </c>
      <c r="I106" s="824">
        <v>345.9264705882353</v>
      </c>
      <c r="J106" s="824">
        <v>472.66666666666669</v>
      </c>
      <c r="K106" s="824">
        <v>490.70588235294116</v>
      </c>
      <c r="L106" s="824">
        <v>519.44000000000005</v>
      </c>
      <c r="M106" s="824">
        <v>324.22222222222223</v>
      </c>
      <c r="N106" s="824">
        <v>584.4</v>
      </c>
      <c r="O106" s="824">
        <v>594.75</v>
      </c>
      <c r="P106" s="824">
        <v>445.53333333333336</v>
      </c>
      <c r="Q106" s="824">
        <v>605.20000000000005</v>
      </c>
      <c r="R106" s="824">
        <v>133.5</v>
      </c>
      <c r="S106" s="824">
        <v>474.0625</v>
      </c>
      <c r="T106" s="824">
        <v>445</v>
      </c>
      <c r="U106" s="824">
        <v>645.25</v>
      </c>
      <c r="V106" s="825">
        <v>446.51948051948051</v>
      </c>
      <c r="W106" s="877">
        <v>485.03991949010401</v>
      </c>
    </row>
    <row r="107" spans="1:23" s="418" customFormat="1" ht="13.5">
      <c r="A107" s="1548" t="s">
        <v>1321</v>
      </c>
      <c r="B107" s="1549" t="s">
        <v>1335</v>
      </c>
      <c r="C107" s="1550">
        <v>74</v>
      </c>
      <c r="D107" s="1550">
        <v>219</v>
      </c>
      <c r="E107" s="1550">
        <v>243</v>
      </c>
      <c r="F107" s="1550">
        <v>261</v>
      </c>
      <c r="G107" s="1550">
        <v>711</v>
      </c>
      <c r="H107" s="1550">
        <v>90</v>
      </c>
      <c r="I107" s="1550">
        <v>1191</v>
      </c>
      <c r="J107" s="1550">
        <v>151</v>
      </c>
      <c r="K107" s="1550">
        <v>189</v>
      </c>
      <c r="L107" s="1550">
        <v>386</v>
      </c>
      <c r="M107" s="1550">
        <v>228</v>
      </c>
      <c r="N107" s="1550">
        <v>135</v>
      </c>
      <c r="O107" s="1550">
        <v>111</v>
      </c>
      <c r="P107" s="1550">
        <v>192</v>
      </c>
      <c r="Q107" s="1550">
        <v>611</v>
      </c>
      <c r="R107" s="1550">
        <v>107</v>
      </c>
      <c r="S107" s="1550">
        <v>464</v>
      </c>
      <c r="T107" s="1550">
        <v>67</v>
      </c>
      <c r="U107" s="1550">
        <v>77</v>
      </c>
      <c r="V107" s="1551">
        <v>5510</v>
      </c>
      <c r="W107" s="1552">
        <v>36110</v>
      </c>
    </row>
    <row r="108" spans="1:23" ht="13.5">
      <c r="A108" s="1548" t="s">
        <v>1322</v>
      </c>
      <c r="B108" s="1549" t="s">
        <v>1336</v>
      </c>
      <c r="C108" s="878">
        <v>1.8000000000000002E-2</v>
      </c>
      <c r="D108" s="878">
        <v>3.3000000000000002E-2</v>
      </c>
      <c r="E108" s="878">
        <v>1.4999999999999999E-2</v>
      </c>
      <c r="F108" s="878">
        <v>4.2000000000000003E-2</v>
      </c>
      <c r="G108" s="878">
        <v>0.03</v>
      </c>
      <c r="H108" s="878">
        <v>3.6000000000000004E-2</v>
      </c>
      <c r="I108" s="878">
        <v>3.3000000000000002E-2</v>
      </c>
      <c r="J108" s="878">
        <v>0.03</v>
      </c>
      <c r="K108" s="878">
        <v>0.02</v>
      </c>
      <c r="L108" s="878">
        <v>1.8000000000000002E-2</v>
      </c>
      <c r="M108" s="878">
        <v>3.9E-2</v>
      </c>
      <c r="N108" s="878">
        <v>2.7999999999999997E-2</v>
      </c>
      <c r="O108" s="878">
        <v>2.6000000000000002E-2</v>
      </c>
      <c r="P108" s="878">
        <v>4.0999999999999995E-2</v>
      </c>
      <c r="Q108" s="878">
        <v>9.0000000000000011E-3</v>
      </c>
      <c r="R108" s="878">
        <v>1.9E-2</v>
      </c>
      <c r="S108" s="878">
        <v>0.02</v>
      </c>
      <c r="T108" s="878">
        <v>1.1000000000000001E-2</v>
      </c>
      <c r="U108" s="878">
        <v>0.02</v>
      </c>
      <c r="V108" s="876">
        <v>2.5000000000000001E-2</v>
      </c>
      <c r="W108" s="879">
        <v>2.7999999999999997E-2</v>
      </c>
    </row>
    <row r="109" spans="1:23" s="418" customFormat="1" ht="13.5">
      <c r="A109" s="1548" t="s">
        <v>1323</v>
      </c>
      <c r="B109" s="1549" t="s">
        <v>1337</v>
      </c>
      <c r="C109" s="878">
        <v>0.94200000000000006</v>
      </c>
      <c r="D109" s="878">
        <v>0.92700000000000005</v>
      </c>
      <c r="E109" s="878">
        <v>0.91900000000000004</v>
      </c>
      <c r="F109" s="878">
        <v>0.88300000000000001</v>
      </c>
      <c r="G109" s="878">
        <v>0.91099999999999992</v>
      </c>
      <c r="H109" s="878">
        <v>0.90400000000000003</v>
      </c>
      <c r="I109" s="878">
        <v>0.90300000000000002</v>
      </c>
      <c r="J109" s="878">
        <v>0.91700000000000004</v>
      </c>
      <c r="K109" s="878">
        <v>0.94400000000000006</v>
      </c>
      <c r="L109" s="878">
        <v>0.93599999999999994</v>
      </c>
      <c r="M109" s="878">
        <v>0.90500000000000003</v>
      </c>
      <c r="N109" s="878">
        <v>0.92099999999999993</v>
      </c>
      <c r="O109" s="878">
        <v>0.93799999999999994</v>
      </c>
      <c r="P109" s="878">
        <v>0.8859999999999999</v>
      </c>
      <c r="Q109" s="878">
        <v>0.90700000000000003</v>
      </c>
      <c r="R109" s="878">
        <v>0.91299999999999992</v>
      </c>
      <c r="S109" s="878">
        <v>0.88800000000000001</v>
      </c>
      <c r="T109" s="878">
        <v>0.94299999999999995</v>
      </c>
      <c r="U109" s="878">
        <v>0.94799999999999995</v>
      </c>
      <c r="V109" s="876">
        <v>0.91099999999999992</v>
      </c>
      <c r="W109" s="879">
        <v>0.92299999999999993</v>
      </c>
    </row>
    <row r="110" spans="1:23" s="418" customFormat="1" ht="13.5">
      <c r="A110" s="1548" t="s">
        <v>1324</v>
      </c>
      <c r="B110" s="1549" t="s">
        <v>1338</v>
      </c>
      <c r="C110" s="878">
        <v>1.7000000000000001E-2</v>
      </c>
      <c r="D110" s="878">
        <v>6.0000000000000001E-3</v>
      </c>
      <c r="E110" s="878">
        <v>7.0000000000000007E-2</v>
      </c>
      <c r="F110" s="878">
        <v>9.0000000000000011E-3</v>
      </c>
      <c r="G110" s="878">
        <v>1.8000000000000002E-2</v>
      </c>
      <c r="H110" s="878">
        <v>5.0000000000000001E-3</v>
      </c>
      <c r="I110" s="878">
        <v>2.5000000000000001E-2</v>
      </c>
      <c r="J110" s="878">
        <v>3.2000000000000001E-2</v>
      </c>
      <c r="K110" s="878">
        <v>1.3000000000000001E-2</v>
      </c>
      <c r="L110" s="878">
        <v>2.6000000000000002E-2</v>
      </c>
      <c r="M110" s="878">
        <v>1.6E-2</v>
      </c>
      <c r="N110" s="878">
        <v>4.0000000000000001E-3</v>
      </c>
      <c r="O110" s="878">
        <v>2.2000000000000002E-2</v>
      </c>
      <c r="P110" s="878">
        <v>3.2000000000000001E-2</v>
      </c>
      <c r="Q110" s="878">
        <v>0.14300000000000002</v>
      </c>
      <c r="R110" s="878">
        <v>6.0000000000000001E-3</v>
      </c>
      <c r="S110" s="878">
        <v>7.4999999999999997E-2</v>
      </c>
      <c r="T110" s="878">
        <v>4.2999999999999997E-2</v>
      </c>
      <c r="U110" s="878">
        <v>2.2000000000000002E-2</v>
      </c>
      <c r="V110" s="876">
        <v>4.2999999999999997E-2</v>
      </c>
      <c r="W110" s="879">
        <v>2.4E-2</v>
      </c>
    </row>
    <row r="111" spans="1:23" s="418" customFormat="1" ht="13.5">
      <c r="A111" s="1548" t="s">
        <v>1331</v>
      </c>
      <c r="B111" s="1549" t="s">
        <v>1339</v>
      </c>
      <c r="C111" s="873">
        <v>2725</v>
      </c>
      <c r="D111" s="873">
        <v>5222</v>
      </c>
      <c r="E111" s="873">
        <v>12453</v>
      </c>
      <c r="F111" s="873">
        <v>11238</v>
      </c>
      <c r="G111" s="873">
        <v>30096</v>
      </c>
      <c r="H111" s="873">
        <v>2814</v>
      </c>
      <c r="I111" s="873">
        <v>34192</v>
      </c>
      <c r="J111" s="873">
        <v>6811</v>
      </c>
      <c r="K111" s="873">
        <v>6654</v>
      </c>
      <c r="L111" s="873">
        <v>13967</v>
      </c>
      <c r="M111" s="873">
        <v>4263</v>
      </c>
      <c r="N111" s="873">
        <v>3410</v>
      </c>
      <c r="O111" s="873">
        <v>4435</v>
      </c>
      <c r="P111" s="873">
        <v>4959</v>
      </c>
      <c r="Q111" s="873">
        <v>24436</v>
      </c>
      <c r="R111" s="873">
        <v>3477</v>
      </c>
      <c r="S111" s="873">
        <v>16925</v>
      </c>
      <c r="T111" s="873">
        <v>3105</v>
      </c>
      <c r="U111" s="873">
        <v>3954</v>
      </c>
      <c r="V111" s="330">
        <v>195136</v>
      </c>
      <c r="W111" s="880">
        <v>1236365</v>
      </c>
    </row>
    <row r="112" spans="1:23">
      <c r="A112" s="535" t="s">
        <v>1301</v>
      </c>
      <c r="B112" s="774" t="s">
        <v>457</v>
      </c>
      <c r="C112" s="724">
        <f>IF(SUM(C38:C41)&gt;0,SUM(C38:C41),NA())</f>
        <v>1170</v>
      </c>
      <c r="D112" s="724">
        <f>IF(SUM(D38:D41)&gt;0,SUM(D38:D41),NA())</f>
        <v>2467</v>
      </c>
      <c r="E112" s="724">
        <f>IF(SUM(E38:E41)&gt;0,SUM(E38:E41),NA())</f>
        <v>6623</v>
      </c>
      <c r="F112" s="724">
        <f>IF(SUM(F38:F41)&gt;0,SUM(F38:F41),NA())</f>
        <v>2797</v>
      </c>
      <c r="G112" s="724"/>
      <c r="H112" s="724">
        <f t="shared" ref="H112:W112" si="4">IF(SUM(H38:H41)&gt;0,SUM(H38:H41),NA())</f>
        <v>3829</v>
      </c>
      <c r="I112" s="724">
        <f t="shared" si="4"/>
        <v>18394</v>
      </c>
      <c r="J112" s="724">
        <f t="shared" si="4"/>
        <v>4203</v>
      </c>
      <c r="K112" s="724">
        <f t="shared" si="4"/>
        <v>2925</v>
      </c>
      <c r="L112" s="724">
        <f t="shared" si="4"/>
        <v>4356</v>
      </c>
      <c r="M112" s="724">
        <f t="shared" si="4"/>
        <v>2701</v>
      </c>
      <c r="N112" s="724">
        <f t="shared" si="4"/>
        <v>1719</v>
      </c>
      <c r="O112" s="724">
        <f t="shared" si="4"/>
        <v>2950</v>
      </c>
      <c r="P112" s="724">
        <f t="shared" si="4"/>
        <v>2809</v>
      </c>
      <c r="Q112" s="724">
        <f t="shared" si="4"/>
        <v>6486</v>
      </c>
      <c r="R112" s="724">
        <f t="shared" si="4"/>
        <v>2343</v>
      </c>
      <c r="S112" s="724">
        <f t="shared" si="4"/>
        <v>7668</v>
      </c>
      <c r="T112" s="724">
        <f t="shared" si="4"/>
        <v>1378</v>
      </c>
      <c r="U112" s="724">
        <f t="shared" si="4"/>
        <v>1228</v>
      </c>
      <c r="V112" s="724">
        <f t="shared" si="4"/>
        <v>103320</v>
      </c>
      <c r="W112" s="724">
        <f t="shared" si="4"/>
        <v>543210</v>
      </c>
    </row>
    <row r="113" spans="1:23">
      <c r="A113" s="535" t="s">
        <v>1325</v>
      </c>
      <c r="B113" s="774" t="s">
        <v>458</v>
      </c>
      <c r="C113" s="724">
        <f>SUM(C38:C42)</f>
        <v>1423</v>
      </c>
      <c r="D113" s="724">
        <f>SUM(D38:D42)</f>
        <v>2869</v>
      </c>
      <c r="E113" s="724">
        <f>SUM(E38:E42)</f>
        <v>8590</v>
      </c>
      <c r="F113" s="724">
        <f>SUM(F38:F42)</f>
        <v>4223</v>
      </c>
      <c r="G113" s="724"/>
      <c r="H113" s="724">
        <f t="shared" ref="H113:W113" si="5">SUM(H38:H42)</f>
        <v>3969</v>
      </c>
      <c r="I113" s="724">
        <f t="shared" si="5"/>
        <v>21680</v>
      </c>
      <c r="J113" s="724">
        <f t="shared" si="5"/>
        <v>5377</v>
      </c>
      <c r="K113" s="724">
        <f t="shared" si="5"/>
        <v>3607</v>
      </c>
      <c r="L113" s="724">
        <f t="shared" si="5"/>
        <v>5366</v>
      </c>
      <c r="M113" s="724">
        <f t="shared" si="5"/>
        <v>2701</v>
      </c>
      <c r="N113" s="724">
        <f t="shared" si="5"/>
        <v>2767</v>
      </c>
      <c r="O113" s="724">
        <f t="shared" si="5"/>
        <v>3413</v>
      </c>
      <c r="P113" s="724">
        <f t="shared" si="5"/>
        <v>3189</v>
      </c>
      <c r="Q113" s="724">
        <f t="shared" si="5"/>
        <v>7611</v>
      </c>
      <c r="R113" s="724">
        <f t="shared" si="5"/>
        <v>2406</v>
      </c>
      <c r="S113" s="724">
        <f t="shared" si="5"/>
        <v>8562</v>
      </c>
      <c r="T113" s="724">
        <f t="shared" si="5"/>
        <v>1525</v>
      </c>
      <c r="U113" s="724">
        <f t="shared" si="5"/>
        <v>1513</v>
      </c>
      <c r="V113" s="724">
        <f t="shared" si="5"/>
        <v>119600</v>
      </c>
      <c r="W113" s="724">
        <f t="shared" si="5"/>
        <v>643160</v>
      </c>
    </row>
    <row r="114" spans="1:23">
      <c r="B114" s="418"/>
      <c r="C114" s="832"/>
      <c r="D114" s="832"/>
      <c r="E114" s="832"/>
      <c r="F114" s="832"/>
      <c r="G114" s="832"/>
      <c r="H114" s="832"/>
      <c r="I114" s="832"/>
      <c r="J114" s="832"/>
      <c r="K114" s="832"/>
      <c r="L114" s="832"/>
      <c r="M114" s="832"/>
      <c r="N114" s="832"/>
      <c r="O114" s="832"/>
      <c r="P114" s="832"/>
      <c r="Q114" s="832"/>
      <c r="R114" s="832"/>
      <c r="S114" s="832"/>
      <c r="T114" s="832"/>
      <c r="U114" s="832"/>
      <c r="V114" s="832"/>
      <c r="W114" s="832"/>
    </row>
    <row r="115" spans="1:23">
      <c r="B115" s="800"/>
      <c r="C115" s="833"/>
      <c r="V115" s="800"/>
    </row>
    <row r="116" spans="1:23">
      <c r="B116" s="800"/>
      <c r="C116" s="833"/>
      <c r="V116" s="800"/>
    </row>
    <row r="117" spans="1:23">
      <c r="B117" s="800"/>
      <c r="C117" s="833"/>
      <c r="V117" s="800"/>
    </row>
    <row r="118" spans="1:23">
      <c r="B118" s="800"/>
      <c r="C118" s="833"/>
      <c r="V118" s="800"/>
    </row>
    <row r="119" spans="1:23">
      <c r="B119" s="800"/>
      <c r="C119" s="833"/>
      <c r="V119" s="800"/>
    </row>
    <row r="120" spans="1:23">
      <c r="B120" s="800"/>
      <c r="C120" s="833"/>
      <c r="V120" s="800"/>
    </row>
    <row r="121" spans="1:23">
      <c r="B121" s="800"/>
      <c r="C121" s="833"/>
      <c r="V121" s="800"/>
    </row>
    <row r="122" spans="1:23">
      <c r="B122" s="800"/>
      <c r="C122" s="833"/>
      <c r="V122" s="800"/>
    </row>
    <row r="123" spans="1:23">
      <c r="B123" s="800"/>
      <c r="C123" s="833"/>
      <c r="V123" s="800"/>
    </row>
    <row r="124" spans="1:23">
      <c r="B124" s="800"/>
      <c r="C124" s="833"/>
      <c r="V124" s="800"/>
    </row>
    <row r="125" spans="1:23">
      <c r="B125" s="800"/>
      <c r="C125" s="833"/>
      <c r="V125" s="800"/>
    </row>
    <row r="126" spans="1:23">
      <c r="B126" s="800"/>
      <c r="C126" s="833"/>
      <c r="V126" s="800"/>
    </row>
    <row r="127" spans="1:23">
      <c r="B127" s="800"/>
      <c r="C127" s="833"/>
      <c r="V127" s="800"/>
    </row>
    <row r="128" spans="1:23">
      <c r="B128" s="800"/>
      <c r="C128" s="833"/>
      <c r="V128" s="800"/>
    </row>
    <row r="129" spans="2:22">
      <c r="B129" s="800"/>
      <c r="C129" s="833"/>
      <c r="V129" s="800"/>
    </row>
    <row r="130" spans="2:22">
      <c r="B130" s="800"/>
      <c r="C130" s="833"/>
      <c r="V130" s="800"/>
    </row>
  </sheetData>
  <conditionalFormatting sqref="C1:U1">
    <cfRule type="expression" dxfId="663" priority="3">
      <formula>SUM(C$2:C$98)=0</formula>
    </cfRule>
    <cfRule type="containsErrors" dxfId="662" priority="4">
      <formula>ISERROR(C1)</formula>
    </cfRule>
  </conditionalFormatting>
  <conditionalFormatting sqref="P41:P45">
    <cfRule type="containsErrors" dxfId="661" priority="1">
      <formula>ISERROR(P41)</formula>
    </cfRule>
  </conditionalFormatting>
  <pageMargins left="0.70866141732283472" right="0.70866141732283472" top="0.35433070866141736" bottom="0.35433070866141736" header="0.31496062992125984" footer="0.31496062992125984"/>
  <pageSetup scale="50" orientation="portrait" r:id="rId1"/>
  <extLst>
    <ext xmlns:x14="http://schemas.microsoft.com/office/spreadsheetml/2009/9/main" uri="{78C0D931-6437-407d-A8EE-F0AAD7539E65}">
      <x14:conditionalFormattings>
        <x14:conditionalFormatting xmlns:xm="http://schemas.microsoft.com/office/excel/2006/main">
          <x14:cfRule type="expression" priority="2" id="{5A615B9A-4B31-41E9-A1F1-5510C93290BE}">
            <xm:f>C$1=ReportData!$AR$3</xm:f>
            <x14:dxf>
              <fill>
                <patternFill>
                  <bgColor rgb="FF66FF99"/>
                </patternFill>
              </fill>
            </x14:dxf>
          </x14:cfRule>
          <xm:sqref>C1:U1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66"/>
  </sheetPr>
  <dimension ref="B1:BO408"/>
  <sheetViews>
    <sheetView workbookViewId="0">
      <selection activeCell="F15" sqref="F15:F17"/>
    </sheetView>
  </sheetViews>
  <sheetFormatPr defaultColWidth="9.140625" defaultRowHeight="12.75"/>
  <cols>
    <col min="1" max="1" width="2.42578125" style="290" customWidth="1"/>
    <col min="2" max="2" width="28.140625" style="290" customWidth="1"/>
    <col min="3" max="3" width="20.5703125" style="290" customWidth="1"/>
    <col min="4" max="8" width="10" style="290" customWidth="1"/>
    <col min="9" max="9" width="11.42578125" style="290" bestFit="1" customWidth="1"/>
    <col min="10" max="12" width="20.5703125" style="290" bestFit="1" customWidth="1"/>
    <col min="13" max="13" width="12" style="290" bestFit="1" customWidth="1"/>
    <col min="14" max="14" width="6.85546875" style="290" bestFit="1" customWidth="1"/>
    <col min="15" max="15" width="3.85546875" style="290" bestFit="1" customWidth="1"/>
    <col min="16" max="27" width="3" style="290" bestFit="1" customWidth="1"/>
    <col min="28" max="28" width="30.42578125" style="290" bestFit="1" customWidth="1"/>
    <col min="29" max="29" width="25.42578125" style="290" customWidth="1"/>
    <col min="30" max="30" width="11.5703125" style="290" customWidth="1"/>
    <col min="31" max="31" width="9.140625" style="290"/>
    <col min="32" max="32" width="9.5703125" style="290" customWidth="1"/>
    <col min="33" max="34" width="9.140625" style="290"/>
    <col min="35" max="37" width="20.5703125" style="290" bestFit="1" customWidth="1"/>
    <col min="38" max="38" width="4" style="290" bestFit="1" customWidth="1"/>
    <col min="39" max="39" width="6.85546875" style="290" bestFit="1" customWidth="1"/>
    <col min="40" max="40" width="3.85546875" style="290" bestFit="1" customWidth="1"/>
    <col min="41" max="42" width="9.140625" style="290"/>
    <col min="43" max="43" width="22.42578125" style="290" bestFit="1" customWidth="1"/>
    <col min="44" max="44" width="20.140625" style="290" bestFit="1" customWidth="1"/>
    <col min="45" max="66" width="3" style="290" bestFit="1" customWidth="1"/>
    <col min="67" max="16384" width="9.140625" style="290"/>
  </cols>
  <sheetData>
    <row r="1" spans="2:67">
      <c r="C1" s="454" t="s">
        <v>574</v>
      </c>
    </row>
    <row r="2" spans="2:67">
      <c r="C2" s="454" t="s">
        <v>580</v>
      </c>
      <c r="AR2" s="291" t="s">
        <v>175</v>
      </c>
      <c r="AS2" s="1558" t="s">
        <v>176</v>
      </c>
      <c r="AT2" s="1559"/>
      <c r="AU2" s="1559"/>
      <c r="AV2" s="1559"/>
      <c r="AW2" s="1559"/>
      <c r="AX2" s="1559"/>
      <c r="AY2" s="1559"/>
      <c r="AZ2" s="1559"/>
      <c r="BA2" s="1559"/>
      <c r="BB2" s="1559"/>
      <c r="BC2" s="1559"/>
      <c r="BD2" s="1559"/>
      <c r="BE2" s="1559"/>
      <c r="BF2" s="1559"/>
      <c r="BG2" s="1559"/>
      <c r="BH2" s="1559"/>
      <c r="BI2" s="1559"/>
      <c r="BJ2" s="1559"/>
      <c r="BK2" s="1559"/>
      <c r="BL2" s="1559"/>
      <c r="BM2" s="1559"/>
      <c r="BN2" s="1560"/>
    </row>
    <row r="3" spans="2:67" ht="89.25">
      <c r="B3" s="715" t="s">
        <v>579</v>
      </c>
      <c r="C3" s="455" t="s">
        <v>574</v>
      </c>
      <c r="E3" s="484" t="s">
        <v>927</v>
      </c>
      <c r="F3" s="700" t="str">
        <f>IF(C3="Annual","Years","Quarters")</f>
        <v>Years</v>
      </c>
      <c r="G3" s="700" t="str">
        <f>IF(C3="Annual","Year ending 31st March","Quarter")</f>
        <v>Year ending 31st March</v>
      </c>
      <c r="H3" s="700" t="str">
        <f>IF(C3="Annual","31st March","last day in Quarter")</f>
        <v>31st March</v>
      </c>
      <c r="J3" s="716" t="s">
        <v>591</v>
      </c>
      <c r="K3" s="716" t="s">
        <v>592</v>
      </c>
      <c r="AQ3" s="292" t="s">
        <v>72</v>
      </c>
      <c r="AR3" s="293" t="str">
        <f>Home!$D$5</f>
        <v>(none)</v>
      </c>
      <c r="AS3" s="294" t="s">
        <v>0</v>
      </c>
      <c r="AT3" s="295" t="s">
        <v>28</v>
      </c>
      <c r="AU3" s="295" t="s">
        <v>8</v>
      </c>
      <c r="AV3" s="295" t="s">
        <v>4</v>
      </c>
      <c r="AW3" s="295" t="s">
        <v>6</v>
      </c>
      <c r="AX3" s="295" t="s">
        <v>1</v>
      </c>
      <c r="AY3" s="295" t="s">
        <v>9</v>
      </c>
      <c r="AZ3" s="295" t="s">
        <v>2</v>
      </c>
      <c r="BA3" s="295" t="s">
        <v>10</v>
      </c>
      <c r="BB3" s="295" t="s">
        <v>11</v>
      </c>
      <c r="BC3" s="295" t="s">
        <v>12</v>
      </c>
      <c r="BD3" s="295" t="s">
        <v>3</v>
      </c>
      <c r="BE3" s="295" t="s">
        <v>13</v>
      </c>
      <c r="BF3" s="295" t="s">
        <v>89</v>
      </c>
      <c r="BG3" s="295" t="s">
        <v>14</v>
      </c>
      <c r="BH3" s="295" t="s">
        <v>7</v>
      </c>
      <c r="BI3" s="295" t="s">
        <v>104</v>
      </c>
      <c r="BJ3" s="295" t="s">
        <v>105</v>
      </c>
      <c r="BK3" s="295" t="s">
        <v>15</v>
      </c>
      <c r="BL3" s="295" t="s">
        <v>5</v>
      </c>
      <c r="BM3" s="295" t="s">
        <v>27</v>
      </c>
      <c r="BN3" s="296" t="s">
        <v>16</v>
      </c>
    </row>
    <row r="4" spans="2:67" ht="13.5" thickBot="1">
      <c r="B4" s="456" t="s">
        <v>586</v>
      </c>
      <c r="H4" s="290" t="s">
        <v>914</v>
      </c>
      <c r="J4" s="562" t="s">
        <v>0</v>
      </c>
      <c r="K4" s="560" t="s">
        <v>0</v>
      </c>
      <c r="L4" s="290" t="s">
        <v>0</v>
      </c>
      <c r="M4" s="290">
        <v>101</v>
      </c>
      <c r="N4" s="290" t="str">
        <f t="shared" ref="N4:N20" si="0">CONCATENATE(O4,M4)</f>
        <v>LA:101</v>
      </c>
      <c r="O4" s="290" t="s">
        <v>590</v>
      </c>
      <c r="AQ4" s="297" t="s">
        <v>0</v>
      </c>
      <c r="AR4" s="297">
        <f t="shared" ref="AR4:AR25" si="1">IF($AR$3="(none)",0,IF(HLOOKUP($AR$3,$AS$3:$BN$25,BO4,FALSE)=0,0,"*"))</f>
        <v>0</v>
      </c>
      <c r="AS4" s="298"/>
      <c r="AT4" s="298"/>
      <c r="AU4" s="299" t="s">
        <v>30</v>
      </c>
      <c r="AV4" s="298"/>
      <c r="AW4" s="298"/>
      <c r="AX4" s="298"/>
      <c r="AY4" s="298"/>
      <c r="AZ4" s="298"/>
      <c r="BA4" s="298"/>
      <c r="BB4" s="299" t="s">
        <v>30</v>
      </c>
      <c r="BC4" s="298"/>
      <c r="BD4" s="298"/>
      <c r="BE4" s="298"/>
      <c r="BF4" s="298"/>
      <c r="BG4" s="298"/>
      <c r="BH4" s="299" t="s">
        <v>30</v>
      </c>
      <c r="BI4" s="298"/>
      <c r="BJ4" s="298"/>
      <c r="BK4" s="299" t="s">
        <v>30</v>
      </c>
      <c r="BL4" s="298"/>
      <c r="BM4" s="299" t="s">
        <v>30</v>
      </c>
      <c r="BN4" s="299" t="s">
        <v>30</v>
      </c>
      <c r="BO4" s="290">
        <v>2</v>
      </c>
    </row>
    <row r="5" spans="2:67" ht="27.75" customHeight="1" thickBot="1">
      <c r="B5" s="800" t="s">
        <v>922</v>
      </c>
      <c r="C5" s="874" t="s">
        <v>923</v>
      </c>
      <c r="J5" s="563" t="s">
        <v>28</v>
      </c>
      <c r="K5" s="561" t="s">
        <v>28</v>
      </c>
      <c r="L5" s="290" t="s">
        <v>28</v>
      </c>
      <c r="M5" s="290">
        <f t="shared" ref="M5:M24" si="2">M4+1</f>
        <v>102</v>
      </c>
      <c r="N5" s="290" t="str">
        <f t="shared" si="0"/>
        <v>LA:102</v>
      </c>
      <c r="O5" s="290" t="s">
        <v>590</v>
      </c>
      <c r="AQ5" s="297" t="s">
        <v>28</v>
      </c>
      <c r="AR5" s="297">
        <f t="shared" si="1"/>
        <v>0</v>
      </c>
      <c r="AS5" s="298"/>
      <c r="AT5" s="298"/>
      <c r="AU5" s="298"/>
      <c r="AV5" s="298"/>
      <c r="AW5" s="298"/>
      <c r="AX5" s="298"/>
      <c r="AY5" s="298"/>
      <c r="AZ5" s="298"/>
      <c r="BA5" s="298"/>
      <c r="BB5" s="298"/>
      <c r="BC5" s="298"/>
      <c r="BD5" s="299" t="s">
        <v>30</v>
      </c>
      <c r="BE5" s="298"/>
      <c r="BF5" s="298"/>
      <c r="BG5" s="298"/>
      <c r="BH5" s="298"/>
      <c r="BI5" s="298"/>
      <c r="BJ5" s="298"/>
      <c r="BK5" s="298"/>
      <c r="BL5" s="298"/>
      <c r="BM5" s="298"/>
      <c r="BN5" s="298"/>
      <c r="BO5" s="290">
        <v>3</v>
      </c>
    </row>
    <row r="6" spans="2:67">
      <c r="B6" s="456" t="s">
        <v>588</v>
      </c>
      <c r="D6" s="728" t="s">
        <v>745</v>
      </c>
      <c r="E6" s="728" t="s">
        <v>746</v>
      </c>
      <c r="F6" s="728" t="s">
        <v>747</v>
      </c>
      <c r="G6" s="728" t="s">
        <v>921</v>
      </c>
      <c r="H6" s="728" t="s">
        <v>748</v>
      </c>
      <c r="J6" s="563" t="s">
        <v>8</v>
      </c>
      <c r="K6" s="561" t="s">
        <v>8</v>
      </c>
      <c r="L6" s="290" t="s">
        <v>8</v>
      </c>
      <c r="M6" s="290">
        <f t="shared" si="2"/>
        <v>103</v>
      </c>
      <c r="N6" s="290" t="str">
        <f t="shared" si="0"/>
        <v>LA:103</v>
      </c>
      <c r="O6" s="290" t="s">
        <v>590</v>
      </c>
      <c r="AQ6" s="297" t="s">
        <v>8</v>
      </c>
      <c r="AR6" s="297">
        <f t="shared" si="1"/>
        <v>0</v>
      </c>
      <c r="AS6" s="299" t="s">
        <v>30</v>
      </c>
      <c r="AT6" s="300"/>
      <c r="AU6" s="300"/>
      <c r="AV6" s="300"/>
      <c r="AW6" s="300"/>
      <c r="AX6" s="300"/>
      <c r="AY6" s="300"/>
      <c r="AZ6" s="300"/>
      <c r="BA6" s="300"/>
      <c r="BB6" s="299" t="s">
        <v>30</v>
      </c>
      <c r="BC6" s="300"/>
      <c r="BD6" s="300"/>
      <c r="BE6" s="300"/>
      <c r="BF6" s="300"/>
      <c r="BG6" s="300"/>
      <c r="BH6" s="299" t="s">
        <v>30</v>
      </c>
      <c r="BI6" s="300"/>
      <c r="BJ6" s="298"/>
      <c r="BK6" s="299" t="s">
        <v>30</v>
      </c>
      <c r="BL6" s="300"/>
      <c r="BM6" s="299" t="s">
        <v>30</v>
      </c>
      <c r="BN6" s="299" t="s">
        <v>30</v>
      </c>
      <c r="BO6" s="290">
        <v>4</v>
      </c>
    </row>
    <row r="7" spans="2:67" ht="13.5" thickBot="1">
      <c r="C7" s="729" t="s">
        <v>70</v>
      </c>
      <c r="D7" s="731">
        <v>13.833264421309758</v>
      </c>
      <c r="E7" s="731">
        <v>4.3802083085192649</v>
      </c>
      <c r="F7" s="731">
        <v>19.26271237854975</v>
      </c>
      <c r="G7" s="731">
        <v>10.700738256987043</v>
      </c>
      <c r="H7" s="731">
        <v>6.7313651681525135</v>
      </c>
      <c r="J7" s="563" t="s">
        <v>4</v>
      </c>
      <c r="K7" s="561" t="s">
        <v>4</v>
      </c>
      <c r="L7" s="290" t="s">
        <v>4</v>
      </c>
      <c r="M7" s="290">
        <f t="shared" si="2"/>
        <v>104</v>
      </c>
      <c r="N7" s="290" t="str">
        <f t="shared" si="0"/>
        <v>LA:104</v>
      </c>
      <c r="O7" s="290" t="s">
        <v>590</v>
      </c>
      <c r="AQ7" s="297" t="s">
        <v>4</v>
      </c>
      <c r="AR7" s="297">
        <f t="shared" si="1"/>
        <v>0</v>
      </c>
      <c r="AS7" s="300"/>
      <c r="AT7" s="300"/>
      <c r="AU7" s="300"/>
      <c r="AV7" s="300"/>
      <c r="AW7" s="300"/>
      <c r="AX7" s="299" t="s">
        <v>30</v>
      </c>
      <c r="AY7" s="299" t="s">
        <v>30</v>
      </c>
      <c r="AZ7" s="300"/>
      <c r="BA7" s="300"/>
      <c r="BB7" s="300"/>
      <c r="BC7" s="300"/>
      <c r="BD7" s="300"/>
      <c r="BE7" s="300"/>
      <c r="BF7" s="299" t="s">
        <v>30</v>
      </c>
      <c r="BG7" s="300"/>
      <c r="BH7" s="300"/>
      <c r="BI7" s="300"/>
      <c r="BJ7" s="298"/>
      <c r="BK7" s="300"/>
      <c r="BL7" s="299" t="s">
        <v>30</v>
      </c>
      <c r="BM7" s="300"/>
      <c r="BN7" s="300"/>
      <c r="BO7" s="290">
        <v>5</v>
      </c>
    </row>
    <row r="8" spans="2:67" ht="13.5" thickBot="1">
      <c r="B8" s="732">
        <v>2024</v>
      </c>
      <c r="C8" s="729" t="s">
        <v>753</v>
      </c>
      <c r="D8" s="731">
        <v>296.18222307076809</v>
      </c>
      <c r="E8" s="731">
        <v>38.411578038281206</v>
      </c>
      <c r="F8" s="731">
        <v>225.31737715469524</v>
      </c>
      <c r="G8" s="731">
        <v>171.72989218702634</v>
      </c>
      <c r="H8" s="731">
        <v>84.46481882033433</v>
      </c>
      <c r="J8" s="563" t="s">
        <v>6</v>
      </c>
      <c r="K8" s="561" t="s">
        <v>6</v>
      </c>
      <c r="L8" s="290" t="s">
        <v>6</v>
      </c>
      <c r="M8" s="290">
        <f t="shared" si="2"/>
        <v>105</v>
      </c>
      <c r="N8" s="290" t="str">
        <f t="shared" si="0"/>
        <v>LA:105</v>
      </c>
      <c r="O8" s="290" t="s">
        <v>590</v>
      </c>
      <c r="AQ8" s="297" t="s">
        <v>6</v>
      </c>
      <c r="AR8" s="297">
        <f t="shared" si="1"/>
        <v>0</v>
      </c>
      <c r="AS8" s="299" t="s">
        <v>30</v>
      </c>
      <c r="AT8" s="300"/>
      <c r="AU8" s="299" t="s">
        <v>30</v>
      </c>
      <c r="AV8" s="300"/>
      <c r="AW8" s="300"/>
      <c r="AX8" s="300"/>
      <c r="AY8" s="300"/>
      <c r="AZ8" s="300"/>
      <c r="BA8" s="300"/>
      <c r="BB8" s="299" t="s">
        <v>30</v>
      </c>
      <c r="BC8" s="300"/>
      <c r="BD8" s="300"/>
      <c r="BE8" s="300"/>
      <c r="BF8" s="300"/>
      <c r="BG8" s="300"/>
      <c r="BH8" s="299" t="s">
        <v>30</v>
      </c>
      <c r="BI8" s="300"/>
      <c r="BJ8" s="298"/>
      <c r="BK8" s="299" t="s">
        <v>30</v>
      </c>
      <c r="BL8" s="299" t="s">
        <v>30</v>
      </c>
      <c r="BM8" s="299" t="s">
        <v>30</v>
      </c>
      <c r="BN8" s="299" t="s">
        <v>30</v>
      </c>
      <c r="BO8" s="290">
        <v>6</v>
      </c>
    </row>
    <row r="9" spans="2:67">
      <c r="C9" s="729" t="s">
        <v>754</v>
      </c>
      <c r="D9" s="731">
        <v>0.17081556708535758</v>
      </c>
      <c r="E9" s="731">
        <v>0.10901700453406138</v>
      </c>
      <c r="F9" s="731">
        <v>0.32543500786294965</v>
      </c>
      <c r="G9" s="731">
        <v>0.4189319736749309</v>
      </c>
      <c r="H9" s="731">
        <v>0.25656871890890987</v>
      </c>
      <c r="J9" s="563" t="s">
        <v>1</v>
      </c>
      <c r="K9" s="561" t="s">
        <v>1</v>
      </c>
      <c r="L9" s="290" t="s">
        <v>1</v>
      </c>
      <c r="M9" s="290">
        <f t="shared" si="2"/>
        <v>106</v>
      </c>
      <c r="N9" s="290" t="str">
        <f t="shared" si="0"/>
        <v>LA:106</v>
      </c>
      <c r="O9" s="290" t="s">
        <v>590</v>
      </c>
      <c r="AQ9" s="297" t="s">
        <v>1</v>
      </c>
      <c r="AR9" s="297">
        <f t="shared" si="1"/>
        <v>0</v>
      </c>
      <c r="AS9" s="300"/>
      <c r="AT9" s="300"/>
      <c r="AU9" s="300"/>
      <c r="AV9" s="300"/>
      <c r="AW9" s="300"/>
      <c r="AX9" s="300"/>
      <c r="AY9" s="300"/>
      <c r="AZ9" s="300"/>
      <c r="BA9" s="300"/>
      <c r="BB9" s="300"/>
      <c r="BC9" s="300"/>
      <c r="BD9" s="300"/>
      <c r="BE9" s="300"/>
      <c r="BF9" s="300"/>
      <c r="BG9" s="299" t="s">
        <v>30</v>
      </c>
      <c r="BH9" s="300"/>
      <c r="BI9" s="300"/>
      <c r="BJ9" s="299" t="s">
        <v>30</v>
      </c>
      <c r="BK9" s="300"/>
      <c r="BL9" s="300"/>
      <c r="BM9" s="300"/>
      <c r="BN9" s="300"/>
      <c r="BO9" s="290">
        <v>7</v>
      </c>
    </row>
    <row r="10" spans="2:67">
      <c r="C10" s="728" t="s">
        <v>749</v>
      </c>
      <c r="D10" s="728" t="s">
        <v>750</v>
      </c>
      <c r="E10" s="728" t="s">
        <v>751</v>
      </c>
      <c r="F10" s="456" t="s">
        <v>755</v>
      </c>
      <c r="G10" s="728" t="s">
        <v>756</v>
      </c>
      <c r="H10" s="728" t="s">
        <v>752</v>
      </c>
      <c r="J10" s="563" t="s">
        <v>9</v>
      </c>
      <c r="K10" s="561" t="s">
        <v>9</v>
      </c>
      <c r="L10" s="290" t="s">
        <v>9</v>
      </c>
      <c r="M10" s="290">
        <f t="shared" si="2"/>
        <v>107</v>
      </c>
      <c r="N10" s="290" t="str">
        <f t="shared" si="0"/>
        <v>LA:107</v>
      </c>
      <c r="O10" s="290" t="s">
        <v>590</v>
      </c>
      <c r="AQ10" s="297" t="s">
        <v>9</v>
      </c>
      <c r="AR10" s="297">
        <f t="shared" si="1"/>
        <v>0</v>
      </c>
      <c r="AS10" s="300"/>
      <c r="AT10" s="300"/>
      <c r="AU10" s="300"/>
      <c r="AV10" s="299" t="s">
        <v>30</v>
      </c>
      <c r="AW10" s="300"/>
      <c r="AX10" s="300"/>
      <c r="AY10" s="300"/>
      <c r="AZ10" s="299" t="s">
        <v>30</v>
      </c>
      <c r="BA10" s="299" t="s">
        <v>30</v>
      </c>
      <c r="BB10" s="300"/>
      <c r="BC10" s="300"/>
      <c r="BD10" s="300"/>
      <c r="BE10" s="300"/>
      <c r="BF10" s="300"/>
      <c r="BG10" s="300"/>
      <c r="BH10" s="300"/>
      <c r="BI10" s="299" t="s">
        <v>30</v>
      </c>
      <c r="BJ10" s="298"/>
      <c r="BK10" s="300"/>
      <c r="BL10" s="300"/>
      <c r="BM10" s="300"/>
      <c r="BN10" s="300"/>
      <c r="BO10" s="290">
        <v>8</v>
      </c>
    </row>
    <row r="11" spans="2:67">
      <c r="B11" s="729" t="s">
        <v>70</v>
      </c>
      <c r="C11" s="730">
        <v>2.0640504737896483</v>
      </c>
      <c r="D11" s="730">
        <v>1.6623034781822805</v>
      </c>
      <c r="E11" s="730">
        <v>0.55626158160975148</v>
      </c>
      <c r="F11" s="730">
        <v>0.53526102328823477</v>
      </c>
      <c r="G11" s="730">
        <v>0.90022079719270676</v>
      </c>
      <c r="H11" s="730">
        <v>3.5173317818181511</v>
      </c>
      <c r="J11" s="563" t="s">
        <v>2</v>
      </c>
      <c r="K11" s="561" t="s">
        <v>2</v>
      </c>
      <c r="L11" s="290" t="s">
        <v>2</v>
      </c>
      <c r="M11" s="290">
        <f t="shared" si="2"/>
        <v>108</v>
      </c>
      <c r="N11" s="290" t="str">
        <f t="shared" si="0"/>
        <v>LA:108</v>
      </c>
      <c r="O11" s="290" t="s">
        <v>590</v>
      </c>
      <c r="AQ11" s="297" t="s">
        <v>2</v>
      </c>
      <c r="AR11" s="297">
        <f t="shared" si="1"/>
        <v>0</v>
      </c>
      <c r="AS11" s="300"/>
      <c r="AT11" s="300"/>
      <c r="AU11" s="300"/>
      <c r="AV11" s="300"/>
      <c r="AW11" s="300"/>
      <c r="AX11" s="300"/>
      <c r="AY11" s="300"/>
      <c r="AZ11" s="300"/>
      <c r="BA11" s="300"/>
      <c r="BB11" s="300"/>
      <c r="BC11" s="300"/>
      <c r="BD11" s="300"/>
      <c r="BE11" s="300"/>
      <c r="BF11" s="300"/>
      <c r="BG11" s="300"/>
      <c r="BH11" s="300"/>
      <c r="BI11" s="299" t="s">
        <v>30</v>
      </c>
      <c r="BJ11" s="298"/>
      <c r="BK11" s="300"/>
      <c r="BL11" s="300"/>
      <c r="BM11" s="300"/>
      <c r="BN11" s="300"/>
      <c r="BO11" s="290">
        <v>9</v>
      </c>
    </row>
    <row r="12" spans="2:67">
      <c r="B12" s="729" t="s">
        <v>753</v>
      </c>
      <c r="C12" s="730">
        <v>29.998080120554256</v>
      </c>
      <c r="D12" s="730">
        <v>15.991109101482149</v>
      </c>
      <c r="E12" s="730">
        <v>4.226687767996129</v>
      </c>
      <c r="F12" s="730">
        <v>1.478215459914539</v>
      </c>
      <c r="G12" s="730">
        <v>2.0800437531414246</v>
      </c>
      <c r="H12" s="730">
        <v>13.337071676430696</v>
      </c>
      <c r="J12" s="563" t="s">
        <v>10</v>
      </c>
      <c r="K12" s="561" t="s">
        <v>10</v>
      </c>
      <c r="L12" s="290" t="s">
        <v>10</v>
      </c>
      <c r="M12" s="290">
        <f t="shared" si="2"/>
        <v>109</v>
      </c>
      <c r="N12" s="290" t="str">
        <f t="shared" si="0"/>
        <v>LA:109</v>
      </c>
      <c r="O12" s="290" t="s">
        <v>590</v>
      </c>
      <c r="AQ12" s="297" t="s">
        <v>10</v>
      </c>
      <c r="AR12" s="297">
        <f t="shared" si="1"/>
        <v>0</v>
      </c>
      <c r="AS12" s="300"/>
      <c r="AT12" s="300"/>
      <c r="AU12" s="300"/>
      <c r="AV12" s="300"/>
      <c r="AW12" s="300"/>
      <c r="AX12" s="300"/>
      <c r="AY12" s="300"/>
      <c r="AZ12" s="300"/>
      <c r="BA12" s="300"/>
      <c r="BB12" s="300"/>
      <c r="BC12" s="300"/>
      <c r="BD12" s="299" t="s">
        <v>30</v>
      </c>
      <c r="BE12" s="300"/>
      <c r="BF12" s="300"/>
      <c r="BG12" s="300"/>
      <c r="BH12" s="300"/>
      <c r="BI12" s="300"/>
      <c r="BJ12" s="298"/>
      <c r="BK12" s="300"/>
      <c r="BL12" s="300"/>
      <c r="BM12" s="300"/>
      <c r="BN12" s="300"/>
      <c r="BO12" s="290">
        <v>10</v>
      </c>
    </row>
    <row r="13" spans="2:67">
      <c r="B13" s="729" t="s">
        <v>754</v>
      </c>
      <c r="C13" s="730">
        <v>0.24812564773825602</v>
      </c>
      <c r="D13" s="730">
        <v>0.36470281691534062</v>
      </c>
      <c r="E13" s="730">
        <v>0.24861805320871277</v>
      </c>
      <c r="F13" s="730">
        <v>0.29793136326913022</v>
      </c>
      <c r="G13" s="730">
        <v>0.29430631608501334</v>
      </c>
      <c r="H13" s="730">
        <v>0.43237870020502539</v>
      </c>
      <c r="J13" s="563" t="s">
        <v>11</v>
      </c>
      <c r="K13" s="561" t="s">
        <v>11</v>
      </c>
      <c r="L13" s="290" t="s">
        <v>11</v>
      </c>
      <c r="M13" s="290">
        <f t="shared" si="2"/>
        <v>110</v>
      </c>
      <c r="N13" s="290" t="str">
        <f t="shared" si="0"/>
        <v>LA:110</v>
      </c>
      <c r="O13" s="290" t="s">
        <v>590</v>
      </c>
      <c r="AQ13" s="297" t="s">
        <v>11</v>
      </c>
      <c r="AR13" s="297">
        <f t="shared" si="1"/>
        <v>0</v>
      </c>
      <c r="AS13" s="300"/>
      <c r="AT13" s="300"/>
      <c r="AU13" s="299" t="s">
        <v>30</v>
      </c>
      <c r="AV13" s="300"/>
      <c r="AW13" s="300"/>
      <c r="AX13" s="300"/>
      <c r="AY13" s="300"/>
      <c r="AZ13" s="300"/>
      <c r="BA13" s="300"/>
      <c r="BB13" s="300"/>
      <c r="BC13" s="300"/>
      <c r="BD13" s="300"/>
      <c r="BE13" s="300"/>
      <c r="BF13" s="300"/>
      <c r="BG13" s="300"/>
      <c r="BH13" s="299" t="s">
        <v>30</v>
      </c>
      <c r="BI13" s="300"/>
      <c r="BJ13" s="298"/>
      <c r="BK13" s="299" t="s">
        <v>30</v>
      </c>
      <c r="BL13" s="300"/>
      <c r="BM13" s="299" t="s">
        <v>30</v>
      </c>
      <c r="BN13" s="299" t="s">
        <v>30</v>
      </c>
      <c r="BO13" s="290">
        <v>11</v>
      </c>
    </row>
    <row r="14" spans="2:67">
      <c r="C14" s="728" t="s">
        <v>877</v>
      </c>
      <c r="D14" s="728" t="s">
        <v>878</v>
      </c>
      <c r="E14" s="728" t="s">
        <v>879</v>
      </c>
      <c r="F14" s="456" t="s">
        <v>880</v>
      </c>
      <c r="G14" s="728" t="s">
        <v>881</v>
      </c>
      <c r="H14" s="728" t="s">
        <v>654</v>
      </c>
      <c r="J14" s="563" t="s">
        <v>12</v>
      </c>
      <c r="K14" s="561" t="s">
        <v>12</v>
      </c>
      <c r="L14" s="290" t="s">
        <v>12</v>
      </c>
      <c r="M14" s="290">
        <f t="shared" si="2"/>
        <v>111</v>
      </c>
      <c r="N14" s="290" t="str">
        <f t="shared" si="0"/>
        <v>LA:111</v>
      </c>
      <c r="O14" s="290" t="s">
        <v>590</v>
      </c>
      <c r="AQ14" s="297" t="s">
        <v>12</v>
      </c>
      <c r="AR14" s="297">
        <f t="shared" si="1"/>
        <v>0</v>
      </c>
      <c r="AS14" s="300"/>
      <c r="AT14" s="299" t="s">
        <v>30</v>
      </c>
      <c r="AU14" s="300"/>
      <c r="AV14" s="300"/>
      <c r="AW14" s="300"/>
      <c r="AX14" s="300"/>
      <c r="AY14" s="300"/>
      <c r="AZ14" s="300"/>
      <c r="BA14" s="300"/>
      <c r="BB14" s="300"/>
      <c r="BC14" s="300"/>
      <c r="BD14" s="300"/>
      <c r="BE14" s="300"/>
      <c r="BF14" s="300"/>
      <c r="BG14" s="300"/>
      <c r="BH14" s="300"/>
      <c r="BI14" s="300"/>
      <c r="BJ14" s="298"/>
      <c r="BK14" s="300"/>
      <c r="BL14" s="300"/>
      <c r="BM14" s="300"/>
      <c r="BN14" s="300"/>
      <c r="BO14" s="290">
        <v>12</v>
      </c>
    </row>
    <row r="15" spans="2:67">
      <c r="B15" s="729" t="s">
        <v>70</v>
      </c>
      <c r="C15" s="730">
        <v>0.77082908357451108</v>
      </c>
      <c r="D15" s="730">
        <v>0.7282284162282312</v>
      </c>
      <c r="E15" s="730">
        <v>4.2600667346279535E-2</v>
      </c>
      <c r="F15" s="730">
        <v>2.1541131205823936</v>
      </c>
      <c r="G15" s="730">
        <v>4.5673156900655556</v>
      </c>
      <c r="H15" s="730">
        <v>-0.17877361539859116</v>
      </c>
      <c r="J15" s="563" t="s">
        <v>3</v>
      </c>
      <c r="K15" s="561" t="s">
        <v>3</v>
      </c>
      <c r="L15" s="290" t="s">
        <v>3</v>
      </c>
      <c r="M15" s="290">
        <f t="shared" si="2"/>
        <v>112</v>
      </c>
      <c r="N15" s="290" t="str">
        <f t="shared" si="0"/>
        <v>LA:112</v>
      </c>
      <c r="O15" s="290" t="s">
        <v>590</v>
      </c>
      <c r="AQ15" s="297" t="s">
        <v>3</v>
      </c>
      <c r="AR15" s="297">
        <f t="shared" si="1"/>
        <v>0</v>
      </c>
      <c r="AS15" s="300"/>
      <c r="AT15" s="299" t="s">
        <v>30</v>
      </c>
      <c r="AU15" s="300"/>
      <c r="AV15" s="300"/>
      <c r="AW15" s="300"/>
      <c r="AX15" s="300"/>
      <c r="AY15" s="300"/>
      <c r="AZ15" s="300"/>
      <c r="BA15" s="300"/>
      <c r="BB15" s="300"/>
      <c r="BC15" s="300"/>
      <c r="BD15" s="300"/>
      <c r="BE15" s="300"/>
      <c r="BF15" s="300"/>
      <c r="BG15" s="300"/>
      <c r="BH15" s="300"/>
      <c r="BI15" s="300"/>
      <c r="BJ15" s="298"/>
      <c r="BK15" s="300"/>
      <c r="BL15" s="300"/>
      <c r="BM15" s="300"/>
      <c r="BN15" s="300"/>
      <c r="BO15" s="290">
        <v>13</v>
      </c>
    </row>
    <row r="16" spans="2:67">
      <c r="B16" s="729" t="s">
        <v>753</v>
      </c>
      <c r="C16" s="730">
        <v>16.362397862450241</v>
      </c>
      <c r="D16" s="730">
        <v>18.212304030119547</v>
      </c>
      <c r="E16" s="730">
        <v>-1.8499061676693032</v>
      </c>
      <c r="F16" s="730">
        <v>181.40858933965239</v>
      </c>
      <c r="G16" s="730">
        <v>73.64449126912298</v>
      </c>
      <c r="H16" s="730">
        <v>95.808854949911719</v>
      </c>
      <c r="J16" s="563" t="s">
        <v>13</v>
      </c>
      <c r="K16" s="561" t="s">
        <v>13</v>
      </c>
      <c r="L16" s="290" t="s">
        <v>13</v>
      </c>
      <c r="M16" s="290">
        <f t="shared" si="2"/>
        <v>113</v>
      </c>
      <c r="N16" s="290" t="str">
        <f t="shared" si="0"/>
        <v>LA:113</v>
      </c>
      <c r="O16" s="290" t="s">
        <v>590</v>
      </c>
      <c r="AQ16" s="297" t="s">
        <v>13</v>
      </c>
      <c r="AR16" s="297">
        <f t="shared" si="1"/>
        <v>0</v>
      </c>
      <c r="AS16" s="300"/>
      <c r="AT16" s="300"/>
      <c r="AU16" s="300"/>
      <c r="AV16" s="300"/>
      <c r="AW16" s="300"/>
      <c r="AX16" s="300"/>
      <c r="AY16" s="300"/>
      <c r="AZ16" s="300"/>
      <c r="BA16" s="300"/>
      <c r="BB16" s="300"/>
      <c r="BC16" s="300"/>
      <c r="BD16" s="300"/>
      <c r="BE16" s="300"/>
      <c r="BF16" s="300"/>
      <c r="BG16" s="300"/>
      <c r="BH16" s="300"/>
      <c r="BI16" s="300"/>
      <c r="BJ16" s="298"/>
      <c r="BK16" s="300"/>
      <c r="BL16" s="300"/>
      <c r="BM16" s="300"/>
      <c r="BN16" s="300"/>
      <c r="BO16" s="290">
        <v>14</v>
      </c>
    </row>
    <row r="17" spans="2:67">
      <c r="B17" s="729" t="s">
        <v>754</v>
      </c>
      <c r="C17" s="730">
        <v>5.2698706862941189E-2</v>
      </c>
      <c r="D17" s="730">
        <v>3.5375690177795856E-2</v>
      </c>
      <c r="E17" s="730">
        <v>1.6707225172356819E-3</v>
      </c>
      <c r="F17" s="730">
        <v>2.2343119310193164E-2</v>
      </c>
      <c r="G17" s="730">
        <v>0.20013927385109337</v>
      </c>
      <c r="H17" s="730">
        <v>0.1223252330649804</v>
      </c>
      <c r="J17" s="563" t="s">
        <v>14</v>
      </c>
      <c r="K17" s="561" t="s">
        <v>14</v>
      </c>
      <c r="L17" s="290" t="s">
        <v>89</v>
      </c>
      <c r="M17" s="290">
        <f t="shared" si="2"/>
        <v>114</v>
      </c>
      <c r="N17" s="290" t="str">
        <f t="shared" si="0"/>
        <v>LA:114</v>
      </c>
      <c r="O17" s="290" t="s">
        <v>590</v>
      </c>
      <c r="AQ17" s="297" t="s">
        <v>89</v>
      </c>
      <c r="AR17" s="297">
        <f t="shared" si="1"/>
        <v>0</v>
      </c>
      <c r="AS17" s="300"/>
      <c r="AT17" s="300"/>
      <c r="AU17" s="300"/>
      <c r="AV17" s="300"/>
      <c r="AW17" s="300"/>
      <c r="AX17" s="300"/>
      <c r="AY17" s="300"/>
      <c r="AZ17" s="300"/>
      <c r="BA17" s="300"/>
      <c r="BB17" s="300"/>
      <c r="BC17" s="300"/>
      <c r="BD17" s="300"/>
      <c r="BE17" s="300"/>
      <c r="BF17" s="300"/>
      <c r="BG17" s="300"/>
      <c r="BH17" s="300"/>
      <c r="BI17" s="300"/>
      <c r="BJ17" s="298"/>
      <c r="BK17" s="300"/>
      <c r="BL17" s="300"/>
      <c r="BM17" s="300"/>
      <c r="BN17" s="300"/>
      <c r="BO17" s="290">
        <v>15</v>
      </c>
    </row>
    <row r="18" spans="2:67">
      <c r="J18" s="563" t="s">
        <v>7</v>
      </c>
      <c r="K18" s="561" t="s">
        <v>7</v>
      </c>
      <c r="L18" s="290" t="s">
        <v>14</v>
      </c>
      <c r="M18" s="290">
        <f t="shared" si="2"/>
        <v>115</v>
      </c>
      <c r="N18" s="290" t="str">
        <f t="shared" si="0"/>
        <v>LA:115</v>
      </c>
      <c r="O18" s="290" t="s">
        <v>590</v>
      </c>
      <c r="AQ18" s="297" t="s">
        <v>14</v>
      </c>
      <c r="AR18" s="297">
        <f t="shared" si="1"/>
        <v>0</v>
      </c>
      <c r="AS18" s="300"/>
      <c r="AT18" s="299" t="s">
        <v>30</v>
      </c>
      <c r="AU18" s="300"/>
      <c r="AV18" s="300"/>
      <c r="AW18" s="300"/>
      <c r="AX18" s="300"/>
      <c r="AY18" s="300"/>
      <c r="AZ18" s="300"/>
      <c r="BA18" s="300"/>
      <c r="BB18" s="300"/>
      <c r="BC18" s="299" t="s">
        <v>30</v>
      </c>
      <c r="BD18" s="300"/>
      <c r="BE18" s="300"/>
      <c r="BF18" s="300"/>
      <c r="BG18" s="299" t="s">
        <v>30</v>
      </c>
      <c r="BH18" s="300"/>
      <c r="BI18" s="300"/>
      <c r="BJ18" s="298"/>
      <c r="BK18" s="300"/>
      <c r="BL18" s="300"/>
      <c r="BM18" s="300"/>
      <c r="BN18" s="300"/>
      <c r="BO18" s="290">
        <v>16</v>
      </c>
    </row>
    <row r="19" spans="2:67">
      <c r="J19" s="563" t="s">
        <v>15</v>
      </c>
      <c r="K19" s="561" t="s">
        <v>15</v>
      </c>
      <c r="L19" s="290" t="s">
        <v>7</v>
      </c>
      <c r="M19" s="290">
        <f t="shared" si="2"/>
        <v>116</v>
      </c>
      <c r="N19" s="290" t="str">
        <f t="shared" si="0"/>
        <v>LA:116</v>
      </c>
      <c r="O19" s="290" t="s">
        <v>590</v>
      </c>
      <c r="AQ19" s="297" t="s">
        <v>7</v>
      </c>
      <c r="AR19" s="297">
        <f t="shared" si="1"/>
        <v>0</v>
      </c>
      <c r="AS19" s="299" t="s">
        <v>30</v>
      </c>
      <c r="AT19" s="300"/>
      <c r="AU19" s="299" t="s">
        <v>30</v>
      </c>
      <c r="AV19" s="300"/>
      <c r="AW19" s="300"/>
      <c r="AX19" s="300"/>
      <c r="AY19" s="300"/>
      <c r="AZ19" s="300"/>
      <c r="BA19" s="300"/>
      <c r="BB19" s="299" t="s">
        <v>30</v>
      </c>
      <c r="BC19" s="300"/>
      <c r="BD19" s="300"/>
      <c r="BE19" s="300"/>
      <c r="BF19" s="300"/>
      <c r="BG19" s="300"/>
      <c r="BH19" s="300"/>
      <c r="BI19" s="300"/>
      <c r="BJ19" s="298"/>
      <c r="BK19" s="299" t="s">
        <v>30</v>
      </c>
      <c r="BL19" s="300"/>
      <c r="BM19" s="299" t="s">
        <v>30</v>
      </c>
      <c r="BN19" s="299" t="s">
        <v>30</v>
      </c>
      <c r="BO19" s="290">
        <v>17</v>
      </c>
    </row>
    <row r="20" spans="2:67">
      <c r="B20" s="456" t="s">
        <v>587</v>
      </c>
      <c r="J20" s="563" t="s">
        <v>5</v>
      </c>
      <c r="K20" s="561" t="s">
        <v>5</v>
      </c>
      <c r="L20" s="290" t="s">
        <v>104</v>
      </c>
      <c r="M20" s="290">
        <f t="shared" si="2"/>
        <v>117</v>
      </c>
      <c r="N20" s="290" t="str">
        <f t="shared" si="0"/>
        <v>LA:117</v>
      </c>
      <c r="O20" s="290" t="s">
        <v>590</v>
      </c>
      <c r="AQ20" s="297" t="s">
        <v>104</v>
      </c>
      <c r="AR20" s="297">
        <f t="shared" si="1"/>
        <v>0</v>
      </c>
      <c r="AS20" s="301"/>
      <c r="AT20" s="302"/>
      <c r="AU20" s="301"/>
      <c r="AV20" s="302"/>
      <c r="AW20" s="302"/>
      <c r="AX20" s="302"/>
      <c r="AY20" s="299" t="s">
        <v>30</v>
      </c>
      <c r="AZ20" s="299" t="s">
        <v>30</v>
      </c>
      <c r="BA20" s="299" t="s">
        <v>30</v>
      </c>
      <c r="BB20" s="301"/>
      <c r="BC20" s="302"/>
      <c r="BD20" s="302"/>
      <c r="BE20" s="302"/>
      <c r="BF20" s="302"/>
      <c r="BG20" s="302"/>
      <c r="BH20" s="302"/>
      <c r="BI20" s="302"/>
      <c r="BJ20" s="303"/>
      <c r="BK20" s="301"/>
      <c r="BL20" s="302"/>
      <c r="BM20" s="301"/>
      <c r="BN20" s="301"/>
      <c r="BO20" s="290">
        <v>18</v>
      </c>
    </row>
    <row r="21" spans="2:67">
      <c r="D21" s="550">
        <v>2</v>
      </c>
      <c r="E21" s="550">
        <v>3</v>
      </c>
      <c r="F21" s="550">
        <v>4</v>
      </c>
      <c r="G21" s="550">
        <v>5</v>
      </c>
      <c r="H21" s="550">
        <v>6</v>
      </c>
      <c r="J21" s="563" t="s">
        <v>27</v>
      </c>
      <c r="K21" s="561" t="s">
        <v>27</v>
      </c>
      <c r="L21" s="290" t="s">
        <v>15</v>
      </c>
      <c r="M21" s="290">
        <f t="shared" si="2"/>
        <v>118</v>
      </c>
      <c r="N21" s="290" t="str">
        <f>CONCATENATE(O21,M21)</f>
        <v>LA:118</v>
      </c>
      <c r="O21" s="290" t="s">
        <v>590</v>
      </c>
      <c r="AQ21" s="297" t="s">
        <v>105</v>
      </c>
      <c r="AR21" s="297">
        <f t="shared" si="1"/>
        <v>0</v>
      </c>
      <c r="AS21" s="301"/>
      <c r="AT21" s="302"/>
      <c r="AU21" s="301"/>
      <c r="AV21" s="302"/>
      <c r="AW21" s="302"/>
      <c r="AX21" s="299" t="s">
        <v>30</v>
      </c>
      <c r="AY21" s="302"/>
      <c r="AZ21" s="302"/>
      <c r="BA21" s="302"/>
      <c r="BB21" s="301"/>
      <c r="BC21" s="302"/>
      <c r="BD21" s="302"/>
      <c r="BE21" s="302"/>
      <c r="BF21" s="302"/>
      <c r="BG21" s="302"/>
      <c r="BH21" s="302"/>
      <c r="BI21" s="302"/>
      <c r="BJ21" s="303"/>
      <c r="BK21" s="301"/>
      <c r="BL21" s="302"/>
      <c r="BM21" s="301"/>
      <c r="BN21" s="301"/>
      <c r="BO21" s="290">
        <v>19</v>
      </c>
    </row>
    <row r="22" spans="2:67">
      <c r="C22" s="718" t="s">
        <v>575</v>
      </c>
      <c r="D22" s="721" t="s">
        <v>1043</v>
      </c>
      <c r="E22" s="722" t="s">
        <v>1044</v>
      </c>
      <c r="F22" s="722" t="s">
        <v>1045</v>
      </c>
      <c r="G22" s="722" t="s">
        <v>1046</v>
      </c>
      <c r="H22" s="722" t="s">
        <v>1330</v>
      </c>
      <c r="J22" s="564" t="s">
        <v>16</v>
      </c>
      <c r="K22" s="561" t="s">
        <v>16</v>
      </c>
      <c r="L22" s="290" t="s">
        <v>5</v>
      </c>
      <c r="M22" s="290">
        <f t="shared" si="2"/>
        <v>119</v>
      </c>
      <c r="N22" s="290" t="str">
        <f>CONCATENATE(O22,M22)</f>
        <v>LA:119</v>
      </c>
      <c r="O22" s="290" t="s">
        <v>590</v>
      </c>
      <c r="AQ22" s="297" t="s">
        <v>15</v>
      </c>
      <c r="AR22" s="297">
        <f t="shared" si="1"/>
        <v>0</v>
      </c>
      <c r="AS22" s="300"/>
      <c r="AT22" s="300"/>
      <c r="AU22" s="299" t="s">
        <v>30</v>
      </c>
      <c r="AV22" s="300"/>
      <c r="AW22" s="299" t="s">
        <v>30</v>
      </c>
      <c r="AX22" s="300"/>
      <c r="AY22" s="300"/>
      <c r="AZ22" s="300"/>
      <c r="BA22" s="300"/>
      <c r="BB22" s="299" t="s">
        <v>30</v>
      </c>
      <c r="BC22" s="300"/>
      <c r="BD22" s="300"/>
      <c r="BE22" s="300"/>
      <c r="BF22" s="300"/>
      <c r="BG22" s="300"/>
      <c r="BH22" s="299" t="s">
        <v>30</v>
      </c>
      <c r="BI22" s="300"/>
      <c r="BJ22" s="298"/>
      <c r="BK22" s="300"/>
      <c r="BL22" s="300"/>
      <c r="BM22" s="299" t="s">
        <v>30</v>
      </c>
      <c r="BN22" s="299" t="s">
        <v>30</v>
      </c>
      <c r="BO22" s="290">
        <v>20</v>
      </c>
    </row>
    <row r="23" spans="2:67">
      <c r="C23" s="718" t="s">
        <v>576</v>
      </c>
      <c r="D23" s="719" t="e">
        <f>NA()</f>
        <v>#N/A</v>
      </c>
      <c r="E23" s="720" t="e">
        <f>NA()</f>
        <v>#N/A</v>
      </c>
      <c r="F23" s="720" t="e">
        <f>NA()</f>
        <v>#N/A</v>
      </c>
      <c r="G23" s="720" t="e">
        <f>NA()</f>
        <v>#N/A</v>
      </c>
      <c r="H23" s="723" t="e">
        <f>NA()</f>
        <v>#N/A</v>
      </c>
      <c r="K23" s="565" t="s">
        <v>71</v>
      </c>
      <c r="L23" s="290" t="s">
        <v>27</v>
      </c>
      <c r="M23" s="290">
        <f t="shared" si="2"/>
        <v>120</v>
      </c>
      <c r="N23" s="290" t="str">
        <f>CONCATENATE(O23,M23)</f>
        <v>LA:120</v>
      </c>
      <c r="O23" s="290" t="s">
        <v>590</v>
      </c>
      <c r="AQ23" s="297" t="s">
        <v>5</v>
      </c>
      <c r="AR23" s="297">
        <f t="shared" si="1"/>
        <v>0</v>
      </c>
      <c r="AS23" s="300"/>
      <c r="AT23" s="300"/>
      <c r="AU23" s="300"/>
      <c r="AV23" s="299" t="s">
        <v>30</v>
      </c>
      <c r="AW23" s="299" t="s">
        <v>30</v>
      </c>
      <c r="AX23" s="300"/>
      <c r="AY23" s="299" t="s">
        <v>30</v>
      </c>
      <c r="AZ23" s="300"/>
      <c r="BA23" s="300"/>
      <c r="BB23" s="300"/>
      <c r="BC23" s="300"/>
      <c r="BD23" s="300"/>
      <c r="BE23" s="300"/>
      <c r="BF23" s="300"/>
      <c r="BG23" s="300"/>
      <c r="BH23" s="300"/>
      <c r="BI23" s="300"/>
      <c r="BJ23" s="300"/>
      <c r="BK23" s="300"/>
      <c r="BL23" s="300"/>
      <c r="BM23" s="300"/>
      <c r="BN23" s="300"/>
      <c r="BO23" s="290">
        <v>21</v>
      </c>
    </row>
    <row r="24" spans="2:67">
      <c r="C24" s="718" t="s">
        <v>577</v>
      </c>
      <c r="D24" s="854" t="s">
        <v>924</v>
      </c>
      <c r="E24" s="854" t="s">
        <v>924</v>
      </c>
      <c r="F24" s="854" t="s">
        <v>924</v>
      </c>
      <c r="G24" s="854" t="s">
        <v>924</v>
      </c>
      <c r="H24" s="854" t="s">
        <v>927</v>
      </c>
      <c r="K24" s="566" t="s">
        <v>109</v>
      </c>
      <c r="L24" s="290" t="s">
        <v>16</v>
      </c>
      <c r="M24" s="290">
        <f t="shared" si="2"/>
        <v>121</v>
      </c>
      <c r="N24" s="290" t="str">
        <f>CONCATENATE(O24,M24)</f>
        <v>LA:121</v>
      </c>
      <c r="O24" s="290" t="s">
        <v>590</v>
      </c>
      <c r="AQ24" s="297" t="s">
        <v>27</v>
      </c>
      <c r="AR24" s="297">
        <f t="shared" si="1"/>
        <v>0</v>
      </c>
      <c r="AS24" s="299" t="s">
        <v>30</v>
      </c>
      <c r="AT24" s="304"/>
      <c r="AU24" s="299" t="s">
        <v>30</v>
      </c>
      <c r="AV24" s="304"/>
      <c r="AW24" s="304"/>
      <c r="AX24" s="304"/>
      <c r="AY24" s="304"/>
      <c r="AZ24" s="304"/>
      <c r="BA24" s="304"/>
      <c r="BB24" s="304"/>
      <c r="BC24" s="304"/>
      <c r="BD24" s="304"/>
      <c r="BE24" s="304"/>
      <c r="BF24" s="300"/>
      <c r="BG24" s="304"/>
      <c r="BH24" s="299" t="s">
        <v>30</v>
      </c>
      <c r="BI24" s="300"/>
      <c r="BJ24" s="300"/>
      <c r="BK24" s="304"/>
      <c r="BL24" s="304"/>
      <c r="BM24" s="304"/>
      <c r="BN24" s="299" t="s">
        <v>30</v>
      </c>
      <c r="BO24" s="290">
        <v>22</v>
      </c>
    </row>
    <row r="25" spans="2:67">
      <c r="C25" s="718" t="s">
        <v>578</v>
      </c>
      <c r="D25" s="854" t="s">
        <v>585</v>
      </c>
      <c r="E25" s="854" t="s">
        <v>582</v>
      </c>
      <c r="F25" s="854" t="s">
        <v>583</v>
      </c>
      <c r="G25" s="854" t="s">
        <v>584</v>
      </c>
      <c r="H25" s="854" t="s">
        <v>585</v>
      </c>
      <c r="AQ25" s="297" t="s">
        <v>16</v>
      </c>
      <c r="AR25" s="297">
        <f t="shared" si="1"/>
        <v>0</v>
      </c>
      <c r="AS25" s="305"/>
      <c r="AT25" s="304"/>
      <c r="AU25" s="299" t="s">
        <v>30</v>
      </c>
      <c r="AV25" s="304"/>
      <c r="AW25" s="304"/>
      <c r="AX25" s="304"/>
      <c r="AY25" s="304"/>
      <c r="AZ25" s="304"/>
      <c r="BA25" s="304"/>
      <c r="BB25" s="304"/>
      <c r="BC25" s="304"/>
      <c r="BD25" s="304"/>
      <c r="BE25" s="304"/>
      <c r="BF25" s="304"/>
      <c r="BG25" s="304"/>
      <c r="BH25" s="299" t="s">
        <v>30</v>
      </c>
      <c r="BI25" s="304"/>
      <c r="BJ25" s="304"/>
      <c r="BK25" s="304"/>
      <c r="BL25" s="304"/>
      <c r="BM25" s="299" t="s">
        <v>30</v>
      </c>
      <c r="BN25" s="304"/>
      <c r="BO25" s="290">
        <v>23</v>
      </c>
    </row>
    <row r="27" spans="2:67">
      <c r="C27" s="550">
        <v>1</v>
      </c>
      <c r="D27" s="717" t="str">
        <f t="shared" ref="D27:H28" si="3">VLOOKUP(CONCATENATE($C$3,$C27),$C$22:$H$25,D$21,FALSE)</f>
        <v>2019/20</v>
      </c>
      <c r="E27" s="551" t="str">
        <f t="shared" si="3"/>
        <v>2020/21</v>
      </c>
      <c r="F27" s="551" t="str">
        <f t="shared" si="3"/>
        <v>2021/22</v>
      </c>
      <c r="G27" s="551" t="str">
        <f t="shared" si="3"/>
        <v>2022/23</v>
      </c>
      <c r="H27" s="551" t="str">
        <f t="shared" si="3"/>
        <v>2023/24</v>
      </c>
    </row>
    <row r="28" spans="2:67">
      <c r="C28" s="550">
        <v>2</v>
      </c>
      <c r="D28" s="717" t="e">
        <f t="shared" si="3"/>
        <v>#N/A</v>
      </c>
      <c r="E28" s="551" t="e">
        <f t="shared" si="3"/>
        <v>#N/A</v>
      </c>
      <c r="F28" s="551" t="e">
        <f t="shared" si="3"/>
        <v>#N/A</v>
      </c>
      <c r="G28" s="551" t="e">
        <f t="shared" si="3"/>
        <v>#N/A</v>
      </c>
      <c r="H28" s="551" t="e">
        <f>VLOOKUP(CONCATENATE($C$3,$C28),$C$22:$H$25,H$21,FALSE)</f>
        <v>#N/A</v>
      </c>
    </row>
    <row r="29" spans="2:67">
      <c r="B29" s="290" t="s">
        <v>743</v>
      </c>
      <c r="C29" s="290" t="s">
        <v>758</v>
      </c>
      <c r="D29" s="799">
        <v>43160</v>
      </c>
      <c r="E29" s="799">
        <v>43525</v>
      </c>
      <c r="F29" s="799">
        <v>43891</v>
      </c>
      <c r="G29" s="799">
        <v>44256</v>
      </c>
      <c r="H29" s="799">
        <v>44621</v>
      </c>
      <c r="J29" s="290" t="s">
        <v>549</v>
      </c>
    </row>
    <row r="30" spans="2:67">
      <c r="B30" s="290" t="s">
        <v>1360</v>
      </c>
      <c r="D30" s="721" t="s">
        <v>1042</v>
      </c>
      <c r="E30" s="722" t="s">
        <v>1043</v>
      </c>
      <c r="F30" s="722" t="s">
        <v>1044</v>
      </c>
      <c r="G30" s="722" t="s">
        <v>1045</v>
      </c>
      <c r="H30" s="722" t="s">
        <v>1046</v>
      </c>
    </row>
    <row r="31" spans="2:67">
      <c r="J31" s="290" t="s">
        <v>550</v>
      </c>
    </row>
    <row r="32" spans="2:67">
      <c r="B32" s="290" t="s">
        <v>632</v>
      </c>
      <c r="C32" s="456" t="s">
        <v>626</v>
      </c>
      <c r="J32" s="290" t="s">
        <v>8</v>
      </c>
    </row>
    <row r="33" spans="2:35">
      <c r="B33" s="545" t="s">
        <v>627</v>
      </c>
      <c r="C33" s="290" t="s">
        <v>574</v>
      </c>
      <c r="D33" s="551" t="str">
        <f>D$22</f>
        <v>2019/20</v>
      </c>
      <c r="E33" s="551" t="str">
        <f>E$22</f>
        <v>2020/21</v>
      </c>
      <c r="F33" s="551" t="str">
        <f>F$22</f>
        <v>2021/22</v>
      </c>
      <c r="G33" s="551" t="str">
        <f>G$22</f>
        <v>2022/23</v>
      </c>
      <c r="H33" s="551" t="str">
        <f>H$22</f>
        <v>2023/24</v>
      </c>
      <c r="J33" s="290" t="s">
        <v>551</v>
      </c>
    </row>
    <row r="34" spans="2:35">
      <c r="B34" s="290" t="str">
        <f t="shared" ref="B34:B55" si="4">CONCATENATE($B$32,$C$33,C34)</f>
        <v>0-17Annual</v>
      </c>
      <c r="C34" s="571"/>
      <c r="D34" s="228" t="s">
        <v>885</v>
      </c>
      <c r="E34" s="228" t="s">
        <v>895</v>
      </c>
      <c r="F34" s="228" t="s">
        <v>925</v>
      </c>
      <c r="G34" s="228" t="s">
        <v>926</v>
      </c>
      <c r="H34" s="228" t="s">
        <v>1333</v>
      </c>
      <c r="J34" s="290" t="s">
        <v>6</v>
      </c>
      <c r="AI34" s="549"/>
    </row>
    <row r="35" spans="2:35">
      <c r="B35" s="290" t="str">
        <f t="shared" si="4"/>
        <v>0-17AnnualBracknell Forest</v>
      </c>
      <c r="C35" s="541" t="s">
        <v>0</v>
      </c>
      <c r="D35" s="570">
        <v>27298</v>
      </c>
      <c r="E35" s="570">
        <v>27594</v>
      </c>
      <c r="F35" s="570">
        <v>27823</v>
      </c>
      <c r="G35" s="570">
        <v>28330</v>
      </c>
      <c r="H35" s="570">
        <v>28647</v>
      </c>
      <c r="I35" s="549"/>
      <c r="J35" s="290" t="s">
        <v>552</v>
      </c>
      <c r="AI35" s="549"/>
    </row>
    <row r="36" spans="2:35">
      <c r="B36" s="290" t="str">
        <f t="shared" si="4"/>
        <v>0-17AnnualBrighton &amp; Hove</v>
      </c>
      <c r="C36" s="542" t="s">
        <v>28</v>
      </c>
      <c r="D36" s="570">
        <v>48402</v>
      </c>
      <c r="E36" s="570">
        <v>47964</v>
      </c>
      <c r="F36" s="570">
        <v>47125</v>
      </c>
      <c r="G36" s="570">
        <v>47140</v>
      </c>
      <c r="H36" s="570">
        <v>46666</v>
      </c>
      <c r="I36" s="549"/>
      <c r="J36" s="290" t="s">
        <v>9</v>
      </c>
      <c r="AI36" s="549"/>
    </row>
    <row r="37" spans="2:35">
      <c r="B37" s="290" t="str">
        <f t="shared" si="4"/>
        <v>0-17AnnualBuckinghamshire</v>
      </c>
      <c r="C37" s="541" t="s">
        <v>8</v>
      </c>
      <c r="D37" s="570">
        <v>122137</v>
      </c>
      <c r="E37" s="570">
        <v>122495</v>
      </c>
      <c r="F37" s="570">
        <v>123510</v>
      </c>
      <c r="G37" s="570">
        <v>125915</v>
      </c>
      <c r="H37" s="570">
        <v>127616</v>
      </c>
      <c r="I37" s="549"/>
      <c r="J37" s="290" t="s">
        <v>2</v>
      </c>
      <c r="AI37" s="549"/>
    </row>
    <row r="38" spans="2:35">
      <c r="B38" s="290" t="str">
        <f t="shared" si="4"/>
        <v>0-17AnnualEast Sussex</v>
      </c>
      <c r="C38" s="541" t="s">
        <v>4</v>
      </c>
      <c r="D38" s="570">
        <v>102921</v>
      </c>
      <c r="E38" s="570">
        <v>102419</v>
      </c>
      <c r="F38" s="570">
        <v>101959</v>
      </c>
      <c r="G38" s="570">
        <v>102825</v>
      </c>
      <c r="H38" s="570">
        <v>103606</v>
      </c>
      <c r="I38" s="549"/>
      <c r="J38" s="290" t="s">
        <v>553</v>
      </c>
      <c r="AI38" s="549"/>
    </row>
    <row r="39" spans="2:35">
      <c r="B39" s="290" t="str">
        <f t="shared" si="4"/>
        <v>0-17AnnualHampshire</v>
      </c>
      <c r="C39" s="542" t="s">
        <v>6</v>
      </c>
      <c r="D39" s="570">
        <v>279340</v>
      </c>
      <c r="E39" s="570">
        <v>279476</v>
      </c>
      <c r="F39" s="570">
        <v>280929</v>
      </c>
      <c r="G39" s="570">
        <v>283487</v>
      </c>
      <c r="H39" s="570">
        <v>285610</v>
      </c>
      <c r="I39" s="549"/>
      <c r="J39" s="290" t="s">
        <v>11</v>
      </c>
      <c r="AI39" s="549"/>
    </row>
    <row r="40" spans="2:35">
      <c r="B40" s="290" t="str">
        <f t="shared" si="4"/>
        <v>0-17AnnualIsle of Wight</v>
      </c>
      <c r="C40" s="541" t="s">
        <v>1</v>
      </c>
      <c r="D40" s="570">
        <v>24301</v>
      </c>
      <c r="E40" s="570">
        <v>23892</v>
      </c>
      <c r="F40" s="570">
        <v>23636</v>
      </c>
      <c r="G40" s="570">
        <v>23534</v>
      </c>
      <c r="H40" s="570">
        <v>23438</v>
      </c>
      <c r="I40" s="549"/>
      <c r="J40" s="290" t="s">
        <v>12</v>
      </c>
      <c r="AI40" s="549"/>
    </row>
    <row r="41" spans="2:35">
      <c r="B41" s="290" t="str">
        <f t="shared" si="4"/>
        <v>0-17AnnualKent</v>
      </c>
      <c r="C41" s="541" t="s">
        <v>9</v>
      </c>
      <c r="D41" s="570">
        <v>333343</v>
      </c>
      <c r="E41" s="570">
        <v>334424</v>
      </c>
      <c r="F41" s="570">
        <v>336091</v>
      </c>
      <c r="G41" s="570">
        <v>342858</v>
      </c>
      <c r="H41" s="570">
        <v>348332</v>
      </c>
      <c r="I41" s="549"/>
      <c r="J41" s="290" t="s">
        <v>3</v>
      </c>
      <c r="AI41" s="549"/>
    </row>
    <row r="42" spans="2:35">
      <c r="B42" s="290" t="str">
        <f t="shared" si="4"/>
        <v>0-17AnnualMedway</v>
      </c>
      <c r="C42" s="541" t="s">
        <v>2</v>
      </c>
      <c r="D42" s="570">
        <v>63672</v>
      </c>
      <c r="E42" s="570">
        <v>63695</v>
      </c>
      <c r="F42" s="570">
        <v>63817</v>
      </c>
      <c r="G42" s="570">
        <v>64955</v>
      </c>
      <c r="H42" s="570">
        <v>66687</v>
      </c>
      <c r="I42" s="549"/>
      <c r="J42" s="290" t="s">
        <v>13</v>
      </c>
      <c r="AI42" s="549"/>
    </row>
    <row r="43" spans="2:35">
      <c r="B43" s="290" t="str">
        <f t="shared" si="4"/>
        <v>0-17AnnualMilton Keynes</v>
      </c>
      <c r="C43" s="541" t="s">
        <v>10</v>
      </c>
      <c r="D43" s="570">
        <v>69037</v>
      </c>
      <c r="E43" s="570">
        <v>69305</v>
      </c>
      <c r="F43" s="570">
        <v>69635</v>
      </c>
      <c r="G43" s="570">
        <v>70951</v>
      </c>
      <c r="H43" s="570">
        <v>72797</v>
      </c>
      <c r="I43" s="549"/>
      <c r="J43" s="290" t="s">
        <v>14</v>
      </c>
      <c r="AI43" s="549"/>
    </row>
    <row r="44" spans="2:35">
      <c r="B44" s="290" t="str">
        <f t="shared" si="4"/>
        <v>0-17AnnualOxfordshire</v>
      </c>
      <c r="C44" s="541" t="s">
        <v>11</v>
      </c>
      <c r="D44" s="570">
        <v>144429</v>
      </c>
      <c r="E44" s="570">
        <v>145219</v>
      </c>
      <c r="F44" s="570">
        <v>146343</v>
      </c>
      <c r="G44" s="570">
        <v>149538</v>
      </c>
      <c r="H44" s="570">
        <v>152505</v>
      </c>
      <c r="I44" s="549"/>
      <c r="J44" s="290" t="s">
        <v>7</v>
      </c>
      <c r="AI44" s="549"/>
    </row>
    <row r="45" spans="2:35">
      <c r="B45" s="290" t="str">
        <f t="shared" si="4"/>
        <v>0-17AnnualPortsmouth</v>
      </c>
      <c r="C45" s="541" t="s">
        <v>12</v>
      </c>
      <c r="D45" s="570">
        <v>42033</v>
      </c>
      <c r="E45" s="570">
        <v>41865</v>
      </c>
      <c r="F45" s="570">
        <v>41447</v>
      </c>
      <c r="G45" s="570">
        <v>41871</v>
      </c>
      <c r="H45" s="570">
        <v>42307</v>
      </c>
      <c r="I45" s="549"/>
      <c r="J45" s="290" t="s">
        <v>554</v>
      </c>
      <c r="AI45" s="549"/>
    </row>
    <row r="46" spans="2:35">
      <c r="B46" s="290" t="str">
        <f t="shared" si="4"/>
        <v>0-17AnnualReading</v>
      </c>
      <c r="C46" s="541" t="s">
        <v>3</v>
      </c>
      <c r="D46" s="570">
        <v>37030</v>
      </c>
      <c r="E46" s="570">
        <v>36971</v>
      </c>
      <c r="F46" s="570">
        <v>36334</v>
      </c>
      <c r="G46" s="570">
        <v>37260</v>
      </c>
      <c r="H46" s="570">
        <v>37929</v>
      </c>
      <c r="I46" s="549"/>
      <c r="J46" s="290" t="s">
        <v>555</v>
      </c>
      <c r="AI46" s="549"/>
    </row>
    <row r="47" spans="2:35">
      <c r="B47" s="290" t="str">
        <f t="shared" si="4"/>
        <v>0-17AnnualSlough</v>
      </c>
      <c r="C47" s="541" t="s">
        <v>13</v>
      </c>
      <c r="D47" s="570">
        <v>43479</v>
      </c>
      <c r="E47" s="570">
        <v>43900</v>
      </c>
      <c r="F47" s="570">
        <v>43737</v>
      </c>
      <c r="G47" s="570">
        <v>44250</v>
      </c>
      <c r="H47" s="570">
        <v>44849</v>
      </c>
      <c r="I47" s="549"/>
      <c r="J47" s="290" t="s">
        <v>556</v>
      </c>
      <c r="AI47" s="549"/>
    </row>
    <row r="48" spans="2:35">
      <c r="B48" s="290" t="str">
        <f t="shared" si="4"/>
        <v>0-17AnnualSouthampton</v>
      </c>
      <c r="C48" s="541" t="s">
        <v>14</v>
      </c>
      <c r="D48" s="570">
        <v>49588</v>
      </c>
      <c r="E48" s="570">
        <v>49737</v>
      </c>
      <c r="F48" s="570">
        <v>49388</v>
      </c>
      <c r="G48" s="570">
        <v>49871</v>
      </c>
      <c r="H48" s="570">
        <v>50373</v>
      </c>
      <c r="I48" s="549"/>
      <c r="J48" s="290" t="s">
        <v>16</v>
      </c>
      <c r="AI48" s="549"/>
    </row>
    <row r="49" spans="2:35">
      <c r="B49" s="290" t="str">
        <f t="shared" si="4"/>
        <v>0-17AnnualSurrey</v>
      </c>
      <c r="C49" s="541" t="s">
        <v>7</v>
      </c>
      <c r="D49" s="570">
        <v>258045</v>
      </c>
      <c r="E49" s="570">
        <v>258519</v>
      </c>
      <c r="F49" s="570">
        <v>259488</v>
      </c>
      <c r="G49" s="570">
        <v>263534</v>
      </c>
      <c r="H49" s="570">
        <v>265672</v>
      </c>
      <c r="I49" s="549"/>
      <c r="J49" s="290" t="s">
        <v>460</v>
      </c>
      <c r="AI49" s="549"/>
    </row>
    <row r="50" spans="2:35">
      <c r="B50" s="290" t="str">
        <f t="shared" si="4"/>
        <v>0-17AnnualWest Berkshire</v>
      </c>
      <c r="C50" s="541" t="s">
        <v>15</v>
      </c>
      <c r="D50" s="570">
        <v>35061</v>
      </c>
      <c r="E50" s="570">
        <v>34824</v>
      </c>
      <c r="F50" s="570">
        <v>34595</v>
      </c>
      <c r="G50" s="570">
        <v>34912</v>
      </c>
      <c r="H50" s="570">
        <v>35325</v>
      </c>
      <c r="I50" s="549"/>
      <c r="J50" s="290" t="s">
        <v>109</v>
      </c>
      <c r="AI50" s="549"/>
    </row>
    <row r="51" spans="2:35">
      <c r="B51" s="290" t="str">
        <f t="shared" si="4"/>
        <v>0-17AnnualWest Sussex</v>
      </c>
      <c r="C51" s="541" t="s">
        <v>5</v>
      </c>
      <c r="D51" s="570">
        <v>173551</v>
      </c>
      <c r="E51" s="570">
        <v>173873</v>
      </c>
      <c r="F51" s="570">
        <v>174834</v>
      </c>
      <c r="G51" s="570">
        <v>177349</v>
      </c>
      <c r="H51" s="570">
        <v>179008</v>
      </c>
      <c r="I51" s="549"/>
      <c r="AI51" s="549"/>
    </row>
    <row r="52" spans="2:35">
      <c r="B52" s="290" t="str">
        <f t="shared" si="4"/>
        <v>0-17AnnualWindsor &amp; Maidenhead</v>
      </c>
      <c r="C52" s="542" t="s">
        <v>27</v>
      </c>
      <c r="D52" s="570">
        <v>34274</v>
      </c>
      <c r="E52" s="570">
        <v>34083</v>
      </c>
      <c r="F52" s="570">
        <v>33876</v>
      </c>
      <c r="G52" s="570">
        <v>34113</v>
      </c>
      <c r="H52" s="570">
        <v>34281</v>
      </c>
      <c r="I52" s="549"/>
      <c r="AI52" s="549"/>
    </row>
    <row r="53" spans="2:35">
      <c r="B53" s="290" t="str">
        <f t="shared" si="4"/>
        <v>0-17AnnualWokingham</v>
      </c>
      <c r="C53" s="541" t="s">
        <v>16</v>
      </c>
      <c r="D53" s="570">
        <v>39772</v>
      </c>
      <c r="E53" s="570">
        <v>40476</v>
      </c>
      <c r="F53" s="570">
        <v>41129</v>
      </c>
      <c r="G53" s="570">
        <v>42520</v>
      </c>
      <c r="H53" s="570">
        <v>43314</v>
      </c>
      <c r="I53" s="549"/>
      <c r="AI53" s="549"/>
    </row>
    <row r="54" spans="2:35">
      <c r="B54" s="290" t="str">
        <f t="shared" si="4"/>
        <v>0-17AnnualSouth East</v>
      </c>
      <c r="C54" s="543" t="s">
        <v>71</v>
      </c>
      <c r="D54" s="570">
        <v>1927713</v>
      </c>
      <c r="E54" s="570">
        <v>1930731</v>
      </c>
      <c r="F54" s="570">
        <v>1935696</v>
      </c>
      <c r="G54" s="570">
        <v>1965213</v>
      </c>
      <c r="H54" s="570">
        <v>1988962</v>
      </c>
      <c r="I54" s="549"/>
      <c r="AI54" s="549"/>
    </row>
    <row r="55" spans="2:35">
      <c r="B55" s="290" t="str">
        <f t="shared" si="4"/>
        <v>0-17AnnualEngland</v>
      </c>
      <c r="C55" s="544" t="s">
        <v>109</v>
      </c>
      <c r="D55" s="570">
        <v>11790492</v>
      </c>
      <c r="E55" s="570">
        <v>11787794</v>
      </c>
      <c r="F55" s="570">
        <v>11762878</v>
      </c>
      <c r="G55" s="570">
        <v>11885789</v>
      </c>
      <c r="H55" s="570">
        <v>11998646</v>
      </c>
      <c r="I55" s="549"/>
    </row>
    <row r="57" spans="2:35">
      <c r="B57" s="290" t="s">
        <v>632</v>
      </c>
      <c r="C57" s="456" t="s">
        <v>626</v>
      </c>
      <c r="D57" s="551" t="str">
        <f>D$24</f>
        <v>2022-23</v>
      </c>
      <c r="E57" s="551" t="str">
        <f>E$24</f>
        <v>2022-23</v>
      </c>
      <c r="F57" s="551" t="str">
        <f>F$24</f>
        <v>2022-23</v>
      </c>
      <c r="G57" s="551" t="str">
        <f>G$24</f>
        <v>2022-23</v>
      </c>
      <c r="H57" s="551" t="str">
        <f>H$24</f>
        <v>2023-24</v>
      </c>
    </row>
    <row r="58" spans="2:35">
      <c r="B58" s="545" t="s">
        <v>627</v>
      </c>
      <c r="C58" s="290" t="s">
        <v>580</v>
      </c>
      <c r="D58" s="551" t="str">
        <f>D$25</f>
        <v>Q1</v>
      </c>
      <c r="E58" s="551" t="str">
        <f>E$25</f>
        <v>Q2</v>
      </c>
      <c r="F58" s="551" t="str">
        <f>F$25</f>
        <v>Q3</v>
      </c>
      <c r="G58" s="551" t="str">
        <f>G$25</f>
        <v>Q4</v>
      </c>
      <c r="H58" s="551" t="str">
        <f>H$25</f>
        <v>Q1</v>
      </c>
    </row>
    <row r="59" spans="2:35">
      <c r="B59" s="290" t="str">
        <f t="shared" ref="B59:B80" si="5">CONCATENATE($B$32,$C$58,C59)</f>
        <v>0-17Quarterly</v>
      </c>
      <c r="C59" s="571"/>
      <c r="D59" s="228" t="s">
        <v>926</v>
      </c>
      <c r="E59" s="228" t="s">
        <v>926</v>
      </c>
      <c r="F59" s="228" t="s">
        <v>926</v>
      </c>
      <c r="G59" s="228" t="s">
        <v>926</v>
      </c>
      <c r="H59" s="228" t="s">
        <v>1333</v>
      </c>
    </row>
    <row r="60" spans="2:35">
      <c r="B60" s="290" t="str">
        <f t="shared" si="5"/>
        <v>0-17QuarterlyBracknell Forest</v>
      </c>
      <c r="C60" s="541" t="s">
        <v>0</v>
      </c>
      <c r="D60" s="570"/>
      <c r="E60" s="570"/>
      <c r="F60" s="570"/>
      <c r="G60" s="570"/>
      <c r="H60" s="570"/>
    </row>
    <row r="61" spans="2:35">
      <c r="B61" s="290" t="str">
        <f t="shared" si="5"/>
        <v>0-17QuarterlyBrighton &amp; Hove</v>
      </c>
      <c r="C61" s="542" t="s">
        <v>28</v>
      </c>
      <c r="D61" s="570"/>
      <c r="E61" s="570"/>
      <c r="F61" s="570"/>
      <c r="G61" s="570"/>
      <c r="H61" s="570"/>
    </row>
    <row r="62" spans="2:35">
      <c r="B62" s="290" t="str">
        <f t="shared" si="5"/>
        <v>0-17QuarterlyBuckinghamshire</v>
      </c>
      <c r="C62" s="541" t="s">
        <v>8</v>
      </c>
      <c r="D62" s="570"/>
      <c r="E62" s="570"/>
      <c r="F62" s="570"/>
      <c r="G62" s="570"/>
      <c r="H62" s="570"/>
    </row>
    <row r="63" spans="2:35">
      <c r="B63" s="290" t="str">
        <f t="shared" si="5"/>
        <v>0-17QuarterlyEast Sussex</v>
      </c>
      <c r="C63" s="541" t="s">
        <v>4</v>
      </c>
      <c r="D63" s="570"/>
      <c r="E63" s="570"/>
      <c r="F63" s="570"/>
      <c r="G63" s="570"/>
      <c r="H63" s="570"/>
    </row>
    <row r="64" spans="2:35">
      <c r="B64" s="290" t="str">
        <f t="shared" si="5"/>
        <v>0-17QuarterlyHampshire</v>
      </c>
      <c r="C64" s="542" t="s">
        <v>6</v>
      </c>
      <c r="D64" s="570"/>
      <c r="E64" s="570"/>
      <c r="F64" s="570"/>
      <c r="G64" s="570"/>
      <c r="H64" s="570"/>
    </row>
    <row r="65" spans="2:8">
      <c r="B65" s="290" t="str">
        <f t="shared" si="5"/>
        <v>0-17QuarterlyIsle of Wight</v>
      </c>
      <c r="C65" s="541" t="s">
        <v>1</v>
      </c>
      <c r="D65" s="570"/>
      <c r="E65" s="570"/>
      <c r="F65" s="570"/>
      <c r="G65" s="570"/>
      <c r="H65" s="570"/>
    </row>
    <row r="66" spans="2:8">
      <c r="B66" s="290" t="str">
        <f t="shared" si="5"/>
        <v>0-17QuarterlyKent</v>
      </c>
      <c r="C66" s="541" t="s">
        <v>9</v>
      </c>
      <c r="D66" s="570"/>
      <c r="E66" s="570"/>
      <c r="F66" s="570"/>
      <c r="G66" s="570"/>
      <c r="H66" s="570"/>
    </row>
    <row r="67" spans="2:8">
      <c r="B67" s="290" t="str">
        <f t="shared" si="5"/>
        <v>0-17QuarterlyMedway</v>
      </c>
      <c r="C67" s="541" t="s">
        <v>2</v>
      </c>
      <c r="D67" s="570"/>
      <c r="E67" s="570"/>
      <c r="F67" s="570"/>
      <c r="G67" s="570"/>
      <c r="H67" s="570"/>
    </row>
    <row r="68" spans="2:8">
      <c r="B68" s="290" t="str">
        <f t="shared" si="5"/>
        <v>0-17QuarterlyMilton Keynes</v>
      </c>
      <c r="C68" s="541" t="s">
        <v>10</v>
      </c>
      <c r="D68" s="570"/>
      <c r="E68" s="570"/>
      <c r="F68" s="570"/>
      <c r="G68" s="570"/>
      <c r="H68" s="570"/>
    </row>
    <row r="69" spans="2:8">
      <c r="B69" s="290" t="str">
        <f t="shared" si="5"/>
        <v>0-17QuarterlyOxfordshire</v>
      </c>
      <c r="C69" s="541" t="s">
        <v>11</v>
      </c>
      <c r="D69" s="570"/>
      <c r="E69" s="570"/>
      <c r="F69" s="570"/>
      <c r="G69" s="570"/>
      <c r="H69" s="570"/>
    </row>
    <row r="70" spans="2:8">
      <c r="B70" s="290" t="str">
        <f t="shared" si="5"/>
        <v>0-17QuarterlyPortsmouth</v>
      </c>
      <c r="C70" s="541" t="s">
        <v>12</v>
      </c>
      <c r="D70" s="570"/>
      <c r="E70" s="570"/>
      <c r="F70" s="570"/>
      <c r="G70" s="570"/>
      <c r="H70" s="570"/>
    </row>
    <row r="71" spans="2:8">
      <c r="B71" s="290" t="str">
        <f t="shared" si="5"/>
        <v>0-17QuarterlyReading</v>
      </c>
      <c r="C71" s="541" t="s">
        <v>3</v>
      </c>
      <c r="D71" s="570"/>
      <c r="E71" s="570"/>
      <c r="F71" s="570"/>
      <c r="G71" s="570"/>
      <c r="H71" s="570"/>
    </row>
    <row r="72" spans="2:8">
      <c r="B72" s="290" t="str">
        <f t="shared" si="5"/>
        <v>0-17QuarterlySlough</v>
      </c>
      <c r="C72" s="541" t="s">
        <v>13</v>
      </c>
      <c r="D72" s="570"/>
      <c r="E72" s="570"/>
      <c r="F72" s="570"/>
      <c r="G72" s="570"/>
      <c r="H72" s="570"/>
    </row>
    <row r="73" spans="2:8">
      <c r="B73" s="290" t="str">
        <f t="shared" si="5"/>
        <v>0-17QuarterlySouthampton</v>
      </c>
      <c r="C73" s="541" t="s">
        <v>14</v>
      </c>
      <c r="D73" s="570"/>
      <c r="E73" s="570"/>
      <c r="F73" s="570"/>
      <c r="G73" s="570"/>
      <c r="H73" s="570"/>
    </row>
    <row r="74" spans="2:8">
      <c r="B74" s="290" t="str">
        <f t="shared" si="5"/>
        <v>0-17QuarterlySurrey</v>
      </c>
      <c r="C74" s="541" t="s">
        <v>7</v>
      </c>
      <c r="D74" s="570"/>
      <c r="E74" s="570"/>
      <c r="F74" s="570"/>
      <c r="G74" s="570"/>
      <c r="H74" s="570"/>
    </row>
    <row r="75" spans="2:8">
      <c r="B75" s="290" t="str">
        <f t="shared" si="5"/>
        <v>0-17QuarterlyWest Berkshire</v>
      </c>
      <c r="C75" s="541" t="s">
        <v>15</v>
      </c>
      <c r="D75" s="570"/>
      <c r="E75" s="570"/>
      <c r="F75" s="570"/>
      <c r="G75" s="570"/>
      <c r="H75" s="570"/>
    </row>
    <row r="76" spans="2:8">
      <c r="B76" s="290" t="str">
        <f t="shared" si="5"/>
        <v>0-17QuarterlyWest Sussex</v>
      </c>
      <c r="C76" s="541" t="s">
        <v>5</v>
      </c>
      <c r="D76" s="570"/>
      <c r="E76" s="570"/>
      <c r="F76" s="570"/>
      <c r="G76" s="570"/>
      <c r="H76" s="570"/>
    </row>
    <row r="77" spans="2:8">
      <c r="B77" s="290" t="str">
        <f t="shared" si="5"/>
        <v>0-17QuarterlyWindsor &amp; Maidenhead</v>
      </c>
      <c r="C77" s="542" t="s">
        <v>27</v>
      </c>
      <c r="D77" s="570"/>
      <c r="E77" s="570"/>
      <c r="F77" s="570"/>
      <c r="G77" s="570"/>
      <c r="H77" s="570"/>
    </row>
    <row r="78" spans="2:8">
      <c r="B78" s="290" t="str">
        <f t="shared" si="5"/>
        <v>0-17QuarterlyWokingham</v>
      </c>
      <c r="C78" s="541" t="s">
        <v>16</v>
      </c>
      <c r="D78" s="570"/>
      <c r="E78" s="570"/>
      <c r="F78" s="570"/>
      <c r="G78" s="570"/>
      <c r="H78" s="570"/>
    </row>
    <row r="79" spans="2:8">
      <c r="B79" s="290" t="str">
        <f t="shared" si="5"/>
        <v>0-17QuarterlySouth East</v>
      </c>
      <c r="C79" s="543" t="s">
        <v>71</v>
      </c>
      <c r="D79" s="570"/>
      <c r="E79" s="570"/>
      <c r="F79" s="570"/>
      <c r="G79" s="570"/>
      <c r="H79" s="570"/>
    </row>
    <row r="80" spans="2:8">
      <c r="B80" s="290" t="str">
        <f t="shared" si="5"/>
        <v>0-17QuarterlyEngland</v>
      </c>
      <c r="C80" s="544" t="s">
        <v>109</v>
      </c>
      <c r="D80" s="570"/>
      <c r="E80" s="570"/>
      <c r="F80" s="570"/>
      <c r="G80" s="570"/>
      <c r="H80" s="570"/>
    </row>
    <row r="82" spans="2:8">
      <c r="B82" s="290" t="s">
        <v>633</v>
      </c>
      <c r="C82" s="456" t="s">
        <v>636</v>
      </c>
    </row>
    <row r="83" spans="2:8">
      <c r="B83" s="545" t="s">
        <v>627</v>
      </c>
      <c r="C83" s="290" t="s">
        <v>574</v>
      </c>
      <c r="D83" s="551" t="str">
        <f>D$22</f>
        <v>2019/20</v>
      </c>
      <c r="E83" s="551" t="str">
        <f>E$22</f>
        <v>2020/21</v>
      </c>
      <c r="F83" s="551" t="str">
        <f>F$22</f>
        <v>2021/22</v>
      </c>
      <c r="G83" s="551" t="str">
        <f>G$22</f>
        <v>2022/23</v>
      </c>
      <c r="H83" s="551" t="str">
        <f>H$22</f>
        <v>2023/24</v>
      </c>
    </row>
    <row r="84" spans="2:8">
      <c r="B84" s="290" t="str">
        <f t="shared" ref="B84:B105" si="6">CONCATENATE($B$82,$C$83,C84)</f>
        <v>0-25Annual</v>
      </c>
      <c r="C84" s="540"/>
      <c r="D84" s="228" t="s">
        <v>885</v>
      </c>
      <c r="E84" s="228" t="s">
        <v>895</v>
      </c>
      <c r="F84" s="228" t="s">
        <v>925</v>
      </c>
      <c r="G84" s="228" t="s">
        <v>926</v>
      </c>
      <c r="H84" s="228" t="s">
        <v>1333</v>
      </c>
    </row>
    <row r="85" spans="2:8">
      <c r="B85" s="290" t="str">
        <f t="shared" si="6"/>
        <v>0-25AnnualBracknell Forest</v>
      </c>
      <c r="C85" s="541" t="s">
        <v>0</v>
      </c>
      <c r="D85" s="570">
        <v>37897</v>
      </c>
      <c r="E85" s="570">
        <v>37922</v>
      </c>
      <c r="F85" s="570">
        <v>38385</v>
      </c>
      <c r="G85" s="570">
        <v>38644</v>
      </c>
      <c r="H85" s="570">
        <v>38709</v>
      </c>
    </row>
    <row r="86" spans="2:8">
      <c r="B86" s="290" t="str">
        <f t="shared" si="6"/>
        <v>0-25AnnualBrighton &amp; Hove</v>
      </c>
      <c r="C86" s="542" t="s">
        <v>28</v>
      </c>
      <c r="D86" s="570">
        <v>92043</v>
      </c>
      <c r="E86" s="570">
        <v>90511</v>
      </c>
      <c r="F86" s="570">
        <v>87694</v>
      </c>
      <c r="G86" s="570">
        <v>89442</v>
      </c>
      <c r="H86" s="570">
        <v>89980</v>
      </c>
    </row>
    <row r="87" spans="2:8">
      <c r="B87" s="290" t="str">
        <f t="shared" si="6"/>
        <v>0-25AnnualBuckinghamshire</v>
      </c>
      <c r="C87" s="541" t="s">
        <v>8</v>
      </c>
      <c r="D87" s="570">
        <v>164636</v>
      </c>
      <c r="E87" s="570">
        <v>164713</v>
      </c>
      <c r="F87" s="570">
        <v>166200</v>
      </c>
      <c r="G87" s="570">
        <v>167778</v>
      </c>
      <c r="H87" s="570">
        <v>168768</v>
      </c>
    </row>
    <row r="88" spans="2:8">
      <c r="B88" s="290" t="str">
        <f t="shared" si="6"/>
        <v>0-25AnnualEast Sussex</v>
      </c>
      <c r="C88" s="541" t="s">
        <v>4</v>
      </c>
      <c r="D88" s="570">
        <v>143985</v>
      </c>
      <c r="E88" s="570">
        <v>142438</v>
      </c>
      <c r="F88" s="570">
        <v>141518</v>
      </c>
      <c r="G88" s="570">
        <v>141864</v>
      </c>
      <c r="H88" s="570">
        <v>142698</v>
      </c>
    </row>
    <row r="89" spans="2:8">
      <c r="B89" s="290" t="str">
        <f t="shared" si="6"/>
        <v>0-25AnnualHampshire</v>
      </c>
      <c r="C89" s="542" t="s">
        <v>6</v>
      </c>
      <c r="D89" s="570">
        <v>390490</v>
      </c>
      <c r="E89" s="570">
        <v>389896</v>
      </c>
      <c r="F89" s="570">
        <v>391953</v>
      </c>
      <c r="G89" s="570">
        <v>392482</v>
      </c>
      <c r="H89" s="570">
        <v>393684</v>
      </c>
    </row>
    <row r="90" spans="2:8">
      <c r="B90" s="290" t="str">
        <f t="shared" si="6"/>
        <v>0-25AnnualIsle of Wight</v>
      </c>
      <c r="C90" s="541" t="s">
        <v>1</v>
      </c>
      <c r="D90" s="570">
        <v>34700</v>
      </c>
      <c r="E90" s="570">
        <v>33768</v>
      </c>
      <c r="F90" s="570">
        <v>33217</v>
      </c>
      <c r="G90" s="570">
        <v>32750</v>
      </c>
      <c r="H90" s="570">
        <v>32403</v>
      </c>
    </row>
    <row r="91" spans="2:8">
      <c r="B91" s="290" t="str">
        <f t="shared" si="6"/>
        <v>0-25AnnualKent</v>
      </c>
      <c r="C91" s="541" t="s">
        <v>9</v>
      </c>
      <c r="D91" s="570">
        <v>471367</v>
      </c>
      <c r="E91" s="570">
        <v>469544</v>
      </c>
      <c r="F91" s="570">
        <v>469430</v>
      </c>
      <c r="G91" s="570">
        <v>472868</v>
      </c>
      <c r="H91" s="570">
        <v>476670</v>
      </c>
    </row>
    <row r="92" spans="2:8">
      <c r="B92" s="290" t="str">
        <f t="shared" si="6"/>
        <v>0-25AnnualMedway</v>
      </c>
      <c r="C92" s="541" t="s">
        <v>2</v>
      </c>
      <c r="D92" s="570">
        <v>90647</v>
      </c>
      <c r="E92" s="570">
        <v>89919</v>
      </c>
      <c r="F92" s="570">
        <v>89172</v>
      </c>
      <c r="G92" s="570">
        <v>89990</v>
      </c>
      <c r="H92" s="570">
        <v>91685</v>
      </c>
    </row>
    <row r="93" spans="2:8">
      <c r="B93" s="290" t="str">
        <f t="shared" si="6"/>
        <v>0-25AnnualMilton Keynes</v>
      </c>
      <c r="C93" s="541" t="s">
        <v>10</v>
      </c>
      <c r="D93" s="570">
        <v>92607</v>
      </c>
      <c r="E93" s="570">
        <v>92826</v>
      </c>
      <c r="F93" s="570">
        <v>93991</v>
      </c>
      <c r="G93" s="570">
        <v>95102</v>
      </c>
      <c r="H93" s="570">
        <v>96839</v>
      </c>
    </row>
    <row r="94" spans="2:8">
      <c r="B94" s="290" t="str">
        <f t="shared" si="6"/>
        <v>0-25AnnualOxfordshire</v>
      </c>
      <c r="C94" s="541" t="s">
        <v>11</v>
      </c>
      <c r="D94" s="570">
        <v>221216</v>
      </c>
      <c r="E94" s="570">
        <v>221020</v>
      </c>
      <c r="F94" s="570">
        <v>223583</v>
      </c>
      <c r="G94" s="570">
        <v>227167</v>
      </c>
      <c r="H94" s="570">
        <v>231174</v>
      </c>
    </row>
    <row r="95" spans="2:8">
      <c r="B95" s="290" t="str">
        <f t="shared" si="6"/>
        <v>0-25AnnualPortsmouth</v>
      </c>
      <c r="C95" s="541" t="s">
        <v>12</v>
      </c>
      <c r="D95" s="570">
        <v>74930</v>
      </c>
      <c r="E95" s="570">
        <v>73592</v>
      </c>
      <c r="F95" s="570">
        <v>71365</v>
      </c>
      <c r="G95" s="570">
        <v>72216</v>
      </c>
      <c r="H95" s="570">
        <v>72438</v>
      </c>
    </row>
    <row r="96" spans="2:8">
      <c r="B96" s="290" t="str">
        <f t="shared" si="6"/>
        <v>0-25AnnualReading</v>
      </c>
      <c r="C96" s="541" t="s">
        <v>3</v>
      </c>
      <c r="D96" s="570">
        <v>60605</v>
      </c>
      <c r="E96" s="570">
        <v>59541</v>
      </c>
      <c r="F96" s="570">
        <v>58609</v>
      </c>
      <c r="G96" s="570">
        <v>60307</v>
      </c>
      <c r="H96" s="570">
        <v>61770</v>
      </c>
    </row>
    <row r="97" spans="2:8">
      <c r="B97" s="290" t="str">
        <f t="shared" si="6"/>
        <v>0-25AnnualSlough</v>
      </c>
      <c r="C97" s="541" t="s">
        <v>13</v>
      </c>
      <c r="D97" s="570">
        <v>58063</v>
      </c>
      <c r="E97" s="570">
        <v>58021</v>
      </c>
      <c r="F97" s="570">
        <v>58155</v>
      </c>
      <c r="G97" s="570">
        <v>58742</v>
      </c>
      <c r="H97" s="570">
        <v>59364</v>
      </c>
    </row>
    <row r="98" spans="2:8">
      <c r="B98" s="290" t="str">
        <f t="shared" si="6"/>
        <v>0-25AnnualSouthampton</v>
      </c>
      <c r="C98" s="541" t="s">
        <v>14</v>
      </c>
      <c r="D98" s="570">
        <v>91842</v>
      </c>
      <c r="E98" s="570">
        <v>89837</v>
      </c>
      <c r="F98" s="570">
        <v>87408</v>
      </c>
      <c r="G98" s="570">
        <v>90969</v>
      </c>
      <c r="H98" s="570">
        <v>92988</v>
      </c>
    </row>
    <row r="99" spans="2:8">
      <c r="B99" s="290" t="str">
        <f t="shared" si="6"/>
        <v>0-25AnnualSurrey</v>
      </c>
      <c r="C99" s="541" t="s">
        <v>7</v>
      </c>
      <c r="D99" s="570">
        <v>359805</v>
      </c>
      <c r="E99" s="570">
        <v>360496</v>
      </c>
      <c r="F99" s="570">
        <v>362974</v>
      </c>
      <c r="G99" s="570">
        <v>366690</v>
      </c>
      <c r="H99" s="570">
        <v>370388</v>
      </c>
    </row>
    <row r="100" spans="2:8">
      <c r="B100" s="290" t="str">
        <f t="shared" si="6"/>
        <v>0-25AnnualWest Berkshire</v>
      </c>
      <c r="C100" s="541" t="s">
        <v>15</v>
      </c>
      <c r="D100" s="570">
        <v>47134</v>
      </c>
      <c r="E100" s="570">
        <v>46914</v>
      </c>
      <c r="F100" s="570">
        <v>46933</v>
      </c>
      <c r="G100" s="570">
        <v>46828</v>
      </c>
      <c r="H100" s="570">
        <v>46964</v>
      </c>
    </row>
    <row r="101" spans="2:8">
      <c r="B101" s="290" t="str">
        <f t="shared" si="6"/>
        <v>0-25AnnualWest Sussex</v>
      </c>
      <c r="C101" s="541" t="s">
        <v>5</v>
      </c>
      <c r="D101" s="570">
        <v>241101</v>
      </c>
      <c r="E101" s="570">
        <v>240348</v>
      </c>
      <c r="F101" s="570">
        <v>241731</v>
      </c>
      <c r="G101" s="570">
        <v>243102</v>
      </c>
      <c r="H101" s="570">
        <v>244348</v>
      </c>
    </row>
    <row r="102" spans="2:8">
      <c r="B102" s="290" t="str">
        <f t="shared" si="6"/>
        <v>0-25AnnualWindsor &amp; Maidenhead</v>
      </c>
      <c r="C102" s="542" t="s">
        <v>27</v>
      </c>
      <c r="D102" s="570">
        <v>45702</v>
      </c>
      <c r="E102" s="570">
        <v>45593</v>
      </c>
      <c r="F102" s="570">
        <v>45330</v>
      </c>
      <c r="G102" s="570">
        <v>45535</v>
      </c>
      <c r="H102" s="570">
        <v>45389</v>
      </c>
    </row>
    <row r="103" spans="2:8">
      <c r="B103" s="290" t="str">
        <f t="shared" si="6"/>
        <v>0-25AnnualWokingham</v>
      </c>
      <c r="C103" s="541" t="s">
        <v>16</v>
      </c>
      <c r="D103" s="570">
        <v>52849</v>
      </c>
      <c r="E103" s="570">
        <v>53781</v>
      </c>
      <c r="F103" s="570">
        <v>54931</v>
      </c>
      <c r="G103" s="570">
        <v>56376</v>
      </c>
      <c r="H103" s="570">
        <v>57382</v>
      </c>
    </row>
    <row r="104" spans="2:8">
      <c r="B104" s="290" t="str">
        <f t="shared" si="6"/>
        <v>0-25AnnualSouth East</v>
      </c>
      <c r="C104" s="543" t="s">
        <v>71</v>
      </c>
      <c r="D104" s="570">
        <v>2771619</v>
      </c>
      <c r="E104" s="570">
        <v>2760680</v>
      </c>
      <c r="F104" s="570">
        <v>2762579</v>
      </c>
      <c r="G104" s="570">
        <v>2788852</v>
      </c>
      <c r="H104" s="570">
        <v>2813641</v>
      </c>
    </row>
    <row r="105" spans="2:8">
      <c r="B105" s="290" t="str">
        <f t="shared" si="6"/>
        <v>0-25AnnualEngland</v>
      </c>
      <c r="C105" s="544" t="s">
        <v>109</v>
      </c>
      <c r="D105" s="570">
        <v>17312013</v>
      </c>
      <c r="E105" s="570">
        <v>17200279</v>
      </c>
      <c r="F105" s="570">
        <v>17161497</v>
      </c>
      <c r="G105" s="570">
        <v>17377421</v>
      </c>
      <c r="H105" s="570">
        <v>17544580</v>
      </c>
    </row>
    <row r="107" spans="2:8">
      <c r="B107" s="290" t="s">
        <v>633</v>
      </c>
      <c r="C107" s="456" t="s">
        <v>636</v>
      </c>
      <c r="D107" s="551" t="str">
        <f>D$24</f>
        <v>2022-23</v>
      </c>
      <c r="E107" s="551" t="str">
        <f>E$24</f>
        <v>2022-23</v>
      </c>
      <c r="F107" s="551" t="str">
        <f>F$24</f>
        <v>2022-23</v>
      </c>
      <c r="G107" s="551" t="str">
        <f>G$24</f>
        <v>2022-23</v>
      </c>
      <c r="H107" s="551" t="str">
        <f>H$24</f>
        <v>2023-24</v>
      </c>
    </row>
    <row r="108" spans="2:8">
      <c r="B108" s="545" t="s">
        <v>627</v>
      </c>
      <c r="C108" s="290" t="s">
        <v>580</v>
      </c>
      <c r="D108" s="551" t="str">
        <f>D$25</f>
        <v>Q1</v>
      </c>
      <c r="E108" s="551" t="str">
        <f>E$25</f>
        <v>Q2</v>
      </c>
      <c r="F108" s="551" t="str">
        <f>F$25</f>
        <v>Q3</v>
      </c>
      <c r="G108" s="551" t="str">
        <f>G$25</f>
        <v>Q4</v>
      </c>
      <c r="H108" s="551" t="str">
        <f>H$25</f>
        <v>Q1</v>
      </c>
    </row>
    <row r="109" spans="2:8">
      <c r="B109" s="290" t="str">
        <f t="shared" ref="B109:B130" si="7">CONCATENATE($B$107,$C$108,C109)</f>
        <v>0-25Quarterly</v>
      </c>
      <c r="C109" s="540"/>
      <c r="D109" s="228" t="s">
        <v>895</v>
      </c>
      <c r="E109" s="228" t="s">
        <v>885</v>
      </c>
      <c r="F109" s="228" t="s">
        <v>885</v>
      </c>
      <c r="G109" s="228" t="s">
        <v>885</v>
      </c>
      <c r="H109" s="228" t="s">
        <v>885</v>
      </c>
    </row>
    <row r="110" spans="2:8">
      <c r="B110" s="290" t="str">
        <f t="shared" si="7"/>
        <v>0-25QuarterlyBracknell Forest</v>
      </c>
      <c r="C110" s="541" t="s">
        <v>0</v>
      </c>
      <c r="D110" s="570"/>
      <c r="E110" s="570"/>
      <c r="F110" s="570"/>
      <c r="G110" s="570"/>
      <c r="H110" s="570"/>
    </row>
    <row r="111" spans="2:8">
      <c r="B111" s="290" t="str">
        <f t="shared" si="7"/>
        <v>0-25QuarterlyBrighton &amp; Hove</v>
      </c>
      <c r="C111" s="542" t="s">
        <v>28</v>
      </c>
      <c r="D111" s="570"/>
      <c r="E111" s="570"/>
      <c r="F111" s="570"/>
      <c r="G111" s="570"/>
      <c r="H111" s="570"/>
    </row>
    <row r="112" spans="2:8">
      <c r="B112" s="290" t="str">
        <f t="shared" si="7"/>
        <v>0-25QuarterlyBuckinghamshire</v>
      </c>
      <c r="C112" s="541" t="s">
        <v>8</v>
      </c>
      <c r="D112" s="570"/>
      <c r="E112" s="570"/>
      <c r="F112" s="570"/>
      <c r="G112" s="570"/>
      <c r="H112" s="570"/>
    </row>
    <row r="113" spans="2:8">
      <c r="B113" s="290" t="str">
        <f t="shared" si="7"/>
        <v>0-25QuarterlyEast Sussex</v>
      </c>
      <c r="C113" s="541" t="s">
        <v>4</v>
      </c>
      <c r="D113" s="570"/>
      <c r="E113" s="570"/>
      <c r="F113" s="570"/>
      <c r="G113" s="570"/>
      <c r="H113" s="570"/>
    </row>
    <row r="114" spans="2:8">
      <c r="B114" s="290" t="str">
        <f t="shared" si="7"/>
        <v>0-25QuarterlyHampshire</v>
      </c>
      <c r="C114" s="542" t="s">
        <v>6</v>
      </c>
      <c r="D114" s="570"/>
      <c r="E114" s="570"/>
      <c r="F114" s="570"/>
      <c r="G114" s="570"/>
      <c r="H114" s="570"/>
    </row>
    <row r="115" spans="2:8">
      <c r="B115" s="290" t="str">
        <f t="shared" si="7"/>
        <v>0-25QuarterlyIsle of Wight</v>
      </c>
      <c r="C115" s="541" t="s">
        <v>1</v>
      </c>
      <c r="D115" s="570"/>
      <c r="E115" s="570"/>
      <c r="F115" s="570"/>
      <c r="G115" s="570"/>
      <c r="H115" s="570"/>
    </row>
    <row r="116" spans="2:8">
      <c r="B116" s="290" t="str">
        <f t="shared" si="7"/>
        <v>0-25QuarterlyKent</v>
      </c>
      <c r="C116" s="541" t="s">
        <v>9</v>
      </c>
      <c r="D116" s="570"/>
      <c r="E116" s="570"/>
      <c r="F116" s="570"/>
      <c r="G116" s="570"/>
      <c r="H116" s="570"/>
    </row>
    <row r="117" spans="2:8">
      <c r="B117" s="290" t="str">
        <f t="shared" si="7"/>
        <v>0-25QuarterlyMedway</v>
      </c>
      <c r="C117" s="541" t="s">
        <v>2</v>
      </c>
      <c r="D117" s="570"/>
      <c r="E117" s="570"/>
      <c r="F117" s="570"/>
      <c r="G117" s="570"/>
      <c r="H117" s="570"/>
    </row>
    <row r="118" spans="2:8">
      <c r="B118" s="290" t="str">
        <f t="shared" si="7"/>
        <v>0-25QuarterlyMilton Keynes</v>
      </c>
      <c r="C118" s="541" t="s">
        <v>10</v>
      </c>
      <c r="D118" s="570"/>
      <c r="E118" s="570"/>
      <c r="F118" s="570"/>
      <c r="G118" s="570"/>
      <c r="H118" s="570"/>
    </row>
    <row r="119" spans="2:8">
      <c r="B119" s="290" t="str">
        <f t="shared" si="7"/>
        <v>0-25QuarterlyOxfordshire</v>
      </c>
      <c r="C119" s="541" t="s">
        <v>11</v>
      </c>
      <c r="D119" s="570"/>
      <c r="E119" s="570"/>
      <c r="F119" s="570"/>
      <c r="G119" s="570"/>
      <c r="H119" s="570"/>
    </row>
    <row r="120" spans="2:8">
      <c r="B120" s="290" t="str">
        <f t="shared" si="7"/>
        <v>0-25QuarterlyPortsmouth</v>
      </c>
      <c r="C120" s="541" t="s">
        <v>12</v>
      </c>
      <c r="D120" s="570"/>
      <c r="E120" s="570"/>
      <c r="F120" s="570"/>
      <c r="G120" s="570"/>
      <c r="H120" s="570"/>
    </row>
    <row r="121" spans="2:8">
      <c r="B121" s="290" t="str">
        <f t="shared" si="7"/>
        <v>0-25QuarterlyReading</v>
      </c>
      <c r="C121" s="541" t="s">
        <v>3</v>
      </c>
      <c r="D121" s="570"/>
      <c r="E121" s="570"/>
      <c r="F121" s="570"/>
      <c r="G121" s="570"/>
      <c r="H121" s="570"/>
    </row>
    <row r="122" spans="2:8">
      <c r="B122" s="290" t="str">
        <f t="shared" si="7"/>
        <v>0-25QuarterlySlough</v>
      </c>
      <c r="C122" s="541" t="s">
        <v>13</v>
      </c>
      <c r="D122" s="570"/>
      <c r="E122" s="570"/>
      <c r="F122" s="570"/>
      <c r="G122" s="570"/>
      <c r="H122" s="570"/>
    </row>
    <row r="123" spans="2:8">
      <c r="B123" s="290" t="str">
        <f t="shared" si="7"/>
        <v>0-25QuarterlySouthampton</v>
      </c>
      <c r="C123" s="541" t="s">
        <v>14</v>
      </c>
      <c r="D123" s="570"/>
      <c r="E123" s="570"/>
      <c r="F123" s="570"/>
      <c r="G123" s="570"/>
      <c r="H123" s="570"/>
    </row>
    <row r="124" spans="2:8">
      <c r="B124" s="290" t="str">
        <f t="shared" si="7"/>
        <v>0-25QuarterlySurrey</v>
      </c>
      <c r="C124" s="541" t="s">
        <v>7</v>
      </c>
      <c r="D124" s="570"/>
      <c r="E124" s="570"/>
      <c r="F124" s="570"/>
      <c r="G124" s="570"/>
      <c r="H124" s="570"/>
    </row>
    <row r="125" spans="2:8">
      <c r="B125" s="290" t="str">
        <f t="shared" si="7"/>
        <v>0-25QuarterlyWest Berkshire</v>
      </c>
      <c r="C125" s="541" t="s">
        <v>15</v>
      </c>
      <c r="D125" s="570"/>
      <c r="E125" s="570"/>
      <c r="F125" s="570"/>
      <c r="G125" s="570"/>
      <c r="H125" s="570"/>
    </row>
    <row r="126" spans="2:8">
      <c r="B126" s="290" t="str">
        <f t="shared" si="7"/>
        <v>0-25QuarterlyWest Sussex</v>
      </c>
      <c r="C126" s="541" t="s">
        <v>5</v>
      </c>
      <c r="D126" s="570"/>
      <c r="E126" s="570"/>
      <c r="F126" s="570"/>
      <c r="G126" s="570"/>
      <c r="H126" s="570"/>
    </row>
    <row r="127" spans="2:8">
      <c r="B127" s="290" t="str">
        <f t="shared" si="7"/>
        <v>0-25QuarterlyWindsor &amp; Maidenhead</v>
      </c>
      <c r="C127" s="542" t="s">
        <v>27</v>
      </c>
      <c r="D127" s="570"/>
      <c r="E127" s="570"/>
      <c r="F127" s="570"/>
      <c r="G127" s="570"/>
      <c r="H127" s="570"/>
    </row>
    <row r="128" spans="2:8">
      <c r="B128" s="290" t="str">
        <f t="shared" si="7"/>
        <v>0-25QuarterlyWokingham</v>
      </c>
      <c r="C128" s="541" t="s">
        <v>16</v>
      </c>
      <c r="D128" s="570"/>
      <c r="E128" s="570"/>
      <c r="F128" s="570"/>
      <c r="G128" s="570"/>
      <c r="H128" s="570"/>
    </row>
    <row r="129" spans="2:8">
      <c r="B129" s="290" t="str">
        <f t="shared" si="7"/>
        <v>0-25QuarterlySouth East</v>
      </c>
      <c r="C129" s="543" t="s">
        <v>71</v>
      </c>
      <c r="D129" s="570"/>
      <c r="E129" s="570"/>
      <c r="F129" s="570"/>
      <c r="G129" s="570"/>
      <c r="H129" s="570"/>
    </row>
    <row r="130" spans="2:8">
      <c r="B130" s="290" t="str">
        <f t="shared" si="7"/>
        <v>0-25QuarterlyEngland</v>
      </c>
      <c r="C130" s="544" t="s">
        <v>109</v>
      </c>
      <c r="D130" s="570"/>
      <c r="E130" s="570"/>
      <c r="F130" s="570"/>
      <c r="G130" s="570"/>
      <c r="H130" s="570"/>
    </row>
    <row r="132" spans="2:8">
      <c r="B132" s="290" t="s">
        <v>634</v>
      </c>
      <c r="C132" s="456" t="s">
        <v>637</v>
      </c>
    </row>
    <row r="133" spans="2:8">
      <c r="B133" s="545" t="s">
        <v>627</v>
      </c>
      <c r="C133" s="290" t="s">
        <v>574</v>
      </c>
      <c r="D133" s="551" t="str">
        <f>D$22</f>
        <v>2019/20</v>
      </c>
      <c r="E133" s="551" t="str">
        <f>E$22</f>
        <v>2020/21</v>
      </c>
      <c r="F133" s="551" t="str">
        <f>F$22</f>
        <v>2021/22</v>
      </c>
      <c r="G133" s="551" t="str">
        <f>G$22</f>
        <v>2022/23</v>
      </c>
      <c r="H133" s="551" t="str">
        <f>H$22</f>
        <v>2023/24</v>
      </c>
    </row>
    <row r="134" spans="2:8">
      <c r="B134" s="290" t="str">
        <f t="shared" ref="B134:B155" si="8">CONCATENATE($B$132,$C$133,C134)</f>
        <v>19-21Annual</v>
      </c>
      <c r="C134" s="540"/>
      <c r="D134" s="228" t="s">
        <v>885</v>
      </c>
      <c r="E134" s="228" t="s">
        <v>895</v>
      </c>
      <c r="F134" s="228" t="s">
        <v>925</v>
      </c>
      <c r="G134" s="228" t="s">
        <v>926</v>
      </c>
      <c r="H134" s="228" t="s">
        <v>1333</v>
      </c>
    </row>
    <row r="135" spans="2:8">
      <c r="B135" s="290" t="str">
        <f t="shared" si="8"/>
        <v>19-21AnnualBracknell Forest</v>
      </c>
      <c r="C135" s="541" t="s">
        <v>0</v>
      </c>
      <c r="D135" s="570">
        <v>3266</v>
      </c>
      <c r="E135" s="570">
        <v>3172</v>
      </c>
      <c r="F135" s="570">
        <v>3125</v>
      </c>
      <c r="G135" s="570">
        <v>2919</v>
      </c>
      <c r="H135" s="570">
        <v>2822</v>
      </c>
    </row>
    <row r="136" spans="2:8">
      <c r="B136" s="290" t="str">
        <f t="shared" si="8"/>
        <v>19-21AnnualBrighton &amp; Hove</v>
      </c>
      <c r="C136" s="542" t="s">
        <v>28</v>
      </c>
      <c r="D136" s="570">
        <v>19659</v>
      </c>
      <c r="E136" s="570">
        <v>19249</v>
      </c>
      <c r="F136" s="570">
        <v>17837</v>
      </c>
      <c r="G136" s="570">
        <v>19086</v>
      </c>
      <c r="H136" s="570">
        <v>20227</v>
      </c>
    </row>
    <row r="137" spans="2:8">
      <c r="B137" s="290" t="str">
        <f t="shared" si="8"/>
        <v>19-21AnnualBuckinghamshire</v>
      </c>
      <c r="C137" s="541" t="s">
        <v>8</v>
      </c>
      <c r="D137" s="570">
        <v>13521</v>
      </c>
      <c r="E137" s="570">
        <v>13558</v>
      </c>
      <c r="F137" s="570">
        <v>13618</v>
      </c>
      <c r="G137" s="570">
        <v>12909</v>
      </c>
      <c r="H137" s="570">
        <v>12369</v>
      </c>
    </row>
    <row r="138" spans="2:8">
      <c r="B138" s="290" t="str">
        <f t="shared" si="8"/>
        <v>19-21AnnualEast Sussex</v>
      </c>
      <c r="C138" s="541" t="s">
        <v>4</v>
      </c>
      <c r="D138" s="570">
        <v>14333</v>
      </c>
      <c r="E138" s="570">
        <v>13879</v>
      </c>
      <c r="F138" s="570">
        <v>13298</v>
      </c>
      <c r="G138" s="570">
        <v>12907</v>
      </c>
      <c r="H138" s="570">
        <v>13002</v>
      </c>
    </row>
    <row r="139" spans="2:8">
      <c r="B139" s="290" t="str">
        <f t="shared" si="8"/>
        <v>19-21AnnualHampshire</v>
      </c>
      <c r="C139" s="542" t="s">
        <v>6</v>
      </c>
      <c r="D139" s="570">
        <v>38415</v>
      </c>
      <c r="E139" s="570">
        <v>38187</v>
      </c>
      <c r="F139" s="570">
        <v>37940</v>
      </c>
      <c r="G139" s="570">
        <v>36474</v>
      </c>
      <c r="H139" s="570">
        <v>36199</v>
      </c>
    </row>
    <row r="140" spans="2:8">
      <c r="B140" s="290" t="str">
        <f t="shared" si="8"/>
        <v>19-21AnnualIsle of Wight</v>
      </c>
      <c r="C140" s="541" t="s">
        <v>1</v>
      </c>
      <c r="D140" s="570">
        <v>3575</v>
      </c>
      <c r="E140" s="570">
        <v>3423</v>
      </c>
      <c r="F140" s="570">
        <v>3165</v>
      </c>
      <c r="G140" s="570">
        <v>2902</v>
      </c>
      <c r="H140" s="570">
        <v>2878</v>
      </c>
    </row>
    <row r="141" spans="2:8">
      <c r="B141" s="290" t="str">
        <f t="shared" si="8"/>
        <v>19-21AnnualKent</v>
      </c>
      <c r="C141" s="541" t="s">
        <v>9</v>
      </c>
      <c r="D141" s="570">
        <v>50144</v>
      </c>
      <c r="E141" s="570">
        <v>48664</v>
      </c>
      <c r="F141" s="570">
        <v>47275</v>
      </c>
      <c r="G141" s="570">
        <v>45194</v>
      </c>
      <c r="H141" s="570">
        <v>44828</v>
      </c>
    </row>
    <row r="142" spans="2:8">
      <c r="B142" s="290" t="str">
        <f t="shared" si="8"/>
        <v>19-21AnnualMedway</v>
      </c>
      <c r="C142" s="541" t="s">
        <v>2</v>
      </c>
      <c r="D142" s="570">
        <v>9573</v>
      </c>
      <c r="E142" s="570">
        <v>9213</v>
      </c>
      <c r="F142" s="570">
        <v>8878</v>
      </c>
      <c r="G142" s="570">
        <v>8593</v>
      </c>
      <c r="H142" s="570">
        <v>8710</v>
      </c>
    </row>
    <row r="143" spans="2:8">
      <c r="B143" s="290" t="str">
        <f t="shared" si="8"/>
        <v>19-21AnnualMilton Keynes</v>
      </c>
      <c r="C143" s="541" t="s">
        <v>10</v>
      </c>
      <c r="D143" s="570">
        <v>7538</v>
      </c>
      <c r="E143" s="570">
        <v>7437</v>
      </c>
      <c r="F143" s="570">
        <v>7652</v>
      </c>
      <c r="G143" s="570">
        <v>7109</v>
      </c>
      <c r="H143" s="570">
        <v>7151</v>
      </c>
    </row>
    <row r="144" spans="2:8">
      <c r="B144" s="290" t="str">
        <f t="shared" si="8"/>
        <v>19-21AnnualOxfordshire</v>
      </c>
      <c r="C144" s="541" t="s">
        <v>11</v>
      </c>
      <c r="D144" s="570">
        <v>29477</v>
      </c>
      <c r="E144" s="570">
        <v>28924</v>
      </c>
      <c r="F144" s="570">
        <v>30410</v>
      </c>
      <c r="G144" s="570">
        <v>31306</v>
      </c>
      <c r="H144" s="570">
        <v>31911</v>
      </c>
    </row>
    <row r="145" spans="2:8">
      <c r="B145" s="290" t="str">
        <f t="shared" si="8"/>
        <v>19-21AnnualPortsmouth</v>
      </c>
      <c r="C145" s="541" t="s">
        <v>12</v>
      </c>
      <c r="D145" s="570">
        <v>15275</v>
      </c>
      <c r="E145" s="570">
        <v>14996</v>
      </c>
      <c r="F145" s="570">
        <v>14490</v>
      </c>
      <c r="G145" s="570">
        <v>14630</v>
      </c>
      <c r="H145" s="570">
        <v>13962</v>
      </c>
    </row>
    <row r="146" spans="2:8">
      <c r="B146" s="290" t="str">
        <f t="shared" si="8"/>
        <v>19-21AnnualReading</v>
      </c>
      <c r="C146" s="541" t="s">
        <v>3</v>
      </c>
      <c r="D146" s="570">
        <v>9682</v>
      </c>
      <c r="E146" s="570">
        <v>9310</v>
      </c>
      <c r="F146" s="570">
        <v>9498</v>
      </c>
      <c r="G146" s="570">
        <v>10068</v>
      </c>
      <c r="H146" s="570">
        <v>10144</v>
      </c>
    </row>
    <row r="147" spans="2:8">
      <c r="B147" s="290" t="str">
        <f t="shared" si="8"/>
        <v>19-21AnnualSlough</v>
      </c>
      <c r="C147" s="541" t="s">
        <v>13</v>
      </c>
      <c r="D147" s="570">
        <v>4709</v>
      </c>
      <c r="E147" s="570">
        <v>4654</v>
      </c>
      <c r="F147" s="570">
        <v>4881</v>
      </c>
      <c r="G147" s="570">
        <v>4824</v>
      </c>
      <c r="H147" s="570">
        <v>4786</v>
      </c>
    </row>
    <row r="148" spans="2:8">
      <c r="B148" s="290" t="str">
        <f t="shared" si="8"/>
        <v>19-21AnnualSouthampton</v>
      </c>
      <c r="C148" s="541" t="s">
        <v>14</v>
      </c>
      <c r="D148" s="570">
        <v>19393</v>
      </c>
      <c r="E148" s="570">
        <v>18091</v>
      </c>
      <c r="F148" s="570">
        <v>16825</v>
      </c>
      <c r="G148" s="570">
        <v>18134</v>
      </c>
      <c r="H148" s="570">
        <v>18769</v>
      </c>
    </row>
    <row r="149" spans="2:8">
      <c r="B149" s="290" t="str">
        <f t="shared" si="8"/>
        <v>19-21AnnualSurrey</v>
      </c>
      <c r="C149" s="541" t="s">
        <v>7</v>
      </c>
      <c r="D149" s="570">
        <v>37621</v>
      </c>
      <c r="E149" s="570">
        <v>37704</v>
      </c>
      <c r="F149" s="570">
        <v>37284</v>
      </c>
      <c r="G149" s="570">
        <v>36155</v>
      </c>
      <c r="H149" s="570">
        <v>36646</v>
      </c>
    </row>
    <row r="150" spans="2:8">
      <c r="B150" s="290" t="str">
        <f t="shared" si="8"/>
        <v>19-21AnnualWest Berkshire</v>
      </c>
      <c r="C150" s="541" t="s">
        <v>15</v>
      </c>
      <c r="D150" s="570">
        <v>3891</v>
      </c>
      <c r="E150" s="570">
        <v>3859</v>
      </c>
      <c r="F150" s="570">
        <v>3908</v>
      </c>
      <c r="G150" s="570">
        <v>3517</v>
      </c>
      <c r="H150" s="570">
        <v>3592</v>
      </c>
    </row>
    <row r="151" spans="2:8">
      <c r="B151" s="290" t="str">
        <f t="shared" si="8"/>
        <v>19-21AnnualWest Sussex</v>
      </c>
      <c r="C151" s="541" t="s">
        <v>5</v>
      </c>
      <c r="D151" s="570">
        <v>23054</v>
      </c>
      <c r="E151" s="570">
        <v>22685</v>
      </c>
      <c r="F151" s="570">
        <v>22745</v>
      </c>
      <c r="G151" s="570">
        <v>21611</v>
      </c>
      <c r="H151" s="570">
        <v>21721</v>
      </c>
    </row>
    <row r="152" spans="2:8">
      <c r="B152" s="290" t="str">
        <f t="shared" si="8"/>
        <v>19-21AnnualWindsor &amp; Maidenhead</v>
      </c>
      <c r="C152" s="542" t="s">
        <v>27</v>
      </c>
      <c r="D152" s="570">
        <v>3440</v>
      </c>
      <c r="E152" s="570">
        <v>3420</v>
      </c>
      <c r="F152" s="570">
        <v>3326</v>
      </c>
      <c r="G152" s="570">
        <v>3243</v>
      </c>
      <c r="H152" s="570">
        <v>3151</v>
      </c>
    </row>
    <row r="153" spans="2:8">
      <c r="B153" s="290" t="str">
        <f t="shared" si="8"/>
        <v>19-21AnnualWokingham</v>
      </c>
      <c r="C153" s="541" t="s">
        <v>16</v>
      </c>
      <c r="D153" s="570">
        <v>4432</v>
      </c>
      <c r="E153" s="570">
        <v>4408</v>
      </c>
      <c r="F153" s="570">
        <v>4610</v>
      </c>
      <c r="G153" s="570">
        <v>4647</v>
      </c>
      <c r="H153" s="570">
        <v>4974</v>
      </c>
    </row>
    <row r="154" spans="2:8">
      <c r="B154" s="290" t="str">
        <f t="shared" si="8"/>
        <v>19-21AnnualSouth East</v>
      </c>
      <c r="C154" s="543" t="s">
        <v>71</v>
      </c>
      <c r="D154" s="570">
        <v>310998</v>
      </c>
      <c r="E154" s="570">
        <v>304833</v>
      </c>
      <c r="F154" s="570">
        <v>300765</v>
      </c>
      <c r="G154" s="570">
        <v>296228</v>
      </c>
      <c r="H154" s="570">
        <v>297842</v>
      </c>
    </row>
    <row r="155" spans="2:8">
      <c r="B155" s="290" t="str">
        <f t="shared" si="8"/>
        <v>19-21AnnualEngland</v>
      </c>
      <c r="C155" s="544" t="s">
        <v>109</v>
      </c>
      <c r="D155" s="570">
        <v>2012325</v>
      </c>
      <c r="E155" s="570">
        <v>1974205</v>
      </c>
      <c r="F155" s="570">
        <v>1961121</v>
      </c>
      <c r="G155" s="570">
        <v>1987291</v>
      </c>
      <c r="H155" s="570">
        <v>2025453</v>
      </c>
    </row>
    <row r="157" spans="2:8">
      <c r="B157" s="290" t="s">
        <v>634</v>
      </c>
      <c r="C157" s="456" t="s">
        <v>637</v>
      </c>
      <c r="D157" s="551" t="str">
        <f>D$24</f>
        <v>2022-23</v>
      </c>
      <c r="E157" s="551" t="str">
        <f>E$24</f>
        <v>2022-23</v>
      </c>
      <c r="F157" s="551" t="str">
        <f>F$24</f>
        <v>2022-23</v>
      </c>
      <c r="G157" s="551" t="str">
        <f>G$24</f>
        <v>2022-23</v>
      </c>
      <c r="H157" s="551" t="str">
        <f>H$24</f>
        <v>2023-24</v>
      </c>
    </row>
    <row r="158" spans="2:8">
      <c r="B158" s="545" t="s">
        <v>627</v>
      </c>
      <c r="C158" s="290" t="s">
        <v>580</v>
      </c>
      <c r="D158" s="551" t="str">
        <f>D$25</f>
        <v>Q1</v>
      </c>
      <c r="E158" s="551" t="str">
        <f>E$25</f>
        <v>Q2</v>
      </c>
      <c r="F158" s="551" t="str">
        <f>F$25</f>
        <v>Q3</v>
      </c>
      <c r="G158" s="551" t="str">
        <f>G$25</f>
        <v>Q4</v>
      </c>
      <c r="H158" s="551" t="str">
        <f>H$25</f>
        <v>Q1</v>
      </c>
    </row>
    <row r="159" spans="2:8">
      <c r="B159" s="290" t="str">
        <f t="shared" ref="B159:B180" si="9">CONCATENATE($B$157,$C$158,C159)</f>
        <v>19-21Quarterly</v>
      </c>
      <c r="C159" s="540"/>
      <c r="D159" s="228" t="s">
        <v>895</v>
      </c>
      <c r="E159" s="228" t="s">
        <v>895</v>
      </c>
      <c r="F159" s="228" t="s">
        <v>895</v>
      </c>
      <c r="G159" s="228" t="s">
        <v>895</v>
      </c>
      <c r="H159" s="228" t="s">
        <v>895</v>
      </c>
    </row>
    <row r="160" spans="2:8">
      <c r="B160" s="290" t="str">
        <f t="shared" si="9"/>
        <v>19-21QuarterlyBracknell Forest</v>
      </c>
      <c r="C160" s="541" t="s">
        <v>0</v>
      </c>
      <c r="D160" s="570"/>
      <c r="E160" s="570"/>
      <c r="F160" s="570"/>
      <c r="G160" s="570"/>
      <c r="H160" s="570"/>
    </row>
    <row r="161" spans="2:10">
      <c r="B161" s="290" t="str">
        <f t="shared" si="9"/>
        <v>19-21QuarterlyBrighton &amp; Hove</v>
      </c>
      <c r="C161" s="542" t="s">
        <v>28</v>
      </c>
      <c r="D161" s="570"/>
      <c r="E161" s="570"/>
      <c r="F161" s="570"/>
      <c r="G161" s="570"/>
      <c r="H161" s="570"/>
    </row>
    <row r="162" spans="2:10">
      <c r="B162" s="290" t="str">
        <f t="shared" si="9"/>
        <v>19-21QuarterlyBuckinghamshire</v>
      </c>
      <c r="C162" s="541" t="s">
        <v>8</v>
      </c>
      <c r="D162" s="570"/>
      <c r="E162" s="570"/>
      <c r="F162" s="570"/>
      <c r="G162" s="570"/>
      <c r="H162" s="570"/>
    </row>
    <row r="163" spans="2:10">
      <c r="B163" s="290" t="str">
        <f t="shared" si="9"/>
        <v>19-21QuarterlyEast Sussex</v>
      </c>
      <c r="C163" s="541" t="s">
        <v>4</v>
      </c>
      <c r="D163" s="570"/>
      <c r="E163" s="570"/>
      <c r="F163" s="570"/>
      <c r="G163" s="570"/>
      <c r="H163" s="570"/>
    </row>
    <row r="164" spans="2:10">
      <c r="B164" s="290" t="str">
        <f t="shared" si="9"/>
        <v>19-21QuarterlyHampshire</v>
      </c>
      <c r="C164" s="542" t="s">
        <v>6</v>
      </c>
      <c r="D164" s="570"/>
      <c r="E164" s="570"/>
      <c r="F164" s="570"/>
      <c r="G164" s="570"/>
      <c r="H164" s="570"/>
    </row>
    <row r="165" spans="2:10">
      <c r="B165" s="290" t="str">
        <f t="shared" si="9"/>
        <v>19-21QuarterlyIsle of Wight</v>
      </c>
      <c r="C165" s="541" t="s">
        <v>1</v>
      </c>
      <c r="D165" s="570"/>
      <c r="E165" s="570"/>
      <c r="F165" s="570"/>
      <c r="G165" s="570"/>
      <c r="H165" s="570"/>
    </row>
    <row r="166" spans="2:10">
      <c r="B166" s="290" t="str">
        <f t="shared" si="9"/>
        <v>19-21QuarterlyKent</v>
      </c>
      <c r="C166" s="541" t="s">
        <v>9</v>
      </c>
      <c r="D166" s="570"/>
      <c r="E166" s="570"/>
      <c r="F166" s="570"/>
      <c r="G166" s="570"/>
      <c r="H166" s="570"/>
    </row>
    <row r="167" spans="2:10">
      <c r="B167" s="290" t="str">
        <f t="shared" si="9"/>
        <v>19-21QuarterlyMedway</v>
      </c>
      <c r="C167" s="541" t="s">
        <v>2</v>
      </c>
      <c r="D167" s="570"/>
      <c r="E167" s="570"/>
      <c r="F167" s="570"/>
      <c r="G167" s="570"/>
      <c r="H167" s="570"/>
    </row>
    <row r="168" spans="2:10">
      <c r="B168" s="290" t="str">
        <f t="shared" si="9"/>
        <v>19-21QuarterlyMilton Keynes</v>
      </c>
      <c r="C168" s="541" t="s">
        <v>10</v>
      </c>
      <c r="D168" s="570"/>
      <c r="E168" s="570"/>
      <c r="F168" s="570"/>
      <c r="G168" s="570"/>
      <c r="H168" s="570"/>
    </row>
    <row r="169" spans="2:10">
      <c r="B169" s="290" t="str">
        <f t="shared" si="9"/>
        <v>19-21QuarterlyOxfordshire</v>
      </c>
      <c r="C169" s="541" t="s">
        <v>11</v>
      </c>
      <c r="D169" s="570"/>
      <c r="E169" s="570"/>
      <c r="F169" s="570"/>
      <c r="G169" s="570"/>
      <c r="H169" s="570"/>
    </row>
    <row r="170" spans="2:10">
      <c r="B170" s="290" t="str">
        <f t="shared" si="9"/>
        <v>19-21QuarterlyPortsmouth</v>
      </c>
      <c r="C170" s="541" t="s">
        <v>12</v>
      </c>
      <c r="D170" s="570"/>
      <c r="E170" s="570"/>
      <c r="F170" s="570"/>
      <c r="G170" s="570"/>
      <c r="H170" s="570"/>
    </row>
    <row r="171" spans="2:10">
      <c r="B171" s="290" t="str">
        <f t="shared" si="9"/>
        <v>19-21QuarterlyReading</v>
      </c>
      <c r="C171" s="541" t="s">
        <v>3</v>
      </c>
      <c r="D171" s="570"/>
      <c r="E171" s="570"/>
      <c r="F171" s="570"/>
      <c r="G171" s="570"/>
      <c r="H171" s="570"/>
    </row>
    <row r="172" spans="2:10">
      <c r="B172" s="290" t="str">
        <f t="shared" si="9"/>
        <v>19-21QuarterlySlough</v>
      </c>
      <c r="C172" s="541" t="s">
        <v>13</v>
      </c>
      <c r="D172" s="570"/>
      <c r="E172" s="570"/>
      <c r="F172" s="570"/>
      <c r="G172" s="570"/>
      <c r="H172" s="570"/>
    </row>
    <row r="173" spans="2:10">
      <c r="B173" s="290" t="str">
        <f t="shared" si="9"/>
        <v>19-21QuarterlySouthampton</v>
      </c>
      <c r="C173" s="541" t="s">
        <v>14</v>
      </c>
      <c r="D173" s="570"/>
      <c r="E173" s="570"/>
      <c r="F173" s="570"/>
      <c r="G173" s="570"/>
      <c r="H173" s="570"/>
    </row>
    <row r="174" spans="2:10">
      <c r="B174" s="290" t="str">
        <f t="shared" si="9"/>
        <v>19-21QuarterlySurrey</v>
      </c>
      <c r="C174" s="541" t="s">
        <v>7</v>
      </c>
      <c r="D174" s="570"/>
      <c r="E174" s="570"/>
      <c r="F174" s="570"/>
      <c r="G174" s="570"/>
      <c r="H174" s="570"/>
    </row>
    <row r="175" spans="2:10">
      <c r="B175" s="290" t="str">
        <f t="shared" si="9"/>
        <v>19-21QuarterlyWest Berkshire</v>
      </c>
      <c r="C175" s="541" t="s">
        <v>15</v>
      </c>
      <c r="D175" s="570"/>
      <c r="E175" s="570"/>
      <c r="F175" s="570"/>
      <c r="G175" s="570"/>
      <c r="H175" s="570"/>
    </row>
    <row r="176" spans="2:10">
      <c r="B176" s="290" t="str">
        <f t="shared" si="9"/>
        <v>19-21QuarterlyWest Sussex</v>
      </c>
      <c r="C176" s="541" t="s">
        <v>5</v>
      </c>
      <c r="D176" s="570"/>
      <c r="E176" s="570"/>
      <c r="F176" s="570"/>
      <c r="G176" s="570"/>
      <c r="H176" s="570"/>
      <c r="J176" s="549"/>
    </row>
    <row r="177" spans="2:10">
      <c r="B177" s="290" t="str">
        <f t="shared" si="9"/>
        <v>19-21QuarterlyWindsor &amp; Maidenhead</v>
      </c>
      <c r="C177" s="542" t="s">
        <v>27</v>
      </c>
      <c r="D177" s="570"/>
      <c r="E177" s="570"/>
      <c r="F177" s="570"/>
      <c r="G177" s="570"/>
      <c r="H177" s="570"/>
      <c r="J177" s="549"/>
    </row>
    <row r="178" spans="2:10">
      <c r="B178" s="290" t="str">
        <f t="shared" si="9"/>
        <v>19-21QuarterlyWokingham</v>
      </c>
      <c r="C178" s="541" t="s">
        <v>16</v>
      </c>
      <c r="D178" s="570"/>
      <c r="E178" s="570"/>
      <c r="F178" s="570"/>
      <c r="G178" s="570"/>
      <c r="H178" s="570"/>
      <c r="J178" s="549"/>
    </row>
    <row r="179" spans="2:10">
      <c r="B179" s="290" t="str">
        <f t="shared" si="9"/>
        <v>19-21QuarterlySouth East</v>
      </c>
      <c r="C179" s="543" t="s">
        <v>71</v>
      </c>
      <c r="D179" s="570"/>
      <c r="E179" s="570"/>
      <c r="F179" s="570"/>
      <c r="G179" s="570"/>
      <c r="H179" s="570"/>
      <c r="J179" s="549"/>
    </row>
    <row r="180" spans="2:10">
      <c r="B180" s="290" t="str">
        <f t="shared" si="9"/>
        <v>19-21QuarterlyEngland</v>
      </c>
      <c r="C180" s="544" t="s">
        <v>109</v>
      </c>
      <c r="D180" s="570"/>
      <c r="E180" s="570"/>
      <c r="F180" s="570"/>
      <c r="G180" s="570"/>
      <c r="H180" s="570"/>
      <c r="J180" s="549"/>
    </row>
    <row r="181" spans="2:10">
      <c r="J181" s="549"/>
    </row>
    <row r="182" spans="2:10">
      <c r="B182" s="559" t="s">
        <v>635</v>
      </c>
      <c r="C182" s="456" t="s">
        <v>638</v>
      </c>
      <c r="J182" s="549"/>
    </row>
    <row r="183" spans="2:10">
      <c r="B183" s="545" t="s">
        <v>627</v>
      </c>
      <c r="C183" s="290" t="s">
        <v>574</v>
      </c>
      <c r="D183" s="773">
        <f>D$29</f>
        <v>43160</v>
      </c>
      <c r="E183" s="773">
        <f>E$29</f>
        <v>43525</v>
      </c>
      <c r="F183" s="773">
        <f>F$29</f>
        <v>43891</v>
      </c>
      <c r="G183" s="773">
        <f>G$29</f>
        <v>44256</v>
      </c>
      <c r="H183" s="773">
        <f>H$29</f>
        <v>44621</v>
      </c>
      <c r="I183" s="773">
        <v>44986</v>
      </c>
      <c r="J183" s="549"/>
    </row>
    <row r="184" spans="2:10">
      <c r="B184" s="290" t="str">
        <f t="shared" ref="B184:B205" si="10">CONCATENATE($B$182,$C$183,C184)</f>
        <v>10-17Annual</v>
      </c>
      <c r="C184" s="540"/>
      <c r="D184" s="228" t="s">
        <v>203</v>
      </c>
      <c r="E184" s="228" t="s">
        <v>765</v>
      </c>
      <c r="F184" s="228" t="s">
        <v>885</v>
      </c>
      <c r="G184" s="228" t="s">
        <v>895</v>
      </c>
      <c r="H184" s="228" t="s">
        <v>925</v>
      </c>
      <c r="I184" s="228" t="s">
        <v>926</v>
      </c>
      <c r="J184" s="549"/>
    </row>
    <row r="185" spans="2:10">
      <c r="B185" s="290" t="str">
        <f t="shared" si="10"/>
        <v>10-17AnnualBracknell Forest</v>
      </c>
      <c r="C185" s="541" t="s">
        <v>0</v>
      </c>
      <c r="D185" s="570">
        <v>11993</v>
      </c>
      <c r="E185" s="875">
        <v>12267</v>
      </c>
      <c r="F185" s="875">
        <v>12593</v>
      </c>
      <c r="G185" s="875">
        <v>12889</v>
      </c>
      <c r="H185" s="875">
        <v>13332</v>
      </c>
      <c r="I185" s="875">
        <v>13660</v>
      </c>
      <c r="J185" s="549"/>
    </row>
    <row r="186" spans="2:10">
      <c r="B186" s="290" t="str">
        <f t="shared" si="10"/>
        <v>10-17AnnualBrighton &amp; Hove</v>
      </c>
      <c r="C186" s="542" t="s">
        <v>28</v>
      </c>
      <c r="D186" s="875">
        <v>22125</v>
      </c>
      <c r="E186" s="875">
        <v>22135</v>
      </c>
      <c r="F186" s="875">
        <v>22436</v>
      </c>
      <c r="G186" s="875">
        <v>22459</v>
      </c>
      <c r="H186" s="875">
        <v>22857</v>
      </c>
      <c r="I186" s="875">
        <v>22904</v>
      </c>
      <c r="J186" s="549"/>
    </row>
    <row r="187" spans="2:10">
      <c r="B187" s="290" t="str">
        <f t="shared" si="10"/>
        <v>10-17AnnualBuckinghamshire</v>
      </c>
      <c r="C187" s="541" t="s">
        <v>8</v>
      </c>
      <c r="D187" s="875">
        <v>54541</v>
      </c>
      <c r="E187" s="875">
        <v>55533</v>
      </c>
      <c r="F187" s="875">
        <v>56535</v>
      </c>
      <c r="G187" s="875">
        <v>57680</v>
      </c>
      <c r="H187" s="875">
        <v>59501</v>
      </c>
      <c r="I187" s="875">
        <v>60683</v>
      </c>
      <c r="J187" s="549"/>
    </row>
    <row r="188" spans="2:10">
      <c r="B188" s="290" t="str">
        <f t="shared" si="10"/>
        <v>10-17AnnualEast Sussex</v>
      </c>
      <c r="C188" s="541" t="s">
        <v>4</v>
      </c>
      <c r="D188" s="875">
        <v>47456</v>
      </c>
      <c r="E188" s="875">
        <v>47705</v>
      </c>
      <c r="F188" s="875">
        <v>48170</v>
      </c>
      <c r="G188" s="875">
        <v>48535</v>
      </c>
      <c r="H188" s="875">
        <v>49620</v>
      </c>
      <c r="I188" s="875">
        <v>50656</v>
      </c>
      <c r="J188" s="549"/>
    </row>
    <row r="189" spans="2:10">
      <c r="B189" s="290" t="str">
        <f t="shared" si="10"/>
        <v>10-17AnnualHampshire</v>
      </c>
      <c r="C189" s="542" t="s">
        <v>6</v>
      </c>
      <c r="D189" s="875">
        <v>124289</v>
      </c>
      <c r="E189" s="875">
        <v>125387</v>
      </c>
      <c r="F189" s="875">
        <v>127018</v>
      </c>
      <c r="G189" s="875">
        <v>129246</v>
      </c>
      <c r="H189" s="875">
        <v>132216</v>
      </c>
      <c r="I189" s="875">
        <v>134694</v>
      </c>
      <c r="J189" s="549"/>
    </row>
    <row r="190" spans="2:10">
      <c r="B190" s="290" t="str">
        <f t="shared" si="10"/>
        <v>10-17AnnualIsle of Wight</v>
      </c>
      <c r="C190" s="541" t="s">
        <v>1</v>
      </c>
      <c r="D190" s="875">
        <v>11297</v>
      </c>
      <c r="E190" s="875">
        <v>11222</v>
      </c>
      <c r="F190" s="875">
        <v>11260</v>
      </c>
      <c r="G190" s="875">
        <v>11271</v>
      </c>
      <c r="H190" s="875">
        <v>11402</v>
      </c>
      <c r="I190" s="875">
        <v>11448</v>
      </c>
      <c r="J190" s="549"/>
    </row>
    <row r="191" spans="2:10">
      <c r="B191" s="290" t="str">
        <f t="shared" si="10"/>
        <v>10-17AnnualKent</v>
      </c>
      <c r="C191" s="541" t="s">
        <v>9</v>
      </c>
      <c r="D191" s="875">
        <v>146644</v>
      </c>
      <c r="E191" s="875">
        <v>149021</v>
      </c>
      <c r="F191" s="875">
        <v>151514</v>
      </c>
      <c r="G191" s="875">
        <v>154222</v>
      </c>
      <c r="H191" s="875">
        <v>159203</v>
      </c>
      <c r="I191" s="875">
        <v>163446</v>
      </c>
      <c r="J191" s="549"/>
    </row>
    <row r="192" spans="2:10">
      <c r="B192" s="290" t="str">
        <f t="shared" si="10"/>
        <v>10-17AnnualMedway</v>
      </c>
      <c r="C192" s="541" t="s">
        <v>2</v>
      </c>
      <c r="D192" s="875">
        <v>26874</v>
      </c>
      <c r="E192" s="875">
        <v>27433</v>
      </c>
      <c r="F192" s="875">
        <v>27772</v>
      </c>
      <c r="G192" s="875">
        <v>28254</v>
      </c>
      <c r="H192" s="875">
        <v>29194</v>
      </c>
      <c r="I192" s="875">
        <v>30149</v>
      </c>
      <c r="J192" s="549"/>
    </row>
    <row r="193" spans="2:10">
      <c r="B193" s="290" t="str">
        <f t="shared" si="10"/>
        <v>10-17AnnualMilton Keynes</v>
      </c>
      <c r="C193" s="541" t="s">
        <v>10</v>
      </c>
      <c r="D193" s="875">
        <v>28723</v>
      </c>
      <c r="E193" s="875">
        <v>29841</v>
      </c>
      <c r="F193" s="875">
        <v>30870</v>
      </c>
      <c r="G193" s="875">
        <v>31774</v>
      </c>
      <c r="H193" s="875">
        <v>32859</v>
      </c>
      <c r="I193" s="875">
        <v>34115</v>
      </c>
      <c r="J193" s="549"/>
    </row>
    <row r="194" spans="2:10">
      <c r="B194" s="290" t="str">
        <f t="shared" si="10"/>
        <v>10-17AnnualOxfordshire</v>
      </c>
      <c r="C194" s="541" t="s">
        <v>11</v>
      </c>
      <c r="D194" s="875">
        <v>63440</v>
      </c>
      <c r="E194" s="875">
        <v>64906</v>
      </c>
      <c r="F194" s="875">
        <v>66233</v>
      </c>
      <c r="G194" s="875">
        <v>67796</v>
      </c>
      <c r="H194" s="875">
        <v>69845</v>
      </c>
      <c r="I194" s="875">
        <v>71709</v>
      </c>
      <c r="J194" s="549"/>
    </row>
    <row r="195" spans="2:10">
      <c r="B195" s="290" t="str">
        <f t="shared" si="10"/>
        <v>10-17AnnualPortsmouth</v>
      </c>
      <c r="C195" s="541" t="s">
        <v>12</v>
      </c>
      <c r="D195" s="875">
        <v>17354</v>
      </c>
      <c r="E195" s="875">
        <v>17699</v>
      </c>
      <c r="F195" s="875">
        <v>17966</v>
      </c>
      <c r="G195" s="875">
        <v>18106</v>
      </c>
      <c r="H195" s="875">
        <v>18618</v>
      </c>
      <c r="I195" s="875">
        <v>19031</v>
      </c>
      <c r="J195" s="549"/>
    </row>
    <row r="196" spans="2:10">
      <c r="B196" s="290" t="str">
        <f t="shared" si="10"/>
        <v>10-17AnnualReading</v>
      </c>
      <c r="C196" s="541" t="s">
        <v>3</v>
      </c>
      <c r="D196" s="875">
        <v>14716</v>
      </c>
      <c r="E196" s="875">
        <v>15183</v>
      </c>
      <c r="F196" s="875">
        <v>15605</v>
      </c>
      <c r="G196" s="875">
        <v>15724</v>
      </c>
      <c r="H196" s="875">
        <v>16221</v>
      </c>
      <c r="I196" s="875">
        <v>16765</v>
      </c>
      <c r="J196" s="549"/>
    </row>
    <row r="197" spans="2:10">
      <c r="B197" s="290" t="str">
        <f t="shared" si="10"/>
        <v>10-17AnnualSlough</v>
      </c>
      <c r="C197" s="541" t="s">
        <v>13</v>
      </c>
      <c r="D197" s="875">
        <v>17229</v>
      </c>
      <c r="E197" s="875">
        <v>17993</v>
      </c>
      <c r="F197" s="875">
        <v>18801</v>
      </c>
      <c r="G197" s="875">
        <v>19472</v>
      </c>
      <c r="H197" s="875">
        <v>20006</v>
      </c>
      <c r="I197" s="875">
        <v>20419</v>
      </c>
      <c r="J197" s="549"/>
    </row>
    <row r="198" spans="2:10">
      <c r="B198" s="290" t="str">
        <f t="shared" si="10"/>
        <v>10-17AnnualSouthampton</v>
      </c>
      <c r="C198" s="541" t="s">
        <v>14</v>
      </c>
      <c r="D198" s="875">
        <v>19252</v>
      </c>
      <c r="E198" s="875">
        <v>20006</v>
      </c>
      <c r="F198" s="875">
        <v>20693</v>
      </c>
      <c r="G198" s="875">
        <v>21369</v>
      </c>
      <c r="H198" s="875">
        <v>21932</v>
      </c>
      <c r="I198" s="875">
        <v>22489</v>
      </c>
      <c r="J198" s="549"/>
    </row>
    <row r="199" spans="2:10">
      <c r="B199" s="290" t="str">
        <f t="shared" si="10"/>
        <v>10-17AnnualSurrey</v>
      </c>
      <c r="C199" s="541" t="s">
        <v>7</v>
      </c>
      <c r="D199" s="875">
        <v>113609</v>
      </c>
      <c r="E199" s="875">
        <v>115765</v>
      </c>
      <c r="F199" s="875">
        <v>118305</v>
      </c>
      <c r="G199" s="875">
        <v>120556</v>
      </c>
      <c r="H199" s="875">
        <v>123834</v>
      </c>
      <c r="I199" s="875">
        <v>126249</v>
      </c>
    </row>
    <row r="200" spans="2:10">
      <c r="B200" s="290" t="str">
        <f t="shared" si="10"/>
        <v>10-17AnnualWest Berkshire</v>
      </c>
      <c r="C200" s="541" t="s">
        <v>15</v>
      </c>
      <c r="D200" s="875">
        <v>16285</v>
      </c>
      <c r="E200" s="875">
        <v>16416</v>
      </c>
      <c r="F200" s="875">
        <v>16653</v>
      </c>
      <c r="G200" s="875">
        <v>16766</v>
      </c>
      <c r="H200" s="875">
        <v>17164</v>
      </c>
      <c r="I200" s="875">
        <v>17700</v>
      </c>
    </row>
    <row r="201" spans="2:10">
      <c r="B201" s="290" t="str">
        <f t="shared" si="10"/>
        <v>10-17AnnualWest Sussex</v>
      </c>
      <c r="C201" s="541" t="s">
        <v>5</v>
      </c>
      <c r="D201" s="875">
        <v>76092</v>
      </c>
      <c r="E201" s="875">
        <v>77628</v>
      </c>
      <c r="F201" s="875">
        <v>79236</v>
      </c>
      <c r="G201" s="875">
        <v>80779</v>
      </c>
      <c r="H201" s="875">
        <v>83126</v>
      </c>
      <c r="I201" s="875">
        <v>84698</v>
      </c>
    </row>
    <row r="202" spans="2:10">
      <c r="B202" s="290" t="str">
        <f t="shared" si="10"/>
        <v>10-17AnnualWindsor &amp; Maidenhead</v>
      </c>
      <c r="C202" s="542" t="s">
        <v>27</v>
      </c>
      <c r="D202" s="875">
        <v>15889</v>
      </c>
      <c r="E202" s="875">
        <v>16227</v>
      </c>
      <c r="F202" s="875">
        <v>16527</v>
      </c>
      <c r="G202" s="875">
        <v>16742</v>
      </c>
      <c r="H202" s="875">
        <v>17094</v>
      </c>
      <c r="I202" s="875">
        <v>17316</v>
      </c>
    </row>
    <row r="203" spans="2:10">
      <c r="B203" s="290" t="str">
        <f t="shared" si="10"/>
        <v>10-17AnnualWokingham</v>
      </c>
      <c r="C203" s="541" t="s">
        <v>16</v>
      </c>
      <c r="D203" s="875">
        <v>17296</v>
      </c>
      <c r="E203" s="875">
        <v>17895</v>
      </c>
      <c r="F203" s="875">
        <v>18572</v>
      </c>
      <c r="G203" s="875">
        <v>19201</v>
      </c>
      <c r="H203" s="875">
        <v>20380</v>
      </c>
      <c r="I203" s="875">
        <v>21281</v>
      </c>
    </row>
    <row r="204" spans="2:10">
      <c r="B204" s="290" t="str">
        <f t="shared" si="10"/>
        <v>10-17AnnualSouth East</v>
      </c>
      <c r="C204" s="543" t="s">
        <v>71</v>
      </c>
      <c r="D204" s="875">
        <v>845104</v>
      </c>
      <c r="E204" s="875">
        <v>860262</v>
      </c>
      <c r="F204" s="875">
        <v>876759</v>
      </c>
      <c r="G204" s="875">
        <v>892841</v>
      </c>
      <c r="H204" s="875">
        <v>918404</v>
      </c>
      <c r="I204" s="875">
        <v>939412</v>
      </c>
    </row>
    <row r="205" spans="2:10">
      <c r="B205" s="290" t="str">
        <f t="shared" si="10"/>
        <v>10-17AnnualEngland</v>
      </c>
      <c r="C205" s="544" t="s">
        <v>109</v>
      </c>
      <c r="D205" s="875">
        <v>5068889</v>
      </c>
      <c r="E205" s="875">
        <v>5172545</v>
      </c>
      <c r="F205" s="875">
        <v>5269781</v>
      </c>
      <c r="G205" s="875">
        <v>5365020</v>
      </c>
      <c r="H205" s="875">
        <v>5483425</v>
      </c>
      <c r="I205" s="875">
        <v>5585242</v>
      </c>
    </row>
    <row r="206" spans="2:10" customFormat="1"/>
    <row r="207" spans="2:10">
      <c r="D207" s="773">
        <f>D$29</f>
        <v>43160</v>
      </c>
      <c r="E207" s="773">
        <f>E$29</f>
        <v>43525</v>
      </c>
      <c r="F207" s="773">
        <f>F$29</f>
        <v>43891</v>
      </c>
      <c r="G207" s="773">
        <f>G$29</f>
        <v>44256</v>
      </c>
      <c r="H207" s="773">
        <f>H$29</f>
        <v>44621</v>
      </c>
    </row>
    <row r="208" spans="2:10">
      <c r="B208" s="559" t="s">
        <v>635</v>
      </c>
      <c r="C208" s="456" t="s">
        <v>638</v>
      </c>
      <c r="D208" s="551" t="str">
        <f>D$24</f>
        <v>2022-23</v>
      </c>
      <c r="E208" s="551" t="str">
        <f>E$24</f>
        <v>2022-23</v>
      </c>
      <c r="F208" s="551" t="str">
        <f>F$24</f>
        <v>2022-23</v>
      </c>
      <c r="G208" s="551" t="str">
        <f>G$24</f>
        <v>2022-23</v>
      </c>
      <c r="H208" s="551" t="str">
        <f>H$24</f>
        <v>2023-24</v>
      </c>
    </row>
    <row r="209" spans="2:8">
      <c r="B209" s="545" t="s">
        <v>627</v>
      </c>
      <c r="C209" s="290" t="s">
        <v>580</v>
      </c>
      <c r="D209" s="551" t="str">
        <f>D$25</f>
        <v>Q1</v>
      </c>
      <c r="E209" s="551" t="str">
        <f>E$25</f>
        <v>Q2</v>
      </c>
      <c r="F209" s="551" t="str">
        <f>F$25</f>
        <v>Q3</v>
      </c>
      <c r="G209" s="551" t="str">
        <f>G$25</f>
        <v>Q4</v>
      </c>
      <c r="H209" s="551" t="str">
        <f>H$25</f>
        <v>Q1</v>
      </c>
    </row>
    <row r="210" spans="2:8">
      <c r="B210" s="290" t="str">
        <f t="shared" ref="B210:B231" si="11">CONCATENATE($B$208,$C$209,C210)</f>
        <v>10-17Quarterly</v>
      </c>
      <c r="C210" s="540"/>
      <c r="D210" s="228" t="s">
        <v>895</v>
      </c>
      <c r="E210" s="228" t="s">
        <v>895</v>
      </c>
      <c r="F210" s="228" t="s">
        <v>895</v>
      </c>
      <c r="G210" s="228" t="s">
        <v>895</v>
      </c>
      <c r="H210" s="228" t="s">
        <v>895</v>
      </c>
    </row>
    <row r="211" spans="2:8">
      <c r="B211" s="290" t="str">
        <f t="shared" si="11"/>
        <v>10-17QuarterlyBracknell Forest</v>
      </c>
      <c r="C211" s="541" t="s">
        <v>0</v>
      </c>
      <c r="D211" s="570"/>
      <c r="E211" s="570"/>
      <c r="F211" s="570"/>
      <c r="G211" s="570"/>
      <c r="H211" s="570"/>
    </row>
    <row r="212" spans="2:8">
      <c r="B212" s="290" t="str">
        <f t="shared" si="11"/>
        <v>10-17QuarterlyBrighton &amp; Hove</v>
      </c>
      <c r="C212" s="542" t="s">
        <v>28</v>
      </c>
      <c r="D212" s="570"/>
      <c r="E212" s="570"/>
      <c r="F212" s="570"/>
      <c r="G212" s="570"/>
      <c r="H212" s="570"/>
    </row>
    <row r="213" spans="2:8">
      <c r="B213" s="290" t="str">
        <f t="shared" si="11"/>
        <v>10-17QuarterlyBuckinghamshire</v>
      </c>
      <c r="C213" s="541" t="s">
        <v>8</v>
      </c>
      <c r="D213" s="570"/>
      <c r="E213" s="570"/>
      <c r="F213" s="570"/>
      <c r="G213" s="570"/>
      <c r="H213" s="570"/>
    </row>
    <row r="214" spans="2:8">
      <c r="B214" s="290" t="str">
        <f t="shared" si="11"/>
        <v>10-17QuarterlyEast Sussex</v>
      </c>
      <c r="C214" s="541" t="s">
        <v>4</v>
      </c>
      <c r="D214" s="570"/>
      <c r="E214" s="570"/>
      <c r="F214" s="570"/>
      <c r="G214" s="570"/>
      <c r="H214" s="570"/>
    </row>
    <row r="215" spans="2:8">
      <c r="B215" s="290" t="str">
        <f t="shared" si="11"/>
        <v>10-17QuarterlyHampshire</v>
      </c>
      <c r="C215" s="542" t="s">
        <v>6</v>
      </c>
      <c r="D215" s="570"/>
      <c r="E215" s="570"/>
      <c r="F215" s="570"/>
      <c r="G215" s="570"/>
      <c r="H215" s="570"/>
    </row>
    <row r="216" spans="2:8">
      <c r="B216" s="290" t="str">
        <f t="shared" si="11"/>
        <v>10-17QuarterlyIsle of Wight</v>
      </c>
      <c r="C216" s="541" t="s">
        <v>1</v>
      </c>
      <c r="D216" s="570"/>
      <c r="E216" s="570"/>
      <c r="F216" s="570"/>
      <c r="G216" s="570"/>
      <c r="H216" s="570"/>
    </row>
    <row r="217" spans="2:8">
      <c r="B217" s="290" t="str">
        <f t="shared" si="11"/>
        <v>10-17QuarterlyKent</v>
      </c>
      <c r="C217" s="541" t="s">
        <v>9</v>
      </c>
      <c r="D217" s="570"/>
      <c r="E217" s="570"/>
      <c r="F217" s="570"/>
      <c r="G217" s="570"/>
      <c r="H217" s="570"/>
    </row>
    <row r="218" spans="2:8">
      <c r="B218" s="290" t="str">
        <f t="shared" si="11"/>
        <v>10-17QuarterlyMedway</v>
      </c>
      <c r="C218" s="541" t="s">
        <v>2</v>
      </c>
      <c r="D218" s="570"/>
      <c r="E218" s="570"/>
      <c r="F218" s="570"/>
      <c r="G218" s="570"/>
      <c r="H218" s="570"/>
    </row>
    <row r="219" spans="2:8">
      <c r="B219" s="290" t="str">
        <f t="shared" si="11"/>
        <v>10-17QuarterlyMilton Keynes</v>
      </c>
      <c r="C219" s="541" t="s">
        <v>10</v>
      </c>
      <c r="D219" s="570"/>
      <c r="E219" s="570"/>
      <c r="F219" s="570"/>
      <c r="G219" s="570"/>
      <c r="H219" s="570"/>
    </row>
    <row r="220" spans="2:8">
      <c r="B220" s="290" t="str">
        <f t="shared" si="11"/>
        <v>10-17QuarterlyOxfordshire</v>
      </c>
      <c r="C220" s="541" t="s">
        <v>11</v>
      </c>
      <c r="D220" s="570"/>
      <c r="E220" s="570"/>
      <c r="F220" s="570"/>
      <c r="G220" s="570"/>
      <c r="H220" s="570"/>
    </row>
    <row r="221" spans="2:8">
      <c r="B221" s="290" t="str">
        <f t="shared" si="11"/>
        <v>10-17QuarterlyPortsmouth</v>
      </c>
      <c r="C221" s="541" t="s">
        <v>12</v>
      </c>
      <c r="D221" s="570"/>
      <c r="E221" s="570"/>
      <c r="F221" s="570"/>
      <c r="G221" s="570"/>
      <c r="H221" s="570"/>
    </row>
    <row r="222" spans="2:8">
      <c r="B222" s="290" t="str">
        <f t="shared" si="11"/>
        <v>10-17QuarterlyReading</v>
      </c>
      <c r="C222" s="541" t="s">
        <v>3</v>
      </c>
      <c r="D222" s="570"/>
      <c r="E222" s="570"/>
      <c r="F222" s="570"/>
      <c r="G222" s="570"/>
      <c r="H222" s="570"/>
    </row>
    <row r="223" spans="2:8">
      <c r="B223" s="290" t="str">
        <f t="shared" si="11"/>
        <v>10-17QuarterlySlough</v>
      </c>
      <c r="C223" s="541" t="s">
        <v>13</v>
      </c>
      <c r="D223" s="570"/>
      <c r="E223" s="570"/>
      <c r="F223" s="570"/>
      <c r="G223" s="570"/>
      <c r="H223" s="570"/>
    </row>
    <row r="224" spans="2:8">
      <c r="B224" s="290" t="str">
        <f t="shared" si="11"/>
        <v>10-17QuarterlySouthampton</v>
      </c>
      <c r="C224" s="541" t="s">
        <v>14</v>
      </c>
      <c r="D224" s="570"/>
      <c r="E224" s="570"/>
      <c r="F224" s="570"/>
      <c r="G224" s="570"/>
      <c r="H224" s="570"/>
    </row>
    <row r="225" spans="2:8">
      <c r="B225" s="290" t="str">
        <f t="shared" si="11"/>
        <v>10-17QuarterlySurrey</v>
      </c>
      <c r="C225" s="541" t="s">
        <v>7</v>
      </c>
      <c r="D225" s="570"/>
      <c r="E225" s="570"/>
      <c r="F225" s="570"/>
      <c r="G225" s="570"/>
      <c r="H225" s="570"/>
    </row>
    <row r="226" spans="2:8">
      <c r="B226" s="290" t="str">
        <f t="shared" si="11"/>
        <v>10-17QuarterlyWest Berkshire</v>
      </c>
      <c r="C226" s="541" t="s">
        <v>15</v>
      </c>
      <c r="D226" s="570"/>
      <c r="E226" s="570"/>
      <c r="F226" s="570"/>
      <c r="G226" s="570"/>
      <c r="H226" s="570"/>
    </row>
    <row r="227" spans="2:8">
      <c r="B227" s="290" t="str">
        <f t="shared" si="11"/>
        <v>10-17QuarterlyWest Sussex</v>
      </c>
      <c r="C227" s="541" t="s">
        <v>5</v>
      </c>
      <c r="D227" s="570"/>
      <c r="E227" s="570"/>
      <c r="F227" s="570"/>
      <c r="G227" s="570"/>
      <c r="H227" s="570"/>
    </row>
    <row r="228" spans="2:8">
      <c r="B228" s="290" t="str">
        <f t="shared" si="11"/>
        <v>10-17QuarterlyWindsor &amp; Maidenhead</v>
      </c>
      <c r="C228" s="542" t="s">
        <v>27</v>
      </c>
      <c r="D228" s="570"/>
      <c r="E228" s="570"/>
      <c r="F228" s="570"/>
      <c r="G228" s="570"/>
      <c r="H228" s="570"/>
    </row>
    <row r="229" spans="2:8">
      <c r="B229" s="290" t="str">
        <f t="shared" si="11"/>
        <v>10-17QuarterlyWokingham</v>
      </c>
      <c r="C229" s="541" t="s">
        <v>16</v>
      </c>
      <c r="D229" s="570"/>
      <c r="E229" s="570"/>
      <c r="F229" s="570"/>
      <c r="G229" s="570"/>
      <c r="H229" s="570"/>
    </row>
    <row r="230" spans="2:8">
      <c r="B230" s="290" t="str">
        <f t="shared" si="11"/>
        <v>10-17QuarterlySouth East</v>
      </c>
      <c r="C230" s="543" t="s">
        <v>71</v>
      </c>
      <c r="D230" s="570"/>
      <c r="E230" s="570"/>
      <c r="F230" s="570"/>
      <c r="G230" s="570"/>
      <c r="H230" s="570"/>
    </row>
    <row r="231" spans="2:8">
      <c r="B231" s="290" t="str">
        <f t="shared" si="11"/>
        <v>10-17QuarterlyEngland</v>
      </c>
      <c r="C231" s="544" t="s">
        <v>109</v>
      </c>
      <c r="D231" s="570"/>
      <c r="E231" s="570"/>
      <c r="F231" s="570"/>
      <c r="G231" s="570"/>
      <c r="H231" s="570"/>
    </row>
    <row r="233" spans="2:8">
      <c r="B233" s="846" t="s">
        <v>150</v>
      </c>
      <c r="C233" s="847" t="s">
        <v>908</v>
      </c>
      <c r="D233" s="848"/>
      <c r="E233" s="848"/>
      <c r="F233" s="848"/>
      <c r="G233" s="848"/>
      <c r="H233" s="849"/>
    </row>
    <row r="234" spans="2:8">
      <c r="B234" s="545" t="s">
        <v>627</v>
      </c>
      <c r="C234" s="290" t="s">
        <v>574</v>
      </c>
      <c r="D234" s="1557" t="s">
        <v>1042</v>
      </c>
      <c r="E234" s="1557" t="s">
        <v>1043</v>
      </c>
      <c r="F234" s="1557" t="s">
        <v>1044</v>
      </c>
      <c r="G234" s="1557" t="s">
        <v>1045</v>
      </c>
      <c r="H234" s="1557" t="s">
        <v>1046</v>
      </c>
    </row>
    <row r="235" spans="2:8">
      <c r="B235" s="290" t="str">
        <f t="shared" ref="B235:B256" si="12">CONCATENATE($B$233,$C$234,C235)</f>
        <v>16-17Annual</v>
      </c>
      <c r="C235" s="540"/>
      <c r="D235" s="601">
        <v>43525</v>
      </c>
      <c r="E235" s="601">
        <v>43891</v>
      </c>
      <c r="F235" s="601">
        <v>44256</v>
      </c>
      <c r="G235" s="601">
        <v>44621</v>
      </c>
      <c r="H235" s="601">
        <v>44986</v>
      </c>
    </row>
    <row r="236" spans="2:8">
      <c r="B236" s="290" t="str">
        <f t="shared" si="12"/>
        <v>16-17AnnualBracknell Forest</v>
      </c>
      <c r="C236" s="541" t="s">
        <v>0</v>
      </c>
      <c r="D236" s="570">
        <v>2190</v>
      </c>
      <c r="E236" s="570">
        <v>2210</v>
      </c>
      <c r="F236" s="570">
        <v>2610</v>
      </c>
      <c r="G236" s="570">
        <v>2722</v>
      </c>
      <c r="H236" s="570">
        <v>2710</v>
      </c>
    </row>
    <row r="237" spans="2:8">
      <c r="B237" s="290" t="str">
        <f t="shared" si="12"/>
        <v>16-17AnnualBrighton &amp; Hove</v>
      </c>
      <c r="C237" s="542" t="s">
        <v>28</v>
      </c>
      <c r="D237" s="570">
        <v>4900</v>
      </c>
      <c r="E237" s="570">
        <v>4770</v>
      </c>
      <c r="F237" s="570">
        <v>5020</v>
      </c>
      <c r="G237" s="570">
        <v>5074</v>
      </c>
      <c r="H237" s="570">
        <v>5217</v>
      </c>
    </row>
    <row r="238" spans="2:8">
      <c r="B238" s="290" t="str">
        <f t="shared" si="12"/>
        <v>16-17AnnualBuckinghamshire</v>
      </c>
      <c r="C238" s="541" t="s">
        <v>8</v>
      </c>
      <c r="D238" s="570">
        <v>11580</v>
      </c>
      <c r="E238" s="570">
        <v>11760</v>
      </c>
      <c r="F238" s="570">
        <v>12390</v>
      </c>
      <c r="G238" s="570">
        <v>12516</v>
      </c>
      <c r="H238" s="570">
        <v>12474</v>
      </c>
    </row>
    <row r="239" spans="2:8">
      <c r="B239" s="290" t="str">
        <f t="shared" si="12"/>
        <v>16-17AnnualEast Sussex</v>
      </c>
      <c r="C239" s="541" t="s">
        <v>4</v>
      </c>
      <c r="D239" s="570">
        <v>10540</v>
      </c>
      <c r="E239" s="570">
        <v>10360</v>
      </c>
      <c r="F239" s="570">
        <v>10620</v>
      </c>
      <c r="G239" s="570">
        <v>10672</v>
      </c>
      <c r="H239" s="570">
        <v>11243</v>
      </c>
    </row>
    <row r="240" spans="2:8">
      <c r="B240" s="290" t="str">
        <f t="shared" si="12"/>
        <v>16-17AnnualHampshire</v>
      </c>
      <c r="C240" s="542" t="s">
        <v>6</v>
      </c>
      <c r="D240" s="570">
        <v>26920</v>
      </c>
      <c r="E240" s="570">
        <v>27680</v>
      </c>
      <c r="F240" s="570">
        <v>28640</v>
      </c>
      <c r="G240" s="570">
        <v>29537</v>
      </c>
      <c r="H240" s="570">
        <v>30087</v>
      </c>
    </row>
    <row r="241" spans="2:8">
      <c r="B241" s="290" t="str">
        <f t="shared" si="12"/>
        <v>16-17AnnualIsle of Wight</v>
      </c>
      <c r="C241" s="541" t="s">
        <v>1</v>
      </c>
      <c r="D241" s="570">
        <v>2520</v>
      </c>
      <c r="E241" s="570">
        <v>2480</v>
      </c>
      <c r="F241" s="570">
        <v>2650</v>
      </c>
      <c r="G241" s="570">
        <v>2733</v>
      </c>
      <c r="H241" s="570">
        <v>2816</v>
      </c>
    </row>
    <row r="242" spans="2:8">
      <c r="B242" s="290" t="str">
        <f t="shared" si="12"/>
        <v>16-17AnnualKent</v>
      </c>
      <c r="C242" s="541" t="s">
        <v>9</v>
      </c>
      <c r="D242" s="570">
        <v>32580</v>
      </c>
      <c r="E242" s="570">
        <v>32280</v>
      </c>
      <c r="F242" s="570">
        <v>33610</v>
      </c>
      <c r="G242" s="570">
        <v>33437</v>
      </c>
      <c r="H242" s="570">
        <v>34182</v>
      </c>
    </row>
    <row r="243" spans="2:8">
      <c r="B243" s="290" t="str">
        <f t="shared" si="12"/>
        <v>16-17AnnualMedway</v>
      </c>
      <c r="C243" s="541" t="s">
        <v>2</v>
      </c>
      <c r="D243" s="570">
        <v>6370</v>
      </c>
      <c r="E243" s="570">
        <v>6290</v>
      </c>
      <c r="F243" s="570">
        <v>6450</v>
      </c>
      <c r="G243" s="570">
        <v>6617</v>
      </c>
      <c r="H243" s="570">
        <v>6905</v>
      </c>
    </row>
    <row r="244" spans="2:8">
      <c r="B244" s="290" t="str">
        <f t="shared" si="12"/>
        <v>16-17AnnualMilton Keynes</v>
      </c>
      <c r="C244" s="541" t="s">
        <v>10</v>
      </c>
      <c r="D244" s="570">
        <v>6070</v>
      </c>
      <c r="E244" s="570">
        <v>6250</v>
      </c>
      <c r="F244" s="570">
        <v>6560</v>
      </c>
      <c r="G244" s="570">
        <v>6719</v>
      </c>
      <c r="H244" s="570">
        <v>6683</v>
      </c>
    </row>
    <row r="245" spans="2:8">
      <c r="B245" s="290" t="str">
        <f t="shared" si="12"/>
        <v>16-17AnnualOxfordshire</v>
      </c>
      <c r="C245" s="541" t="s">
        <v>11</v>
      </c>
      <c r="D245" s="570">
        <v>12450</v>
      </c>
      <c r="E245" s="570">
        <v>12820</v>
      </c>
      <c r="F245" s="570">
        <v>13310</v>
      </c>
      <c r="G245" s="570">
        <v>13356</v>
      </c>
      <c r="H245" s="570">
        <v>13966</v>
      </c>
    </row>
    <row r="246" spans="2:8">
      <c r="B246" s="290" t="str">
        <f t="shared" si="12"/>
        <v>16-17AnnualPortsmouth</v>
      </c>
      <c r="C246" s="541" t="s">
        <v>12</v>
      </c>
      <c r="D246" s="570">
        <v>3720</v>
      </c>
      <c r="E246" s="570">
        <v>3970</v>
      </c>
      <c r="F246" s="570">
        <v>4090</v>
      </c>
      <c r="G246" s="570">
        <v>4180</v>
      </c>
      <c r="H246" s="570">
        <v>4303</v>
      </c>
    </row>
    <row r="247" spans="2:8">
      <c r="B247" s="290" t="str">
        <f t="shared" si="12"/>
        <v>16-17AnnualReading</v>
      </c>
      <c r="C247" s="541" t="s">
        <v>3</v>
      </c>
      <c r="D247" s="570">
        <v>2920</v>
      </c>
      <c r="E247" s="570">
        <v>3020</v>
      </c>
      <c r="F247" s="570">
        <v>3180</v>
      </c>
      <c r="G247" s="570">
        <v>3373</v>
      </c>
      <c r="H247" s="570">
        <v>3465</v>
      </c>
    </row>
    <row r="248" spans="2:8">
      <c r="B248" s="290" t="str">
        <f t="shared" si="12"/>
        <v>16-17AnnualSlough</v>
      </c>
      <c r="C248" s="541" t="s">
        <v>13</v>
      </c>
      <c r="D248" s="570">
        <v>3720</v>
      </c>
      <c r="E248" s="570">
        <v>3920</v>
      </c>
      <c r="F248" s="570">
        <v>3920</v>
      </c>
      <c r="G248" s="570">
        <v>4158</v>
      </c>
      <c r="H248" s="570">
        <v>4431</v>
      </c>
    </row>
    <row r="249" spans="2:8">
      <c r="B249" s="290" t="str">
        <f t="shared" si="12"/>
        <v>16-17AnnualSouthampton</v>
      </c>
      <c r="C249" s="541" t="s">
        <v>14</v>
      </c>
      <c r="D249" s="570">
        <v>4260</v>
      </c>
      <c r="E249" s="570">
        <v>4390</v>
      </c>
      <c r="F249" s="570">
        <v>4410</v>
      </c>
      <c r="G249" s="570">
        <v>4685</v>
      </c>
      <c r="H249" s="570">
        <v>4960</v>
      </c>
    </row>
    <row r="250" spans="2:8">
      <c r="B250" s="290" t="str">
        <f t="shared" si="12"/>
        <v>16-17AnnualSurrey</v>
      </c>
      <c r="C250" s="541" t="s">
        <v>7</v>
      </c>
      <c r="D250" s="570">
        <v>21340</v>
      </c>
      <c r="E250" s="570">
        <v>21870</v>
      </c>
      <c r="F250" s="570">
        <v>22660</v>
      </c>
      <c r="G250" s="570">
        <v>24108</v>
      </c>
      <c r="H250" s="570">
        <v>24745</v>
      </c>
    </row>
    <row r="251" spans="2:8">
      <c r="B251" s="290" t="str">
        <f t="shared" si="12"/>
        <v>16-17AnnualWest Berkshire</v>
      </c>
      <c r="C251" s="541" t="s">
        <v>15</v>
      </c>
      <c r="D251" s="570">
        <v>3240</v>
      </c>
      <c r="E251" s="570">
        <v>3360</v>
      </c>
      <c r="F251" s="570">
        <v>3460</v>
      </c>
      <c r="G251" s="570">
        <v>3421</v>
      </c>
      <c r="H251" s="570">
        <v>3477</v>
      </c>
    </row>
    <row r="252" spans="2:8">
      <c r="B252" s="290" t="str">
        <f t="shared" si="12"/>
        <v>16-17AnnualWest Sussex</v>
      </c>
      <c r="C252" s="541" t="s">
        <v>5</v>
      </c>
      <c r="D252" s="570">
        <v>16300</v>
      </c>
      <c r="E252" s="570">
        <v>16620</v>
      </c>
      <c r="F252" s="570">
        <v>17210</v>
      </c>
      <c r="G252" s="570">
        <v>17002</v>
      </c>
      <c r="H252" s="570">
        <v>16930</v>
      </c>
    </row>
    <row r="253" spans="2:8">
      <c r="B253" s="290" t="str">
        <f t="shared" si="12"/>
        <v>16-17AnnualWindsor &amp; Maidenhead</v>
      </c>
      <c r="C253" s="542" t="s">
        <v>27</v>
      </c>
      <c r="D253" s="570">
        <v>2910</v>
      </c>
      <c r="E253" s="570">
        <v>2920</v>
      </c>
      <c r="F253" s="570">
        <v>3090</v>
      </c>
      <c r="G253" s="570">
        <v>3089</v>
      </c>
      <c r="H253" s="570">
        <v>3090</v>
      </c>
    </row>
    <row r="254" spans="2:8">
      <c r="B254" s="290" t="str">
        <f t="shared" si="12"/>
        <v>16-17AnnualWokingham</v>
      </c>
      <c r="C254" s="541" t="s">
        <v>16</v>
      </c>
      <c r="D254" s="570">
        <v>3420</v>
      </c>
      <c r="E254" s="570">
        <v>3440</v>
      </c>
      <c r="F254" s="570">
        <v>3760</v>
      </c>
      <c r="G254" s="570">
        <v>3905</v>
      </c>
      <c r="H254" s="570">
        <v>3959</v>
      </c>
    </row>
    <row r="255" spans="2:8">
      <c r="B255" s="290" t="str">
        <f t="shared" si="12"/>
        <v>16-17AnnualSouth East</v>
      </c>
      <c r="C255" s="543" t="s">
        <v>71</v>
      </c>
      <c r="D255" s="570">
        <v>177960</v>
      </c>
      <c r="E255" s="570">
        <v>180420</v>
      </c>
      <c r="F255" s="570">
        <v>187620</v>
      </c>
      <c r="G255" s="570">
        <v>191304</v>
      </c>
      <c r="H255" s="570">
        <v>195643</v>
      </c>
    </row>
    <row r="256" spans="2:8">
      <c r="B256" s="290" t="str">
        <f t="shared" si="12"/>
        <v>16-17AnnualEngland</v>
      </c>
      <c r="C256" s="544" t="s">
        <v>109</v>
      </c>
      <c r="D256" s="570">
        <v>1123890</v>
      </c>
      <c r="E256" s="570">
        <v>1145550</v>
      </c>
      <c r="F256" s="570">
        <v>1182880</v>
      </c>
      <c r="G256" s="570">
        <v>1210409</v>
      </c>
      <c r="H256" s="570">
        <v>1239678</v>
      </c>
    </row>
    <row r="258" spans="2:8">
      <c r="B258" s="846" t="s">
        <v>150</v>
      </c>
      <c r="C258" s="847" t="s">
        <v>909</v>
      </c>
      <c r="D258" s="848"/>
      <c r="E258" s="848"/>
      <c r="F258" s="848"/>
      <c r="G258" s="848"/>
      <c r="H258" s="849"/>
    </row>
    <row r="259" spans="2:8">
      <c r="D259" s="845" t="str">
        <f>D$24</f>
        <v>2022-23</v>
      </c>
      <c r="E259" s="845" t="str">
        <f>E$24</f>
        <v>2022-23</v>
      </c>
      <c r="F259" s="845" t="str">
        <f>F$24</f>
        <v>2022-23</v>
      </c>
      <c r="G259" s="845" t="str">
        <f>G$24</f>
        <v>2022-23</v>
      </c>
      <c r="H259" s="845" t="str">
        <f>H$24</f>
        <v>2023-24</v>
      </c>
    </row>
    <row r="260" spans="2:8">
      <c r="B260" s="545" t="s">
        <v>627</v>
      </c>
      <c r="C260" s="290" t="s">
        <v>580</v>
      </c>
      <c r="D260" s="551" t="str">
        <f>D$25</f>
        <v>Q1</v>
      </c>
      <c r="E260" s="551" t="str">
        <f>E$25</f>
        <v>Q2</v>
      </c>
      <c r="F260" s="551" t="str">
        <f>F$25</f>
        <v>Q3</v>
      </c>
      <c r="G260" s="551" t="str">
        <f>G$25</f>
        <v>Q4</v>
      </c>
      <c r="H260" s="551" t="str">
        <f>H$25</f>
        <v>Q1</v>
      </c>
    </row>
    <row r="261" spans="2:8">
      <c r="B261" s="290" t="str">
        <f t="shared" ref="B261:B282" si="13">CONCATENATE($B$258,$C$260,C261)</f>
        <v>16-17Quarterly</v>
      </c>
      <c r="C261" s="540"/>
      <c r="D261" s="601">
        <v>43983</v>
      </c>
      <c r="E261" s="601">
        <v>44075</v>
      </c>
      <c r="F261" s="601">
        <v>44166</v>
      </c>
      <c r="G261" s="601">
        <v>44256</v>
      </c>
      <c r="H261" s="601">
        <v>44348</v>
      </c>
    </row>
    <row r="262" spans="2:8">
      <c r="B262" s="290" t="str">
        <f t="shared" si="13"/>
        <v>16-17QuarterlyBracknell Forest</v>
      </c>
      <c r="C262" s="541" t="s">
        <v>0</v>
      </c>
      <c r="D262" s="570"/>
      <c r="E262" s="570"/>
      <c r="F262" s="570"/>
      <c r="G262" s="570"/>
      <c r="H262" s="570"/>
    </row>
    <row r="263" spans="2:8">
      <c r="B263" s="290" t="str">
        <f t="shared" si="13"/>
        <v>16-17QuarterlyBrighton &amp; Hove</v>
      </c>
      <c r="C263" s="542" t="s">
        <v>28</v>
      </c>
      <c r="D263" s="570"/>
      <c r="E263" s="570"/>
      <c r="F263" s="570"/>
      <c r="G263" s="570"/>
      <c r="H263" s="570"/>
    </row>
    <row r="264" spans="2:8">
      <c r="B264" s="290" t="str">
        <f t="shared" si="13"/>
        <v>16-17QuarterlyBuckinghamshire</v>
      </c>
      <c r="C264" s="541" t="s">
        <v>8</v>
      </c>
      <c r="D264" s="570"/>
      <c r="E264" s="570"/>
      <c r="F264" s="570"/>
      <c r="G264" s="570"/>
      <c r="H264" s="570"/>
    </row>
    <row r="265" spans="2:8">
      <c r="B265" s="290" t="str">
        <f t="shared" si="13"/>
        <v>16-17QuarterlyEast Sussex</v>
      </c>
      <c r="C265" s="541" t="s">
        <v>4</v>
      </c>
      <c r="D265" s="570"/>
      <c r="E265" s="570"/>
      <c r="F265" s="570"/>
      <c r="G265" s="570"/>
      <c r="H265" s="570"/>
    </row>
    <row r="266" spans="2:8">
      <c r="B266" s="290" t="str">
        <f t="shared" si="13"/>
        <v>16-17QuarterlyHampshire</v>
      </c>
      <c r="C266" s="542" t="s">
        <v>6</v>
      </c>
      <c r="D266" s="570"/>
      <c r="E266" s="570"/>
      <c r="F266" s="570"/>
      <c r="G266" s="570"/>
      <c r="H266" s="570"/>
    </row>
    <row r="267" spans="2:8">
      <c r="B267" s="290" t="str">
        <f t="shared" si="13"/>
        <v>16-17QuarterlyIsle of Wight</v>
      </c>
      <c r="C267" s="541" t="s">
        <v>1</v>
      </c>
      <c r="D267" s="570"/>
      <c r="E267" s="570"/>
      <c r="F267" s="570"/>
      <c r="G267" s="570"/>
      <c r="H267" s="570"/>
    </row>
    <row r="268" spans="2:8">
      <c r="B268" s="290" t="str">
        <f t="shared" si="13"/>
        <v>16-17QuarterlyKent</v>
      </c>
      <c r="C268" s="541" t="s">
        <v>9</v>
      </c>
      <c r="D268" s="570"/>
      <c r="E268" s="570"/>
      <c r="F268" s="570"/>
      <c r="G268" s="570"/>
      <c r="H268" s="570"/>
    </row>
    <row r="269" spans="2:8">
      <c r="B269" s="290" t="str">
        <f t="shared" si="13"/>
        <v>16-17QuarterlyMedway</v>
      </c>
      <c r="C269" s="541" t="s">
        <v>2</v>
      </c>
      <c r="D269" s="570"/>
      <c r="E269" s="570"/>
      <c r="F269" s="570"/>
      <c r="G269" s="570"/>
      <c r="H269" s="570"/>
    </row>
    <row r="270" spans="2:8">
      <c r="B270" s="290" t="str">
        <f t="shared" si="13"/>
        <v>16-17QuarterlyMilton Keynes</v>
      </c>
      <c r="C270" s="541" t="s">
        <v>10</v>
      </c>
      <c r="D270" s="570"/>
      <c r="E270" s="570"/>
      <c r="F270" s="570"/>
      <c r="G270" s="570"/>
      <c r="H270" s="570"/>
    </row>
    <row r="271" spans="2:8">
      <c r="B271" s="290" t="str">
        <f t="shared" si="13"/>
        <v>16-17QuarterlyOxfordshire</v>
      </c>
      <c r="C271" s="541" t="s">
        <v>11</v>
      </c>
      <c r="D271" s="570"/>
      <c r="E271" s="570"/>
      <c r="F271" s="570"/>
      <c r="G271" s="570"/>
      <c r="H271" s="570"/>
    </row>
    <row r="272" spans="2:8">
      <c r="B272" s="290" t="str">
        <f t="shared" si="13"/>
        <v>16-17QuarterlyPortsmouth</v>
      </c>
      <c r="C272" s="541" t="s">
        <v>12</v>
      </c>
      <c r="D272" s="570"/>
      <c r="E272" s="570"/>
      <c r="F272" s="570"/>
      <c r="G272" s="570"/>
      <c r="H272" s="570"/>
    </row>
    <row r="273" spans="2:8">
      <c r="B273" s="290" t="str">
        <f t="shared" si="13"/>
        <v>16-17QuarterlyReading</v>
      </c>
      <c r="C273" s="541" t="s">
        <v>3</v>
      </c>
      <c r="D273" s="570"/>
      <c r="E273" s="570"/>
      <c r="F273" s="570"/>
      <c r="G273" s="570"/>
      <c r="H273" s="570"/>
    </row>
    <row r="274" spans="2:8">
      <c r="B274" s="290" t="str">
        <f t="shared" si="13"/>
        <v>16-17QuarterlySlough</v>
      </c>
      <c r="C274" s="541" t="s">
        <v>13</v>
      </c>
      <c r="D274" s="570"/>
      <c r="E274" s="570"/>
      <c r="F274" s="570"/>
      <c r="G274" s="570"/>
      <c r="H274" s="570"/>
    </row>
    <row r="275" spans="2:8">
      <c r="B275" s="290" t="str">
        <f t="shared" si="13"/>
        <v>16-17QuarterlySouthampton</v>
      </c>
      <c r="C275" s="541" t="s">
        <v>14</v>
      </c>
      <c r="D275" s="570"/>
      <c r="E275" s="570"/>
      <c r="F275" s="570"/>
      <c r="G275" s="570"/>
      <c r="H275" s="570"/>
    </row>
    <row r="276" spans="2:8">
      <c r="B276" s="290" t="str">
        <f t="shared" si="13"/>
        <v>16-17QuarterlySurrey</v>
      </c>
      <c r="C276" s="541" t="s">
        <v>7</v>
      </c>
      <c r="D276" s="570"/>
      <c r="E276" s="570"/>
      <c r="F276" s="570"/>
      <c r="G276" s="570"/>
      <c r="H276" s="570"/>
    </row>
    <row r="277" spans="2:8">
      <c r="B277" s="290" t="str">
        <f t="shared" si="13"/>
        <v>16-17QuarterlyWest Berkshire</v>
      </c>
      <c r="C277" s="541" t="s">
        <v>15</v>
      </c>
      <c r="D277" s="570"/>
      <c r="E277" s="570"/>
      <c r="F277" s="570"/>
      <c r="G277" s="570"/>
      <c r="H277" s="570"/>
    </row>
    <row r="278" spans="2:8">
      <c r="B278" s="290" t="str">
        <f t="shared" si="13"/>
        <v>16-17QuarterlyWest Sussex</v>
      </c>
      <c r="C278" s="541" t="s">
        <v>5</v>
      </c>
      <c r="D278" s="570"/>
      <c r="E278" s="570"/>
      <c r="F278" s="570"/>
      <c r="G278" s="570"/>
      <c r="H278" s="570"/>
    </row>
    <row r="279" spans="2:8">
      <c r="B279" s="290" t="str">
        <f t="shared" si="13"/>
        <v>16-17QuarterlyWindsor &amp; Maidenhead</v>
      </c>
      <c r="C279" s="542" t="s">
        <v>27</v>
      </c>
      <c r="D279" s="570"/>
      <c r="E279" s="570"/>
      <c r="F279" s="570"/>
      <c r="G279" s="570"/>
      <c r="H279" s="570"/>
    </row>
    <row r="280" spans="2:8">
      <c r="B280" s="290" t="str">
        <f t="shared" si="13"/>
        <v>16-17QuarterlyWokingham</v>
      </c>
      <c r="C280" s="541" t="s">
        <v>16</v>
      </c>
      <c r="D280" s="570"/>
      <c r="E280" s="570"/>
      <c r="F280" s="570"/>
      <c r="G280" s="570"/>
      <c r="H280" s="570"/>
    </row>
    <row r="281" spans="2:8">
      <c r="B281" s="290" t="str">
        <f t="shared" si="13"/>
        <v>16-17QuarterlySouth East</v>
      </c>
      <c r="C281" s="543" t="s">
        <v>71</v>
      </c>
      <c r="D281" s="570"/>
      <c r="E281" s="570"/>
      <c r="F281" s="570"/>
      <c r="G281" s="570"/>
      <c r="H281" s="570"/>
    </row>
    <row r="282" spans="2:8">
      <c r="B282" s="290" t="str">
        <f t="shared" si="13"/>
        <v>16-17QuarterlyEngland</v>
      </c>
      <c r="C282" s="544" t="s">
        <v>109</v>
      </c>
      <c r="D282" s="570"/>
      <c r="E282" s="570"/>
      <c r="F282" s="570"/>
      <c r="G282" s="570"/>
      <c r="H282" s="570"/>
    </row>
    <row r="284" spans="2:8">
      <c r="B284" s="850" t="s">
        <v>911</v>
      </c>
      <c r="C284" s="851" t="s">
        <v>910</v>
      </c>
      <c r="D284" s="852"/>
      <c r="E284" s="852"/>
      <c r="F284" s="852"/>
      <c r="G284" s="852"/>
      <c r="H284" s="853"/>
    </row>
    <row r="285" spans="2:8">
      <c r="B285" s="545" t="s">
        <v>627</v>
      </c>
      <c r="C285" s="290" t="s">
        <v>574</v>
      </c>
      <c r="D285" s="1557" t="s">
        <v>1042</v>
      </c>
      <c r="E285" s="1557" t="s">
        <v>1043</v>
      </c>
      <c r="F285" s="1557" t="s">
        <v>1044</v>
      </c>
      <c r="G285" s="1557" t="s">
        <v>1045</v>
      </c>
      <c r="H285" s="1557" t="s">
        <v>1046</v>
      </c>
    </row>
    <row r="286" spans="2:8">
      <c r="B286" s="290" t="str">
        <f t="shared" ref="B286:B307" si="14">CONCATENATE($B$284,$C$285,C286)</f>
        <v>16-17_3mAnnual</v>
      </c>
      <c r="C286" s="540"/>
      <c r="D286" s="601">
        <v>43525</v>
      </c>
      <c r="E286" s="601">
        <v>43891</v>
      </c>
      <c r="F286" s="601">
        <v>44256</v>
      </c>
      <c r="G286" s="601">
        <v>44621</v>
      </c>
      <c r="H286" s="601">
        <v>44986</v>
      </c>
    </row>
    <row r="287" spans="2:8">
      <c r="B287" s="290" t="str">
        <f t="shared" si="14"/>
        <v>16-17_3mAnnualBracknell Forest</v>
      </c>
      <c r="C287" s="541" t="s">
        <v>0</v>
      </c>
      <c r="D287" s="570">
        <v>2180</v>
      </c>
      <c r="E287" s="570">
        <v>2210</v>
      </c>
      <c r="F287" s="570">
        <v>2610</v>
      </c>
      <c r="G287" s="570">
        <v>2722</v>
      </c>
      <c r="H287" s="570">
        <v>2725</v>
      </c>
    </row>
    <row r="288" spans="2:8">
      <c r="B288" s="290" t="str">
        <f t="shared" si="14"/>
        <v>16-17_3mAnnualBrighton &amp; Hove</v>
      </c>
      <c r="C288" s="542" t="s">
        <v>28</v>
      </c>
      <c r="D288" s="570">
        <v>4910</v>
      </c>
      <c r="E288" s="570">
        <v>4770</v>
      </c>
      <c r="F288" s="570">
        <v>5020</v>
      </c>
      <c r="G288" s="570">
        <v>5074</v>
      </c>
      <c r="H288" s="570">
        <v>5222</v>
      </c>
    </row>
    <row r="289" spans="2:8">
      <c r="B289" s="290" t="str">
        <f t="shared" si="14"/>
        <v>16-17_3mAnnualBuckinghamshire</v>
      </c>
      <c r="C289" s="541" t="s">
        <v>8</v>
      </c>
      <c r="D289" s="570">
        <v>11630</v>
      </c>
      <c r="E289" s="570">
        <v>11760</v>
      </c>
      <c r="F289" s="570">
        <v>12410</v>
      </c>
      <c r="G289" s="570">
        <v>12516</v>
      </c>
      <c r="H289" s="570">
        <v>12469</v>
      </c>
    </row>
    <row r="290" spans="2:8">
      <c r="B290" s="290" t="str">
        <f t="shared" si="14"/>
        <v>16-17_3mAnnualEast Sussex</v>
      </c>
      <c r="C290" s="541" t="s">
        <v>4</v>
      </c>
      <c r="D290" s="570">
        <v>10560</v>
      </c>
      <c r="E290" s="570">
        <v>10350</v>
      </c>
      <c r="F290" s="570">
        <v>10610</v>
      </c>
      <c r="G290" s="570">
        <v>10672</v>
      </c>
      <c r="H290" s="570">
        <v>11259</v>
      </c>
    </row>
    <row r="291" spans="2:8">
      <c r="B291" s="290" t="str">
        <f t="shared" si="14"/>
        <v>16-17_3mAnnualHampshire</v>
      </c>
      <c r="C291" s="542" t="s">
        <v>6</v>
      </c>
      <c r="D291" s="570">
        <v>26920</v>
      </c>
      <c r="E291" s="570">
        <v>27690</v>
      </c>
      <c r="F291" s="570">
        <v>28660</v>
      </c>
      <c r="G291" s="570">
        <v>29537</v>
      </c>
      <c r="H291" s="570">
        <v>30088</v>
      </c>
    </row>
    <row r="292" spans="2:8">
      <c r="B292" s="290" t="str">
        <f t="shared" si="14"/>
        <v>16-17_3mAnnualIsle of Wight</v>
      </c>
      <c r="C292" s="541" t="s">
        <v>1</v>
      </c>
      <c r="D292" s="570">
        <v>2530</v>
      </c>
      <c r="E292" s="570">
        <v>2480</v>
      </c>
      <c r="F292" s="570">
        <v>2620</v>
      </c>
      <c r="G292" s="570">
        <v>2733</v>
      </c>
      <c r="H292" s="570">
        <v>2750</v>
      </c>
    </row>
    <row r="293" spans="2:8">
      <c r="B293" s="290" t="str">
        <f t="shared" si="14"/>
        <v>16-17_3mAnnualKent</v>
      </c>
      <c r="C293" s="541" t="s">
        <v>9</v>
      </c>
      <c r="D293" s="570">
        <v>32480</v>
      </c>
      <c r="E293" s="570">
        <v>32260</v>
      </c>
      <c r="F293" s="570">
        <v>33600</v>
      </c>
      <c r="G293" s="570">
        <v>33437</v>
      </c>
      <c r="H293" s="570">
        <v>34173</v>
      </c>
    </row>
    <row r="294" spans="2:8">
      <c r="B294" s="290" t="str">
        <f t="shared" si="14"/>
        <v>16-17_3mAnnualMedway</v>
      </c>
      <c r="C294" s="541" t="s">
        <v>2</v>
      </c>
      <c r="D294" s="570">
        <v>6370</v>
      </c>
      <c r="E294" s="570">
        <v>6300</v>
      </c>
      <c r="F294" s="570">
        <v>6520</v>
      </c>
      <c r="G294" s="570">
        <v>6617</v>
      </c>
      <c r="H294" s="570">
        <v>6901</v>
      </c>
    </row>
    <row r="295" spans="2:8">
      <c r="B295" s="290" t="str">
        <f t="shared" si="14"/>
        <v>16-17_3mAnnualMilton Keynes</v>
      </c>
      <c r="C295" s="541" t="s">
        <v>10</v>
      </c>
      <c r="D295" s="570">
        <v>6040</v>
      </c>
      <c r="E295" s="570">
        <v>6230</v>
      </c>
      <c r="F295" s="570">
        <v>6580</v>
      </c>
      <c r="G295" s="570">
        <v>6719</v>
      </c>
      <c r="H295" s="570">
        <v>6683</v>
      </c>
    </row>
    <row r="296" spans="2:8">
      <c r="B296" s="290" t="str">
        <f t="shared" si="14"/>
        <v>16-17_3mAnnualOxfordshire</v>
      </c>
      <c r="C296" s="541" t="s">
        <v>11</v>
      </c>
      <c r="D296" s="570">
        <v>12410</v>
      </c>
      <c r="E296" s="570">
        <v>12740</v>
      </c>
      <c r="F296" s="570">
        <v>13230</v>
      </c>
      <c r="G296" s="570">
        <v>13356</v>
      </c>
      <c r="H296" s="570">
        <v>13966</v>
      </c>
    </row>
    <row r="297" spans="2:8">
      <c r="B297" s="290" t="str">
        <f t="shared" si="14"/>
        <v>16-17_3mAnnualPortsmouth</v>
      </c>
      <c r="C297" s="541" t="s">
        <v>12</v>
      </c>
      <c r="D297" s="570">
        <v>3580</v>
      </c>
      <c r="E297" s="570">
        <v>3990</v>
      </c>
      <c r="F297" s="570">
        <v>4060</v>
      </c>
      <c r="G297" s="570">
        <v>4180</v>
      </c>
      <c r="H297" s="570">
        <v>4320</v>
      </c>
    </row>
    <row r="298" spans="2:8">
      <c r="B298" s="290" t="str">
        <f t="shared" si="14"/>
        <v>16-17_3mAnnualReading</v>
      </c>
      <c r="C298" s="541" t="s">
        <v>3</v>
      </c>
      <c r="D298" s="570">
        <v>2960</v>
      </c>
      <c r="E298" s="570">
        <v>3010</v>
      </c>
      <c r="F298" s="570">
        <v>3170</v>
      </c>
      <c r="G298" s="570">
        <v>3373</v>
      </c>
      <c r="H298" s="570">
        <v>3470</v>
      </c>
    </row>
    <row r="299" spans="2:8">
      <c r="B299" s="290" t="str">
        <f t="shared" si="14"/>
        <v>16-17_3mAnnualSlough</v>
      </c>
      <c r="C299" s="541" t="s">
        <v>13</v>
      </c>
      <c r="D299" s="570">
        <v>3720</v>
      </c>
      <c r="E299" s="570">
        <v>3900</v>
      </c>
      <c r="F299" s="570">
        <v>3910</v>
      </c>
      <c r="G299" s="570">
        <v>4158</v>
      </c>
      <c r="H299" s="570">
        <v>4435</v>
      </c>
    </row>
    <row r="300" spans="2:8">
      <c r="B300" s="290" t="str">
        <f t="shared" si="14"/>
        <v>16-17_3mAnnualSouthampton</v>
      </c>
      <c r="C300" s="541" t="s">
        <v>14</v>
      </c>
      <c r="D300" s="570">
        <v>4270</v>
      </c>
      <c r="E300" s="570">
        <v>4390</v>
      </c>
      <c r="F300" s="570">
        <v>4410</v>
      </c>
      <c r="G300" s="570">
        <v>4685</v>
      </c>
      <c r="H300" s="570">
        <v>4957</v>
      </c>
    </row>
    <row r="301" spans="2:8">
      <c r="B301" s="290" t="str">
        <f t="shared" si="14"/>
        <v>16-17_3mAnnualSurrey</v>
      </c>
      <c r="C301" s="541" t="s">
        <v>7</v>
      </c>
      <c r="D301" s="570">
        <v>21310</v>
      </c>
      <c r="E301" s="570">
        <v>21760</v>
      </c>
      <c r="F301" s="570">
        <v>22620</v>
      </c>
      <c r="G301" s="570">
        <v>24108</v>
      </c>
      <c r="H301" s="570">
        <v>24674</v>
      </c>
    </row>
    <row r="302" spans="2:8">
      <c r="B302" s="290" t="str">
        <f t="shared" si="14"/>
        <v>16-17_3mAnnualWest Berkshire</v>
      </c>
      <c r="C302" s="541" t="s">
        <v>15</v>
      </c>
      <c r="D302" s="570">
        <v>3240</v>
      </c>
      <c r="E302" s="570">
        <v>3370</v>
      </c>
      <c r="F302" s="570">
        <v>3470</v>
      </c>
      <c r="G302" s="570">
        <v>3421</v>
      </c>
      <c r="H302" s="570">
        <v>3470</v>
      </c>
    </row>
    <row r="303" spans="2:8">
      <c r="B303" s="290" t="str">
        <f t="shared" si="14"/>
        <v>16-17_3mAnnualWest Sussex</v>
      </c>
      <c r="C303" s="541" t="s">
        <v>5</v>
      </c>
      <c r="D303" s="570">
        <v>16290</v>
      </c>
      <c r="E303" s="570">
        <v>16630</v>
      </c>
      <c r="F303" s="570">
        <v>17210</v>
      </c>
      <c r="G303" s="570">
        <v>17002</v>
      </c>
      <c r="H303" s="570">
        <v>16926</v>
      </c>
    </row>
    <row r="304" spans="2:8">
      <c r="B304" s="290" t="str">
        <f t="shared" si="14"/>
        <v>16-17_3mAnnualWindsor &amp; Maidenhead</v>
      </c>
      <c r="C304" s="542" t="s">
        <v>27</v>
      </c>
      <c r="D304" s="570">
        <v>2900</v>
      </c>
      <c r="E304" s="570">
        <v>2920</v>
      </c>
      <c r="F304" s="570">
        <v>3090</v>
      </c>
      <c r="G304" s="570">
        <v>3089</v>
      </c>
      <c r="H304" s="570">
        <v>3096</v>
      </c>
    </row>
    <row r="305" spans="2:8">
      <c r="B305" s="290" t="str">
        <f t="shared" si="14"/>
        <v>16-17_3mAnnualWokingham</v>
      </c>
      <c r="C305" s="541" t="s">
        <v>16</v>
      </c>
      <c r="D305" s="570">
        <v>3400</v>
      </c>
      <c r="E305" s="570">
        <v>3410</v>
      </c>
      <c r="F305" s="570">
        <v>3740</v>
      </c>
      <c r="G305" s="570">
        <v>3905</v>
      </c>
      <c r="H305" s="570">
        <v>3957</v>
      </c>
    </row>
    <row r="306" spans="2:8">
      <c r="B306" s="290" t="str">
        <f t="shared" si="14"/>
        <v>16-17_3mAnnualSouth East</v>
      </c>
      <c r="C306" s="543" t="s">
        <v>71</v>
      </c>
      <c r="D306" s="570">
        <v>177690</v>
      </c>
      <c r="E306" s="570">
        <v>180170</v>
      </c>
      <c r="F306" s="570">
        <v>187530</v>
      </c>
      <c r="G306" s="570">
        <v>191304</v>
      </c>
      <c r="H306" s="570">
        <v>195541</v>
      </c>
    </row>
    <row r="307" spans="2:8">
      <c r="B307" s="290" t="str">
        <f t="shared" si="14"/>
        <v>16-17_3mAnnualEngland</v>
      </c>
      <c r="C307" s="544" t="s">
        <v>109</v>
      </c>
      <c r="D307" s="570">
        <v>1119100</v>
      </c>
      <c r="E307" s="570">
        <v>1143000</v>
      </c>
      <c r="F307" s="570">
        <v>1181090</v>
      </c>
      <c r="G307" s="570">
        <v>1210409</v>
      </c>
      <c r="H307" s="570">
        <v>1239302</v>
      </c>
    </row>
    <row r="309" spans="2:8">
      <c r="B309" s="850" t="s">
        <v>911</v>
      </c>
      <c r="C309" s="851" t="s">
        <v>910</v>
      </c>
      <c r="D309" s="852"/>
      <c r="E309" s="852"/>
      <c r="F309" s="852"/>
      <c r="G309" s="852"/>
      <c r="H309" s="853"/>
    </row>
    <row r="310" spans="2:8">
      <c r="D310" s="845" t="str">
        <f>D$24</f>
        <v>2022-23</v>
      </c>
      <c r="E310" s="845" t="str">
        <f>E$24</f>
        <v>2022-23</v>
      </c>
      <c r="F310" s="845" t="str">
        <f>F$24</f>
        <v>2022-23</v>
      </c>
      <c r="G310" s="845" t="str">
        <f>G$24</f>
        <v>2022-23</v>
      </c>
      <c r="H310" s="845" t="str">
        <f>H$24</f>
        <v>2023-24</v>
      </c>
    </row>
    <row r="311" spans="2:8">
      <c r="B311" s="545" t="s">
        <v>627</v>
      </c>
      <c r="C311" s="290" t="s">
        <v>580</v>
      </c>
      <c r="D311" s="551" t="str">
        <f>D$25</f>
        <v>Q1</v>
      </c>
      <c r="E311" s="551" t="str">
        <f>E$25</f>
        <v>Q2</v>
      </c>
      <c r="F311" s="551" t="str">
        <f>F$25</f>
        <v>Q3</v>
      </c>
      <c r="G311" s="551" t="str">
        <f>G$25</f>
        <v>Q4</v>
      </c>
      <c r="H311" s="551" t="str">
        <f>H$25</f>
        <v>Q1</v>
      </c>
    </row>
    <row r="312" spans="2:8">
      <c r="B312" s="290" t="str">
        <f t="shared" ref="B312:B333" si="15">CONCATENATE($B$309,$C$311,C312)</f>
        <v>16-17_3mQuarterly</v>
      </c>
      <c r="C312" s="540"/>
      <c r="D312" s="601">
        <v>43983</v>
      </c>
      <c r="E312" s="601">
        <v>44075</v>
      </c>
      <c r="F312" s="601">
        <v>44166</v>
      </c>
      <c r="G312" s="601">
        <v>44256</v>
      </c>
      <c r="H312" s="601">
        <v>44348</v>
      </c>
    </row>
    <row r="313" spans="2:8">
      <c r="B313" s="290" t="str">
        <f t="shared" si="15"/>
        <v>16-17_3mQuarterlyBracknell Forest</v>
      </c>
      <c r="C313" s="541" t="s">
        <v>0</v>
      </c>
      <c r="D313" s="570"/>
      <c r="E313" s="570"/>
      <c r="F313" s="570"/>
      <c r="G313" s="570"/>
      <c r="H313" s="570"/>
    </row>
    <row r="314" spans="2:8">
      <c r="B314" s="290" t="str">
        <f t="shared" si="15"/>
        <v>16-17_3mQuarterlyBrighton &amp; Hove</v>
      </c>
      <c r="C314" s="542" t="s">
        <v>28</v>
      </c>
      <c r="D314" s="570"/>
      <c r="E314" s="570"/>
      <c r="F314" s="570"/>
      <c r="G314" s="570"/>
      <c r="H314" s="570"/>
    </row>
    <row r="315" spans="2:8">
      <c r="B315" s="290" t="str">
        <f t="shared" si="15"/>
        <v>16-17_3mQuarterlyBuckinghamshire</v>
      </c>
      <c r="C315" s="541" t="s">
        <v>8</v>
      </c>
      <c r="D315" s="570"/>
      <c r="E315" s="570"/>
      <c r="F315" s="570"/>
      <c r="G315" s="570"/>
      <c r="H315" s="570"/>
    </row>
    <row r="316" spans="2:8">
      <c r="B316" s="290" t="str">
        <f t="shared" si="15"/>
        <v>16-17_3mQuarterlyEast Sussex</v>
      </c>
      <c r="C316" s="541" t="s">
        <v>4</v>
      </c>
      <c r="D316" s="570"/>
      <c r="E316" s="570"/>
      <c r="F316" s="570"/>
      <c r="G316" s="570"/>
      <c r="H316" s="570"/>
    </row>
    <row r="317" spans="2:8">
      <c r="B317" s="290" t="str">
        <f t="shared" si="15"/>
        <v>16-17_3mQuarterlyHampshire</v>
      </c>
      <c r="C317" s="542" t="s">
        <v>6</v>
      </c>
      <c r="D317" s="570"/>
      <c r="E317" s="570"/>
      <c r="F317" s="570"/>
      <c r="G317" s="570"/>
      <c r="H317" s="570"/>
    </row>
    <row r="318" spans="2:8">
      <c r="B318" s="290" t="str">
        <f t="shared" si="15"/>
        <v>16-17_3mQuarterlyIsle of Wight</v>
      </c>
      <c r="C318" s="541" t="s">
        <v>1</v>
      </c>
      <c r="D318" s="570"/>
      <c r="E318" s="570"/>
      <c r="F318" s="570"/>
      <c r="G318" s="570"/>
      <c r="H318" s="570"/>
    </row>
    <row r="319" spans="2:8">
      <c r="B319" s="290" t="str">
        <f t="shared" si="15"/>
        <v>16-17_3mQuarterlyKent</v>
      </c>
      <c r="C319" s="541" t="s">
        <v>9</v>
      </c>
      <c r="D319" s="570"/>
      <c r="E319" s="570"/>
      <c r="F319" s="570"/>
      <c r="G319" s="570"/>
      <c r="H319" s="570"/>
    </row>
    <row r="320" spans="2:8">
      <c r="B320" s="290" t="str">
        <f t="shared" si="15"/>
        <v>16-17_3mQuarterlyMedway</v>
      </c>
      <c r="C320" s="541" t="s">
        <v>2</v>
      </c>
      <c r="D320" s="570"/>
      <c r="E320" s="570"/>
      <c r="F320" s="570"/>
      <c r="G320" s="570"/>
      <c r="H320" s="570"/>
    </row>
    <row r="321" spans="2:8">
      <c r="B321" s="290" t="str">
        <f t="shared" si="15"/>
        <v>16-17_3mQuarterlyMilton Keynes</v>
      </c>
      <c r="C321" s="541" t="s">
        <v>10</v>
      </c>
      <c r="D321" s="570"/>
      <c r="E321" s="570"/>
      <c r="F321" s="570"/>
      <c r="G321" s="570"/>
      <c r="H321" s="570"/>
    </row>
    <row r="322" spans="2:8">
      <c r="B322" s="290" t="str">
        <f t="shared" si="15"/>
        <v>16-17_3mQuarterlyOxfordshire</v>
      </c>
      <c r="C322" s="541" t="s">
        <v>11</v>
      </c>
      <c r="D322" s="570"/>
      <c r="E322" s="570"/>
      <c r="F322" s="570"/>
      <c r="G322" s="570"/>
      <c r="H322" s="570"/>
    </row>
    <row r="323" spans="2:8">
      <c r="B323" s="290" t="str">
        <f t="shared" si="15"/>
        <v>16-17_3mQuarterlyPortsmouth</v>
      </c>
      <c r="C323" s="541" t="s">
        <v>12</v>
      </c>
      <c r="D323" s="570"/>
      <c r="E323" s="570"/>
      <c r="F323" s="570"/>
      <c r="G323" s="570"/>
      <c r="H323" s="570"/>
    </row>
    <row r="324" spans="2:8">
      <c r="B324" s="290" t="str">
        <f t="shared" si="15"/>
        <v>16-17_3mQuarterlyReading</v>
      </c>
      <c r="C324" s="541" t="s">
        <v>3</v>
      </c>
      <c r="D324" s="570"/>
      <c r="E324" s="570"/>
      <c r="F324" s="570"/>
      <c r="G324" s="570"/>
      <c r="H324" s="570"/>
    </row>
    <row r="325" spans="2:8">
      <c r="B325" s="290" t="str">
        <f t="shared" si="15"/>
        <v>16-17_3mQuarterlySlough</v>
      </c>
      <c r="C325" s="541" t="s">
        <v>13</v>
      </c>
      <c r="D325" s="570"/>
      <c r="E325" s="570"/>
      <c r="F325" s="570"/>
      <c r="G325" s="570"/>
      <c r="H325" s="570"/>
    </row>
    <row r="326" spans="2:8">
      <c r="B326" s="290" t="str">
        <f t="shared" si="15"/>
        <v>16-17_3mQuarterlySouthampton</v>
      </c>
      <c r="C326" s="541" t="s">
        <v>14</v>
      </c>
      <c r="D326" s="570"/>
      <c r="E326" s="570"/>
      <c r="F326" s="570"/>
      <c r="G326" s="570"/>
      <c r="H326" s="570"/>
    </row>
    <row r="327" spans="2:8">
      <c r="B327" s="290" t="str">
        <f t="shared" si="15"/>
        <v>16-17_3mQuarterlySurrey</v>
      </c>
      <c r="C327" s="541" t="s">
        <v>7</v>
      </c>
      <c r="D327" s="570"/>
      <c r="E327" s="570"/>
      <c r="F327" s="570"/>
      <c r="G327" s="570"/>
      <c r="H327" s="570"/>
    </row>
    <row r="328" spans="2:8">
      <c r="B328" s="290" t="str">
        <f t="shared" si="15"/>
        <v>16-17_3mQuarterlyWest Berkshire</v>
      </c>
      <c r="C328" s="541" t="s">
        <v>15</v>
      </c>
      <c r="D328" s="570"/>
      <c r="E328" s="570"/>
      <c r="F328" s="570"/>
      <c r="G328" s="570"/>
      <c r="H328" s="570"/>
    </row>
    <row r="329" spans="2:8">
      <c r="B329" s="290" t="str">
        <f t="shared" si="15"/>
        <v>16-17_3mQuarterlyWest Sussex</v>
      </c>
      <c r="C329" s="541" t="s">
        <v>5</v>
      </c>
      <c r="D329" s="570"/>
      <c r="E329" s="570"/>
      <c r="F329" s="570"/>
      <c r="G329" s="570"/>
      <c r="H329" s="570"/>
    </row>
    <row r="330" spans="2:8">
      <c r="B330" s="290" t="str">
        <f t="shared" si="15"/>
        <v>16-17_3mQuarterlyWindsor &amp; Maidenhead</v>
      </c>
      <c r="C330" s="542" t="s">
        <v>27</v>
      </c>
      <c r="D330" s="570"/>
      <c r="E330" s="570"/>
      <c r="F330" s="570"/>
      <c r="G330" s="570"/>
      <c r="H330" s="570"/>
    </row>
    <row r="331" spans="2:8">
      <c r="B331" s="290" t="str">
        <f t="shared" si="15"/>
        <v>16-17_3mQuarterlyWokingham</v>
      </c>
      <c r="C331" s="541" t="s">
        <v>16</v>
      </c>
      <c r="D331" s="570"/>
      <c r="E331" s="570"/>
      <c r="F331" s="570"/>
      <c r="G331" s="570"/>
      <c r="H331" s="570"/>
    </row>
    <row r="332" spans="2:8">
      <c r="B332" s="290" t="str">
        <f t="shared" si="15"/>
        <v>16-17_3mQuarterlySouth East</v>
      </c>
      <c r="C332" s="543" t="s">
        <v>71</v>
      </c>
      <c r="D332" s="570"/>
      <c r="E332" s="570"/>
      <c r="F332" s="570"/>
      <c r="G332" s="570"/>
      <c r="H332" s="570"/>
    </row>
    <row r="333" spans="2:8">
      <c r="B333" s="290" t="str">
        <f t="shared" si="15"/>
        <v>16-17_3mQuarterlyEngland</v>
      </c>
      <c r="C333" s="544" t="s">
        <v>109</v>
      </c>
      <c r="D333" s="570"/>
      <c r="E333" s="570"/>
      <c r="F333" s="570"/>
      <c r="G333" s="570"/>
      <c r="H333" s="570"/>
    </row>
    <row r="335" spans="2:8">
      <c r="B335" s="456" t="s">
        <v>639</v>
      </c>
    </row>
    <row r="336" spans="2:8">
      <c r="B336" s="290" t="s">
        <v>641</v>
      </c>
      <c r="C336" s="290" t="s">
        <v>580</v>
      </c>
      <c r="D336" s="228" t="str">
        <f>$H$34</f>
        <v>mid-2023</v>
      </c>
      <c r="E336" s="228" t="str">
        <f>$H$34</f>
        <v>mid-2023</v>
      </c>
      <c r="F336" s="228" t="str">
        <f>$H$34</f>
        <v>mid-2023</v>
      </c>
      <c r="G336" s="228" t="str">
        <f>$H$34</f>
        <v>mid-2023</v>
      </c>
      <c r="H336" s="228" t="str">
        <f>$H$34</f>
        <v>mid-2023</v>
      </c>
    </row>
    <row r="337" spans="2:8">
      <c r="B337" s="290" t="str">
        <f t="shared" ref="B337:B358" si="16">CONCATENATE($B$336,$C$3,C337)</f>
        <v>LACAgeAnnual</v>
      </c>
      <c r="C337" s="571"/>
      <c r="D337" s="354" t="s">
        <v>137</v>
      </c>
      <c r="E337" s="569" t="s">
        <v>643</v>
      </c>
      <c r="F337" s="569" t="s">
        <v>642</v>
      </c>
      <c r="G337" s="354" t="s">
        <v>644</v>
      </c>
      <c r="H337" s="354" t="s">
        <v>645</v>
      </c>
    </row>
    <row r="338" spans="2:8">
      <c r="B338" s="290" t="str">
        <f t="shared" si="16"/>
        <v>LACAgeAnnualBracknell Forest</v>
      </c>
      <c r="C338" s="541" t="s">
        <v>0</v>
      </c>
      <c r="D338" s="572">
        <v>1355</v>
      </c>
      <c r="E338" s="572">
        <v>5887</v>
      </c>
      <c r="F338" s="572">
        <v>7745</v>
      </c>
      <c r="G338" s="572">
        <v>10293</v>
      </c>
      <c r="H338" s="572">
        <v>3367</v>
      </c>
    </row>
    <row r="339" spans="2:8">
      <c r="B339" s="290" t="str">
        <f t="shared" si="16"/>
        <v>LACAgeAnnualBrighton &amp; Hove</v>
      </c>
      <c r="C339" s="542" t="s">
        <v>28</v>
      </c>
      <c r="D339" s="572">
        <v>2051</v>
      </c>
      <c r="E339" s="572">
        <v>9052</v>
      </c>
      <c r="F339" s="572">
        <v>12659</v>
      </c>
      <c r="G339" s="572">
        <v>17022</v>
      </c>
      <c r="H339" s="572">
        <v>5882</v>
      </c>
    </row>
    <row r="340" spans="2:8">
      <c r="B340" s="290" t="str">
        <f t="shared" si="16"/>
        <v>LACAgeAnnualBuckinghamshire</v>
      </c>
      <c r="C340" s="541" t="s">
        <v>8</v>
      </c>
      <c r="D340" s="572">
        <v>5605</v>
      </c>
      <c r="E340" s="572">
        <v>25651</v>
      </c>
      <c r="F340" s="572">
        <v>35677</v>
      </c>
      <c r="G340" s="572">
        <v>46278</v>
      </c>
      <c r="H340" s="572">
        <v>14405</v>
      </c>
    </row>
    <row r="341" spans="2:8">
      <c r="B341" s="290" t="str">
        <f t="shared" si="16"/>
        <v>LACAgeAnnualEast Sussex</v>
      </c>
      <c r="C341" s="541" t="s">
        <v>4</v>
      </c>
      <c r="D341" s="572">
        <v>4339</v>
      </c>
      <c r="E341" s="572">
        <v>20214</v>
      </c>
      <c r="F341" s="572">
        <v>28397</v>
      </c>
      <c r="G341" s="572">
        <v>37949</v>
      </c>
      <c r="H341" s="572">
        <v>12707</v>
      </c>
    </row>
    <row r="342" spans="2:8">
      <c r="B342" s="290" t="str">
        <f t="shared" si="16"/>
        <v>LACAgeAnnualHampshire</v>
      </c>
      <c r="C342" s="542" t="s">
        <v>6</v>
      </c>
      <c r="D342" s="572">
        <v>12795</v>
      </c>
      <c r="E342" s="572">
        <v>58069</v>
      </c>
      <c r="F342" s="572">
        <v>80052</v>
      </c>
      <c r="G342" s="572">
        <v>102383</v>
      </c>
      <c r="H342" s="572">
        <v>32311</v>
      </c>
    </row>
    <row r="343" spans="2:8">
      <c r="B343" s="290" t="str">
        <f t="shared" si="16"/>
        <v>LACAgeAnnualIsle of Wight</v>
      </c>
      <c r="C343" s="541" t="s">
        <v>1</v>
      </c>
      <c r="D343" s="572">
        <v>983</v>
      </c>
      <c r="E343" s="572">
        <v>4388</v>
      </c>
      <c r="F343" s="572">
        <v>6619</v>
      </c>
      <c r="G343" s="572">
        <v>8592</v>
      </c>
      <c r="H343" s="572">
        <v>2856</v>
      </c>
    </row>
    <row r="344" spans="2:8">
      <c r="B344" s="290" t="str">
        <f t="shared" si="16"/>
        <v>LACAgeAnnualKent</v>
      </c>
      <c r="C344" s="541" t="s">
        <v>9</v>
      </c>
      <c r="D344" s="572">
        <v>16001</v>
      </c>
      <c r="E344" s="572">
        <v>71462</v>
      </c>
      <c r="F344" s="572">
        <v>97423</v>
      </c>
      <c r="G344" s="572">
        <v>124102</v>
      </c>
      <c r="H344" s="572">
        <v>39344</v>
      </c>
    </row>
    <row r="345" spans="2:8">
      <c r="B345" s="290" t="str">
        <f t="shared" si="16"/>
        <v>LACAgeAnnualMedway</v>
      </c>
      <c r="C345" s="541" t="s">
        <v>2</v>
      </c>
      <c r="D345" s="572">
        <v>3263</v>
      </c>
      <c r="E345" s="572">
        <v>14153</v>
      </c>
      <c r="F345" s="572">
        <v>19122</v>
      </c>
      <c r="G345" s="572">
        <v>23013</v>
      </c>
      <c r="H345" s="572">
        <v>7136</v>
      </c>
    </row>
    <row r="346" spans="2:8">
      <c r="B346" s="290" t="str">
        <f t="shared" si="16"/>
        <v>LACAgeAnnualMilton Keynes</v>
      </c>
      <c r="C346" s="541" t="s">
        <v>10</v>
      </c>
      <c r="D346" s="572">
        <v>3187</v>
      </c>
      <c r="E346" s="572">
        <v>14703</v>
      </c>
      <c r="F346" s="572">
        <v>20792</v>
      </c>
      <c r="G346" s="572">
        <v>26303</v>
      </c>
      <c r="H346" s="572">
        <v>7812</v>
      </c>
    </row>
    <row r="347" spans="2:8">
      <c r="B347" s="290" t="str">
        <f t="shared" si="16"/>
        <v>LACAgeAnnualOxfordshire</v>
      </c>
      <c r="C347" s="541" t="s">
        <v>11</v>
      </c>
      <c r="D347" s="572">
        <v>7336</v>
      </c>
      <c r="E347" s="572">
        <v>31702</v>
      </c>
      <c r="F347" s="572">
        <v>41758</v>
      </c>
      <c r="G347" s="572">
        <v>53747</v>
      </c>
      <c r="H347" s="572">
        <v>17962</v>
      </c>
    </row>
    <row r="348" spans="2:8">
      <c r="B348" s="290" t="str">
        <f t="shared" si="16"/>
        <v>LACAgeAnnualPortsmouth</v>
      </c>
      <c r="C348" s="541" t="s">
        <v>12</v>
      </c>
      <c r="D348" s="572">
        <v>2168</v>
      </c>
      <c r="E348" s="572">
        <v>9070</v>
      </c>
      <c r="F348" s="572">
        <v>12038</v>
      </c>
      <c r="G348" s="572">
        <v>14532</v>
      </c>
      <c r="H348" s="572">
        <v>4499</v>
      </c>
    </row>
    <row r="349" spans="2:8">
      <c r="B349" s="290" t="str">
        <f t="shared" si="16"/>
        <v>LACAgeAnnualReading</v>
      </c>
      <c r="C349" s="541" t="s">
        <v>3</v>
      </c>
      <c r="D349" s="572">
        <v>2072</v>
      </c>
      <c r="E349" s="572">
        <v>8392</v>
      </c>
      <c r="F349" s="572">
        <v>10700</v>
      </c>
      <c r="G349" s="572">
        <v>12696</v>
      </c>
      <c r="H349" s="572">
        <v>4069</v>
      </c>
    </row>
    <row r="350" spans="2:8">
      <c r="B350" s="290" t="str">
        <f t="shared" si="16"/>
        <v>LACAgeAnnualSlough</v>
      </c>
      <c r="C350" s="541" t="s">
        <v>13</v>
      </c>
      <c r="D350" s="572">
        <v>2274</v>
      </c>
      <c r="E350" s="572">
        <v>9394</v>
      </c>
      <c r="F350" s="572">
        <v>12762</v>
      </c>
      <c r="G350" s="572">
        <v>15646</v>
      </c>
      <c r="H350" s="572">
        <v>4773</v>
      </c>
    </row>
    <row r="351" spans="2:8">
      <c r="B351" s="290" t="str">
        <f t="shared" si="16"/>
        <v>LACAgeAnnualSouthampton</v>
      </c>
      <c r="C351" s="541" t="s">
        <v>14</v>
      </c>
      <c r="D351" s="572">
        <v>2612</v>
      </c>
      <c r="E351" s="572">
        <v>11162</v>
      </c>
      <c r="F351" s="572">
        <v>14110</v>
      </c>
      <c r="G351" s="572">
        <v>17226</v>
      </c>
      <c r="H351" s="572">
        <v>5263</v>
      </c>
    </row>
    <row r="352" spans="2:8">
      <c r="B352" s="290" t="str">
        <f t="shared" si="16"/>
        <v>LACAgeAnnualSurrey</v>
      </c>
      <c r="C352" s="541" t="s">
        <v>7</v>
      </c>
      <c r="D352" s="572">
        <v>11804</v>
      </c>
      <c r="E352" s="572">
        <v>53741</v>
      </c>
      <c r="F352" s="572">
        <v>73878</v>
      </c>
      <c r="G352" s="572">
        <v>95493</v>
      </c>
      <c r="H352" s="572">
        <v>30756</v>
      </c>
    </row>
    <row r="353" spans="2:10">
      <c r="B353" s="290" t="str">
        <f t="shared" si="16"/>
        <v>LACAgeAnnualWest Berkshire</v>
      </c>
      <c r="C353" s="541" t="s">
        <v>15</v>
      </c>
      <c r="D353" s="572">
        <v>1498</v>
      </c>
      <c r="E353" s="572">
        <v>6586</v>
      </c>
      <c r="F353" s="572">
        <v>9541</v>
      </c>
      <c r="G353" s="572">
        <v>13307</v>
      </c>
      <c r="H353" s="572">
        <v>4393</v>
      </c>
    </row>
    <row r="354" spans="2:10">
      <c r="B354" s="290" t="str">
        <f t="shared" si="16"/>
        <v>LACAgeAnnualWest Sussex</v>
      </c>
      <c r="C354" s="541" t="s">
        <v>5</v>
      </c>
      <c r="D354" s="572">
        <v>7994</v>
      </c>
      <c r="E354" s="572">
        <v>36384</v>
      </c>
      <c r="F354" s="572">
        <v>49932</v>
      </c>
      <c r="G354" s="572">
        <v>64422</v>
      </c>
      <c r="H354" s="572">
        <v>20276</v>
      </c>
      <c r="J354" s="549"/>
    </row>
    <row r="355" spans="2:10">
      <c r="B355" s="290" t="str">
        <f t="shared" si="16"/>
        <v>LACAgeAnnualWindsor &amp; Maidenhead</v>
      </c>
      <c r="C355" s="542" t="s">
        <v>27</v>
      </c>
      <c r="D355" s="572">
        <v>1381</v>
      </c>
      <c r="E355" s="572">
        <v>6556</v>
      </c>
      <c r="F355" s="572">
        <v>9028</v>
      </c>
      <c r="G355" s="572">
        <v>12918</v>
      </c>
      <c r="H355" s="572">
        <v>4398</v>
      </c>
      <c r="J355" s="549"/>
    </row>
    <row r="356" spans="2:10">
      <c r="B356" s="290" t="str">
        <f t="shared" si="16"/>
        <v>LACAgeAnnualWokingham</v>
      </c>
      <c r="C356" s="541" t="s">
        <v>16</v>
      </c>
      <c r="D356" s="572">
        <v>1628</v>
      </c>
      <c r="E356" s="572">
        <v>8060</v>
      </c>
      <c r="F356" s="572">
        <v>12345</v>
      </c>
      <c r="G356" s="572">
        <v>16618</v>
      </c>
      <c r="H356" s="572">
        <v>4663</v>
      </c>
      <c r="J356" s="549"/>
    </row>
    <row r="357" spans="2:10">
      <c r="B357" s="290" t="str">
        <f t="shared" si="16"/>
        <v>LACAgeAnnualSouth East</v>
      </c>
      <c r="C357" s="543" t="s">
        <v>71</v>
      </c>
      <c r="D357" s="572">
        <v>90346</v>
      </c>
      <c r="E357" s="572">
        <v>404626</v>
      </c>
      <c r="F357" s="572">
        <v>554578</v>
      </c>
      <c r="G357" s="572">
        <v>712540</v>
      </c>
      <c r="H357" s="572">
        <v>226872</v>
      </c>
      <c r="J357" s="549"/>
    </row>
    <row r="358" spans="2:10">
      <c r="B358" s="290" t="str">
        <f t="shared" si="16"/>
        <v>LACAgeAnnualEngland</v>
      </c>
      <c r="C358" s="544" t="s">
        <v>109</v>
      </c>
      <c r="D358" s="573">
        <v>573100</v>
      </c>
      <c r="E358" s="573">
        <v>2491537</v>
      </c>
      <c r="F358" s="573">
        <v>3348767</v>
      </c>
      <c r="G358" s="573">
        <v>4234946</v>
      </c>
      <c r="H358" s="573">
        <v>1350296</v>
      </c>
      <c r="J358" s="549"/>
    </row>
    <row r="359" spans="2:10">
      <c r="J359" s="549"/>
    </row>
    <row r="360" spans="2:10">
      <c r="B360" s="559" t="s">
        <v>667</v>
      </c>
      <c r="C360" s="456" t="s">
        <v>668</v>
      </c>
      <c r="J360" s="549"/>
    </row>
    <row r="361" spans="2:10">
      <c r="B361" s="545" t="s">
        <v>627</v>
      </c>
      <c r="C361" s="290" t="s">
        <v>574</v>
      </c>
      <c r="D361" s="551" t="str">
        <f>D$22</f>
        <v>2019/20</v>
      </c>
      <c r="E361" s="551" t="str">
        <f>E$22</f>
        <v>2020/21</v>
      </c>
      <c r="F361" s="551" t="str">
        <f>F$22</f>
        <v>2021/22</v>
      </c>
      <c r="G361" s="551" t="str">
        <f>G$22</f>
        <v>2022/23</v>
      </c>
      <c r="H361" s="551" t="str">
        <f>H$22</f>
        <v>2023/24</v>
      </c>
      <c r="J361" s="549"/>
    </row>
    <row r="362" spans="2:10">
      <c r="B362" s="290" t="str">
        <f t="shared" ref="B362:B383" si="17">CONCATENATE($B$360,$C$285,C362)</f>
        <v>5-15Annual</v>
      </c>
      <c r="C362" s="540"/>
      <c r="D362" s="228" t="s">
        <v>885</v>
      </c>
      <c r="E362" s="228" t="s">
        <v>895</v>
      </c>
      <c r="F362" s="228" t="s">
        <v>925</v>
      </c>
      <c r="G362" s="228" t="s">
        <v>926</v>
      </c>
      <c r="H362" s="228" t="s">
        <v>1333</v>
      </c>
      <c r="J362" s="549"/>
    </row>
    <row r="363" spans="2:10">
      <c r="B363" s="290" t="str">
        <f t="shared" si="17"/>
        <v>5-15AnnualBracknell Forest</v>
      </c>
      <c r="C363" s="541" t="s">
        <v>0</v>
      </c>
      <c r="D363" s="570">
        <v>17138</v>
      </c>
      <c r="E363" s="570">
        <v>17360</v>
      </c>
      <c r="F363" s="570">
        <v>17518</v>
      </c>
      <c r="G363" s="570">
        <v>17697</v>
      </c>
      <c r="H363" s="570">
        <v>18038</v>
      </c>
      <c r="J363" s="549"/>
    </row>
    <row r="364" spans="2:10">
      <c r="B364" s="290" t="str">
        <f t="shared" si="17"/>
        <v>5-15AnnualBrighton &amp; Hove</v>
      </c>
      <c r="C364" s="542" t="s">
        <v>28</v>
      </c>
      <c r="D364" s="570">
        <v>30205</v>
      </c>
      <c r="E364" s="570">
        <v>30115</v>
      </c>
      <c r="F364" s="570">
        <v>29890</v>
      </c>
      <c r="G364" s="570">
        <v>29877</v>
      </c>
      <c r="H364" s="570">
        <v>29681</v>
      </c>
      <c r="J364" s="549"/>
    </row>
    <row r="365" spans="2:10">
      <c r="B365" s="290" t="str">
        <f t="shared" si="17"/>
        <v>5-15AnnualBuckinghamshire</v>
      </c>
      <c r="C365" s="541" t="s">
        <v>8</v>
      </c>
      <c r="D365" s="570">
        <v>77581</v>
      </c>
      <c r="E365" s="570">
        <v>78144</v>
      </c>
      <c r="F365" s="570">
        <v>78823</v>
      </c>
      <c r="G365" s="570">
        <v>80548</v>
      </c>
      <c r="H365" s="570">
        <v>81955</v>
      </c>
      <c r="J365" s="549"/>
    </row>
    <row r="366" spans="2:10">
      <c r="B366" s="290" t="str">
        <f t="shared" si="17"/>
        <v>5-15AnnualEast Sussex</v>
      </c>
      <c r="C366" s="541" t="s">
        <v>4</v>
      </c>
      <c r="D366" s="570">
        <v>65565</v>
      </c>
      <c r="E366" s="570">
        <v>65369</v>
      </c>
      <c r="F366" s="570">
        <v>65232</v>
      </c>
      <c r="G366" s="570">
        <v>65833</v>
      </c>
      <c r="H366" s="570">
        <v>66346</v>
      </c>
      <c r="J366" s="549"/>
    </row>
    <row r="367" spans="2:10">
      <c r="B367" s="290" t="str">
        <f t="shared" si="17"/>
        <v>5-15AnnualHampshire</v>
      </c>
      <c r="C367" s="542" t="s">
        <v>6</v>
      </c>
      <c r="D367" s="570">
        <v>176881</v>
      </c>
      <c r="E367" s="570">
        <v>177474</v>
      </c>
      <c r="F367" s="570">
        <v>178793</v>
      </c>
      <c r="G367" s="570">
        <v>180906</v>
      </c>
      <c r="H367" s="570">
        <v>182435</v>
      </c>
      <c r="J367" s="549"/>
    </row>
    <row r="368" spans="2:10">
      <c r="B368" s="290" t="str">
        <f t="shared" si="17"/>
        <v>5-15AnnualIsle of Wight</v>
      </c>
      <c r="C368" s="541" t="s">
        <v>1</v>
      </c>
      <c r="D368" s="570">
        <v>15502</v>
      </c>
      <c r="E368" s="570">
        <v>15395</v>
      </c>
      <c r="F368" s="570">
        <v>15272</v>
      </c>
      <c r="G368" s="570">
        <v>15257</v>
      </c>
      <c r="H368" s="570">
        <v>15211</v>
      </c>
      <c r="J368" s="549"/>
    </row>
    <row r="369" spans="2:10">
      <c r="B369" s="290" t="str">
        <f t="shared" si="17"/>
        <v>5-15AnnualKent</v>
      </c>
      <c r="C369" s="541" t="s">
        <v>9</v>
      </c>
      <c r="D369" s="570">
        <v>209178</v>
      </c>
      <c r="E369" s="570">
        <v>210607</v>
      </c>
      <c r="F369" s="570">
        <v>212095</v>
      </c>
      <c r="G369" s="570">
        <v>217255</v>
      </c>
      <c r="H369" s="570">
        <v>221525</v>
      </c>
      <c r="J369" s="549"/>
    </row>
    <row r="370" spans="2:10">
      <c r="B370" s="290" t="str">
        <f t="shared" si="17"/>
        <v>5-15AnnualMedway</v>
      </c>
      <c r="C370" s="541" t="s">
        <v>2</v>
      </c>
      <c r="D370" s="570">
        <v>39148</v>
      </c>
      <c r="E370" s="570">
        <v>39385</v>
      </c>
      <c r="F370" s="570">
        <v>39760</v>
      </c>
      <c r="G370" s="570">
        <v>40782</v>
      </c>
      <c r="H370" s="570">
        <v>42135</v>
      </c>
      <c r="J370" s="549"/>
    </row>
    <row r="371" spans="2:10">
      <c r="B371" s="290" t="str">
        <f t="shared" si="17"/>
        <v>5-15AnnualMilton Keynes</v>
      </c>
      <c r="C371" s="541" t="s">
        <v>10</v>
      </c>
      <c r="D371" s="570">
        <v>43945</v>
      </c>
      <c r="E371" s="570">
        <v>44319</v>
      </c>
      <c r="F371" s="570">
        <v>44636</v>
      </c>
      <c r="G371" s="570">
        <v>45713</v>
      </c>
      <c r="H371" s="570">
        <v>47095</v>
      </c>
      <c r="J371" s="549"/>
    </row>
    <row r="372" spans="2:10">
      <c r="B372" s="290" t="str">
        <f t="shared" si="17"/>
        <v>5-15AnnualOxfordshire</v>
      </c>
      <c r="C372" s="541" t="s">
        <v>11</v>
      </c>
      <c r="D372" s="570">
        <v>90569</v>
      </c>
      <c r="E372" s="570">
        <v>91180</v>
      </c>
      <c r="F372" s="570">
        <v>92134</v>
      </c>
      <c r="G372" s="570">
        <v>93997</v>
      </c>
      <c r="H372" s="570">
        <v>95505</v>
      </c>
      <c r="J372" s="549"/>
    </row>
    <row r="373" spans="2:10">
      <c r="B373" s="290" t="str">
        <f t="shared" si="17"/>
        <v>5-15AnnualPortsmouth</v>
      </c>
      <c r="C373" s="541" t="s">
        <v>12</v>
      </c>
      <c r="D373" s="570">
        <v>25910</v>
      </c>
      <c r="E373" s="570">
        <v>25973</v>
      </c>
      <c r="F373" s="570">
        <v>25954</v>
      </c>
      <c r="G373" s="570">
        <v>26276</v>
      </c>
      <c r="H373" s="570">
        <v>26570</v>
      </c>
      <c r="J373" s="549"/>
    </row>
    <row r="374" spans="2:10">
      <c r="B374" s="290" t="str">
        <f t="shared" si="17"/>
        <v>5-15AnnualReading</v>
      </c>
      <c r="C374" s="541" t="s">
        <v>3</v>
      </c>
      <c r="D374" s="570">
        <v>22526</v>
      </c>
      <c r="E374" s="570">
        <v>22608</v>
      </c>
      <c r="F374" s="570">
        <v>22621</v>
      </c>
      <c r="G374" s="570">
        <v>23220</v>
      </c>
      <c r="H374" s="570">
        <v>23396</v>
      </c>
      <c r="J374" s="549"/>
    </row>
    <row r="375" spans="2:10">
      <c r="B375" s="290" t="str">
        <f t="shared" si="17"/>
        <v>5-15AnnualSlough</v>
      </c>
      <c r="C375" s="541" t="s">
        <v>13</v>
      </c>
      <c r="D375" s="570">
        <v>27196</v>
      </c>
      <c r="E375" s="570">
        <v>27571</v>
      </c>
      <c r="F375" s="570">
        <v>27830</v>
      </c>
      <c r="G375" s="570">
        <v>28279</v>
      </c>
      <c r="H375" s="570">
        <v>28408</v>
      </c>
      <c r="J375" s="549"/>
    </row>
    <row r="376" spans="2:10">
      <c r="B376" s="290" t="str">
        <f t="shared" si="17"/>
        <v>5-15AnnualSouthampton</v>
      </c>
      <c r="C376" s="541" t="s">
        <v>14</v>
      </c>
      <c r="D376" s="570">
        <v>30188</v>
      </c>
      <c r="E376" s="570">
        <v>30628</v>
      </c>
      <c r="F376" s="570">
        <v>30755</v>
      </c>
      <c r="G376" s="570">
        <v>30990</v>
      </c>
      <c r="H376" s="570">
        <v>31336</v>
      </c>
      <c r="J376" s="549"/>
    </row>
    <row r="377" spans="2:10">
      <c r="B377" s="290" t="str">
        <f t="shared" si="17"/>
        <v>5-15AnnualSurrey</v>
      </c>
      <c r="C377" s="541" t="s">
        <v>7</v>
      </c>
      <c r="D377" s="570">
        <v>163007</v>
      </c>
      <c r="E377" s="570">
        <v>163815</v>
      </c>
      <c r="F377" s="570">
        <v>164898</v>
      </c>
      <c r="G377" s="570">
        <v>168036</v>
      </c>
      <c r="H377" s="570">
        <v>169371</v>
      </c>
      <c r="J377" s="549"/>
    </row>
    <row r="378" spans="2:10">
      <c r="B378" s="290" t="str">
        <f t="shared" si="17"/>
        <v>5-15AnnualWest Berkshire</v>
      </c>
      <c r="C378" s="541" t="s">
        <v>15</v>
      </c>
      <c r="D378" s="570">
        <v>22356</v>
      </c>
      <c r="E378" s="570">
        <v>22142</v>
      </c>
      <c r="F378" s="570">
        <v>22401</v>
      </c>
      <c r="G378" s="570">
        <v>22697</v>
      </c>
      <c r="H378" s="570">
        <v>22848</v>
      </c>
      <c r="J378" s="549"/>
    </row>
    <row r="379" spans="2:10">
      <c r="B379" s="290" t="str">
        <f t="shared" si="17"/>
        <v>5-15AnnualWest Sussex</v>
      </c>
      <c r="C379" s="541" t="s">
        <v>5</v>
      </c>
      <c r="D379" s="570">
        <v>110012</v>
      </c>
      <c r="E379" s="570">
        <v>110473</v>
      </c>
      <c r="F379" s="570">
        <v>111124</v>
      </c>
      <c r="G379" s="570">
        <v>113065</v>
      </c>
      <c r="H379" s="570">
        <v>114354</v>
      </c>
      <c r="J379" s="549"/>
    </row>
    <row r="380" spans="2:10">
      <c r="B380" s="290" t="str">
        <f t="shared" si="17"/>
        <v>5-15AnnualWindsor &amp; Maidenhead</v>
      </c>
      <c r="C380" s="542" t="s">
        <v>27</v>
      </c>
      <c r="D380" s="570">
        <v>21862</v>
      </c>
      <c r="E380" s="570">
        <v>21776</v>
      </c>
      <c r="F380" s="570">
        <v>21664</v>
      </c>
      <c r="G380" s="570">
        <v>21862</v>
      </c>
      <c r="H380" s="570">
        <v>21946</v>
      </c>
      <c r="J380" s="549"/>
    </row>
    <row r="381" spans="2:10">
      <c r="B381" s="290" t="str">
        <f t="shared" si="17"/>
        <v>5-15AnnualWokingham</v>
      </c>
      <c r="C381" s="541" t="s">
        <v>16</v>
      </c>
      <c r="D381" s="570">
        <v>25838</v>
      </c>
      <c r="E381" s="570">
        <v>26347</v>
      </c>
      <c r="F381" s="570">
        <v>26832</v>
      </c>
      <c r="G381" s="570">
        <v>28107</v>
      </c>
      <c r="H381" s="570">
        <v>28963</v>
      </c>
      <c r="J381" s="549"/>
    </row>
    <row r="382" spans="2:10">
      <c r="B382" s="290" t="str">
        <f t="shared" si="17"/>
        <v>5-15AnnualSouth East</v>
      </c>
      <c r="C382" s="543" t="s">
        <v>71</v>
      </c>
      <c r="D382" s="570">
        <v>1214607</v>
      </c>
      <c r="E382" s="570">
        <v>1220681</v>
      </c>
      <c r="F382" s="570">
        <v>1228232</v>
      </c>
      <c r="G382" s="570">
        <v>1250397</v>
      </c>
      <c r="H382" s="570">
        <v>1267118</v>
      </c>
    </row>
    <row r="383" spans="2:10">
      <c r="B383" s="290" t="str">
        <f t="shared" si="17"/>
        <v>5-15AnnualEngland</v>
      </c>
      <c r="C383" s="544" t="s">
        <v>109</v>
      </c>
      <c r="D383" s="570">
        <v>7359174</v>
      </c>
      <c r="E383" s="570">
        <v>7383183</v>
      </c>
      <c r="F383" s="570">
        <v>7408720</v>
      </c>
      <c r="G383" s="570">
        <v>7502260</v>
      </c>
      <c r="H383" s="570">
        <v>7583713</v>
      </c>
    </row>
    <row r="385" spans="2:8">
      <c r="B385" s="559" t="s">
        <v>667</v>
      </c>
      <c r="C385" s="456" t="s">
        <v>668</v>
      </c>
      <c r="D385" s="551" t="str">
        <f>D$24</f>
        <v>2022-23</v>
      </c>
      <c r="E385" s="551" t="str">
        <f>E$24</f>
        <v>2022-23</v>
      </c>
      <c r="F385" s="551" t="str">
        <f>F$24</f>
        <v>2022-23</v>
      </c>
      <c r="G385" s="551" t="str">
        <f>G$24</f>
        <v>2022-23</v>
      </c>
      <c r="H385" s="551" t="str">
        <f>H$24</f>
        <v>2023-24</v>
      </c>
    </row>
    <row r="386" spans="2:8">
      <c r="B386" s="545" t="s">
        <v>627</v>
      </c>
      <c r="C386" s="290" t="s">
        <v>580</v>
      </c>
      <c r="D386" s="551" t="str">
        <f>D$25</f>
        <v>Q1</v>
      </c>
      <c r="E386" s="551" t="str">
        <f>E$25</f>
        <v>Q2</v>
      </c>
      <c r="F386" s="551" t="str">
        <f>F$25</f>
        <v>Q3</v>
      </c>
      <c r="G386" s="551" t="str">
        <f>G$25</f>
        <v>Q4</v>
      </c>
      <c r="H386" s="551" t="str">
        <f>H$25</f>
        <v>Q1</v>
      </c>
    </row>
    <row r="387" spans="2:8">
      <c r="B387" s="290" t="str">
        <f t="shared" ref="B387:B408" si="18">CONCATENATE($B$360,$C$311,C387)</f>
        <v>5-15Quarterly</v>
      </c>
      <c r="C387" s="540"/>
      <c r="D387" s="228" t="s">
        <v>895</v>
      </c>
      <c r="E387" s="228" t="s">
        <v>895</v>
      </c>
      <c r="F387" s="228" t="s">
        <v>895</v>
      </c>
      <c r="G387" s="228" t="s">
        <v>895</v>
      </c>
      <c r="H387" s="228" t="s">
        <v>895</v>
      </c>
    </row>
    <row r="388" spans="2:8">
      <c r="B388" s="290" t="str">
        <f t="shared" si="18"/>
        <v>5-15QuarterlyBracknell Forest</v>
      </c>
      <c r="C388" s="541" t="s">
        <v>0</v>
      </c>
      <c r="D388" s="570"/>
      <c r="E388" s="570"/>
      <c r="F388" s="570"/>
      <c r="G388" s="570"/>
      <c r="H388" s="570"/>
    </row>
    <row r="389" spans="2:8">
      <c r="B389" s="290" t="str">
        <f t="shared" si="18"/>
        <v>5-15QuarterlyBrighton &amp; Hove</v>
      </c>
      <c r="C389" s="542" t="s">
        <v>28</v>
      </c>
      <c r="D389" s="570"/>
      <c r="E389" s="570"/>
      <c r="F389" s="570"/>
      <c r="G389" s="570"/>
      <c r="H389" s="570"/>
    </row>
    <row r="390" spans="2:8">
      <c r="B390" s="290" t="str">
        <f t="shared" si="18"/>
        <v>5-15QuarterlyBuckinghamshire</v>
      </c>
      <c r="C390" s="541" t="s">
        <v>8</v>
      </c>
      <c r="D390" s="570"/>
      <c r="E390" s="570"/>
      <c r="F390" s="570"/>
      <c r="G390" s="570"/>
      <c r="H390" s="570"/>
    </row>
    <row r="391" spans="2:8">
      <c r="B391" s="290" t="str">
        <f t="shared" si="18"/>
        <v>5-15QuarterlyEast Sussex</v>
      </c>
      <c r="C391" s="541" t="s">
        <v>4</v>
      </c>
      <c r="D391" s="570"/>
      <c r="E391" s="570"/>
      <c r="F391" s="570"/>
      <c r="G391" s="570"/>
      <c r="H391" s="570"/>
    </row>
    <row r="392" spans="2:8">
      <c r="B392" s="290" t="str">
        <f t="shared" si="18"/>
        <v>5-15QuarterlyHampshire</v>
      </c>
      <c r="C392" s="542" t="s">
        <v>6</v>
      </c>
      <c r="D392" s="570"/>
      <c r="E392" s="570"/>
      <c r="F392" s="570"/>
      <c r="G392" s="570"/>
      <c r="H392" s="570"/>
    </row>
    <row r="393" spans="2:8">
      <c r="B393" s="290" t="str">
        <f t="shared" si="18"/>
        <v>5-15QuarterlyIsle of Wight</v>
      </c>
      <c r="C393" s="541" t="s">
        <v>1</v>
      </c>
      <c r="D393" s="570"/>
      <c r="E393" s="570"/>
      <c r="F393" s="570"/>
      <c r="G393" s="570"/>
      <c r="H393" s="570"/>
    </row>
    <row r="394" spans="2:8">
      <c r="B394" s="290" t="str">
        <f t="shared" si="18"/>
        <v>5-15QuarterlyKent</v>
      </c>
      <c r="C394" s="541" t="s">
        <v>9</v>
      </c>
      <c r="D394" s="570"/>
      <c r="E394" s="570"/>
      <c r="F394" s="570"/>
      <c r="G394" s="570"/>
      <c r="H394" s="570"/>
    </row>
    <row r="395" spans="2:8">
      <c r="B395" s="290" t="str">
        <f t="shared" si="18"/>
        <v>5-15QuarterlyMedway</v>
      </c>
      <c r="C395" s="541" t="s">
        <v>2</v>
      </c>
      <c r="D395" s="570"/>
      <c r="E395" s="570"/>
      <c r="F395" s="570"/>
      <c r="G395" s="570"/>
      <c r="H395" s="570"/>
    </row>
    <row r="396" spans="2:8">
      <c r="B396" s="290" t="str">
        <f t="shared" si="18"/>
        <v>5-15QuarterlyMilton Keynes</v>
      </c>
      <c r="C396" s="541" t="s">
        <v>10</v>
      </c>
      <c r="D396" s="570"/>
      <c r="E396" s="570"/>
      <c r="F396" s="570"/>
      <c r="G396" s="570"/>
      <c r="H396" s="570"/>
    </row>
    <row r="397" spans="2:8">
      <c r="B397" s="290" t="str">
        <f t="shared" si="18"/>
        <v>5-15QuarterlyOxfordshire</v>
      </c>
      <c r="C397" s="541" t="s">
        <v>11</v>
      </c>
      <c r="D397" s="570"/>
      <c r="E397" s="570"/>
      <c r="F397" s="570"/>
      <c r="G397" s="570"/>
      <c r="H397" s="570"/>
    </row>
    <row r="398" spans="2:8">
      <c r="B398" s="290" t="str">
        <f t="shared" si="18"/>
        <v>5-15QuarterlyPortsmouth</v>
      </c>
      <c r="C398" s="541" t="s">
        <v>12</v>
      </c>
      <c r="D398" s="570"/>
      <c r="E398" s="570"/>
      <c r="F398" s="570"/>
      <c r="G398" s="570"/>
      <c r="H398" s="570"/>
    </row>
    <row r="399" spans="2:8">
      <c r="B399" s="290" t="str">
        <f t="shared" si="18"/>
        <v>5-15QuarterlyReading</v>
      </c>
      <c r="C399" s="541" t="s">
        <v>3</v>
      </c>
      <c r="D399" s="570"/>
      <c r="E399" s="570"/>
      <c r="F399" s="570"/>
      <c r="G399" s="570"/>
      <c r="H399" s="570"/>
    </row>
    <row r="400" spans="2:8">
      <c r="B400" s="290" t="str">
        <f t="shared" si="18"/>
        <v>5-15QuarterlySlough</v>
      </c>
      <c r="C400" s="541" t="s">
        <v>13</v>
      </c>
      <c r="D400" s="570"/>
      <c r="E400" s="570"/>
      <c r="F400" s="570"/>
      <c r="G400" s="570"/>
      <c r="H400" s="570"/>
    </row>
    <row r="401" spans="2:8">
      <c r="B401" s="290" t="str">
        <f t="shared" si="18"/>
        <v>5-15QuarterlySouthampton</v>
      </c>
      <c r="C401" s="541" t="s">
        <v>14</v>
      </c>
      <c r="D401" s="570"/>
      <c r="E401" s="570"/>
      <c r="F401" s="570"/>
      <c r="G401" s="570"/>
      <c r="H401" s="570"/>
    </row>
    <row r="402" spans="2:8">
      <c r="B402" s="290" t="str">
        <f t="shared" si="18"/>
        <v>5-15QuarterlySurrey</v>
      </c>
      <c r="C402" s="541" t="s">
        <v>7</v>
      </c>
      <c r="D402" s="570"/>
      <c r="E402" s="570"/>
      <c r="F402" s="570"/>
      <c r="G402" s="570"/>
      <c r="H402" s="570"/>
    </row>
    <row r="403" spans="2:8">
      <c r="B403" s="290" t="str">
        <f t="shared" si="18"/>
        <v>5-15QuarterlyWest Berkshire</v>
      </c>
      <c r="C403" s="541" t="s">
        <v>15</v>
      </c>
      <c r="D403" s="570"/>
      <c r="E403" s="570"/>
      <c r="F403" s="570"/>
      <c r="G403" s="570"/>
      <c r="H403" s="570"/>
    </row>
    <row r="404" spans="2:8">
      <c r="B404" s="290" t="str">
        <f t="shared" si="18"/>
        <v>5-15QuarterlyWest Sussex</v>
      </c>
      <c r="C404" s="541" t="s">
        <v>5</v>
      </c>
      <c r="D404" s="570"/>
      <c r="E404" s="570"/>
      <c r="F404" s="570"/>
      <c r="G404" s="570"/>
      <c r="H404" s="570"/>
    </row>
    <row r="405" spans="2:8">
      <c r="B405" s="290" t="str">
        <f t="shared" si="18"/>
        <v>5-15QuarterlyWindsor &amp; Maidenhead</v>
      </c>
      <c r="C405" s="542" t="s">
        <v>27</v>
      </c>
      <c r="D405" s="570"/>
      <c r="E405" s="570"/>
      <c r="F405" s="570"/>
      <c r="G405" s="570"/>
      <c r="H405" s="570"/>
    </row>
    <row r="406" spans="2:8">
      <c r="B406" s="290" t="str">
        <f t="shared" si="18"/>
        <v>5-15QuarterlyWokingham</v>
      </c>
      <c r="C406" s="541" t="s">
        <v>16</v>
      </c>
      <c r="D406" s="570"/>
      <c r="E406" s="570"/>
      <c r="F406" s="570"/>
      <c r="G406" s="570"/>
      <c r="H406" s="570"/>
    </row>
    <row r="407" spans="2:8">
      <c r="B407" s="290" t="str">
        <f t="shared" si="18"/>
        <v>5-15QuarterlySouth East</v>
      </c>
      <c r="C407" s="543" t="s">
        <v>71</v>
      </c>
      <c r="D407" s="570"/>
      <c r="E407" s="570"/>
      <c r="F407" s="570"/>
      <c r="G407" s="570"/>
      <c r="H407" s="570"/>
    </row>
    <row r="408" spans="2:8">
      <c r="B408" s="290" t="str">
        <f t="shared" si="18"/>
        <v>5-15QuarterlyEngland</v>
      </c>
      <c r="C408" s="544" t="s">
        <v>109</v>
      </c>
      <c r="D408" s="570"/>
      <c r="E408" s="570"/>
      <c r="F408" s="570"/>
      <c r="G408" s="570"/>
      <c r="H408" s="570"/>
    </row>
  </sheetData>
  <mergeCells count="1">
    <mergeCell ref="AS2:BN2"/>
  </mergeCells>
  <phoneticPr fontId="77" type="noConversion"/>
  <conditionalFormatting sqref="C36:C53 C85:C103">
    <cfRule type="expression" dxfId="660" priority="1271" stopIfTrue="1">
      <formula>#REF!=$BH$4</formula>
    </cfRule>
  </conditionalFormatting>
  <conditionalFormatting sqref="C54 C104">
    <cfRule type="expression" dxfId="659" priority="1270" stopIfTrue="1">
      <formula>#REF!=$BM$4</formula>
    </cfRule>
  </conditionalFormatting>
  <conditionalFormatting sqref="C60:C78 C110:D128 E212:E229 G212:H229 F212:F231">
    <cfRule type="expression" dxfId="658" priority="1274" stopIfTrue="1">
      <formula>#REF!=$BH$4</formula>
    </cfRule>
  </conditionalFormatting>
  <conditionalFormatting sqref="C79 C129">
    <cfRule type="expression" dxfId="657" priority="1273" stopIfTrue="1">
      <formula>#REF!=$BM$4</formula>
    </cfRule>
  </conditionalFormatting>
  <conditionalFormatting sqref="C154">
    <cfRule type="expression" dxfId="656" priority="71" stopIfTrue="1">
      <formula>#REF!=$BM$4</formula>
    </cfRule>
  </conditionalFormatting>
  <conditionalFormatting sqref="C179">
    <cfRule type="expression" dxfId="655" priority="73" stopIfTrue="1">
      <formula>#REF!=$BM$4</formula>
    </cfRule>
  </conditionalFormatting>
  <conditionalFormatting sqref="C204">
    <cfRule type="expression" dxfId="654" priority="67" stopIfTrue="1">
      <formula>#REF!=$BM$4</formula>
    </cfRule>
  </conditionalFormatting>
  <conditionalFormatting sqref="C230">
    <cfRule type="expression" dxfId="653" priority="69" stopIfTrue="1">
      <formula>#REF!=$BM$4</formula>
    </cfRule>
  </conditionalFormatting>
  <conditionalFormatting sqref="C255">
    <cfRule type="expression" dxfId="652" priority="28" stopIfTrue="1">
      <formula>#REF!=$BM$4</formula>
    </cfRule>
  </conditionalFormatting>
  <conditionalFormatting sqref="C281">
    <cfRule type="expression" dxfId="651" priority="29" stopIfTrue="1">
      <formula>#REF!=$BM$4</formula>
    </cfRule>
  </conditionalFormatting>
  <conditionalFormatting sqref="C306">
    <cfRule type="expression" dxfId="650" priority="63" stopIfTrue="1">
      <formula>#REF!=$BM$4</formula>
    </cfRule>
  </conditionalFormatting>
  <conditionalFormatting sqref="C332">
    <cfRule type="expression" dxfId="649" priority="65" stopIfTrue="1">
      <formula>#REF!=$BM$4</formula>
    </cfRule>
  </conditionalFormatting>
  <conditionalFormatting sqref="C357">
    <cfRule type="expression" dxfId="648" priority="61" stopIfTrue="1">
      <formula>#REF!=$BM$4</formula>
    </cfRule>
  </conditionalFormatting>
  <conditionalFormatting sqref="C382">
    <cfRule type="expression" dxfId="647" priority="55" stopIfTrue="1">
      <formula>#REF!=$BM$4</formula>
    </cfRule>
  </conditionalFormatting>
  <conditionalFormatting sqref="C407">
    <cfRule type="expression" dxfId="646" priority="57" stopIfTrue="1">
      <formula>#REF!=$BM$4</formula>
    </cfRule>
  </conditionalFormatting>
  <conditionalFormatting sqref="C35:H35 D60:H60">
    <cfRule type="expression" dxfId="645" priority="25" stopIfTrue="1">
      <formula>$AQ31=$BH$4</formula>
    </cfRule>
  </conditionalFormatting>
  <conditionalFormatting sqref="C287:H305">
    <cfRule type="expression" dxfId="644" priority="2" stopIfTrue="1">
      <formula>#REF!=$BH$4</formula>
    </cfRule>
  </conditionalFormatting>
  <conditionalFormatting sqref="C185:I203">
    <cfRule type="expression" dxfId="643" priority="1" stopIfTrue="1">
      <formula>#REF!=$BH$4</formula>
    </cfRule>
  </conditionalFormatting>
  <conditionalFormatting sqref="D204:F205">
    <cfRule type="expression" dxfId="642" priority="20" stopIfTrue="1">
      <formula>#REF!=$BH$4</formula>
    </cfRule>
  </conditionalFormatting>
  <conditionalFormatting sqref="D36:H53 E110:H128 C160:H178 C211:D229 C236:H254 C262:H280 C313:H331 C338:C356 C363:H381 C388:H406">
    <cfRule type="expression" dxfId="641" priority="72" stopIfTrue="1">
      <formula>#REF!=$BH$4</formula>
    </cfRule>
  </conditionalFormatting>
  <conditionalFormatting sqref="D61:H78 C135:H153">
    <cfRule type="expression" dxfId="640" priority="21" stopIfTrue="1">
      <formula>#REF!=$BH$4</formula>
    </cfRule>
  </conditionalFormatting>
  <conditionalFormatting sqref="D85:H103">
    <cfRule type="expression" dxfId="639" priority="16" stopIfTrue="1">
      <formula>#REF!=$BH$4</formula>
    </cfRule>
  </conditionalFormatting>
  <conditionalFormatting sqref="E211:H211">
    <cfRule type="expression" dxfId="638" priority="48" stopIfTrue="1">
      <formula>#REF!=$BH$4</formula>
    </cfRule>
  </conditionalFormatting>
  <dataValidations count="1">
    <dataValidation type="list" allowBlank="1" showInputMessage="1" showErrorMessage="1" sqref="C3" xr:uid="{00000000-0002-0000-0000-000000000000}">
      <formula1>$C$1:$C$2</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rgb="FFFF0066"/>
  </sheetPr>
  <dimension ref="A1:X63"/>
  <sheetViews>
    <sheetView workbookViewId="0">
      <selection activeCell="B23" sqref="B23"/>
    </sheetView>
  </sheetViews>
  <sheetFormatPr defaultColWidth="9.140625" defaultRowHeight="12"/>
  <cols>
    <col min="1" max="1" width="47.140625" style="746" customWidth="1"/>
    <col min="2" max="5" width="5.5703125" style="746" customWidth="1"/>
    <col min="6" max="7" width="6.5703125" style="746" customWidth="1"/>
    <col min="8" max="14" width="5.5703125" style="746" customWidth="1"/>
    <col min="15" max="15" width="6.5703125" style="746" customWidth="1"/>
    <col min="16" max="19" width="5.5703125" style="746" customWidth="1"/>
    <col min="20" max="20" width="5.140625" style="746" customWidth="1"/>
    <col min="21" max="21" width="5.85546875" style="746" bestFit="1" customWidth="1"/>
    <col min="22" max="22" width="9.140625" style="746"/>
    <col min="23" max="23" width="10.85546875" style="746" bestFit="1" customWidth="1"/>
    <col min="24" max="16384" width="9.140625" style="746"/>
  </cols>
  <sheetData>
    <row r="1" spans="1:24" s="737" customFormat="1" ht="102.75">
      <c r="B1" s="738" t="s">
        <v>0</v>
      </c>
      <c r="C1" s="738" t="s">
        <v>28</v>
      </c>
      <c r="D1" s="738" t="s">
        <v>8</v>
      </c>
      <c r="E1" s="738" t="s">
        <v>4</v>
      </c>
      <c r="F1" s="738" t="s">
        <v>6</v>
      </c>
      <c r="G1" s="738" t="s">
        <v>1</v>
      </c>
      <c r="H1" s="738" t="s">
        <v>9</v>
      </c>
      <c r="I1" s="738" t="s">
        <v>2</v>
      </c>
      <c r="J1" s="738" t="s">
        <v>10</v>
      </c>
      <c r="K1" s="738" t="s">
        <v>11</v>
      </c>
      <c r="L1" s="738" t="s">
        <v>12</v>
      </c>
      <c r="M1" s="738" t="s">
        <v>3</v>
      </c>
      <c r="N1" s="738" t="s">
        <v>13</v>
      </c>
      <c r="O1" s="738" t="s">
        <v>14</v>
      </c>
      <c r="P1" s="738" t="s">
        <v>7</v>
      </c>
      <c r="Q1" s="738" t="s">
        <v>15</v>
      </c>
      <c r="R1" s="738" t="s">
        <v>5</v>
      </c>
      <c r="S1" s="738" t="s">
        <v>27</v>
      </c>
      <c r="T1" s="738" t="s">
        <v>16</v>
      </c>
      <c r="U1" s="739"/>
      <c r="V1" s="740" t="s">
        <v>759</v>
      </c>
      <c r="W1" s="740" t="s">
        <v>760</v>
      </c>
      <c r="X1" s="741" t="s">
        <v>761</v>
      </c>
    </row>
    <row r="2" spans="1:24">
      <c r="A2" s="742" t="str">
        <f>Home!C11</f>
        <v>Proportion of Children aged 0-15 Living in Poverty (2019)</v>
      </c>
      <c r="B2" s="743">
        <f>IF(ISNUMBER(HLOOKUP(B$1,Home!$D$9:$Y$84,$U2,FALSE)),HLOOKUP(B$1,Home!$D$9:$Y$84,$U2,FALSE),NA())</f>
        <v>8.9</v>
      </c>
      <c r="C2" s="743">
        <f>IF(ISNUMBER(HLOOKUP(C$1,Home!$D$9:$Y$84,$U2,FALSE)),HLOOKUP(C$1,Home!$D$9:$Y$84,$U2,FALSE),NA())</f>
        <v>15.299999999999999</v>
      </c>
      <c r="D2" s="743">
        <f>IF(ISNUMBER(HLOOKUP(D$1,Home!$D$9:$Y$84,$U2,FALSE)),HLOOKUP(D$1,Home!$D$9:$Y$84,$U2,FALSE),NA())</f>
        <v>8.5</v>
      </c>
      <c r="E2" s="743">
        <f>IF(ISNUMBER(HLOOKUP(E$1,Home!$D$9:$Y$84,$U2,FALSE)),HLOOKUP(E$1,Home!$D$9:$Y$84,$U2,FALSE),NA())</f>
        <v>16.100000000000001</v>
      </c>
      <c r="F2" s="743">
        <f>IF(ISNUMBER(HLOOKUP(F$1,Home!$D$9:$Y$84,$U2,FALSE)),HLOOKUP(F$1,Home!$D$9:$Y$84,$U2,FALSE),NA())</f>
        <v>10.100000000000001</v>
      </c>
      <c r="G2" s="743">
        <f>IF(ISNUMBER(HLOOKUP(G$1,Home!$D$9:$Y$84,$U2,FALSE)),HLOOKUP(G$1,Home!$D$9:$Y$84,$U2,FALSE),NA())</f>
        <v>18</v>
      </c>
      <c r="H2" s="743">
        <f>IF(ISNUMBER(HLOOKUP(H$1,Home!$D$9:$Y$84,$U2,FALSE)),HLOOKUP(H$1,Home!$D$9:$Y$84,$U2,FALSE),NA())</f>
        <v>15.8</v>
      </c>
      <c r="I2" s="743">
        <f>IF(ISNUMBER(HLOOKUP(I$1,Home!$D$9:$Y$84,$U2,FALSE)),HLOOKUP(I$1,Home!$D$9:$Y$84,$U2,FALSE),NA())</f>
        <v>18.899999999999999</v>
      </c>
      <c r="J2" s="743">
        <f>IF(ISNUMBER(HLOOKUP(J$1,Home!$D$9:$Y$84,$U2,FALSE)),HLOOKUP(J$1,Home!$D$9:$Y$84,$U2,FALSE),NA())</f>
        <v>15</v>
      </c>
      <c r="K2" s="743">
        <f>IF(ISNUMBER(HLOOKUP(K$1,Home!$D$9:$Y$84,$U2,FALSE)),HLOOKUP(K$1,Home!$D$9:$Y$84,$U2,FALSE),NA())</f>
        <v>10.100000000000001</v>
      </c>
      <c r="L2" s="743">
        <f>IF(ISNUMBER(HLOOKUP(L$1,Home!$D$9:$Y$84,$U2,FALSE)),HLOOKUP(L$1,Home!$D$9:$Y$84,$U2,FALSE),NA())</f>
        <v>20.200000000000003</v>
      </c>
      <c r="M2" s="743">
        <f>IF(ISNUMBER(HLOOKUP(M$1,Home!$D$9:$Y$84,$U2,FALSE)),HLOOKUP(M$1,Home!$D$9:$Y$84,$U2,FALSE),NA())</f>
        <v>16</v>
      </c>
      <c r="N2" s="743">
        <f>IF(ISNUMBER(HLOOKUP(N$1,Home!$D$9:$Y$84,$U2,FALSE)),HLOOKUP(N$1,Home!$D$9:$Y$84,$U2,FALSE),NA())</f>
        <v>14.7</v>
      </c>
      <c r="O2" s="743">
        <f>IF(ISNUMBER(HLOOKUP(O$1,Home!$D$9:$Y$84,$U2,FALSE)),HLOOKUP(O$1,Home!$D$9:$Y$84,$U2,FALSE),NA())</f>
        <v>20.5</v>
      </c>
      <c r="P2" s="743">
        <f>IF(ISNUMBER(HLOOKUP(P$1,Home!$D$9:$Y$84,$U2,FALSE)),HLOOKUP(P$1,Home!$D$9:$Y$84,$U2,FALSE),NA())</f>
        <v>8.3000000000000007</v>
      </c>
      <c r="Q2" s="743">
        <f>IF(ISNUMBER(HLOOKUP(Q$1,Home!$D$9:$Y$84,$U2,FALSE)),HLOOKUP(Q$1,Home!$D$9:$Y$84,$U2,FALSE),NA())</f>
        <v>8.6999999999999993</v>
      </c>
      <c r="R2" s="743">
        <f>IF(ISNUMBER(HLOOKUP(R$1,Home!$D$9:$Y$84,$U2,FALSE)),HLOOKUP(R$1,Home!$D$9:$Y$84,$U2,FALSE),NA())</f>
        <v>11</v>
      </c>
      <c r="S2" s="743">
        <f>IF(ISNUMBER(HLOOKUP(S$1,Home!$D$9:$Y$84,$U2,FALSE)),HLOOKUP(S$1,Home!$D$9:$Y$84,$U2,FALSE),NA())</f>
        <v>6.7</v>
      </c>
      <c r="T2" s="743">
        <f>IF(ISNUMBER(HLOOKUP(T$1,Home!$D$9:$Y$84,$U2,FALSE)),HLOOKUP(T$1,Home!$D$9:$Y$84,$U2,FALSE),NA())</f>
        <v>5.6000000000000005</v>
      </c>
      <c r="U2" s="740">
        <f>VLOOKUP(A2,Home!C:AU,45,FALSE)</f>
        <v>3</v>
      </c>
      <c r="V2" s="744"/>
      <c r="W2" s="740"/>
      <c r="X2" s="740"/>
    </row>
    <row r="3" spans="1:24" ht="24">
      <c r="A3" s="742" t="str">
        <f>Home!C12</f>
        <v>Referrals to Children's Social Care (CSC) during the Year ending 31st March, Rate per 10,000 0-17 Year Olds</v>
      </c>
      <c r="B3" s="743">
        <f>IF(ISNUMBER(HLOOKUP(B$1,Home!$D$9:$Y$84,$U3,FALSE)),HLOOKUP(B$1,Home!$D$9:$Y$84,$U3,FALSE),NA())</f>
        <v>527.45488183753969</v>
      </c>
      <c r="C3" s="743">
        <f>IF(ISNUMBER(HLOOKUP(C$1,Home!$D$9:$Y$84,$U3,FALSE)),HLOOKUP(C$1,Home!$D$9:$Y$84,$U3,FALSE),NA())</f>
        <v>697.93854197917119</v>
      </c>
      <c r="D3" s="743">
        <f>IF(ISNUMBER(HLOOKUP(D$1,Home!$D$9:$Y$84,$U3,FALSE)),HLOOKUP(D$1,Home!$D$9:$Y$84,$U3,FALSE),NA())</f>
        <v>518.74373119358074</v>
      </c>
      <c r="E3" s="743">
        <f>IF(ISNUMBER(HLOOKUP(E$1,Home!$D$9:$Y$84,$U3,FALSE)),HLOOKUP(E$1,Home!$D$9:$Y$84,$U3,FALSE),NA())</f>
        <v>416.09559291932896</v>
      </c>
      <c r="F3" s="743" t="e">
        <f>IF(ISNUMBER(HLOOKUP(F$1,Home!$D$9:$Y$84,$U3,FALSE)),HLOOKUP(F$1,Home!$D$9:$Y$84,$U3,FALSE),NA())</f>
        <v>#N/A</v>
      </c>
      <c r="G3" s="743">
        <f>IF(ISNUMBER(HLOOKUP(G$1,Home!$D$9:$Y$84,$U3,FALSE)),HLOOKUP(G$1,Home!$D$9:$Y$84,$U3,FALSE),NA())</f>
        <v>1867.906817987883</v>
      </c>
      <c r="H3" s="743">
        <f>IF(ISNUMBER(HLOOKUP(H$1,Home!$D$9:$Y$84,$U3,FALSE)),HLOOKUP(H$1,Home!$D$9:$Y$84,$U3,FALSE),NA())</f>
        <v>692.18446769174238</v>
      </c>
      <c r="I3" s="743">
        <f>IF(ISNUMBER(HLOOKUP(I$1,Home!$D$9:$Y$84,$U3,FALSE)),HLOOKUP(I$1,Home!$D$9:$Y$84,$U3,FALSE),NA())</f>
        <v>792.20837644518429</v>
      </c>
      <c r="J3" s="743">
        <f>IF(ISNUMBER(HLOOKUP(J$1,Home!$D$9:$Y$84,$U3,FALSE)),HLOOKUP(J$1,Home!$D$9:$Y$84,$U3,FALSE),NA())</f>
        <v>427.76488042089647</v>
      </c>
      <c r="K3" s="743">
        <f>IF(ISNUMBER(HLOOKUP(K$1,Home!$D$9:$Y$84,$U3,FALSE)),HLOOKUP(K$1,Home!$D$9:$Y$84,$U3,FALSE),NA())</f>
        <v>330.93996918133831</v>
      </c>
      <c r="L3" s="743">
        <f>IF(ISNUMBER(HLOOKUP(L$1,Home!$D$9:$Y$84,$U3,FALSE)),HLOOKUP(L$1,Home!$D$9:$Y$84,$U3,FALSE),NA())</f>
        <v>723.52093034249651</v>
      </c>
      <c r="M3" s="743">
        <f>IF(ISNUMBER(HLOOKUP(M$1,Home!$D$9:$Y$84,$U3,FALSE)),HLOOKUP(M$1,Home!$D$9:$Y$84,$U3,FALSE),NA())</f>
        <v>791.74246618682275</v>
      </c>
      <c r="N3" s="743">
        <f>IF(ISNUMBER(HLOOKUP(N$1,Home!$D$9:$Y$84,$U3,FALSE)),HLOOKUP(N$1,Home!$D$9:$Y$84,$U3,FALSE),NA())</f>
        <v>749.40355414836461</v>
      </c>
      <c r="O3" s="743">
        <f>IF(ISNUMBER(HLOOKUP(O$1,Home!$D$9:$Y$84,$U3,FALSE)),HLOOKUP(O$1,Home!$D$9:$Y$84,$U3,FALSE),NA())</f>
        <v>614.21793421078746</v>
      </c>
      <c r="P3" s="743">
        <f>IF(ISNUMBER(HLOOKUP(P$1,Home!$D$9:$Y$84,$U3,FALSE)),HLOOKUP(P$1,Home!$D$9:$Y$84,$U3,FALSE),NA())</f>
        <v>289.15354271432443</v>
      </c>
      <c r="Q3" s="743">
        <f>IF(ISNUMBER(HLOOKUP(Q$1,Home!$D$9:$Y$84,$U3,FALSE)),HLOOKUP(Q$1,Home!$D$9:$Y$84,$U3,FALSE),NA())</f>
        <v>453.78627034677987</v>
      </c>
      <c r="R3" s="743">
        <f>IF(ISNUMBER(HLOOKUP(R$1,Home!$D$9:$Y$84,$U3,FALSE)),HLOOKUP(R$1,Home!$D$9:$Y$84,$U3,FALSE),NA())</f>
        <v>443.05282445477297</v>
      </c>
      <c r="S3" s="743">
        <f>IF(ISNUMBER(HLOOKUP(S$1,Home!$D$9:$Y$84,$U3,FALSE)),HLOOKUP(S$1,Home!$D$9:$Y$84,$U3,FALSE),NA())</f>
        <v>528.86438551967558</v>
      </c>
      <c r="T3" s="743">
        <f>IF(ISNUMBER(HLOOKUP(T$1,Home!$D$9:$Y$84,$U3,FALSE)),HLOOKUP(T$1,Home!$D$9:$Y$84,$U3,FALSE),NA())</f>
        <v>357.39022025211244</v>
      </c>
      <c r="U3" s="740">
        <f>VLOOKUP(A3,Home!C:AU,45,FALSE)</f>
        <v>4</v>
      </c>
      <c r="V3" s="745" cm="1">
        <f t="array" ref="V3">SLOPE(IF(ISNA($B3:$T3),"",$B3:$T3),IF(ISNA($B$2:$T$2),"",$B$2:$T$2))</f>
        <v>38.094817952766462</v>
      </c>
      <c r="W3" s="745">
        <f t="array" ref="W3">INTERCEPT(IF(ISNA($B3:$T3),"",$B3:$T3),IF(ISNA($B$2:$T$2),"",$B$2:$T$2))</f>
        <v>119.13190387158653</v>
      </c>
      <c r="X3" s="745">
        <f t="array" ref="X3">RSQ(IF(ISNA($B3:$T3),"",$B3:$T3),IF(ISNA($B$2:$T$2),"",$B$2:$T$2))</f>
        <v>0.27190116881388243</v>
      </c>
    </row>
    <row r="4" spans="1:24">
      <c r="A4" s="742" t="str">
        <f>Home!C13</f>
        <v>% of Referrals to CSC followed by Assessment</v>
      </c>
      <c r="B4" s="743">
        <f>IF(ISNUMBER(HLOOKUP(B$1,Home!$D$9:$Y$84,$U4,FALSE)),HLOOKUP(B$1,Home!$D$9:$Y$84,$U4,FALSE),NA())</f>
        <v>0.88749172733289217</v>
      </c>
      <c r="C4" s="743">
        <f>IF(ISNUMBER(HLOOKUP(C$1,Home!$D$9:$Y$84,$U4,FALSE)),HLOOKUP(C$1,Home!$D$9:$Y$84,$U4,FALSE),NA())</f>
        <v>0.88271415412956711</v>
      </c>
      <c r="D4" s="743">
        <f>IF(ISNUMBER(HLOOKUP(D$1,Home!$D$9:$Y$84,$U4,FALSE)),HLOOKUP(D$1,Home!$D$9:$Y$84,$U4,FALSE),NA())</f>
        <v>0.9830815709969789</v>
      </c>
      <c r="E4" s="743">
        <f>IF(ISNUMBER(HLOOKUP(E$1,Home!$D$9:$Y$84,$U4,FALSE)),HLOOKUP(E$1,Home!$D$9:$Y$84,$U4,FALSE),NA())</f>
        <v>0.9610299234516354</v>
      </c>
      <c r="F4" s="743" t="e">
        <f>IF(ISNUMBER(HLOOKUP(F$1,Home!$D$9:$Y$84,$U4,FALSE)),HLOOKUP(F$1,Home!$D$9:$Y$84,$U4,FALSE),NA())</f>
        <v>#N/A</v>
      </c>
      <c r="G4" s="743">
        <f>IF(ISNUMBER(HLOOKUP(G$1,Home!$D$9:$Y$84,$U4,FALSE)),HLOOKUP(G$1,Home!$D$9:$Y$84,$U4,FALSE),NA())</f>
        <v>0.74486066697121978</v>
      </c>
      <c r="H4" s="743">
        <f>IF(ISNUMBER(HLOOKUP(H$1,Home!$D$9:$Y$84,$U4,FALSE)),HLOOKUP(H$1,Home!$D$9:$Y$84,$U4,FALSE),NA())</f>
        <v>0.99448384554767533</v>
      </c>
      <c r="I4" s="743">
        <f>IF(ISNUMBER(HLOOKUP(I$1,Home!$D$9:$Y$84,$U4,FALSE)),HLOOKUP(I$1,Home!$D$9:$Y$84,$U4,FALSE),NA())</f>
        <v>0.88756388415672915</v>
      </c>
      <c r="J4" s="743">
        <f>IF(ISNUMBER(HLOOKUP(J$1,Home!$D$9:$Y$84,$U4,FALSE)),HLOOKUP(J$1,Home!$D$9:$Y$84,$U4,FALSE),NA())</f>
        <v>0.92324983943481054</v>
      </c>
      <c r="K4" s="743">
        <f>IF(ISNUMBER(HLOOKUP(K$1,Home!$D$9:$Y$84,$U4,FALSE)),HLOOKUP(K$1,Home!$D$9:$Y$84,$U4,FALSE),NA())</f>
        <v>0.96314642361799085</v>
      </c>
      <c r="L4" s="743">
        <f>IF(ISNUMBER(HLOOKUP(L$1,Home!$D$9:$Y$84,$U4,FALSE)),HLOOKUP(L$1,Home!$D$9:$Y$84,$U4,FALSE),NA())</f>
        <v>1</v>
      </c>
      <c r="M4" s="743">
        <f>IF(ISNUMBER(HLOOKUP(M$1,Home!$D$9:$Y$84,$U4,FALSE)),HLOOKUP(M$1,Home!$D$9:$Y$84,$U4,FALSE),NA())</f>
        <v>0.94105894105894106</v>
      </c>
      <c r="N4" s="743">
        <f>IF(ISNUMBER(HLOOKUP(N$1,Home!$D$9:$Y$84,$U4,FALSE)),HLOOKUP(N$1,Home!$D$9:$Y$84,$U4,FALSE),NA())</f>
        <v>0.9949419815531092</v>
      </c>
      <c r="O4" s="743">
        <f>IF(ISNUMBER(HLOOKUP(O$1,Home!$D$9:$Y$84,$U4,FALSE)),HLOOKUP(O$1,Home!$D$9:$Y$84,$U4,FALSE),NA())</f>
        <v>0.91402714932126694</v>
      </c>
      <c r="P4" s="743">
        <f>IF(ISNUMBER(HLOOKUP(P$1,Home!$D$9:$Y$84,$U4,FALSE)),HLOOKUP(P$1,Home!$D$9:$Y$84,$U4,FALSE),NA())</f>
        <v>0.93243946888831031</v>
      </c>
      <c r="Q4" s="743">
        <f>IF(ISNUMBER(HLOOKUP(Q$1,Home!$D$9:$Y$84,$U4,FALSE)),HLOOKUP(Q$1,Home!$D$9:$Y$84,$U4,FALSE),NA())</f>
        <v>1</v>
      </c>
      <c r="R4" s="743">
        <f>IF(ISNUMBER(HLOOKUP(R$1,Home!$D$9:$Y$84,$U4,FALSE)),HLOOKUP(R$1,Home!$D$9:$Y$84,$U4,FALSE),NA())</f>
        <v>1</v>
      </c>
      <c r="S4" s="743">
        <f>IF(ISNUMBER(HLOOKUP(S$1,Home!$D$9:$Y$84,$U4,FALSE)),HLOOKUP(S$1,Home!$D$9:$Y$84,$U4,FALSE),NA())</f>
        <v>0.94484280198565918</v>
      </c>
      <c r="T4" s="743">
        <f>IF(ISNUMBER(HLOOKUP(T$1,Home!$D$9:$Y$84,$U4,FALSE)),HLOOKUP(T$1,Home!$D$9:$Y$84,$U4,FALSE),NA())</f>
        <v>0.95025839793281652</v>
      </c>
      <c r="U4" s="740">
        <f>VLOOKUP(A4,Home!C:AU,45,FALSE)</f>
        <v>5</v>
      </c>
      <c r="V4" s="745">
        <f t="array" ref="V4">SLOPE(IF(ISNA($B4:$T4),"",$B4:$T4),IF(ISNA($B$2:$T$2),"",$B$2:$T$2))</f>
        <v>-3.5637066568237185E-3</v>
      </c>
      <c r="W4" s="745">
        <f t="array" ref="W4">INTERCEPT(IF(ISNA($B4:$T4),"",$B4:$T4),IF(ISNA($B$2:$T$2),"",$B$2:$T$2))</f>
        <v>0.98635678181670539</v>
      </c>
      <c r="X4" s="745">
        <f t="array" ref="X4">RSQ(IF(ISNA($B4:$T4),"",$B4:$T4),IF(ISNA($B$2:$T$2),"",$B$2:$T$2))</f>
        <v>7.3249429819227177E-2</v>
      </c>
    </row>
    <row r="5" spans="1:24">
      <c r="A5" s="742" t="str">
        <f>Home!C14</f>
        <v xml:space="preserve">Individual </v>
      </c>
      <c r="B5" s="743">
        <f>IF(ISNUMBER(HLOOKUP(B$1,Home!$D$9:$Y$84,$U5,FALSE)),HLOOKUP(B$1,Home!$D$9:$Y$84,$U5,FALSE),NA())</f>
        <v>7.4123097286565187E-2</v>
      </c>
      <c r="C5" s="743">
        <f>IF(ISNUMBER(HLOOKUP(C$1,Home!$D$9:$Y$84,$U5,FALSE)),HLOOKUP(C$1,Home!$D$9:$Y$84,$U5,FALSE),NA())</f>
        <v>6.5090574147988953E-2</v>
      </c>
      <c r="D5" s="743">
        <f>IF(ISNUMBER(HLOOKUP(D$1,Home!$D$9:$Y$84,$U5,FALSE)),HLOOKUP(D$1,Home!$D$9:$Y$84,$U5,FALSE),NA())</f>
        <v>5.6948640483383689E-2</v>
      </c>
      <c r="E5" s="743">
        <f>IF(ISNUMBER(HLOOKUP(E$1,Home!$D$9:$Y$84,$U5,FALSE)),HLOOKUP(E$1,Home!$D$9:$Y$84,$U5,FALSE),NA())</f>
        <v>0.10090466249130133</v>
      </c>
      <c r="F5" s="743" t="e">
        <f>IF(ISNUMBER(HLOOKUP(F$1,Home!$D$9:$Y$84,$U5,FALSE)),HLOOKUP(F$1,Home!$D$9:$Y$84,$U5,FALSE),NA())</f>
        <v>#N/A</v>
      </c>
      <c r="G5" s="743">
        <f>IF(ISNUMBER(HLOOKUP(G$1,Home!$D$9:$Y$84,$U5,FALSE)),HLOOKUP(G$1,Home!$D$9:$Y$84,$U5,FALSE),NA())</f>
        <v>6.7153951576062132E-2</v>
      </c>
      <c r="H5" s="743">
        <f>IF(ISNUMBER(HLOOKUP(H$1,Home!$D$9:$Y$84,$U5,FALSE)),HLOOKUP(H$1,Home!$D$9:$Y$84,$U5,FALSE),NA())</f>
        <v>7.328605200945626E-2</v>
      </c>
      <c r="I5" s="743">
        <f>IF(ISNUMBER(HLOOKUP(I$1,Home!$D$9:$Y$84,$U5,FALSE)),HLOOKUP(I$1,Home!$D$9:$Y$84,$U5,FALSE),NA())</f>
        <v>7.9500283929585469E-2</v>
      </c>
      <c r="J5" s="743">
        <f>IF(ISNUMBER(HLOOKUP(J$1,Home!$D$9:$Y$84,$U5,FALSE)),HLOOKUP(J$1,Home!$D$9:$Y$84,$U5,FALSE),NA())</f>
        <v>7.7448747152619596E-2</v>
      </c>
      <c r="K5" s="743">
        <f>IF(ISNUMBER(HLOOKUP(K$1,Home!$D$9:$Y$84,$U5,FALSE)),HLOOKUP(K$1,Home!$D$9:$Y$84,$U5,FALSE),NA())</f>
        <v>8.0047553001783234E-2</v>
      </c>
      <c r="L5" s="743">
        <f>IF(ISNUMBER(HLOOKUP(L$1,Home!$D$9:$Y$84,$U5,FALSE)),HLOOKUP(L$1,Home!$D$9:$Y$84,$U5,FALSE),NA())</f>
        <v>6.9444444444444448E-2</v>
      </c>
      <c r="M5" s="743">
        <f>IF(ISNUMBER(HLOOKUP(M$1,Home!$D$9:$Y$84,$U5,FALSE)),HLOOKUP(M$1,Home!$D$9:$Y$84,$U5,FALSE),NA())</f>
        <v>4.7952047952047952E-2</v>
      </c>
      <c r="N5" s="743">
        <f>IF(ISNUMBER(HLOOKUP(N$1,Home!$D$9:$Y$84,$U5,FALSE)),HLOOKUP(N$1,Home!$D$9:$Y$84,$U5,FALSE),NA())</f>
        <v>3.2826022082960309E-2</v>
      </c>
      <c r="O5" s="743">
        <f>IF(ISNUMBER(HLOOKUP(O$1,Home!$D$9:$Y$84,$U5,FALSE)),HLOOKUP(O$1,Home!$D$9:$Y$84,$U5,FALSE),NA())</f>
        <v>6.4641241111829353E-2</v>
      </c>
      <c r="P5" s="743">
        <f>IF(ISNUMBER(HLOOKUP(P$1,Home!$D$9:$Y$84,$U5,FALSE)),HLOOKUP(P$1,Home!$D$9:$Y$84,$U5,FALSE),NA())</f>
        <v>6.7300182244207238E-2</v>
      </c>
      <c r="Q5" s="743">
        <f>IF(ISNUMBER(HLOOKUP(Q$1,Home!$D$9:$Y$84,$U5,FALSE)),HLOOKUP(Q$1,Home!$D$9:$Y$84,$U5,FALSE),NA())</f>
        <v>8.2345601996257012E-2</v>
      </c>
      <c r="R5" s="743">
        <f>IF(ISNUMBER(HLOOKUP(R$1,Home!$D$9:$Y$84,$U5,FALSE)),HLOOKUP(R$1,Home!$D$9:$Y$84,$U5,FALSE),NA())</f>
        <v>8.422645315849199E-2</v>
      </c>
      <c r="S5" s="743">
        <f>IF(ISNUMBER(HLOOKUP(S$1,Home!$D$9:$Y$84,$U5,FALSE)),HLOOKUP(S$1,Home!$D$9:$Y$84,$U5,FALSE),NA())</f>
        <v>3.6403750689464977E-2</v>
      </c>
      <c r="T5" s="743">
        <f>IF(ISNUMBER(HLOOKUP(T$1,Home!$D$9:$Y$84,$U5,FALSE)),HLOOKUP(T$1,Home!$D$9:$Y$84,$U5,FALSE),NA())</f>
        <v>9.0439276485788117E-2</v>
      </c>
      <c r="U5" s="740">
        <f>VLOOKUP(A5,Home!C:AU,45,FALSE)</f>
        <v>6</v>
      </c>
      <c r="V5" s="745">
        <f t="array" ref="V5">SLOPE(IF(ISNA($B5:$T5),"",$B5:$T5),IF(ISNA($B$2:$T$2),"",$B$2:$T$2))</f>
        <v>-4.2266657002182372E-5</v>
      </c>
      <c r="W5" s="745">
        <f t="array" ref="W5">INTERCEPT(IF(ISNA($B5:$T5),"",$B5:$T5),IF(ISNA($B$2:$T$2),"",$B$2:$T$2))</f>
        <v>7.0008595922658748E-2</v>
      </c>
      <c r="X5" s="745">
        <f t="array" ref="X5">RSQ(IF(ISNA($B5:$T5),"",$B5:$T5),IF(ISNA($B$2:$T$2),"",$B$2:$T$2))</f>
        <v>1.3315977348590119E-4</v>
      </c>
    </row>
    <row r="6" spans="1:24">
      <c r="A6" s="742" t="str">
        <f>Home!C15</f>
        <v xml:space="preserve">Schools </v>
      </c>
      <c r="B6" s="743">
        <f>IF(ISNUMBER(HLOOKUP(B$1,Home!$D$9:$Y$84,$U6,FALSE)),HLOOKUP(B$1,Home!$D$9:$Y$84,$U6,FALSE),NA())</f>
        <v>0.28457974851091994</v>
      </c>
      <c r="C6" s="743">
        <f>IF(ISNUMBER(HLOOKUP(C$1,Home!$D$9:$Y$84,$U6,FALSE)),HLOOKUP(C$1,Home!$D$9:$Y$84,$U6,FALSE),NA())</f>
        <v>0.23088731961928155</v>
      </c>
      <c r="D6" s="743">
        <f>IF(ISNUMBER(HLOOKUP(D$1,Home!$D$9:$Y$84,$U6,FALSE)),HLOOKUP(D$1,Home!$D$9:$Y$84,$U6,FALSE),NA())</f>
        <v>0.21465256797583082</v>
      </c>
      <c r="E6" s="743">
        <f>IF(ISNUMBER(HLOOKUP(E$1,Home!$D$9:$Y$84,$U6,FALSE)),HLOOKUP(E$1,Home!$D$9:$Y$84,$U6,FALSE),NA())</f>
        <v>0.15170494084899094</v>
      </c>
      <c r="F6" s="743" t="e">
        <f>IF(ISNUMBER(HLOOKUP(F$1,Home!$D$9:$Y$84,$U6,FALSE)),HLOOKUP(F$1,Home!$D$9:$Y$84,$U6,FALSE),NA())</f>
        <v>#N/A</v>
      </c>
      <c r="G6" s="743">
        <f>IF(ISNUMBER(HLOOKUP(G$1,Home!$D$9:$Y$84,$U6,FALSE)),HLOOKUP(G$1,Home!$D$9:$Y$84,$U6,FALSE),NA())</f>
        <v>0.34536317953403378</v>
      </c>
      <c r="H6" s="743">
        <f>IF(ISNUMBER(HLOOKUP(H$1,Home!$D$9:$Y$84,$U6,FALSE)),HLOOKUP(H$1,Home!$D$9:$Y$84,$U6,FALSE),NA())</f>
        <v>0.25739289121148023</v>
      </c>
      <c r="I6" s="743">
        <f>IF(ISNUMBER(HLOOKUP(I$1,Home!$D$9:$Y$84,$U6,FALSE)),HLOOKUP(I$1,Home!$D$9:$Y$84,$U6,FALSE),NA())</f>
        <v>0.30872610259322353</v>
      </c>
      <c r="J6" s="743">
        <f>IF(ISNUMBER(HLOOKUP(J$1,Home!$D$9:$Y$84,$U6,FALSE)),HLOOKUP(J$1,Home!$D$9:$Y$84,$U6,FALSE),NA())</f>
        <v>0.24145785876993167</v>
      </c>
      <c r="K6" s="743">
        <f>IF(ISNUMBER(HLOOKUP(K$1,Home!$D$9:$Y$84,$U6,FALSE)),HLOOKUP(K$1,Home!$D$9:$Y$84,$U6,FALSE),NA())</f>
        <v>0.2092332078462453</v>
      </c>
      <c r="L6" s="743">
        <f>IF(ISNUMBER(HLOOKUP(L$1,Home!$D$9:$Y$84,$U6,FALSE)),HLOOKUP(L$1,Home!$D$9:$Y$84,$U6,FALSE),NA())</f>
        <v>0.18353174603174602</v>
      </c>
      <c r="M6" s="743">
        <f>IF(ISNUMBER(HLOOKUP(M$1,Home!$D$9:$Y$84,$U6,FALSE)),HLOOKUP(M$1,Home!$D$9:$Y$84,$U6,FALSE),NA())</f>
        <v>0.18514818514818515</v>
      </c>
      <c r="N6" s="743">
        <f>IF(ISNUMBER(HLOOKUP(N$1,Home!$D$9:$Y$84,$U6,FALSE)),HLOOKUP(N$1,Home!$D$9:$Y$84,$U6,FALSE),NA())</f>
        <v>0.25544613548194567</v>
      </c>
      <c r="O6" s="743">
        <f>IF(ISNUMBER(HLOOKUP(O$1,Home!$D$9:$Y$84,$U6,FALSE)),HLOOKUP(O$1,Home!$D$9:$Y$84,$U6,FALSE),NA())</f>
        <v>0.28862314156431801</v>
      </c>
      <c r="P6" s="743">
        <f>IF(ISNUMBER(HLOOKUP(P$1,Home!$D$9:$Y$84,$U6,FALSE)),HLOOKUP(P$1,Home!$D$9:$Y$84,$U6,FALSE),NA())</f>
        <v>0.21075240822702421</v>
      </c>
      <c r="Q6" s="743">
        <f>IF(ISNUMBER(HLOOKUP(Q$1,Home!$D$9:$Y$84,$U6,FALSE)),HLOOKUP(Q$1,Home!$D$9:$Y$84,$U6,FALSE),NA())</f>
        <v>0.21896444167186524</v>
      </c>
      <c r="R6" s="743">
        <f>IF(ISNUMBER(HLOOKUP(R$1,Home!$D$9:$Y$84,$U6,FALSE)),HLOOKUP(R$1,Home!$D$9:$Y$84,$U6,FALSE),NA())</f>
        <v>0.18509645694111715</v>
      </c>
      <c r="S6" s="743">
        <f>IF(ISNUMBER(HLOOKUP(S$1,Home!$D$9:$Y$84,$U6,FALSE)),HLOOKUP(S$1,Home!$D$9:$Y$84,$U6,FALSE),NA())</f>
        <v>0.25041367898510758</v>
      </c>
      <c r="T6" s="743">
        <f>IF(ISNUMBER(HLOOKUP(T$1,Home!$D$9:$Y$84,$U6,FALSE)),HLOOKUP(T$1,Home!$D$9:$Y$84,$U6,FALSE),NA())</f>
        <v>0.24806201550387597</v>
      </c>
      <c r="U6" s="740">
        <f>VLOOKUP(A6,Home!C:AU,45,FALSE)</f>
        <v>7</v>
      </c>
      <c r="V6" s="745">
        <f t="array" ref="V6">SLOPE(IF(ISNA($B6:$T6),"",$B6:$T6),IF(ISNA($B$2:$T$2),"",$B$2:$T$2))</f>
        <v>1.9331953925769316E-3</v>
      </c>
      <c r="W6" s="745">
        <f t="array" ref="W6">INTERCEPT(IF(ISNA($B6:$T6),"",$B6:$T6),IF(ISNA($B$2:$T$2),"",$B$2:$T$2))</f>
        <v>0.21163086468966888</v>
      </c>
      <c r="X6" s="745">
        <f t="array" ref="X6">RSQ(IF(ISNA($B6:$T6),"",$B6:$T6),IF(ISNA($B$2:$T$2),"",$B$2:$T$2))</f>
        <v>3.5783500359140602E-2</v>
      </c>
    </row>
    <row r="7" spans="1:24">
      <c r="A7" s="742" t="str">
        <f>Home!C16</f>
        <v xml:space="preserve">Health services </v>
      </c>
      <c r="B7" s="743">
        <f>IF(ISNUMBER(HLOOKUP(B$1,Home!$D$9:$Y$84,$U7,FALSE)),HLOOKUP(B$1,Home!$D$9:$Y$84,$U7,FALSE),NA())</f>
        <v>0.12508272667107875</v>
      </c>
      <c r="C7" s="743">
        <f>IF(ISNUMBER(HLOOKUP(C$1,Home!$D$9:$Y$84,$U7,FALSE)),HLOOKUP(C$1,Home!$D$9:$Y$84,$U7,FALSE),NA())</f>
        <v>0.1486030089038993</v>
      </c>
      <c r="D7" s="743">
        <f>IF(ISNUMBER(HLOOKUP(D$1,Home!$D$9:$Y$84,$U7,FALSE)),HLOOKUP(D$1,Home!$D$9:$Y$84,$U7,FALSE),NA())</f>
        <v>0.15377643504531721</v>
      </c>
      <c r="E7" s="743">
        <f>IF(ISNUMBER(HLOOKUP(E$1,Home!$D$9:$Y$84,$U7,FALSE)),HLOOKUP(E$1,Home!$D$9:$Y$84,$U7,FALSE),NA())</f>
        <v>0.11969380654140571</v>
      </c>
      <c r="F7" s="743" t="e">
        <f>IF(ISNUMBER(HLOOKUP(F$1,Home!$D$9:$Y$84,$U7,FALSE)),HLOOKUP(F$1,Home!$D$9:$Y$84,$U7,FALSE),NA())</f>
        <v>#N/A</v>
      </c>
      <c r="G7" s="743">
        <f>IF(ISNUMBER(HLOOKUP(G$1,Home!$D$9:$Y$84,$U7,FALSE)),HLOOKUP(G$1,Home!$D$9:$Y$84,$U7,FALSE),NA())</f>
        <v>0.14595705801735953</v>
      </c>
      <c r="H7" s="743">
        <f>IF(ISNUMBER(HLOOKUP(H$1,Home!$D$9:$Y$84,$U7,FALSE)),HLOOKUP(H$1,Home!$D$9:$Y$84,$U7,FALSE),NA())</f>
        <v>0.14416656297955291</v>
      </c>
      <c r="I7" s="743">
        <f>IF(ISNUMBER(HLOOKUP(I$1,Home!$D$9:$Y$84,$U7,FALSE)),HLOOKUP(I$1,Home!$D$9:$Y$84,$U7,FALSE),NA())</f>
        <v>0.11205754306265379</v>
      </c>
      <c r="J7" s="743">
        <f>IF(ISNUMBER(HLOOKUP(J$1,Home!$D$9:$Y$84,$U7,FALSE)),HLOOKUP(J$1,Home!$D$9:$Y$84,$U7,FALSE),NA())</f>
        <v>0.12495932313699967</v>
      </c>
      <c r="K7" s="743">
        <f>IF(ISNUMBER(HLOOKUP(K$1,Home!$D$9:$Y$84,$U7,FALSE)),HLOOKUP(K$1,Home!$D$9:$Y$84,$U7,FALSE),NA())</f>
        <v>0.13176144244105409</v>
      </c>
      <c r="L7" s="743">
        <f>IF(ISNUMBER(HLOOKUP(L$1,Home!$D$9:$Y$84,$U7,FALSE)),HLOOKUP(L$1,Home!$D$9:$Y$84,$U7,FALSE),NA())</f>
        <v>0.14814814814814814</v>
      </c>
      <c r="M7" s="743">
        <f>IF(ISNUMBER(HLOOKUP(M$1,Home!$D$9:$Y$84,$U7,FALSE)),HLOOKUP(M$1,Home!$D$9:$Y$84,$U7,FALSE),NA())</f>
        <v>0.15251415251415251</v>
      </c>
      <c r="N7" s="743">
        <f>IF(ISNUMBER(HLOOKUP(N$1,Home!$D$9:$Y$84,$U7,FALSE)),HLOOKUP(N$1,Home!$D$9:$Y$84,$U7,FALSE),NA())</f>
        <v>0.14324082363473589</v>
      </c>
      <c r="O7" s="743">
        <f>IF(ISNUMBER(HLOOKUP(O$1,Home!$D$9:$Y$84,$U7,FALSE)),HLOOKUP(O$1,Home!$D$9:$Y$84,$U7,FALSE),NA())</f>
        <v>0.14835164835164835</v>
      </c>
      <c r="P7" s="743">
        <f>IF(ISNUMBER(HLOOKUP(P$1,Home!$D$9:$Y$84,$U7,FALSE)),HLOOKUP(P$1,Home!$D$9:$Y$84,$U7,FALSE),NA())</f>
        <v>0.16701379848997658</v>
      </c>
      <c r="Q7" s="743">
        <f>IF(ISNUMBER(HLOOKUP(Q$1,Home!$D$9:$Y$84,$U7,FALSE)),HLOOKUP(Q$1,Home!$D$9:$Y$84,$U7,FALSE),NA())</f>
        <v>0.11228945726762321</v>
      </c>
      <c r="R7" s="743">
        <f>IF(ISNUMBER(HLOOKUP(R$1,Home!$D$9:$Y$84,$U7,FALSE)),HLOOKUP(R$1,Home!$D$9:$Y$84,$U7,FALSE),NA())</f>
        <v>0.12066574202496533</v>
      </c>
      <c r="S7" s="743">
        <f>IF(ISNUMBER(HLOOKUP(S$1,Home!$D$9:$Y$84,$U7,FALSE)),HLOOKUP(S$1,Home!$D$9:$Y$84,$U7,FALSE),NA())</f>
        <v>0.14230557087699944</v>
      </c>
      <c r="T7" s="743">
        <f>IF(ISNUMBER(HLOOKUP(T$1,Home!$D$9:$Y$84,$U7,FALSE)),HLOOKUP(T$1,Home!$D$9:$Y$84,$U7,FALSE),NA())</f>
        <v>0.15051679586563307</v>
      </c>
      <c r="U7" s="740">
        <f>VLOOKUP(A7,Home!C:AU,45,FALSE)</f>
        <v>8</v>
      </c>
      <c r="V7" s="745">
        <f t="array" ref="V7">SLOPE(IF(ISNA($B7:$T7),"",$B7:$T7),IF(ISNA($B$2:$T$2),"",$B$2:$T$2))</f>
        <v>-1.6365360843779972E-4</v>
      </c>
      <c r="W7" s="745">
        <f t="array" ref="W7">INTERCEPT(IF(ISNA($B7:$T7),"",$B7:$T7),IF(ISNA($B$2:$T$2),"",$B$2:$T$2))</f>
        <v>0.14056126104799616</v>
      </c>
      <c r="X7" s="745">
        <f t="array" ref="X7">RSQ(IF(ISNA($B7:$T7),"",$B7:$T7),IF(ISNA($B$2:$T$2),"",$B$2:$T$2))</f>
        <v>2.4458478255486174E-3</v>
      </c>
    </row>
    <row r="8" spans="1:24">
      <c r="A8" s="742" t="str">
        <f>Home!C17</f>
        <v xml:space="preserve">Housing </v>
      </c>
      <c r="B8" s="743">
        <f>IF(ISNUMBER(HLOOKUP(B$1,Home!$D$9:$Y$84,$U8,FALSE)),HLOOKUP(B$1,Home!$D$9:$Y$84,$U8,FALSE),NA())</f>
        <v>1.7207147584381206E-2</v>
      </c>
      <c r="C8" s="743">
        <f>IF(ISNUMBER(HLOOKUP(C$1,Home!$D$9:$Y$84,$U8,FALSE)),HLOOKUP(C$1,Home!$D$9:$Y$84,$U8,FALSE),NA())</f>
        <v>1.197420939514891E-2</v>
      </c>
      <c r="D8" s="743">
        <f>IF(ISNUMBER(HLOOKUP(D$1,Home!$D$9:$Y$84,$U8,FALSE)),HLOOKUP(D$1,Home!$D$9:$Y$84,$U8,FALSE),NA())</f>
        <v>5.287009063444109E-3</v>
      </c>
      <c r="E8" s="743">
        <f>IF(ISNUMBER(HLOOKUP(E$1,Home!$D$9:$Y$84,$U8,FALSE)),HLOOKUP(E$1,Home!$D$9:$Y$84,$U8,FALSE),NA())</f>
        <v>1.6005567153792623E-2</v>
      </c>
      <c r="F8" s="743" t="e">
        <f>IF(ISNUMBER(HLOOKUP(F$1,Home!$D$9:$Y$84,$U8,FALSE)),HLOOKUP(F$1,Home!$D$9:$Y$84,$U8,FALSE),NA())</f>
        <v>#N/A</v>
      </c>
      <c r="G8" s="743">
        <f>IF(ISNUMBER(HLOOKUP(G$1,Home!$D$9:$Y$84,$U8,FALSE)),HLOOKUP(G$1,Home!$D$9:$Y$84,$U8,FALSE),NA())</f>
        <v>1.3933302878026497E-2</v>
      </c>
      <c r="H8" s="743">
        <f>IF(ISNUMBER(HLOOKUP(H$1,Home!$D$9:$Y$84,$U8,FALSE)),HLOOKUP(H$1,Home!$D$9:$Y$84,$U8,FALSE),NA())</f>
        <v>1.7046161503048402E-2</v>
      </c>
      <c r="I8" s="743">
        <f>IF(ISNUMBER(HLOOKUP(I$1,Home!$D$9:$Y$84,$U8,FALSE)),HLOOKUP(I$1,Home!$D$9:$Y$84,$U8,FALSE),NA())</f>
        <v>1.7225061518076849E-2</v>
      </c>
      <c r="J8" s="743">
        <f>IF(ISNUMBER(HLOOKUP(J$1,Home!$D$9:$Y$84,$U8,FALSE)),HLOOKUP(J$1,Home!$D$9:$Y$84,$U8,FALSE),NA())</f>
        <v>0</v>
      </c>
      <c r="K8" s="743">
        <f>IF(ISNUMBER(HLOOKUP(K$1,Home!$D$9:$Y$84,$U8,FALSE)),HLOOKUP(K$1,Home!$D$9:$Y$84,$U8,FALSE),NA())</f>
        <v>8.7180503269268881E-3</v>
      </c>
      <c r="L8" s="743">
        <f>IF(ISNUMBER(HLOOKUP(L$1,Home!$D$9:$Y$84,$U8,FALSE)),HLOOKUP(L$1,Home!$D$9:$Y$84,$U8,FALSE),NA())</f>
        <v>2.0502645502645502E-2</v>
      </c>
      <c r="M8" s="743">
        <f>IF(ISNUMBER(HLOOKUP(M$1,Home!$D$9:$Y$84,$U8,FALSE)),HLOOKUP(M$1,Home!$D$9:$Y$84,$U8,FALSE),NA())</f>
        <v>2.2311022311022312E-2</v>
      </c>
      <c r="N8" s="743">
        <f>IF(ISNUMBER(HLOOKUP(N$1,Home!$D$9:$Y$84,$U8,FALSE)),HLOOKUP(N$1,Home!$D$9:$Y$84,$U8,FALSE),NA())</f>
        <v>0</v>
      </c>
      <c r="O8" s="743">
        <f>IF(ISNUMBER(HLOOKUP(O$1,Home!$D$9:$Y$84,$U8,FALSE)),HLOOKUP(O$1,Home!$D$9:$Y$84,$U8,FALSE),NA())</f>
        <v>9.0497737556561094E-3</v>
      </c>
      <c r="P8" s="743">
        <f>IF(ISNUMBER(HLOOKUP(P$1,Home!$D$9:$Y$84,$U8,FALSE)),HLOOKUP(P$1,Home!$D$9:$Y$84,$U8,FALSE),NA())</f>
        <v>1.0544129133038271E-2</v>
      </c>
      <c r="Q8" s="743">
        <f>IF(ISNUMBER(HLOOKUP(Q$1,Home!$D$9:$Y$84,$U8,FALSE)),HLOOKUP(Q$1,Home!$D$9:$Y$84,$U8,FALSE),NA())</f>
        <v>3.7429819089207735E-3</v>
      </c>
      <c r="R8" s="743">
        <f>IF(ISNUMBER(HLOOKUP(R$1,Home!$D$9:$Y$84,$U8,FALSE)),HLOOKUP(R$1,Home!$D$9:$Y$84,$U8,FALSE),NA())</f>
        <v>8.4478628167948561E-3</v>
      </c>
      <c r="S8" s="743">
        <f>IF(ISNUMBER(HLOOKUP(S$1,Home!$D$9:$Y$84,$U8,FALSE)),HLOOKUP(S$1,Home!$D$9:$Y$84,$U8,FALSE),NA())</f>
        <v>6.0672917815774961E-3</v>
      </c>
      <c r="T8" s="743">
        <f>IF(ISNUMBER(HLOOKUP(T$1,Home!$D$9:$Y$84,$U8,FALSE)),HLOOKUP(T$1,Home!$D$9:$Y$84,$U8,FALSE),NA())</f>
        <v>5.8139534883720929E-3</v>
      </c>
      <c r="U8" s="740">
        <f>VLOOKUP(A8,Home!C:AU,45,FALSE)</f>
        <v>9</v>
      </c>
      <c r="V8" s="745">
        <f t="array" ref="V8">SLOPE(IF(ISNA($B8:$T8),"",$B8:$T8),IF(ISNA($B$2:$T$2),"",$B$2:$T$2))</f>
        <v>6.3813336146386463E-4</v>
      </c>
      <c r="W8" s="745">
        <f t="array" ref="W8">INTERCEPT(IF(ISNA($B8:$T8),"",$B8:$T8),IF(ISNA($B$2:$T$2),"",$B$2:$T$2))</f>
        <v>2.3227216713352199E-3</v>
      </c>
      <c r="X8" s="745">
        <f t="array" ref="X8">RSQ(IF(ISNA($B8:$T8),"",$B8:$T8),IF(ISNA($B$2:$T$2),"",$B$2:$T$2))</f>
        <v>0.20896636654472331</v>
      </c>
    </row>
    <row r="9" spans="1:24">
      <c r="A9" s="742" t="str">
        <f>Home!C18</f>
        <v xml:space="preserve">LA services </v>
      </c>
      <c r="B9" s="743">
        <f>IF(ISNUMBER(HLOOKUP(B$1,Home!$D$9:$Y$84,$U9,FALSE)),HLOOKUP(B$1,Home!$D$9:$Y$84,$U9,FALSE),NA())</f>
        <v>0.20780939774983453</v>
      </c>
      <c r="C9" s="743">
        <f>IF(ISNUMBER(HLOOKUP(C$1,Home!$D$9:$Y$84,$U9,FALSE)),HLOOKUP(C$1,Home!$D$9:$Y$84,$U9,FALSE),NA())</f>
        <v>0.18974516426159041</v>
      </c>
      <c r="D9" s="743">
        <f>IF(ISNUMBER(HLOOKUP(D$1,Home!$D$9:$Y$84,$U9,FALSE)),HLOOKUP(D$1,Home!$D$9:$Y$84,$U9,FALSE),NA())</f>
        <v>0.13051359516616315</v>
      </c>
      <c r="E9" s="743">
        <f>IF(ISNUMBER(HLOOKUP(E$1,Home!$D$9:$Y$84,$U9,FALSE)),HLOOKUP(E$1,Home!$D$9:$Y$84,$U9,FALSE),NA())</f>
        <v>0.21340756205056832</v>
      </c>
      <c r="F9" s="743" t="e">
        <f>IF(ISNUMBER(HLOOKUP(F$1,Home!$D$9:$Y$84,$U9,FALSE)),HLOOKUP(F$1,Home!$D$9:$Y$84,$U9,FALSE),NA())</f>
        <v>#N/A</v>
      </c>
      <c r="G9" s="743">
        <f>IF(ISNUMBER(HLOOKUP(G$1,Home!$D$9:$Y$84,$U9,FALSE)),HLOOKUP(G$1,Home!$D$9:$Y$84,$U9,FALSE),NA())</f>
        <v>6.5326633165829151E-2</v>
      </c>
      <c r="H9" s="743">
        <f>IF(ISNUMBER(HLOOKUP(H$1,Home!$D$9:$Y$84,$U9,FALSE)),HLOOKUP(H$1,Home!$D$9:$Y$84,$U9,FALSE),NA())</f>
        <v>0.10464103521214384</v>
      </c>
      <c r="I9" s="743">
        <f>IF(ISNUMBER(HLOOKUP(I$1,Home!$D$9:$Y$84,$U9,FALSE)),HLOOKUP(I$1,Home!$D$9:$Y$84,$U9,FALSE),NA())</f>
        <v>0.13382547794813554</v>
      </c>
      <c r="J9" s="743">
        <f>IF(ISNUMBER(HLOOKUP(J$1,Home!$D$9:$Y$84,$U9,FALSE)),HLOOKUP(J$1,Home!$D$9:$Y$84,$U9,FALSE),NA())</f>
        <v>0.14123006833712984</v>
      </c>
      <c r="K9" s="743">
        <f>IF(ISNUMBER(HLOOKUP(K$1,Home!$D$9:$Y$84,$U9,FALSE)),HLOOKUP(K$1,Home!$D$9:$Y$84,$U9,FALSE),NA())</f>
        <v>0.19575985734099466</v>
      </c>
      <c r="L9" s="743">
        <f>IF(ISNUMBER(HLOOKUP(L$1,Home!$D$9:$Y$84,$U9,FALSE)),HLOOKUP(L$1,Home!$D$9:$Y$84,$U9,FALSE),NA())</f>
        <v>0.17791005291005291</v>
      </c>
      <c r="M9" s="743">
        <f>IF(ISNUMBER(HLOOKUP(M$1,Home!$D$9:$Y$84,$U9,FALSE)),HLOOKUP(M$1,Home!$D$9:$Y$84,$U9,FALSE),NA())</f>
        <v>0.15451215451215453</v>
      </c>
      <c r="N9" s="743">
        <f>IF(ISNUMBER(HLOOKUP(N$1,Home!$D$9:$Y$84,$U9,FALSE)),HLOOKUP(N$1,Home!$D$9:$Y$84,$U9,FALSE),NA())</f>
        <v>9.9373321396598033E-2</v>
      </c>
      <c r="O9" s="743">
        <f>IF(ISNUMBER(HLOOKUP(O$1,Home!$D$9:$Y$84,$U9,FALSE)),HLOOKUP(O$1,Home!$D$9:$Y$84,$U9,FALSE),NA())</f>
        <v>0.13542340012928247</v>
      </c>
      <c r="P9" s="743">
        <f>IF(ISNUMBER(HLOOKUP(P$1,Home!$D$9:$Y$84,$U9,FALSE)),HLOOKUP(P$1,Home!$D$9:$Y$84,$U9,FALSE),NA())</f>
        <v>0.12093204894558708</v>
      </c>
      <c r="Q9" s="743">
        <f>IF(ISNUMBER(HLOOKUP(Q$1,Home!$D$9:$Y$84,$U9,FALSE)),HLOOKUP(Q$1,Home!$D$9:$Y$84,$U9,FALSE),NA())</f>
        <v>0.15782907049282596</v>
      </c>
      <c r="R9" s="743">
        <f>IF(ISNUMBER(HLOOKUP(R$1,Home!$D$9:$Y$84,$U9,FALSE)),HLOOKUP(R$1,Home!$D$9:$Y$84,$U9,FALSE),NA())</f>
        <v>0.11978312949186735</v>
      </c>
      <c r="S9" s="743">
        <f>IF(ISNUMBER(HLOOKUP(S$1,Home!$D$9:$Y$84,$U9,FALSE)),HLOOKUP(S$1,Home!$D$9:$Y$84,$U9,FALSE),NA())</f>
        <v>0.11969111969111969</v>
      </c>
      <c r="T9" s="743">
        <f>IF(ISNUMBER(HLOOKUP(T$1,Home!$D$9:$Y$84,$U9,FALSE)),HLOOKUP(T$1,Home!$D$9:$Y$84,$U9,FALSE),NA())</f>
        <v>0.1227390180878553</v>
      </c>
      <c r="U9" s="740">
        <f>VLOOKUP(A9,Home!C:AU,45,FALSE)</f>
        <v>10</v>
      </c>
      <c r="V9" s="745">
        <f t="array" ref="V9">SLOPE(IF(ISNA($B9:$T9),"",$B9:$T9),IF(ISNA($B$2:$T$2),"",$B$2:$T$2))</f>
        <v>-1.4375120155291776E-4</v>
      </c>
      <c r="W9" s="745">
        <f t="array" ref="W9">INTERCEPT(IF(ISNA($B9:$T9),"",$B9:$T9),IF(ISNA($B$2:$T$2),"",$B$2:$T$2))</f>
        <v>0.14581711212332185</v>
      </c>
      <c r="X9" s="745">
        <f t="array" ref="X9">RSQ(IF(ISNA($B9:$T9),"",$B9:$T9),IF(ISNA($B$2:$T$2),"",$B$2:$T$2))</f>
        <v>2.9444647935338247E-4</v>
      </c>
    </row>
    <row r="10" spans="1:24">
      <c r="A10" s="742" t="str">
        <f>Home!C19</f>
        <v xml:space="preserve">Police </v>
      </c>
      <c r="B10" s="743">
        <f>IF(ISNUMBER(HLOOKUP(B$1,Home!$D$9:$Y$84,$U10,FALSE)),HLOOKUP(B$1,Home!$D$9:$Y$84,$U10,FALSE),NA())</f>
        <v>0.22898742554599602</v>
      </c>
      <c r="C10" s="743">
        <f>IF(ISNUMBER(HLOOKUP(C$1,Home!$D$9:$Y$84,$U10,FALSE)),HLOOKUP(C$1,Home!$D$9:$Y$84,$U10,FALSE),NA())</f>
        <v>0.31593490942585201</v>
      </c>
      <c r="D10" s="743">
        <f>IF(ISNUMBER(HLOOKUP(D$1,Home!$D$9:$Y$84,$U10,FALSE)),HLOOKUP(D$1,Home!$D$9:$Y$84,$U10,FALSE),NA())</f>
        <v>0.35861027190332329</v>
      </c>
      <c r="E10" s="743">
        <f>IF(ISNUMBER(HLOOKUP(E$1,Home!$D$9:$Y$84,$U10,FALSE)),HLOOKUP(E$1,Home!$D$9:$Y$84,$U10,FALSE),NA())</f>
        <v>0.29900255161215494</v>
      </c>
      <c r="F10" s="743" t="e">
        <f>IF(ISNUMBER(HLOOKUP(F$1,Home!$D$9:$Y$84,$U10,FALSE)),HLOOKUP(F$1,Home!$D$9:$Y$84,$U10,FALSE),NA())</f>
        <v>#N/A</v>
      </c>
      <c r="G10" s="743">
        <f>IF(ISNUMBER(HLOOKUP(G$1,Home!$D$9:$Y$84,$U10,FALSE)),HLOOKUP(G$1,Home!$D$9:$Y$84,$U10,FALSE),NA())</f>
        <v>0.22316126084970306</v>
      </c>
      <c r="H10" s="743">
        <f>IF(ISNUMBER(HLOOKUP(H$1,Home!$D$9:$Y$84,$U10,FALSE)),HLOOKUP(H$1,Home!$D$9:$Y$84,$U10,FALSE),NA())</f>
        <v>0.21313923105636431</v>
      </c>
      <c r="I10" s="743">
        <f>IF(ISNUMBER(HLOOKUP(I$1,Home!$D$9:$Y$84,$U10,FALSE)),HLOOKUP(I$1,Home!$D$9:$Y$84,$U10,FALSE),NA())</f>
        <v>0.23736513344690516</v>
      </c>
      <c r="J10" s="743">
        <f>IF(ISNUMBER(HLOOKUP(J$1,Home!$D$9:$Y$84,$U10,FALSE)),HLOOKUP(J$1,Home!$D$9:$Y$84,$U10,FALSE),NA())</f>
        <v>0.32085909534656687</v>
      </c>
      <c r="K10" s="743">
        <f>IF(ISNUMBER(HLOOKUP(K$1,Home!$D$9:$Y$84,$U10,FALSE)),HLOOKUP(K$1,Home!$D$9:$Y$84,$U10,FALSE),NA())</f>
        <v>0.28769566078858727</v>
      </c>
      <c r="L10" s="743">
        <f>IF(ISNUMBER(HLOOKUP(L$1,Home!$D$9:$Y$84,$U10,FALSE)),HLOOKUP(L$1,Home!$D$9:$Y$84,$U10,FALSE),NA())</f>
        <v>0.29100529100529099</v>
      </c>
      <c r="M10" s="743">
        <f>IF(ISNUMBER(HLOOKUP(M$1,Home!$D$9:$Y$84,$U10,FALSE)),HLOOKUP(M$1,Home!$D$9:$Y$84,$U10,FALSE),NA())</f>
        <v>0.34532134532134534</v>
      </c>
      <c r="N10" s="743">
        <f>IF(ISNUMBER(HLOOKUP(N$1,Home!$D$9:$Y$84,$U10,FALSE)),HLOOKUP(N$1,Home!$D$9:$Y$84,$U10,FALSE),NA())</f>
        <v>0.38943598925693823</v>
      </c>
      <c r="O10" s="743">
        <f>IF(ISNUMBER(HLOOKUP(O$1,Home!$D$9:$Y$84,$U10,FALSE)),HLOOKUP(O$1,Home!$D$9:$Y$84,$U10,FALSE),NA())</f>
        <v>0.27537168713639304</v>
      </c>
      <c r="P10" s="743">
        <f>IF(ISNUMBER(HLOOKUP(P$1,Home!$D$9:$Y$84,$U10,FALSE)),HLOOKUP(P$1,Home!$D$9:$Y$84,$U10,FALSE),NA())</f>
        <v>0.29614683676126008</v>
      </c>
      <c r="Q10" s="743">
        <f>IF(ISNUMBER(HLOOKUP(Q$1,Home!$D$9:$Y$84,$U10,FALSE)),HLOOKUP(Q$1,Home!$D$9:$Y$84,$U10,FALSE),NA())</f>
        <v>0.32252027448533999</v>
      </c>
      <c r="R10" s="743">
        <f>IF(ISNUMBER(HLOOKUP(R$1,Home!$D$9:$Y$84,$U10,FALSE)),HLOOKUP(R$1,Home!$D$9:$Y$84,$U10,FALSE),NA())</f>
        <v>0.28369688563863321</v>
      </c>
      <c r="S10" s="743">
        <f>IF(ISNUMBER(HLOOKUP(S$1,Home!$D$9:$Y$84,$U10,FALSE)),HLOOKUP(S$1,Home!$D$9:$Y$84,$U10,FALSE),NA())</f>
        <v>0.33039161610590184</v>
      </c>
      <c r="T10" s="743">
        <f>IF(ISNUMBER(HLOOKUP(T$1,Home!$D$9:$Y$84,$U10,FALSE)),HLOOKUP(T$1,Home!$D$9:$Y$84,$U10,FALSE),NA())</f>
        <v>0.31136950904392763</v>
      </c>
      <c r="U10" s="740">
        <f>VLOOKUP(A10,Home!C:AU,45,FALSE)</f>
        <v>11</v>
      </c>
      <c r="V10" s="745">
        <f t="array" ref="V10">SLOPE(IF(ISNA($B10:$T10),"",$B10:$T10),IF(ISNA($B$2:$T$2),"",$B$2:$T$2))</f>
        <v>-2.8847442611426061E-3</v>
      </c>
      <c r="W10" s="745">
        <f t="array" ref="W10">INTERCEPT(IF(ISNA($B10:$T10),"",$B10:$T10),IF(ISNA($B$2:$T$2),"",$B$2:$T$2))</f>
        <v>0.33430275178670932</v>
      </c>
      <c r="X10" s="745">
        <f t="array" ref="X10">RSQ(IF(ISNA($B10:$T10),"",$B10:$T10),IF(ISNA($B$2:$T$2),"",$B$2:$T$2))</f>
        <v>8.3217304868700825E-2</v>
      </c>
    </row>
    <row r="11" spans="1:24">
      <c r="A11" s="742" t="str">
        <f>Home!C20</f>
        <v xml:space="preserve">Other legal agency </v>
      </c>
      <c r="B11" s="743">
        <f>IF(ISNUMBER(HLOOKUP(B$1,Home!$D$9:$Y$84,$U11,FALSE)),HLOOKUP(B$1,Home!$D$9:$Y$84,$U11,FALSE),NA())</f>
        <v>2.5810721376571807E-2</v>
      </c>
      <c r="C11" s="743">
        <f>IF(ISNUMBER(HLOOKUP(C$1,Home!$D$9:$Y$84,$U11,FALSE)),HLOOKUP(C$1,Home!$D$9:$Y$84,$U11,FALSE),NA())</f>
        <v>1.1053116364752841E-2</v>
      </c>
      <c r="D11" s="743">
        <f>IF(ISNUMBER(HLOOKUP(D$1,Home!$D$9:$Y$84,$U11,FALSE)),HLOOKUP(D$1,Home!$D$9:$Y$84,$U11,FALSE),NA())</f>
        <v>3.1722054380664652E-2</v>
      </c>
      <c r="E11" s="743">
        <f>IF(ISNUMBER(HLOOKUP(E$1,Home!$D$9:$Y$84,$U11,FALSE)),HLOOKUP(E$1,Home!$D$9:$Y$84,$U11,FALSE),NA())</f>
        <v>4.4537230340988172E-2</v>
      </c>
      <c r="F11" s="743" t="e">
        <f>IF(ISNUMBER(HLOOKUP(F$1,Home!$D$9:$Y$84,$U11,FALSE)),HLOOKUP(F$1,Home!$D$9:$Y$84,$U11,FALSE),NA())</f>
        <v>#N/A</v>
      </c>
      <c r="G11" s="743">
        <f>IF(ISNUMBER(HLOOKUP(G$1,Home!$D$9:$Y$84,$U11,FALSE)),HLOOKUP(G$1,Home!$D$9:$Y$84,$U11,FALSE),NA())</f>
        <v>3.4033805390589311E-2</v>
      </c>
      <c r="H11" s="743">
        <f>IF(ISNUMBER(HLOOKUP(H$1,Home!$D$9:$Y$84,$U11,FALSE)),HLOOKUP(H$1,Home!$D$9:$Y$84,$U11,FALSE),NA())</f>
        <v>0.1346273485131268</v>
      </c>
      <c r="I11" s="743">
        <f>IF(ISNUMBER(HLOOKUP(I$1,Home!$D$9:$Y$84,$U11,FALSE)),HLOOKUP(I$1,Home!$D$9:$Y$84,$U11,FALSE),NA())</f>
        <v>4.2589437819420782E-2</v>
      </c>
      <c r="J11" s="743">
        <f>IF(ISNUMBER(HLOOKUP(J$1,Home!$D$9:$Y$84,$U11,FALSE)),HLOOKUP(J$1,Home!$D$9:$Y$84,$U11,FALSE),NA())</f>
        <v>3.6771884152294175E-2</v>
      </c>
      <c r="K11" s="743">
        <f>IF(ISNUMBER(HLOOKUP(K$1,Home!$D$9:$Y$84,$U11,FALSE)),HLOOKUP(K$1,Home!$D$9:$Y$84,$U11,FALSE),NA())</f>
        <v>4.0221914008321778E-2</v>
      </c>
      <c r="L11" s="743">
        <f>IF(ISNUMBER(HLOOKUP(L$1,Home!$D$9:$Y$84,$U11,FALSE)),HLOOKUP(L$1,Home!$D$9:$Y$84,$U11,FALSE),NA())</f>
        <v>4.1005291005291003E-2</v>
      </c>
      <c r="M11" s="743">
        <f>IF(ISNUMBER(HLOOKUP(M$1,Home!$D$9:$Y$84,$U11,FALSE)),HLOOKUP(M$1,Home!$D$9:$Y$84,$U11,FALSE),NA())</f>
        <v>3.996003996003996E-2</v>
      </c>
      <c r="N11" s="743">
        <f>IF(ISNUMBER(HLOOKUP(N$1,Home!$D$9:$Y$84,$U11,FALSE)),HLOOKUP(N$1,Home!$D$9:$Y$84,$U11,FALSE),NA())</f>
        <v>2.5962399283795883E-2</v>
      </c>
      <c r="O11" s="743">
        <f>IF(ISNUMBER(HLOOKUP(O$1,Home!$D$9:$Y$84,$U11,FALSE)),HLOOKUP(O$1,Home!$D$9:$Y$84,$U11,FALSE),NA())</f>
        <v>3.3613445378151259E-2</v>
      </c>
      <c r="P11" s="743">
        <f>IF(ISNUMBER(HLOOKUP(P$1,Home!$D$9:$Y$84,$U11,FALSE)),HLOOKUP(P$1,Home!$D$9:$Y$84,$U11,FALSE),NA())</f>
        <v>3.3975527206456649E-2</v>
      </c>
      <c r="Q11" s="743">
        <f>IF(ISNUMBER(HLOOKUP(Q$1,Home!$D$9:$Y$84,$U11,FALSE)),HLOOKUP(Q$1,Home!$D$9:$Y$84,$U11,FALSE),NA())</f>
        <v>4.8658764815970056E-2</v>
      </c>
      <c r="R11" s="743">
        <f>IF(ISNUMBER(HLOOKUP(R$1,Home!$D$9:$Y$84,$U11,FALSE)),HLOOKUP(R$1,Home!$D$9:$Y$84,$U11,FALSE),NA())</f>
        <v>5.5478502080443829E-3</v>
      </c>
      <c r="S11" s="743">
        <f>IF(ISNUMBER(HLOOKUP(S$1,Home!$D$9:$Y$84,$U11,FALSE)),HLOOKUP(S$1,Home!$D$9:$Y$84,$U11,FALSE),NA())</f>
        <v>1.2134583563154992E-2</v>
      </c>
      <c r="T11" s="743">
        <f>IF(ISNUMBER(HLOOKUP(T$1,Home!$D$9:$Y$84,$U11,FALSE)),HLOOKUP(T$1,Home!$D$9:$Y$84,$U11,FALSE),NA())</f>
        <v>4.3927648578811367E-2</v>
      </c>
      <c r="U11" s="740">
        <f>VLOOKUP(A11,Home!C:AU,45,FALSE)</f>
        <v>12</v>
      </c>
      <c r="V11" s="745">
        <f t="array" ref="V11">SLOPE(IF(ISNA($B11:$T11),"",$B11:$T11),IF(ISNA($B$2:$T$2),"",$B$2:$T$2))</f>
        <v>1.1182813467838194E-3</v>
      </c>
      <c r="W11" s="745">
        <f t="array" ref="W11">INTERCEPT(IF(ISNA($B11:$T11),"",$B11:$T11),IF(ISNA($B$2:$T$2),"",$B$2:$T$2))</f>
        <v>2.3314812078214536E-2</v>
      </c>
      <c r="X11" s="745">
        <f t="array" ref="X11">RSQ(IF(ISNA($B11:$T11),"",$B11:$T11),IF(ISNA($B$2:$T$2),"",$B$2:$T$2))</f>
        <v>3.9329623779195577E-2</v>
      </c>
    </row>
    <row r="12" spans="1:24">
      <c r="A12" s="742" t="str">
        <f>Home!C21</f>
        <v xml:space="preserve">Other </v>
      </c>
      <c r="B12" s="743">
        <f>IF(ISNUMBER(HLOOKUP(B$1,Home!$D$9:$Y$84,$U12,FALSE)),HLOOKUP(B$1,Home!$D$9:$Y$84,$U12,FALSE),NA())</f>
        <v>2.6472534745201854E-2</v>
      </c>
      <c r="C12" s="743">
        <f>IF(ISNUMBER(HLOOKUP(C$1,Home!$D$9:$Y$84,$U12,FALSE)),HLOOKUP(C$1,Home!$D$9:$Y$84,$U12,FALSE),NA())</f>
        <v>0</v>
      </c>
      <c r="D12" s="743">
        <f>IF(ISNUMBER(HLOOKUP(D$1,Home!$D$9:$Y$84,$U12,FALSE)),HLOOKUP(D$1,Home!$D$9:$Y$84,$U12,FALSE),NA())</f>
        <v>3.8217522658610274E-2</v>
      </c>
      <c r="E12" s="743">
        <f>IF(ISNUMBER(HLOOKUP(E$1,Home!$D$9:$Y$84,$U12,FALSE)),HLOOKUP(E$1,Home!$D$9:$Y$84,$U12,FALSE),NA())</f>
        <v>2.7835768963117607E-2</v>
      </c>
      <c r="F12" s="743" t="e">
        <f>IF(ISNUMBER(HLOOKUP(F$1,Home!$D$9:$Y$84,$U12,FALSE)),HLOOKUP(F$1,Home!$D$9:$Y$84,$U12,FALSE),NA())</f>
        <v>#N/A</v>
      </c>
      <c r="G12" s="743">
        <f>IF(ISNUMBER(HLOOKUP(G$1,Home!$D$9:$Y$84,$U12,FALSE)),HLOOKUP(G$1,Home!$D$9:$Y$84,$U12,FALSE),NA())</f>
        <v>8.063042485153038E-2</v>
      </c>
      <c r="H12" s="743">
        <f>IF(ISNUMBER(HLOOKUP(H$1,Home!$D$9:$Y$84,$U12,FALSE)),HLOOKUP(H$1,Home!$D$9:$Y$84,$U12,FALSE),NA())</f>
        <v>2.6875699888017916E-2</v>
      </c>
      <c r="I12" s="743">
        <f>IF(ISNUMBER(HLOOKUP(I$1,Home!$D$9:$Y$84,$U12,FALSE)),HLOOKUP(I$1,Home!$D$9:$Y$84,$U12,FALSE),NA())</f>
        <v>2.4796517130418323E-2</v>
      </c>
      <c r="J12" s="743">
        <f>IF(ISNUMBER(HLOOKUP(J$1,Home!$D$9:$Y$84,$U12,FALSE)),HLOOKUP(J$1,Home!$D$9:$Y$84,$U12,FALSE),NA())</f>
        <v>3.644646924829157E-2</v>
      </c>
      <c r="K12" s="743">
        <f>IF(ISNUMBER(HLOOKUP(K$1,Home!$D$9:$Y$84,$U12,FALSE)),HLOOKUP(K$1,Home!$D$9:$Y$84,$U12,FALSE),NA())</f>
        <v>2.3380225876758469E-2</v>
      </c>
      <c r="L12" s="743">
        <f>IF(ISNUMBER(HLOOKUP(L$1,Home!$D$9:$Y$84,$U12,FALSE)),HLOOKUP(L$1,Home!$D$9:$Y$84,$U12,FALSE),NA())</f>
        <v>3.6706349206349208E-2</v>
      </c>
      <c r="M12" s="743">
        <f>IF(ISNUMBER(HLOOKUP(M$1,Home!$D$9:$Y$84,$U12,FALSE)),HLOOKUP(M$1,Home!$D$9:$Y$84,$U12,FALSE),NA())</f>
        <v>3.3633033633033632E-2</v>
      </c>
      <c r="N12" s="743">
        <f>IF(ISNUMBER(HLOOKUP(N$1,Home!$D$9:$Y$84,$U12,FALSE)),HLOOKUP(N$1,Home!$D$9:$Y$84,$U12,FALSE),NA())</f>
        <v>5.1626380185019395E-2</v>
      </c>
      <c r="O12" s="743">
        <f>IF(ISNUMBER(HLOOKUP(O$1,Home!$D$9:$Y$84,$U12,FALSE)),HLOOKUP(O$1,Home!$D$9:$Y$84,$U12,FALSE),NA())</f>
        <v>3.8138332255979318E-2</v>
      </c>
      <c r="P12" s="743">
        <f>IF(ISNUMBER(HLOOKUP(P$1,Home!$D$9:$Y$84,$U12,FALSE)),HLOOKUP(P$1,Home!$D$9:$Y$84,$U12,FALSE),NA())</f>
        <v>8.1489195521999486E-2</v>
      </c>
      <c r="Q12" s="743">
        <f>IF(ISNUMBER(HLOOKUP(Q$1,Home!$D$9:$Y$84,$U12,FALSE)),HLOOKUP(Q$1,Home!$D$9:$Y$84,$U12,FALSE),NA())</f>
        <v>1.3100436681222707E-2</v>
      </c>
      <c r="R12" s="743">
        <f>IF(ISNUMBER(HLOOKUP(R$1,Home!$D$9:$Y$84,$U12,FALSE)),HLOOKUP(R$1,Home!$D$9:$Y$84,$U12,FALSE),NA())</f>
        <v>0.12533097969991175</v>
      </c>
      <c r="S12" s="743">
        <f>IF(ISNUMBER(HLOOKUP(S$1,Home!$D$9:$Y$84,$U12,FALSE)),HLOOKUP(S$1,Home!$D$9:$Y$84,$U12,FALSE),NA())</f>
        <v>4.7986762272476557E-2</v>
      </c>
      <c r="T12" s="743">
        <f>IF(ISNUMBER(HLOOKUP(T$1,Home!$D$9:$Y$84,$U12,FALSE)),HLOOKUP(T$1,Home!$D$9:$Y$84,$U12,FALSE),NA())</f>
        <v>1.4857881136950904E-2</v>
      </c>
      <c r="U12" s="740">
        <f>VLOOKUP(A12,Home!C:AU,45,FALSE)</f>
        <v>13</v>
      </c>
      <c r="V12" s="745">
        <f t="array" ref="V12">SLOPE(IF(ISNA($B12:$T12),"",$B12:$T12),IF(ISNA($B$2:$T$2),"",$B$2:$T$2))</f>
        <v>-2.6025427540705081E-4</v>
      </c>
      <c r="W12" s="745">
        <f t="array" ref="W12">INTERCEPT(IF(ISNA($B12:$T12),"",$B12:$T12),IF(ISNA($B$2:$T$2),"",$B$2:$T$2))</f>
        <v>4.3863505988021641E-2</v>
      </c>
      <c r="X12" s="745">
        <f t="array" ref="X12">RSQ(IF(ISNA($B12:$T12),"",$B12:$T12),IF(ISNA($B$2:$T$2),"",$B$2:$T$2))</f>
        <v>1.7745007298789063E-3</v>
      </c>
    </row>
    <row r="13" spans="1:24">
      <c r="A13" s="742" t="str">
        <f>Home!C22</f>
        <v xml:space="preserve">Anonymous </v>
      </c>
      <c r="B13" s="743">
        <f>IF(ISNUMBER(HLOOKUP(B$1,Home!$D$9:$Y$84,$U13,FALSE)),HLOOKUP(B$1,Home!$D$9:$Y$84,$U13,FALSE),NA())</f>
        <v>9.9272005294506957E-3</v>
      </c>
      <c r="C13" s="743">
        <f>IF(ISNUMBER(HLOOKUP(C$1,Home!$D$9:$Y$84,$U13,FALSE)),HLOOKUP(C$1,Home!$D$9:$Y$84,$U13,FALSE),NA())</f>
        <v>1.6579674547129261E-2</v>
      </c>
      <c r="D13" s="743">
        <f>IF(ISNUMBER(HLOOKUP(D$1,Home!$D$9:$Y$84,$U13,FALSE)),HLOOKUP(D$1,Home!$D$9:$Y$84,$U13,FALSE),NA())</f>
        <v>6.3444108761329309E-3</v>
      </c>
      <c r="E13" s="743">
        <f>IF(ISNUMBER(HLOOKUP(E$1,Home!$D$9:$Y$84,$U13,FALSE)),HLOOKUP(E$1,Home!$D$9:$Y$84,$U13,FALSE),NA())</f>
        <v>2.1572720946416143E-2</v>
      </c>
      <c r="F13" s="743" t="e">
        <f>IF(ISNUMBER(HLOOKUP(F$1,Home!$D$9:$Y$84,$U13,FALSE)),HLOOKUP(F$1,Home!$D$9:$Y$84,$U13,FALSE),NA())</f>
        <v>#N/A</v>
      </c>
      <c r="G13" s="743">
        <f>IF(ISNUMBER(HLOOKUP(G$1,Home!$D$9:$Y$84,$U13,FALSE)),HLOOKUP(G$1,Home!$D$9:$Y$84,$U13,FALSE),NA())</f>
        <v>1.8501598903608953E-2</v>
      </c>
      <c r="H13" s="743">
        <f>IF(ISNUMBER(HLOOKUP(H$1,Home!$D$9:$Y$84,$U13,FALSE)),HLOOKUP(H$1,Home!$D$9:$Y$84,$U13,FALSE),NA())</f>
        <v>6.9262991995354814E-3</v>
      </c>
      <c r="I13" s="743">
        <f>IF(ISNUMBER(HLOOKUP(I$1,Home!$D$9:$Y$84,$U13,FALSE)),HLOOKUP(I$1,Home!$D$9:$Y$84,$U13,FALSE),NA())</f>
        <v>4.240015142911225E-2</v>
      </c>
      <c r="J13" s="743">
        <f>IF(ISNUMBER(HLOOKUP(J$1,Home!$D$9:$Y$84,$U13,FALSE)),HLOOKUP(J$1,Home!$D$9:$Y$84,$U13,FALSE),NA())</f>
        <v>2.0826553856166611E-2</v>
      </c>
      <c r="K13" s="743">
        <f>IF(ISNUMBER(HLOOKUP(K$1,Home!$D$9:$Y$84,$U13,FALSE)),HLOOKUP(K$1,Home!$D$9:$Y$84,$U13,FALSE),NA())</f>
        <v>1.8823063205864871E-2</v>
      </c>
      <c r="L13" s="743">
        <f>IF(ISNUMBER(HLOOKUP(L$1,Home!$D$9:$Y$84,$U13,FALSE)),HLOOKUP(L$1,Home!$D$9:$Y$84,$U13,FALSE),NA())</f>
        <v>3.1746031746031744E-2</v>
      </c>
      <c r="M13" s="743">
        <f>IF(ISNUMBER(HLOOKUP(M$1,Home!$D$9:$Y$84,$U13,FALSE)),HLOOKUP(M$1,Home!$D$9:$Y$84,$U13,FALSE),NA())</f>
        <v>1.8648018648018648E-2</v>
      </c>
      <c r="N13" s="743">
        <f>IF(ISNUMBER(HLOOKUP(N$1,Home!$D$9:$Y$84,$U13,FALSE)),HLOOKUP(N$1,Home!$D$9:$Y$84,$U13,FALSE),NA())</f>
        <v>2.0889286780065653E-3</v>
      </c>
      <c r="O13" s="743">
        <f>IF(ISNUMBER(HLOOKUP(O$1,Home!$D$9:$Y$84,$U13,FALSE)),HLOOKUP(O$1,Home!$D$9:$Y$84,$U13,FALSE),NA())</f>
        <v>6.7873303167420816E-3</v>
      </c>
      <c r="P13" s="743">
        <f>IF(ISNUMBER(HLOOKUP(P$1,Home!$D$9:$Y$84,$U13,FALSE)),HLOOKUP(P$1,Home!$D$9:$Y$84,$U13,FALSE),NA())</f>
        <v>1.1845873470450404E-2</v>
      </c>
      <c r="Q13" s="743">
        <f>IF(ISNUMBER(HLOOKUP(Q$1,Home!$D$9:$Y$84,$U13,FALSE)),HLOOKUP(Q$1,Home!$D$9:$Y$84,$U13,FALSE),NA())</f>
        <v>2.3705552089831567E-2</v>
      </c>
      <c r="R13" s="743">
        <f>IF(ISNUMBER(HLOOKUP(R$1,Home!$D$9:$Y$84,$U13,FALSE)),HLOOKUP(R$1,Home!$D$9:$Y$84,$U13,FALSE),NA())</f>
        <v>0</v>
      </c>
      <c r="S13" s="743">
        <f>IF(ISNUMBER(HLOOKUP(S$1,Home!$D$9:$Y$84,$U13,FALSE)),HLOOKUP(S$1,Home!$D$9:$Y$84,$U13,FALSE),NA())</f>
        <v>7.7220077220077222E-3</v>
      </c>
      <c r="T13" s="743">
        <f>IF(ISNUMBER(HLOOKUP(T$1,Home!$D$9:$Y$84,$U13,FALSE)),HLOOKUP(T$1,Home!$D$9:$Y$84,$U13,FALSE),NA())</f>
        <v>7.1059431524547806E-3</v>
      </c>
      <c r="U13" s="740">
        <f>VLOOKUP(A13,Home!C:AU,45,FALSE)</f>
        <v>14</v>
      </c>
      <c r="V13" s="745">
        <f t="array" ref="V13">SLOPE(IF(ISNA($B13:$T13),"",$B13:$T13),IF(ISNA($B$2:$T$2),"",$B$2:$T$2))</f>
        <v>1.0260055032139603E-3</v>
      </c>
      <c r="W13" s="745">
        <f t="array" ref="W13">INTERCEPT(IF(ISNA($B13:$T13),"",$B13:$T13),IF(ISNA($B$2:$T$2),"",$B$2:$T$2))</f>
        <v>1.5030137722818904E-3</v>
      </c>
      <c r="X13" s="745">
        <f t="array" ref="X13">RSQ(IF(ISNA($B13:$T13),"",$B13:$T13),IF(ISNA($B$2:$T$2),"",$B$2:$T$2))</f>
        <v>0.20767461341291155</v>
      </c>
    </row>
    <row r="14" spans="1:24">
      <c r="A14" s="742" t="str">
        <f>Home!C23</f>
        <v xml:space="preserve">Unknown </v>
      </c>
      <c r="B14" s="743">
        <f>IF(ISNUMBER(HLOOKUP(B$1,Home!$D$9:$Y$84,$U14,FALSE)),HLOOKUP(B$1,Home!$D$9:$Y$84,$U14,FALSE),NA())</f>
        <v>0</v>
      </c>
      <c r="C14" s="743">
        <f>IF(ISNUMBER(HLOOKUP(C$1,Home!$D$9:$Y$84,$U14,FALSE)),HLOOKUP(C$1,Home!$D$9:$Y$84,$U14,FALSE),NA())</f>
        <v>1.013202333435677E-2</v>
      </c>
      <c r="D14" s="743">
        <f>IF(ISNUMBER(HLOOKUP(D$1,Home!$D$9:$Y$84,$U14,FALSE)),HLOOKUP(D$1,Home!$D$9:$Y$84,$U14,FALSE),NA())</f>
        <v>3.9274924471299098E-3</v>
      </c>
      <c r="E14" s="743">
        <f>IF(ISNUMBER(HLOOKUP(E$1,Home!$D$9:$Y$84,$U14,FALSE)),HLOOKUP(E$1,Home!$D$9:$Y$84,$U14,FALSE),NA())</f>
        <v>5.3351890512642079E-3</v>
      </c>
      <c r="F14" s="743" t="e">
        <f>IF(ISNUMBER(HLOOKUP(F$1,Home!$D$9:$Y$84,$U14,FALSE)),HLOOKUP(F$1,Home!$D$9:$Y$84,$U14,FALSE),NA())</f>
        <v>#N/A</v>
      </c>
      <c r="G14" s="743">
        <f>IF(ISNUMBER(HLOOKUP(G$1,Home!$D$9:$Y$84,$U14,FALSE)),HLOOKUP(G$1,Home!$D$9:$Y$84,$U14,FALSE),NA())</f>
        <v>5.9387848332571949E-3</v>
      </c>
      <c r="H14" s="743">
        <f>IF(ISNUMBER(HLOOKUP(H$1,Home!$D$9:$Y$84,$U14,FALSE)),HLOOKUP(H$1,Home!$D$9:$Y$84,$U14,FALSE),NA())</f>
        <v>2.189871842727386E-2</v>
      </c>
      <c r="I14" s="743">
        <f>IF(ISNUMBER(HLOOKUP(I$1,Home!$D$9:$Y$84,$U14,FALSE)),HLOOKUP(I$1,Home!$D$9:$Y$84,$U14,FALSE),NA())</f>
        <v>1.5142911224682945E-3</v>
      </c>
      <c r="J14" s="743">
        <f>IF(ISNUMBER(HLOOKUP(J$1,Home!$D$9:$Y$84,$U14,FALSE)),HLOOKUP(J$1,Home!$D$9:$Y$84,$U14,FALSE),NA())</f>
        <v>0</v>
      </c>
      <c r="K14" s="743">
        <f>IF(ISNUMBER(HLOOKUP(K$1,Home!$D$9:$Y$84,$U14,FALSE)),HLOOKUP(K$1,Home!$D$9:$Y$84,$U14,FALSE),NA())</f>
        <v>4.359025163463444E-3</v>
      </c>
      <c r="L14" s="743">
        <f>IF(ISNUMBER(HLOOKUP(L$1,Home!$D$9:$Y$84,$U14,FALSE)),HLOOKUP(L$1,Home!$D$9:$Y$84,$U14,FALSE),NA())</f>
        <v>0</v>
      </c>
      <c r="M14" s="743">
        <f>IF(ISNUMBER(HLOOKUP(M$1,Home!$D$9:$Y$84,$U14,FALSE)),HLOOKUP(M$1,Home!$D$9:$Y$84,$U14,FALSE),NA())</f>
        <v>0</v>
      </c>
      <c r="N14" s="743">
        <f>IF(ISNUMBER(HLOOKUP(N$1,Home!$D$9:$Y$84,$U14,FALSE)),HLOOKUP(N$1,Home!$D$9:$Y$84,$U14,FALSE),NA())</f>
        <v>0</v>
      </c>
      <c r="O14" s="743">
        <f>IF(ISNUMBER(HLOOKUP(O$1,Home!$D$9:$Y$84,$U14,FALSE)),HLOOKUP(O$1,Home!$D$9:$Y$84,$U14,FALSE),NA())</f>
        <v>0</v>
      </c>
      <c r="P14" s="743">
        <f>IF(ISNUMBER(HLOOKUP(P$1,Home!$D$9:$Y$84,$U14,FALSE)),HLOOKUP(P$1,Home!$D$9:$Y$84,$U14,FALSE),NA())</f>
        <v>0</v>
      </c>
      <c r="Q14" s="743">
        <f>IF(ISNUMBER(HLOOKUP(Q$1,Home!$D$9:$Y$84,$U14,FALSE)),HLOOKUP(Q$1,Home!$D$9:$Y$84,$U14,FALSE),NA())</f>
        <v>1.6843418590143482E-2</v>
      </c>
      <c r="R14" s="743">
        <f>IF(ISNUMBER(HLOOKUP(R$1,Home!$D$9:$Y$84,$U14,FALSE)),HLOOKUP(R$1,Home!$D$9:$Y$84,$U14,FALSE),NA())</f>
        <v>6.7204640020173997E-2</v>
      </c>
      <c r="S14" s="743">
        <f>IF(ISNUMBER(HLOOKUP(S$1,Home!$D$9:$Y$84,$U14,FALSE)),HLOOKUP(S$1,Home!$D$9:$Y$84,$U14,FALSE),NA())</f>
        <v>4.6883618312189741E-2</v>
      </c>
      <c r="T14" s="743">
        <f>IF(ISNUMBER(HLOOKUP(T$1,Home!$D$9:$Y$84,$U14,FALSE)),HLOOKUP(T$1,Home!$D$9:$Y$84,$U14,FALSE),NA())</f>
        <v>5.1679586563307496E-3</v>
      </c>
      <c r="U14" s="740">
        <f>VLOOKUP(A14,Home!C:AU,45,FALSE)</f>
        <v>15</v>
      </c>
      <c r="V14" s="745">
        <f t="array" ref="V14">SLOPE(IF(ISNA($B14:$T14),"",$B14:$T14),IF(ISNA($B$2:$T$2),"",$B$2:$T$2))</f>
        <v>-1.2209456004960196E-3</v>
      </c>
      <c r="W14" s="745">
        <f t="array" ref="W14">INTERCEPT(IF(ISNA($B14:$T14),"",$B14:$T14),IF(ISNA($B$2:$T$2),"",$B$2:$T$2))</f>
        <v>2.6675360919791842E-2</v>
      </c>
      <c r="X14" s="745">
        <f t="array" ref="X14">RSQ(IF(ISNA($B14:$T14),"",$B14:$T14),IF(ISNA($B$2:$T$2),"",$B$2:$T$2))</f>
        <v>0.10166124941849693</v>
      </c>
    </row>
    <row r="15" spans="1:24" ht="24">
      <c r="A15" s="742" t="str">
        <f>Home!C24</f>
        <v>Re-referrals to CSC during the Year ending 31st March, Rate per 10,000 0-17 Year Olds</v>
      </c>
      <c r="B15" s="743">
        <f>IF(ISNUMBER(HLOOKUP(B$1,Home!$D$9:$Y$84,$U15,FALSE)),HLOOKUP(B$1,Home!$D$9:$Y$84,$U15,FALSE),NA())</f>
        <v>131.25283624812371</v>
      </c>
      <c r="C15" s="743">
        <f>IF(ISNUMBER(HLOOKUP(C$1,Home!$D$9:$Y$84,$U15,FALSE)),HLOOKUP(C$1,Home!$D$9:$Y$84,$U15,FALSE),NA())</f>
        <v>171.0024428920413</v>
      </c>
      <c r="D15" s="743">
        <f>IF(ISNUMBER(HLOOKUP(D$1,Home!$D$9:$Y$84,$U15,FALSE)),HLOOKUP(D$1,Home!$D$9:$Y$84,$U15,FALSE),NA())</f>
        <v>120.75288365095285</v>
      </c>
      <c r="E15" s="743">
        <f>IF(ISNUMBER(HLOOKUP(E$1,Home!$D$9:$Y$84,$U15,FALSE)),HLOOKUP(E$1,Home!$D$9:$Y$84,$U15,FALSE),NA())</f>
        <v>63.02723780476034</v>
      </c>
      <c r="F15" s="743" t="e">
        <f>IF(ISNUMBER(HLOOKUP(F$1,Home!$D$9:$Y$84,$U15,FALSE)),HLOOKUP(F$1,Home!$D$9:$Y$84,$U15,FALSE),NA())</f>
        <v>#N/A</v>
      </c>
      <c r="G15" s="743">
        <f>IF(ISNUMBER(HLOOKUP(G$1,Home!$D$9:$Y$84,$U15,FALSE)),HLOOKUP(G$1,Home!$D$9:$Y$84,$U15,FALSE),NA())</f>
        <v>848.19523850157873</v>
      </c>
      <c r="H15" s="743">
        <f>IF(ISNUMBER(HLOOKUP(H$1,Home!$D$9:$Y$84,$U15,FALSE)),HLOOKUP(H$1,Home!$D$9:$Y$84,$U15,FALSE),NA())</f>
        <v>161.19678927000675</v>
      </c>
      <c r="I15" s="743">
        <f>IF(ISNUMBER(HLOOKUP(I$1,Home!$D$9:$Y$84,$U15,FALSE)),HLOOKUP(I$1,Home!$D$9:$Y$84,$U15,FALSE),NA())</f>
        <v>189.39223536821271</v>
      </c>
      <c r="J15" s="743">
        <f>IF(ISNUMBER(HLOOKUP(J$1,Home!$D$9:$Y$84,$U15,FALSE)),HLOOKUP(J$1,Home!$D$9:$Y$84,$U15,FALSE),NA())</f>
        <v>82.146242290204256</v>
      </c>
      <c r="K15" s="743">
        <f>IF(ISNUMBER(HLOOKUP(K$1,Home!$D$9:$Y$84,$U15,FALSE)),HLOOKUP(K$1,Home!$D$9:$Y$84,$U15,FALSE),NA())</f>
        <v>61.637323366446999</v>
      </c>
      <c r="L15" s="743">
        <f>IF(ISNUMBER(HLOOKUP(L$1,Home!$D$9:$Y$84,$U15,FALSE)),HLOOKUP(L$1,Home!$D$9:$Y$84,$U15,FALSE),NA())</f>
        <v>173.73011558370953</v>
      </c>
      <c r="M15" s="743">
        <f>IF(ISNUMBER(HLOOKUP(M$1,Home!$D$9:$Y$84,$U15,FALSE)),HLOOKUP(M$1,Home!$D$9:$Y$84,$U15,FALSE),NA())</f>
        <v>210.92040391257348</v>
      </c>
      <c r="N15" s="743">
        <f>IF(ISNUMBER(HLOOKUP(N$1,Home!$D$9:$Y$84,$U15,FALSE)),HLOOKUP(N$1,Home!$D$9:$Y$84,$U15,FALSE),NA())</f>
        <v>171.91018751811637</v>
      </c>
      <c r="O15" s="743">
        <f>IF(ISNUMBER(HLOOKUP(O$1,Home!$D$9:$Y$84,$U15,FALSE)),HLOOKUP(O$1,Home!$D$9:$Y$84,$U15,FALSE),NA())</f>
        <v>152.46262878923233</v>
      </c>
      <c r="P15" s="743">
        <f>IF(ISNUMBER(HLOOKUP(P$1,Home!$D$9:$Y$84,$U15,FALSE)),HLOOKUP(P$1,Home!$D$9:$Y$84,$U15,FALSE),NA())</f>
        <v>47.276340751001236</v>
      </c>
      <c r="Q15" s="743">
        <f>IF(ISNUMBER(HLOOKUP(Q$1,Home!$D$9:$Y$84,$U15,FALSE)),HLOOKUP(Q$1,Home!$D$9:$Y$84,$U15,FALSE),NA())</f>
        <v>99.079971691436654</v>
      </c>
      <c r="R15" s="743">
        <f>IF(ISNUMBER(HLOOKUP(R$1,Home!$D$9:$Y$84,$U15,FALSE)),HLOOKUP(R$1,Home!$D$9:$Y$84,$U15,FALSE),NA())</f>
        <v>75.24803360743654</v>
      </c>
      <c r="S15" s="743">
        <f>IF(ISNUMBER(HLOOKUP(S$1,Home!$D$9:$Y$84,$U15,FALSE)),HLOOKUP(S$1,Home!$D$9:$Y$84,$U15,FALSE),NA())</f>
        <v>119.59977830284997</v>
      </c>
      <c r="T15" s="743">
        <f>IF(ISNUMBER(HLOOKUP(T$1,Home!$D$9:$Y$84,$U15,FALSE)),HLOOKUP(T$1,Home!$D$9:$Y$84,$U15,FALSE),NA())</f>
        <v>66.952948238444847</v>
      </c>
      <c r="U15" s="740">
        <f>VLOOKUP(A15,Home!C:AU,45,FALSE)</f>
        <v>16</v>
      </c>
      <c r="V15" s="745">
        <f t="array" ref="V15">SLOPE(IF(ISNA($B15:$T15),"",$B15:$T15),IF(ISNA($B$2:$T$2),"",$B$2:$T$2))</f>
        <v>15.052205662266081</v>
      </c>
      <c r="W15" s="745">
        <f t="array" ref="W15">INTERCEPT(IF(ISNA($B15:$T15),"",$B15:$T15),IF(ISNA($B$2:$T$2),"",$B$2:$T$2))</f>
        <v>-35.619831751715452</v>
      </c>
      <c r="X15" s="745">
        <f t="array" ref="X15">RSQ(IF(ISNA($B15:$T15),"",$B15:$T15),IF(ISNA($B$2:$T$2),"",$B$2:$T$2))</f>
        <v>0.16401808779004229</v>
      </c>
    </row>
    <row r="16" spans="1:24">
      <c r="A16" s="742" t="str">
        <f>Home!C25</f>
        <v>% of Referrals to CSC which were Re-referrals</v>
      </c>
      <c r="B16" s="743">
        <f>IF(ISNUMBER(HLOOKUP(B$1,Home!$D$9:$Y$84,$U16,FALSE)),HLOOKUP(B$1,Home!$D$9:$Y$84,$U16,FALSE),NA())</f>
        <v>0.24884182660489743</v>
      </c>
      <c r="C16" s="743">
        <f>IF(ISNUMBER(HLOOKUP(C$1,Home!$D$9:$Y$84,$U16,FALSE)),HLOOKUP(C$1,Home!$D$9:$Y$84,$U16,FALSE),NA())</f>
        <v>0.24501074608535461</v>
      </c>
      <c r="D16" s="743">
        <f>IF(ISNUMBER(HLOOKUP(D$1,Home!$D$9:$Y$84,$U16,FALSE)),HLOOKUP(D$1,Home!$D$9:$Y$84,$U16,FALSE),NA())</f>
        <v>0.23277945619335347</v>
      </c>
      <c r="E16" s="743">
        <f>IF(ISNUMBER(HLOOKUP(E$1,Home!$D$9:$Y$84,$U16,FALSE)),HLOOKUP(E$1,Home!$D$9:$Y$84,$U16,FALSE),NA())</f>
        <v>0.15147297610763164</v>
      </c>
      <c r="F16" s="743" t="e">
        <f>IF(ISNUMBER(HLOOKUP(F$1,Home!$D$9:$Y$84,$U16,FALSE)),HLOOKUP(F$1,Home!$D$9:$Y$84,$U16,FALSE),NA())</f>
        <v>#N/A</v>
      </c>
      <c r="G16" s="743">
        <f>IF(ISNUMBER(HLOOKUP(G$1,Home!$D$9:$Y$84,$U16,FALSE)),HLOOKUP(G$1,Home!$D$9:$Y$84,$U16,FALSE),NA())</f>
        <v>0.45408862494289631</v>
      </c>
      <c r="H16" s="743">
        <f>IF(ISNUMBER(HLOOKUP(H$1,Home!$D$9:$Y$84,$U16,FALSE)),HLOOKUP(H$1,Home!$D$9:$Y$84,$U16,FALSE),NA())</f>
        <v>0.23288125751731575</v>
      </c>
      <c r="I16" s="743">
        <f>IF(ISNUMBER(HLOOKUP(I$1,Home!$D$9:$Y$84,$U16,FALSE)),HLOOKUP(I$1,Home!$D$9:$Y$84,$U16,FALSE),NA())</f>
        <v>0.23906871095968199</v>
      </c>
      <c r="J16" s="743">
        <f>IF(ISNUMBER(HLOOKUP(J$1,Home!$D$9:$Y$84,$U16,FALSE)),HLOOKUP(J$1,Home!$D$9:$Y$84,$U16,FALSE),NA())</f>
        <v>0.1920359666024406</v>
      </c>
      <c r="K16" s="743">
        <f>IF(ISNUMBER(HLOOKUP(K$1,Home!$D$9:$Y$84,$U16,FALSE)),HLOOKUP(K$1,Home!$D$9:$Y$84,$U16,FALSE),NA())</f>
        <v>0.18624925698434713</v>
      </c>
      <c r="L16" s="743">
        <f>IF(ISNUMBER(HLOOKUP(L$1,Home!$D$9:$Y$84,$U16,FALSE)),HLOOKUP(L$1,Home!$D$9:$Y$84,$U16,FALSE),NA())</f>
        <v>0.24011760862463247</v>
      </c>
      <c r="M16" s="743">
        <f>IF(ISNUMBER(HLOOKUP(M$1,Home!$D$9:$Y$84,$U16,FALSE)),HLOOKUP(M$1,Home!$D$9:$Y$84,$U16,FALSE),NA())</f>
        <v>0.26640026640026643</v>
      </c>
      <c r="N16" s="743">
        <f>IF(ISNUMBER(HLOOKUP(N$1,Home!$D$9:$Y$84,$U16,FALSE)),HLOOKUP(N$1,Home!$D$9:$Y$84,$U16,FALSE),NA())</f>
        <v>0.22939601309134186</v>
      </c>
      <c r="O16" s="743">
        <f>IF(ISNUMBER(HLOOKUP(O$1,Home!$D$9:$Y$84,$U16,FALSE)),HLOOKUP(O$1,Home!$D$9:$Y$84,$U16,FALSE),NA())</f>
        <v>0.2482223658694247</v>
      </c>
      <c r="P16" s="743">
        <f>IF(ISNUMBER(HLOOKUP(P$1,Home!$D$9:$Y$84,$U16,FALSE)),HLOOKUP(P$1,Home!$D$9:$Y$84,$U16,FALSE),NA())</f>
        <v>0.16349908877896382</v>
      </c>
      <c r="Q16" s="743">
        <f>IF(ISNUMBER(HLOOKUP(Q$1,Home!$D$9:$Y$84,$U16,FALSE)),HLOOKUP(Q$1,Home!$D$9:$Y$84,$U16,FALSE),NA())</f>
        <v>0.2183406113537118</v>
      </c>
      <c r="R16" s="743">
        <f>IF(ISNUMBER(HLOOKUP(R$1,Home!$D$9:$Y$84,$U16,FALSE)),HLOOKUP(R$1,Home!$D$9:$Y$84,$U16,FALSE),NA())</f>
        <v>0.16983986886899508</v>
      </c>
      <c r="S16" s="743">
        <f>IF(ISNUMBER(HLOOKUP(S$1,Home!$D$9:$Y$84,$U16,FALSE)),HLOOKUP(S$1,Home!$D$9:$Y$84,$U16,FALSE),NA())</f>
        <v>0.22614451185879758</v>
      </c>
      <c r="T16" s="743">
        <f>IF(ISNUMBER(HLOOKUP(T$1,Home!$D$9:$Y$84,$U16,FALSE)),HLOOKUP(T$1,Home!$D$9:$Y$84,$U16,FALSE),NA())</f>
        <v>0.18733850129198967</v>
      </c>
      <c r="U16" s="740">
        <f>VLOOKUP(A16,Home!C:AU,45,FALSE)</f>
        <v>17</v>
      </c>
      <c r="V16" s="745">
        <f t="array" ref="V16">SLOPE(IF(ISNA($B16:$T16),"",$B16:$T16),IF(ISNA($B$2:$T$2),"",$B$2:$T$2))</f>
        <v>5.3254911163168441E-3</v>
      </c>
      <c r="W16" s="745">
        <f t="array" ref="W16">INTERCEPT(IF(ISNA($B16:$T16),"",$B16:$T16),IF(ISNA($B$2:$T$2),"",$B$2:$T$2))</f>
        <v>0.1590368402843188</v>
      </c>
      <c r="X16" s="745">
        <f t="array" ref="X16">RSQ(IF(ISNA($B16:$T16),"",$B16:$T16),IF(ISNA($B$2:$T$2),"",$B$2:$T$2))</f>
        <v>0.15322955034741373</v>
      </c>
    </row>
    <row r="17" spans="1:24" ht="24">
      <c r="A17" s="742" t="str">
        <f>Home!C26</f>
        <v>CSC Single Assessments Completed during the Year ending 31st March, Rate per 10,000 0-17 Year Olds</v>
      </c>
      <c r="B17" s="743">
        <f>IF(ISNUMBER(HLOOKUP(B$1,Home!$D$9:$Y$84,$U17,FALSE)),HLOOKUP(B$1,Home!$D$9:$Y$84,$U17,FALSE),NA())</f>
        <v>496.7361329284044</v>
      </c>
      <c r="C17" s="743">
        <f>IF(ISNUMBER(HLOOKUP(C$1,Home!$D$9:$Y$84,$U17,FALSE)),HLOOKUP(C$1,Home!$D$9:$Y$84,$U17,FALSE),NA())</f>
        <v>614.79449706424373</v>
      </c>
      <c r="D17" s="743">
        <f>IF(ISNUMBER(HLOOKUP(D$1,Home!$D$9:$Y$84,$U17,FALSE)),HLOOKUP(D$1,Home!$D$9:$Y$84,$U17,FALSE),NA())</f>
        <v>673.1130892678035</v>
      </c>
      <c r="E17" s="743">
        <f>IF(ISNUMBER(HLOOKUP(E$1,Home!$D$9:$Y$84,$U17,FALSE)),HLOOKUP(E$1,Home!$D$9:$Y$84,$U17,FALSE),NA())</f>
        <v>407.60187633920816</v>
      </c>
      <c r="F17" s="743" t="e">
        <f>IF(ISNUMBER(HLOOKUP(F$1,Home!$D$9:$Y$84,$U17,FALSE)),HLOOKUP(F$1,Home!$D$9:$Y$84,$U17,FALSE),NA())</f>
        <v>#N/A</v>
      </c>
      <c r="G17" s="743">
        <f>IF(ISNUMBER(HLOOKUP(G$1,Home!$D$9:$Y$84,$U17,FALSE)),HLOOKUP(G$1,Home!$D$9:$Y$84,$U17,FALSE),NA())</f>
        <v>1693.4038740506869</v>
      </c>
      <c r="H17" s="743">
        <f>IF(ISNUMBER(HLOOKUP(H$1,Home!$D$9:$Y$84,$U17,FALSE)),HLOOKUP(H$1,Home!$D$9:$Y$84,$U17,FALSE),NA())</f>
        <v>622.39472686976796</v>
      </c>
      <c r="I17" s="743">
        <f>IF(ISNUMBER(HLOOKUP(I$1,Home!$D$9:$Y$84,$U17,FALSE)),HLOOKUP(I$1,Home!$D$9:$Y$84,$U17,FALSE),NA())</f>
        <v>806.30407725643681</v>
      </c>
      <c r="J17" s="743">
        <f>IF(ISNUMBER(HLOOKUP(J$1,Home!$D$9:$Y$84,$U17,FALSE)),HLOOKUP(J$1,Home!$D$9:$Y$84,$U17,FALSE),NA())</f>
        <v>495.48745140596458</v>
      </c>
      <c r="K17" s="743">
        <f>IF(ISNUMBER(HLOOKUP(K$1,Home!$D$9:$Y$84,$U17,FALSE)),HLOOKUP(K$1,Home!$D$9:$Y$84,$U17,FALSE),NA())</f>
        <v>351.85731615356872</v>
      </c>
      <c r="L17" s="743">
        <f>IF(ISNUMBER(HLOOKUP(L$1,Home!$D$9:$Y$84,$U17,FALSE)),HLOOKUP(L$1,Home!$D$9:$Y$84,$U17,FALSE),NA())</f>
        <v>659.93807171390085</v>
      </c>
      <c r="M17" s="743">
        <f>IF(ISNUMBER(HLOOKUP(M$1,Home!$D$9:$Y$84,$U17,FALSE)),HLOOKUP(M$1,Home!$D$9:$Y$84,$U17,FALSE),NA())</f>
        <v>729.52094703261366</v>
      </c>
      <c r="N17" s="743">
        <f>IF(ISNUMBER(HLOOKUP(N$1,Home!$D$9:$Y$84,$U17,FALSE)),HLOOKUP(N$1,Home!$D$9:$Y$84,$U17,FALSE),NA())</f>
        <v>797.34219269102982</v>
      </c>
      <c r="O17" s="743">
        <f>IF(ISNUMBER(HLOOKUP(O$1,Home!$D$9:$Y$84,$U17,FALSE)),HLOOKUP(O$1,Home!$D$9:$Y$84,$U17,FALSE),NA())</f>
        <v>633.07724376153897</v>
      </c>
      <c r="P17" s="743">
        <f>IF(ISNUMBER(HLOOKUP(P$1,Home!$D$9:$Y$84,$U17,FALSE)),HLOOKUP(P$1,Home!$D$9:$Y$84,$U17,FALSE),NA())</f>
        <v>286.48107440754012</v>
      </c>
      <c r="Q17" s="743">
        <f>IF(ISNUMBER(HLOOKUP(Q$1,Home!$D$9:$Y$84,$U17,FALSE)),HLOOKUP(Q$1,Home!$D$9:$Y$84,$U17,FALSE),NA())</f>
        <v>681.10403397027608</v>
      </c>
      <c r="R17" s="743">
        <f>IF(ISNUMBER(HLOOKUP(R$1,Home!$D$9:$Y$84,$U17,FALSE)),HLOOKUP(R$1,Home!$D$9:$Y$84,$U17,FALSE),NA())</f>
        <v>478.3026456918127</v>
      </c>
      <c r="S17" s="743">
        <f>IF(ISNUMBER(HLOOKUP(S$1,Home!$D$9:$Y$84,$U17,FALSE)),HLOOKUP(S$1,Home!$D$9:$Y$84,$U17,FALSE),NA())</f>
        <v>444.85283393133221</v>
      </c>
      <c r="T17" s="743">
        <f>IF(ISNUMBER(HLOOKUP(T$1,Home!$D$9:$Y$84,$U17,FALSE)),HLOOKUP(T$1,Home!$D$9:$Y$84,$U17,FALSE),NA())</f>
        <v>363.85464284065199</v>
      </c>
      <c r="U17" s="740">
        <f>VLOOKUP(A17,Home!C:AU,45,FALSE)</f>
        <v>18</v>
      </c>
      <c r="V17" s="745">
        <f t="array" ref="V17">SLOPE(IF(ISNA($B17:$T17),"",$B17:$T17),IF(ISNA($B$2:$T$2),"",$B$2:$T$2))</f>
        <v>31.235790832722653</v>
      </c>
      <c r="W17" s="745">
        <f t="array" ref="W17">INTERCEPT(IF(ISNA($B17:$T17),"",$B17:$T17),IF(ISNA($B$2:$T$2),"",$B$2:$T$2))</f>
        <v>210.70432066327635</v>
      </c>
      <c r="X17" s="745">
        <f t="array" ref="X17">RSQ(IF(ISNA($B17:$T17),"",$B17:$T17),IF(ISNA($B$2:$T$2),"",$B$2:$T$2))</f>
        <v>0.23580444640682638</v>
      </c>
    </row>
    <row r="18" spans="1:24">
      <c r="A18" s="742" t="str">
        <f>Home!C27</f>
        <v>Single Assessments Authorised within: 10 days</v>
      </c>
      <c r="B18" s="743">
        <f>IF(ISNUMBER(HLOOKUP(B$1,Home!$D$9:$Y$84,$U18,FALSE)),HLOOKUP(B$1,Home!$D$9:$Y$84,$U18,FALSE),NA())</f>
        <v>0.23190442726633873</v>
      </c>
      <c r="C18" s="743">
        <f>IF(ISNUMBER(HLOOKUP(C$1,Home!$D$9:$Y$84,$U18,FALSE)),HLOOKUP(C$1,Home!$D$9:$Y$84,$U18,FALSE),NA())</f>
        <v>0.15684907633321715</v>
      </c>
      <c r="D18" s="743">
        <f>IF(ISNUMBER(HLOOKUP(D$1,Home!$D$9:$Y$84,$U18,FALSE)),HLOOKUP(D$1,Home!$D$9:$Y$84,$U18,FALSE),NA())</f>
        <v>0.2048894062863795</v>
      </c>
      <c r="E18" s="743">
        <f>IF(ISNUMBER(HLOOKUP(E$1,Home!$D$9:$Y$84,$U18,FALSE)),HLOOKUP(E$1,Home!$D$9:$Y$84,$U18,FALSE),NA())</f>
        <v>8.264267108690504E-2</v>
      </c>
      <c r="F18" s="743" t="e">
        <f>IF(ISNUMBER(HLOOKUP(F$1,Home!$D$9:$Y$84,$U18,FALSE)),HLOOKUP(F$1,Home!$D$9:$Y$84,$U18,FALSE),NA())</f>
        <v>#N/A</v>
      </c>
      <c r="G18" s="743">
        <f>IF(ISNUMBER(HLOOKUP(G$1,Home!$D$9:$Y$84,$U18,FALSE)),HLOOKUP(G$1,Home!$D$9:$Y$84,$U18,FALSE),NA())</f>
        <v>0.4494834971025447</v>
      </c>
      <c r="H18" s="743">
        <f>IF(ISNUMBER(HLOOKUP(H$1,Home!$D$9:$Y$84,$U18,FALSE)),HLOOKUP(H$1,Home!$D$9:$Y$84,$U18,FALSE),NA())</f>
        <v>0.13464022140221402</v>
      </c>
      <c r="I18" s="743">
        <f>IF(ISNUMBER(HLOOKUP(I$1,Home!$D$9:$Y$84,$U18,FALSE)),HLOOKUP(I$1,Home!$D$9:$Y$84,$U18,FALSE),NA())</f>
        <v>5.4491352055049284E-2</v>
      </c>
      <c r="J18" s="743">
        <f>IF(ISNUMBER(HLOOKUP(J$1,Home!$D$9:$Y$84,$U18,FALSE)),HLOOKUP(J$1,Home!$D$9:$Y$84,$U18,FALSE),NA())</f>
        <v>9.3706681452730797E-2</v>
      </c>
      <c r="K18" s="743">
        <f>IF(ISNUMBER(HLOOKUP(K$1,Home!$D$9:$Y$84,$U18,FALSE)),HLOOKUP(K$1,Home!$D$9:$Y$84,$U18,FALSE),NA())</f>
        <v>8.6656727543794262E-2</v>
      </c>
      <c r="L18" s="743">
        <f>IF(ISNUMBER(HLOOKUP(L$1,Home!$D$9:$Y$84,$U18,FALSE)),HLOOKUP(L$1,Home!$D$9:$Y$84,$U18,FALSE),NA())</f>
        <v>0.19252128841169938</v>
      </c>
      <c r="M18" s="743">
        <f>IF(ISNUMBER(HLOOKUP(M$1,Home!$D$9:$Y$84,$U18,FALSE)),HLOOKUP(M$1,Home!$D$9:$Y$84,$U18,FALSE),NA())</f>
        <v>4.6982291290206001E-2</v>
      </c>
      <c r="N18" s="743" t="e">
        <f>IF(ISNUMBER(HLOOKUP(N$1,Home!$D$9:$Y$84,$U18,FALSE)),HLOOKUP(N$1,Home!$D$9:$Y$84,$U18,FALSE),NA())</f>
        <v>#N/A</v>
      </c>
      <c r="O18" s="743">
        <f>IF(ISNUMBER(HLOOKUP(O$1,Home!$D$9:$Y$84,$U18,FALSE)),HLOOKUP(O$1,Home!$D$9:$Y$84,$U18,FALSE),NA())</f>
        <v>0.13609281906553777</v>
      </c>
      <c r="P18" s="743">
        <f>IF(ISNUMBER(HLOOKUP(P$1,Home!$D$9:$Y$84,$U18,FALSE)),HLOOKUP(P$1,Home!$D$9:$Y$84,$U18,FALSE),NA())</f>
        <v>6.3592169228747872E-2</v>
      </c>
      <c r="Q18" s="743">
        <f>IF(ISNUMBER(HLOOKUP(Q$1,Home!$D$9:$Y$84,$U18,FALSE)),HLOOKUP(Q$1,Home!$D$9:$Y$84,$U18,FALSE),NA())</f>
        <v>0.36159600997506236</v>
      </c>
      <c r="R18" s="743">
        <f>IF(ISNUMBER(HLOOKUP(R$1,Home!$D$9:$Y$84,$U18,FALSE)),HLOOKUP(R$1,Home!$D$9:$Y$84,$U18,FALSE),NA())</f>
        <v>6.8792338238729267E-2</v>
      </c>
      <c r="S18" s="743">
        <f>IF(ISNUMBER(HLOOKUP(S$1,Home!$D$9:$Y$84,$U18,FALSE)),HLOOKUP(S$1,Home!$D$9:$Y$84,$U18,FALSE),NA())</f>
        <v>0.13836065573770492</v>
      </c>
      <c r="T18" s="743" t="e">
        <f>IF(ISNUMBER(HLOOKUP(T$1,Home!$D$9:$Y$84,$U18,FALSE)),HLOOKUP(T$1,Home!$D$9:$Y$84,$U18,FALSE),NA())</f>
        <v>#N/A</v>
      </c>
      <c r="U18" s="740">
        <f>VLOOKUP(A18,Home!C:AU,45,FALSE)</f>
        <v>19</v>
      </c>
      <c r="V18" s="745">
        <f t="array" ref="V18">SLOPE(IF(ISNA($B18:$T18),"",$B18:$T18),IF(ISNA($B$2:$T$2),"",$B$2:$T$2))</f>
        <v>-7.7508929574558716E-4</v>
      </c>
      <c r="W18" s="745">
        <f t="array" ref="W18">INTERCEPT(IF(ISNA($B18:$T18),"",$B18:$T18),IF(ISNA($B$2:$T$2),"",$B$2:$T$2))</f>
        <v>0.16701069368433744</v>
      </c>
      <c r="X18" s="745">
        <f t="array" ref="X18">RSQ(IF(ISNA($B18:$T18),"",$B18:$T18),IF(ISNA($B$2:$T$2),"",$B$2:$T$2))</f>
        <v>1.0265096541812427E-3</v>
      </c>
    </row>
    <row r="19" spans="1:24">
      <c r="A19" s="742" t="str">
        <f>Home!C28</f>
        <v>Single Assessments Authorised within: 11-20 days</v>
      </c>
      <c r="B19" s="743">
        <f>IF(ISNUMBER(HLOOKUP(B$1,Home!$D$9:$Y$84,$U19,FALSE)),HLOOKUP(B$1,Home!$D$9:$Y$84,$U19,FALSE),NA())</f>
        <v>0.26563598032326069</v>
      </c>
      <c r="C19" s="743">
        <f>IF(ISNUMBER(HLOOKUP(C$1,Home!$D$9:$Y$84,$U19,FALSE)),HLOOKUP(C$1,Home!$D$9:$Y$84,$U19,FALSE),NA())</f>
        <v>0.12896479609620076</v>
      </c>
      <c r="D19" s="743">
        <f>IF(ISNUMBER(HLOOKUP(D$1,Home!$D$9:$Y$84,$U19,FALSE)),HLOOKUP(D$1,Home!$D$9:$Y$84,$U19,FALSE),NA())</f>
        <v>0.11036088474970897</v>
      </c>
      <c r="E19" s="743">
        <f>IF(ISNUMBER(HLOOKUP(E$1,Home!$D$9:$Y$84,$U19,FALSE)),HLOOKUP(E$1,Home!$D$9:$Y$84,$U19,FALSE),NA())</f>
        <v>0.13876391191096377</v>
      </c>
      <c r="F19" s="743" t="e">
        <f>IF(ISNUMBER(HLOOKUP(F$1,Home!$D$9:$Y$84,$U19,FALSE)),HLOOKUP(F$1,Home!$D$9:$Y$84,$U19,FALSE),NA())</f>
        <v>#N/A</v>
      </c>
      <c r="G19" s="743">
        <f>IF(ISNUMBER(HLOOKUP(G$1,Home!$D$9:$Y$84,$U19,FALSE)),HLOOKUP(G$1,Home!$D$9:$Y$84,$U19,FALSE),NA())</f>
        <v>0.32023179642227262</v>
      </c>
      <c r="H19" s="743">
        <f>IF(ISNUMBER(HLOOKUP(H$1,Home!$D$9:$Y$84,$U19,FALSE)),HLOOKUP(H$1,Home!$D$9:$Y$84,$U19,FALSE),NA())</f>
        <v>8.9898523985239856E-2</v>
      </c>
      <c r="I19" s="743">
        <f>IF(ISNUMBER(HLOOKUP(I$1,Home!$D$9:$Y$84,$U19,FALSE)),HLOOKUP(I$1,Home!$D$9:$Y$84,$U19,FALSE),NA())</f>
        <v>7.9040357076436668E-2</v>
      </c>
      <c r="J19" s="743">
        <f>IF(ISNUMBER(HLOOKUP(J$1,Home!$D$9:$Y$84,$U19,FALSE)),HLOOKUP(J$1,Home!$D$9:$Y$84,$U19,FALSE),NA())</f>
        <v>0.17798724701968394</v>
      </c>
      <c r="K19" s="743">
        <f>IF(ISNUMBER(HLOOKUP(K$1,Home!$D$9:$Y$84,$U19,FALSE)),HLOOKUP(K$1,Home!$D$9:$Y$84,$U19,FALSE),NA())</f>
        <v>0.15001863585538577</v>
      </c>
      <c r="L19" s="743">
        <f>IF(ISNUMBER(HLOOKUP(L$1,Home!$D$9:$Y$84,$U19,FALSE)),HLOOKUP(L$1,Home!$D$9:$Y$84,$U19,FALSE),NA())</f>
        <v>0.30729359496482783</v>
      </c>
      <c r="M19" s="743">
        <f>IF(ISNUMBER(HLOOKUP(M$1,Home!$D$9:$Y$84,$U19,FALSE)),HLOOKUP(M$1,Home!$D$9:$Y$84,$U19,FALSE),NA())</f>
        <v>0.11601011926273942</v>
      </c>
      <c r="N19" s="743">
        <f>IF(ISNUMBER(HLOOKUP(N$1,Home!$D$9:$Y$84,$U19,FALSE)),HLOOKUP(N$1,Home!$D$9:$Y$84,$U19,FALSE),NA())</f>
        <v>0.11456196894227952</v>
      </c>
      <c r="O19" s="743">
        <f>IF(ISNUMBER(HLOOKUP(O$1,Home!$D$9:$Y$84,$U19,FALSE)),HLOOKUP(O$1,Home!$D$9:$Y$84,$U19,FALSE),NA())</f>
        <v>0.13577924114142365</v>
      </c>
      <c r="P19" s="743">
        <f>IF(ISNUMBER(HLOOKUP(P$1,Home!$D$9:$Y$84,$U19,FALSE)),HLOOKUP(P$1,Home!$D$9:$Y$84,$U19,FALSE),NA())</f>
        <v>0.11141768492970701</v>
      </c>
      <c r="Q19" s="743">
        <f>IF(ISNUMBER(HLOOKUP(Q$1,Home!$D$9:$Y$84,$U19,FALSE)),HLOOKUP(Q$1,Home!$D$9:$Y$84,$U19,FALSE),NA())</f>
        <v>0.16209476309226933</v>
      </c>
      <c r="R19" s="743">
        <f>IF(ISNUMBER(HLOOKUP(R$1,Home!$D$9:$Y$84,$U19,FALSE)),HLOOKUP(R$1,Home!$D$9:$Y$84,$U19,FALSE),NA())</f>
        <v>0.16398037841625787</v>
      </c>
      <c r="S19" s="743">
        <f>IF(ISNUMBER(HLOOKUP(S$1,Home!$D$9:$Y$84,$U19,FALSE)),HLOOKUP(S$1,Home!$D$9:$Y$84,$U19,FALSE),NA())</f>
        <v>0.23540983606557378</v>
      </c>
      <c r="T19" s="743">
        <f>IF(ISNUMBER(HLOOKUP(T$1,Home!$D$9:$Y$84,$U19,FALSE)),HLOOKUP(T$1,Home!$D$9:$Y$84,$U19,FALSE),NA())</f>
        <v>9.4514210178453406E-2</v>
      </c>
      <c r="U19" s="740">
        <f>VLOOKUP(A19,Home!C:AU,45,FALSE)</f>
        <v>20</v>
      </c>
      <c r="V19" s="745">
        <f t="array" ref="V19">SLOPE(IF(ISNA($B19:$T19),"",$B19:$T19),IF(ISNA($B$2:$T$2),"",$B$2:$T$2))</f>
        <v>1.8729803567461675E-3</v>
      </c>
      <c r="W19" s="745">
        <f t="array" ref="W19">INTERCEPT(IF(ISNA($B19:$T19),"",$B19:$T19),IF(ISNA($B$2:$T$2),"",$B$2:$T$2))</f>
        <v>0.1364240395233374</v>
      </c>
      <c r="X19" s="745">
        <f t="array" ref="X19">RSQ(IF(ISNA($B19:$T19),"",$B19:$T19),IF(ISNA($B$2:$T$2),"",$B$2:$T$2))</f>
        <v>1.4999404444306527E-2</v>
      </c>
    </row>
    <row r="20" spans="1:24">
      <c r="A20" s="742" t="str">
        <f>Home!C29</f>
        <v>Single Assessments Authorised within: 21-30 days</v>
      </c>
      <c r="B20" s="743">
        <f>IF(ISNUMBER(HLOOKUP(B$1,Home!$D$9:$Y$84,$U20,FALSE)),HLOOKUP(B$1,Home!$D$9:$Y$84,$U20,FALSE),NA())</f>
        <v>0.14968376669009137</v>
      </c>
      <c r="C20" s="743">
        <f>IF(ISNUMBER(HLOOKUP(C$1,Home!$D$9:$Y$84,$U20,FALSE)),HLOOKUP(C$1,Home!$D$9:$Y$84,$U20,FALSE),NA())</f>
        <v>0.15580341582432902</v>
      </c>
      <c r="D20" s="743">
        <f>IF(ISNUMBER(HLOOKUP(D$1,Home!$D$9:$Y$84,$U20,FALSE)),HLOOKUP(D$1,Home!$D$9:$Y$84,$U20,FALSE),NA())</f>
        <v>0.15552968568102446</v>
      </c>
      <c r="E20" s="743">
        <f>IF(ISNUMBER(HLOOKUP(E$1,Home!$D$9:$Y$84,$U20,FALSE)),HLOOKUP(E$1,Home!$D$9:$Y$84,$U20,FALSE),NA())</f>
        <v>0.14255268766279897</v>
      </c>
      <c r="F20" s="743" t="e">
        <f>IF(ISNUMBER(HLOOKUP(F$1,Home!$D$9:$Y$84,$U20,FALSE)),HLOOKUP(F$1,Home!$D$9:$Y$84,$U20,FALSE),NA())</f>
        <v>#N/A</v>
      </c>
      <c r="G20" s="743">
        <f>IF(ISNUMBER(HLOOKUP(G$1,Home!$D$9:$Y$84,$U20,FALSE)),HLOOKUP(G$1,Home!$D$9:$Y$84,$U20,FALSE),NA())</f>
        <v>8.1632653061224483E-2</v>
      </c>
      <c r="H20" s="743">
        <f>IF(ISNUMBER(HLOOKUP(H$1,Home!$D$9:$Y$84,$U20,FALSE)),HLOOKUP(H$1,Home!$D$9:$Y$84,$U20,FALSE),NA())</f>
        <v>0.17375461254612545</v>
      </c>
      <c r="I20" s="743">
        <f>IF(ISNUMBER(HLOOKUP(I$1,Home!$D$9:$Y$84,$U20,FALSE)),HLOOKUP(I$1,Home!$D$9:$Y$84,$U20,FALSE),NA())</f>
        <v>0.12032732006695183</v>
      </c>
      <c r="J20" s="743">
        <f>IF(ISNUMBER(HLOOKUP(J$1,Home!$D$9:$Y$84,$U20,FALSE)),HLOOKUP(J$1,Home!$D$9:$Y$84,$U20,FALSE),NA())</f>
        <v>0.2173551427779318</v>
      </c>
      <c r="K20" s="743">
        <f>IF(ISNUMBER(HLOOKUP(K$1,Home!$D$9:$Y$84,$U20,FALSE)),HLOOKUP(K$1,Home!$D$9:$Y$84,$U20,FALSE),NA())</f>
        <v>0.1738725307491614</v>
      </c>
      <c r="L20" s="743">
        <f>IF(ISNUMBER(HLOOKUP(L$1,Home!$D$9:$Y$84,$U20,FALSE)),HLOOKUP(L$1,Home!$D$9:$Y$84,$U20,FALSE),NA())</f>
        <v>0.24879674194742687</v>
      </c>
      <c r="M20" s="743">
        <f>IF(ISNUMBER(HLOOKUP(M$1,Home!$D$9:$Y$84,$U20,FALSE)),HLOOKUP(M$1,Home!$D$9:$Y$84,$U20,FALSE),NA())</f>
        <v>0.14889772316588362</v>
      </c>
      <c r="N20" s="743">
        <f>IF(ISNUMBER(HLOOKUP(N$1,Home!$D$9:$Y$84,$U20,FALSE)),HLOOKUP(N$1,Home!$D$9:$Y$84,$U20,FALSE),NA())</f>
        <v>0.27160855552300028</v>
      </c>
      <c r="O20" s="743">
        <f>IF(ISNUMBER(HLOOKUP(O$1,Home!$D$9:$Y$84,$U20,FALSE)),HLOOKUP(O$1,Home!$D$9:$Y$84,$U20,FALSE),NA())</f>
        <v>0.16023831922232676</v>
      </c>
      <c r="P20" s="743">
        <f>IF(ISNUMBER(HLOOKUP(P$1,Home!$D$9:$Y$84,$U20,FALSE)),HLOOKUP(P$1,Home!$D$9:$Y$84,$U20,FALSE),NA())</f>
        <v>0.10800157666535277</v>
      </c>
      <c r="Q20" s="743">
        <f>IF(ISNUMBER(HLOOKUP(Q$1,Home!$D$9:$Y$84,$U20,FALSE)),HLOOKUP(Q$1,Home!$D$9:$Y$84,$U20,FALSE),NA())</f>
        <v>0.14256026600166252</v>
      </c>
      <c r="R20" s="743">
        <f>IF(ISNUMBER(HLOOKUP(R$1,Home!$D$9:$Y$84,$U20,FALSE)),HLOOKUP(R$1,Home!$D$9:$Y$84,$U20,FALSE),NA())</f>
        <v>0.16748423265592152</v>
      </c>
      <c r="S20" s="743">
        <f>IF(ISNUMBER(HLOOKUP(S$1,Home!$D$9:$Y$84,$U20,FALSE)),HLOOKUP(S$1,Home!$D$9:$Y$84,$U20,FALSE),NA())</f>
        <v>0.19409836065573771</v>
      </c>
      <c r="T20" s="743">
        <f>IF(ISNUMBER(HLOOKUP(T$1,Home!$D$9:$Y$84,$U20,FALSE)),HLOOKUP(T$1,Home!$D$9:$Y$84,$U20,FALSE),NA())</f>
        <v>0.10508922670191673</v>
      </c>
      <c r="U20" s="740">
        <f>VLOOKUP(A20,Home!C:AU,45,FALSE)</f>
        <v>21</v>
      </c>
      <c r="V20" s="745">
        <f t="array" ref="V20">SLOPE(IF(ISNA($B20:$T20),"",$B20:$T20),IF(ISNA($B$2:$T$2),"",$B$2:$T$2))</f>
        <v>1.9752186208452337E-3</v>
      </c>
      <c r="W20" s="745">
        <f t="array" ref="W20">INTERCEPT(IF(ISNA($B20:$T20),"",$B20:$T20),IF(ISNA($B$2:$T$2),"",$B$2:$T$2))</f>
        <v>0.13592179001396934</v>
      </c>
      <c r="X20" s="745">
        <f t="array" ref="X20">RSQ(IF(ISNA($B20:$T20),"",$B20:$T20),IF(ISNA($B$2:$T$2),"",$B$2:$T$2))</f>
        <v>3.8556114463827486E-2</v>
      </c>
    </row>
    <row r="21" spans="1:24">
      <c r="A21" s="742" t="str">
        <f>Home!C30</f>
        <v>Single Assessments Authorised within: 31-45 days</v>
      </c>
      <c r="B21" s="743">
        <f>IF(ISNUMBER(HLOOKUP(B$1,Home!$D$9:$Y$84,$U21,FALSE)),HLOOKUP(B$1,Home!$D$9:$Y$84,$U21,FALSE),NA())</f>
        <v>0.17498243148278286</v>
      </c>
      <c r="C21" s="743">
        <f>IF(ISNUMBER(HLOOKUP(C$1,Home!$D$9:$Y$84,$U21,FALSE)),HLOOKUP(C$1,Home!$D$9:$Y$84,$U21,FALSE),NA())</f>
        <v>0.41826420355524574</v>
      </c>
      <c r="D21" s="743">
        <f>IF(ISNUMBER(HLOOKUP(D$1,Home!$D$9:$Y$84,$U21,FALSE)),HLOOKUP(D$1,Home!$D$9:$Y$84,$U21,FALSE),NA())</f>
        <v>0.30023282887077996</v>
      </c>
      <c r="E21" s="743">
        <f>IF(ISNUMBER(HLOOKUP(E$1,Home!$D$9:$Y$84,$U21,FALSE)),HLOOKUP(E$1,Home!$D$9:$Y$84,$U21,FALSE),NA())</f>
        <v>0.29836609045702106</v>
      </c>
      <c r="F21" s="743" t="e">
        <f>IF(ISNUMBER(HLOOKUP(F$1,Home!$D$9:$Y$84,$U21,FALSE)),HLOOKUP(F$1,Home!$D$9:$Y$84,$U21,FALSE),NA())</f>
        <v>#N/A</v>
      </c>
      <c r="G21" s="743">
        <f>IF(ISNUMBER(HLOOKUP(G$1,Home!$D$9:$Y$84,$U21,FALSE)),HLOOKUP(G$1,Home!$D$9:$Y$84,$U21,FALSE),NA())</f>
        <v>0.11337868480725624</v>
      </c>
      <c r="H21" s="743">
        <f>IF(ISNUMBER(HLOOKUP(H$1,Home!$D$9:$Y$84,$U21,FALSE)),HLOOKUP(H$1,Home!$D$9:$Y$84,$U21,FALSE),NA())</f>
        <v>0.45013837638376386</v>
      </c>
      <c r="I21" s="743">
        <f>IF(ISNUMBER(HLOOKUP(I$1,Home!$D$9:$Y$84,$U21,FALSE)),HLOOKUP(I$1,Home!$D$9:$Y$84,$U21,FALSE),NA())</f>
        <v>0.52780360795982895</v>
      </c>
      <c r="J21" s="743">
        <f>IF(ISNUMBER(HLOOKUP(J$1,Home!$D$9:$Y$84,$U21,FALSE)),HLOOKUP(J$1,Home!$D$9:$Y$84,$U21,FALSE),NA())</f>
        <v>0.32187413362905459</v>
      </c>
      <c r="K21" s="743">
        <f>IF(ISNUMBER(HLOOKUP(K$1,Home!$D$9:$Y$84,$U21,FALSE)),HLOOKUP(K$1,Home!$D$9:$Y$84,$U21,FALSE),NA())</f>
        <v>0.40122996645546033</v>
      </c>
      <c r="L21" s="743">
        <f>IF(ISNUMBER(HLOOKUP(L$1,Home!$D$9:$Y$84,$U21,FALSE)),HLOOKUP(L$1,Home!$D$9:$Y$84,$U21,FALSE),NA())</f>
        <v>0.25138837467604591</v>
      </c>
      <c r="M21" s="743">
        <f>IF(ISNUMBER(HLOOKUP(M$1,Home!$D$9:$Y$84,$U21,FALSE)),HLOOKUP(M$1,Home!$D$9:$Y$84,$U21,FALSE),NA())</f>
        <v>0.30936031803397179</v>
      </c>
      <c r="N21" s="743">
        <f>IF(ISNUMBER(HLOOKUP(N$1,Home!$D$9:$Y$84,$U21,FALSE)),HLOOKUP(N$1,Home!$D$9:$Y$84,$U21,FALSE),NA())</f>
        <v>0.4781716964547319</v>
      </c>
      <c r="O21" s="743">
        <f>IF(ISNUMBER(HLOOKUP(O$1,Home!$D$9:$Y$84,$U21,FALSE)),HLOOKUP(O$1,Home!$D$9:$Y$84,$U21,FALSE),NA())</f>
        <v>0.4487300094073377</v>
      </c>
      <c r="P21" s="743">
        <f>IF(ISNUMBER(HLOOKUP(P$1,Home!$D$9:$Y$84,$U21,FALSE)),HLOOKUP(P$1,Home!$D$9:$Y$84,$U21,FALSE),NA())</f>
        <v>0.56917619235317307</v>
      </c>
      <c r="Q21" s="743">
        <f>IF(ISNUMBER(HLOOKUP(Q$1,Home!$D$9:$Y$84,$U21,FALSE)),HLOOKUP(Q$1,Home!$D$9:$Y$84,$U21,FALSE),NA())</f>
        <v>0.30756442227763925</v>
      </c>
      <c r="R21" s="743">
        <f>IF(ISNUMBER(HLOOKUP(R$1,Home!$D$9:$Y$84,$U21,FALSE)),HLOOKUP(R$1,Home!$D$9:$Y$84,$U21,FALSE),NA())</f>
        <v>0.49532819434711517</v>
      </c>
      <c r="S21" s="743">
        <f>IF(ISNUMBER(HLOOKUP(S$1,Home!$D$9:$Y$84,$U21,FALSE)),HLOOKUP(S$1,Home!$D$9:$Y$84,$U21,FALSE),NA())</f>
        <v>0.33573770491803279</v>
      </c>
      <c r="T21" s="743">
        <f>IF(ISNUMBER(HLOOKUP(T$1,Home!$D$9:$Y$84,$U21,FALSE)),HLOOKUP(T$1,Home!$D$9:$Y$84,$U21,FALSE),NA())</f>
        <v>0.61202908129543954</v>
      </c>
      <c r="U21" s="740">
        <f>VLOOKUP(A21,Home!C:AU,45,FALSE)</f>
        <v>22</v>
      </c>
      <c r="V21" s="745">
        <f t="array" ref="V21">SLOPE(IF(ISNA($B21:$T21),"",$B21:$T21),IF(ISNA($B$2:$T$2),"",$B$2:$T$2))</f>
        <v>-5.3942957883929788E-3</v>
      </c>
      <c r="W21" s="745">
        <f t="array" ref="W21">INTERCEPT(IF(ISNA($B21:$T21),"",$B21:$T21),IF(ISNA($B$2:$T$2),"",$B$2:$T$2))</f>
        <v>0.44995650020770711</v>
      </c>
      <c r="X21" s="745">
        <f t="array" ref="X21">RSQ(IF(ISNA($B21:$T21),"",$B21:$T21),IF(ISNA($B$2:$T$2),"",$B$2:$T$2))</f>
        <v>3.7307078050995576E-2</v>
      </c>
    </row>
    <row r="22" spans="1:24">
      <c r="A22" s="742" t="str">
        <f>Home!C31</f>
        <v>Single Assessments Authorised within: Over 45 days</v>
      </c>
      <c r="B22" s="743">
        <f>IF(ISNUMBER(HLOOKUP(B$1,Home!$D$9:$Y$84,$U22,FALSE)),HLOOKUP(B$1,Home!$D$9:$Y$84,$U22,FALSE),NA())</f>
        <v>0.17779339423752635</v>
      </c>
      <c r="C22" s="743">
        <f>IF(ISNUMBER(HLOOKUP(C$1,Home!$D$9:$Y$84,$U22,FALSE)),HLOOKUP(C$1,Home!$D$9:$Y$84,$U22,FALSE),NA())</f>
        <v>0.14011850819100732</v>
      </c>
      <c r="D22" s="743">
        <f>IF(ISNUMBER(HLOOKUP(D$1,Home!$D$9:$Y$84,$U22,FALSE)),HLOOKUP(D$1,Home!$D$9:$Y$84,$U22,FALSE),NA())</f>
        <v>0.2289871944121071</v>
      </c>
      <c r="E22" s="743">
        <f>IF(ISNUMBER(HLOOKUP(E$1,Home!$D$9:$Y$84,$U22,FALSE)),HLOOKUP(E$1,Home!$D$9:$Y$84,$U22,FALSE),NA())</f>
        <v>0.33767463888231114</v>
      </c>
      <c r="F22" s="743" t="e">
        <f>IF(ISNUMBER(HLOOKUP(F$1,Home!$D$9:$Y$84,$U22,FALSE)),HLOOKUP(F$1,Home!$D$9:$Y$84,$U22,FALSE),NA())</f>
        <v>#N/A</v>
      </c>
      <c r="G22" s="743">
        <f>IF(ISNUMBER(HLOOKUP(G$1,Home!$D$9:$Y$84,$U22,FALSE)),HLOOKUP(G$1,Home!$D$9:$Y$84,$U22,FALSE),NA())</f>
        <v>3.5273368606701938E-2</v>
      </c>
      <c r="H22" s="743">
        <f>IF(ISNUMBER(HLOOKUP(H$1,Home!$D$9:$Y$84,$U22,FALSE)),HLOOKUP(H$1,Home!$D$9:$Y$84,$U22,FALSE),NA())</f>
        <v>0.15156826568265683</v>
      </c>
      <c r="I22" s="743">
        <f>IF(ISNUMBER(HLOOKUP(I$1,Home!$D$9:$Y$84,$U22,FALSE)),HLOOKUP(I$1,Home!$D$9:$Y$84,$U22,FALSE),NA())</f>
        <v>0.2183373628417333</v>
      </c>
      <c r="J22" s="743">
        <f>IF(ISNUMBER(HLOOKUP(J$1,Home!$D$9:$Y$84,$U22,FALSE)),HLOOKUP(J$1,Home!$D$9:$Y$84,$U22,FALSE),NA())</f>
        <v>0.18907679512059883</v>
      </c>
      <c r="K22" s="743">
        <f>IF(ISNUMBER(HLOOKUP(K$1,Home!$D$9:$Y$84,$U22,FALSE)),HLOOKUP(K$1,Home!$D$9:$Y$84,$U22,FALSE),NA())</f>
        <v>0.18822213939619828</v>
      </c>
      <c r="L22" s="743" t="e">
        <f>IF(ISNUMBER(HLOOKUP(L$1,Home!$D$9:$Y$84,$U22,FALSE)),HLOOKUP(L$1,Home!$D$9:$Y$84,$U22,FALSE),NA())</f>
        <v>#N/A</v>
      </c>
      <c r="M22" s="743">
        <f>IF(ISNUMBER(HLOOKUP(M$1,Home!$D$9:$Y$84,$U22,FALSE)),HLOOKUP(M$1,Home!$D$9:$Y$84,$U22,FALSE),NA())</f>
        <v>0.37874954824719914</v>
      </c>
      <c r="N22" s="743">
        <f>IF(ISNUMBER(HLOOKUP(N$1,Home!$D$9:$Y$84,$U22,FALSE)),HLOOKUP(N$1,Home!$D$9:$Y$84,$U22,FALSE),NA())</f>
        <v>0.13565777907998827</v>
      </c>
      <c r="O22" s="743">
        <f>IF(ISNUMBER(HLOOKUP(O$1,Home!$D$9:$Y$84,$U22,FALSE)),HLOOKUP(O$1,Home!$D$9:$Y$84,$U22,FALSE),NA())</f>
        <v>0.1191596111633741</v>
      </c>
      <c r="P22" s="743">
        <f>IF(ISNUMBER(HLOOKUP(P$1,Home!$D$9:$Y$84,$U22,FALSE)),HLOOKUP(P$1,Home!$D$9:$Y$84,$U22,FALSE),NA())</f>
        <v>0.14781237682301931</v>
      </c>
      <c r="Q22" s="743">
        <f>IF(ISNUMBER(HLOOKUP(Q$1,Home!$D$9:$Y$84,$U22,FALSE)),HLOOKUP(Q$1,Home!$D$9:$Y$84,$U22,FALSE),NA())</f>
        <v>2.6184538653366583E-2</v>
      </c>
      <c r="R22" s="743">
        <f>IF(ISNUMBER(HLOOKUP(R$1,Home!$D$9:$Y$84,$U22,FALSE)),HLOOKUP(R$1,Home!$D$9:$Y$84,$U22,FALSE),NA())</f>
        <v>0.10441485634197617</v>
      </c>
      <c r="S22" s="743">
        <f>IF(ISNUMBER(HLOOKUP(S$1,Home!$D$9:$Y$84,$U22,FALSE)),HLOOKUP(S$1,Home!$D$9:$Y$84,$U22,FALSE),NA())</f>
        <v>9.6393442622950826E-2</v>
      </c>
      <c r="T22" s="743">
        <f>IF(ISNUMBER(HLOOKUP(T$1,Home!$D$9:$Y$84,$U22,FALSE)),HLOOKUP(T$1,Home!$D$9:$Y$84,$U22,FALSE),NA())</f>
        <v>0.18836748182419036</v>
      </c>
      <c r="U22" s="740">
        <f>VLOOKUP(A22,Home!C:AU,45,FALSE)</f>
        <v>23</v>
      </c>
      <c r="V22" s="745">
        <f t="array" ref="V22">SLOPE(IF(ISNA($B22:$T22),"",$B22:$T22),IF(ISNA($B$2:$T$2),"",$B$2:$T$2))</f>
        <v>3.1375696494872216E-3</v>
      </c>
      <c r="W22" s="745">
        <f t="array" ref="W22">INTERCEPT(IF(ISNA($B22:$T22),"",$B22:$T22),IF(ISNA($B$2:$T$2),"",$B$2:$T$2))</f>
        <v>0.1282051389161025</v>
      </c>
      <c r="X22" s="745">
        <f t="array" ref="X22">RSQ(IF(ISNA($B22:$T22),"",$B22:$T22),IF(ISNA($B$2:$T$2),"",$B$2:$T$2))</f>
        <v>2.5144406389418648E-2</v>
      </c>
    </row>
    <row r="23" spans="1:24" ht="24">
      <c r="A23" s="742" t="str">
        <f>Home!C38</f>
        <v>Children in Need at 31st March, Rate per 10,000 0-17 Year Olds</v>
      </c>
      <c r="B23" s="743">
        <f>IF(ISNUMBER(HLOOKUP(B$1,Home!$D$9:$Y$84,$U23,FALSE)),HLOOKUP(B$1,Home!$D$9:$Y$84,$U23,FALSE),NA())</f>
        <v>322.54686354592104</v>
      </c>
      <c r="C23" s="743">
        <f>IF(ISNUMBER(HLOOKUP(C$1,Home!$D$9:$Y$84,$U23,FALSE)),HLOOKUP(C$1,Home!$D$9:$Y$84,$U23,FALSE),NA())</f>
        <v>426.64895212788753</v>
      </c>
      <c r="D23" s="743">
        <f>IF(ISNUMBER(HLOOKUP(D$1,Home!$D$9:$Y$84,$U23,FALSE)),HLOOKUP(D$1,Home!$D$9:$Y$84,$U23,FALSE),NA())</f>
        <v>271.8311183550652</v>
      </c>
      <c r="E23" s="743">
        <f>IF(ISNUMBER(HLOOKUP(E$1,Home!$D$9:$Y$84,$U23,FALSE)),HLOOKUP(E$1,Home!$D$9:$Y$84,$U23,FALSE),NA())</f>
        <v>357.89433044418274</v>
      </c>
      <c r="F23" s="743" t="e">
        <f>IF(ISNUMBER(HLOOKUP(F$1,Home!$D$9:$Y$84,$U23,FALSE)),HLOOKUP(F$1,Home!$D$9:$Y$84,$U23,FALSE),NA())</f>
        <v>#N/A</v>
      </c>
      <c r="G23" s="743">
        <f>IF(ISNUMBER(HLOOKUP(G$1,Home!$D$9:$Y$84,$U23,FALSE)),HLOOKUP(G$1,Home!$D$9:$Y$84,$U23,FALSE),NA())</f>
        <v>625.90664732485698</v>
      </c>
      <c r="H23" s="743">
        <f>IF(ISNUMBER(HLOOKUP(H$1,Home!$D$9:$Y$84,$U23,FALSE)),HLOOKUP(H$1,Home!$D$9:$Y$84,$U23,FALSE),NA())</f>
        <v>336.3744932994959</v>
      </c>
      <c r="I23" s="743">
        <f>IF(ISNUMBER(HLOOKUP(I$1,Home!$D$9:$Y$84,$U23,FALSE)),HLOOKUP(I$1,Home!$D$9:$Y$84,$U23,FALSE),NA())</f>
        <v>336.94723109451616</v>
      </c>
      <c r="J23" s="743">
        <f>IF(ISNUMBER(HLOOKUP(J$1,Home!$D$9:$Y$84,$U23,FALSE)),HLOOKUP(J$1,Home!$D$9:$Y$84,$U23,FALSE),NA())</f>
        <v>343.55811365852986</v>
      </c>
      <c r="K23" s="743">
        <f>IF(ISNUMBER(HLOOKUP(K$1,Home!$D$9:$Y$84,$U23,FALSE)),HLOOKUP(K$1,Home!$D$9:$Y$84,$U23,FALSE),NA())</f>
        <v>253.23759876725353</v>
      </c>
      <c r="L23" s="743">
        <f>IF(ISNUMBER(HLOOKUP(L$1,Home!$D$9:$Y$84,$U23,FALSE)),HLOOKUP(L$1,Home!$D$9:$Y$84,$U23,FALSE),NA())</f>
        <v>436.33441274493583</v>
      </c>
      <c r="M23" s="743">
        <f>IF(ISNUMBER(HLOOKUP(M$1,Home!$D$9:$Y$84,$U23,FALSE)),HLOOKUP(M$1,Home!$D$9:$Y$84,$U23,FALSE),NA())</f>
        <v>450.8423633631258</v>
      </c>
      <c r="N23" s="743">
        <f>IF(ISNUMBER(HLOOKUP(N$1,Home!$D$9:$Y$84,$U23,FALSE)),HLOOKUP(N$1,Home!$D$9:$Y$84,$U23,FALSE),NA())</f>
        <v>385.7388124595866</v>
      </c>
      <c r="O23" s="743">
        <f>IF(ISNUMBER(HLOOKUP(O$1,Home!$D$9:$Y$84,$U23,FALSE)),HLOOKUP(O$1,Home!$D$9:$Y$84,$U23,FALSE),NA())</f>
        <v>408.75071963154869</v>
      </c>
      <c r="P23" s="743">
        <f>IF(ISNUMBER(HLOOKUP(P$1,Home!$D$9:$Y$84,$U23,FALSE)),HLOOKUP(P$1,Home!$D$9:$Y$84,$U23,FALSE),NA())</f>
        <v>201.30085217862626</v>
      </c>
      <c r="Q23" s="743">
        <f>IF(ISNUMBER(HLOOKUP(Q$1,Home!$D$9:$Y$84,$U23,FALSE)),HLOOKUP(Q$1,Home!$D$9:$Y$84,$U23,FALSE),NA())</f>
        <v>301.48619957537153</v>
      </c>
      <c r="R23" s="743">
        <f>IF(ISNUMBER(HLOOKUP(R$1,Home!$D$9:$Y$84,$U23,FALSE)),HLOOKUP(R$1,Home!$D$9:$Y$84,$U23,FALSE),NA())</f>
        <v>341.10207365033966</v>
      </c>
      <c r="S23" s="743">
        <f>IF(ISNUMBER(HLOOKUP(S$1,Home!$D$9:$Y$84,$U23,FALSE)),HLOOKUP(S$1,Home!$D$9:$Y$84,$U23,FALSE),NA())</f>
        <v>245.61710568536506</v>
      </c>
      <c r="T23" s="743">
        <f>IF(ISNUMBER(HLOOKUP(T$1,Home!$D$9:$Y$84,$U23,FALSE)),HLOOKUP(T$1,Home!$D$9:$Y$84,$U23,FALSE),NA())</f>
        <v>230.87223530498221</v>
      </c>
      <c r="U23" s="740">
        <f>VLOOKUP(A23,Home!C:AU,45,FALSE)</f>
        <v>30</v>
      </c>
      <c r="V23" s="745">
        <f t="array" ref="V23">SLOPE(IF(ISNA($B23:$T23),"",$B23:$T23),IF(ISNA($B$2:$T$2),"",$B$2:$T$2))</f>
        <v>15.622061654136331</v>
      </c>
      <c r="W23" s="745">
        <f t="array" ref="W23">INTERCEPT(IF(ISNA($B23:$T23),"",$B23:$T23),IF(ISNA($B$2:$T$2),"",$B$2:$T$2))</f>
        <v>141.90293505727243</v>
      </c>
      <c r="X23" s="745">
        <f t="array" ref="X23">RSQ(IF(ISNA($B23:$T23),"",$B23:$T23),IF(ISNA($B$2:$T$2),"",$B$2:$T$2))</f>
        <v>0.55778040175164467</v>
      </c>
    </row>
    <row r="24" spans="1:24" ht="24">
      <c r="A24" s="742" t="str">
        <f>Home!C39</f>
        <v>Children subject to Section 47 Enquiries during the Year ending 31st March, Rate per 10,000 0-17 Year Olds</v>
      </c>
      <c r="B24" s="743">
        <f>IF(ISNUMBER(HLOOKUP(B$1,Home!$D$9:$Y$84,$U24,FALSE)),HLOOKUP(B$1,Home!$D$9:$Y$84,$U24,FALSE),NA())</f>
        <v>243.65553112018711</v>
      </c>
      <c r="C24" s="743">
        <f>IF(ISNUMBER(HLOOKUP(C$1,Home!$D$9:$Y$84,$U24,FALSE)),HLOOKUP(C$1,Home!$D$9:$Y$84,$U24,FALSE),NA())</f>
        <v>262.28946127801822</v>
      </c>
      <c r="D24" s="743">
        <f>IF(ISNUMBER(HLOOKUP(D$1,Home!$D$9:$Y$84,$U24,FALSE)),HLOOKUP(D$1,Home!$D$9:$Y$84,$U24,FALSE),NA())</f>
        <v>212.90433801404211</v>
      </c>
      <c r="E24" s="743">
        <f>IF(ISNUMBER(HLOOKUP(E$1,Home!$D$9:$Y$84,$U24,FALSE)),HLOOKUP(E$1,Home!$D$9:$Y$84,$U24,FALSE),NA())</f>
        <v>122.86933189197536</v>
      </c>
      <c r="F24" s="743" t="e">
        <f>IF(ISNUMBER(HLOOKUP(F$1,Home!$D$9:$Y$84,$U24,FALSE)),HLOOKUP(F$1,Home!$D$9:$Y$84,$U24,FALSE),NA())</f>
        <v>#N/A</v>
      </c>
      <c r="G24" s="743">
        <f>IF(ISNUMBER(HLOOKUP(G$1,Home!$D$9:$Y$84,$U24,FALSE)),HLOOKUP(G$1,Home!$D$9:$Y$84,$U24,FALSE),NA())</f>
        <v>497.48272036863216</v>
      </c>
      <c r="H24" s="743">
        <f>IF(ISNUMBER(HLOOKUP(H$1,Home!$D$9:$Y$84,$U24,FALSE)),HLOOKUP(H$1,Home!$D$9:$Y$84,$U24,FALSE),NA())</f>
        <v>210.68980168345141</v>
      </c>
      <c r="I24" s="743">
        <f>IF(ISNUMBER(HLOOKUP(I$1,Home!$D$9:$Y$84,$U24,FALSE)),HLOOKUP(I$1,Home!$D$9:$Y$84,$U24,FALSE),NA())</f>
        <v>301.25811627453623</v>
      </c>
      <c r="J24" s="743">
        <f>IF(ISNUMBER(HLOOKUP(J$1,Home!$D$9:$Y$84,$U24,FALSE)),HLOOKUP(J$1,Home!$D$9:$Y$84,$U24,FALSE),NA())</f>
        <v>166.7651139470033</v>
      </c>
      <c r="K24" s="743">
        <f>IF(ISNUMBER(HLOOKUP(K$1,Home!$D$9:$Y$84,$U24,FALSE)),HLOOKUP(K$1,Home!$D$9:$Y$84,$U24,FALSE),NA())</f>
        <v>122.15992918264975</v>
      </c>
      <c r="L24" s="743">
        <f>IF(ISNUMBER(HLOOKUP(L$1,Home!$D$9:$Y$84,$U24,FALSE)),HLOOKUP(L$1,Home!$D$9:$Y$84,$U24,FALSE),NA())</f>
        <v>334.93275344505633</v>
      </c>
      <c r="M24" s="743">
        <f>IF(ISNUMBER(HLOOKUP(M$1,Home!$D$9:$Y$84,$U24,FALSE)),HLOOKUP(M$1,Home!$D$9:$Y$84,$U24,FALSE),NA())</f>
        <v>288.17000184555354</v>
      </c>
      <c r="N24" s="743">
        <f>IF(ISNUMBER(HLOOKUP(N$1,Home!$D$9:$Y$84,$U24,FALSE)),HLOOKUP(N$1,Home!$D$9:$Y$84,$U24,FALSE),NA())</f>
        <v>275.36845860554308</v>
      </c>
      <c r="O24" s="743">
        <f>IF(ISNUMBER(HLOOKUP(O$1,Home!$D$9:$Y$84,$U24,FALSE)),HLOOKUP(O$1,Home!$D$9:$Y$84,$U24,FALSE),NA())</f>
        <v>262.04514323149306</v>
      </c>
      <c r="P24" s="743">
        <f>IF(ISNUMBER(HLOOKUP(P$1,Home!$D$9:$Y$84,$U24,FALSE)),HLOOKUP(P$1,Home!$D$9:$Y$84,$U24,FALSE),NA())</f>
        <v>93.009425155831238</v>
      </c>
      <c r="Q24" s="743">
        <f>IF(ISNUMBER(HLOOKUP(Q$1,Home!$D$9:$Y$84,$U24,FALSE)),HLOOKUP(Q$1,Home!$D$9:$Y$84,$U24,FALSE),NA())</f>
        <v>202.689313517339</v>
      </c>
      <c r="R24" s="743">
        <f>IF(ISNUMBER(HLOOKUP(R$1,Home!$D$9:$Y$84,$U24,FALSE)),HLOOKUP(R$1,Home!$D$9:$Y$84,$U24,FALSE),NA())</f>
        <v>170.88621737575974</v>
      </c>
      <c r="S24" s="743">
        <f>IF(ISNUMBER(HLOOKUP(S$1,Home!$D$9:$Y$84,$U24,FALSE)),HLOOKUP(S$1,Home!$D$9:$Y$84,$U24,FALSE),NA())</f>
        <v>189.31769785012105</v>
      </c>
      <c r="T24" s="743">
        <f>IF(ISNUMBER(HLOOKUP(T$1,Home!$D$9:$Y$84,$U24,FALSE)),HLOOKUP(T$1,Home!$D$9:$Y$84,$U24,FALSE),NA())</f>
        <v>131.59717412383986</v>
      </c>
      <c r="U24" s="740">
        <f>VLOOKUP(A24,Home!C:AU,45,FALSE)</f>
        <v>31</v>
      </c>
      <c r="V24" s="745">
        <f t="array" ref="V24">SLOPE(IF(ISNA($B24:$T24),"",$B24:$T24),IF(ISNA($B$2:$T$2),"",$B$2:$T$2))</f>
        <v>12.248702171318206</v>
      </c>
      <c r="W24" s="745">
        <f t="array" ref="W24">INTERCEPT(IF(ISNA($B24:$T24),"",$B24:$T24),IF(ISNA($B$2:$T$2),"",$B$2:$T$2))</f>
        <v>64.956933415883583</v>
      </c>
      <c r="X24" s="745">
        <f t="array" ref="X24">RSQ(IF(ISNA($B24:$T24),"",$B24:$T24),IF(ISNA($B$2:$T$2),"",$B$2:$T$2))</f>
        <v>0.37198177538528676</v>
      </c>
    </row>
    <row r="25" spans="1:24" ht="36">
      <c r="A25" s="742" t="str">
        <f>Home!C40</f>
        <v>Children subject to an Initial Child Protection Conference during the Year ending 31st March, Rate per 10,000 0-17 Year Olds</v>
      </c>
      <c r="B25" s="743">
        <f>IF(ISNUMBER(HLOOKUP(B$1,Home!$D$9:$Y$84,$U25,FALSE)),HLOOKUP(B$1,Home!$D$9:$Y$84,$U25,FALSE),NA())</f>
        <v>48.521660208747861</v>
      </c>
      <c r="C25" s="743">
        <f>IF(ISNUMBER(HLOOKUP(C$1,Home!$D$9:$Y$84,$U25,FALSE)),HLOOKUP(C$1,Home!$D$9:$Y$84,$U25,FALSE),NA())</f>
        <v>73.501050015000217</v>
      </c>
      <c r="D25" s="743">
        <f>IF(ISNUMBER(HLOOKUP(D$1,Home!$D$9:$Y$84,$U25,FALSE)),HLOOKUP(D$1,Home!$D$9:$Y$84,$U25,FALSE),NA())</f>
        <v>50.777331995987964</v>
      </c>
      <c r="E25" s="743">
        <f>IF(ISNUMBER(HLOOKUP(E$1,Home!$D$9:$Y$84,$U25,FALSE)),HLOOKUP(E$1,Home!$D$9:$Y$84,$U25,FALSE),NA())</f>
        <v>79.628592938632906</v>
      </c>
      <c r="F25" s="743" t="e">
        <f>IF(ISNUMBER(HLOOKUP(F$1,Home!$D$9:$Y$84,$U25,FALSE)),HLOOKUP(F$1,Home!$D$9:$Y$84,$U25,FALSE),NA())</f>
        <v>#N/A</v>
      </c>
      <c r="G25" s="743">
        <f>IF(ISNUMBER(HLOOKUP(G$1,Home!$D$9:$Y$84,$U25,FALSE)),HLOOKUP(G$1,Home!$D$9:$Y$84,$U25,FALSE),NA())</f>
        <v>117.7574878402594</v>
      </c>
      <c r="H25" s="743">
        <f>IF(ISNUMBER(HLOOKUP(H$1,Home!$D$9:$Y$84,$U25,FALSE)),HLOOKUP(H$1,Home!$D$9:$Y$84,$U25,FALSE),NA())</f>
        <v>44.727443932799744</v>
      </c>
      <c r="I25" s="743">
        <f>IF(ISNUMBER(HLOOKUP(I$1,Home!$D$9:$Y$84,$U25,FALSE)),HLOOKUP(I$1,Home!$D$9:$Y$84,$U25,FALSE),NA())</f>
        <v>71.228275376010316</v>
      </c>
      <c r="J25" s="743">
        <f>IF(ISNUMBER(HLOOKUP(J$1,Home!$D$9:$Y$84,$U25,FALSE)),HLOOKUP(J$1,Home!$D$9:$Y$84,$U25,FALSE),NA())</f>
        <v>46.018379878291682</v>
      </c>
      <c r="K25" s="743">
        <f>IF(ISNUMBER(HLOOKUP(K$1,Home!$D$9:$Y$84,$U25,FALSE)),HLOOKUP(K$1,Home!$D$9:$Y$84,$U25,FALSE),NA())</f>
        <v>48.785285728336774</v>
      </c>
      <c r="L25" s="743">
        <f>IF(ISNUMBER(HLOOKUP(L$1,Home!$D$9:$Y$84,$U25,FALSE)),HLOOKUP(L$1,Home!$D$9:$Y$84,$U25,FALSE),NA())</f>
        <v>80.601318930673401</v>
      </c>
      <c r="M25" s="743">
        <f>IF(ISNUMBER(HLOOKUP(M$1,Home!$D$9:$Y$84,$U25,FALSE)),HLOOKUP(M$1,Home!$D$9:$Y$84,$U25,FALSE),NA())</f>
        <v>81.468006011231509</v>
      </c>
      <c r="N25" s="743">
        <f>IF(ISNUMBER(HLOOKUP(N$1,Home!$D$9:$Y$84,$U25,FALSE)),HLOOKUP(N$1,Home!$D$9:$Y$84,$U25,FALSE),NA())</f>
        <v>70.012709313474105</v>
      </c>
      <c r="O25" s="743">
        <f>IF(ISNUMBER(HLOOKUP(O$1,Home!$D$9:$Y$84,$U25,FALSE)),HLOOKUP(O$1,Home!$D$9:$Y$84,$U25,FALSE),NA())</f>
        <v>74.444642963492342</v>
      </c>
      <c r="P25" s="743">
        <f>IF(ISNUMBER(HLOOKUP(P$1,Home!$D$9:$Y$84,$U25,FALSE)),HLOOKUP(P$1,Home!$D$9:$Y$84,$U25,FALSE),NA())</f>
        <v>26.875244662591466</v>
      </c>
      <c r="Q25" s="743">
        <f>IF(ISNUMBER(HLOOKUP(Q$1,Home!$D$9:$Y$84,$U25,FALSE)),HLOOKUP(Q$1,Home!$D$9:$Y$84,$U25,FALSE),NA())</f>
        <v>72.753007784854915</v>
      </c>
      <c r="R25" s="743">
        <f>IF(ISNUMBER(HLOOKUP(R$1,Home!$D$9:$Y$84,$U25,FALSE)),HLOOKUP(R$1,Home!$D$9:$Y$84,$U25,FALSE),NA())</f>
        <v>56.813103324991069</v>
      </c>
      <c r="S25" s="743">
        <f>IF(ISNUMBER(HLOOKUP(S$1,Home!$D$9:$Y$84,$U25,FALSE)),HLOOKUP(S$1,Home!$D$9:$Y$84,$U25,FALSE),NA())</f>
        <v>67.092558560135345</v>
      </c>
      <c r="T25" s="743">
        <f>IF(ISNUMBER(HLOOKUP(T$1,Home!$D$9:$Y$84,$U25,FALSE)),HLOOKUP(T$1,Home!$D$9:$Y$84,$U25,FALSE),NA())</f>
        <v>37.632174354712106</v>
      </c>
      <c r="U25" s="740">
        <f>VLOOKUP(A25,Home!C:AU,45,FALSE)</f>
        <v>32</v>
      </c>
      <c r="V25" s="745">
        <f t="array" ref="V25">SLOPE(IF(ISNA($B25:$T25),"",$B25:$T25),IF(ISNA($B$2:$T$2),"",$B$2:$T$2))</f>
        <v>2.6847214232196466</v>
      </c>
      <c r="W25" s="745">
        <f t="array" ref="W25">INTERCEPT(IF(ISNA($B25:$T25),"",$B25:$T25),IF(ISNA($B$2:$T$2),"",$B$2:$T$2))</f>
        <v>28.270508814832318</v>
      </c>
      <c r="X25" s="745">
        <f t="array" ref="X25">RSQ(IF(ISNA($B25:$T25),"",$B25:$T25),IF(ISNA($B$2:$T$2),"",$B$2:$T$2))</f>
        <v>0.37212505764150894</v>
      </c>
    </row>
    <row r="26" spans="1:24" ht="24">
      <c r="A26" s="742" t="str">
        <f>Home!C41</f>
        <v>Number of Initial CP Conferences as a percentage of Section 47 Enquiries in the Year ending 31st March</v>
      </c>
      <c r="B26" s="743">
        <f>IF(ISNUMBER(HLOOKUP(B$1,Home!$D$9:$Y$84,$U26,FALSE)),HLOOKUP(B$1,Home!$D$9:$Y$84,$U26,FALSE),NA())</f>
        <v>0.1991404011461318</v>
      </c>
      <c r="C26" s="743">
        <f>IF(ISNUMBER(HLOOKUP(C$1,Home!$D$9:$Y$84,$U26,FALSE)),HLOOKUP(C$1,Home!$D$9:$Y$84,$U26,FALSE),NA())</f>
        <v>0.28022875816993464</v>
      </c>
      <c r="D26" s="743">
        <f>IF(ISNUMBER(HLOOKUP(D$1,Home!$D$9:$Y$84,$U26,FALSE)),HLOOKUP(D$1,Home!$D$9:$Y$84,$U26,FALSE),NA())</f>
        <v>0.23849834376150167</v>
      </c>
      <c r="E26" s="743">
        <f>IF(ISNUMBER(HLOOKUP(E$1,Home!$D$9:$Y$84,$U26,FALSE)),HLOOKUP(E$1,Home!$D$9:$Y$84,$U26,FALSE),NA())</f>
        <v>0.64807541241162603</v>
      </c>
      <c r="F26" s="743" t="e">
        <f>IF(ISNUMBER(HLOOKUP(F$1,Home!$D$9:$Y$84,$U26,FALSE)),HLOOKUP(F$1,Home!$D$9:$Y$84,$U26,FALSE),NA())</f>
        <v>#N/A</v>
      </c>
      <c r="G26" s="743">
        <f>IF(ISNUMBER(HLOOKUP(G$1,Home!$D$9:$Y$84,$U26,FALSE)),HLOOKUP(G$1,Home!$D$9:$Y$84,$U26,FALSE),NA())</f>
        <v>0.23670668953687821</v>
      </c>
      <c r="H26" s="743">
        <f>IF(ISNUMBER(HLOOKUP(H$1,Home!$D$9:$Y$84,$U26,FALSE)),HLOOKUP(H$1,Home!$D$9:$Y$84,$U26,FALSE),NA())</f>
        <v>0.21229050279329609</v>
      </c>
      <c r="I26" s="743">
        <f>IF(ISNUMBER(HLOOKUP(I$1,Home!$D$9:$Y$84,$U26,FALSE)),HLOOKUP(I$1,Home!$D$9:$Y$84,$U26,FALSE),NA())</f>
        <v>0.23643603782976605</v>
      </c>
      <c r="J26" s="743">
        <f>IF(ISNUMBER(HLOOKUP(J$1,Home!$D$9:$Y$84,$U26,FALSE)),HLOOKUP(J$1,Home!$D$9:$Y$84,$U26,FALSE),NA())</f>
        <v>0.27594728171334432</v>
      </c>
      <c r="K26" s="743">
        <f>IF(ISNUMBER(HLOOKUP(K$1,Home!$D$9:$Y$84,$U26,FALSE)),HLOOKUP(K$1,Home!$D$9:$Y$84,$U26,FALSE),NA())</f>
        <v>0.39935587761674718</v>
      </c>
      <c r="L26" s="743">
        <f>IF(ISNUMBER(HLOOKUP(L$1,Home!$D$9:$Y$84,$U26,FALSE)),HLOOKUP(L$1,Home!$D$9:$Y$84,$U26,FALSE),NA())</f>
        <v>0.24064925899788286</v>
      </c>
      <c r="M26" s="743">
        <f>IF(ISNUMBER(HLOOKUP(M$1,Home!$D$9:$Y$84,$U26,FALSE)),HLOOKUP(M$1,Home!$D$9:$Y$84,$U26,FALSE),NA())</f>
        <v>0.28270814272644101</v>
      </c>
      <c r="N26" s="743">
        <f>IF(ISNUMBER(HLOOKUP(N$1,Home!$D$9:$Y$84,$U26,FALSE)),HLOOKUP(N$1,Home!$D$9:$Y$84,$U26,FALSE),NA())</f>
        <v>0.25425101214574897</v>
      </c>
      <c r="O26" s="743">
        <f>IF(ISNUMBER(HLOOKUP(O$1,Home!$D$9:$Y$84,$U26,FALSE)),HLOOKUP(O$1,Home!$D$9:$Y$84,$U26,FALSE),NA())</f>
        <v>0.28409090909090912</v>
      </c>
      <c r="P26" s="743">
        <f>IF(ISNUMBER(HLOOKUP(P$1,Home!$D$9:$Y$84,$U26,FALSE)),HLOOKUP(P$1,Home!$D$9:$Y$84,$U26,FALSE),NA())</f>
        <v>0.28895184135977336</v>
      </c>
      <c r="Q26" s="743">
        <f>IF(ISNUMBER(HLOOKUP(Q$1,Home!$D$9:$Y$84,$U26,FALSE)),HLOOKUP(Q$1,Home!$D$9:$Y$84,$U26,FALSE),NA())</f>
        <v>0.35893854748603354</v>
      </c>
      <c r="R26" s="743">
        <f>IF(ISNUMBER(HLOOKUP(R$1,Home!$D$9:$Y$84,$U26,FALSE)),HLOOKUP(R$1,Home!$D$9:$Y$84,$U26,FALSE),NA())</f>
        <v>0.33246158875449494</v>
      </c>
      <c r="S26" s="743">
        <f>IF(ISNUMBER(HLOOKUP(S$1,Home!$D$9:$Y$84,$U26,FALSE)),HLOOKUP(S$1,Home!$D$9:$Y$84,$U26,FALSE),NA())</f>
        <v>0.3543913713405239</v>
      </c>
      <c r="T26" s="743">
        <f>IF(ISNUMBER(HLOOKUP(T$1,Home!$D$9:$Y$84,$U26,FALSE)),HLOOKUP(T$1,Home!$D$9:$Y$84,$U26,FALSE),NA())</f>
        <v>0.28596491228070176</v>
      </c>
      <c r="U26" s="740">
        <f>VLOOKUP(A26,Home!C:AU,45,FALSE)</f>
        <v>33</v>
      </c>
      <c r="V26" s="745">
        <f t="array" ref="V26">SLOPE(IF(ISNA($B26:$T26),"",$B26:$T26),IF(ISNA($B$2:$T$2),"",$B$2:$T$2))</f>
        <v>-1.8799301327320351E-3</v>
      </c>
      <c r="W26" s="745">
        <f t="array" ref="W26">INTERCEPT(IF(ISNA($B26:$T26),"",$B26:$T26),IF(ISNA($B$2:$T$2),"",$B$2:$T$2))</f>
        <v>0.32539301332176551</v>
      </c>
      <c r="X26" s="745">
        <f t="array" ref="X26">RSQ(IF(ISNA($B26:$T26),"",$B26:$T26),IF(ISNA($B$2:$T$2),"",$B$2:$T$2))</f>
        <v>7.8465416722143209E-3</v>
      </c>
    </row>
    <row r="27" spans="1:24" ht="24">
      <c r="A27" s="742" t="str">
        <f>Home!C42</f>
        <v>% of Initial CP Conferences held within 15 days of the Section 47 Enquiry which led to the conference</v>
      </c>
      <c r="B27" s="743">
        <f>IF(ISNUMBER(HLOOKUP(B$1,Home!$D$9:$Y$84,$U27,FALSE)),HLOOKUP(B$1,Home!$D$9:$Y$84,$U27,FALSE),NA())</f>
        <v>0.74100719424460426</v>
      </c>
      <c r="C27" s="743">
        <f>IF(ISNUMBER(HLOOKUP(C$1,Home!$D$9:$Y$84,$U27,FALSE)),HLOOKUP(C$1,Home!$D$9:$Y$84,$U27,FALSE),NA())</f>
        <v>0.89504373177842567</v>
      </c>
      <c r="D27" s="743">
        <f>IF(ISNUMBER(HLOOKUP(D$1,Home!$D$9:$Y$84,$U27,FALSE)),HLOOKUP(D$1,Home!$D$9:$Y$84,$U27,FALSE),NA())</f>
        <v>0.69444444444444442</v>
      </c>
      <c r="E27" s="743">
        <f>IF(ISNUMBER(HLOOKUP(E$1,Home!$D$9:$Y$84,$U27,FALSE)),HLOOKUP(E$1,Home!$D$9:$Y$84,$U27,FALSE),NA())</f>
        <v>0.78181818181818186</v>
      </c>
      <c r="F27" s="743" t="e">
        <f>IF(ISNUMBER(HLOOKUP(F$1,Home!$D$9:$Y$84,$U27,FALSE)),HLOOKUP(F$1,Home!$D$9:$Y$84,$U27,FALSE),NA())</f>
        <v>#N/A</v>
      </c>
      <c r="G27" s="743">
        <f>IF(ISNUMBER(HLOOKUP(G$1,Home!$D$9:$Y$84,$U27,FALSE)),HLOOKUP(G$1,Home!$D$9:$Y$84,$U27,FALSE),NA())</f>
        <v>0.72826086956521741</v>
      </c>
      <c r="H27" s="743">
        <f>IF(ISNUMBER(HLOOKUP(H$1,Home!$D$9:$Y$84,$U27,FALSE)),HLOOKUP(H$1,Home!$D$9:$Y$84,$U27,FALSE),NA())</f>
        <v>0.87548138639281126</v>
      </c>
      <c r="I27" s="743">
        <f>IF(ISNUMBER(HLOOKUP(I$1,Home!$D$9:$Y$84,$U27,FALSE)),HLOOKUP(I$1,Home!$D$9:$Y$84,$U27,FALSE),NA())</f>
        <v>0.85894736842105268</v>
      </c>
      <c r="J27" s="743">
        <f>IF(ISNUMBER(HLOOKUP(J$1,Home!$D$9:$Y$84,$U27,FALSE)),HLOOKUP(J$1,Home!$D$9:$Y$84,$U27,FALSE),NA())</f>
        <v>0.68955223880597016</v>
      </c>
      <c r="K27" s="743">
        <f>IF(ISNUMBER(HLOOKUP(K$1,Home!$D$9:$Y$84,$U27,FALSE)),HLOOKUP(K$1,Home!$D$9:$Y$84,$U27,FALSE),NA())</f>
        <v>0.80913978494623651</v>
      </c>
      <c r="L27" s="743">
        <f>IF(ISNUMBER(HLOOKUP(L$1,Home!$D$9:$Y$84,$U27,FALSE)),HLOOKUP(L$1,Home!$D$9:$Y$84,$U27,FALSE),NA())</f>
        <v>0.84457478005865105</v>
      </c>
      <c r="M27" s="743">
        <f>IF(ISNUMBER(HLOOKUP(M$1,Home!$D$9:$Y$84,$U27,FALSE)),HLOOKUP(M$1,Home!$D$9:$Y$84,$U27,FALSE),NA())</f>
        <v>0.68284789644012944</v>
      </c>
      <c r="N27" s="743">
        <f>IF(ISNUMBER(HLOOKUP(N$1,Home!$D$9:$Y$84,$U27,FALSE)),HLOOKUP(N$1,Home!$D$9:$Y$84,$U27,FALSE),NA())</f>
        <v>0.83121019108280259</v>
      </c>
      <c r="O27" s="743">
        <f>IF(ISNUMBER(HLOOKUP(O$1,Home!$D$9:$Y$84,$U27,FALSE)),HLOOKUP(O$1,Home!$D$9:$Y$84,$U27,FALSE),NA())</f>
        <v>0.72</v>
      </c>
      <c r="P27" s="743">
        <f>IF(ISNUMBER(HLOOKUP(P$1,Home!$D$9:$Y$84,$U27,FALSE)),HLOOKUP(P$1,Home!$D$9:$Y$84,$U27,FALSE),NA())</f>
        <v>0.81792717086834732</v>
      </c>
      <c r="Q27" s="743">
        <f>IF(ISNUMBER(HLOOKUP(Q$1,Home!$D$9:$Y$84,$U27,FALSE)),HLOOKUP(Q$1,Home!$D$9:$Y$84,$U27,FALSE),NA())</f>
        <v>0.82490272373540852</v>
      </c>
      <c r="R27" s="743">
        <f>IF(ISNUMBER(HLOOKUP(R$1,Home!$D$9:$Y$84,$U27,FALSE)),HLOOKUP(R$1,Home!$D$9:$Y$84,$U27,FALSE),NA())</f>
        <v>0.71386430678466073</v>
      </c>
      <c r="S27" s="743">
        <f>IF(ISNUMBER(HLOOKUP(S$1,Home!$D$9:$Y$84,$U27,FALSE)),HLOOKUP(S$1,Home!$D$9:$Y$84,$U27,FALSE),NA())</f>
        <v>0.75652173913043474</v>
      </c>
      <c r="T27" s="743">
        <f>IF(ISNUMBER(HLOOKUP(T$1,Home!$D$9:$Y$84,$U27,FALSE)),HLOOKUP(T$1,Home!$D$9:$Y$84,$U27,FALSE),NA())</f>
        <v>0.93251533742331283</v>
      </c>
      <c r="U27" s="740">
        <f>VLOOKUP(A27,Home!C:AU,45,FALSE)</f>
        <v>34</v>
      </c>
      <c r="V27" s="745">
        <f t="array" ref="V27">SLOPE(IF(ISNA($B27:$T27),"",$B27:$T27),IF(ISNA($B$2:$T$2),"",$B$2:$T$2))</f>
        <v>-1.0841959139915246E-3</v>
      </c>
      <c r="W27" s="745">
        <f t="array" ref="W27">INTERCEPT(IF(ISNA($B27:$T27),"",$B27:$T27),IF(ISNA($B$2:$T$2),"",$B$2:$T$2))</f>
        <v>0.80313462401360414</v>
      </c>
      <c r="X27" s="745">
        <f t="array" ref="X27">RSQ(IF(ISNA($B27:$T27),"",$B27:$T27),IF(ISNA($B$2:$T$2),"",$B$2:$T$2))</f>
        <v>4.6205123691836639E-3</v>
      </c>
    </row>
    <row r="28" spans="1:24" ht="24">
      <c r="A28" s="742" t="str">
        <f>Home!C43</f>
        <v>Children subject to a Child Protection Plan at 31st March, Rate per 10,000 0-17 Year Olds</v>
      </c>
      <c r="B28" s="743">
        <f>IF(ISNUMBER(HLOOKUP(B$1,Home!$D$9:$Y$84,$U28,FALSE)),HLOOKUP(B$1,Home!$D$9:$Y$84,$U28,FALSE),NA())</f>
        <v>39.0965895207177</v>
      </c>
      <c r="C28" s="743">
        <f>IF(ISNUMBER(HLOOKUP(C$1,Home!$D$9:$Y$84,$U28,FALSE)),HLOOKUP(C$1,Home!$D$9:$Y$84,$U28,FALSE),NA())</f>
        <v>56.143659195131363</v>
      </c>
      <c r="D28" s="743">
        <f>IF(ISNUMBER(HLOOKUP(D$1,Home!$D$9:$Y$84,$U28,FALSE)),HLOOKUP(D$1,Home!$D$9:$Y$84,$U28,FALSE),NA())</f>
        <v>33.694834503510535</v>
      </c>
      <c r="E28" s="743">
        <f>IF(ISNUMBER(HLOOKUP(E$1,Home!$D$9:$Y$84,$U28,FALSE)),HLOOKUP(E$1,Home!$D$9:$Y$84,$U28,FALSE),NA())</f>
        <v>66.115862015713375</v>
      </c>
      <c r="F28" s="743" t="e">
        <f>IF(ISNUMBER(HLOOKUP(F$1,Home!$D$9:$Y$84,$U28,FALSE)),HLOOKUP(F$1,Home!$D$9:$Y$84,$U28,FALSE),NA())</f>
        <v>#N/A</v>
      </c>
      <c r="G28" s="743">
        <f>IF(ISNUMBER(HLOOKUP(G$1,Home!$D$9:$Y$84,$U28,FALSE)),HLOOKUP(G$1,Home!$D$9:$Y$84,$U28,FALSE),NA())</f>
        <v>78.504991893506272</v>
      </c>
      <c r="H28" s="743">
        <f>IF(ISNUMBER(HLOOKUP(H$1,Home!$D$9:$Y$84,$U28,FALSE)),HLOOKUP(H$1,Home!$D$9:$Y$84,$U28,FALSE),NA())</f>
        <v>34.765683313620336</v>
      </c>
      <c r="I28" s="743">
        <f>IF(ISNUMBER(HLOOKUP(I$1,Home!$D$9:$Y$84,$U28,FALSE)),HLOOKUP(I$1,Home!$D$9:$Y$84,$U28,FALSE),NA())</f>
        <v>42.137148169808214</v>
      </c>
      <c r="J28" s="743">
        <f>IF(ISNUMBER(HLOOKUP(J$1,Home!$D$9:$Y$84,$U28,FALSE)),HLOOKUP(J$1,Home!$D$9:$Y$84,$U28,FALSE),NA())</f>
        <v>26.512081541821779</v>
      </c>
      <c r="K28" s="743">
        <f>IF(ISNUMBER(HLOOKUP(K$1,Home!$D$9:$Y$84,$U28,FALSE)),HLOOKUP(K$1,Home!$D$9:$Y$84,$U28,FALSE),NA())</f>
        <v>34.884102160584902</v>
      </c>
      <c r="L28" s="743">
        <f>IF(ISNUMBER(HLOOKUP(L$1,Home!$D$9:$Y$84,$U28,FALSE)),HLOOKUP(L$1,Home!$D$9:$Y$84,$U28,FALSE),NA())</f>
        <v>53.655423452383772</v>
      </c>
      <c r="M28" s="743">
        <f>IF(ISNUMBER(HLOOKUP(M$1,Home!$D$9:$Y$84,$U28,FALSE)),HLOOKUP(M$1,Home!$D$9:$Y$84,$U28,FALSE),NA())</f>
        <v>61.957868649318463</v>
      </c>
      <c r="N28" s="743">
        <f>IF(ISNUMBER(HLOOKUP(N$1,Home!$D$9:$Y$84,$U28,FALSE)),HLOOKUP(N$1,Home!$D$9:$Y$84,$U28,FALSE),NA())</f>
        <v>43.479230306138376</v>
      </c>
      <c r="O28" s="743">
        <f>IF(ISNUMBER(HLOOKUP(O$1,Home!$D$9:$Y$84,$U28,FALSE)),HLOOKUP(O$1,Home!$D$9:$Y$84,$U28,FALSE),NA())</f>
        <v>54.791257221130365</v>
      </c>
      <c r="P28" s="743">
        <f>IF(ISNUMBER(HLOOKUP(P$1,Home!$D$9:$Y$84,$U28,FALSE)),HLOOKUP(P$1,Home!$D$9:$Y$84,$U28,FALSE),NA())</f>
        <v>21.793790839832575</v>
      </c>
      <c r="Q28" s="743">
        <f>IF(ISNUMBER(HLOOKUP(Q$1,Home!$D$9:$Y$84,$U28,FALSE)),HLOOKUP(Q$1,Home!$D$9:$Y$84,$U28,FALSE),NA())</f>
        <v>54.069355980184</v>
      </c>
      <c r="R28" s="743">
        <f>IF(ISNUMBER(HLOOKUP(R$1,Home!$D$9:$Y$84,$U28,FALSE)),HLOOKUP(R$1,Home!$D$9:$Y$84,$U28,FALSE),NA())</f>
        <v>35.976045763317842</v>
      </c>
      <c r="S28" s="743">
        <f>IF(ISNUMBER(HLOOKUP(S$1,Home!$D$9:$Y$84,$U28,FALSE)),HLOOKUP(S$1,Home!$D$9:$Y$84,$U28,FALSE),NA())</f>
        <v>28.878970858493041</v>
      </c>
      <c r="T28" s="743">
        <f>IF(ISNUMBER(HLOOKUP(T$1,Home!$D$9:$Y$84,$U28,FALSE)),HLOOKUP(T$1,Home!$D$9:$Y$84,$U28,FALSE),NA())</f>
        <v>28.859029413122776</v>
      </c>
      <c r="U28" s="740">
        <f>VLOOKUP(A28,Home!C:AU,45,FALSE)</f>
        <v>35</v>
      </c>
      <c r="V28" s="745">
        <f t="array" ref="V28">SLOPE(IF(ISNA($B28:$T28),"",$B28:$T28),IF(ISNA($B$2:$T$2),"",$B$2:$T$2))</f>
        <v>1.9927532283991962</v>
      </c>
      <c r="W28" s="745">
        <f t="array" ref="W28">INTERCEPT(IF(ISNA($B28:$T28),"",$B28:$T28),IF(ISNA($B$2:$T$2),"",$B$2:$T$2))</f>
        <v>17.802379470600403</v>
      </c>
      <c r="X28" s="745">
        <f t="array" ref="X28">RSQ(IF(ISNA($B28:$T28),"",$B28:$T28),IF(ISNA($B$2:$T$2),"",$B$2:$T$2))</f>
        <v>0.37924650203089133</v>
      </c>
    </row>
    <row r="29" spans="1:24" ht="24">
      <c r="A29" s="742" t="str">
        <f>Home!C44</f>
        <v>% Children subject to a Child Protection Plan at 31st March who had been subject to a plan for 2+ years</v>
      </c>
      <c r="B29" s="743">
        <f>IF(ISNUMBER(HLOOKUP(B$1,Home!$D$9:$Y$84,$U29,FALSE)),HLOOKUP(B$1,Home!$D$9:$Y$84,$U29,FALSE),NA())</f>
        <v>6.25E-2</v>
      </c>
      <c r="C29" s="743" t="e">
        <f>IF(ISNUMBER(HLOOKUP(C$1,Home!$D$9:$Y$84,$U29,FALSE)),HLOOKUP(C$1,Home!$D$9:$Y$84,$U29,FALSE),NA())</f>
        <v>#N/A</v>
      </c>
      <c r="D29" s="743">
        <f>IF(ISNUMBER(HLOOKUP(D$1,Home!$D$9:$Y$84,$U29,FALSE)),HLOOKUP(D$1,Home!$D$9:$Y$84,$U29,FALSE),NA())</f>
        <v>6.5116279069767441E-2</v>
      </c>
      <c r="E29" s="743">
        <f>IF(ISNUMBER(HLOOKUP(E$1,Home!$D$9:$Y$84,$U29,FALSE)),HLOOKUP(E$1,Home!$D$9:$Y$84,$U29,FALSE),NA())</f>
        <v>7.8832116788321166E-2</v>
      </c>
      <c r="F29" s="743" t="e">
        <f>IF(ISNUMBER(HLOOKUP(F$1,Home!$D$9:$Y$84,$U29,FALSE)),HLOOKUP(F$1,Home!$D$9:$Y$84,$U29,FALSE),NA())</f>
        <v>#N/A</v>
      </c>
      <c r="G29" s="743">
        <f>IF(ISNUMBER(HLOOKUP(G$1,Home!$D$9:$Y$84,$U29,FALSE)),HLOOKUP(G$1,Home!$D$9:$Y$84,$U29,FALSE),NA())</f>
        <v>0</v>
      </c>
      <c r="H29" s="743">
        <f>IF(ISNUMBER(HLOOKUP(H$1,Home!$D$9:$Y$84,$U29,FALSE)),HLOOKUP(H$1,Home!$D$9:$Y$84,$U29,FALSE),NA())</f>
        <v>1.8992568125516102E-2</v>
      </c>
      <c r="I29" s="743" t="e">
        <f>IF(ISNUMBER(HLOOKUP(I$1,Home!$D$9:$Y$84,$U29,FALSE)),HLOOKUP(I$1,Home!$D$9:$Y$84,$U29,FALSE),NA())</f>
        <v>#N/A</v>
      </c>
      <c r="J29" s="743" t="e">
        <f>IF(ISNUMBER(HLOOKUP(J$1,Home!$D$9:$Y$84,$U29,FALSE)),HLOOKUP(J$1,Home!$D$9:$Y$84,$U29,FALSE),NA())</f>
        <v>#N/A</v>
      </c>
      <c r="K29" s="743">
        <f>IF(ISNUMBER(HLOOKUP(K$1,Home!$D$9:$Y$84,$U29,FALSE)),HLOOKUP(K$1,Home!$D$9:$Y$84,$U29,FALSE),NA())</f>
        <v>2.4436090225563908E-2</v>
      </c>
      <c r="L29" s="743" t="e">
        <f>IF(ISNUMBER(HLOOKUP(L$1,Home!$D$9:$Y$84,$U29,FALSE)),HLOOKUP(L$1,Home!$D$9:$Y$84,$U29,FALSE),NA())</f>
        <v>#N/A</v>
      </c>
      <c r="M29" s="743">
        <f>IF(ISNUMBER(HLOOKUP(M$1,Home!$D$9:$Y$84,$U29,FALSE)),HLOOKUP(M$1,Home!$D$9:$Y$84,$U29,FALSE),NA())</f>
        <v>3.8297872340425532E-2</v>
      </c>
      <c r="N29" s="743" t="e">
        <f>IF(ISNUMBER(HLOOKUP(N$1,Home!$D$9:$Y$84,$U29,FALSE)),HLOOKUP(N$1,Home!$D$9:$Y$84,$U29,FALSE),NA())</f>
        <v>#N/A</v>
      </c>
      <c r="O29" s="743">
        <f>IF(ISNUMBER(HLOOKUP(O$1,Home!$D$9:$Y$84,$U29,FALSE)),HLOOKUP(O$1,Home!$D$9:$Y$84,$U29,FALSE),NA())</f>
        <v>3.9855072463768113E-2</v>
      </c>
      <c r="P29" s="743">
        <f>IF(ISNUMBER(HLOOKUP(P$1,Home!$D$9:$Y$84,$U29,FALSE)),HLOOKUP(P$1,Home!$D$9:$Y$84,$U29,FALSE),NA())</f>
        <v>6.3903281519861826E-2</v>
      </c>
      <c r="Q29" s="743">
        <f>IF(ISNUMBER(HLOOKUP(Q$1,Home!$D$9:$Y$84,$U29,FALSE)),HLOOKUP(Q$1,Home!$D$9:$Y$84,$U29,FALSE),NA())</f>
        <v>5.7591623036649213E-2</v>
      </c>
      <c r="R29" s="743">
        <f>IF(ISNUMBER(HLOOKUP(R$1,Home!$D$9:$Y$84,$U29,FALSE)),HLOOKUP(R$1,Home!$D$9:$Y$84,$U29,FALSE),NA())</f>
        <v>2.0186335403726708E-2</v>
      </c>
      <c r="S29" s="743">
        <f>IF(ISNUMBER(HLOOKUP(S$1,Home!$D$9:$Y$84,$U29,FALSE)),HLOOKUP(S$1,Home!$D$9:$Y$84,$U29,FALSE),NA())</f>
        <v>6.0606060606060608E-2</v>
      </c>
      <c r="T29" s="743" t="e">
        <f>IF(ISNUMBER(HLOOKUP(T$1,Home!$D$9:$Y$84,$U29,FALSE)),HLOOKUP(T$1,Home!$D$9:$Y$84,$U29,FALSE),NA())</f>
        <v>#N/A</v>
      </c>
      <c r="U29" s="740">
        <f>VLOOKUP(A29,Home!C:AU,45,FALSE)</f>
        <v>36</v>
      </c>
      <c r="V29" s="745">
        <f t="array" ref="V29">SLOPE(IF(ISNA($B29:$T29),"",$B29:$T29),IF(ISNA($B$2:$T$2),"",$B$2:$T$2))</f>
        <v>-2.3700260120196551E-3</v>
      </c>
      <c r="W29" s="745">
        <f t="array" ref="W29">INTERCEPT(IF(ISNA($B29:$T29),"",$B29:$T29),IF(ISNA($B$2:$T$2),"",$B$2:$T$2))</f>
        <v>7.3541930413815113E-2</v>
      </c>
      <c r="X29" s="745">
        <f t="array" ref="X29">RSQ(IF(ISNA($B29:$T29),"",$B29:$T29),IF(ISNA($B$2:$T$2),"",$B$2:$T$2))</f>
        <v>0.20379697241809513</v>
      </c>
    </row>
    <row r="30" spans="1:24" ht="24">
      <c r="A30" s="742" t="str">
        <f>Home!C45</f>
        <v>% who had been the subject of a plan for at least 3 months and had reviews carried out within timescales</v>
      </c>
      <c r="B30" s="743">
        <f>IF(ISNUMBER(HLOOKUP(B$1,Home!$D$9:$Y$84,$U30,FALSE)),HLOOKUP(B$1,Home!$D$9:$Y$84,$U30,FALSE),NA())</f>
        <v>0.9885057471264368</v>
      </c>
      <c r="C30" s="743">
        <f>IF(ISNUMBER(HLOOKUP(C$1,Home!$D$9:$Y$84,$U30,FALSE)),HLOOKUP(C$1,Home!$D$9:$Y$84,$U30,FALSE),NA())</f>
        <v>0.86979166666666663</v>
      </c>
      <c r="D30" s="743">
        <f>IF(ISNUMBER(HLOOKUP(D$1,Home!$D$9:$Y$84,$U30,FALSE)),HLOOKUP(D$1,Home!$D$9:$Y$84,$U30,FALSE),NA())</f>
        <v>0.882943143812709</v>
      </c>
      <c r="E30" s="743">
        <f>IF(ISNUMBER(HLOOKUP(E$1,Home!$D$9:$Y$84,$U30,FALSE)),HLOOKUP(E$1,Home!$D$9:$Y$84,$U30,FALSE),NA())</f>
        <v>0.89097744360902253</v>
      </c>
      <c r="F30" s="743" t="e">
        <f>IF(ISNUMBER(HLOOKUP(F$1,Home!$D$9:$Y$84,$U30,FALSE)),HLOOKUP(F$1,Home!$D$9:$Y$84,$U30,FALSE),NA())</f>
        <v>#N/A</v>
      </c>
      <c r="G30" s="743">
        <f>IF(ISNUMBER(HLOOKUP(G$1,Home!$D$9:$Y$84,$U30,FALSE)),HLOOKUP(G$1,Home!$D$9:$Y$84,$U30,FALSE),NA())</f>
        <v>0.84210526315789469</v>
      </c>
      <c r="H30" s="743">
        <f>IF(ISNUMBER(HLOOKUP(H$1,Home!$D$9:$Y$84,$U30,FALSE)),HLOOKUP(H$1,Home!$D$9:$Y$84,$U30,FALSE),NA())</f>
        <v>0.99765807962529274</v>
      </c>
      <c r="I30" s="743">
        <f>IF(ISNUMBER(HLOOKUP(I$1,Home!$D$9:$Y$84,$U30,FALSE)),HLOOKUP(I$1,Home!$D$9:$Y$84,$U30,FALSE),NA())</f>
        <v>0.96721311475409832</v>
      </c>
      <c r="J30" s="743">
        <f>IF(ISNUMBER(HLOOKUP(J$1,Home!$D$9:$Y$84,$U30,FALSE)),HLOOKUP(J$1,Home!$D$9:$Y$84,$U30,FALSE),NA())</f>
        <v>0.87826086956521743</v>
      </c>
      <c r="K30" s="743">
        <f>IF(ISNUMBER(HLOOKUP(K$1,Home!$D$9:$Y$84,$U30,FALSE)),HLOOKUP(K$1,Home!$D$9:$Y$84,$U30,FALSE),NA())</f>
        <v>0.97126436781609193</v>
      </c>
      <c r="L30" s="743">
        <f>IF(ISNUMBER(HLOOKUP(L$1,Home!$D$9:$Y$84,$U30,FALSE)),HLOOKUP(L$1,Home!$D$9:$Y$84,$U30,FALSE),NA())</f>
        <v>1</v>
      </c>
      <c r="M30" s="743">
        <f>IF(ISNUMBER(HLOOKUP(M$1,Home!$D$9:$Y$84,$U30,FALSE)),HLOOKUP(M$1,Home!$D$9:$Y$84,$U30,FALSE),NA())</f>
        <v>0.76344086021505375</v>
      </c>
      <c r="N30" s="743">
        <f>IF(ISNUMBER(HLOOKUP(N$1,Home!$D$9:$Y$84,$U30,FALSE)),HLOOKUP(N$1,Home!$D$9:$Y$84,$U30,FALSE),NA())</f>
        <v>0.95</v>
      </c>
      <c r="O30" s="743">
        <f>IF(ISNUMBER(HLOOKUP(O$1,Home!$D$9:$Y$84,$U30,FALSE)),HLOOKUP(O$1,Home!$D$9:$Y$84,$U30,FALSE),NA())</f>
        <v>0.83490566037735847</v>
      </c>
      <c r="P30" s="743">
        <f>IF(ISNUMBER(HLOOKUP(P$1,Home!$D$9:$Y$84,$U30,FALSE)),HLOOKUP(P$1,Home!$D$9:$Y$84,$U30,FALSE),NA())</f>
        <v>0.96055684454756385</v>
      </c>
      <c r="Q30" s="743">
        <f>IF(ISNUMBER(HLOOKUP(Q$1,Home!$D$9:$Y$84,$U30,FALSE)),HLOOKUP(Q$1,Home!$D$9:$Y$84,$U30,FALSE),NA())</f>
        <v>0.83870967741935487</v>
      </c>
      <c r="R30" s="743">
        <f>IF(ISNUMBER(HLOOKUP(R$1,Home!$D$9:$Y$84,$U30,FALSE)),HLOOKUP(R$1,Home!$D$9:$Y$84,$U30,FALSE),NA())</f>
        <v>0.74561403508771928</v>
      </c>
      <c r="S30" s="743">
        <f>IF(ISNUMBER(HLOOKUP(S$1,Home!$D$9:$Y$84,$U30,FALSE)),HLOOKUP(S$1,Home!$D$9:$Y$84,$U30,FALSE),NA())</f>
        <v>0.90909090909090906</v>
      </c>
      <c r="T30" s="743">
        <f>IF(ISNUMBER(HLOOKUP(T$1,Home!$D$9:$Y$84,$U30,FALSE)),HLOOKUP(T$1,Home!$D$9:$Y$84,$U30,FALSE),NA())</f>
        <v>0.97674418604651159</v>
      </c>
      <c r="U30" s="740">
        <f>VLOOKUP(A30,Home!C:AU,45,FALSE)</f>
        <v>37</v>
      </c>
      <c r="V30" s="745">
        <f t="array" ref="V30">SLOPE(IF(ISNA($B30:$T30),"",$B30:$T30),IF(ISNA($B$2:$T$2),"",$B$2:$T$2))</f>
        <v>-1.7941904822691619E-3</v>
      </c>
      <c r="W30" s="745">
        <f t="array" ref="W30">INTERCEPT(IF(ISNA($B30:$T30),"",$B30:$T30),IF(ISNA($B$2:$T$2),"",$B$2:$T$2))</f>
        <v>0.92751874782459121</v>
      </c>
      <c r="X30" s="745">
        <f t="array" ref="X30">RSQ(IF(ISNA($B30:$T30),"",$B30:$T30),IF(ISNA($B$2:$T$2),"",$B$2:$T$2))</f>
        <v>1.2021241491927633E-2</v>
      </c>
    </row>
    <row r="31" spans="1:24" ht="24">
      <c r="A31" s="742" t="str">
        <f>Home!C46</f>
        <v>% of Children who ceased to be the subject of a CP Plan  who had been the subject of a Plan for 2 years or more</v>
      </c>
      <c r="B31" s="743">
        <f>IF(ISNUMBER(HLOOKUP(B$1,Home!$D$9:$Y$84,$U31,FALSE)),HLOOKUP(B$1,Home!$D$9:$Y$84,$U31,FALSE),NA())</f>
        <v>5.0955414012738856E-2</v>
      </c>
      <c r="C31" s="743">
        <f>IF(ISNUMBER(HLOOKUP(C$1,Home!$D$9:$Y$84,$U31,FALSE)),HLOOKUP(C$1,Home!$D$9:$Y$84,$U31,FALSE),NA())</f>
        <v>5.128205128205128E-2</v>
      </c>
      <c r="D31" s="743">
        <f>IF(ISNUMBER(HLOOKUP(D$1,Home!$D$9:$Y$84,$U31,FALSE)),HLOOKUP(D$1,Home!$D$9:$Y$84,$U31,FALSE),NA())</f>
        <v>6.1128526645768025E-2</v>
      </c>
      <c r="E31" s="743">
        <f>IF(ISNUMBER(HLOOKUP(E$1,Home!$D$9:$Y$84,$U31,FALSE)),HLOOKUP(E$1,Home!$D$9:$Y$84,$U31,FALSE),NA())</f>
        <v>6.9337442218798145E-2</v>
      </c>
      <c r="F31" s="743" t="e">
        <f>IF(ISNUMBER(HLOOKUP(F$1,Home!$D$9:$Y$84,$U31,FALSE)),HLOOKUP(F$1,Home!$D$9:$Y$84,$U31,FALSE),NA())</f>
        <v>#N/A</v>
      </c>
      <c r="G31" s="743">
        <f>IF(ISNUMBER(HLOOKUP(G$1,Home!$D$9:$Y$84,$U31,FALSE)),HLOOKUP(G$1,Home!$D$9:$Y$84,$U31,FALSE),NA())</f>
        <v>4.9056603773584909E-2</v>
      </c>
      <c r="H31" s="743">
        <f>IF(ISNUMBER(HLOOKUP(H$1,Home!$D$9:$Y$84,$U31,FALSE)),HLOOKUP(H$1,Home!$D$9:$Y$84,$U31,FALSE),NA())</f>
        <v>4.9626104690686609E-2</v>
      </c>
      <c r="I31" s="743">
        <f>IF(ISNUMBER(HLOOKUP(I$1,Home!$D$9:$Y$84,$U31,FALSE)),HLOOKUP(I$1,Home!$D$9:$Y$84,$U31,FALSE),NA())</f>
        <v>1.5306122448979591E-2</v>
      </c>
      <c r="J31" s="743" t="e">
        <f>IF(ISNUMBER(HLOOKUP(J$1,Home!$D$9:$Y$84,$U31,FALSE)),HLOOKUP(J$1,Home!$D$9:$Y$84,$U31,FALSE),NA())</f>
        <v>#N/A</v>
      </c>
      <c r="K31" s="743">
        <f>IF(ISNUMBER(HLOOKUP(K$1,Home!$D$9:$Y$84,$U31,FALSE)),HLOOKUP(K$1,Home!$D$9:$Y$84,$U31,FALSE),NA())</f>
        <v>1.4802631578947368E-2</v>
      </c>
      <c r="L31" s="743">
        <f>IF(ISNUMBER(HLOOKUP(L$1,Home!$D$9:$Y$84,$U31,FALSE)),HLOOKUP(L$1,Home!$D$9:$Y$84,$U31,FALSE),NA())</f>
        <v>3.0769230769230771E-2</v>
      </c>
      <c r="M31" s="743">
        <f>IF(ISNUMBER(HLOOKUP(M$1,Home!$D$9:$Y$84,$U31,FALSE)),HLOOKUP(M$1,Home!$D$9:$Y$84,$U31,FALSE),NA())</f>
        <v>8.5308056872037921E-2</v>
      </c>
      <c r="N31" s="743">
        <f>IF(ISNUMBER(HLOOKUP(N$1,Home!$D$9:$Y$84,$U31,FALSE)),HLOOKUP(N$1,Home!$D$9:$Y$84,$U31,FALSE),NA())</f>
        <v>3.4161490683229816E-2</v>
      </c>
      <c r="O31" s="743">
        <f>IF(ISNUMBER(HLOOKUP(O$1,Home!$D$9:$Y$84,$U31,FALSE)),HLOOKUP(O$1,Home!$D$9:$Y$84,$U31,FALSE),NA())</f>
        <v>6.5040650406504072E-2</v>
      </c>
      <c r="P31" s="743">
        <f>IF(ISNUMBER(HLOOKUP(P$1,Home!$D$9:$Y$84,$U31,FALSE)),HLOOKUP(P$1,Home!$D$9:$Y$84,$U31,FALSE),NA())</f>
        <v>8.1927710843373497E-2</v>
      </c>
      <c r="Q31" s="743">
        <f>IF(ISNUMBER(HLOOKUP(Q$1,Home!$D$9:$Y$84,$U31,FALSE)),HLOOKUP(Q$1,Home!$D$9:$Y$84,$U31,FALSE),NA())</f>
        <v>3.7463976945244955E-2</v>
      </c>
      <c r="R31" s="743">
        <f>IF(ISNUMBER(HLOOKUP(R$1,Home!$D$9:$Y$84,$U31,FALSE)),HLOOKUP(R$1,Home!$D$9:$Y$84,$U31,FALSE),NA())</f>
        <v>1.5300546448087432E-2</v>
      </c>
      <c r="S31" s="743" t="e">
        <f>IF(ISNUMBER(HLOOKUP(S$1,Home!$D$9:$Y$84,$U31,FALSE)),HLOOKUP(S$1,Home!$D$9:$Y$84,$U31,FALSE),NA())</f>
        <v>#N/A</v>
      </c>
      <c r="T31" s="743">
        <f>IF(ISNUMBER(HLOOKUP(T$1,Home!$D$9:$Y$84,$U31,FALSE)),HLOOKUP(T$1,Home!$D$9:$Y$84,$U31,FALSE),NA())</f>
        <v>5.0955414012738856E-2</v>
      </c>
      <c r="U31" s="740">
        <f>VLOOKUP(A31,Home!C:AU,45,FALSE)</f>
        <v>38</v>
      </c>
      <c r="V31" s="745">
        <f t="array" ref="V31">SLOPE(IF(ISNA($B31:$T31),"",$B31:$T31),IF(ISNA($B$2:$T$2),"",$B$2:$T$2))</f>
        <v>-1.7440731955771057E-4</v>
      </c>
      <c r="W31" s="745">
        <f t="array" ref="W31">INTERCEPT(IF(ISNA($B31:$T31),"",$B31:$T31),IF(ISNA($B$2:$T$2),"",$B$2:$T$2))</f>
        <v>5.0012412440512632E-2</v>
      </c>
      <c r="X31" s="745">
        <f t="array" ref="X31">RSQ(IF(ISNA($B31:$T31),"",$B31:$T31),IF(ISNA($B$2:$T$2),"",$B$2:$T$2))</f>
        <v>1.422070231087781E-3</v>
      </c>
    </row>
    <row r="32" spans="1:24" ht="24">
      <c r="A32" s="742" t="str">
        <f>Home!C47</f>
        <v>% of children who became the subject of a CP Plan for a second or subsequent time in Year ending 31st March</v>
      </c>
      <c r="B32" s="743">
        <f>IF(ISNUMBER(HLOOKUP(B$1,Home!$D$9:$Y$84,$U32,FALSE)),HLOOKUP(B$1,Home!$D$9:$Y$84,$U32,FALSE),NA())</f>
        <v>0.23529411764705882</v>
      </c>
      <c r="C32" s="743">
        <f>IF(ISNUMBER(HLOOKUP(C$1,Home!$D$9:$Y$84,$U32,FALSE)),HLOOKUP(C$1,Home!$D$9:$Y$84,$U32,FALSE),NA())</f>
        <v>0.24210526315789474</v>
      </c>
      <c r="D32" s="743">
        <f>IF(ISNUMBER(HLOOKUP(D$1,Home!$D$9:$Y$84,$U32,FALSE)),HLOOKUP(D$1,Home!$D$9:$Y$84,$U32,FALSE),NA())</f>
        <v>0.28413284132841327</v>
      </c>
      <c r="E32" s="743">
        <f>IF(ISNUMBER(HLOOKUP(E$1,Home!$D$9:$Y$84,$U32,FALSE)),HLOOKUP(E$1,Home!$D$9:$Y$84,$U32,FALSE),NA())</f>
        <v>0.26962962962962961</v>
      </c>
      <c r="F32" s="743" t="e">
        <f>IF(ISNUMBER(HLOOKUP(F$1,Home!$D$9:$Y$84,$U32,FALSE)),HLOOKUP(F$1,Home!$D$9:$Y$84,$U32,FALSE),NA())</f>
        <v>#N/A</v>
      </c>
      <c r="G32" s="743">
        <f>IF(ISNUMBER(HLOOKUP(G$1,Home!$D$9:$Y$84,$U32,FALSE)),HLOOKUP(G$1,Home!$D$9:$Y$84,$U32,FALSE),NA())</f>
        <v>0.19313304721030042</v>
      </c>
      <c r="H32" s="743">
        <f>IF(ISNUMBER(HLOOKUP(H$1,Home!$D$9:$Y$84,$U32,FALSE)),HLOOKUP(H$1,Home!$D$9:$Y$84,$U32,FALSE),NA())</f>
        <v>0.19792438843587842</v>
      </c>
      <c r="I32" s="743">
        <f>IF(ISNUMBER(HLOOKUP(I$1,Home!$D$9:$Y$84,$U32,FALSE)),HLOOKUP(I$1,Home!$D$9:$Y$84,$U32,FALSE),NA())</f>
        <v>0.26493506493506491</v>
      </c>
      <c r="J32" s="743">
        <f>IF(ISNUMBER(HLOOKUP(J$1,Home!$D$9:$Y$84,$U32,FALSE)),HLOOKUP(J$1,Home!$D$9:$Y$84,$U32,FALSE),NA())</f>
        <v>0.23076923076923078</v>
      </c>
      <c r="K32" s="743">
        <f>IF(ISNUMBER(HLOOKUP(K$1,Home!$D$9:$Y$84,$U32,FALSE)),HLOOKUP(K$1,Home!$D$9:$Y$84,$U32,FALSE),NA())</f>
        <v>0.27586206896551724</v>
      </c>
      <c r="L32" s="743">
        <f>IF(ISNUMBER(HLOOKUP(L$1,Home!$D$9:$Y$84,$U32,FALSE)),HLOOKUP(L$1,Home!$D$9:$Y$84,$U32,FALSE),NA())</f>
        <v>0.29836065573770493</v>
      </c>
      <c r="M32" s="743">
        <f>IF(ISNUMBER(HLOOKUP(M$1,Home!$D$9:$Y$84,$U32,FALSE)),HLOOKUP(M$1,Home!$D$9:$Y$84,$U32,FALSE),NA())</f>
        <v>0.30038022813688214</v>
      </c>
      <c r="N32" s="743">
        <f>IF(ISNUMBER(HLOOKUP(N$1,Home!$D$9:$Y$84,$U32,FALSE)),HLOOKUP(N$1,Home!$D$9:$Y$84,$U32,FALSE),NA())</f>
        <v>0.19691119691119691</v>
      </c>
      <c r="O32" s="743">
        <f>IF(ISNUMBER(HLOOKUP(O$1,Home!$D$9:$Y$84,$U32,FALSE)),HLOOKUP(O$1,Home!$D$9:$Y$84,$U32,FALSE),NA())</f>
        <v>0.29268292682926828</v>
      </c>
      <c r="P32" s="743">
        <f>IF(ISNUMBER(HLOOKUP(P$1,Home!$D$9:$Y$84,$U32,FALSE)),HLOOKUP(P$1,Home!$D$9:$Y$84,$U32,FALSE),NA())</f>
        <v>0.29337539432176657</v>
      </c>
      <c r="Q32" s="743">
        <f>IF(ISNUMBER(HLOOKUP(Q$1,Home!$D$9:$Y$84,$U32,FALSE)),HLOOKUP(Q$1,Home!$D$9:$Y$84,$U32,FALSE),NA())</f>
        <v>0.30392156862745096</v>
      </c>
      <c r="R32" s="743">
        <f>IF(ISNUMBER(HLOOKUP(R$1,Home!$D$9:$Y$84,$U32,FALSE)),HLOOKUP(R$1,Home!$D$9:$Y$84,$U32,FALSE),NA())</f>
        <v>0.25837320574162681</v>
      </c>
      <c r="S32" s="743">
        <f>IF(ISNUMBER(HLOOKUP(S$1,Home!$D$9:$Y$84,$U32,FALSE)),HLOOKUP(S$1,Home!$D$9:$Y$84,$U32,FALSE),NA())</f>
        <v>0.30158730158730157</v>
      </c>
      <c r="T32" s="743">
        <f>IF(ISNUMBER(HLOOKUP(T$1,Home!$D$9:$Y$84,$U32,FALSE)),HLOOKUP(T$1,Home!$D$9:$Y$84,$U32,FALSE),NA())</f>
        <v>0.216</v>
      </c>
      <c r="U32" s="740">
        <f>VLOOKUP(A32,Home!C:AU,45,FALSE)</f>
        <v>39</v>
      </c>
      <c r="V32" s="745">
        <f t="array" ref="V32">SLOPE(IF(ISNA($B32:$T32),"",$B32:$T32),IF(ISNA($B$2:$T$2),"",$B$2:$T$2))</f>
        <v>-8.7149140797085638E-4</v>
      </c>
      <c r="W32" s="745">
        <f t="array" ref="W32">INTERCEPT(IF(ISNA($B32:$T32),"",$B32:$T32),IF(ISNA($B$2:$T$2),"",$B$2:$T$2))</f>
        <v>0.27016969624953563</v>
      </c>
      <c r="X32" s="745">
        <f t="array" ref="X32">RSQ(IF(ISNA($B32:$T32),"",$B32:$T32),IF(ISNA($B$2:$T$2),"",$B$2:$T$2))</f>
        <v>1.1441536487771249E-2</v>
      </c>
    </row>
    <row r="33" spans="1:24" ht="24">
      <c r="A33" s="742" t="str">
        <f>Home!C48</f>
        <v>Number of Care Applications to Court during the Year ending 31st March, Rate per 10,000 0-17 Year Olds</v>
      </c>
      <c r="B33" s="743">
        <f>IF(ISNUMBER(HLOOKUP(B$1,Home!$D$9:$Y$84,$U33,FALSE)),HLOOKUP(B$1,Home!$D$9:$Y$84,$U33,FALSE),NA())</f>
        <v>5.9343037665375089</v>
      </c>
      <c r="C33" s="743">
        <f>IF(ISNUMBER(HLOOKUP(C$1,Home!$D$9:$Y$84,$U33,FALSE)),HLOOKUP(C$1,Home!$D$9:$Y$84,$U33,FALSE),NA())</f>
        <v>9.6429948999271424</v>
      </c>
      <c r="D33" s="743">
        <f>IF(ISNUMBER(HLOOKUP(D$1,Home!$D$9:$Y$84,$U33,FALSE)),HLOOKUP(D$1,Home!$D$9:$Y$84,$U33,FALSE),NA())</f>
        <v>6.0337261785356064</v>
      </c>
      <c r="E33" s="743">
        <f>IF(ISNUMBER(HLOOKUP(E$1,Home!$D$9:$Y$84,$U33,FALSE)),HLOOKUP(E$1,Home!$D$9:$Y$84,$U33,FALSE),NA())</f>
        <v>6.7563654614597608</v>
      </c>
      <c r="F33" s="743">
        <f>IF(ISNUMBER(HLOOKUP(F$1,Home!$D$9:$Y$84,$U33,FALSE)),HLOOKUP(F$1,Home!$D$9:$Y$84,$U33,FALSE),NA())</f>
        <v>7.7728370855362208</v>
      </c>
      <c r="G33" s="743">
        <f>IF(ISNUMBER(HLOOKUP(G$1,Home!$D$9:$Y$84,$U33,FALSE)),HLOOKUP(G$1,Home!$D$9:$Y$84,$U33,FALSE),NA())</f>
        <v>13.226384503797252</v>
      </c>
      <c r="H33" s="743">
        <f>IF(ISNUMBER(HLOOKUP(H$1,Home!$D$9:$Y$84,$U33,FALSE)),HLOOKUP(H$1,Home!$D$9:$Y$84,$U33,FALSE),NA())</f>
        <v>5.8851899911578611</v>
      </c>
      <c r="I33" s="743">
        <f>IF(ISNUMBER(HLOOKUP(I$1,Home!$D$9:$Y$84,$U33,FALSE)),HLOOKUP(I$1,Home!$D$9:$Y$84,$U33,FALSE),NA())</f>
        <v>10.046935684616193</v>
      </c>
      <c r="J33" s="743">
        <f>IF(ISNUMBER(HLOOKUP(J$1,Home!$D$9:$Y$84,$U33,FALSE)),HLOOKUP(J$1,Home!$D$9:$Y$84,$U33,FALSE),NA())</f>
        <v>12.225778534829733</v>
      </c>
      <c r="K33" s="743">
        <f>IF(ISNUMBER(HLOOKUP(K$1,Home!$D$9:$Y$84,$U33,FALSE)),HLOOKUP(K$1,Home!$D$9:$Y$84,$U33,FALSE),NA())</f>
        <v>5.1801580276056516</v>
      </c>
      <c r="L33" s="743">
        <f>IF(ISNUMBER(HLOOKUP(L$1,Home!$D$9:$Y$84,$U33,FALSE)),HLOOKUP(L$1,Home!$D$9:$Y$84,$U33,FALSE),NA())</f>
        <v>14.654785260122438</v>
      </c>
      <c r="M33" s="743">
        <f>IF(ISNUMBER(HLOOKUP(M$1,Home!$D$9:$Y$84,$U33,FALSE)),HLOOKUP(M$1,Home!$D$9:$Y$84,$U33,FALSE),NA())</f>
        <v>14.23712726409871</v>
      </c>
      <c r="N33" s="743">
        <f>IF(ISNUMBER(HLOOKUP(N$1,Home!$D$9:$Y$84,$U33,FALSE)),HLOOKUP(N$1,Home!$D$9:$Y$84,$U33,FALSE),NA())</f>
        <v>5.5742602956587666</v>
      </c>
      <c r="O33" s="743">
        <f>IF(ISNUMBER(HLOOKUP(O$1,Home!$D$9:$Y$84,$U33,FALSE)),HLOOKUP(O$1,Home!$D$9:$Y$84,$U33,FALSE),NA())</f>
        <v>8.7348381077164348</v>
      </c>
      <c r="P33" s="743">
        <f>IF(ISNUMBER(HLOOKUP(P$1,Home!$D$9:$Y$84,$U33,FALSE)),HLOOKUP(P$1,Home!$D$9:$Y$84,$U33,FALSE),NA())</f>
        <v>4.2533650516426267</v>
      </c>
      <c r="Q33" s="743">
        <f>IF(ISNUMBER(HLOOKUP(Q$1,Home!$D$9:$Y$84,$U33,FALSE)),HLOOKUP(Q$1,Home!$D$9:$Y$84,$U33,FALSE),NA())</f>
        <v>9.624911535739562</v>
      </c>
      <c r="R33" s="743">
        <f>IF(ISNUMBER(HLOOKUP(R$1,Home!$D$9:$Y$84,$U33,FALSE)),HLOOKUP(R$1,Home!$D$9:$Y$84,$U33,FALSE),NA())</f>
        <v>7.5415623882731495</v>
      </c>
      <c r="S33" s="743">
        <f>IF(ISNUMBER(HLOOKUP(S$1,Home!$D$9:$Y$84,$U33,FALSE)),HLOOKUP(S$1,Home!$D$9:$Y$84,$U33,FALSE),NA())</f>
        <v>8.7512032904524375</v>
      </c>
      <c r="T33" s="743">
        <f>IF(ISNUMBER(HLOOKUP(T$1,Home!$D$9:$Y$84,$U33,FALSE)),HLOOKUP(T$1,Home!$D$9:$Y$84,$U33,FALSE),NA())</f>
        <v>6.6952948238444847</v>
      </c>
      <c r="U33" s="740">
        <f>VLOOKUP(A33,Home!C:AU,45,FALSE)</f>
        <v>40</v>
      </c>
      <c r="V33" s="745">
        <f t="array" ref="V33">SLOPE(IF(ISNA($B33:$T33),"",$B33:$T33),IF(ISNA($B$2:$T$2),"",$B$2:$T$2))</f>
        <v>0.37686797670398936</v>
      </c>
      <c r="W33" s="745">
        <f t="array" ref="W33">INTERCEPT(IF(ISNA($B33:$T33),"",$B33:$T33),IF(ISNA($B$2:$T$2),"",$B$2:$T$2))</f>
        <v>3.6398956178042416</v>
      </c>
      <c r="X33" s="745">
        <f t="array" ref="X33">RSQ(IF(ISNA($B33:$T33),"",$B33:$T33),IF(ISNA($B$2:$T$2),"",$B$2:$T$2))</f>
        <v>0.32066225179319086</v>
      </c>
    </row>
    <row r="34" spans="1:24" ht="36">
      <c r="A34" s="742" t="str">
        <f>Home!C49</f>
        <v>Number of Children subject to Care Applications to Court during the Year ending 31st March, Rate per 10,000 0-17 Year Olds</v>
      </c>
      <c r="B34" s="743">
        <f>IF(ISNUMBER(HLOOKUP(B$1,Home!$D$9:$Y$84,$U34,FALSE)),HLOOKUP(B$1,Home!$D$9:$Y$84,$U34,FALSE),NA())</f>
        <v>7.6796872272838339</v>
      </c>
      <c r="C34" s="743">
        <f>IF(ISNUMBER(HLOOKUP(C$1,Home!$D$9:$Y$84,$U34,FALSE)),HLOOKUP(C$1,Home!$D$9:$Y$84,$U34,FALSE),NA())</f>
        <v>18.000257146530664</v>
      </c>
      <c r="D34" s="743">
        <f>IF(ISNUMBER(HLOOKUP(D$1,Home!$D$9:$Y$84,$U34,FALSE)),HLOOKUP(D$1,Home!$D$9:$Y$84,$U34,FALSE),NA())</f>
        <v>10.265170511534604</v>
      </c>
      <c r="E34" s="743">
        <f>IF(ISNUMBER(HLOOKUP(E$1,Home!$D$9:$Y$84,$U34,FALSE)),HLOOKUP(E$1,Home!$D$9:$Y$84,$U34,FALSE),NA())</f>
        <v>11.77537980425844</v>
      </c>
      <c r="F34" s="743">
        <f>IF(ISNUMBER(HLOOKUP(F$1,Home!$D$9:$Y$84,$U34,FALSE)),HLOOKUP(F$1,Home!$D$9:$Y$84,$U34,FALSE),NA())</f>
        <v>12.954728475893702</v>
      </c>
      <c r="G34" s="743">
        <f>IF(ISNUMBER(HLOOKUP(G$1,Home!$D$9:$Y$84,$U34,FALSE)),HLOOKUP(G$1,Home!$D$9:$Y$84,$U34,FALSE),NA())</f>
        <v>22.186193361208293</v>
      </c>
      <c r="H34" s="743">
        <f>IF(ISNUMBER(HLOOKUP(H$1,Home!$D$9:$Y$84,$U34,FALSE)),HLOOKUP(H$1,Home!$D$9:$Y$84,$U34,FALSE),NA())</f>
        <v>9.1866380349781238</v>
      </c>
      <c r="I34" s="743">
        <f>IF(ISNUMBER(HLOOKUP(I$1,Home!$D$9:$Y$84,$U34,FALSE)),HLOOKUP(I$1,Home!$D$9:$Y$84,$U34,FALSE),NA())</f>
        <v>16.794877562343483</v>
      </c>
      <c r="J34" s="743">
        <f>IF(ISNUMBER(HLOOKUP(J$1,Home!$D$9:$Y$84,$U34,FALSE)),HLOOKUP(J$1,Home!$D$9:$Y$84,$U34,FALSE),NA())</f>
        <v>21.017349616055608</v>
      </c>
      <c r="K34" s="743">
        <f>IF(ISNUMBER(HLOOKUP(K$1,Home!$D$9:$Y$84,$U34,FALSE)),HLOOKUP(K$1,Home!$D$9:$Y$84,$U34,FALSE),NA())</f>
        <v>7.6718796105045737</v>
      </c>
      <c r="L34" s="743">
        <f>IF(ISNUMBER(HLOOKUP(L$1,Home!$D$9:$Y$84,$U34,FALSE)),HLOOKUP(L$1,Home!$D$9:$Y$84,$U34,FALSE),NA())</f>
        <v>25.76405795731203</v>
      </c>
      <c r="M34" s="743">
        <f>IF(ISNUMBER(HLOOKUP(M$1,Home!$D$9:$Y$84,$U34,FALSE)),HLOOKUP(M$1,Home!$D$9:$Y$84,$U34,FALSE),NA())</f>
        <v>22.673943420601653</v>
      </c>
      <c r="N34" s="743">
        <f>IF(ISNUMBER(HLOOKUP(N$1,Home!$D$9:$Y$84,$U34,FALSE)),HLOOKUP(N$1,Home!$D$9:$Y$84,$U34,FALSE),NA())</f>
        <v>8.2499052375749731</v>
      </c>
      <c r="O34" s="743">
        <f>IF(ISNUMBER(HLOOKUP(O$1,Home!$D$9:$Y$84,$U34,FALSE)),HLOOKUP(O$1,Home!$D$9:$Y$84,$U34,FALSE),NA())</f>
        <v>14.293371448990529</v>
      </c>
      <c r="P34" s="743">
        <f>IF(ISNUMBER(HLOOKUP(P$1,Home!$D$9:$Y$84,$U34,FALSE)),HLOOKUP(P$1,Home!$D$9:$Y$84,$U34,FALSE),NA())</f>
        <v>6.5870697702430068</v>
      </c>
      <c r="Q34" s="743">
        <f>IF(ISNUMBER(HLOOKUP(Q$1,Home!$D$9:$Y$84,$U34,FALSE)),HLOOKUP(Q$1,Home!$D$9:$Y$84,$U34,FALSE),NA())</f>
        <v>18.117480537862704</v>
      </c>
      <c r="R34" s="743">
        <f>IF(ISNUMBER(HLOOKUP(R$1,Home!$D$9:$Y$84,$U34,FALSE)),HLOOKUP(R$1,Home!$D$9:$Y$84,$U34,FALSE),NA())</f>
        <v>11.843046120843763</v>
      </c>
      <c r="S34" s="743">
        <f>IF(ISNUMBER(HLOOKUP(S$1,Home!$D$9:$Y$84,$U34,FALSE)),HLOOKUP(S$1,Home!$D$9:$Y$84,$U34,FALSE),NA())</f>
        <v>14.585338817420729</v>
      </c>
      <c r="T34" s="743">
        <f>IF(ISNUMBER(HLOOKUP(T$1,Home!$D$9:$Y$84,$U34,FALSE)),HLOOKUP(T$1,Home!$D$9:$Y$84,$U34,FALSE),NA())</f>
        <v>10.850995059334164</v>
      </c>
      <c r="U34" s="740">
        <f>VLOOKUP(A34,Home!C:AU,45,FALSE)</f>
        <v>41</v>
      </c>
      <c r="V34" s="745">
        <f t="array" ref="V34">SLOPE(IF(ISNA($B34:$T34),"",$B34:$T34),IF(ISNA($B$2:$T$2),"",$B$2:$T$2))</f>
        <v>0.67177987362878133</v>
      </c>
      <c r="W34" s="745">
        <f t="array" ref="W34">INTERCEPT(IF(ISNA($B34:$T34),"",$B34:$T34),IF(ISNA($B$2:$T$2),"",$B$2:$T$2))</f>
        <v>5.4540657427045041</v>
      </c>
      <c r="X34" s="745">
        <f t="array" ref="X34">RSQ(IF(ISNA($B34:$T34),"",$B34:$T34),IF(ISNA($B$2:$T$2),"",$B$2:$T$2))</f>
        <v>0.30250136373610781</v>
      </c>
    </row>
    <row r="35" spans="1:24" ht="24">
      <c r="A35" s="742" t="str">
        <f>Home!C50</f>
        <v>Children who were Looked After at 31st March, Rate per 10,000 0-17 Year Olds</v>
      </c>
      <c r="B35" s="743">
        <f>IF(ISNUMBER(HLOOKUP(B$1,Home!$D$9:$Y$84,$U35,FALSE)),HLOOKUP(B$1,Home!$D$9:$Y$84,$U35,FALSE),NA())</f>
        <v>48.870736900897121</v>
      </c>
      <c r="C35" s="743">
        <f>IF(ISNUMBER(HLOOKUP(C$1,Home!$D$9:$Y$84,$U35,FALSE)),HLOOKUP(C$1,Home!$D$9:$Y$84,$U35,FALSE),NA())</f>
        <v>75.858226546093519</v>
      </c>
      <c r="D35" s="743">
        <f>IF(ISNUMBER(HLOOKUP(D$1,Home!$D$9:$Y$84,$U35,FALSE)),HLOOKUP(D$1,Home!$D$9:$Y$84,$U35,FALSE),NA())</f>
        <v>40.98232196589769</v>
      </c>
      <c r="E35" s="743">
        <f>IF(ISNUMBER(HLOOKUP(E$1,Home!$D$9:$Y$84,$U35,FALSE)),HLOOKUP(E$1,Home!$D$9:$Y$84,$U35,FALSE),NA())</f>
        <v>63.413315831129474</v>
      </c>
      <c r="F35" s="743">
        <f>IF(ISNUMBER(HLOOKUP(F$1,Home!$D$9:$Y$84,$U35,FALSE)),HLOOKUP(F$1,Home!$D$9:$Y$84,$U35,FALSE),NA())</f>
        <v>67.119498616995202</v>
      </c>
      <c r="G35" s="743">
        <f>IF(ISNUMBER(HLOOKUP(G$1,Home!$D$9:$Y$84,$U35,FALSE)),HLOOKUP(G$1,Home!$D$9:$Y$84,$U35,FALSE),NA())</f>
        <v>119.03746053417527</v>
      </c>
      <c r="H35" s="743">
        <f>IF(ISNUMBER(HLOOKUP(H$1,Home!$D$9:$Y$84,$U35,FALSE)),HLOOKUP(H$1,Home!$D$9:$Y$84,$U35,FALSE),NA())</f>
        <v>56.268157964241013</v>
      </c>
      <c r="I35" s="743">
        <f>IF(ISNUMBER(HLOOKUP(I$1,Home!$D$9:$Y$84,$U35,FALSE)),HLOOKUP(I$1,Home!$D$9:$Y$84,$U35,FALSE),NA())</f>
        <v>71.378229639959812</v>
      </c>
      <c r="J35" s="743">
        <f>IF(ISNUMBER(HLOOKUP(J$1,Home!$D$9:$Y$84,$U35,FALSE)),HLOOKUP(J$1,Home!$D$9:$Y$84,$U35,FALSE),NA())</f>
        <v>56.321002239103265</v>
      </c>
      <c r="K35" s="743">
        <f>IF(ISNUMBER(HLOOKUP(K$1,Home!$D$9:$Y$84,$U35,FALSE)),HLOOKUP(K$1,Home!$D$9:$Y$84,$U35,FALSE),NA())</f>
        <v>50.490147864004456</v>
      </c>
      <c r="L35" s="743">
        <f>IF(ISNUMBER(HLOOKUP(L$1,Home!$D$9:$Y$84,$U35,FALSE)),HLOOKUP(L$1,Home!$D$9:$Y$84,$U35,FALSE),NA())</f>
        <v>95.019736686600325</v>
      </c>
      <c r="M35" s="743">
        <f>IF(ISNUMBER(HLOOKUP(M$1,Home!$D$9:$Y$84,$U35,FALSE)),HLOOKUP(M$1,Home!$D$9:$Y$84,$U35,FALSE),NA())</f>
        <v>70.131034300930679</v>
      </c>
      <c r="N35" s="743">
        <f>IF(ISNUMBER(HLOOKUP(N$1,Home!$D$9:$Y$84,$U35,FALSE)),HLOOKUP(N$1,Home!$D$9:$Y$84,$U35,FALSE),NA())</f>
        <v>44.817052777096478</v>
      </c>
      <c r="O35" s="743">
        <f>IF(ISNUMBER(HLOOKUP(O$1,Home!$D$9:$Y$84,$U35,FALSE)),HLOOKUP(O$1,Home!$D$9:$Y$84,$U35,FALSE),NA())</f>
        <v>96.877295376491375</v>
      </c>
      <c r="P35" s="743">
        <f>IF(ISNUMBER(HLOOKUP(P$1,Home!$D$9:$Y$84,$U35,FALSE)),HLOOKUP(P$1,Home!$D$9:$Y$84,$U35,FALSE),NA())</f>
        <v>36.247703935680086</v>
      </c>
      <c r="Q35" s="743">
        <f>IF(ISNUMBER(HLOOKUP(Q$1,Home!$D$9:$Y$84,$U35,FALSE)),HLOOKUP(Q$1,Home!$D$9:$Y$84,$U35,FALSE),NA())</f>
        <v>52.937013446567583</v>
      </c>
      <c r="R35" s="743">
        <f>IF(ISNUMBER(HLOOKUP(R$1,Home!$D$9:$Y$84,$U35,FALSE)),HLOOKUP(R$1,Home!$D$9:$Y$84,$U35,FALSE),NA())</f>
        <v>50.612263139077584</v>
      </c>
      <c r="S35" s="743">
        <f>IF(ISNUMBER(HLOOKUP(S$1,Home!$D$9:$Y$84,$U35,FALSE)),HLOOKUP(S$1,Home!$D$9:$Y$84,$U35,FALSE),NA())</f>
        <v>40.838948688778039</v>
      </c>
      <c r="T35" s="743">
        <f>IF(ISNUMBER(HLOOKUP(T$1,Home!$D$9:$Y$84,$U35,FALSE)),HLOOKUP(T$1,Home!$D$9:$Y$84,$U35,FALSE),NA())</f>
        <v>31.629496236782565</v>
      </c>
      <c r="U35" s="740">
        <f>VLOOKUP(A35,Home!C:AU,45,FALSE)</f>
        <v>42</v>
      </c>
      <c r="V35" s="745">
        <f t="array" ref="V35">SLOPE(IF(ISNA($B35:$T35),"",$B35:$T35),IF(ISNA($B$2:$T$2),"",$B$2:$T$2))</f>
        <v>3.8872573309196405</v>
      </c>
      <c r="W35" s="745">
        <f t="array" ref="W35">INTERCEPT(IF(ISNA($B35:$T35),"",$B35:$T35),IF(ISNA($B$2:$T$2),"",$B$2:$T$2))</f>
        <v>10.697627457371752</v>
      </c>
      <c r="X35" s="745">
        <f t="array" ref="X35">RSQ(IF(ISNA($B35:$T35),"",$B35:$T35),IF(ISNA($B$2:$T$2),"",$B$2:$T$2))</f>
        <v>0.65010435259257626</v>
      </c>
    </row>
    <row r="36" spans="1:24" ht="24">
      <c r="A36" s="742" t="str">
        <f>Home!C51</f>
        <v>% Children Looked After at 31st March (age &lt;16) who had been looked after for more than 2.5 years</v>
      </c>
      <c r="B36" s="743">
        <f>IF(ISNUMBER(HLOOKUP(B$1,Home!$D$9:$Y$84,$U36,FALSE)),HLOOKUP(B$1,Home!$D$9:$Y$84,$U36,FALSE),NA())</f>
        <v>0.47368421052631576</v>
      </c>
      <c r="C36" s="743">
        <f>IF(ISNUMBER(HLOOKUP(C$1,Home!$D$9:$Y$84,$U36,FALSE)),HLOOKUP(C$1,Home!$D$9:$Y$84,$U36,FALSE),NA())</f>
        <v>0.49789029535864981</v>
      </c>
      <c r="D36" s="743">
        <f>IF(ISNUMBER(HLOOKUP(D$1,Home!$D$9:$Y$84,$U36,FALSE)),HLOOKUP(D$1,Home!$D$9:$Y$84,$U36,FALSE),NA())</f>
        <v>0.40793201133144474</v>
      </c>
      <c r="E36" s="743">
        <f>IF(ISNUMBER(HLOOKUP(E$1,Home!$D$9:$Y$84,$U36,FALSE)),HLOOKUP(E$1,Home!$D$9:$Y$84,$U36,FALSE),NA())</f>
        <v>0.50627615062761511</v>
      </c>
      <c r="F36" s="743">
        <f>IF(ISNUMBER(HLOOKUP(F$1,Home!$D$9:$Y$84,$U36,FALSE)),HLOOKUP(F$1,Home!$D$9:$Y$84,$U36,FALSE),NA())</f>
        <v>0.50112866817155755</v>
      </c>
      <c r="G36" s="743">
        <f>IF(ISNUMBER(HLOOKUP(G$1,Home!$D$9:$Y$84,$U36,FALSE)),HLOOKUP(G$1,Home!$D$9:$Y$84,$U36,FALSE),NA())</f>
        <v>0.52631578947368418</v>
      </c>
      <c r="H36" s="743">
        <f>IF(ISNUMBER(HLOOKUP(H$1,Home!$D$9:$Y$84,$U36,FALSE)),HLOOKUP(H$1,Home!$D$9:$Y$84,$U36,FALSE),NA())</f>
        <v>0.39506172839506171</v>
      </c>
      <c r="I36" s="743">
        <f>IF(ISNUMBER(HLOOKUP(I$1,Home!$D$9:$Y$84,$U36,FALSE)),HLOOKUP(I$1,Home!$D$9:$Y$84,$U36,FALSE),NA())</f>
        <v>0.47814207650273222</v>
      </c>
      <c r="J36" s="743">
        <f>IF(ISNUMBER(HLOOKUP(J$1,Home!$D$9:$Y$84,$U36,FALSE)),HLOOKUP(J$1,Home!$D$9:$Y$84,$U36,FALSE),NA())</f>
        <v>0.34527687296416937</v>
      </c>
      <c r="K36" s="743">
        <f>IF(ISNUMBER(HLOOKUP(K$1,Home!$D$9:$Y$84,$U36,FALSE)),HLOOKUP(K$1,Home!$D$9:$Y$84,$U36,FALSE),NA())</f>
        <v>0.54761904761904767</v>
      </c>
      <c r="L36" s="743">
        <f>IF(ISNUMBER(HLOOKUP(L$1,Home!$D$9:$Y$84,$U36,FALSE)),HLOOKUP(L$1,Home!$D$9:$Y$84,$U36,FALSE),NA())</f>
        <v>0.45608108108108109</v>
      </c>
      <c r="M36" s="743">
        <f>IF(ISNUMBER(HLOOKUP(M$1,Home!$D$9:$Y$84,$U36,FALSE)),HLOOKUP(M$1,Home!$D$9:$Y$84,$U36,FALSE),NA())</f>
        <v>0.50515463917525771</v>
      </c>
      <c r="N36" s="743">
        <f>IF(ISNUMBER(HLOOKUP(N$1,Home!$D$9:$Y$84,$U36,FALSE)),HLOOKUP(N$1,Home!$D$9:$Y$84,$U36,FALSE),NA())</f>
        <v>0.43307086614173229</v>
      </c>
      <c r="O36" s="743">
        <f>IF(ISNUMBER(HLOOKUP(O$1,Home!$D$9:$Y$84,$U36,FALSE)),HLOOKUP(O$1,Home!$D$9:$Y$84,$U36,FALSE),NA())</f>
        <v>0.54415954415954415</v>
      </c>
      <c r="P36" s="743">
        <f>IF(ISNUMBER(HLOOKUP(P$1,Home!$D$9:$Y$84,$U36,FALSE)),HLOOKUP(P$1,Home!$D$9:$Y$84,$U36,FALSE),NA())</f>
        <v>0.51060606060606062</v>
      </c>
      <c r="Q36" s="743">
        <f>IF(ISNUMBER(HLOOKUP(Q$1,Home!$D$9:$Y$84,$U36,FALSE)),HLOOKUP(Q$1,Home!$D$9:$Y$84,$U36,FALSE),NA())</f>
        <v>0.38461538461538464</v>
      </c>
      <c r="R36" s="743">
        <f>IF(ISNUMBER(HLOOKUP(R$1,Home!$D$9:$Y$84,$U36,FALSE)),HLOOKUP(R$1,Home!$D$9:$Y$84,$U36,FALSE),NA())</f>
        <v>0.43217665615141954</v>
      </c>
      <c r="S36" s="743">
        <f>IF(ISNUMBER(HLOOKUP(S$1,Home!$D$9:$Y$84,$U36,FALSE)),HLOOKUP(S$1,Home!$D$9:$Y$84,$U36,FALSE),NA())</f>
        <v>0.37254901960784315</v>
      </c>
      <c r="T36" s="743">
        <f>IF(ISNUMBER(HLOOKUP(T$1,Home!$D$9:$Y$84,$U36,FALSE)),HLOOKUP(T$1,Home!$D$9:$Y$84,$U36,FALSE),NA())</f>
        <v>0.35365853658536583</v>
      </c>
      <c r="U36" s="740">
        <f>VLOOKUP(A36,Home!C:AU,45,FALSE)</f>
        <v>43</v>
      </c>
      <c r="V36" s="745">
        <f t="array" ref="V36">SLOPE(IF(ISNA($B36:$T36),"",$B36:$T36),IF(ISNA($B$2:$T$2),"",$B$2:$T$2))</f>
        <v>5.6100996729842026E-3</v>
      </c>
      <c r="W36" s="745">
        <f t="array" ref="W36">INTERCEPT(IF(ISNA($B36:$T36),"",$B36:$T36),IF(ISNA($B$2:$T$2),"",$B$2:$T$2))</f>
        <v>0.38304473054340482</v>
      </c>
      <c r="X36" s="745">
        <f t="array" ref="X36">RSQ(IF(ISNA($B36:$T36),"",$B36:$T36),IF(ISNA($B$2:$T$2),"",$B$2:$T$2))</f>
        <v>0.1663849061627567</v>
      </c>
    </row>
    <row r="37" spans="1:24" ht="24">
      <c r="A37" s="742" t="str">
        <f>Home!C52</f>
        <v>Children Looked After for more than 2.5 years living in the same placement for at least 2 years</v>
      </c>
      <c r="B37" s="743">
        <f>IF(ISNUMBER(HLOOKUP(B$1,Home!$D$9:$Y$84,$U37,FALSE)),HLOOKUP(B$1,Home!$D$9:$Y$84,$U37,FALSE),NA())</f>
        <v>0.63888888888888884</v>
      </c>
      <c r="C37" s="743">
        <f>IF(ISNUMBER(HLOOKUP(C$1,Home!$D$9:$Y$84,$U37,FALSE)),HLOOKUP(C$1,Home!$D$9:$Y$84,$U37,FALSE),NA())</f>
        <v>0.76271186440677963</v>
      </c>
      <c r="D37" s="743">
        <f>IF(ISNUMBER(HLOOKUP(D$1,Home!$D$9:$Y$84,$U37,FALSE)),HLOOKUP(D$1,Home!$D$9:$Y$84,$U37,FALSE),NA())</f>
        <v>0.66666666666666663</v>
      </c>
      <c r="E37" s="743">
        <f>IF(ISNUMBER(HLOOKUP(E$1,Home!$D$9:$Y$84,$U37,FALSE)),HLOOKUP(E$1,Home!$D$9:$Y$84,$U37,FALSE),NA())</f>
        <v>0.66942148760330578</v>
      </c>
      <c r="F37" s="743">
        <f>IF(ISNUMBER(HLOOKUP(F$1,Home!$D$9:$Y$84,$U37,FALSE)),HLOOKUP(F$1,Home!$D$9:$Y$84,$U37,FALSE),NA())</f>
        <v>0.56606606606606602</v>
      </c>
      <c r="G37" s="743">
        <f>IF(ISNUMBER(HLOOKUP(G$1,Home!$D$9:$Y$84,$U37,FALSE)),HLOOKUP(G$1,Home!$D$9:$Y$84,$U37,FALSE),NA())</f>
        <v>0.72727272727272729</v>
      </c>
      <c r="H37" s="743">
        <f>IF(ISNUMBER(HLOOKUP(H$1,Home!$D$9:$Y$84,$U37,FALSE)),HLOOKUP(H$1,Home!$D$9:$Y$84,$U37,FALSE),NA())</f>
        <v>0.6696428571428571</v>
      </c>
      <c r="I37" s="743">
        <f>IF(ISNUMBER(HLOOKUP(I$1,Home!$D$9:$Y$84,$U37,FALSE)),HLOOKUP(I$1,Home!$D$9:$Y$84,$U37,FALSE),NA())</f>
        <v>0.62285714285714289</v>
      </c>
      <c r="J37" s="743">
        <f>IF(ISNUMBER(HLOOKUP(J$1,Home!$D$9:$Y$84,$U37,FALSE)),HLOOKUP(J$1,Home!$D$9:$Y$84,$U37,FALSE),NA())</f>
        <v>0.6132075471698113</v>
      </c>
      <c r="K37" s="743">
        <f>IF(ISNUMBER(HLOOKUP(K$1,Home!$D$9:$Y$84,$U37,FALSE)),HLOOKUP(K$1,Home!$D$9:$Y$84,$U37,FALSE),NA())</f>
        <v>0.6811594202898551</v>
      </c>
      <c r="L37" s="743">
        <f>IF(ISNUMBER(HLOOKUP(L$1,Home!$D$9:$Y$84,$U37,FALSE)),HLOOKUP(L$1,Home!$D$9:$Y$84,$U37,FALSE),NA())</f>
        <v>0.75555555555555554</v>
      </c>
      <c r="M37" s="743">
        <f>IF(ISNUMBER(HLOOKUP(M$1,Home!$D$9:$Y$84,$U37,FALSE)),HLOOKUP(M$1,Home!$D$9:$Y$84,$U37,FALSE),NA())</f>
        <v>0.7142857142857143</v>
      </c>
      <c r="N37" s="743">
        <f>IF(ISNUMBER(HLOOKUP(N$1,Home!$D$9:$Y$84,$U37,FALSE)),HLOOKUP(N$1,Home!$D$9:$Y$84,$U37,FALSE),NA())</f>
        <v>0.67272727272727273</v>
      </c>
      <c r="O37" s="743">
        <f>IF(ISNUMBER(HLOOKUP(O$1,Home!$D$9:$Y$84,$U37,FALSE)),HLOOKUP(O$1,Home!$D$9:$Y$84,$U37,FALSE),NA())</f>
        <v>0.60732984293193715</v>
      </c>
      <c r="P37" s="743">
        <f>IF(ISNUMBER(HLOOKUP(P$1,Home!$D$9:$Y$84,$U37,FALSE)),HLOOKUP(P$1,Home!$D$9:$Y$84,$U37,FALSE),NA())</f>
        <v>0.71216617210682498</v>
      </c>
      <c r="Q37" s="743">
        <f>IF(ISNUMBER(HLOOKUP(Q$1,Home!$D$9:$Y$84,$U37,FALSE)),HLOOKUP(Q$1,Home!$D$9:$Y$84,$U37,FALSE),NA())</f>
        <v>0.64</v>
      </c>
      <c r="R37" s="743">
        <f>IF(ISNUMBER(HLOOKUP(R$1,Home!$D$9:$Y$84,$U37,FALSE)),HLOOKUP(R$1,Home!$D$9:$Y$84,$U37,FALSE),NA())</f>
        <v>0.68978102189781021</v>
      </c>
      <c r="S37" s="743">
        <f>IF(ISNUMBER(HLOOKUP(S$1,Home!$D$9:$Y$84,$U37,FALSE)),HLOOKUP(S$1,Home!$D$9:$Y$84,$U37,FALSE),NA())</f>
        <v>0.60526315789473684</v>
      </c>
      <c r="T37" s="743">
        <f>IF(ISNUMBER(HLOOKUP(T$1,Home!$D$9:$Y$84,$U37,FALSE)),HLOOKUP(T$1,Home!$D$9:$Y$84,$U37,FALSE),NA())</f>
        <v>0.58620689655172409</v>
      </c>
      <c r="U37" s="740">
        <f>VLOOKUP(A37,Home!C:AU,45,FALSE)</f>
        <v>44</v>
      </c>
      <c r="V37" s="745">
        <f t="array" ref="V37">SLOPE(IF(ISNA($B37:$T37),"",$B37:$T37),IF(ISNA($B$2:$T$2),"",$B$2:$T$2))</f>
        <v>4.32919367779608E-3</v>
      </c>
      <c r="W37" s="745">
        <f t="array" ref="W37">INTERCEPT(IF(ISNA($B37:$T37),"",$B37:$T37),IF(ISNA($B$2:$T$2),"",$B$2:$T$2))</f>
        <v>0.60662308382900676</v>
      </c>
      <c r="X37" s="745">
        <f t="array" ref="X37">RSQ(IF(ISNA($B37:$T37),"",$B37:$T37),IF(ISNA($B$2:$T$2),"",$B$2:$T$2))</f>
        <v>0.13399789142040031</v>
      </c>
    </row>
    <row r="38" spans="1:24" ht="24">
      <c r="A38" s="742" t="str">
        <f>Home!C53</f>
        <v>% Children Looked After at 31st March who had 3 or more placements during the previous 12 months</v>
      </c>
      <c r="B38" s="743">
        <f>IF(ISNUMBER(HLOOKUP(B$1,Home!$D$9:$Y$84,$U38,FALSE)),HLOOKUP(B$1,Home!$D$9:$Y$84,$U38,FALSE),NA())</f>
        <v>0.10714285714285714</v>
      </c>
      <c r="C38" s="743">
        <f>IF(ISNUMBER(HLOOKUP(C$1,Home!$D$9:$Y$84,$U38,FALSE)),HLOOKUP(C$1,Home!$D$9:$Y$84,$U38,FALSE),NA())</f>
        <v>0.12429378531073447</v>
      </c>
      <c r="D38" s="743">
        <f>IF(ISNUMBER(HLOOKUP(D$1,Home!$D$9:$Y$84,$U38,FALSE)),HLOOKUP(D$1,Home!$D$9:$Y$84,$U38,FALSE),NA())</f>
        <v>8.7954110898661564E-2</v>
      </c>
      <c r="E38" s="743">
        <f>IF(ISNUMBER(HLOOKUP(E$1,Home!$D$9:$Y$84,$U38,FALSE)),HLOOKUP(E$1,Home!$D$9:$Y$84,$U38,FALSE),NA())</f>
        <v>0.14307458143074581</v>
      </c>
      <c r="F38" s="743">
        <f>IF(ISNUMBER(HLOOKUP(F$1,Home!$D$9:$Y$84,$U38,FALSE)),HLOOKUP(F$1,Home!$D$9:$Y$84,$U38,FALSE),NA())</f>
        <v>0.1210224308815858</v>
      </c>
      <c r="G38" s="743">
        <f>IF(ISNUMBER(HLOOKUP(G$1,Home!$D$9:$Y$84,$U38,FALSE)),HLOOKUP(G$1,Home!$D$9:$Y$84,$U38,FALSE),NA())</f>
        <v>0.11827956989247312</v>
      </c>
      <c r="H38" s="743">
        <f>IF(ISNUMBER(HLOOKUP(H$1,Home!$D$9:$Y$84,$U38,FALSE)),HLOOKUP(H$1,Home!$D$9:$Y$84,$U38,FALSE),NA())</f>
        <v>0.11275510204081633</v>
      </c>
      <c r="I38" s="743">
        <f>IF(ISNUMBER(HLOOKUP(I$1,Home!$D$9:$Y$84,$U38,FALSE)),HLOOKUP(I$1,Home!$D$9:$Y$84,$U38,FALSE),NA())</f>
        <v>0.13655462184873948</v>
      </c>
      <c r="J38" s="743">
        <f>IF(ISNUMBER(HLOOKUP(J$1,Home!$D$9:$Y$84,$U38,FALSE)),HLOOKUP(J$1,Home!$D$9:$Y$84,$U38,FALSE),NA())</f>
        <v>0.16341463414634147</v>
      </c>
      <c r="K38" s="743">
        <f>IF(ISNUMBER(HLOOKUP(K$1,Home!$D$9:$Y$84,$U38,FALSE)),HLOOKUP(K$1,Home!$D$9:$Y$84,$U38,FALSE),NA())</f>
        <v>0.13116883116883116</v>
      </c>
      <c r="L38" s="743">
        <f>IF(ISNUMBER(HLOOKUP(L$1,Home!$D$9:$Y$84,$U38,FALSE)),HLOOKUP(L$1,Home!$D$9:$Y$84,$U38,FALSE),NA())</f>
        <v>9.2039800995024873E-2</v>
      </c>
      <c r="M38" s="743">
        <f>IF(ISNUMBER(HLOOKUP(M$1,Home!$D$9:$Y$84,$U38,FALSE)),HLOOKUP(M$1,Home!$D$9:$Y$84,$U38,FALSE),NA())</f>
        <v>0.12030075187969924</v>
      </c>
      <c r="N38" s="743">
        <f>IF(ISNUMBER(HLOOKUP(N$1,Home!$D$9:$Y$84,$U38,FALSE)),HLOOKUP(N$1,Home!$D$9:$Y$84,$U38,FALSE),NA())</f>
        <v>0.13930348258706468</v>
      </c>
      <c r="O38" s="743">
        <f>IF(ISNUMBER(HLOOKUP(O$1,Home!$D$9:$Y$84,$U38,FALSE)),HLOOKUP(O$1,Home!$D$9:$Y$84,$U38,FALSE),NA())</f>
        <v>0.18442622950819673</v>
      </c>
      <c r="P38" s="743">
        <f>IF(ISNUMBER(HLOOKUP(P$1,Home!$D$9:$Y$84,$U38,FALSE)),HLOOKUP(P$1,Home!$D$9:$Y$84,$U38,FALSE),NA())</f>
        <v>0.11734164070612668</v>
      </c>
      <c r="Q38" s="743">
        <f>IF(ISNUMBER(HLOOKUP(Q$1,Home!$D$9:$Y$84,$U38,FALSE)),HLOOKUP(Q$1,Home!$D$9:$Y$84,$U38,FALSE),NA())</f>
        <v>0.15508021390374332</v>
      </c>
      <c r="R38" s="743">
        <f>IF(ISNUMBER(HLOOKUP(R$1,Home!$D$9:$Y$84,$U38,FALSE)),HLOOKUP(R$1,Home!$D$9:$Y$84,$U38,FALSE),NA())</f>
        <v>0.10927152317880795</v>
      </c>
      <c r="S38" s="743">
        <f>IF(ISNUMBER(HLOOKUP(S$1,Home!$D$9:$Y$84,$U38,FALSE)),HLOOKUP(S$1,Home!$D$9:$Y$84,$U38,FALSE),NA())</f>
        <v>0.15714285714285714</v>
      </c>
      <c r="T38" s="743">
        <f>IF(ISNUMBER(HLOOKUP(T$1,Home!$D$9:$Y$84,$U38,FALSE)),HLOOKUP(T$1,Home!$D$9:$Y$84,$U38,FALSE),NA())</f>
        <v>0</v>
      </c>
      <c r="U38" s="740">
        <f>VLOOKUP(A38,Home!C:AU,45,FALSE)</f>
        <v>45</v>
      </c>
      <c r="V38" s="745">
        <f t="array" ref="V38">SLOPE(IF(ISNA($B38:$T38),"",$B38:$T38),IF(ISNA($B$2:$T$2),"",$B$2:$T$2))</f>
        <v>3.1259458532165389E-3</v>
      </c>
      <c r="W38" s="745">
        <f t="array" ref="W38">INTERCEPT(IF(ISNA($B38:$T38),"",$B38:$T38),IF(ISNA($B$2:$T$2),"",$B$2:$T$2))</f>
        <v>8.1267477617069414E-2</v>
      </c>
      <c r="X38" s="745">
        <f t="array" ref="X38">RSQ(IF(ISNA($B38:$T38),"",$B38:$T38),IF(ISNA($B$2:$T$2),"",$B$2:$T$2))</f>
        <v>0.14761672750008339</v>
      </c>
    </row>
    <row r="39" spans="1:24" ht="24">
      <c r="A39" s="742" t="str">
        <f>Home!C54</f>
        <v>% Children Looked After at 31st March who were Unaccompanied Asylum Seeking Children (UASC)</v>
      </c>
      <c r="B39" s="743">
        <f>IF(ISNUMBER(HLOOKUP(B$1,Home!$D$9:$Y$84,$U39,FALSE)),HLOOKUP(B$1,Home!$D$9:$Y$84,$U39,FALSE),NA())</f>
        <v>0.15714285714285714</v>
      </c>
      <c r="C39" s="743">
        <f>IF(ISNUMBER(HLOOKUP(C$1,Home!$D$9:$Y$84,$U39,FALSE)),HLOOKUP(C$1,Home!$D$9:$Y$84,$U39,FALSE),NA())</f>
        <v>0.1440677966101695</v>
      </c>
      <c r="D39" s="743">
        <f>IF(ISNUMBER(HLOOKUP(D$1,Home!$D$9:$Y$84,$U39,FALSE)),HLOOKUP(D$1,Home!$D$9:$Y$84,$U39,FALSE),NA())</f>
        <v>0.124282982791587</v>
      </c>
      <c r="E39" s="743">
        <f>IF(ISNUMBER(HLOOKUP(E$1,Home!$D$9:$Y$84,$U39,FALSE)),HLOOKUP(E$1,Home!$D$9:$Y$84,$U39,FALSE),NA())</f>
        <v>0.1111111111111111</v>
      </c>
      <c r="F39" s="743">
        <f>IF(ISNUMBER(HLOOKUP(F$1,Home!$D$9:$Y$84,$U39,FALSE)),HLOOKUP(F$1,Home!$D$9:$Y$84,$U39,FALSE),NA())</f>
        <v>0.15910276473656756</v>
      </c>
      <c r="G39" s="743">
        <f>IF(ISNUMBER(HLOOKUP(G$1,Home!$D$9:$Y$84,$U39,FALSE)),HLOOKUP(G$1,Home!$D$9:$Y$84,$U39,FALSE),NA())</f>
        <v>7.5268817204301078E-2</v>
      </c>
      <c r="H39" s="743">
        <f>IF(ISNUMBER(HLOOKUP(H$1,Home!$D$9:$Y$84,$U39,FALSE)),HLOOKUP(H$1,Home!$D$9:$Y$84,$U39,FALSE),NA())</f>
        <v>0.25408163265306122</v>
      </c>
      <c r="I39" s="743">
        <f>IF(ISNUMBER(HLOOKUP(I$1,Home!$D$9:$Y$84,$U39,FALSE)),HLOOKUP(I$1,Home!$D$9:$Y$84,$U39,FALSE),NA())</f>
        <v>4.6218487394957986E-2</v>
      </c>
      <c r="J39" s="743">
        <f>IF(ISNUMBER(HLOOKUP(J$1,Home!$D$9:$Y$84,$U39,FALSE)),HLOOKUP(J$1,Home!$D$9:$Y$84,$U39,FALSE),NA())</f>
        <v>0.11219512195121951</v>
      </c>
      <c r="K39" s="743">
        <f>IF(ISNUMBER(HLOOKUP(K$1,Home!$D$9:$Y$84,$U39,FALSE)),HLOOKUP(K$1,Home!$D$9:$Y$84,$U39,FALSE),NA())</f>
        <v>0.12337662337662338</v>
      </c>
      <c r="L39" s="743">
        <f>IF(ISNUMBER(HLOOKUP(L$1,Home!$D$9:$Y$84,$U39,FALSE)),HLOOKUP(L$1,Home!$D$9:$Y$84,$U39,FALSE),NA())</f>
        <v>9.7014925373134331E-2</v>
      </c>
      <c r="M39" s="743">
        <f>IF(ISNUMBER(HLOOKUP(M$1,Home!$D$9:$Y$84,$U39,FALSE)),HLOOKUP(M$1,Home!$D$9:$Y$84,$U39,FALSE),NA())</f>
        <v>0.10902255639097744</v>
      </c>
      <c r="N39" s="743">
        <f>IF(ISNUMBER(HLOOKUP(N$1,Home!$D$9:$Y$84,$U39,FALSE)),HLOOKUP(N$1,Home!$D$9:$Y$84,$U39,FALSE),NA())</f>
        <v>0.12935323383084577</v>
      </c>
      <c r="O39" s="743">
        <f>IF(ISNUMBER(HLOOKUP(O$1,Home!$D$9:$Y$84,$U39,FALSE)),HLOOKUP(O$1,Home!$D$9:$Y$84,$U39,FALSE),NA())</f>
        <v>7.9918032786885251E-2</v>
      </c>
      <c r="P39" s="743">
        <f>IF(ISNUMBER(HLOOKUP(P$1,Home!$D$9:$Y$84,$U39,FALSE)),HLOOKUP(P$1,Home!$D$9:$Y$84,$U39,FALSE),NA())</f>
        <v>0.1059190031152648</v>
      </c>
      <c r="Q39" s="743">
        <f>IF(ISNUMBER(HLOOKUP(Q$1,Home!$D$9:$Y$84,$U39,FALSE)),HLOOKUP(Q$1,Home!$D$9:$Y$84,$U39,FALSE),NA())</f>
        <v>0.13368983957219252</v>
      </c>
      <c r="R39" s="743">
        <f>IF(ISNUMBER(HLOOKUP(R$1,Home!$D$9:$Y$84,$U39,FALSE)),HLOOKUP(R$1,Home!$D$9:$Y$84,$U39,FALSE),NA())</f>
        <v>9.3818984547461362E-2</v>
      </c>
      <c r="S39" s="743">
        <f>IF(ISNUMBER(HLOOKUP(S$1,Home!$D$9:$Y$84,$U39,FALSE)),HLOOKUP(S$1,Home!$D$9:$Y$84,$U39,FALSE),NA())</f>
        <v>0.15714285714285714</v>
      </c>
      <c r="T39" s="743">
        <f>IF(ISNUMBER(HLOOKUP(T$1,Home!$D$9:$Y$84,$U39,FALSE)),HLOOKUP(T$1,Home!$D$9:$Y$84,$U39,FALSE),NA())</f>
        <v>0.26277372262773724</v>
      </c>
      <c r="U39" s="740">
        <f>VLOOKUP(A39,Home!C:AU,45,FALSE)</f>
        <v>46</v>
      </c>
      <c r="V39" s="745">
        <f t="array" ref="V39">SLOPE(IF(ISNA($B39:$T39),"",$B39:$T39),IF(ISNA($B$2:$T$2),"",$B$2:$T$2))</f>
        <v>-5.7457524464210501E-3</v>
      </c>
      <c r="W39" s="745">
        <f t="array" ref="W39">INTERCEPT(IF(ISNA($B39:$T39),"",$B39:$T39),IF(ISNA($B$2:$T$2),"",$B$2:$T$2))</f>
        <v>0.20540769779214738</v>
      </c>
      <c r="X39" s="745">
        <f t="array" ref="X39">RSQ(IF(ISNA($B39:$T39),"",$B39:$T39),IF(ISNA($B$2:$T$2),"",$B$2:$T$2))</f>
        <v>0.25233495252001487</v>
      </c>
    </row>
    <row r="40" spans="1:24">
      <c r="A40" s="742" t="str">
        <f>Home!C55</f>
        <v>Rate of Children Looked After Aged: Under 1</v>
      </c>
      <c r="B40" s="743">
        <f>IF(ISNUMBER(HLOOKUP(B$1,Home!$D$9:$Y$84,$U40,FALSE)),HLOOKUP(B$1,Home!$D$9:$Y$84,$U40,FALSE),NA())</f>
        <v>65.359477124183002</v>
      </c>
      <c r="C40" s="743">
        <f>IF(ISNUMBER(HLOOKUP(C$1,Home!$D$9:$Y$84,$U40,FALSE)),HLOOKUP(C$1,Home!$D$9:$Y$84,$U40,FALSE),NA())</f>
        <v>54.545454545454547</v>
      </c>
      <c r="D40" s="743">
        <f>IF(ISNUMBER(HLOOKUP(D$1,Home!$D$9:$Y$84,$U40,FALSE)),HLOOKUP(D$1,Home!$D$9:$Y$84,$U40,FALSE),NA())</f>
        <v>40.49949375632805</v>
      </c>
      <c r="E40" s="743">
        <f>IF(ISNUMBER(HLOOKUP(E$1,Home!$D$9:$Y$84,$U40,FALSE)),HLOOKUP(E$1,Home!$D$9:$Y$84,$U40,FALSE),NA())</f>
        <v>43.486855109705473</v>
      </c>
      <c r="F40" s="743">
        <f>IF(ISNUMBER(HLOOKUP(F$1,Home!$D$9:$Y$84,$U40,FALSE)),HLOOKUP(F$1,Home!$D$9:$Y$84,$U40,FALSE),NA())</f>
        <v>39.179370280666767</v>
      </c>
      <c r="G40" s="743">
        <f>IF(ISNUMBER(HLOOKUP(G$1,Home!$D$9:$Y$84,$U40,FALSE)),HLOOKUP(G$1,Home!$D$9:$Y$84,$U40,FALSE),NA())</f>
        <v>66.115702479338836</v>
      </c>
      <c r="H40" s="743">
        <f>IF(ISNUMBER(HLOOKUP(H$1,Home!$D$9:$Y$84,$U40,FALSE)),HLOOKUP(H$1,Home!$D$9:$Y$84,$U40,FALSE),NA())</f>
        <v>38.413026029125099</v>
      </c>
      <c r="I40" s="743">
        <f>IF(ISNUMBER(HLOOKUP(I$1,Home!$D$9:$Y$84,$U40,FALSE)),HLOOKUP(I$1,Home!$D$9:$Y$84,$U40,FALSE),NA())</f>
        <v>63.013698630136986</v>
      </c>
      <c r="J40" s="743">
        <f>IF(ISNUMBER(HLOOKUP(J$1,Home!$D$9:$Y$84,$U40,FALSE)),HLOOKUP(J$1,Home!$D$9:$Y$84,$U40,FALSE),NA())</f>
        <v>66.796548844976343</v>
      </c>
      <c r="K40" s="743">
        <f>IF(ISNUMBER(HLOOKUP(K$1,Home!$D$9:$Y$84,$U40,FALSE)),HLOOKUP(K$1,Home!$D$9:$Y$84,$U40,FALSE),NA())</f>
        <v>29.259210001329961</v>
      </c>
      <c r="L40" s="743">
        <f>IF(ISNUMBER(HLOOKUP(L$1,Home!$D$9:$Y$84,$U40,FALSE)),HLOOKUP(L$1,Home!$D$9:$Y$84,$U40,FALSE),NA())</f>
        <v>88.745461879790241</v>
      </c>
      <c r="M40" s="743">
        <f>IF(ISNUMBER(HLOOKUP(M$1,Home!$D$9:$Y$84,$U40,FALSE)),HLOOKUP(M$1,Home!$D$9:$Y$84,$U40,FALSE),NA())</f>
        <v>52.824055262088585</v>
      </c>
      <c r="N40" s="743">
        <f>IF(ISNUMBER(HLOOKUP(N$1,Home!$D$9:$Y$84,$U40,FALSE)),HLOOKUP(N$1,Home!$D$9:$Y$84,$U40,FALSE),NA())</f>
        <v>31.286664059444661</v>
      </c>
      <c r="O40" s="743">
        <f>IF(ISNUMBER(HLOOKUP(O$1,Home!$D$9:$Y$84,$U40,FALSE)),HLOOKUP(O$1,Home!$D$9:$Y$84,$U40,FALSE),NA())</f>
        <v>41.296060991105463</v>
      </c>
      <c r="P40" s="743">
        <f>IF(ISNUMBER(HLOOKUP(P$1,Home!$D$9:$Y$84,$U40,FALSE)),HLOOKUP(P$1,Home!$D$9:$Y$84,$U40,FALSE),NA())</f>
        <v>20.565161093761901</v>
      </c>
      <c r="Q40" s="743">
        <f>IF(ISNUMBER(HLOOKUP(Q$1,Home!$D$9:$Y$84,$U40,FALSE)),HLOOKUP(Q$1,Home!$D$9:$Y$84,$U40,FALSE),NA())</f>
        <v>47.761194029850749</v>
      </c>
      <c r="R40" s="743">
        <f>IF(ISNUMBER(HLOOKUP(R$1,Home!$D$9:$Y$84,$U40,FALSE)),HLOOKUP(R$1,Home!$D$9:$Y$84,$U40,FALSE),NA())</f>
        <v>37.572583399749519</v>
      </c>
      <c r="S40" s="743">
        <f>IF(ISNUMBER(HLOOKUP(S$1,Home!$D$9:$Y$84,$U40,FALSE)),HLOOKUP(S$1,Home!$D$9:$Y$84,$U40,FALSE),NA())</f>
        <v>47.225501770956313</v>
      </c>
      <c r="T40" s="743">
        <f>IF(ISNUMBER(HLOOKUP(T$1,Home!$D$9:$Y$84,$U40,FALSE)),HLOOKUP(T$1,Home!$D$9:$Y$84,$U40,FALSE),NA())</f>
        <v>45.019696117051211</v>
      </c>
      <c r="U40" s="740">
        <f>VLOOKUP(A40,Home!C:AU,45,FALSE)</f>
        <v>47</v>
      </c>
      <c r="V40" s="745">
        <f t="array" ref="V40">SLOPE(IF(ISNA($B40:$T40),"",$B40:$T40),IF(ISNA($B$2:$T$2),"",$B$2:$T$2))</f>
        <v>1.6023373086289086</v>
      </c>
      <c r="W40" s="745">
        <f t="array" ref="W40">INTERCEPT(IF(ISNA($B40:$T40),"",$B40:$T40),IF(ISNA($B$2:$T$2),"",$B$2:$T$2))</f>
        <v>27.418138312717002</v>
      </c>
      <c r="X40" s="745">
        <f t="array" ref="X40">RSQ(IF(ISNA($B40:$T40),"",$B40:$T40),IF(ISNA($B$2:$T$2),"",$B$2:$T$2))</f>
        <v>0.21700292262418583</v>
      </c>
    </row>
    <row r="41" spans="1:24">
      <c r="A41" s="742" t="str">
        <f>Home!C56</f>
        <v>Rate of Children Looked After Aged: 1 to 4</v>
      </c>
      <c r="B41" s="743">
        <f>IF(ISNUMBER(HLOOKUP(B$1,Home!$D$9:$Y$84,$U41,FALSE)),HLOOKUP(B$1,Home!$D$9:$Y$84,$U41,FALSE),NA())</f>
        <v>18.098058571898651</v>
      </c>
      <c r="C41" s="743">
        <f>IF(ISNUMBER(HLOOKUP(C$1,Home!$D$9:$Y$84,$U41,FALSE)),HLOOKUP(C$1,Home!$D$9:$Y$84,$U41,FALSE),NA())</f>
        <v>28.055409433631425</v>
      </c>
      <c r="D41" s="743">
        <f>IF(ISNUMBER(HLOOKUP(D$1,Home!$D$9:$Y$84,$U41,FALSE)),HLOOKUP(D$1,Home!$D$9:$Y$84,$U41,FALSE),NA())</f>
        <v>16.489281966721631</v>
      </c>
      <c r="E41" s="743">
        <f>IF(ISNUMBER(HLOOKUP(E$1,Home!$D$9:$Y$84,$U41,FALSE)),HLOOKUP(E$1,Home!$D$9:$Y$84,$U41,FALSE),NA())</f>
        <v>30.756886868146562</v>
      </c>
      <c r="F41" s="743">
        <f>IF(ISNUMBER(HLOOKUP(F$1,Home!$D$9:$Y$84,$U41,FALSE)),HLOOKUP(F$1,Home!$D$9:$Y$84,$U41,FALSE),NA())</f>
        <v>28.39940929228672</v>
      </c>
      <c r="G41" s="743">
        <f>IF(ISNUMBER(HLOOKUP(G$1,Home!$D$9:$Y$84,$U41,FALSE)),HLOOKUP(G$1,Home!$D$9:$Y$84,$U41,FALSE),NA())</f>
        <v>59.22635572829909</v>
      </c>
      <c r="H41" s="743">
        <f>IF(ISNUMBER(HLOOKUP(H$1,Home!$D$9:$Y$84,$U41,FALSE)),HLOOKUP(H$1,Home!$D$9:$Y$84,$U41,FALSE),NA())</f>
        <v>23.256757304920427</v>
      </c>
      <c r="I41" s="743">
        <f>IF(ISNUMBER(HLOOKUP(I$1,Home!$D$9:$Y$84,$U41,FALSE)),HLOOKUP(I$1,Home!$D$9:$Y$84,$U41,FALSE),NA())</f>
        <v>36.202735317779563</v>
      </c>
      <c r="J41" s="743">
        <f>IF(ISNUMBER(HLOOKUP(J$1,Home!$D$9:$Y$84,$U41,FALSE)),HLOOKUP(J$1,Home!$D$9:$Y$84,$U41,FALSE),NA())</f>
        <v>38.020404283632217</v>
      </c>
      <c r="K41" s="743">
        <f>IF(ISNUMBER(HLOOKUP(K$1,Home!$D$9:$Y$84,$U41,FALSE)),HLOOKUP(K$1,Home!$D$9:$Y$84,$U41,FALSE),NA())</f>
        <v>17.179447134155865</v>
      </c>
      <c r="L41" s="743">
        <f>IF(ISNUMBER(HLOOKUP(L$1,Home!$D$9:$Y$84,$U41,FALSE)),HLOOKUP(L$1,Home!$D$9:$Y$84,$U41,FALSE),NA())</f>
        <v>58.237835806875822</v>
      </c>
      <c r="M41" s="743">
        <f>IF(ISNUMBER(HLOOKUP(M$1,Home!$D$9:$Y$84,$U41,FALSE)),HLOOKUP(M$1,Home!$D$9:$Y$84,$U41,FALSE),NA())</f>
        <v>27.915632754342429</v>
      </c>
      <c r="N41" s="743">
        <f>IF(ISNUMBER(HLOOKUP(N$1,Home!$D$9:$Y$84,$U41,FALSE)),HLOOKUP(N$1,Home!$D$9:$Y$84,$U41,FALSE),NA())</f>
        <v>23.8914373088685</v>
      </c>
      <c r="O41" s="743">
        <f>IF(ISNUMBER(HLOOKUP(O$1,Home!$D$9:$Y$84,$U41,FALSE)),HLOOKUP(O$1,Home!$D$9:$Y$84,$U41,FALSE),NA())</f>
        <v>30.270102452654456</v>
      </c>
      <c r="P41" s="743">
        <f>IF(ISNUMBER(HLOOKUP(P$1,Home!$D$9:$Y$84,$U41,FALSE)),HLOOKUP(P$1,Home!$D$9:$Y$84,$U41,FALSE),NA())</f>
        <v>17.792057487346909</v>
      </c>
      <c r="Q41" s="743">
        <f>IF(ISNUMBER(HLOOKUP(Q$1,Home!$D$9:$Y$84,$U41,FALSE)),HLOOKUP(Q$1,Home!$D$9:$Y$84,$U41,FALSE),NA())</f>
        <v>29.451137884872825</v>
      </c>
      <c r="R41" s="743">
        <f>IF(ISNUMBER(HLOOKUP(R$1,Home!$D$9:$Y$84,$U41,FALSE)),HLOOKUP(R$1,Home!$D$9:$Y$84,$U41,FALSE),NA())</f>
        <v>22.910103876493714</v>
      </c>
      <c r="S41" s="743">
        <f>IF(ISNUMBER(HLOOKUP(S$1,Home!$D$9:$Y$84,$U41,FALSE)),HLOOKUP(S$1,Home!$D$9:$Y$84,$U41,FALSE),NA())</f>
        <v>22.698255071641366</v>
      </c>
      <c r="T41" s="743">
        <f>IF(ISNUMBER(HLOOKUP(T$1,Home!$D$9:$Y$84,$U41,FALSE)),HLOOKUP(T$1,Home!$D$9:$Y$84,$U41,FALSE),NA())</f>
        <v>11.010521164668461</v>
      </c>
      <c r="U41" s="740">
        <f>VLOOKUP(A41,Home!C:AU,45,FALSE)</f>
        <v>48</v>
      </c>
      <c r="V41" s="745">
        <f t="array" ref="V41">SLOPE(IF(ISNA($B41:$T41),"",$B41:$T41),IF(ISNA($B$2:$T$2),"",$B$2:$T$2))</f>
        <v>1.9545918704573808</v>
      </c>
      <c r="W41" s="745">
        <f t="array" ref="W41">INTERCEPT(IF(ISNA($B41:$T41),"",$B41:$T41),IF(ISNA($B$2:$T$2),"",$B$2:$T$2))</f>
        <v>2.860063636190695</v>
      </c>
      <c r="X41" s="745">
        <f t="array" ref="X41">RSQ(IF(ISNA($B41:$T41),"",$B41:$T41),IF(ISNA($B$2:$T$2),"",$B$2:$T$2))</f>
        <v>0.52558379341176631</v>
      </c>
    </row>
    <row r="42" spans="1:24">
      <c r="A42" s="742" t="str">
        <f>Home!C57</f>
        <v>Rate of Children Looked After Aged: 5 to 9</v>
      </c>
      <c r="B42" s="743">
        <f>IF(ISNUMBER(HLOOKUP(B$1,Home!$D$9:$Y$84,$U42,FALSE)),HLOOKUP(B$1,Home!$D$9:$Y$84,$U42,FALSE),NA())</f>
        <v>16.491930733890918</v>
      </c>
      <c r="C42" s="743">
        <f>IF(ISNUMBER(HLOOKUP(C$1,Home!$D$9:$Y$84,$U42,FALSE)),HLOOKUP(C$1,Home!$D$9:$Y$84,$U42,FALSE),NA())</f>
        <v>34.487422234243979</v>
      </c>
      <c r="D42" s="743">
        <f>IF(ISNUMBER(HLOOKUP(D$1,Home!$D$9:$Y$84,$U42,FALSE)),HLOOKUP(D$1,Home!$D$9:$Y$84,$U42,FALSE),NA())</f>
        <v>22.373195820032198</v>
      </c>
      <c r="E42" s="743">
        <f>IF(ISNUMBER(HLOOKUP(E$1,Home!$D$9:$Y$84,$U42,FALSE)),HLOOKUP(E$1,Home!$D$9:$Y$84,$U42,FALSE),NA())</f>
        <v>33.791394458211307</v>
      </c>
      <c r="F42" s="743">
        <f>IF(ISNUMBER(HLOOKUP(F$1,Home!$D$9:$Y$84,$U42,FALSE)),HLOOKUP(F$1,Home!$D$9:$Y$84,$U42,FALSE),NA())</f>
        <v>41.108004110800408</v>
      </c>
      <c r="G42" s="743">
        <f>IF(ISNUMBER(HLOOKUP(G$1,Home!$D$9:$Y$84,$U42,FALSE)),HLOOKUP(G$1,Home!$D$9:$Y$84,$U42,FALSE),NA())</f>
        <v>83.094555873925501</v>
      </c>
      <c r="H42" s="743">
        <f>IF(ISNUMBER(HLOOKUP(H$1,Home!$D$9:$Y$84,$U42,FALSE)),HLOOKUP(H$1,Home!$D$9:$Y$84,$U42,FALSE),NA())</f>
        <v>23.617178710076324</v>
      </c>
      <c r="I42" s="743">
        <f>IF(ISNUMBER(HLOOKUP(I$1,Home!$D$9:$Y$84,$U42,FALSE)),HLOOKUP(I$1,Home!$D$9:$Y$84,$U42,FALSE),NA())</f>
        <v>43.529664660361128</v>
      </c>
      <c r="J42" s="743">
        <f>IF(ISNUMBER(HLOOKUP(J$1,Home!$D$9:$Y$84,$U42,FALSE)),HLOOKUP(J$1,Home!$D$9:$Y$84,$U42,FALSE),NA())</f>
        <v>27.301826398041801</v>
      </c>
      <c r="K42" s="743">
        <f>IF(ISNUMBER(HLOOKUP(K$1,Home!$D$9:$Y$84,$U42,FALSE)),HLOOKUP(K$1,Home!$D$9:$Y$84,$U42,FALSE),NA())</f>
        <v>23.268932449583978</v>
      </c>
      <c r="L42" s="743">
        <f>IF(ISNUMBER(HLOOKUP(L$1,Home!$D$9:$Y$84,$U42,FALSE)),HLOOKUP(L$1,Home!$D$9:$Y$84,$U42,FALSE),NA())</f>
        <v>53.824577363353804</v>
      </c>
      <c r="M42" s="743">
        <f>IF(ISNUMBER(HLOOKUP(M$1,Home!$D$9:$Y$84,$U42,FALSE)),HLOOKUP(M$1,Home!$D$9:$Y$84,$U42,FALSE),NA())</f>
        <v>33.958891867739055</v>
      </c>
      <c r="N42" s="743">
        <f>IF(ISNUMBER(HLOOKUP(N$1,Home!$D$9:$Y$84,$U42,FALSE)),HLOOKUP(N$1,Home!$D$9:$Y$84,$U42,FALSE),NA())</f>
        <v>26.389320086929526</v>
      </c>
      <c r="O42" s="743">
        <f>IF(ISNUMBER(HLOOKUP(O$1,Home!$D$9:$Y$84,$U42,FALSE)),HLOOKUP(O$1,Home!$D$9:$Y$84,$U42,FALSE),NA())</f>
        <v>57.735205353628132</v>
      </c>
      <c r="P42" s="743">
        <f>IF(ISNUMBER(HLOOKUP(P$1,Home!$D$9:$Y$84,$U42,FALSE)),HLOOKUP(P$1,Home!$D$9:$Y$84,$U42,FALSE),NA())</f>
        <v>19.947749765131334</v>
      </c>
      <c r="Q42" s="743">
        <f>IF(ISNUMBER(HLOOKUP(Q$1,Home!$D$9:$Y$84,$U42,FALSE)),HLOOKUP(Q$1,Home!$D$9:$Y$84,$U42,FALSE),NA())</f>
        <v>40.156802753609334</v>
      </c>
      <c r="R42" s="743">
        <f>IF(ISNUMBER(HLOOKUP(R$1,Home!$D$9:$Y$84,$U42,FALSE)),HLOOKUP(R$1,Home!$D$9:$Y$84,$U42,FALSE),NA())</f>
        <v>27.179675000481907</v>
      </c>
      <c r="S42" s="743">
        <f>IF(ISNUMBER(HLOOKUP(S$1,Home!$D$9:$Y$84,$U42,FALSE)),HLOOKUP(S$1,Home!$D$9:$Y$84,$U42,FALSE),NA())</f>
        <v>25.247424762674207</v>
      </c>
      <c r="T42" s="743">
        <f>IF(ISNUMBER(HLOOKUP(T$1,Home!$D$9:$Y$84,$U42,FALSE)),HLOOKUP(T$1,Home!$D$9:$Y$84,$U42,FALSE),NA())</f>
        <v>16.715419974926871</v>
      </c>
      <c r="U42" s="740">
        <f>VLOOKUP(A42,Home!C:AU,45,FALSE)</f>
        <v>49</v>
      </c>
      <c r="V42" s="745">
        <f t="array" ref="V42">SLOPE(IF(ISNA($B42:$T42),"",$B42:$T42),IF(ISNA($B$2:$T$2),"",$B$2:$T$2))</f>
        <v>2.3487746605522237</v>
      </c>
      <c r="W42" s="745">
        <f t="array" ref="W42">INTERCEPT(IF(ISNA($B42:$T42),"",$B42:$T42),IF(ISNA($B$2:$T$2),"",$B$2:$T$2))</f>
        <v>3.5149235103404912</v>
      </c>
      <c r="X42" s="745">
        <f t="array" ref="X42">RSQ(IF(ISNA($B42:$T42),"",$B42:$T42),IF(ISNA($B$2:$T$2),"",$B$2:$T$2))</f>
        <v>0.44667821055523932</v>
      </c>
    </row>
    <row r="43" spans="1:24">
      <c r="A43" s="742" t="str">
        <f>Home!C58</f>
        <v>Rate of Children Looked After Aged: 10 to 15</v>
      </c>
      <c r="B43" s="743">
        <f>IF(ISNUMBER(HLOOKUP(B$1,Home!$D$9:$Y$84,$U43,FALSE)),HLOOKUP(B$1,Home!$D$9:$Y$84,$U43,FALSE),NA())</f>
        <v>46.906410542774182</v>
      </c>
      <c r="C43" s="743">
        <f>IF(ISNUMBER(HLOOKUP(C$1,Home!$D$9:$Y$84,$U43,FALSE)),HLOOKUP(C$1,Home!$D$9:$Y$84,$U43,FALSE),NA())</f>
        <v>84.565309971405981</v>
      </c>
      <c r="D43" s="743">
        <f>IF(ISNUMBER(HLOOKUP(D$1,Home!$D$9:$Y$84,$U43,FALSE)),HLOOKUP(D$1,Home!$D$9:$Y$84,$U43,FALSE),NA())</f>
        <v>49.983995272449704</v>
      </c>
      <c r="E43" s="743">
        <f>IF(ISNUMBER(HLOOKUP(E$1,Home!$D$9:$Y$84,$U43,FALSE)),HLOOKUP(E$1,Home!$D$9:$Y$84,$U43,FALSE),NA())</f>
        <v>79.57559681697613</v>
      </c>
      <c r="F43" s="743">
        <f>IF(ISNUMBER(HLOOKUP(F$1,Home!$D$9:$Y$84,$U43,FALSE)),HLOOKUP(F$1,Home!$D$9:$Y$84,$U43,FALSE),NA())</f>
        <v>81.22733972393462</v>
      </c>
      <c r="G43" s="743">
        <f>IF(ISNUMBER(HLOOKUP(G$1,Home!$D$9:$Y$84,$U43,FALSE)),HLOOKUP(G$1,Home!$D$9:$Y$84,$U43,FALSE),NA())</f>
        <v>132.09568011424491</v>
      </c>
      <c r="H43" s="743">
        <f>IF(ISNUMBER(HLOOKUP(H$1,Home!$D$9:$Y$84,$U43,FALSE)),HLOOKUP(H$1,Home!$D$9:$Y$84,$U43,FALSE),NA())</f>
        <v>60.259607857415936</v>
      </c>
      <c r="I43" s="743">
        <f>IF(ISNUMBER(HLOOKUP(I$1,Home!$D$9:$Y$84,$U43,FALSE)),HLOOKUP(I$1,Home!$D$9:$Y$84,$U43,FALSE),NA())</f>
        <v>103.47229131429708</v>
      </c>
      <c r="J43" s="743">
        <f>IF(ISNUMBER(HLOOKUP(J$1,Home!$D$9:$Y$84,$U43,FALSE)),HLOOKUP(J$1,Home!$D$9:$Y$84,$U43,FALSE),NA())</f>
        <v>79.602470088768825</v>
      </c>
      <c r="K43" s="743">
        <f>IF(ISNUMBER(HLOOKUP(K$1,Home!$D$9:$Y$84,$U43,FALSE)),HLOOKUP(K$1,Home!$D$9:$Y$84,$U43,FALSE),NA())</f>
        <v>71.052574572709744</v>
      </c>
      <c r="L43" s="743">
        <f>IF(ISNUMBER(HLOOKUP(L$1,Home!$D$9:$Y$84,$U43,FALSE)),HLOOKUP(L$1,Home!$D$9:$Y$84,$U43,FALSE),NA())</f>
        <v>103.63836824696803</v>
      </c>
      <c r="M43" s="743">
        <f>IF(ISNUMBER(HLOOKUP(M$1,Home!$D$9:$Y$84,$U43,FALSE)),HLOOKUP(M$1,Home!$D$9:$Y$84,$U43,FALSE),NA())</f>
        <v>111.01540817303092</v>
      </c>
      <c r="N43" s="743">
        <f>IF(ISNUMBER(HLOOKUP(N$1,Home!$D$9:$Y$84,$U43,FALSE)),HLOOKUP(N$1,Home!$D$9:$Y$84,$U43,FALSE),NA())</f>
        <v>47.472110135295509</v>
      </c>
      <c r="O43" s="743">
        <f>IF(ISNUMBER(HLOOKUP(O$1,Home!$D$9:$Y$84,$U43,FALSE)),HLOOKUP(O$1,Home!$D$9:$Y$84,$U43,FALSE),NA())</f>
        <v>146.2535523670895</v>
      </c>
      <c r="P43" s="743">
        <f>IF(ISNUMBER(HLOOKUP(P$1,Home!$D$9:$Y$84,$U43,FALSE)),HLOOKUP(P$1,Home!$D$9:$Y$84,$U43,FALSE),NA())</f>
        <v>44.633292865814475</v>
      </c>
      <c r="Q43" s="743">
        <f>IF(ISNUMBER(HLOOKUP(Q$1,Home!$D$9:$Y$84,$U43,FALSE)),HLOOKUP(Q$1,Home!$D$9:$Y$84,$U43,FALSE),NA())</f>
        <v>48.511207761793244</v>
      </c>
      <c r="R43" s="743">
        <f>IF(ISNUMBER(HLOOKUP(R$1,Home!$D$9:$Y$84,$U43,FALSE)),HLOOKUP(R$1,Home!$D$9:$Y$84,$U43,FALSE),NA())</f>
        <v>66.547406082289797</v>
      </c>
      <c r="S43" s="743">
        <f>IF(ISNUMBER(HLOOKUP(S$1,Home!$D$9:$Y$84,$U43,FALSE)),HLOOKUP(S$1,Home!$D$9:$Y$84,$U43,FALSE),NA())</f>
        <v>45.156343188208233</v>
      </c>
      <c r="T43" s="743">
        <f>IF(ISNUMBER(HLOOKUP(T$1,Home!$D$9:$Y$84,$U43,FALSE)),HLOOKUP(T$1,Home!$D$9:$Y$84,$U43,FALSE),NA())</f>
        <v>35.148012184644223</v>
      </c>
      <c r="U43" s="740">
        <f>VLOOKUP(A43,Home!C:AU,45,FALSE)</f>
        <v>50</v>
      </c>
      <c r="V43" s="745">
        <f t="array" ref="V43">SLOPE(IF(ISNA($B43:$T43),"",$B43:$T43),IF(ISNA($B$2:$T$2),"",$B$2:$T$2))</f>
        <v>5.5996071914735293</v>
      </c>
      <c r="W43" s="745">
        <f t="array" ref="W43">INTERCEPT(IF(ISNA($B43:$T43),"",$B43:$T43),IF(ISNA($B$2:$T$2),"",$B$2:$T$2))</f>
        <v>2.4302395220045554</v>
      </c>
      <c r="X43" s="745">
        <f t="array" ref="X43">RSQ(IF(ISNA($B43:$T43),"",$B43:$T43),IF(ISNA($B$2:$T$2),"",$B$2:$T$2))</f>
        <v>0.69527479050221186</v>
      </c>
    </row>
    <row r="44" spans="1:24">
      <c r="A44" s="742" t="str">
        <f>Home!C59</f>
        <v>Rate of Children Looked After Aged: 16 to 17</v>
      </c>
      <c r="B44" s="743">
        <f>IF(ISNUMBER(HLOOKUP(B$1,Home!$D$9:$Y$84,$U44,FALSE)),HLOOKUP(B$1,Home!$D$9:$Y$84,$U44,FALSE),NA())</f>
        <v>201.70185943901669</v>
      </c>
      <c r="C44" s="743">
        <f>IF(ISNUMBER(HLOOKUP(C$1,Home!$D$9:$Y$84,$U44,FALSE)),HLOOKUP(C$1,Home!$D$9:$Y$84,$U44,FALSE),NA())</f>
        <v>208.92857142857144</v>
      </c>
      <c r="D44" s="743">
        <f>IF(ISNUMBER(HLOOKUP(D$1,Home!$D$9:$Y$84,$U44,FALSE)),HLOOKUP(D$1,Home!$D$9:$Y$84,$U44,FALSE),NA())</f>
        <v>128.7781228694796</v>
      </c>
      <c r="E44" s="743">
        <f>IF(ISNUMBER(HLOOKUP(E$1,Home!$D$9:$Y$84,$U44,FALSE)),HLOOKUP(E$1,Home!$D$9:$Y$84,$U44,FALSE),NA())</f>
        <v>148.65874927331618</v>
      </c>
      <c r="F44" s="743">
        <f>IF(ISNUMBER(HLOOKUP(F$1,Home!$D$9:$Y$84,$U44,FALSE)),HLOOKUP(F$1,Home!$D$9:$Y$84,$U44,FALSE),NA())</f>
        <v>189.53068592057761</v>
      </c>
      <c r="G44" s="743">
        <f>IF(ISNUMBER(HLOOKUP(G$1,Home!$D$9:$Y$84,$U44,FALSE)),HLOOKUP(G$1,Home!$D$9:$Y$84,$U44,FALSE),NA())</f>
        <v>228.83295194508008</v>
      </c>
      <c r="H44" s="743">
        <f>IF(ISNUMBER(HLOOKUP(H$1,Home!$D$9:$Y$84,$U44,FALSE)),HLOOKUP(H$1,Home!$D$9:$Y$84,$U44,FALSE),NA())</f>
        <v>228.32817337461302</v>
      </c>
      <c r="I44" s="743">
        <f>IF(ISNUMBER(HLOOKUP(I$1,Home!$D$9:$Y$84,$U44,FALSE)),HLOOKUP(I$1,Home!$D$9:$Y$84,$U44,FALSE),NA())</f>
        <v>164.99175041247938</v>
      </c>
      <c r="J44" s="743">
        <f>IF(ISNUMBER(HLOOKUP(J$1,Home!$D$9:$Y$84,$U44,FALSE)),HLOOKUP(J$1,Home!$D$9:$Y$84,$U44,FALSE),NA())</f>
        <v>163.46611648944611</v>
      </c>
      <c r="K44" s="743">
        <f>IF(ISNUMBER(HLOOKUP(K$1,Home!$D$9:$Y$84,$U44,FALSE)),HLOOKUP(K$1,Home!$D$9:$Y$84,$U44,FALSE),NA())</f>
        <v>174.98848759950002</v>
      </c>
      <c r="L44" s="743">
        <f>IF(ISNUMBER(HLOOKUP(L$1,Home!$D$9:$Y$84,$U44,FALSE)),HLOOKUP(L$1,Home!$D$9:$Y$84,$U44,FALSE),NA())</f>
        <v>248.18543666588619</v>
      </c>
      <c r="M44" s="743">
        <f>IF(ISNUMBER(HLOOKUP(M$1,Home!$D$9:$Y$84,$U44,FALSE)),HLOOKUP(M$1,Home!$D$9:$Y$84,$U44,FALSE),NA())</f>
        <v>216.80216802168022</v>
      </c>
      <c r="N44" s="743">
        <f>IF(ISNUMBER(HLOOKUP(N$1,Home!$D$9:$Y$84,$U44,FALSE)),HLOOKUP(N$1,Home!$D$9:$Y$84,$U44,FALSE),NA())</f>
        <v>203.5203520352035</v>
      </c>
      <c r="O44" s="743">
        <f>IF(ISNUMBER(HLOOKUP(O$1,Home!$D$9:$Y$84,$U44,FALSE)),HLOOKUP(O$1,Home!$D$9:$Y$84,$U44,FALSE),NA())</f>
        <v>297.56733275412688</v>
      </c>
      <c r="P44" s="743">
        <f>IF(ISNUMBER(HLOOKUP(P$1,Home!$D$9:$Y$84,$U44,FALSE)),HLOOKUP(P$1,Home!$D$9:$Y$84,$U44,FALSE),NA())</f>
        <v>109.92599042228996</v>
      </c>
      <c r="Q44" s="743">
        <f>IF(ISNUMBER(HLOOKUP(Q$1,Home!$D$9:$Y$84,$U44,FALSE)),HLOOKUP(Q$1,Home!$D$9:$Y$84,$U44,FALSE),NA())</f>
        <v>134.75177304964541</v>
      </c>
      <c r="R44" s="743">
        <f>IF(ISNUMBER(HLOOKUP(R$1,Home!$D$9:$Y$84,$U44,FALSE)),HLOOKUP(R$1,Home!$D$9:$Y$84,$U44,FALSE),NA())</f>
        <v>148.55270344074276</v>
      </c>
      <c r="S44" s="743">
        <f>IF(ISNUMBER(HLOOKUP(S$1,Home!$D$9:$Y$84,$U44,FALSE)),HLOOKUP(S$1,Home!$D$9:$Y$84,$U44,FALSE),NA())</f>
        <v>95.71788413098237</v>
      </c>
      <c r="T44" s="743">
        <f>IF(ISNUMBER(HLOOKUP(T$1,Home!$D$9:$Y$84,$U44,FALSE)),HLOOKUP(T$1,Home!$D$9:$Y$84,$U44,FALSE),NA())</f>
        <v>138.08686919407481</v>
      </c>
      <c r="U44" s="740">
        <f>VLOOKUP(A44,Home!C:AU,45,FALSE)</f>
        <v>51</v>
      </c>
      <c r="V44" s="745">
        <f t="array" ref="V44">SLOPE(IF(ISNA($B44:$T44),"",$B44:$T44),IF(ISNA($B$2:$T$2),"",$B$2:$T$2))</f>
        <v>8.2783546606052312</v>
      </c>
      <c r="W44" s="745">
        <f t="array" ref="W44">INTERCEPT(IF(ISNA($B44:$T44),"",$B44:$T44),IF(ISNA($B$2:$T$2),"",$B$2:$T$2))</f>
        <v>72.366983198545924</v>
      </c>
      <c r="X44" s="745">
        <f t="array" ref="X44">RSQ(IF(ISNA($B44:$T44),"",$B44:$T44),IF(ISNA($B$2:$T$2),"",$B$2:$T$2))</f>
        <v>0.5770258809726565</v>
      </c>
    </row>
    <row r="45" spans="1:24" ht="24">
      <c r="A45" s="742" t="str">
        <f>Home!C66</f>
        <v>Children who Started to be Looked After during the Year ending 31st March, Rate per 10,000 0-17 Year Olds</v>
      </c>
      <c r="B45" s="743">
        <f>IF(ISNUMBER(HLOOKUP(B$1,Home!$D$9:$Y$84,$U45,FALSE)),HLOOKUP(B$1,Home!$D$9:$Y$84,$U45,FALSE),NA())</f>
        <v>13.963067685970607</v>
      </c>
      <c r="C45" s="743">
        <f>IF(ISNUMBER(HLOOKUP(C$1,Home!$D$9:$Y$84,$U45,FALSE)),HLOOKUP(C$1,Home!$D$9:$Y$84,$U45,FALSE),NA())</f>
        <v>30.000428577551109</v>
      </c>
      <c r="D45" s="743">
        <f>IF(ISNUMBER(HLOOKUP(D$1,Home!$D$9:$Y$84,$U45,FALSE)),HLOOKUP(D$1,Home!$D$9:$Y$84,$U45,FALSE),NA())</f>
        <v>18.022818455366099</v>
      </c>
      <c r="E45" s="743">
        <f>IF(ISNUMBER(HLOOKUP(E$1,Home!$D$9:$Y$84,$U45,FALSE)),HLOOKUP(E$1,Home!$D$9:$Y$84,$U45,FALSE),NA())</f>
        <v>23.164681582147754</v>
      </c>
      <c r="F45" s="743">
        <f>IF(ISNUMBER(HLOOKUP(F$1,Home!$D$9:$Y$84,$U45,FALSE)),HLOOKUP(F$1,Home!$D$9:$Y$84,$U45,FALSE),NA())</f>
        <v>24.018766849900217</v>
      </c>
      <c r="G45" s="743">
        <f>IF(ISNUMBER(HLOOKUP(G$1,Home!$D$9:$Y$84,$U45,FALSE)),HLOOKUP(G$1,Home!$D$9:$Y$84,$U45,FALSE),NA())</f>
        <v>29.43937196006485</v>
      </c>
      <c r="H45" s="743">
        <f>IF(ISNUMBER(HLOOKUP(H$1,Home!$D$9:$Y$84,$U45,FALSE)),HLOOKUP(H$1,Home!$D$9:$Y$84,$U45,FALSE),NA())</f>
        <v>78.68929641835949</v>
      </c>
      <c r="I45" s="743">
        <f>IF(ISNUMBER(HLOOKUP(I$1,Home!$D$9:$Y$84,$U45,FALSE)),HLOOKUP(I$1,Home!$D$9:$Y$84,$U45,FALSE),NA())</f>
        <v>28.491310150404125</v>
      </c>
      <c r="J45" s="743">
        <f>IF(ISNUMBER(HLOOKUP(J$1,Home!$D$9:$Y$84,$U45,FALSE)),HLOOKUP(J$1,Home!$D$9:$Y$84,$U45,FALSE),NA())</f>
        <v>32.69365495830872</v>
      </c>
      <c r="K45" s="743">
        <f>IF(ISNUMBER(HLOOKUP(K$1,Home!$D$9:$Y$84,$U45,FALSE)),HLOOKUP(K$1,Home!$D$9:$Y$84,$U45,FALSE),NA())</f>
        <v>14.3601849119701</v>
      </c>
      <c r="L45" s="743">
        <f>IF(ISNUMBER(HLOOKUP(L$1,Home!$D$9:$Y$84,$U45,FALSE)),HLOOKUP(L$1,Home!$D$9:$Y$84,$U45,FALSE),NA())</f>
        <v>39.709740704847896</v>
      </c>
      <c r="M45" s="743">
        <f>IF(ISNUMBER(HLOOKUP(M$1,Home!$D$9:$Y$84,$U45,FALSE)),HLOOKUP(M$1,Home!$D$9:$Y$84,$U45,FALSE),NA())</f>
        <v>29.528856547760288</v>
      </c>
      <c r="N45" s="743">
        <f>IF(ISNUMBER(HLOOKUP(N$1,Home!$D$9:$Y$84,$U45,FALSE)),HLOOKUP(N$1,Home!$D$9:$Y$84,$U45,FALSE),NA())</f>
        <v>16.276840063323597</v>
      </c>
      <c r="O45" s="743">
        <f>IF(ISNUMBER(HLOOKUP(O$1,Home!$D$9:$Y$84,$U45,FALSE)),HLOOKUP(O$1,Home!$D$9:$Y$84,$U45,FALSE),NA())</f>
        <v>32.358604808131339</v>
      </c>
      <c r="P45" s="743">
        <f>IF(ISNUMBER(HLOOKUP(P$1,Home!$D$9:$Y$84,$U45,FALSE)),HLOOKUP(P$1,Home!$D$9:$Y$84,$U45,FALSE),NA())</f>
        <v>13.475262729982836</v>
      </c>
      <c r="Q45" s="743">
        <f>IF(ISNUMBER(HLOOKUP(Q$1,Home!$D$9:$Y$84,$U45,FALSE)),HLOOKUP(Q$1,Home!$D$9:$Y$84,$U45,FALSE),NA())</f>
        <v>19.815994338287329</v>
      </c>
      <c r="R45" s="743">
        <f>IF(ISNUMBER(HLOOKUP(R$1,Home!$D$9:$Y$84,$U45,FALSE)),HLOOKUP(R$1,Home!$D$9:$Y$84,$U45,FALSE),NA())</f>
        <v>22.904004290311047</v>
      </c>
      <c r="S45" s="743">
        <f>IF(ISNUMBER(HLOOKUP(S$1,Home!$D$9:$Y$84,$U45,FALSE)),HLOOKUP(S$1,Home!$D$9:$Y$84,$U45,FALSE),NA())</f>
        <v>18.37752690995012</v>
      </c>
      <c r="T45" s="743">
        <f>IF(ISNUMBER(HLOOKUP(T$1,Home!$D$9:$Y$84,$U45,FALSE)),HLOOKUP(T$1,Home!$D$9:$Y$84,$U45,FALSE),NA())</f>
        <v>13.390589647688969</v>
      </c>
      <c r="U45" s="740">
        <f>VLOOKUP(A45,Home!C:AU,45,FALSE)</f>
        <v>58</v>
      </c>
      <c r="V45" s="745">
        <f t="array" ref="V45">SLOPE(IF(ISNA($B45:$T45),"",$B45:$T45),IF(ISNA($B$2:$T$2),"",$B$2:$T$2))</f>
        <v>1.7305361881535337</v>
      </c>
      <c r="W45" s="745">
        <f t="array" ref="W45">INTERCEPT(IF(ISNA($B45:$T45),"",$B45:$T45),IF(ISNA($B$2:$T$2),"",$B$2:$T$2))</f>
        <v>3.6218848659467859</v>
      </c>
      <c r="X45" s="745">
        <f t="array" ref="X45">RSQ(IF(ISNA($B45:$T45),"",$B45:$T45),IF(ISNA($B$2:$T$2),"",$B$2:$T$2))</f>
        <v>0.30146593155672746</v>
      </c>
    </row>
    <row r="46" spans="1:24" ht="36">
      <c r="A46" s="742" t="str">
        <f>Home!C67</f>
        <v>% Children who Started to be Looked After during the Year ending 31st March, who were Remanded into Local Authority Care</v>
      </c>
      <c r="B46" s="743">
        <f>IF(ISNUMBER(HLOOKUP(B$1,Home!$D$9:$Y$84,$U46,FALSE)),HLOOKUP(B$1,Home!$D$9:$Y$84,$U46,FALSE),NA())</f>
        <v>0</v>
      </c>
      <c r="C46" s="743" t="e">
        <f>IF(ISNUMBER(HLOOKUP(C$1,Home!$D$9:$Y$84,$U46,FALSE)),HLOOKUP(C$1,Home!$D$9:$Y$84,$U46,FALSE),NA())</f>
        <v>#N/A</v>
      </c>
      <c r="D46" s="743">
        <f>IF(ISNUMBER(HLOOKUP(D$1,Home!$D$9:$Y$84,$U46,FALSE)),HLOOKUP(D$1,Home!$D$9:$Y$84,$U46,FALSE),NA())</f>
        <v>3.0434782608695653E-2</v>
      </c>
      <c r="E46" s="743" t="e">
        <f>IF(ISNUMBER(HLOOKUP(E$1,Home!$D$9:$Y$84,$U46,FALSE)),HLOOKUP(E$1,Home!$D$9:$Y$84,$U46,FALSE),NA())</f>
        <v>#N/A</v>
      </c>
      <c r="F46" s="743" t="e">
        <f>IF(ISNUMBER(HLOOKUP(F$1,Home!$D$9:$Y$84,$U46,FALSE)),HLOOKUP(F$1,Home!$D$9:$Y$84,$U46,FALSE),NA())</f>
        <v>#N/A</v>
      </c>
      <c r="G46" s="743" t="e">
        <f>IF(ISNUMBER(HLOOKUP(G$1,Home!$D$9:$Y$84,$U46,FALSE)),HLOOKUP(G$1,Home!$D$9:$Y$84,$U46,FALSE),NA())</f>
        <v>#N/A</v>
      </c>
      <c r="H46" s="743">
        <f>IF(ISNUMBER(HLOOKUP(H$1,Home!$D$9:$Y$84,$U46,FALSE)),HLOOKUP(H$1,Home!$D$9:$Y$84,$U46,FALSE),NA())</f>
        <v>6.2021160160525357E-3</v>
      </c>
      <c r="I46" s="743" t="e">
        <f>IF(ISNUMBER(HLOOKUP(I$1,Home!$D$9:$Y$84,$U46,FALSE)),HLOOKUP(I$1,Home!$D$9:$Y$84,$U46,FALSE),NA())</f>
        <v>#N/A</v>
      </c>
      <c r="J46" s="743" t="e">
        <f>IF(ISNUMBER(HLOOKUP(J$1,Home!$D$9:$Y$84,$U46,FALSE)),HLOOKUP(J$1,Home!$D$9:$Y$84,$U46,FALSE),NA())</f>
        <v>#N/A</v>
      </c>
      <c r="K46" s="743" t="e">
        <f>IF(ISNUMBER(HLOOKUP(K$1,Home!$D$9:$Y$84,$U46,FALSE)),HLOOKUP(K$1,Home!$D$9:$Y$84,$U46,FALSE),NA())</f>
        <v>#N/A</v>
      </c>
      <c r="L46" s="743" t="e">
        <f>IF(ISNUMBER(HLOOKUP(L$1,Home!$D$9:$Y$84,$U46,FALSE)),HLOOKUP(L$1,Home!$D$9:$Y$84,$U46,FALSE),NA())</f>
        <v>#N/A</v>
      </c>
      <c r="M46" s="743" t="e">
        <f>IF(ISNUMBER(HLOOKUP(M$1,Home!$D$9:$Y$84,$U46,FALSE)),HLOOKUP(M$1,Home!$D$9:$Y$84,$U46,FALSE),NA())</f>
        <v>#N/A</v>
      </c>
      <c r="N46" s="743" t="e">
        <f>IF(ISNUMBER(HLOOKUP(N$1,Home!$D$9:$Y$84,$U46,FALSE)),HLOOKUP(N$1,Home!$D$9:$Y$84,$U46,FALSE),NA())</f>
        <v>#N/A</v>
      </c>
      <c r="O46" s="743">
        <f>IF(ISNUMBER(HLOOKUP(O$1,Home!$D$9:$Y$84,$U46,FALSE)),HLOOKUP(O$1,Home!$D$9:$Y$84,$U46,FALSE),NA())</f>
        <v>4.9079754601226995E-2</v>
      </c>
      <c r="P46" s="743" t="e">
        <f>IF(ISNUMBER(HLOOKUP(P$1,Home!$D$9:$Y$84,$U46,FALSE)),HLOOKUP(P$1,Home!$D$9:$Y$84,$U46,FALSE),NA())</f>
        <v>#N/A</v>
      </c>
      <c r="Q46" s="743" t="e">
        <f>IF(ISNUMBER(HLOOKUP(Q$1,Home!$D$9:$Y$84,$U46,FALSE)),HLOOKUP(Q$1,Home!$D$9:$Y$84,$U46,FALSE),NA())</f>
        <v>#N/A</v>
      </c>
      <c r="R46" s="743" t="e">
        <f>IF(ISNUMBER(HLOOKUP(R$1,Home!$D$9:$Y$84,$U46,FALSE)),HLOOKUP(R$1,Home!$D$9:$Y$84,$U46,FALSE),NA())</f>
        <v>#N/A</v>
      </c>
      <c r="S46" s="743">
        <f>IF(ISNUMBER(HLOOKUP(S$1,Home!$D$9:$Y$84,$U46,FALSE)),HLOOKUP(S$1,Home!$D$9:$Y$84,$U46,FALSE),NA())</f>
        <v>0</v>
      </c>
      <c r="T46" s="743">
        <f>IF(ISNUMBER(HLOOKUP(T$1,Home!$D$9:$Y$84,$U46,FALSE)),HLOOKUP(T$1,Home!$D$9:$Y$84,$U46,FALSE),NA())</f>
        <v>0</v>
      </c>
      <c r="U46" s="740">
        <f>VLOOKUP(A46,Home!C:AU,45,FALSE)</f>
        <v>59</v>
      </c>
      <c r="V46" s="745">
        <f t="array" ref="V46">SLOPE(IF(ISNA($B46:$T46),"",$B46:$T46),IF(ISNA($B$2:$T$2),"",$B$2:$T$2))</f>
        <v>2.4472078616956266E-3</v>
      </c>
      <c r="W46" s="745">
        <f t="array" ref="W46">INTERCEPT(IF(ISNA($B46:$T46),"",$B46:$T46),IF(ISNA($B$2:$T$2),"",$B$2:$T$2))</f>
        <v>-1.2633177607656029E-2</v>
      </c>
      <c r="X46" s="745">
        <f t="array" ref="X46">RSQ(IF(ISNA($B46:$T46),"",$B46:$T46),IF(ISNA($B$2:$T$2),"",$B$2:$T$2))</f>
        <v>0.47821274894370069</v>
      </c>
    </row>
    <row r="47" spans="1:24" ht="24">
      <c r="A47" s="742" t="str">
        <f>Home!C68</f>
        <v>Children who Ceased to be Looked After during the Year ending 31st March, Rate per 10,000 0-17 Year Olds</v>
      </c>
      <c r="B47" s="743">
        <f>IF(ISNUMBER(HLOOKUP(B$1,Home!$D$9:$Y$84,$U47,FALSE)),HLOOKUP(B$1,Home!$D$9:$Y$84,$U47,FALSE),NA())</f>
        <v>19.897371452508114</v>
      </c>
      <c r="C47" s="743">
        <f>IF(ISNUMBER(HLOOKUP(C$1,Home!$D$9:$Y$84,$U47,FALSE)),HLOOKUP(C$1,Home!$D$9:$Y$84,$U47,FALSE),NA())</f>
        <v>28.928984699781424</v>
      </c>
      <c r="D47" s="743">
        <f>IF(ISNUMBER(HLOOKUP(D$1,Home!$D$9:$Y$84,$U47,FALSE)),HLOOKUP(D$1,Home!$D$9:$Y$84,$U47,FALSE),NA())</f>
        <v>15.985456369107322</v>
      </c>
      <c r="E47" s="743">
        <f>IF(ISNUMBER(HLOOKUP(E$1,Home!$D$9:$Y$84,$U47,FALSE)),HLOOKUP(E$1,Home!$D$9:$Y$84,$U47,FALSE),NA())</f>
        <v>22.68208404918634</v>
      </c>
      <c r="F47" s="743">
        <f>IF(ISNUMBER(HLOOKUP(F$1,Home!$D$9:$Y$84,$U47,FALSE)),HLOOKUP(F$1,Home!$D$9:$Y$84,$U47,FALSE),NA())</f>
        <v>22.443191764994221</v>
      </c>
      <c r="G47" s="743">
        <f>IF(ISNUMBER(HLOOKUP(G$1,Home!$D$9:$Y$84,$U47,FALSE)),HLOOKUP(G$1,Home!$D$9:$Y$84,$U47,FALSE),NA())</f>
        <v>35.83923542964417</v>
      </c>
      <c r="H47" s="743">
        <f>IF(ISNUMBER(HLOOKUP(H$1,Home!$D$9:$Y$84,$U47,FALSE)),HLOOKUP(H$1,Home!$D$9:$Y$84,$U47,FALSE),NA())</f>
        <v>78.517046955203668</v>
      </c>
      <c r="I47" s="743">
        <f>IF(ISNUMBER(HLOOKUP(I$1,Home!$D$9:$Y$84,$U47,FALSE)),HLOOKUP(I$1,Home!$D$9:$Y$84,$U47,FALSE),NA())</f>
        <v>27.741538830656651</v>
      </c>
      <c r="J47" s="743">
        <f>IF(ISNUMBER(HLOOKUP(J$1,Home!$D$9:$Y$84,$U47,FALSE)),HLOOKUP(J$1,Home!$D$9:$Y$84,$U47,FALSE),NA())</f>
        <v>24.863661964091925</v>
      </c>
      <c r="K47" s="743">
        <f>IF(ISNUMBER(HLOOKUP(K$1,Home!$D$9:$Y$84,$U47,FALSE)),HLOOKUP(K$1,Home!$D$9:$Y$84,$U47,FALSE),NA())</f>
        <v>21.966492901872069</v>
      </c>
      <c r="L47" s="743">
        <f>IF(ISNUMBER(HLOOKUP(L$1,Home!$D$9:$Y$84,$U47,FALSE)),HLOOKUP(L$1,Home!$D$9:$Y$84,$U47,FALSE),NA())</f>
        <v>36.873330654501622</v>
      </c>
      <c r="M47" s="743">
        <f>IF(ISNUMBER(HLOOKUP(M$1,Home!$D$9:$Y$84,$U47,FALSE)),HLOOKUP(M$1,Home!$D$9:$Y$84,$U47,FALSE),NA())</f>
        <v>25.574098974399536</v>
      </c>
      <c r="N47" s="743">
        <f>IF(ISNUMBER(HLOOKUP(N$1,Home!$D$9:$Y$84,$U47,FALSE)),HLOOKUP(N$1,Home!$D$9:$Y$84,$U47,FALSE),NA())</f>
        <v>27.648331066467478</v>
      </c>
      <c r="O47" s="743">
        <f>IF(ISNUMBER(HLOOKUP(O$1,Home!$D$9:$Y$84,$U47,FALSE)),HLOOKUP(O$1,Home!$D$9:$Y$84,$U47,FALSE),NA())</f>
        <v>42.483076251166302</v>
      </c>
      <c r="P47" s="743">
        <f>IF(ISNUMBER(HLOOKUP(P$1,Home!$D$9:$Y$84,$U47,FALSE)),HLOOKUP(P$1,Home!$D$9:$Y$84,$U47,FALSE),NA())</f>
        <v>15.771327049896112</v>
      </c>
      <c r="Q47" s="743">
        <f>IF(ISNUMBER(HLOOKUP(Q$1,Home!$D$9:$Y$84,$U47,FALSE)),HLOOKUP(Q$1,Home!$D$9:$Y$84,$U47,FALSE),NA())</f>
        <v>22.929936305732483</v>
      </c>
      <c r="R47" s="743">
        <f>IF(ISNUMBER(HLOOKUP(R$1,Home!$D$9:$Y$84,$U47,FALSE)),HLOOKUP(R$1,Home!$D$9:$Y$84,$U47,FALSE),NA())</f>
        <v>22.40123346442617</v>
      </c>
      <c r="S47" s="743">
        <f>IF(ISNUMBER(HLOOKUP(S$1,Home!$D$9:$Y$84,$U47,FALSE)),HLOOKUP(S$1,Home!$D$9:$Y$84,$U47,FALSE),NA())</f>
        <v>21.878008226131094</v>
      </c>
      <c r="T47" s="743">
        <f>IF(ISNUMBER(HLOOKUP(T$1,Home!$D$9:$Y$84,$U47,FALSE)),HLOOKUP(T$1,Home!$D$9:$Y$84,$U47,FALSE),NA())</f>
        <v>12.928845177079005</v>
      </c>
      <c r="U47" s="740">
        <f>VLOOKUP(A47,Home!C:AU,45,FALSE)</f>
        <v>60</v>
      </c>
      <c r="V47" s="745">
        <f t="array" ref="V47">SLOPE(IF(ISNA($B47:$T47),"",$B47:$T47),IF(ISNA($B$2:$T$2),"",$B$2:$T$2))</f>
        <v>1.7151989765341111</v>
      </c>
      <c r="W47" s="745">
        <f t="array" ref="W47">INTERCEPT(IF(ISNA($B47:$T47),"",$B47:$T47),IF(ISNA($B$2:$T$2),"",$B$2:$T$2))</f>
        <v>5.3314645166196151</v>
      </c>
      <c r="X47" s="745">
        <f t="array" ref="X47">RSQ(IF(ISNA($B47:$T47),"",$B47:$T47),IF(ISNA($B$2:$T$2),"",$B$2:$T$2))</f>
        <v>0.3180037601397625</v>
      </c>
    </row>
    <row r="48" spans="1:24" ht="36">
      <c r="A48" s="742" t="str">
        <f>Home!C69</f>
        <v>Net Number of Children becoming Looked After during the Year ending 31st March, Rate per 10,000 0-17 Year Olds</v>
      </c>
      <c r="B48" s="743">
        <f>IF(ISNUMBER(HLOOKUP(B$1,Home!$D$9:$Y$84,$U48,FALSE)),HLOOKUP(B$1,Home!$D$9:$Y$84,$U48,FALSE),NA())</f>
        <v>-5.9343037665375089</v>
      </c>
      <c r="C48" s="743">
        <f>IF(ISNUMBER(HLOOKUP(C$1,Home!$D$9:$Y$84,$U48,FALSE)),HLOOKUP(C$1,Home!$D$9:$Y$84,$U48,FALSE),NA())</f>
        <v>1.0714438777696824</v>
      </c>
      <c r="D48" s="743">
        <f>IF(ISNUMBER(HLOOKUP(D$1,Home!$D$9:$Y$84,$U48,FALSE)),HLOOKUP(D$1,Home!$D$9:$Y$84,$U48,FALSE),NA())</f>
        <v>2.0373620862587765</v>
      </c>
      <c r="E48" s="743">
        <f>IF(ISNUMBER(HLOOKUP(E$1,Home!$D$9:$Y$84,$U48,FALSE)),HLOOKUP(E$1,Home!$D$9:$Y$84,$U48,FALSE),NA())</f>
        <v>0.4825975329614115</v>
      </c>
      <c r="F48" s="743">
        <f>IF(ISNUMBER(HLOOKUP(F$1,Home!$D$9:$Y$84,$U48,FALSE)),HLOOKUP(F$1,Home!$D$9:$Y$84,$U48,FALSE),NA())</f>
        <v>1.5755750849059906</v>
      </c>
      <c r="G48" s="743">
        <f>IF(ISNUMBER(HLOOKUP(G$1,Home!$D$9:$Y$84,$U48,FALSE)),HLOOKUP(G$1,Home!$D$9:$Y$84,$U48,FALSE),NA())</f>
        <v>-6.3998634695793166</v>
      </c>
      <c r="H48" s="743">
        <f>IF(ISNUMBER(HLOOKUP(H$1,Home!$D$9:$Y$84,$U48,FALSE)),HLOOKUP(H$1,Home!$D$9:$Y$84,$U48,FALSE),NA())</f>
        <v>0.17224946315583983</v>
      </c>
      <c r="I48" s="743">
        <f>IF(ISNUMBER(HLOOKUP(I$1,Home!$D$9:$Y$84,$U48,FALSE)),HLOOKUP(I$1,Home!$D$9:$Y$84,$U48,FALSE),NA())</f>
        <v>0.74977131974747702</v>
      </c>
      <c r="J48" s="743">
        <f>IF(ISNUMBER(HLOOKUP(J$1,Home!$D$9:$Y$84,$U48,FALSE)),HLOOKUP(J$1,Home!$D$9:$Y$84,$U48,FALSE),NA())</f>
        <v>7.8299929942167941</v>
      </c>
      <c r="K48" s="743">
        <f>IF(ISNUMBER(HLOOKUP(K$1,Home!$D$9:$Y$84,$U48,FALSE)),HLOOKUP(K$1,Home!$D$9:$Y$84,$U48,FALSE),NA())</f>
        <v>-7.6063079899019703</v>
      </c>
      <c r="L48" s="743">
        <f>IF(ISNUMBER(HLOOKUP(L$1,Home!$D$9:$Y$84,$U48,FALSE)),HLOOKUP(L$1,Home!$D$9:$Y$84,$U48,FALSE),NA())</f>
        <v>2.8364100503462781</v>
      </c>
      <c r="M48" s="743">
        <f>IF(ISNUMBER(HLOOKUP(M$1,Home!$D$9:$Y$84,$U48,FALSE)),HLOOKUP(M$1,Home!$D$9:$Y$84,$U48,FALSE),NA())</f>
        <v>3.954757573360753</v>
      </c>
      <c r="N48" s="743">
        <f>IF(ISNUMBER(HLOOKUP(N$1,Home!$D$9:$Y$84,$U48,FALSE)),HLOOKUP(N$1,Home!$D$9:$Y$84,$U48,FALSE),NA())</f>
        <v>-11.371491003143884</v>
      </c>
      <c r="O48" s="743">
        <f>IF(ISNUMBER(HLOOKUP(O$1,Home!$D$9:$Y$84,$U48,FALSE)),HLOOKUP(O$1,Home!$D$9:$Y$84,$U48,FALSE),NA())</f>
        <v>-10.12447144303496</v>
      </c>
      <c r="P48" s="743">
        <f>IF(ISNUMBER(HLOOKUP(P$1,Home!$D$9:$Y$84,$U48,FALSE)),HLOOKUP(P$1,Home!$D$9:$Y$84,$U48,FALSE),NA())</f>
        <v>-2.2960643199132766</v>
      </c>
      <c r="Q48" s="743">
        <f>IF(ISNUMBER(HLOOKUP(Q$1,Home!$D$9:$Y$84,$U48,FALSE)),HLOOKUP(Q$1,Home!$D$9:$Y$84,$U48,FALSE),NA())</f>
        <v>-3.1139419674451521</v>
      </c>
      <c r="R48" s="743">
        <f>IF(ISNUMBER(HLOOKUP(R$1,Home!$D$9:$Y$84,$U48,FALSE)),HLOOKUP(R$1,Home!$D$9:$Y$84,$U48,FALSE),NA())</f>
        <v>0.50277082588487665</v>
      </c>
      <c r="S48" s="743">
        <f>IF(ISNUMBER(HLOOKUP(S$1,Home!$D$9:$Y$84,$U48,FALSE)),HLOOKUP(S$1,Home!$D$9:$Y$84,$U48,FALSE),NA())</f>
        <v>-3.5004813161809749</v>
      </c>
      <c r="T48" s="743">
        <f>IF(ISNUMBER(HLOOKUP(T$1,Home!$D$9:$Y$84,$U48,FALSE)),HLOOKUP(T$1,Home!$D$9:$Y$84,$U48,FALSE),NA())</f>
        <v>0.46174447060996449</v>
      </c>
      <c r="U48" s="740">
        <f>VLOOKUP(A48,Home!C:AU,45,FALSE)</f>
        <v>61</v>
      </c>
      <c r="V48" s="745">
        <f t="array" ref="V48">SLOPE(IF(ISNA($B48:$T48),"",$B48:$T48),IF(ISNA($B$2:$T$2),"",$B$2:$T$2))</f>
        <v>1.5337211619422426E-2</v>
      </c>
      <c r="W48" s="745">
        <f t="array" ref="W48">INTERCEPT(IF(ISNA($B48:$T48),"",$B48:$T48),IF(ISNA($B$2:$T$2),"",$B$2:$T$2))</f>
        <v>-1.7095796506728276</v>
      </c>
      <c r="X48" s="745">
        <f t="array" ref="X48">RSQ(IF(ISNA($B48:$T48),"",$B48:$T48),IF(ISNA($B$2:$T$2),"",$B$2:$T$2))</f>
        <v>2.116317073175013E-4</v>
      </c>
    </row>
    <row r="49" spans="1:24" ht="36">
      <c r="A49" s="742" t="str">
        <f>Home!C70</f>
        <v>% Children who ceased to be Looked After during the Year ending 31st March who were granted a Child Arrangement Order</v>
      </c>
      <c r="B49" s="743" t="e">
        <f>IF(ISNUMBER(HLOOKUP(B$1,Home!$D$9:$Y$84,$U49,FALSE)),HLOOKUP(B$1,Home!$D$9:$Y$84,$U49,FALSE),NA())</f>
        <v>#N/A</v>
      </c>
      <c r="C49" s="743" t="e">
        <f>IF(ISNUMBER(HLOOKUP(C$1,Home!$D$9:$Y$84,$U49,FALSE)),HLOOKUP(C$1,Home!$D$9:$Y$84,$U49,FALSE),NA())</f>
        <v>#N/A</v>
      </c>
      <c r="D49" s="743" t="e">
        <f>IF(ISNUMBER(HLOOKUP(D$1,Home!$D$9:$Y$84,$U49,FALSE)),HLOOKUP(D$1,Home!$D$9:$Y$84,$U49,FALSE),NA())</f>
        <v>#N/A</v>
      </c>
      <c r="E49" s="743">
        <f>IF(ISNUMBER(HLOOKUP(E$1,Home!$D$9:$Y$84,$U49,FALSE)),HLOOKUP(E$1,Home!$D$9:$Y$84,$U49,FALSE),NA())</f>
        <v>5.106382978723404E-2</v>
      </c>
      <c r="F49" s="743">
        <f>IF(ISNUMBER(HLOOKUP(F$1,Home!$D$9:$Y$84,$U49,FALSE)),HLOOKUP(F$1,Home!$D$9:$Y$84,$U49,FALSE),NA())</f>
        <v>3.7441497659906398E-2</v>
      </c>
      <c r="G49" s="743" t="e">
        <f>IF(ISNUMBER(HLOOKUP(G$1,Home!$D$9:$Y$84,$U49,FALSE)),HLOOKUP(G$1,Home!$D$9:$Y$84,$U49,FALSE),NA())</f>
        <v>#N/A</v>
      </c>
      <c r="H49" s="743">
        <f>IF(ISNUMBER(HLOOKUP(H$1,Home!$D$9:$Y$84,$U49,FALSE)),HLOOKUP(H$1,Home!$D$9:$Y$84,$U49,FALSE),NA())</f>
        <v>1.0968921389396709E-2</v>
      </c>
      <c r="I49" s="743">
        <f>IF(ISNUMBER(HLOOKUP(I$1,Home!$D$9:$Y$84,$U49,FALSE)),HLOOKUP(I$1,Home!$D$9:$Y$84,$U49,FALSE),NA())</f>
        <v>3.2432432432432434E-2</v>
      </c>
      <c r="J49" s="743" t="e">
        <f>IF(ISNUMBER(HLOOKUP(J$1,Home!$D$9:$Y$84,$U49,FALSE)),HLOOKUP(J$1,Home!$D$9:$Y$84,$U49,FALSE),NA())</f>
        <v>#N/A</v>
      </c>
      <c r="K49" s="743">
        <f>IF(ISNUMBER(HLOOKUP(K$1,Home!$D$9:$Y$84,$U49,FALSE)),HLOOKUP(K$1,Home!$D$9:$Y$84,$U49,FALSE),NA())</f>
        <v>6.2686567164179099E-2</v>
      </c>
      <c r="L49" s="743">
        <f>IF(ISNUMBER(HLOOKUP(L$1,Home!$D$9:$Y$84,$U49,FALSE)),HLOOKUP(L$1,Home!$D$9:$Y$84,$U49,FALSE),NA())</f>
        <v>6.4102564102564097E-2</v>
      </c>
      <c r="M49" s="743">
        <f>IF(ISNUMBER(HLOOKUP(M$1,Home!$D$9:$Y$84,$U49,FALSE)),HLOOKUP(M$1,Home!$D$9:$Y$84,$U49,FALSE),NA())</f>
        <v>0</v>
      </c>
      <c r="N49" s="743">
        <f>IF(ISNUMBER(HLOOKUP(N$1,Home!$D$9:$Y$84,$U49,FALSE)),HLOOKUP(N$1,Home!$D$9:$Y$84,$U49,FALSE),NA())</f>
        <v>6.4516129032258063E-2</v>
      </c>
      <c r="O49" s="743">
        <f>IF(ISNUMBER(HLOOKUP(O$1,Home!$D$9:$Y$84,$U49,FALSE)),HLOOKUP(O$1,Home!$D$9:$Y$84,$U49,FALSE),NA())</f>
        <v>3.2710280373831772E-2</v>
      </c>
      <c r="P49" s="743">
        <f>IF(ISNUMBER(HLOOKUP(P$1,Home!$D$9:$Y$84,$U49,FALSE)),HLOOKUP(P$1,Home!$D$9:$Y$84,$U49,FALSE),NA())</f>
        <v>1.6706443914081145E-2</v>
      </c>
      <c r="Q49" s="743" t="e">
        <f>IF(ISNUMBER(HLOOKUP(Q$1,Home!$D$9:$Y$84,$U49,FALSE)),HLOOKUP(Q$1,Home!$D$9:$Y$84,$U49,FALSE),NA())</f>
        <v>#N/A</v>
      </c>
      <c r="R49" s="743" t="e">
        <f>IF(ISNUMBER(HLOOKUP(R$1,Home!$D$9:$Y$84,$U49,FALSE)),HLOOKUP(R$1,Home!$D$9:$Y$84,$U49,FALSE),NA())</f>
        <v>#N/A</v>
      </c>
      <c r="S49" s="743" t="e">
        <f>IF(ISNUMBER(HLOOKUP(S$1,Home!$D$9:$Y$84,$U49,FALSE)),HLOOKUP(S$1,Home!$D$9:$Y$84,$U49,FALSE),NA())</f>
        <v>#N/A</v>
      </c>
      <c r="T49" s="743" t="e">
        <f>IF(ISNUMBER(HLOOKUP(T$1,Home!$D$9:$Y$84,$U49,FALSE)),HLOOKUP(T$1,Home!$D$9:$Y$84,$U49,FALSE),NA())</f>
        <v>#N/A</v>
      </c>
      <c r="U49" s="740">
        <f>VLOOKUP(A49,Home!C:AU,45,FALSE)</f>
        <v>62</v>
      </c>
      <c r="V49" s="745">
        <f t="array" ref="V49">SLOPE(IF(ISNA($B49:$T49),"",$B49:$T49),IF(ISNA($B$2:$T$2),"",$B$2:$T$2))</f>
        <v>3.3673106262837145E-4</v>
      </c>
      <c r="W49" s="745">
        <f t="array" ref="W49">INTERCEPT(IF(ISNA($B49:$T49),"",$B49:$T49),IF(ISNA($B$2:$T$2),"",$B$2:$T$2))</f>
        <v>3.2188329471778819E-2</v>
      </c>
      <c r="X49" s="745">
        <f t="array" ref="X49">RSQ(IF(ISNA($B49:$T49),"",$B49:$T49),IF(ISNA($B$2:$T$2),"",$B$2:$T$2))</f>
        <v>3.9375459422459781E-3</v>
      </c>
    </row>
    <row r="50" spans="1:24" ht="36">
      <c r="A50" s="742" t="str">
        <f>Home!C71</f>
        <v>% Children who ceased to be Looked After during the Year ending 31st March who were granted a Special Guardianship Order</v>
      </c>
      <c r="B50" s="743" t="e">
        <f>IF(ISNUMBER(HLOOKUP(B$1,Home!$D$9:$Y$84,$U50,FALSE)),HLOOKUP(B$1,Home!$D$9:$Y$84,$U50,FALSE),NA())</f>
        <v>#N/A</v>
      </c>
      <c r="C50" s="743">
        <f>IF(ISNUMBER(HLOOKUP(C$1,Home!$D$9:$Y$84,$U50,FALSE)),HLOOKUP(C$1,Home!$D$9:$Y$84,$U50,FALSE),NA())</f>
        <v>0.1037037037037037</v>
      </c>
      <c r="D50" s="743">
        <f>IF(ISNUMBER(HLOOKUP(D$1,Home!$D$9:$Y$84,$U50,FALSE)),HLOOKUP(D$1,Home!$D$9:$Y$84,$U50,FALSE),NA())</f>
        <v>8.8235294117647065E-2</v>
      </c>
      <c r="E50" s="743">
        <f>IF(ISNUMBER(HLOOKUP(E$1,Home!$D$9:$Y$84,$U50,FALSE)),HLOOKUP(E$1,Home!$D$9:$Y$84,$U50,FALSE),NA())</f>
        <v>0.16170212765957448</v>
      </c>
      <c r="F50" s="743">
        <f>IF(ISNUMBER(HLOOKUP(F$1,Home!$D$9:$Y$84,$U50,FALSE)),HLOOKUP(F$1,Home!$D$9:$Y$84,$U50,FALSE),NA())</f>
        <v>0.11388455538221529</v>
      </c>
      <c r="G50" s="743" t="e">
        <f>IF(ISNUMBER(HLOOKUP(G$1,Home!$D$9:$Y$84,$U50,FALSE)),HLOOKUP(G$1,Home!$D$9:$Y$84,$U50,FALSE),NA())</f>
        <v>#N/A</v>
      </c>
      <c r="H50" s="743">
        <f>IF(ISNUMBER(HLOOKUP(H$1,Home!$D$9:$Y$84,$U50,FALSE)),HLOOKUP(H$1,Home!$D$9:$Y$84,$U50,FALSE),NA())</f>
        <v>1.4259597806215722E-2</v>
      </c>
      <c r="I50" s="743">
        <f>IF(ISNUMBER(HLOOKUP(I$1,Home!$D$9:$Y$84,$U50,FALSE)),HLOOKUP(I$1,Home!$D$9:$Y$84,$U50,FALSE),NA())</f>
        <v>0.12432432432432433</v>
      </c>
      <c r="J50" s="743">
        <f>IF(ISNUMBER(HLOOKUP(J$1,Home!$D$9:$Y$84,$U50,FALSE)),HLOOKUP(J$1,Home!$D$9:$Y$84,$U50,FALSE),NA())</f>
        <v>0.18232044198895028</v>
      </c>
      <c r="K50" s="743">
        <f>IF(ISNUMBER(HLOOKUP(K$1,Home!$D$9:$Y$84,$U50,FALSE)),HLOOKUP(K$1,Home!$D$9:$Y$84,$U50,FALSE),NA())</f>
        <v>8.3582089552238809E-2</v>
      </c>
      <c r="L50" s="743">
        <f>IF(ISNUMBER(HLOOKUP(L$1,Home!$D$9:$Y$84,$U50,FALSE)),HLOOKUP(L$1,Home!$D$9:$Y$84,$U50,FALSE),NA())</f>
        <v>0.10256410256410256</v>
      </c>
      <c r="M50" s="743">
        <f>IF(ISNUMBER(HLOOKUP(M$1,Home!$D$9:$Y$84,$U50,FALSE)),HLOOKUP(M$1,Home!$D$9:$Y$84,$U50,FALSE),NA())</f>
        <v>0.15463917525773196</v>
      </c>
      <c r="N50" s="743">
        <f>IF(ISNUMBER(HLOOKUP(N$1,Home!$D$9:$Y$84,$U50,FALSE)),HLOOKUP(N$1,Home!$D$9:$Y$84,$U50,FALSE),NA())</f>
        <v>0.10483870967741936</v>
      </c>
      <c r="O50" s="743">
        <f>IF(ISNUMBER(HLOOKUP(O$1,Home!$D$9:$Y$84,$U50,FALSE)),HLOOKUP(O$1,Home!$D$9:$Y$84,$U50,FALSE),NA())</f>
        <v>0.13084112149532709</v>
      </c>
      <c r="P50" s="743">
        <f>IF(ISNUMBER(HLOOKUP(P$1,Home!$D$9:$Y$84,$U50,FALSE)),HLOOKUP(P$1,Home!$D$9:$Y$84,$U50,FALSE),NA())</f>
        <v>7.1599045346062054E-2</v>
      </c>
      <c r="Q50" s="743">
        <f>IF(ISNUMBER(HLOOKUP(Q$1,Home!$D$9:$Y$84,$U50,FALSE)),HLOOKUP(Q$1,Home!$D$9:$Y$84,$U50,FALSE),NA())</f>
        <v>0.12345679012345678</v>
      </c>
      <c r="R50" s="743">
        <f>IF(ISNUMBER(HLOOKUP(R$1,Home!$D$9:$Y$84,$U50,FALSE)),HLOOKUP(R$1,Home!$D$9:$Y$84,$U50,FALSE),NA())</f>
        <v>0.10224438902743142</v>
      </c>
      <c r="S50" s="743" t="e">
        <f>IF(ISNUMBER(HLOOKUP(S$1,Home!$D$9:$Y$84,$U50,FALSE)),HLOOKUP(S$1,Home!$D$9:$Y$84,$U50,FALSE),NA())</f>
        <v>#N/A</v>
      </c>
      <c r="T50" s="743" t="e">
        <f>IF(ISNUMBER(HLOOKUP(T$1,Home!$D$9:$Y$84,$U50,FALSE)),HLOOKUP(T$1,Home!$D$9:$Y$84,$U50,FALSE),NA())</f>
        <v>#N/A</v>
      </c>
      <c r="U50" s="740">
        <f>VLOOKUP(A50,Home!C:AU,45,FALSE)</f>
        <v>63</v>
      </c>
      <c r="V50" s="745">
        <f t="array" ref="V50">SLOPE(IF(ISNA($B50:$T50),"",$B50:$T50),IF(ISNA($B$2:$T$2),"",$B$2:$T$2))</f>
        <v>2.5012841835025772E-3</v>
      </c>
      <c r="W50" s="745">
        <f t="array" ref="W50">INTERCEPT(IF(ISNA($B50:$T50),"",$B50:$T50),IF(ISNA($B$2:$T$2),"",$B$2:$T$2))</f>
        <v>7.5928454455844119E-2</v>
      </c>
      <c r="X50" s="745">
        <f t="array" ref="X50">RSQ(IF(ISNA($B50:$T50),"",$B50:$T50),IF(ISNA($B$2:$T$2),"",$B$2:$T$2))</f>
        <v>6.878245292094308E-2</v>
      </c>
    </row>
    <row r="51" spans="1:24" ht="24">
      <c r="A51" s="742" t="str">
        <f>Home!C72</f>
        <v>Number of Care Leavers Aged 19-21 at 31st March, Rate per 10,000 19-21 Year Olds</v>
      </c>
      <c r="B51" s="743">
        <f>IF(ISNUMBER(HLOOKUP(B$1,Home!$D$9:$Y$84,$U51,FALSE)),HLOOKUP(B$1,Home!$D$9:$Y$84,$U51,FALSE),NA())</f>
        <v>262.22537207654142</v>
      </c>
      <c r="C51" s="743">
        <f>IF(ISNUMBER(HLOOKUP(C$1,Home!$D$9:$Y$84,$U51,FALSE)),HLOOKUP(C$1,Home!$D$9:$Y$84,$U51,FALSE),NA())</f>
        <v>109.25990013348495</v>
      </c>
      <c r="D51" s="743">
        <f>IF(ISNUMBER(HLOOKUP(D$1,Home!$D$9:$Y$84,$U51,FALSE)),HLOOKUP(D$1,Home!$D$9:$Y$84,$U51,FALSE),NA())</f>
        <v>196.45888915837983</v>
      </c>
      <c r="E51" s="743">
        <f>IF(ISNUMBER(HLOOKUP(E$1,Home!$D$9:$Y$84,$U51,FALSE)),HLOOKUP(E$1,Home!$D$9:$Y$84,$U51,FALSE),NA())</f>
        <v>205.35302261190586</v>
      </c>
      <c r="F51" s="743">
        <f>IF(ISNUMBER(HLOOKUP(F$1,Home!$D$9:$Y$84,$U51,FALSE)),HLOOKUP(F$1,Home!$D$9:$Y$84,$U51,FALSE),NA())</f>
        <v>196.41426558744718</v>
      </c>
      <c r="G51" s="743">
        <f>IF(ISNUMBER(HLOOKUP(G$1,Home!$D$9:$Y$84,$U51,FALSE)),HLOOKUP(G$1,Home!$D$9:$Y$84,$U51,FALSE),NA())</f>
        <v>316.1917998610146</v>
      </c>
      <c r="H51" s="743">
        <f>IF(ISNUMBER(HLOOKUP(H$1,Home!$D$9:$Y$84,$U51,FALSE)),HLOOKUP(H$1,Home!$D$9:$Y$84,$U51,FALSE),NA())</f>
        <v>268.3590613009726</v>
      </c>
      <c r="I51" s="743">
        <f>IF(ISNUMBER(HLOOKUP(I$1,Home!$D$9:$Y$84,$U51,FALSE)),HLOOKUP(I$1,Home!$D$9:$Y$84,$U51,FALSE),NA())</f>
        <v>173.36394948335246</v>
      </c>
      <c r="J51" s="743">
        <f>IF(ISNUMBER(HLOOKUP(J$1,Home!$D$9:$Y$84,$U51,FALSE)),HLOOKUP(J$1,Home!$D$9:$Y$84,$U51,FALSE),NA())</f>
        <v>268.49391693469443</v>
      </c>
      <c r="K51" s="743">
        <f>IF(ISNUMBER(HLOOKUP(K$1,Home!$D$9:$Y$84,$U51,FALSE)),HLOOKUP(K$1,Home!$D$9:$Y$84,$U51,FALSE),NA())</f>
        <v>121.27479552505406</v>
      </c>
      <c r="L51" s="743">
        <f>IF(ISNUMBER(HLOOKUP(L$1,Home!$D$9:$Y$84,$U51,FALSE)),HLOOKUP(L$1,Home!$D$9:$Y$84,$U51,FALSE),NA())</f>
        <v>164.01661653058301</v>
      </c>
      <c r="M51" s="743">
        <f>IF(ISNUMBER(HLOOKUP(M$1,Home!$D$9:$Y$84,$U51,FALSE)),HLOOKUP(M$1,Home!$D$9:$Y$84,$U51,FALSE),NA())</f>
        <v>134.06940063091483</v>
      </c>
      <c r="N51" s="743">
        <f>IF(ISNUMBER(HLOOKUP(N$1,Home!$D$9:$Y$84,$U51,FALSE)),HLOOKUP(N$1,Home!$D$9:$Y$84,$U51,FALSE),NA())</f>
        <v>234.01587964897618</v>
      </c>
      <c r="O51" s="743">
        <f>IF(ISNUMBER(HLOOKUP(O$1,Home!$D$9:$Y$84,$U51,FALSE)),HLOOKUP(O$1,Home!$D$9:$Y$84,$U51,FALSE),NA())</f>
        <v>102.29633970909478</v>
      </c>
      <c r="P51" s="743">
        <f>IF(ISNUMBER(HLOOKUP(P$1,Home!$D$9:$Y$84,$U51,FALSE)),HLOOKUP(P$1,Home!$D$9:$Y$84,$U51,FALSE),NA())</f>
        <v>168.91338754570759</v>
      </c>
      <c r="Q51" s="743">
        <f>IF(ISNUMBER(HLOOKUP(Q$1,Home!$D$9:$Y$84,$U51,FALSE)),HLOOKUP(Q$1,Home!$D$9:$Y$84,$U51,FALSE),NA())</f>
        <v>309.02004454342983</v>
      </c>
      <c r="R51" s="743">
        <f>IF(ISNUMBER(HLOOKUP(R$1,Home!$D$9:$Y$84,$U51,FALSE)),HLOOKUP(R$1,Home!$D$9:$Y$84,$U51,FALSE),NA())</f>
        <v>221.90506882740206</v>
      </c>
      <c r="S51" s="743">
        <f>IF(ISNUMBER(HLOOKUP(S$1,Home!$D$9:$Y$84,$U51,FALSE)),HLOOKUP(S$1,Home!$D$9:$Y$84,$U51,FALSE),NA())</f>
        <v>212.63091082196129</v>
      </c>
      <c r="T51" s="743">
        <f>IF(ISNUMBER(HLOOKUP(T$1,Home!$D$9:$Y$84,$U51,FALSE)),HLOOKUP(T$1,Home!$D$9:$Y$84,$U51,FALSE),NA())</f>
        <v>154.80498592681946</v>
      </c>
      <c r="U51" s="740">
        <f>VLOOKUP(A51,Home!C:AU,45,FALSE)</f>
        <v>64</v>
      </c>
      <c r="V51" s="745">
        <f t="array" ref="V51">SLOPE(IF(ISNA($B51:$T51),"",$B51:$T51),IF(ISNA($B$2:$T$2),"",$B$2:$T$2))</f>
        <v>-1.7159552203700559</v>
      </c>
      <c r="W51" s="745">
        <f t="array" ref="W51">INTERCEPT(IF(ISNA($B51:$T51),"",$B51:$T51),IF(ISNA($B$2:$T$2),"",$B$2:$T$2))</f>
        <v>223.43741492619256</v>
      </c>
      <c r="X51" s="745">
        <f t="array" ref="X51">RSQ(IF(ISNA($B51:$T51),"",$B51:$T51),IF(ISNA($B$2:$T$2),"",$B$2:$T$2))</f>
        <v>1.5934809727396589E-2</v>
      </c>
    </row>
    <row r="52" spans="1:24">
      <c r="A52" s="742" t="str">
        <f>Home!C73</f>
        <v>% Care leavers aged 19-21 who were 'In Touch'</v>
      </c>
      <c r="B52" s="743">
        <f>IF(ISNUMBER(HLOOKUP(B$1,Home!$D$9:$Y$84,$U52,FALSE)),HLOOKUP(B$1,Home!$D$9:$Y$84,$U52,FALSE),NA())</f>
        <v>0.93243243243243246</v>
      </c>
      <c r="C52" s="743">
        <f>IF(ISNUMBER(HLOOKUP(C$1,Home!$D$9:$Y$84,$U52,FALSE)),HLOOKUP(C$1,Home!$D$9:$Y$84,$U52,FALSE),NA())</f>
        <v>0.95927601809954754</v>
      </c>
      <c r="D52" s="743">
        <f>IF(ISNUMBER(HLOOKUP(D$1,Home!$D$9:$Y$84,$U52,FALSE)),HLOOKUP(D$1,Home!$D$9:$Y$84,$U52,FALSE),NA())</f>
        <v>0.92181069958847739</v>
      </c>
      <c r="E52" s="743">
        <f>IF(ISNUMBER(HLOOKUP(E$1,Home!$D$9:$Y$84,$U52,FALSE)),HLOOKUP(E$1,Home!$D$9:$Y$84,$U52,FALSE),NA())</f>
        <v>0.92509363295880154</v>
      </c>
      <c r="F52" s="743">
        <f>IF(ISNUMBER(HLOOKUP(F$1,Home!$D$9:$Y$84,$U52,FALSE)),HLOOKUP(F$1,Home!$D$9:$Y$84,$U52,FALSE),NA())</f>
        <v>0.35864978902953587</v>
      </c>
      <c r="G52" s="743">
        <f>IF(ISNUMBER(HLOOKUP(G$1,Home!$D$9:$Y$84,$U52,FALSE)),HLOOKUP(G$1,Home!$D$9:$Y$84,$U52,FALSE),NA())</f>
        <v>0.92307692307692313</v>
      </c>
      <c r="H52" s="743">
        <f>IF(ISNUMBER(HLOOKUP(H$1,Home!$D$9:$Y$84,$U52,FALSE)),HLOOKUP(H$1,Home!$D$9:$Y$84,$U52,FALSE),NA())</f>
        <v>0.92186201163757275</v>
      </c>
      <c r="I52" s="743">
        <f>IF(ISNUMBER(HLOOKUP(I$1,Home!$D$9:$Y$84,$U52,FALSE)),HLOOKUP(I$1,Home!$D$9:$Y$84,$U52,FALSE),NA())</f>
        <v>0.9668874172185431</v>
      </c>
      <c r="J52" s="743">
        <f>IF(ISNUMBER(HLOOKUP(J$1,Home!$D$9:$Y$84,$U52,FALSE)),HLOOKUP(J$1,Home!$D$9:$Y$84,$U52,FALSE),NA())</f>
        <v>0.92708333333333337</v>
      </c>
      <c r="K52" s="743">
        <f>IF(ISNUMBER(HLOOKUP(K$1,Home!$D$9:$Y$84,$U52,FALSE)),HLOOKUP(K$1,Home!$D$9:$Y$84,$U52,FALSE),NA())</f>
        <v>0.90180878552971577</v>
      </c>
      <c r="L52" s="743">
        <f>IF(ISNUMBER(HLOOKUP(L$1,Home!$D$9:$Y$84,$U52,FALSE)),HLOOKUP(L$1,Home!$D$9:$Y$84,$U52,FALSE),NA())</f>
        <v>0.93013100436681218</v>
      </c>
      <c r="M52" s="743">
        <f>IF(ISNUMBER(HLOOKUP(M$1,Home!$D$9:$Y$84,$U52,FALSE)),HLOOKUP(M$1,Home!$D$9:$Y$84,$U52,FALSE),NA())</f>
        <v>0.8529411764705882</v>
      </c>
      <c r="N52" s="743">
        <f>IF(ISNUMBER(HLOOKUP(N$1,Home!$D$9:$Y$84,$U52,FALSE)),HLOOKUP(N$1,Home!$D$9:$Y$84,$U52,FALSE),NA())</f>
        <v>0.75</v>
      </c>
      <c r="O52" s="743">
        <f>IF(ISNUMBER(HLOOKUP(O$1,Home!$D$9:$Y$84,$U52,FALSE)),HLOOKUP(O$1,Home!$D$9:$Y$84,$U52,FALSE),NA())</f>
        <v>0.86458333333333337</v>
      </c>
      <c r="P52" s="743">
        <f>IF(ISNUMBER(HLOOKUP(P$1,Home!$D$9:$Y$84,$U52,FALSE)),HLOOKUP(P$1,Home!$D$9:$Y$84,$U52,FALSE),NA())</f>
        <v>0.93376413570274641</v>
      </c>
      <c r="Q52" s="743">
        <f>IF(ISNUMBER(HLOOKUP(Q$1,Home!$D$9:$Y$84,$U52,FALSE)),HLOOKUP(Q$1,Home!$D$9:$Y$84,$U52,FALSE),NA())</f>
        <v>0.87387387387387383</v>
      </c>
      <c r="R52" s="743">
        <f>IF(ISNUMBER(HLOOKUP(R$1,Home!$D$9:$Y$84,$U52,FALSE)),HLOOKUP(R$1,Home!$D$9:$Y$84,$U52,FALSE),NA())</f>
        <v>0.95643153526970959</v>
      </c>
      <c r="S52" s="743">
        <f>IF(ISNUMBER(HLOOKUP(S$1,Home!$D$9:$Y$84,$U52,FALSE)),HLOOKUP(S$1,Home!$D$9:$Y$84,$U52,FALSE),NA())</f>
        <v>0.97014925373134331</v>
      </c>
      <c r="T52" s="743">
        <f>IF(ISNUMBER(HLOOKUP(T$1,Home!$D$9:$Y$84,$U52,FALSE)),HLOOKUP(T$1,Home!$D$9:$Y$84,$U52,FALSE),NA())</f>
        <v>0.96103896103896103</v>
      </c>
      <c r="U52" s="740">
        <f>VLOOKUP(A52,Home!C:AU,45,FALSE)</f>
        <v>65</v>
      </c>
      <c r="V52" s="745">
        <f t="array" ref="V52">SLOPE(IF(ISNA($B52:$T52),"",$B52:$T52),IF(ISNA($B$2:$T$2),"",$B$2:$T$2))</f>
        <v>1.7408977681569887E-3</v>
      </c>
      <c r="W52" s="745">
        <f t="array" ref="W52">INTERCEPT(IF(ISNA($B52:$T52),"",$B52:$T52),IF(ISNA($B$2:$T$2),"",$B$2:$T$2))</f>
        <v>0.86307659532010828</v>
      </c>
      <c r="X52" s="745">
        <f t="array" ref="X52">RSQ(IF(ISNA($B52:$T52),"",$B52:$T52),IF(ISNA($B$2:$T$2),"",$B$2:$T$2))</f>
        <v>3.5422362075238655E-3</v>
      </c>
    </row>
    <row r="53" spans="1:24">
      <c r="A53" s="742" t="str">
        <f>Home!C74</f>
        <v>% Care Leavers aged 19-21 in Suitable Accommodation</v>
      </c>
      <c r="B53" s="743">
        <f>IF(ISNUMBER(HLOOKUP(B$1,Home!$D$9:$Y$84,$U53,FALSE)),HLOOKUP(B$1,Home!$D$9:$Y$84,$U53,FALSE),NA())</f>
        <v>0.8783783783783784</v>
      </c>
      <c r="C53" s="743">
        <f>IF(ISNUMBER(HLOOKUP(C$1,Home!$D$9:$Y$84,$U53,FALSE)),HLOOKUP(C$1,Home!$D$9:$Y$84,$U53,FALSE),NA())</f>
        <v>0.91855203619909498</v>
      </c>
      <c r="D53" s="743">
        <f>IF(ISNUMBER(HLOOKUP(D$1,Home!$D$9:$Y$84,$U53,FALSE)),HLOOKUP(D$1,Home!$D$9:$Y$84,$U53,FALSE),NA())</f>
        <v>0.88065843621399176</v>
      </c>
      <c r="E53" s="743">
        <f>IF(ISNUMBER(HLOOKUP(E$1,Home!$D$9:$Y$84,$U53,FALSE)),HLOOKUP(E$1,Home!$D$9:$Y$84,$U53,FALSE),NA())</f>
        <v>0.90636704119850187</v>
      </c>
      <c r="F53" s="743">
        <f>IF(ISNUMBER(HLOOKUP(F$1,Home!$D$9:$Y$84,$U53,FALSE)),HLOOKUP(F$1,Home!$D$9:$Y$84,$U53,FALSE),NA())</f>
        <v>0.3263009845288326</v>
      </c>
      <c r="G53" s="743">
        <f>IF(ISNUMBER(HLOOKUP(G$1,Home!$D$9:$Y$84,$U53,FALSE)),HLOOKUP(G$1,Home!$D$9:$Y$84,$U53,FALSE),NA())</f>
        <v>0.87912087912087911</v>
      </c>
      <c r="H53" s="743">
        <f>IF(ISNUMBER(HLOOKUP(H$1,Home!$D$9:$Y$84,$U53,FALSE)),HLOOKUP(H$1,Home!$D$9:$Y$84,$U53,FALSE),NA())</f>
        <v>0.83624272651704068</v>
      </c>
      <c r="I53" s="743">
        <f>IF(ISNUMBER(HLOOKUP(I$1,Home!$D$9:$Y$84,$U53,FALSE)),HLOOKUP(I$1,Home!$D$9:$Y$84,$U53,FALSE),NA())</f>
        <v>0.93377483443708609</v>
      </c>
      <c r="J53" s="743">
        <f>IF(ISNUMBER(HLOOKUP(J$1,Home!$D$9:$Y$84,$U53,FALSE)),HLOOKUP(J$1,Home!$D$9:$Y$84,$U53,FALSE),NA())</f>
        <v>0.875</v>
      </c>
      <c r="K53" s="743">
        <f>IF(ISNUMBER(HLOOKUP(K$1,Home!$D$9:$Y$84,$U53,FALSE)),HLOOKUP(K$1,Home!$D$9:$Y$84,$U53,FALSE),NA())</f>
        <v>0.89922480620155043</v>
      </c>
      <c r="L53" s="743">
        <f>IF(ISNUMBER(HLOOKUP(L$1,Home!$D$9:$Y$84,$U53,FALSE)),HLOOKUP(L$1,Home!$D$9:$Y$84,$U53,FALSE),NA())</f>
        <v>0.85152838427947597</v>
      </c>
      <c r="M53" s="743">
        <f>IF(ISNUMBER(HLOOKUP(M$1,Home!$D$9:$Y$84,$U53,FALSE)),HLOOKUP(M$1,Home!$D$9:$Y$84,$U53,FALSE),NA())</f>
        <v>0.80882352941176472</v>
      </c>
      <c r="N53" s="743">
        <f>IF(ISNUMBER(HLOOKUP(N$1,Home!$D$9:$Y$84,$U53,FALSE)),HLOOKUP(N$1,Home!$D$9:$Y$84,$U53,FALSE),NA())</f>
        <v>0.8839285714285714</v>
      </c>
      <c r="O53" s="743">
        <f>IF(ISNUMBER(HLOOKUP(O$1,Home!$D$9:$Y$84,$U53,FALSE)),HLOOKUP(O$1,Home!$D$9:$Y$84,$U53,FALSE),NA())</f>
        <v>0.78645833333333337</v>
      </c>
      <c r="P53" s="743">
        <f>IF(ISNUMBER(HLOOKUP(P$1,Home!$D$9:$Y$84,$U53,FALSE)),HLOOKUP(P$1,Home!$D$9:$Y$84,$U53,FALSE),NA())</f>
        <v>0.88206785137318255</v>
      </c>
      <c r="Q53" s="743">
        <f>IF(ISNUMBER(HLOOKUP(Q$1,Home!$D$9:$Y$84,$U53,FALSE)),HLOOKUP(Q$1,Home!$D$9:$Y$84,$U53,FALSE),NA())</f>
        <v>0.87387387387387383</v>
      </c>
      <c r="R53" s="743">
        <f>IF(ISNUMBER(HLOOKUP(R$1,Home!$D$9:$Y$84,$U53,FALSE)),HLOOKUP(R$1,Home!$D$9:$Y$84,$U53,FALSE),NA())</f>
        <v>0.88796680497925307</v>
      </c>
      <c r="S53" s="743">
        <f>IF(ISNUMBER(HLOOKUP(S$1,Home!$D$9:$Y$84,$U53,FALSE)),HLOOKUP(S$1,Home!$D$9:$Y$84,$U53,FALSE),NA())</f>
        <v>0.89552238805970152</v>
      </c>
      <c r="T53" s="743">
        <f>IF(ISNUMBER(HLOOKUP(T$1,Home!$D$9:$Y$84,$U53,FALSE)),HLOOKUP(T$1,Home!$D$9:$Y$84,$U53,FALSE),NA())</f>
        <v>0.93506493506493504</v>
      </c>
      <c r="U53" s="740">
        <f>VLOOKUP(A53,Home!C:AU,45,FALSE)</f>
        <v>66</v>
      </c>
      <c r="V53" s="745">
        <f t="array" ref="V53">SLOPE(IF(ISNA($B53:$T53),"",$B53:$T53),IF(ISNA($B$2:$T$2),"",$B$2:$T$2))</f>
        <v>8.2450312785165285E-4</v>
      </c>
      <c r="W53" s="745">
        <f t="array" ref="W53">INTERCEPT(IF(ISNA($B53:$T53),"",$B53:$T53),IF(ISNA($B$2:$T$2),"",$B$2:$T$2))</f>
        <v>0.83863411671795252</v>
      </c>
      <c r="X53" s="745">
        <f t="array" ref="X53">RSQ(IF(ISNA($B53:$T53),"",$B53:$T53),IF(ISNA($B$2:$T$2),"",$B$2:$T$2))</f>
        <v>8.6396889327933126E-4</v>
      </c>
    </row>
    <row r="54" spans="1:24" ht="24">
      <c r="A54" s="742" t="str">
        <f>Home!C75</f>
        <v>% Care Leavers aged 19-21 in Employment, Education or Training</v>
      </c>
      <c r="B54" s="743">
        <f>IF(ISNUMBER(HLOOKUP(B$1,Home!$D$9:$Y$84,$U54,FALSE)),HLOOKUP(B$1,Home!$D$9:$Y$84,$U54,FALSE),NA())</f>
        <v>0.54054054054054057</v>
      </c>
      <c r="C54" s="743">
        <f>IF(ISNUMBER(HLOOKUP(C$1,Home!$D$9:$Y$84,$U54,FALSE)),HLOOKUP(C$1,Home!$D$9:$Y$84,$U54,FALSE),NA())</f>
        <v>0.64253393665158376</v>
      </c>
      <c r="D54" s="743">
        <f>IF(ISNUMBER(HLOOKUP(D$1,Home!$D$9:$Y$84,$U54,FALSE)),HLOOKUP(D$1,Home!$D$9:$Y$84,$U54,FALSE),NA())</f>
        <v>0.51440329218106995</v>
      </c>
      <c r="E54" s="743">
        <f>IF(ISNUMBER(HLOOKUP(E$1,Home!$D$9:$Y$84,$U54,FALSE)),HLOOKUP(E$1,Home!$D$9:$Y$84,$U54,FALSE),NA())</f>
        <v>0.58052434456928836</v>
      </c>
      <c r="F54" s="743">
        <f>IF(ISNUMBER(HLOOKUP(F$1,Home!$D$9:$Y$84,$U54,FALSE)),HLOOKUP(F$1,Home!$D$9:$Y$84,$U54,FALSE),NA())</f>
        <v>0.21518987341772153</v>
      </c>
      <c r="G54" s="743">
        <f>IF(ISNUMBER(HLOOKUP(G$1,Home!$D$9:$Y$84,$U54,FALSE)),HLOOKUP(G$1,Home!$D$9:$Y$84,$U54,FALSE),NA())</f>
        <v>0.68131868131868134</v>
      </c>
      <c r="H54" s="743">
        <f>IF(ISNUMBER(HLOOKUP(H$1,Home!$D$9:$Y$84,$U54,FALSE)),HLOOKUP(H$1,Home!$D$9:$Y$84,$U54,FALSE),NA())</f>
        <v>0.55195344970906068</v>
      </c>
      <c r="I54" s="743">
        <f>IF(ISNUMBER(HLOOKUP(I$1,Home!$D$9:$Y$84,$U54,FALSE)),HLOOKUP(I$1,Home!$D$9:$Y$84,$U54,FALSE),NA())</f>
        <v>0.49668874172185429</v>
      </c>
      <c r="J54" s="743">
        <f>IF(ISNUMBER(HLOOKUP(J$1,Home!$D$9:$Y$84,$U54,FALSE)),HLOOKUP(J$1,Home!$D$9:$Y$84,$U54,FALSE),NA())</f>
        <v>0.58854166666666663</v>
      </c>
      <c r="K54" s="743">
        <f>IF(ISNUMBER(HLOOKUP(K$1,Home!$D$9:$Y$84,$U54,FALSE)),HLOOKUP(K$1,Home!$D$9:$Y$84,$U54,FALSE),NA())</f>
        <v>0.60723514211886309</v>
      </c>
      <c r="L54" s="743">
        <f>IF(ISNUMBER(HLOOKUP(L$1,Home!$D$9:$Y$84,$U54,FALSE)),HLOOKUP(L$1,Home!$D$9:$Y$84,$U54,FALSE),NA())</f>
        <v>0.51528384279475981</v>
      </c>
      <c r="M54" s="743">
        <f>IF(ISNUMBER(HLOOKUP(M$1,Home!$D$9:$Y$84,$U54,FALSE)),HLOOKUP(M$1,Home!$D$9:$Y$84,$U54,FALSE),NA())</f>
        <v>0.43382352941176472</v>
      </c>
      <c r="N54" s="743">
        <f>IF(ISNUMBER(HLOOKUP(N$1,Home!$D$9:$Y$84,$U54,FALSE)),HLOOKUP(N$1,Home!$D$9:$Y$84,$U54,FALSE),NA())</f>
        <v>0.4375</v>
      </c>
      <c r="O54" s="743">
        <f>IF(ISNUMBER(HLOOKUP(O$1,Home!$D$9:$Y$84,$U54,FALSE)),HLOOKUP(O$1,Home!$D$9:$Y$84,$U54,FALSE),NA())</f>
        <v>0.44270833333333331</v>
      </c>
      <c r="P54" s="743">
        <f>IF(ISNUMBER(HLOOKUP(P$1,Home!$D$9:$Y$84,$U54,FALSE)),HLOOKUP(P$1,Home!$D$9:$Y$84,$U54,FALSE),NA())</f>
        <v>0.55411954765751215</v>
      </c>
      <c r="Q54" s="743">
        <f>IF(ISNUMBER(HLOOKUP(Q$1,Home!$D$9:$Y$84,$U54,FALSE)),HLOOKUP(Q$1,Home!$D$9:$Y$84,$U54,FALSE),NA())</f>
        <v>0.65765765765765771</v>
      </c>
      <c r="R54" s="743">
        <f>IF(ISNUMBER(HLOOKUP(R$1,Home!$D$9:$Y$84,$U54,FALSE)),HLOOKUP(R$1,Home!$D$9:$Y$84,$U54,FALSE),NA())</f>
        <v>0.56639004149377592</v>
      </c>
      <c r="S54" s="743">
        <f>IF(ISNUMBER(HLOOKUP(S$1,Home!$D$9:$Y$84,$U54,FALSE)),HLOOKUP(S$1,Home!$D$9:$Y$84,$U54,FALSE),NA())</f>
        <v>0.59701492537313428</v>
      </c>
      <c r="T54" s="743">
        <f>IF(ISNUMBER(HLOOKUP(T$1,Home!$D$9:$Y$84,$U54,FALSE)),HLOOKUP(T$1,Home!$D$9:$Y$84,$U54,FALSE),NA())</f>
        <v>0.53246753246753242</v>
      </c>
      <c r="U54" s="740">
        <f>VLOOKUP(A54,Home!C:AU,45,FALSE)</f>
        <v>67</v>
      </c>
      <c r="V54" s="745">
        <f t="array" ref="V54">SLOPE(IF(ISNA($B54:$T54),"",$B54:$T54),IF(ISNA($B$2:$T$2),"",$B$2:$T$2))</f>
        <v>-1.2978419055189312E-3</v>
      </c>
      <c r="W54" s="745">
        <f t="array" ref="W54">INTERCEPT(IF(ISNA($B54:$T54),"",$B54:$T54),IF(ISNA($B$2:$T$2),"",$B$2:$T$2))</f>
        <v>0.55148836886398434</v>
      </c>
      <c r="X54" s="745">
        <f t="array" ref="X54">RSQ(IF(ISNA($B54:$T54),"",$B54:$T54),IF(ISNA($B$2:$T$2),"",$B$2:$T$2))</f>
        <v>3.422906037135639E-3</v>
      </c>
    </row>
    <row r="55" spans="1:24" ht="24">
      <c r="A55" s="742" t="str">
        <f>Home!C76</f>
        <v>% of Care Leavers aged 19-20 who left care on their 18th birthday and remain with their former Foster Carer/s</v>
      </c>
      <c r="B55" s="743">
        <f>IF(ISNUMBER(HLOOKUP(B$1,Home!$D$9:$Y$84,$U55,FALSE)),HLOOKUP(B$1,Home!$D$9:$Y$84,$U55,FALSE),NA())</f>
        <v>0.53846153846153844</v>
      </c>
      <c r="C55" s="743">
        <f>IF(ISNUMBER(HLOOKUP(C$1,Home!$D$9:$Y$84,$U55,FALSE)),HLOOKUP(C$1,Home!$D$9:$Y$84,$U55,FALSE),NA())</f>
        <v>0.27868852459016391</v>
      </c>
      <c r="D55" s="743">
        <f>IF(ISNUMBER(HLOOKUP(D$1,Home!$D$9:$Y$84,$U55,FALSE)),HLOOKUP(D$1,Home!$D$9:$Y$84,$U55,FALSE),NA())</f>
        <v>0.22916666666666666</v>
      </c>
      <c r="E55" s="743">
        <f>IF(ISNUMBER(HLOOKUP(E$1,Home!$D$9:$Y$84,$U55,FALSE)),HLOOKUP(E$1,Home!$D$9:$Y$84,$U55,FALSE),NA())</f>
        <v>0.35714285714285715</v>
      </c>
      <c r="F55" s="743">
        <f>IF(ISNUMBER(HLOOKUP(F$1,Home!$D$9:$Y$84,$U55,FALSE)),HLOOKUP(F$1,Home!$D$9:$Y$84,$U55,FALSE),NA())</f>
        <v>0.13815789473684212</v>
      </c>
      <c r="G55" s="743" t="e">
        <f>IF(ISNUMBER(HLOOKUP(G$1,Home!$D$9:$Y$84,$U55,FALSE)),HLOOKUP(G$1,Home!$D$9:$Y$84,$U55,FALSE),NA())</f>
        <v>#N/A</v>
      </c>
      <c r="H55" s="743">
        <f>IF(ISNUMBER(HLOOKUP(H$1,Home!$D$9:$Y$84,$U55,FALSE)),HLOOKUP(H$1,Home!$D$9:$Y$84,$U55,FALSE),NA())</f>
        <v>8.8050314465408799E-2</v>
      </c>
      <c r="I55" s="743">
        <f>IF(ISNUMBER(HLOOKUP(I$1,Home!$D$9:$Y$84,$U55,FALSE)),HLOOKUP(I$1,Home!$D$9:$Y$84,$U55,FALSE),NA())</f>
        <v>0.20512820512820512</v>
      </c>
      <c r="J55" s="743">
        <f>IF(ISNUMBER(HLOOKUP(J$1,Home!$D$9:$Y$84,$U55,FALSE)),HLOOKUP(J$1,Home!$D$9:$Y$84,$U55,FALSE),NA())</f>
        <v>0.34210526315789475</v>
      </c>
      <c r="K55" s="743">
        <f>IF(ISNUMBER(HLOOKUP(K$1,Home!$D$9:$Y$84,$U55,FALSE)),HLOOKUP(K$1,Home!$D$9:$Y$84,$U55,FALSE),NA())</f>
        <v>0.27659574468085107</v>
      </c>
      <c r="L55" s="743">
        <f>IF(ISNUMBER(HLOOKUP(L$1,Home!$D$9:$Y$84,$U55,FALSE)),HLOOKUP(L$1,Home!$D$9:$Y$84,$U55,FALSE),NA())</f>
        <v>0.18461538461538463</v>
      </c>
      <c r="M55" s="743">
        <f>IF(ISNUMBER(HLOOKUP(M$1,Home!$D$9:$Y$84,$U55,FALSE)),HLOOKUP(M$1,Home!$D$9:$Y$84,$U55,FALSE),NA())</f>
        <v>0.36</v>
      </c>
      <c r="N55" s="743">
        <f>IF(ISNUMBER(HLOOKUP(N$1,Home!$D$9:$Y$84,$U55,FALSE)),HLOOKUP(N$1,Home!$D$9:$Y$84,$U55,FALSE),NA())</f>
        <v>0.25</v>
      </c>
      <c r="O55" s="743">
        <f>IF(ISNUMBER(HLOOKUP(O$1,Home!$D$9:$Y$84,$U55,FALSE)),HLOOKUP(O$1,Home!$D$9:$Y$84,$U55,FALSE),NA())</f>
        <v>0.40909090909090912</v>
      </c>
      <c r="P55" s="743">
        <f>IF(ISNUMBER(HLOOKUP(P$1,Home!$D$9:$Y$84,$U55,FALSE)),HLOOKUP(P$1,Home!$D$9:$Y$84,$U55,FALSE),NA())</f>
        <v>0.31578947368421051</v>
      </c>
      <c r="Q55" s="743">
        <f>IF(ISNUMBER(HLOOKUP(Q$1,Home!$D$9:$Y$84,$U55,FALSE)),HLOOKUP(Q$1,Home!$D$9:$Y$84,$U55,FALSE),NA())</f>
        <v>0.47826086956521741</v>
      </c>
      <c r="R55" s="743">
        <f>IF(ISNUMBER(HLOOKUP(R$1,Home!$D$9:$Y$84,$U55,FALSE)),HLOOKUP(R$1,Home!$D$9:$Y$84,$U55,FALSE),NA())</f>
        <v>0.39325842696629215</v>
      </c>
      <c r="S55" s="743" t="e">
        <f>IF(ISNUMBER(HLOOKUP(S$1,Home!$D$9:$Y$84,$U55,FALSE)),HLOOKUP(S$1,Home!$D$9:$Y$84,$U55,FALSE),NA())</f>
        <v>#N/A</v>
      </c>
      <c r="T55" s="743" t="e">
        <f>IF(ISNUMBER(HLOOKUP(T$1,Home!$D$9:$Y$84,$U55,FALSE)),HLOOKUP(T$1,Home!$D$9:$Y$84,$U55,FALSE),NA())</f>
        <v>#N/A</v>
      </c>
      <c r="U55" s="740">
        <f>VLOOKUP(A55,Home!C:AU,45,FALSE)</f>
        <v>68</v>
      </c>
      <c r="V55" s="745">
        <f t="array" ref="V55">SLOPE(IF(ISNA($B55:$T55),"",$B55:$T55),IF(ISNA($B$2:$T$2),"",$B$2:$T$2))</f>
        <v>-7.4394057667675146E-3</v>
      </c>
      <c r="W55" s="745">
        <f t="array" ref="W55">INTERCEPT(IF(ISNA($B55:$T55),"",$B55:$T55),IF(ISNA($B$2:$T$2),"",$B$2:$T$2))</f>
        <v>0.40419040441777726</v>
      </c>
      <c r="X55" s="745">
        <f t="array" ref="X55">RSQ(IF(ISNA($B55:$T55),"",$B55:$T55),IF(ISNA($B$2:$T$2),"",$B$2:$T$2))</f>
        <v>6.8847535294597251E-2</v>
      </c>
    </row>
    <row r="56" spans="1:24" ht="24">
      <c r="A56" s="742" t="str">
        <f>Home!C77</f>
        <v>Children placed for Adoption at 31st March, Rate per 10,000 0-17 Year Olds</v>
      </c>
      <c r="B56" s="743">
        <f>IF(ISNUMBER(HLOOKUP(B$1,Home!$D$9:$Y$84,$U56,FALSE)),HLOOKUP(B$1,Home!$D$9:$Y$84,$U56,FALSE),NA())</f>
        <v>0</v>
      </c>
      <c r="C56" s="743">
        <f>IF(ISNUMBER(HLOOKUP(C$1,Home!$D$9:$Y$84,$U56,FALSE)),HLOOKUP(C$1,Home!$D$9:$Y$84,$U56,FALSE),NA())</f>
        <v>2.1428877555393648</v>
      </c>
      <c r="D56" s="743" t="e">
        <f>IF(ISNUMBER(HLOOKUP(D$1,Home!$D$9:$Y$84,$U56,FALSE)),HLOOKUP(D$1,Home!$D$9:$Y$84,$U56,FALSE),NA())</f>
        <v>#N/A</v>
      </c>
      <c r="E56" s="743">
        <f>IF(ISNUMBER(HLOOKUP(E$1,Home!$D$9:$Y$84,$U56,FALSE)),HLOOKUP(E$1,Home!$D$9:$Y$84,$U56,FALSE),NA())</f>
        <v>1.3512730922919522</v>
      </c>
      <c r="F56" s="743">
        <f>IF(ISNUMBER(HLOOKUP(F$1,Home!$D$9:$Y$84,$U56,FALSE)),HLOOKUP(F$1,Home!$D$9:$Y$84,$U56,FALSE),NA())</f>
        <v>0.91033227127901684</v>
      </c>
      <c r="G56" s="743" t="e">
        <f>IF(ISNUMBER(HLOOKUP(G$1,Home!$D$9:$Y$84,$U56,FALSE)),HLOOKUP(G$1,Home!$D$9:$Y$84,$U56,FALSE),NA())</f>
        <v>#N/A</v>
      </c>
      <c r="H56" s="743">
        <f>IF(ISNUMBER(HLOOKUP(H$1,Home!$D$9:$Y$84,$U56,FALSE)),HLOOKUP(H$1,Home!$D$9:$Y$84,$U56,FALSE),NA())</f>
        <v>1.3779957052467187</v>
      </c>
      <c r="I56" s="743">
        <f>IF(ISNUMBER(HLOOKUP(I$1,Home!$D$9:$Y$84,$U56,FALSE)),HLOOKUP(I$1,Home!$D$9:$Y$84,$U56,FALSE),NA())</f>
        <v>1.1996341115959632</v>
      </c>
      <c r="J56" s="743">
        <f>IF(ISNUMBER(HLOOKUP(J$1,Home!$D$9:$Y$84,$U56,FALSE)),HLOOKUP(J$1,Home!$D$9:$Y$84,$U56,FALSE),NA())</f>
        <v>1.5110512795856972</v>
      </c>
      <c r="K56" s="743" t="e">
        <f>IF(ISNUMBER(HLOOKUP(K$1,Home!$D$9:$Y$84,$U56,FALSE)),HLOOKUP(K$1,Home!$D$9:$Y$84,$U56,FALSE),NA())</f>
        <v>#N/A</v>
      </c>
      <c r="L56" s="743">
        <f>IF(ISNUMBER(HLOOKUP(L$1,Home!$D$9:$Y$84,$U56,FALSE)),HLOOKUP(L$1,Home!$D$9:$Y$84,$U56,FALSE),NA())</f>
        <v>2.3636750419552319</v>
      </c>
      <c r="M56" s="743" t="e">
        <f>IF(ISNUMBER(HLOOKUP(M$1,Home!$D$9:$Y$84,$U56,FALSE)),HLOOKUP(M$1,Home!$D$9:$Y$84,$U56,FALSE),NA())</f>
        <v>#N/A</v>
      </c>
      <c r="N56" s="743">
        <f>IF(ISNUMBER(HLOOKUP(N$1,Home!$D$9:$Y$84,$U56,FALSE)),HLOOKUP(N$1,Home!$D$9:$Y$84,$U56,FALSE),NA())</f>
        <v>2.2297041182635065</v>
      </c>
      <c r="O56" s="743">
        <f>IF(ISNUMBER(HLOOKUP(O$1,Home!$D$9:$Y$84,$U56,FALSE)),HLOOKUP(O$1,Home!$D$9:$Y$84,$U56,FALSE),NA())</f>
        <v>2.9777857185396939</v>
      </c>
      <c r="P56" s="743">
        <f>IF(ISNUMBER(HLOOKUP(P$1,Home!$D$9:$Y$84,$U56,FALSE)),HLOOKUP(P$1,Home!$D$9:$Y$84,$U56,FALSE),NA())</f>
        <v>0.56460598030654341</v>
      </c>
      <c r="Q56" s="743">
        <f>IF(ISNUMBER(HLOOKUP(Q$1,Home!$D$9:$Y$84,$U56,FALSE)),HLOOKUP(Q$1,Home!$D$9:$Y$84,$U56,FALSE),NA())</f>
        <v>1.981599433828733</v>
      </c>
      <c r="R56" s="743">
        <f>IF(ISNUMBER(HLOOKUP(R$1,Home!$D$9:$Y$84,$U56,FALSE)),HLOOKUP(R$1,Home!$D$9:$Y$84,$U56,FALSE),NA())</f>
        <v>1.6200393278512693</v>
      </c>
      <c r="S56" s="743" t="e">
        <f>IF(ISNUMBER(HLOOKUP(S$1,Home!$D$9:$Y$84,$U56,FALSE)),HLOOKUP(S$1,Home!$D$9:$Y$84,$U56,FALSE),NA())</f>
        <v>#N/A</v>
      </c>
      <c r="T56" s="743" t="e">
        <f>IF(ISNUMBER(HLOOKUP(T$1,Home!$D$9:$Y$84,$U56,FALSE)),HLOOKUP(T$1,Home!$D$9:$Y$84,$U56,FALSE),NA())</f>
        <v>#N/A</v>
      </c>
      <c r="U56" s="740">
        <f>VLOOKUP(A56,Home!C:AU,45,FALSE)</f>
        <v>69</v>
      </c>
      <c r="V56" s="745">
        <f t="array" ref="V56">SLOPE(IF(ISNA($B56:$T56),"",$B56:$T56),IF(ISNA($B$2:$T$2),"",$B$2:$T$2))</f>
        <v>0.11761223207257165</v>
      </c>
      <c r="W56" s="745">
        <f t="array" ref="W56">INTERCEPT(IF(ISNA($B56:$T56),"",$B56:$T56),IF(ISNA($B$2:$T$2),"",$B$2:$T$2))</f>
        <v>-0.103943134541016</v>
      </c>
      <c r="X56" s="745">
        <f t="array" ref="X56">RSQ(IF(ISNA($B56:$T56),"",$B56:$T56),IF(ISNA($B$2:$T$2),"",$B$2:$T$2))</f>
        <v>0.40729097985398899</v>
      </c>
    </row>
    <row r="57" spans="1:24" ht="36">
      <c r="A57" s="742" t="str">
        <f>Home!C78</f>
        <v>Average days, between a child entering care and moving in with their adoptive family, adjusted for Foster Carer Adoptions (children adopted in Year ending 31st March)</v>
      </c>
      <c r="B57" s="743">
        <f>IF(ISNUMBER(HLOOKUP(B$1,Home!$D$9:$Y$84,$U57,FALSE)),HLOOKUP(B$1,Home!$D$9:$Y$84,$U57,FALSE),NA())</f>
        <v>139.66666666666666</v>
      </c>
      <c r="C57" s="743">
        <f>IF(ISNUMBER(HLOOKUP(C$1,Home!$D$9:$Y$84,$U57,FALSE)),HLOOKUP(C$1,Home!$D$9:$Y$84,$U57,FALSE),NA())</f>
        <v>724.68181818181813</v>
      </c>
      <c r="D57" s="743">
        <f>IF(ISNUMBER(HLOOKUP(D$1,Home!$D$9:$Y$84,$U57,FALSE)),HLOOKUP(D$1,Home!$D$9:$Y$84,$U57,FALSE),NA())</f>
        <v>275.5</v>
      </c>
      <c r="E57" s="743">
        <f>IF(ISNUMBER(HLOOKUP(E$1,Home!$D$9:$Y$84,$U57,FALSE)),HLOOKUP(E$1,Home!$D$9:$Y$84,$U57,FALSE),NA())</f>
        <v>503.15789473684208</v>
      </c>
      <c r="F57" s="743">
        <f>IF(ISNUMBER(HLOOKUP(F$1,Home!$D$9:$Y$84,$U57,FALSE)),HLOOKUP(F$1,Home!$D$9:$Y$84,$U57,FALSE),NA())</f>
        <v>393.34285714285716</v>
      </c>
      <c r="G57" s="743">
        <f>IF(ISNUMBER(HLOOKUP(G$1,Home!$D$9:$Y$84,$U57,FALSE)),HLOOKUP(G$1,Home!$D$9:$Y$84,$U57,FALSE),NA())</f>
        <v>425.85714285714283</v>
      </c>
      <c r="H57" s="743">
        <f>IF(ISNUMBER(HLOOKUP(H$1,Home!$D$9:$Y$84,$U57,FALSE)),HLOOKUP(H$1,Home!$D$9:$Y$84,$U57,FALSE),NA())</f>
        <v>345.9264705882353</v>
      </c>
      <c r="I57" s="743">
        <f>IF(ISNUMBER(HLOOKUP(I$1,Home!$D$9:$Y$84,$U57,FALSE)),HLOOKUP(I$1,Home!$D$9:$Y$84,$U57,FALSE),NA())</f>
        <v>472.66666666666669</v>
      </c>
      <c r="J57" s="743">
        <f>IF(ISNUMBER(HLOOKUP(J$1,Home!$D$9:$Y$84,$U57,FALSE)),HLOOKUP(J$1,Home!$D$9:$Y$84,$U57,FALSE),NA())</f>
        <v>490.70588235294116</v>
      </c>
      <c r="K57" s="743">
        <f>IF(ISNUMBER(HLOOKUP(K$1,Home!$D$9:$Y$84,$U57,FALSE)),HLOOKUP(K$1,Home!$D$9:$Y$84,$U57,FALSE),NA())</f>
        <v>519.44000000000005</v>
      </c>
      <c r="L57" s="743">
        <f>IF(ISNUMBER(HLOOKUP(L$1,Home!$D$9:$Y$84,$U57,FALSE)),HLOOKUP(L$1,Home!$D$9:$Y$84,$U57,FALSE),NA())</f>
        <v>324.22222222222223</v>
      </c>
      <c r="M57" s="743">
        <f>IF(ISNUMBER(HLOOKUP(M$1,Home!$D$9:$Y$84,$U57,FALSE)),HLOOKUP(M$1,Home!$D$9:$Y$84,$U57,FALSE),NA())</f>
        <v>584.4</v>
      </c>
      <c r="N57" s="743">
        <f>IF(ISNUMBER(HLOOKUP(N$1,Home!$D$9:$Y$84,$U57,FALSE)),HLOOKUP(N$1,Home!$D$9:$Y$84,$U57,FALSE),NA())</f>
        <v>594.75</v>
      </c>
      <c r="O57" s="743">
        <f>IF(ISNUMBER(HLOOKUP(O$1,Home!$D$9:$Y$84,$U57,FALSE)),HLOOKUP(O$1,Home!$D$9:$Y$84,$U57,FALSE),NA())</f>
        <v>445.53333333333336</v>
      </c>
      <c r="P57" s="743">
        <f>IF(ISNUMBER(HLOOKUP(P$1,Home!$D$9:$Y$84,$U57,FALSE)),HLOOKUP(P$1,Home!$D$9:$Y$84,$U57,FALSE),NA())</f>
        <v>605.20000000000005</v>
      </c>
      <c r="Q57" s="743">
        <f>IF(ISNUMBER(HLOOKUP(Q$1,Home!$D$9:$Y$84,$U57,FALSE)),HLOOKUP(Q$1,Home!$D$9:$Y$84,$U57,FALSE),NA())</f>
        <v>133.5</v>
      </c>
      <c r="R57" s="743">
        <f>IF(ISNUMBER(HLOOKUP(R$1,Home!$D$9:$Y$84,$U57,FALSE)),HLOOKUP(R$1,Home!$D$9:$Y$84,$U57,FALSE),NA())</f>
        <v>474.0625</v>
      </c>
      <c r="S57" s="743">
        <f>IF(ISNUMBER(HLOOKUP(S$1,Home!$D$9:$Y$84,$U57,FALSE)),HLOOKUP(S$1,Home!$D$9:$Y$84,$U57,FALSE),NA())</f>
        <v>445</v>
      </c>
      <c r="T57" s="743">
        <f>IF(ISNUMBER(HLOOKUP(T$1,Home!$D$9:$Y$84,$U57,FALSE)),HLOOKUP(T$1,Home!$D$9:$Y$84,$U57,FALSE),NA())</f>
        <v>645.25</v>
      </c>
      <c r="U57" s="740">
        <f>VLOOKUP(A57,Home!C:AU,45,FALSE)</f>
        <v>70</v>
      </c>
      <c r="V57" s="745">
        <f t="array" ref="V57">SLOPE(IF(ISNA($B57:$T57),"",$B57:$T57),IF(ISNA($B$2:$T$2),"",$B$2:$T$2))</f>
        <v>3.7583930629016864</v>
      </c>
      <c r="W57" s="745">
        <f t="array" ref="W57">INTERCEPT(IF(ISNA($B57:$T57),"",$B57:$T57),IF(ISNA($B$2:$T$2),"",$B$2:$T$2))</f>
        <v>400.48834831178664</v>
      </c>
      <c r="X57" s="745">
        <f t="array" ref="X57">RSQ(IF(ISNA($B57:$T57),"",$B57:$T57),IF(ISNA($B$2:$T$2),"",$B$2:$T$2))</f>
        <v>1.2690621610439377E-2</v>
      </c>
    </row>
    <row r="58" spans="1:24" ht="24">
      <c r="A58" s="742" t="str">
        <f>Home!C79</f>
        <v>% Children ceasing to be Looked After in year who were Adopted</v>
      </c>
      <c r="B58" s="743" t="e">
        <f>IF(ISNUMBER(HLOOKUP(B$1,Home!$D$9:$Y$84,$U58,FALSE)),HLOOKUP(B$1,Home!$D$9:$Y$84,$U58,FALSE),NA())</f>
        <v>#N/A</v>
      </c>
      <c r="C58" s="743">
        <f>IF(ISNUMBER(HLOOKUP(C$1,Home!$D$9:$Y$84,$U58,FALSE)),HLOOKUP(C$1,Home!$D$9:$Y$84,$U58,FALSE),NA())</f>
        <v>0.16296296296296298</v>
      </c>
      <c r="D58" s="743">
        <f>IF(ISNUMBER(HLOOKUP(D$1,Home!$D$9:$Y$84,$U58,FALSE)),HLOOKUP(D$1,Home!$D$9:$Y$84,$U58,FALSE),NA())</f>
        <v>5.8823529411764705E-2</v>
      </c>
      <c r="E58" s="743">
        <f>IF(ISNUMBER(HLOOKUP(E$1,Home!$D$9:$Y$84,$U58,FALSE)),HLOOKUP(E$1,Home!$D$9:$Y$84,$U58,FALSE),NA())</f>
        <v>8.085106382978724E-2</v>
      </c>
      <c r="F58" s="743">
        <f>IF(ISNUMBER(HLOOKUP(F$1,Home!$D$9:$Y$84,$U58,FALSE)),HLOOKUP(F$1,Home!$D$9:$Y$84,$U58,FALSE),NA())</f>
        <v>0.10920436817472699</v>
      </c>
      <c r="G58" s="743">
        <f>IF(ISNUMBER(HLOOKUP(G$1,Home!$D$9:$Y$84,$U58,FALSE)),HLOOKUP(G$1,Home!$D$9:$Y$84,$U58,FALSE),NA())</f>
        <v>8.3333333333333329E-2</v>
      </c>
      <c r="H58" s="743">
        <f>IF(ISNUMBER(HLOOKUP(H$1,Home!$D$9:$Y$84,$U58,FALSE)),HLOOKUP(H$1,Home!$D$9:$Y$84,$U58,FALSE),NA())</f>
        <v>2.4862888482632541E-2</v>
      </c>
      <c r="I58" s="743">
        <f>IF(ISNUMBER(HLOOKUP(I$1,Home!$D$9:$Y$84,$U58,FALSE)),HLOOKUP(I$1,Home!$D$9:$Y$84,$U58,FALSE),NA())</f>
        <v>9.7297297297297303E-2</v>
      </c>
      <c r="J58" s="743">
        <f>IF(ISNUMBER(HLOOKUP(J$1,Home!$D$9:$Y$84,$U58,FALSE)),HLOOKUP(J$1,Home!$D$9:$Y$84,$U58,FALSE),NA())</f>
        <v>0.10497237569060773</v>
      </c>
      <c r="K58" s="743">
        <f>IF(ISNUMBER(HLOOKUP(K$1,Home!$D$9:$Y$84,$U58,FALSE)),HLOOKUP(K$1,Home!$D$9:$Y$84,$U58,FALSE),NA())</f>
        <v>7.4626865671641784E-2</v>
      </c>
      <c r="L58" s="743">
        <f>IF(ISNUMBER(HLOOKUP(L$1,Home!$D$9:$Y$84,$U58,FALSE)),HLOOKUP(L$1,Home!$D$9:$Y$84,$U58,FALSE),NA())</f>
        <v>0.11538461538461539</v>
      </c>
      <c r="M58" s="743" t="e">
        <f>IF(ISNUMBER(HLOOKUP(M$1,Home!$D$9:$Y$84,$U58,FALSE)),HLOOKUP(M$1,Home!$D$9:$Y$84,$U58,FALSE),NA())</f>
        <v>#N/A</v>
      </c>
      <c r="N58" s="743" t="e">
        <f>IF(ISNUMBER(HLOOKUP(N$1,Home!$D$9:$Y$84,$U58,FALSE)),HLOOKUP(N$1,Home!$D$9:$Y$84,$U58,FALSE),NA())</f>
        <v>#N/A</v>
      </c>
      <c r="O58" s="743">
        <f>IF(ISNUMBER(HLOOKUP(O$1,Home!$D$9:$Y$84,$U58,FALSE)),HLOOKUP(O$1,Home!$D$9:$Y$84,$U58,FALSE),NA())</f>
        <v>0.14018691588785046</v>
      </c>
      <c r="P58" s="743">
        <f>IF(ISNUMBER(HLOOKUP(P$1,Home!$D$9:$Y$84,$U58,FALSE)),HLOOKUP(P$1,Home!$D$9:$Y$84,$U58,FALSE),NA())</f>
        <v>6.205250596658711E-2</v>
      </c>
      <c r="Q58" s="743" t="e">
        <f>IF(ISNUMBER(HLOOKUP(Q$1,Home!$D$9:$Y$84,$U58,FALSE)),HLOOKUP(Q$1,Home!$D$9:$Y$84,$U58,FALSE),NA())</f>
        <v>#N/A</v>
      </c>
      <c r="R58" s="743">
        <f>IF(ISNUMBER(HLOOKUP(R$1,Home!$D$9:$Y$84,$U58,FALSE)),HLOOKUP(R$1,Home!$D$9:$Y$84,$U58,FALSE),NA())</f>
        <v>7.9800498753117205E-2</v>
      </c>
      <c r="S58" s="743" t="e">
        <f>IF(ISNUMBER(HLOOKUP(S$1,Home!$D$9:$Y$84,$U58,FALSE)),HLOOKUP(S$1,Home!$D$9:$Y$84,$U58,FALSE),NA())</f>
        <v>#N/A</v>
      </c>
      <c r="T58" s="743" t="e">
        <f>IF(ISNUMBER(HLOOKUP(T$1,Home!$D$9:$Y$84,$U58,FALSE)),HLOOKUP(T$1,Home!$D$9:$Y$84,$U58,FALSE),NA())</f>
        <v>#N/A</v>
      </c>
      <c r="U58" s="740">
        <f>VLOOKUP(A58,Home!C:AU,45,FALSE)</f>
        <v>71</v>
      </c>
      <c r="V58" s="745">
        <f t="array" ref="V58">SLOPE(IF(ISNA($B58:$T58),"",$B58:$T58),IF(ISNA($B$2:$T$2),"",$B$2:$T$2))</f>
        <v>3.4760259047597001E-3</v>
      </c>
      <c r="W58" s="745">
        <f t="array" ref="W58">INTERCEPT(IF(ISNA($B58:$T58),"",$B58:$T58),IF(ISNA($B$2:$T$2),"",$B$2:$T$2))</f>
        <v>4.1658581225619468E-2</v>
      </c>
      <c r="X58" s="745">
        <f t="array" ref="X58">RSQ(IF(ISNA($B58:$T58),"",$B58:$T58),IF(ISNA($B$2:$T$2),"",$B$2:$T$2))</f>
        <v>0.17917249535234112</v>
      </c>
    </row>
    <row r="59" spans="1:24" ht="24">
      <c r="A59" s="742" t="str">
        <f>Home!C80</f>
        <v>% Young People aged 16-17 who are Participating in Education, Employment or Training (EET) at 31st March</v>
      </c>
      <c r="B59" s="743">
        <f>IF(ISNUMBER(HLOOKUP(B$1,Home!$D$9:$Y$84,$U59,FALSE)),HLOOKUP(B$1,Home!$D$9:$Y$84,$U59,FALSE),NA())</f>
        <v>0.94721402214022155</v>
      </c>
      <c r="C59" s="743">
        <f>IF(ISNUMBER(HLOOKUP(C$1,Home!$D$9:$Y$84,$U59,FALSE)),HLOOKUP(C$1,Home!$D$9:$Y$84,$U59,FALSE),NA())</f>
        <v>0.92788844163312245</v>
      </c>
      <c r="D59" s="743">
        <f>IF(ISNUMBER(HLOOKUP(D$1,Home!$D$9:$Y$84,$U59,FALSE)),HLOOKUP(D$1,Home!$D$9:$Y$84,$U59,FALSE),NA())</f>
        <v>0.91745286195286202</v>
      </c>
      <c r="E59" s="743">
        <f>IF(ISNUMBER(HLOOKUP(E$1,Home!$D$9:$Y$84,$U59,FALSE)),HLOOKUP(E$1,Home!$D$9:$Y$84,$U59,FALSE),NA())</f>
        <v>0.88260731121586766</v>
      </c>
      <c r="F59" s="743">
        <f>IF(ISNUMBER(HLOOKUP(F$1,Home!$D$9:$Y$84,$U59,FALSE)),HLOOKUP(F$1,Home!$D$9:$Y$84,$U59,FALSE),NA())</f>
        <v>0.91127250972180673</v>
      </c>
      <c r="G59" s="743">
        <f>IF(ISNUMBER(HLOOKUP(G$1,Home!$D$9:$Y$84,$U59,FALSE)),HLOOKUP(G$1,Home!$D$9:$Y$84,$U59,FALSE),NA())</f>
        <v>0.90335795454545464</v>
      </c>
      <c r="H59" s="743">
        <f>IF(ISNUMBER(HLOOKUP(H$1,Home!$D$9:$Y$84,$U59,FALSE)),HLOOKUP(H$1,Home!$D$9:$Y$84,$U59,FALSE),NA())</f>
        <v>0.90326417412673332</v>
      </c>
      <c r="I59" s="743">
        <f>IF(ISNUMBER(HLOOKUP(I$1,Home!$D$9:$Y$84,$U59,FALSE)),HLOOKUP(I$1,Home!$D$9:$Y$84,$U59,FALSE),NA())</f>
        <v>0.90451658218682118</v>
      </c>
      <c r="J59" s="743">
        <f>IF(ISNUMBER(HLOOKUP(J$1,Home!$D$9:$Y$84,$U59,FALSE)),HLOOKUP(J$1,Home!$D$9:$Y$84,$U59,FALSE),NA())</f>
        <v>0.93990363609157568</v>
      </c>
      <c r="K59" s="743">
        <f>IF(ISNUMBER(HLOOKUP(K$1,Home!$D$9:$Y$84,$U59,FALSE)),HLOOKUP(K$1,Home!$D$9:$Y$84,$U59,FALSE),NA())</f>
        <v>0.93606701990548469</v>
      </c>
      <c r="L59" s="743">
        <f>IF(ISNUMBER(HLOOKUP(L$1,Home!$D$9:$Y$84,$U59,FALSE)),HLOOKUP(L$1,Home!$D$9:$Y$84,$U59,FALSE),NA())</f>
        <v>0.89658726469904726</v>
      </c>
      <c r="M59" s="743">
        <f>IF(ISNUMBER(HLOOKUP(M$1,Home!$D$9:$Y$84,$U59,FALSE)),HLOOKUP(M$1,Home!$D$9:$Y$84,$U59,FALSE),NA())</f>
        <v>0.90638095238095229</v>
      </c>
      <c r="N59" s="743">
        <f>IF(ISNUMBER(HLOOKUP(N$1,Home!$D$9:$Y$84,$U59,FALSE)),HLOOKUP(N$1,Home!$D$9:$Y$84,$U59,FALSE),NA())</f>
        <v>0.93884676145339652</v>
      </c>
      <c r="O59" s="743">
        <f>IF(ISNUMBER(HLOOKUP(O$1,Home!$D$9:$Y$84,$U59,FALSE)),HLOOKUP(O$1,Home!$D$9:$Y$84,$U59,FALSE),NA())</f>
        <v>0.88582137096774172</v>
      </c>
      <c r="P59" s="743">
        <f>IF(ISNUMBER(HLOOKUP(P$1,Home!$D$9:$Y$84,$U59,FALSE)),HLOOKUP(P$1,Home!$D$9:$Y$84,$U59,FALSE),NA())</f>
        <v>0.89567395433420893</v>
      </c>
      <c r="Q59" s="743">
        <f>IF(ISNUMBER(HLOOKUP(Q$1,Home!$D$9:$Y$84,$U59,FALSE)),HLOOKUP(Q$1,Home!$D$9:$Y$84,$U59,FALSE),NA())</f>
        <v>0.91299999999999992</v>
      </c>
      <c r="R59" s="743">
        <f>IF(ISNUMBER(HLOOKUP(R$1,Home!$D$9:$Y$84,$U59,FALSE)),HLOOKUP(R$1,Home!$D$9:$Y$84,$U59,FALSE),NA())</f>
        <v>0.88773774365032487</v>
      </c>
      <c r="S59" s="743">
        <f>IF(ISNUMBER(HLOOKUP(S$1,Home!$D$9:$Y$84,$U59,FALSE)),HLOOKUP(S$1,Home!$D$9:$Y$84,$U59,FALSE),NA())</f>
        <v>0.94757766990291259</v>
      </c>
      <c r="T59" s="743">
        <f>IF(ISNUMBER(HLOOKUP(T$1,Home!$D$9:$Y$84,$U59,FALSE)),HLOOKUP(T$1,Home!$D$9:$Y$84,$U59,FALSE),NA())</f>
        <v>0.94680272796160647</v>
      </c>
      <c r="U59" s="740">
        <f>VLOOKUP(A59,Home!C:AU,45,FALSE)</f>
        <v>72</v>
      </c>
      <c r="V59" s="745">
        <f t="array" ref="V59">SLOPE(IF(ISNA($B59:$T59),"",$B59:$T59),IF(ISNA($B$2:$T$2),"",$B$2:$T$2))</f>
        <v>-2.4820018849349957E-3</v>
      </c>
      <c r="W59" s="745">
        <f t="array" ref="W59">INTERCEPT(IF(ISNA($B59:$T59),"",$B59:$T59),IF(ISNA($B$2:$T$2),"",$B$2:$T$2))</f>
        <v>0.94781590668884186</v>
      </c>
      <c r="X59" s="745">
        <f t="array" ref="X59">RSQ(IF(ISNA($B59:$T59),"",$B59:$T59),IF(ISNA($B$2:$T$2),"",$B$2:$T$2))</f>
        <v>0.28132536510972955</v>
      </c>
    </row>
    <row r="60" spans="1:24" ht="36">
      <c r="A60" s="742" t="str">
        <f>Home!C81</f>
        <v>% Young People aged 16-17 who are not Participating in Education, Employment or Training (NEET) Dec/ Jan/ Feb 3-month average</v>
      </c>
      <c r="B60" s="743">
        <f>IF(ISNUMBER(HLOOKUP(B$1,Home!$D$9:$Y$84,$U60,FALSE)),HLOOKUP(B$1,Home!$D$9:$Y$84,$U60,FALSE),NA())</f>
        <v>1.8000000000000002E-2</v>
      </c>
      <c r="C60" s="743">
        <f>IF(ISNUMBER(HLOOKUP(C$1,Home!$D$9:$Y$84,$U60,FALSE)),HLOOKUP(C$1,Home!$D$9:$Y$84,$U60,FALSE),NA())</f>
        <v>3.3000000000000002E-2</v>
      </c>
      <c r="D60" s="743">
        <f>IF(ISNUMBER(HLOOKUP(D$1,Home!$D$9:$Y$84,$U60,FALSE)),HLOOKUP(D$1,Home!$D$9:$Y$84,$U60,FALSE),NA())</f>
        <v>1.4980752265618734E-2</v>
      </c>
      <c r="E60" s="743">
        <f>IF(ISNUMBER(HLOOKUP(E$1,Home!$D$9:$Y$84,$U60,FALSE)),HLOOKUP(E$1,Home!$D$9:$Y$84,$U60,FALSE),NA())</f>
        <v>4.1921662669864114E-2</v>
      </c>
      <c r="F60" s="743">
        <f>IF(ISNUMBER(HLOOKUP(F$1,Home!$D$9:$Y$84,$U60,FALSE)),HLOOKUP(F$1,Home!$D$9:$Y$84,$U60,FALSE),NA())</f>
        <v>3.0007976601967561E-2</v>
      </c>
      <c r="G60" s="743">
        <f>IF(ISNUMBER(HLOOKUP(G$1,Home!$D$9:$Y$84,$U60,FALSE)),HLOOKUP(G$1,Home!$D$9:$Y$84,$U60,FALSE),NA())</f>
        <v>3.6837818181818187E-2</v>
      </c>
      <c r="H60" s="743">
        <f>IF(ISNUMBER(HLOOKUP(H$1,Home!$D$9:$Y$84,$U60,FALSE)),HLOOKUP(H$1,Home!$D$9:$Y$84,$U60,FALSE),NA())</f>
        <v>3.3018347818453163E-2</v>
      </c>
      <c r="I60" s="743">
        <f>IF(ISNUMBER(HLOOKUP(I$1,Home!$D$9:$Y$84,$U60,FALSE)),HLOOKUP(I$1,Home!$D$9:$Y$84,$U60,FALSE),NA())</f>
        <v>2.9608752354731194E-2</v>
      </c>
      <c r="J60" s="743">
        <f>IF(ISNUMBER(HLOOKUP(J$1,Home!$D$9:$Y$84,$U60,FALSE)),HLOOKUP(J$1,Home!$D$9:$Y$84,$U60,FALSE),NA())</f>
        <v>1.9913212629058808E-2</v>
      </c>
      <c r="K60" s="743">
        <f>IF(ISNUMBER(HLOOKUP(K$1,Home!$D$9:$Y$84,$U60,FALSE)),HLOOKUP(K$1,Home!$D$9:$Y$84,$U60,FALSE),NA())</f>
        <v>1.8001288844336247E-2</v>
      </c>
      <c r="L60" s="743">
        <f>IF(ISNUMBER(HLOOKUP(L$1,Home!$D$9:$Y$84,$U60,FALSE)),HLOOKUP(L$1,Home!$D$9:$Y$84,$U60,FALSE),NA())</f>
        <v>3.8485416666666668E-2</v>
      </c>
      <c r="M60" s="743">
        <f>IF(ISNUMBER(HLOOKUP(M$1,Home!$D$9:$Y$84,$U60,FALSE)),HLOOKUP(M$1,Home!$D$9:$Y$84,$U60,FALSE),NA())</f>
        <v>2.7515850144092215E-2</v>
      </c>
      <c r="N60" s="743">
        <f>IF(ISNUMBER(HLOOKUP(N$1,Home!$D$9:$Y$84,$U60,FALSE)),HLOOKUP(N$1,Home!$D$9:$Y$84,$U60,FALSE),NA())</f>
        <v>2.6000000000000002E-2</v>
      </c>
      <c r="O60" s="743">
        <f>IF(ISNUMBER(HLOOKUP(O$1,Home!$D$9:$Y$84,$U60,FALSE)),HLOOKUP(O$1,Home!$D$9:$Y$84,$U60,FALSE),NA())</f>
        <v>4.1016542263465801E-2</v>
      </c>
      <c r="P60" s="743">
        <f>IF(ISNUMBER(HLOOKUP(P$1,Home!$D$9:$Y$84,$U60,FALSE)),HLOOKUP(P$1,Home!$D$9:$Y$84,$U60,FALSE),NA())</f>
        <v>8.9131879711437153E-3</v>
      </c>
      <c r="Q60" s="743">
        <f>IF(ISNUMBER(HLOOKUP(Q$1,Home!$D$9:$Y$84,$U60,FALSE)),HLOOKUP(Q$1,Home!$D$9:$Y$84,$U60,FALSE),NA())</f>
        <v>1.9038328530259368E-2</v>
      </c>
      <c r="R60" s="743">
        <f>IF(ISNUMBER(HLOOKUP(R$1,Home!$D$9:$Y$84,$U60,FALSE)),HLOOKUP(R$1,Home!$D$9:$Y$84,$U60,FALSE),NA())</f>
        <v>1.9998818385915159E-2</v>
      </c>
      <c r="S60" s="743">
        <f>IF(ISNUMBER(HLOOKUP(S$1,Home!$D$9:$Y$84,$U60,FALSE)),HLOOKUP(S$1,Home!$D$9:$Y$84,$U60,FALSE),NA())</f>
        <v>1.1031976744186047E-2</v>
      </c>
      <c r="T60" s="743">
        <f>IF(ISNUMBER(HLOOKUP(T$1,Home!$D$9:$Y$84,$U60,FALSE)),HLOOKUP(T$1,Home!$D$9:$Y$84,$U60,FALSE),NA())</f>
        <v>1.998483699772555E-2</v>
      </c>
      <c r="U60" s="740">
        <f>VLOOKUP(A60,Home!C:AU,45,FALSE)</f>
        <v>73</v>
      </c>
      <c r="V60" s="745">
        <f t="array" ref="V60">SLOPE(IF(ISNA($B60:$T60),"",$B60:$T60),IF(ISNA($B$2:$T$2),"",$B$2:$T$2))</f>
        <v>1.7804365483601787E-3</v>
      </c>
      <c r="W60" s="745">
        <f t="array" ref="W60">INTERCEPT(IF(ISNA($B60:$T60),"",$B60:$T60),IF(ISNA($B$2:$T$2),"",$B$2:$T$2))</f>
        <v>2.3691752871912823E-3</v>
      </c>
      <c r="X60" s="745">
        <f t="array" ref="X60">RSQ(IF(ISNA($B60:$T60),"",$B60:$T60),IF(ISNA($B$2:$T$2),"",$B$2:$T$2))</f>
        <v>0.70220700851061313</v>
      </c>
    </row>
    <row r="61" spans="1:24" ht="24">
      <c r="A61" s="742" t="str">
        <f>Home!C82</f>
        <v>% Young People aged 16-17 whose Current Activity is Not Known Dec/ Jan/ Feb 3-month average</v>
      </c>
      <c r="B61" s="743">
        <f>IF(ISNUMBER(HLOOKUP(B$1,Home!$D$9:$Y$84,$U61,FALSE)),HLOOKUP(B$1,Home!$D$9:$Y$84,$U61,FALSE),NA())</f>
        <v>1.7000000000000001E-2</v>
      </c>
      <c r="C61" s="743">
        <f>IF(ISNUMBER(HLOOKUP(C$1,Home!$D$9:$Y$84,$U61,FALSE)),HLOOKUP(C$1,Home!$D$9:$Y$84,$U61,FALSE),NA())</f>
        <v>6.0000000000000001E-3</v>
      </c>
      <c r="D61" s="743">
        <f>IF(ISNUMBER(HLOOKUP(D$1,Home!$D$9:$Y$84,$U61,FALSE)),HLOOKUP(D$1,Home!$D$9:$Y$84,$U61,FALSE),NA())</f>
        <v>6.9910177239554103E-2</v>
      </c>
      <c r="E61" s="743">
        <f>IF(ISNUMBER(HLOOKUP(E$1,Home!$D$9:$Y$84,$U61,FALSE)),HLOOKUP(E$1,Home!$D$9:$Y$84,$U61,FALSE),NA())</f>
        <v>8.9832134292565959E-3</v>
      </c>
      <c r="F61" s="743">
        <f>IF(ISNUMBER(HLOOKUP(F$1,Home!$D$9:$Y$84,$U61,FALSE)),HLOOKUP(F$1,Home!$D$9:$Y$84,$U61,FALSE),NA())</f>
        <v>1.800478596118054E-2</v>
      </c>
      <c r="G61" s="743">
        <f>IF(ISNUMBER(HLOOKUP(G$1,Home!$D$9:$Y$84,$U61,FALSE)),HLOOKUP(G$1,Home!$D$9:$Y$84,$U61,FALSE),NA())</f>
        <v>5.1163636363636368E-3</v>
      </c>
      <c r="H61" s="743">
        <f>IF(ISNUMBER(HLOOKUP(H$1,Home!$D$9:$Y$84,$U61,FALSE)),HLOOKUP(H$1,Home!$D$9:$Y$84,$U61,FALSE),NA())</f>
        <v>2.5013899862464519E-2</v>
      </c>
      <c r="I61" s="743">
        <f>IF(ISNUMBER(HLOOKUP(I$1,Home!$D$9:$Y$84,$U61,FALSE)),HLOOKUP(I$1,Home!$D$9:$Y$84,$U61,FALSE),NA())</f>
        <v>3.1582669178379943E-2</v>
      </c>
      <c r="J61" s="743">
        <f>IF(ISNUMBER(HLOOKUP(J$1,Home!$D$9:$Y$84,$U61,FALSE)),HLOOKUP(J$1,Home!$D$9:$Y$84,$U61,FALSE),NA())</f>
        <v>1.2943588208888225E-2</v>
      </c>
      <c r="K61" s="743">
        <f>IF(ISNUMBER(HLOOKUP(K$1,Home!$D$9:$Y$84,$U61,FALSE)),HLOOKUP(K$1,Home!$D$9:$Y$84,$U61,FALSE),NA())</f>
        <v>2.6001861664041247E-2</v>
      </c>
      <c r="L61" s="743">
        <f>IF(ISNUMBER(HLOOKUP(L$1,Home!$D$9:$Y$84,$U61,FALSE)),HLOOKUP(L$1,Home!$D$9:$Y$84,$U61,FALSE),NA())</f>
        <v>1.5788888888888887E-2</v>
      </c>
      <c r="M61" s="743">
        <f>IF(ISNUMBER(HLOOKUP(M$1,Home!$D$9:$Y$84,$U61,FALSE)),HLOOKUP(M$1,Home!$D$9:$Y$84,$U61,FALSE),NA())</f>
        <v>3.9308357348703171E-3</v>
      </c>
      <c r="N61" s="743">
        <f>IF(ISNUMBER(HLOOKUP(N$1,Home!$D$9:$Y$84,$U61,FALSE)),HLOOKUP(N$1,Home!$D$9:$Y$84,$U61,FALSE),NA())</f>
        <v>2.2000000000000002E-2</v>
      </c>
      <c r="O61" s="743">
        <f>IF(ISNUMBER(HLOOKUP(O$1,Home!$D$9:$Y$84,$U61,FALSE)),HLOOKUP(O$1,Home!$D$9:$Y$84,$U61,FALSE),NA())</f>
        <v>3.2012911034900143E-2</v>
      </c>
      <c r="P61" s="743">
        <f>IF(ISNUMBER(HLOOKUP(P$1,Home!$D$9:$Y$84,$U61,FALSE)),HLOOKUP(P$1,Home!$D$9:$Y$84,$U61,FALSE),NA())</f>
        <v>0.14162065331928347</v>
      </c>
      <c r="Q61" s="743">
        <f>IF(ISNUMBER(HLOOKUP(Q$1,Home!$D$9:$Y$84,$U61,FALSE)),HLOOKUP(Q$1,Home!$D$9:$Y$84,$U61,FALSE),NA())</f>
        <v>6.0121037463976949E-3</v>
      </c>
      <c r="R61" s="743">
        <f>IF(ISNUMBER(HLOOKUP(R$1,Home!$D$9:$Y$84,$U61,FALSE)),HLOOKUP(R$1,Home!$D$9:$Y$84,$U61,FALSE),NA())</f>
        <v>7.4995568947181845E-2</v>
      </c>
      <c r="S61" s="743">
        <f>IF(ISNUMBER(HLOOKUP(S$1,Home!$D$9:$Y$84,$U61,FALSE)),HLOOKUP(S$1,Home!$D$9:$Y$84,$U61,FALSE),NA())</f>
        <v>4.3124999999999997E-2</v>
      </c>
      <c r="T61" s="743">
        <f>IF(ISNUMBER(HLOOKUP(T$1,Home!$D$9:$Y$84,$U61,FALSE)),HLOOKUP(T$1,Home!$D$9:$Y$84,$U61,FALSE),NA())</f>
        <v>2.1983320697498109E-2</v>
      </c>
      <c r="U61" s="740">
        <f>VLOOKUP(A61,Home!C:AU,45,FALSE)</f>
        <v>74</v>
      </c>
      <c r="V61" s="745">
        <f t="array" ref="V61">SLOPE(IF(ISNA($B61:$T61),"",$B61:$T61),IF(ISNA($B$2:$T$2),"",$B$2:$T$2))</f>
        <v>-2.6998825063313339E-3</v>
      </c>
      <c r="W61" s="745">
        <f t="array" ref="W61">INTERCEPT(IF(ISNA($B61:$T61),"",$B61:$T61),IF(ISNA($B$2:$T$2),"",$B$2:$T$2))</f>
        <v>6.5930350322202763E-2</v>
      </c>
      <c r="X61" s="745">
        <f t="array" ref="X61">RSQ(IF(ISNA($B61:$T61),"",$B61:$T61),IF(ISNA($B$2:$T$2),"",$B$2:$T$2))</f>
        <v>0.14471637874907933</v>
      </c>
    </row>
    <row r="62" spans="1:24" ht="12" customHeight="1">
      <c r="A62" s="742" t="str">
        <f>Home!C83</f>
        <v>Rate of First Time Entrants to the Youth Justice System in the year ending 31st March, per 100,000 10-17 year olds</v>
      </c>
      <c r="B62" s="743">
        <f>IF(ISNUMBER(HLOOKUP(B$1,Home!$D$9:$Y$84,$U62,FALSE)),HLOOKUP(B$1,Home!$D$9:$Y$84,$U62,FALSE),NA())</f>
        <v>133.74816983894581</v>
      </c>
      <c r="C62" s="743">
        <f>IF(ISNUMBER(HLOOKUP(C$1,Home!$D$9:$Y$84,$U62,FALSE)),HLOOKUP(C$1,Home!$D$9:$Y$84,$U62,FALSE),NA())</f>
        <v>195.94830597275586</v>
      </c>
      <c r="D62" s="743">
        <f>IF(ISNUMBER(HLOOKUP(D$1,Home!$D$9:$Y$84,$U62,FALSE)),HLOOKUP(D$1,Home!$D$9:$Y$84,$U62,FALSE),NA())</f>
        <v>159.30326450571002</v>
      </c>
      <c r="E62" s="743">
        <f>IF(ISNUMBER(HLOOKUP(E$1,Home!$D$9:$Y$84,$U62,FALSE)),HLOOKUP(E$1,Home!$D$9:$Y$84,$U62,FALSE),NA())</f>
        <v>124.54595704358812</v>
      </c>
      <c r="F62" s="743">
        <f>IF(ISNUMBER(HLOOKUP(F$1,Home!$D$9:$Y$84,$U62,FALSE)),HLOOKUP(F$1,Home!$D$9:$Y$84,$U62,FALSE),NA())</f>
        <v>87.405526601036428</v>
      </c>
      <c r="G62" s="743">
        <f>IF(ISNUMBER(HLOOKUP(G$1,Home!$D$9:$Y$84,$U62,FALSE)),HLOOKUP(G$1,Home!$D$9:$Y$84,$U62,FALSE),NA())</f>
        <v>338.8364779874214</v>
      </c>
      <c r="H62" s="743">
        <f>IF(ISNUMBER(HLOOKUP(H$1,Home!$D$9:$Y$84,$U62,FALSE)),HLOOKUP(H$1,Home!$D$9:$Y$84,$U62,FALSE),NA())</f>
        <v>161.80879311821644</v>
      </c>
      <c r="I62" s="743">
        <f>IF(ISNUMBER(HLOOKUP(I$1,Home!$D$9:$Y$84,$U62,FALSE)),HLOOKUP(I$1,Home!$D$9:$Y$84,$U62,FALSE),NA())</f>
        <v>177.55149424524859</v>
      </c>
      <c r="J62" s="743">
        <f>IF(ISNUMBER(HLOOKUP(J$1,Home!$D$9:$Y$84,$U62,FALSE)),HLOOKUP(J$1,Home!$D$9:$Y$84,$U62,FALSE),NA())</f>
        <v>128.56514729591089</v>
      </c>
      <c r="K62" s="743">
        <f>IF(ISNUMBER(HLOOKUP(K$1,Home!$D$9:$Y$84,$U62,FALSE)),HLOOKUP(K$1,Home!$D$9:$Y$84,$U62,FALSE),NA())</f>
        <v>182.19470359369117</v>
      </c>
      <c r="L62" s="743">
        <f>IF(ISNUMBER(HLOOKUP(L$1,Home!$D$9:$Y$84,$U62,FALSE)),HLOOKUP(L$1,Home!$D$9:$Y$84,$U62,FALSE),NA())</f>
        <v>223.42493825863065</v>
      </c>
      <c r="M62" s="743">
        <f>IF(ISNUMBER(HLOOKUP(M$1,Home!$D$9:$Y$84,$U62,FALSE)),HLOOKUP(M$1,Home!$D$9:$Y$84,$U62,FALSE),NA())</f>
        <v>254.63763793617656</v>
      </c>
      <c r="N62" s="743">
        <f>IF(ISNUMBER(HLOOKUP(N$1,Home!$D$9:$Y$84,$U62,FALSE)),HLOOKUP(N$1,Home!$D$9:$Y$84,$U62,FALSE),NA())</f>
        <v>157.69626328419611</v>
      </c>
      <c r="O62" s="743">
        <f>IF(ISNUMBER(HLOOKUP(O$1,Home!$D$9:$Y$84,$U62,FALSE)),HLOOKUP(O$1,Home!$D$9:$Y$84,$U62,FALSE),NA())</f>
        <v>140.37974120681224</v>
      </c>
      <c r="P62" s="743">
        <f>IF(ISNUMBER(HLOOKUP(P$1,Home!$D$9:$Y$84,$U62,FALSE)),HLOOKUP(P$1,Home!$D$9:$Y$84,$U62,FALSE),NA())</f>
        <v>62.186631181237082</v>
      </c>
      <c r="Q62" s="743">
        <f>IF(ISNUMBER(HLOOKUP(Q$1,Home!$D$9:$Y$84,$U62,FALSE)),HLOOKUP(Q$1,Home!$D$9:$Y$84,$U62,FALSE),NA())</f>
        <v>131.46892655367233</v>
      </c>
      <c r="R62" s="743">
        <f>IF(ISNUMBER(HLOOKUP(R$1,Home!$D$9:$Y$84,$U62,FALSE)),HLOOKUP(R$1,Home!$D$9:$Y$84,$U62,FALSE),NA())</f>
        <v>81.725660582304187</v>
      </c>
      <c r="S62" s="743">
        <f>IF(ISNUMBER(HLOOKUP(S$1,Home!$D$9:$Y$84,$U62,FALSE)),HLOOKUP(S$1,Home!$D$9:$Y$84,$U62,FALSE),NA())</f>
        <v>94.421344421344429</v>
      </c>
      <c r="T62" s="743">
        <f>IF(ISNUMBER(HLOOKUP(T$1,Home!$D$9:$Y$84,$U62,FALSE)),HLOOKUP(T$1,Home!$D$9:$Y$84,$U62,FALSE),NA())</f>
        <v>76.688125558009489</v>
      </c>
      <c r="U62" s="740">
        <f>VLOOKUP(A62,Home!C:AU,45,FALSE)</f>
        <v>75</v>
      </c>
      <c r="V62" s="745">
        <f t="array" ref="V62">SLOPE(IF(ISNA($B62:$T62),"",$B62:$T62),IF(ISNA($B$2:$T$2),"",$B$2:$T$2))</f>
        <v>8.8575262090943347</v>
      </c>
      <c r="W62" s="745">
        <f t="array" ref="W62">INTERCEPT(IF(ISNA($B62:$T62),"",$B62:$T62),IF(ISNA($B$2:$T$2),"",$B$2:$T$2))</f>
        <v>37.490926255046091</v>
      </c>
      <c r="X62" s="745">
        <f t="array" ref="X62">RSQ(IF(ISNA($B62:$T62),"",$B62:$T62),IF(ISNA($B$2:$T$2),"",$B$2:$T$2))</f>
        <v>0.37954294803850169</v>
      </c>
    </row>
    <row r="63" spans="1:24">
      <c r="A63" s="742" t="str">
        <f>Home!C84</f>
        <v>% Juvenile Offenders who are Re-offenders</v>
      </c>
      <c r="B63" s="743">
        <f>IF(ISNUMBER(HLOOKUP(B$1,Home!$D$9:$Y$84,$U63,FALSE)),HLOOKUP(B$1,Home!$D$9:$Y$84,$U63,FALSE),NA())</f>
        <v>0.2608695652173913</v>
      </c>
      <c r="C63" s="743">
        <f>IF(ISNUMBER(HLOOKUP(C$1,Home!$D$9:$Y$84,$U63,FALSE)),HLOOKUP(C$1,Home!$D$9:$Y$84,$U63,FALSE),NA())</f>
        <v>0.35483870967741937</v>
      </c>
      <c r="D63" s="743">
        <f>IF(ISNUMBER(HLOOKUP(D$1,Home!$D$9:$Y$84,$U63,FALSE)),HLOOKUP(D$1,Home!$D$9:$Y$84,$U63,FALSE),NA())</f>
        <v>0.23529411764705882</v>
      </c>
      <c r="E63" s="743">
        <f>IF(ISNUMBER(HLOOKUP(E$1,Home!$D$9:$Y$84,$U63,FALSE)),HLOOKUP(E$1,Home!$D$9:$Y$84,$U63,FALSE),NA())</f>
        <v>0.24647887323943662</v>
      </c>
      <c r="F63" s="743">
        <f>IF(ISNUMBER(HLOOKUP(F$1,Home!$D$9:$Y$84,$U63,FALSE)),HLOOKUP(F$1,Home!$D$9:$Y$84,$U63,FALSE),NA())</f>
        <v>0.3086053412462908</v>
      </c>
      <c r="G63" s="743">
        <f>IF(ISNUMBER(HLOOKUP(G$1,Home!$D$9:$Y$84,$U63,FALSE)),HLOOKUP(G$1,Home!$D$9:$Y$84,$U63,FALSE),NA())</f>
        <v>0.34615384615384615</v>
      </c>
      <c r="H63" s="743">
        <f>IF(ISNUMBER(HLOOKUP(H$1,Home!$D$9:$Y$84,$U63,FALSE)),HLOOKUP(H$1,Home!$D$9:$Y$84,$U63,FALSE),NA())</f>
        <v>0.2857142857142857</v>
      </c>
      <c r="I63" s="743">
        <f>IF(ISNUMBER(HLOOKUP(I$1,Home!$D$9:$Y$84,$U63,FALSE)),HLOOKUP(I$1,Home!$D$9:$Y$84,$U63,FALSE),NA())</f>
        <v>0.38028169014084506</v>
      </c>
      <c r="J63" s="743">
        <f>IF(ISNUMBER(HLOOKUP(J$1,Home!$D$9:$Y$84,$U63,FALSE)),HLOOKUP(J$1,Home!$D$9:$Y$84,$U63,FALSE),NA())</f>
        <v>0.2558139534883721</v>
      </c>
      <c r="K63" s="743">
        <f>IF(ISNUMBER(HLOOKUP(K$1,Home!$D$9:$Y$84,$U63,FALSE)),HLOOKUP(K$1,Home!$D$9:$Y$84,$U63,FALSE),NA())</f>
        <v>0.23148148148148148</v>
      </c>
      <c r="L63" s="743">
        <f>IF(ISNUMBER(HLOOKUP(L$1,Home!$D$9:$Y$84,$U63,FALSE)),HLOOKUP(L$1,Home!$D$9:$Y$84,$U63,FALSE),NA())</f>
        <v>0.41025641025641024</v>
      </c>
      <c r="M63" s="743">
        <f>IF(ISNUMBER(HLOOKUP(M$1,Home!$D$9:$Y$84,$U63,FALSE)),HLOOKUP(M$1,Home!$D$9:$Y$84,$U63,FALSE),NA())</f>
        <v>0.28125</v>
      </c>
      <c r="N63" s="743">
        <f>IF(ISNUMBER(HLOOKUP(N$1,Home!$D$9:$Y$84,$U63,FALSE)),HLOOKUP(N$1,Home!$D$9:$Y$84,$U63,FALSE),NA())</f>
        <v>0.18</v>
      </c>
      <c r="O63" s="743">
        <f>IF(ISNUMBER(HLOOKUP(O$1,Home!$D$9:$Y$84,$U63,FALSE)),HLOOKUP(O$1,Home!$D$9:$Y$84,$U63,FALSE),NA())</f>
        <v>0.41605839416058393</v>
      </c>
      <c r="P63" s="743">
        <f>IF(ISNUMBER(HLOOKUP(P$1,Home!$D$9:$Y$84,$U63,FALSE)),HLOOKUP(P$1,Home!$D$9:$Y$84,$U63,FALSE),NA())</f>
        <v>0.27717391304347827</v>
      </c>
      <c r="Q63" s="743">
        <f>IF(ISNUMBER(HLOOKUP(Q$1,Home!$D$9:$Y$84,$U63,FALSE)),HLOOKUP(Q$1,Home!$D$9:$Y$84,$U63,FALSE),NA())</f>
        <v>0.2</v>
      </c>
      <c r="R63" s="743">
        <f>IF(ISNUMBER(HLOOKUP(R$1,Home!$D$9:$Y$84,$U63,FALSE)),HLOOKUP(R$1,Home!$D$9:$Y$84,$U63,FALSE),NA())</f>
        <v>0.16842105263157894</v>
      </c>
      <c r="S63" s="743">
        <f>IF(ISNUMBER(HLOOKUP(S$1,Home!$D$9:$Y$84,$U63,FALSE)),HLOOKUP(S$1,Home!$D$9:$Y$84,$U63,FALSE),NA())</f>
        <v>3.2258064516129031E-2</v>
      </c>
      <c r="T63" s="743">
        <f>IF(ISNUMBER(HLOOKUP(T$1,Home!$D$9:$Y$84,$U63,FALSE)),HLOOKUP(T$1,Home!$D$9:$Y$84,$U63,FALSE),NA())</f>
        <v>0.32500000000000001</v>
      </c>
      <c r="U63" s="740">
        <f>VLOOKUP(A63,Home!C:AU,45,FALSE)</f>
        <v>76</v>
      </c>
      <c r="V63" s="745">
        <f t="array" ref="V63">SLOPE(IF(ISNA($B62:$T62),"",$B62:$T62),IF(ISNA($B$2:$T$2),"",$B$2:$T$2))</f>
        <v>8.8575262090943347</v>
      </c>
      <c r="W63" s="745">
        <f t="array" ref="W63">INTERCEPT(IF(ISNA($B62:$T62),"",$B62:$T62),IF(ISNA($B$2:$T$2),"",$B$2:$T$2))</f>
        <v>37.490926255046091</v>
      </c>
      <c r="X63" s="745">
        <f t="array" ref="X63">RSQ(IF(ISNA($B62:$T62),"",$B62:$T62),IF(ISNA($B$2:$T$2),"",$B$2:$T$2))</f>
        <v>0.37954294803850169</v>
      </c>
    </row>
  </sheetData>
  <conditionalFormatting sqref="X3:X63">
    <cfRule type="colorScale" priority="3127">
      <colorScale>
        <cfvo type="min"/>
        <cfvo type="percentile" val="50"/>
        <cfvo type="max"/>
        <color rgb="FFF8696B"/>
        <color rgb="FFFCFCFF"/>
        <color rgb="FF63BE7B"/>
      </colorScale>
    </cfRule>
    <cfRule type="colorScale" priority="3128">
      <colorScale>
        <cfvo type="min"/>
        <cfvo type="max"/>
        <color rgb="FFFCFCFF"/>
        <color rgb="FF63BE7B"/>
      </colorScale>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2ED58-9DC3-4E28-8F75-BD788C2FC9C7}">
  <sheetPr codeName="Sheet19">
    <tabColor rgb="FFFFC000"/>
  </sheetPr>
  <dimension ref="A1:AE375"/>
  <sheetViews>
    <sheetView showGridLines="0" showRowColHeaders="0" workbookViewId="0"/>
  </sheetViews>
  <sheetFormatPr defaultColWidth="9.140625" defaultRowHeight="11.25" customHeight="1"/>
  <cols>
    <col min="1" max="1" width="2.140625" style="52" customWidth="1"/>
    <col min="2" max="2" width="20" style="52" customWidth="1"/>
    <col min="3" max="3" width="9.28515625" style="52" customWidth="1"/>
    <col min="4" max="4" width="12.5703125" style="52" customWidth="1"/>
    <col min="5" max="5" width="10.7109375" style="52" customWidth="1"/>
    <col min="6" max="6" width="1.42578125" style="52" customWidth="1"/>
    <col min="7" max="7" width="10.140625" style="52" customWidth="1"/>
    <col min="8" max="8" width="6.5703125" style="52" customWidth="1"/>
    <col min="9" max="9" width="8.140625" style="52" customWidth="1"/>
    <col min="10" max="10" width="4.28515625" style="52" customWidth="1"/>
    <col min="11" max="15" width="8.42578125" style="52" customWidth="1"/>
    <col min="16" max="16" width="8.28515625" style="52" customWidth="1"/>
    <col min="17" max="17" width="2.140625" style="52" customWidth="1"/>
    <col min="18" max="18" width="6.5703125" style="52" customWidth="1"/>
    <col min="19" max="19" width="4.42578125" style="52" customWidth="1"/>
    <col min="20" max="20" width="13.5703125" style="52" customWidth="1"/>
    <col min="21" max="21" width="4.42578125" style="52" customWidth="1"/>
    <col min="22" max="22" width="9.140625" style="52"/>
    <col min="23" max="23" width="12.140625" style="53" customWidth="1"/>
    <col min="24" max="24" width="9.140625" style="53"/>
    <col min="25" max="25" width="12.140625" style="53" customWidth="1"/>
    <col min="26" max="28" width="9.140625" style="52"/>
    <col min="29" max="29" width="9.140625" style="52" customWidth="1"/>
    <col min="30" max="16384" width="9.140625" style="52"/>
  </cols>
  <sheetData>
    <row r="1" spans="1:31" ht="18.75" customHeight="1">
      <c r="A1" s="81"/>
      <c r="B1" s="1569" t="s">
        <v>1106</v>
      </c>
      <c r="C1" s="1569"/>
      <c r="D1" s="1569"/>
      <c r="E1" s="82"/>
      <c r="F1" s="82"/>
      <c r="G1" s="82"/>
      <c r="H1" s="82"/>
      <c r="I1" s="83"/>
      <c r="J1" s="82"/>
      <c r="K1" s="82"/>
      <c r="L1" s="82"/>
      <c r="M1" s="82"/>
      <c r="N1" s="82"/>
      <c r="O1" s="82"/>
      <c r="P1" s="82"/>
      <c r="Q1" s="84"/>
      <c r="R1" s="207"/>
      <c r="S1" s="55"/>
      <c r="T1" s="55"/>
      <c r="U1" s="135"/>
      <c r="V1" s="135"/>
      <c r="W1" s="135"/>
      <c r="X1" s="135"/>
      <c r="Y1" s="135"/>
      <c r="Z1" s="135"/>
      <c r="AA1" s="135"/>
      <c r="AB1" s="135"/>
      <c r="AC1" s="135"/>
      <c r="AD1" s="135"/>
      <c r="AE1" s="135"/>
    </row>
    <row r="2" spans="1:31" ht="18.75" customHeight="1">
      <c r="A2" s="87"/>
      <c r="B2" s="1570"/>
      <c r="C2" s="1570"/>
      <c r="D2" s="1570"/>
      <c r="E2" s="5"/>
      <c r="F2" s="5"/>
      <c r="G2" s="5"/>
      <c r="H2" s="5"/>
      <c r="I2" s="1"/>
      <c r="J2" s="5"/>
      <c r="K2" s="5"/>
      <c r="L2" s="5"/>
      <c r="M2" s="5"/>
      <c r="N2" s="5"/>
      <c r="O2" s="5"/>
      <c r="P2" s="5"/>
      <c r="Q2" s="86"/>
      <c r="R2" s="122"/>
      <c r="S2" s="55"/>
      <c r="T2" s="55"/>
      <c r="U2" s="56"/>
      <c r="V2" s="56"/>
      <c r="W2" s="56"/>
      <c r="X2" s="56"/>
      <c r="Y2" s="56"/>
      <c r="Z2" s="56"/>
      <c r="AA2" s="56"/>
      <c r="AB2" s="56"/>
      <c r="AC2" s="56"/>
      <c r="AD2" s="56"/>
      <c r="AE2" s="56"/>
    </row>
    <row r="3" spans="1:31" ht="18.75" customHeight="1">
      <c r="A3" s="87"/>
      <c r="B3" s="1571"/>
      <c r="C3" s="1571"/>
      <c r="D3" s="1571"/>
      <c r="E3" s="5"/>
      <c r="F3" s="5"/>
      <c r="G3" s="5"/>
      <c r="H3" s="5"/>
      <c r="I3" s="1"/>
      <c r="J3" s="5"/>
      <c r="K3" s="5"/>
      <c r="L3" s="5"/>
      <c r="M3" s="5"/>
      <c r="N3" s="5"/>
      <c r="O3" s="5"/>
      <c r="P3" s="5"/>
      <c r="Q3" s="86"/>
      <c r="R3" s="122"/>
      <c r="S3" s="55"/>
      <c r="T3" s="55"/>
      <c r="U3" s="56"/>
      <c r="V3" s="56"/>
      <c r="W3" s="56"/>
      <c r="X3" s="56"/>
      <c r="Y3" s="56"/>
      <c r="Z3" s="56"/>
      <c r="AA3" s="56"/>
      <c r="AB3" s="56"/>
      <c r="AC3" s="56"/>
      <c r="AD3" s="56"/>
      <c r="AE3" s="56"/>
    </row>
    <row r="4" spans="1:31" ht="11.25" customHeight="1">
      <c r="A4" s="81"/>
      <c r="B4" s="82"/>
      <c r="C4" s="82"/>
      <c r="D4" s="82"/>
      <c r="E4" s="82"/>
      <c r="F4" s="82"/>
      <c r="G4" s="82"/>
      <c r="H4" s="82"/>
      <c r="I4" s="82"/>
      <c r="J4" s="82"/>
      <c r="K4" s="82"/>
      <c r="L4" s="82"/>
      <c r="M4" s="82"/>
      <c r="N4" s="82"/>
      <c r="O4" s="82"/>
      <c r="P4" s="82"/>
      <c r="Q4" s="169"/>
      <c r="R4" s="119"/>
      <c r="U4" s="53"/>
      <c r="V4" s="53"/>
      <c r="X4" s="52"/>
      <c r="Y4" s="52"/>
    </row>
    <row r="5" spans="1:31" ht="18.75" customHeight="1">
      <c r="A5" s="87"/>
      <c r="B5" s="1044"/>
      <c r="C5" s="77"/>
      <c r="D5" s="77"/>
      <c r="E5" s="77"/>
      <c r="F5" s="77"/>
      <c r="G5" s="77"/>
      <c r="H5" s="77"/>
      <c r="I5" s="77"/>
      <c r="J5" s="77"/>
      <c r="K5" s="77"/>
      <c r="L5" s="77"/>
      <c r="M5" s="77"/>
      <c r="N5" s="40"/>
      <c r="O5" s="40"/>
      <c r="P5" s="40"/>
      <c r="Q5" s="170"/>
      <c r="R5" s="119"/>
      <c r="U5" s="53"/>
      <c r="V5" s="53"/>
      <c r="X5" s="52"/>
      <c r="Y5" s="52"/>
    </row>
    <row r="6" spans="1:31" ht="66.75" customHeight="1">
      <c r="A6" s="87"/>
      <c r="B6" s="1562"/>
      <c r="C6" s="1563"/>
      <c r="D6" s="1563"/>
      <c r="E6" s="1563"/>
      <c r="F6" s="1563"/>
      <c r="G6" s="1563"/>
      <c r="H6" s="1563"/>
      <c r="I6" s="1563"/>
      <c r="J6" s="1563"/>
      <c r="K6" s="1563"/>
      <c r="L6" s="1563"/>
      <c r="M6" s="1563"/>
      <c r="N6" s="1563"/>
      <c r="O6" s="1563"/>
      <c r="P6" s="40"/>
      <c r="Q6" s="170"/>
      <c r="R6" s="119"/>
    </row>
    <row r="7" spans="1:31" ht="7.5" customHeight="1">
      <c r="A7" s="208"/>
      <c r="B7" s="1564"/>
      <c r="C7" s="1564"/>
      <c r="D7" s="1564"/>
      <c r="E7" s="1564"/>
      <c r="F7" s="1564"/>
      <c r="G7" s="1564"/>
      <c r="H7" s="1564"/>
      <c r="I7" s="1564"/>
      <c r="J7" s="1564"/>
      <c r="K7" s="1564"/>
      <c r="L7" s="1564"/>
      <c r="M7" s="1564"/>
      <c r="N7" s="1564"/>
      <c r="O7" s="1564"/>
      <c r="P7" s="1564"/>
      <c r="Q7" s="170"/>
      <c r="R7" s="119"/>
    </row>
    <row r="8" spans="1:31" ht="38.25" customHeight="1">
      <c r="A8" s="87"/>
      <c r="B8" s="1382"/>
      <c r="C8" s="1383"/>
      <c r="D8" s="1383"/>
      <c r="E8" s="1383"/>
      <c r="F8" s="582"/>
      <c r="G8" s="582"/>
      <c r="H8" s="582"/>
      <c r="I8" s="582"/>
      <c r="J8" s="582"/>
      <c r="K8" s="77"/>
      <c r="L8" s="1384"/>
      <c r="M8" s="1384"/>
      <c r="N8" s="1384"/>
      <c r="O8" s="40"/>
      <c r="P8" s="40"/>
      <c r="Q8" s="170"/>
      <c r="R8" s="119"/>
    </row>
    <row r="9" spans="1:31" s="61" customFormat="1" ht="14.25" customHeight="1">
      <c r="A9" s="1051"/>
      <c r="B9" s="1385"/>
      <c r="C9" s="1386"/>
      <c r="D9" s="1387"/>
      <c r="E9" s="1388"/>
      <c r="F9" s="1389"/>
      <c r="G9" s="1389"/>
      <c r="H9" s="1390"/>
      <c r="I9" s="120"/>
      <c r="J9" s="120"/>
      <c r="K9" s="120"/>
      <c r="L9" s="1391"/>
      <c r="M9" s="1392"/>
      <c r="N9" s="1391"/>
      <c r="O9" s="120"/>
      <c r="P9" s="120"/>
      <c r="Q9" s="608"/>
      <c r="R9" s="121"/>
      <c r="U9" s="60"/>
      <c r="V9" s="60"/>
      <c r="W9" s="60"/>
    </row>
    <row r="10" spans="1:31" s="61" customFormat="1" ht="14.25" customHeight="1">
      <c r="A10" s="1051"/>
      <c r="B10" s="1385"/>
      <c r="C10" s="1386"/>
      <c r="D10" s="1387"/>
      <c r="E10" s="1388"/>
      <c r="F10" s="1389"/>
      <c r="G10" s="1389"/>
      <c r="H10" s="1390"/>
      <c r="I10" s="1393"/>
      <c r="J10" s="120"/>
      <c r="K10" s="120"/>
      <c r="L10" s="120"/>
      <c r="M10" s="120"/>
      <c r="N10" s="120"/>
      <c r="O10" s="120"/>
      <c r="P10" s="120"/>
      <c r="Q10" s="608"/>
      <c r="R10" s="121"/>
      <c r="U10" s="60"/>
      <c r="V10" s="60"/>
      <c r="W10" s="60"/>
    </row>
    <row r="11" spans="1:31" s="61" customFormat="1" ht="14.25" customHeight="1">
      <c r="A11" s="1051"/>
      <c r="B11" s="1385"/>
      <c r="C11" s="1386"/>
      <c r="D11" s="1387"/>
      <c r="E11" s="1388"/>
      <c r="F11" s="1389"/>
      <c r="G11" s="1390"/>
      <c r="H11" s="1390"/>
      <c r="I11" s="120"/>
      <c r="J11" s="120"/>
      <c r="K11" s="120"/>
      <c r="L11" s="1391"/>
      <c r="M11" s="1392"/>
      <c r="N11" s="1391"/>
      <c r="O11" s="120"/>
      <c r="P11" s="120"/>
      <c r="Q11" s="608"/>
      <c r="R11" s="121"/>
      <c r="U11" s="60"/>
      <c r="V11" s="60"/>
      <c r="W11" s="60"/>
    </row>
    <row r="12" spans="1:31" s="61" customFormat="1" ht="14.25" customHeight="1">
      <c r="A12" s="1051"/>
      <c r="B12" s="1385"/>
      <c r="C12" s="1386"/>
      <c r="D12" s="1387"/>
      <c r="E12" s="1388"/>
      <c r="F12" s="1389"/>
      <c r="G12" s="1389"/>
      <c r="H12" s="1389"/>
      <c r="I12" s="120"/>
      <c r="J12" s="120"/>
      <c r="K12" s="120"/>
      <c r="L12" s="1391"/>
      <c r="M12" s="1392"/>
      <c r="N12" s="1391"/>
      <c r="O12" s="120"/>
      <c r="P12" s="120"/>
      <c r="Q12" s="608"/>
      <c r="R12" s="121"/>
      <c r="U12" s="60"/>
      <c r="V12" s="60"/>
      <c r="W12" s="60"/>
    </row>
    <row r="13" spans="1:31" s="61" customFormat="1" ht="14.25" customHeight="1">
      <c r="A13" s="1051"/>
      <c r="B13" s="1385"/>
      <c r="C13" s="1386"/>
      <c r="D13" s="1387"/>
      <c r="E13" s="1388"/>
      <c r="F13" s="1389"/>
      <c r="G13" s="1389"/>
      <c r="H13" s="1389"/>
      <c r="I13" s="120"/>
      <c r="J13" s="120"/>
      <c r="K13" s="120"/>
      <c r="L13" s="1391"/>
      <c r="M13" s="1392"/>
      <c r="N13" s="1391"/>
      <c r="O13" s="120"/>
      <c r="P13" s="120"/>
      <c r="Q13" s="608"/>
      <c r="R13" s="121"/>
      <c r="U13" s="60"/>
      <c r="V13" s="60"/>
      <c r="W13" s="60"/>
    </row>
    <row r="14" spans="1:31" s="61" customFormat="1" ht="14.25" customHeight="1">
      <c r="A14" s="1051"/>
      <c r="B14" s="1385"/>
      <c r="C14" s="1386"/>
      <c r="D14" s="1387"/>
      <c r="E14" s="1388"/>
      <c r="F14" s="1389"/>
      <c r="G14" s="1389"/>
      <c r="H14" s="1389"/>
      <c r="I14" s="120"/>
      <c r="J14" s="120"/>
      <c r="K14" s="120"/>
      <c r="L14" s="1391"/>
      <c r="M14" s="1392"/>
      <c r="N14" s="1391"/>
      <c r="O14" s="120"/>
      <c r="P14" s="120"/>
      <c r="Q14" s="608"/>
      <c r="R14" s="121"/>
      <c r="U14" s="60"/>
      <c r="V14" s="60"/>
      <c r="W14" s="60"/>
    </row>
    <row r="15" spans="1:31" s="61" customFormat="1" ht="14.25" customHeight="1">
      <c r="A15" s="1051"/>
      <c r="B15" s="1385"/>
      <c r="C15" s="1386"/>
      <c r="D15" s="1387"/>
      <c r="E15" s="1388"/>
      <c r="F15" s="1390"/>
      <c r="G15" s="1390"/>
      <c r="H15" s="1389"/>
      <c r="I15" s="120"/>
      <c r="J15" s="120"/>
      <c r="K15" s="120"/>
      <c r="L15" s="1391"/>
      <c r="M15" s="1392"/>
      <c r="N15" s="1391"/>
      <c r="O15" s="120"/>
      <c r="P15" s="120"/>
      <c r="Q15" s="608"/>
      <c r="R15" s="121"/>
      <c r="U15" s="60"/>
      <c r="V15" s="60"/>
      <c r="W15" s="60"/>
    </row>
    <row r="16" spans="1:31" s="61" customFormat="1" ht="14.25" customHeight="1">
      <c r="A16" s="1051"/>
      <c r="B16" s="1385"/>
      <c r="C16" s="1386"/>
      <c r="D16" s="1387"/>
      <c r="E16" s="1388"/>
      <c r="F16" s="1389"/>
      <c r="G16" s="1389"/>
      <c r="H16" s="1389"/>
      <c r="I16" s="120"/>
      <c r="J16" s="120"/>
      <c r="K16" s="120"/>
      <c r="L16" s="1391"/>
      <c r="M16" s="1392"/>
      <c r="N16" s="1391"/>
      <c r="O16" s="120"/>
      <c r="P16" s="120"/>
      <c r="Q16" s="608"/>
      <c r="R16" s="121"/>
      <c r="U16" s="60"/>
      <c r="V16" s="60"/>
      <c r="W16" s="60"/>
    </row>
    <row r="17" spans="1:23" s="61" customFormat="1" ht="14.25" customHeight="1">
      <c r="A17" s="1051"/>
      <c r="B17" s="1385"/>
      <c r="C17" s="1386"/>
      <c r="D17" s="1387"/>
      <c r="E17" s="1388"/>
      <c r="F17" s="1389"/>
      <c r="G17" s="1389"/>
      <c r="H17" s="1389"/>
      <c r="I17" s="120"/>
      <c r="J17" s="120"/>
      <c r="K17" s="120"/>
      <c r="L17" s="1391"/>
      <c r="M17" s="1392"/>
      <c r="N17" s="1391"/>
      <c r="O17" s="120"/>
      <c r="P17" s="120"/>
      <c r="Q17" s="608"/>
      <c r="R17" s="121"/>
      <c r="U17" s="60"/>
      <c r="V17" s="60"/>
      <c r="W17" s="60"/>
    </row>
    <row r="18" spans="1:23" s="61" customFormat="1" ht="14.25" customHeight="1">
      <c r="A18" s="1051"/>
      <c r="B18" s="1385"/>
      <c r="C18" s="1386"/>
      <c r="D18" s="1387"/>
      <c r="E18" s="1388"/>
      <c r="F18" s="1389"/>
      <c r="G18" s="1389"/>
      <c r="H18" s="1389"/>
      <c r="I18" s="120"/>
      <c r="J18" s="120"/>
      <c r="K18" s="120"/>
      <c r="L18" s="1391"/>
      <c r="M18" s="1392"/>
      <c r="N18" s="1391"/>
      <c r="O18" s="120"/>
      <c r="P18" s="120"/>
      <c r="Q18" s="608"/>
      <c r="R18" s="121"/>
      <c r="U18" s="60"/>
      <c r="V18" s="60"/>
      <c r="W18" s="60"/>
    </row>
    <row r="19" spans="1:23" s="61" customFormat="1" ht="14.25" customHeight="1">
      <c r="A19" s="1051"/>
      <c r="B19" s="1385"/>
      <c r="C19" s="1386"/>
      <c r="D19" s="1387"/>
      <c r="E19" s="1388"/>
      <c r="F19" s="1389"/>
      <c r="G19" s="1389"/>
      <c r="H19" s="1389"/>
      <c r="I19" s="120"/>
      <c r="J19" s="120"/>
      <c r="K19" s="120"/>
      <c r="L19" s="1391"/>
      <c r="M19" s="1392"/>
      <c r="N19" s="1391"/>
      <c r="O19" s="120"/>
      <c r="P19" s="120"/>
      <c r="Q19" s="608"/>
      <c r="R19" s="121"/>
      <c r="U19" s="60"/>
      <c r="V19" s="60"/>
      <c r="W19" s="60"/>
    </row>
    <row r="20" spans="1:23" s="61" customFormat="1" ht="14.25" customHeight="1">
      <c r="A20" s="1051"/>
      <c r="B20" s="1385"/>
      <c r="C20" s="1386"/>
      <c r="D20" s="1387"/>
      <c r="E20" s="1388"/>
      <c r="F20" s="1389"/>
      <c r="G20" s="1390"/>
      <c r="H20" s="1389"/>
      <c r="I20" s="1390"/>
      <c r="J20" s="1390"/>
      <c r="K20" s="120"/>
      <c r="L20" s="1391"/>
      <c r="M20" s="1392"/>
      <c r="N20" s="1391"/>
      <c r="O20" s="120"/>
      <c r="P20" s="120"/>
      <c r="Q20" s="608"/>
      <c r="R20" s="121"/>
      <c r="U20" s="60"/>
      <c r="V20" s="60"/>
      <c r="W20" s="60"/>
    </row>
    <row r="21" spans="1:23" s="61" customFormat="1" ht="14.25" customHeight="1">
      <c r="A21" s="1051"/>
      <c r="B21" s="1385"/>
      <c r="C21" s="1386"/>
      <c r="D21" s="1387"/>
      <c r="E21" s="1388"/>
      <c r="F21" s="1390"/>
      <c r="G21" s="1389"/>
      <c r="H21" s="1389"/>
      <c r="I21" s="120"/>
      <c r="J21" s="120"/>
      <c r="K21" s="120"/>
      <c r="L21" s="1391"/>
      <c r="M21" s="1392"/>
      <c r="N21" s="1391"/>
      <c r="O21" s="120"/>
      <c r="P21" s="120"/>
      <c r="Q21" s="608"/>
      <c r="R21" s="121"/>
      <c r="U21" s="60"/>
      <c r="V21" s="60"/>
      <c r="W21" s="60"/>
    </row>
    <row r="22" spans="1:23" s="61" customFormat="1" ht="14.25" customHeight="1">
      <c r="A22" s="1051"/>
      <c r="B22" s="1385"/>
      <c r="C22" s="1386"/>
      <c r="D22" s="1387"/>
      <c r="E22" s="1388"/>
      <c r="F22" s="1389"/>
      <c r="G22" s="1389"/>
      <c r="H22" s="1389"/>
      <c r="I22" s="120"/>
      <c r="J22" s="120"/>
      <c r="K22" s="120"/>
      <c r="L22" s="1391"/>
      <c r="M22" s="1392"/>
      <c r="N22" s="1391"/>
      <c r="O22" s="120"/>
      <c r="P22" s="120"/>
      <c r="Q22" s="608"/>
      <c r="R22" s="121"/>
      <c r="U22" s="60"/>
      <c r="V22" s="60"/>
      <c r="W22" s="60"/>
    </row>
    <row r="23" spans="1:23" s="61" customFormat="1" ht="14.25" customHeight="1">
      <c r="A23" s="1051"/>
      <c r="B23" s="1385"/>
      <c r="C23" s="1386"/>
      <c r="D23" s="1387"/>
      <c r="E23" s="1388"/>
      <c r="F23" s="1390"/>
      <c r="G23" s="1390"/>
      <c r="H23" s="1389"/>
      <c r="I23" s="120"/>
      <c r="J23" s="1390"/>
      <c r="K23" s="120"/>
      <c r="L23" s="1391"/>
      <c r="M23" s="1392"/>
      <c r="N23" s="1391"/>
      <c r="O23" s="120"/>
      <c r="P23" s="120"/>
      <c r="Q23" s="608"/>
      <c r="R23" s="121"/>
      <c r="U23" s="60"/>
      <c r="V23" s="60"/>
      <c r="W23" s="60"/>
    </row>
    <row r="24" spans="1:23" s="61" customFormat="1" ht="14.25" customHeight="1">
      <c r="A24" s="1051"/>
      <c r="B24" s="1385"/>
      <c r="C24" s="1386"/>
      <c r="D24" s="1387"/>
      <c r="E24" s="1388"/>
      <c r="F24" s="1390"/>
      <c r="G24" s="1390"/>
      <c r="H24" s="1389"/>
      <c r="I24" s="1390"/>
      <c r="J24" s="120"/>
      <c r="K24" s="120"/>
      <c r="L24" s="1391"/>
      <c r="M24" s="1392"/>
      <c r="N24" s="1391"/>
      <c r="O24" s="120"/>
      <c r="P24" s="120"/>
      <c r="Q24" s="608"/>
      <c r="R24" s="121"/>
      <c r="U24" s="60"/>
      <c r="V24" s="60"/>
      <c r="W24" s="60"/>
    </row>
    <row r="25" spans="1:23" s="61" customFormat="1" ht="14.25" customHeight="1">
      <c r="A25" s="1051"/>
      <c r="B25" s="1385"/>
      <c r="C25" s="1386"/>
      <c r="D25" s="1387"/>
      <c r="E25" s="1388"/>
      <c r="F25" s="120"/>
      <c r="G25" s="120"/>
      <c r="H25" s="120"/>
      <c r="I25" s="120"/>
      <c r="J25" s="120"/>
      <c r="K25" s="120"/>
      <c r="L25" s="1391"/>
      <c r="M25" s="1392"/>
      <c r="N25" s="1391"/>
      <c r="O25" s="120"/>
      <c r="P25" s="120"/>
      <c r="Q25" s="608"/>
      <c r="R25" s="121"/>
      <c r="U25" s="60"/>
      <c r="V25" s="60"/>
      <c r="W25" s="60"/>
    </row>
    <row r="26" spans="1:23" s="61" customFormat="1" ht="14.25" customHeight="1">
      <c r="A26" s="1051"/>
      <c r="B26" s="1385"/>
      <c r="C26" s="1386"/>
      <c r="D26" s="1387"/>
      <c r="E26" s="1388"/>
      <c r="F26" s="120"/>
      <c r="G26" s="120"/>
      <c r="H26" s="120"/>
      <c r="I26" s="120"/>
      <c r="J26" s="120"/>
      <c r="K26" s="120"/>
      <c r="L26" s="1391"/>
      <c r="M26" s="1392"/>
      <c r="N26" s="1391"/>
      <c r="O26" s="120"/>
      <c r="P26" s="120"/>
      <c r="Q26" s="608"/>
      <c r="R26" s="121"/>
      <c r="U26" s="60"/>
      <c r="V26" s="60"/>
      <c r="W26" s="60"/>
    </row>
    <row r="27" spans="1:23" s="61" customFormat="1" ht="14.25" customHeight="1">
      <c r="A27" s="1051"/>
      <c r="B27" s="1385"/>
      <c r="C27" s="1386"/>
      <c r="D27" s="1387"/>
      <c r="E27" s="1388"/>
      <c r="F27" s="1389"/>
      <c r="G27" s="1389"/>
      <c r="H27" s="1389"/>
      <c r="I27" s="1389"/>
      <c r="J27" s="1389"/>
      <c r="K27" s="1389"/>
      <c r="L27" s="1389"/>
      <c r="M27" s="1389"/>
      <c r="N27" s="1389"/>
      <c r="O27" s="1394"/>
      <c r="P27" s="120"/>
      <c r="Q27" s="608"/>
      <c r="R27" s="121"/>
      <c r="U27" s="60"/>
      <c r="V27" s="60"/>
      <c r="W27" s="60"/>
    </row>
    <row r="28" spans="1:23" s="61" customFormat="1" ht="14.25" customHeight="1">
      <c r="A28" s="179"/>
      <c r="B28" s="1385"/>
      <c r="C28" s="1386"/>
      <c r="D28" s="1388"/>
      <c r="E28" s="1388"/>
      <c r="F28" s="120"/>
      <c r="G28" s="120"/>
      <c r="H28" s="120"/>
      <c r="I28" s="120"/>
      <c r="J28" s="120"/>
      <c r="K28" s="120"/>
      <c r="L28" s="1391"/>
      <c r="M28" s="1392"/>
      <c r="N28" s="1391"/>
      <c r="O28" s="120"/>
      <c r="P28" s="120"/>
      <c r="Q28" s="608"/>
      <c r="R28" s="121"/>
      <c r="U28" s="60"/>
      <c r="V28" s="60"/>
      <c r="W28" s="60"/>
    </row>
    <row r="29" spans="1:23" s="61" customFormat="1" ht="14.25" customHeight="1">
      <c r="A29" s="211"/>
      <c r="B29" s="1397"/>
      <c r="C29" s="1395"/>
      <c r="D29" s="1396"/>
      <c r="E29" s="1396"/>
      <c r="F29" s="120"/>
      <c r="G29" s="120"/>
      <c r="H29" s="120"/>
      <c r="I29" s="120"/>
      <c r="J29" s="120"/>
      <c r="K29" s="120"/>
      <c r="L29" s="1391"/>
      <c r="M29" s="1392"/>
      <c r="N29" s="1391"/>
      <c r="O29" s="120"/>
      <c r="P29" s="120"/>
      <c r="Q29" s="608"/>
      <c r="R29" s="121"/>
      <c r="U29" s="60"/>
      <c r="V29" s="60"/>
      <c r="W29" s="60"/>
    </row>
    <row r="30" spans="1:23" ht="7.5" customHeight="1">
      <c r="A30" s="208"/>
      <c r="B30" s="389"/>
      <c r="C30" s="389"/>
      <c r="D30" s="389"/>
      <c r="E30" s="389"/>
      <c r="F30" s="64"/>
      <c r="G30" s="64"/>
      <c r="H30" s="64"/>
      <c r="I30" s="64"/>
      <c r="J30" s="64"/>
      <c r="K30" s="64"/>
      <c r="L30" s="64"/>
      <c r="M30" s="64"/>
      <c r="N30" s="64"/>
      <c r="O30" s="64"/>
      <c r="P30" s="40"/>
      <c r="Q30" s="170"/>
      <c r="R30" s="119"/>
    </row>
    <row r="31" spans="1:23" ht="15" customHeight="1">
      <c r="A31" s="1565"/>
      <c r="B31" s="1566"/>
      <c r="C31" s="1566"/>
      <c r="D31" s="1566"/>
      <c r="E31" s="1566"/>
      <c r="F31" s="1566"/>
      <c r="G31" s="1566"/>
      <c r="H31" s="1566"/>
      <c r="I31" s="1566"/>
      <c r="J31" s="1566"/>
      <c r="K31" s="1566"/>
      <c r="L31" s="1566"/>
      <c r="M31" s="1566"/>
      <c r="N31" s="1566"/>
      <c r="O31" s="1566"/>
      <c r="P31" s="1566"/>
      <c r="Q31" s="170"/>
      <c r="R31" s="119"/>
    </row>
    <row r="32" spans="1:23" ht="11.25" customHeight="1">
      <c r="A32" s="1567"/>
      <c r="B32" s="1568"/>
      <c r="C32" s="1568"/>
      <c r="D32" s="1568"/>
      <c r="E32" s="1568"/>
      <c r="F32" s="1568"/>
      <c r="G32" s="1568"/>
      <c r="H32" s="1568"/>
      <c r="I32" s="1568"/>
      <c r="J32" s="1568"/>
      <c r="K32" s="1568"/>
      <c r="L32" s="1568"/>
      <c r="M32" s="1568"/>
      <c r="N32" s="1568"/>
      <c r="O32" s="1568"/>
      <c r="P32" s="1568"/>
      <c r="Q32" s="182"/>
      <c r="R32" s="119"/>
    </row>
    <row r="33" spans="1:25" ht="11.25" customHeight="1">
      <c r="A33" s="106"/>
      <c r="B33" s="705"/>
      <c r="C33" s="5"/>
      <c r="D33" s="5"/>
      <c r="E33" s="9"/>
      <c r="F33" s="5"/>
      <c r="G33" s="40"/>
      <c r="H33" s="554"/>
      <c r="I33" s="40"/>
      <c r="J33" s="40"/>
      <c r="K33" s="40"/>
      <c r="L33" s="40"/>
      <c r="M33" s="40"/>
      <c r="N33" s="40"/>
      <c r="O33" s="40"/>
      <c r="P33" s="40"/>
      <c r="Q33" s="40"/>
      <c r="R33" s="119"/>
      <c r="W33" s="52"/>
      <c r="X33" s="52"/>
      <c r="Y33" s="52"/>
    </row>
    <row r="34" spans="1:25" ht="11.25" customHeight="1">
      <c r="A34" s="106"/>
      <c r="B34" s="1561"/>
      <c r="C34" s="1561"/>
      <c r="D34" s="1561"/>
      <c r="E34" s="1561"/>
      <c r="F34" s="2"/>
      <c r="G34" s="554"/>
      <c r="H34" s="554"/>
      <c r="I34" s="40"/>
      <c r="J34" s="40"/>
      <c r="K34" s="40"/>
      <c r="L34" s="40"/>
      <c r="M34" s="40"/>
      <c r="N34" s="40"/>
      <c r="O34" s="40"/>
      <c r="P34" s="40"/>
      <c r="Q34" s="40"/>
      <c r="R34" s="119"/>
      <c r="W34" s="52"/>
      <c r="X34" s="52"/>
      <c r="Y34" s="52"/>
    </row>
    <row r="35" spans="1:25" ht="11.25" customHeight="1">
      <c r="A35" s="106"/>
      <c r="B35" s="1561"/>
      <c r="C35" s="1561"/>
      <c r="D35" s="1561"/>
      <c r="E35" s="1561"/>
      <c r="F35" s="2"/>
      <c r="G35" s="554"/>
      <c r="H35" s="554"/>
      <c r="I35" s="40"/>
      <c r="J35" s="40"/>
      <c r="K35" s="40"/>
      <c r="L35" s="40"/>
      <c r="M35" s="40"/>
      <c r="N35" s="40"/>
      <c r="O35" s="40"/>
      <c r="P35" s="40"/>
      <c r="Q35" s="40"/>
      <c r="R35" s="119"/>
      <c r="W35" s="52"/>
      <c r="X35" s="52"/>
      <c r="Y35" s="52"/>
    </row>
    <row r="36" spans="1:25" ht="11.25" customHeight="1">
      <c r="A36" s="106"/>
      <c r="B36" s="1561"/>
      <c r="C36" s="1561"/>
      <c r="D36" s="1561"/>
      <c r="E36" s="1561"/>
      <c r="F36" s="2"/>
      <c r="G36" s="554"/>
      <c r="H36" s="554"/>
      <c r="I36" s="40"/>
      <c r="J36" s="40"/>
      <c r="K36" s="40"/>
      <c r="L36" s="40"/>
      <c r="M36" s="40"/>
      <c r="N36" s="40"/>
      <c r="O36" s="40"/>
      <c r="P36" s="40"/>
      <c r="Q36" s="40"/>
      <c r="R36" s="119"/>
      <c r="W36" s="52"/>
      <c r="X36" s="52"/>
      <c r="Y36" s="52"/>
    </row>
    <row r="37" spans="1:25" ht="11.25" customHeight="1">
      <c r="A37" s="106"/>
      <c r="B37" s="1561"/>
      <c r="C37" s="1561"/>
      <c r="D37" s="1561"/>
      <c r="E37" s="1561"/>
      <c r="F37" s="2"/>
      <c r="G37" s="554"/>
      <c r="H37" s="554"/>
      <c r="I37" s="40"/>
      <c r="J37" s="40"/>
      <c r="K37" s="40"/>
      <c r="L37" s="40"/>
      <c r="M37" s="40"/>
      <c r="N37" s="40"/>
      <c r="O37" s="40"/>
      <c r="P37" s="40"/>
      <c r="Q37" s="40"/>
      <c r="R37" s="119"/>
      <c r="W37" s="52"/>
      <c r="X37" s="52"/>
      <c r="Y37" s="52"/>
    </row>
    <row r="38" spans="1:25" ht="11.25" customHeight="1">
      <c r="A38" s="106"/>
      <c r="B38" s="1561"/>
      <c r="C38" s="1561"/>
      <c r="D38" s="1561"/>
      <c r="E38" s="1561"/>
      <c r="F38" s="2"/>
      <c r="G38" s="554"/>
      <c r="H38" s="554"/>
      <c r="I38" s="40"/>
      <c r="J38" s="40"/>
      <c r="K38" s="40"/>
      <c r="L38" s="40"/>
      <c r="M38" s="40"/>
      <c r="N38" s="40"/>
      <c r="O38" s="40"/>
      <c r="P38" s="40"/>
      <c r="Q38" s="40"/>
      <c r="R38" s="119"/>
      <c r="W38" s="52"/>
      <c r="X38" s="52"/>
      <c r="Y38" s="52"/>
    </row>
    <row r="39" spans="1:25" ht="11.25" customHeight="1">
      <c r="A39" s="106"/>
      <c r="B39" s="1561"/>
      <c r="C39" s="1561"/>
      <c r="D39" s="1561"/>
      <c r="E39" s="1561"/>
      <c r="F39" s="2"/>
      <c r="G39" s="554"/>
      <c r="H39" s="554"/>
      <c r="I39" s="40"/>
      <c r="J39" s="40"/>
      <c r="K39" s="40"/>
      <c r="L39" s="40"/>
      <c r="M39" s="40"/>
      <c r="N39" s="40"/>
      <c r="O39" s="40"/>
      <c r="P39" s="40"/>
      <c r="Q39" s="40"/>
      <c r="R39" s="119"/>
      <c r="W39" s="52"/>
      <c r="X39" s="52"/>
      <c r="Y39" s="52"/>
    </row>
    <row r="40" spans="1:25" ht="11.25" customHeight="1">
      <c r="A40" s="106"/>
      <c r="B40" s="1561"/>
      <c r="C40" s="1561"/>
      <c r="D40" s="1561"/>
      <c r="E40" s="1561"/>
      <c r="F40" s="2"/>
      <c r="G40" s="554"/>
      <c r="H40" s="554"/>
      <c r="I40" s="40"/>
      <c r="J40" s="40"/>
      <c r="K40" s="40"/>
      <c r="L40" s="40"/>
      <c r="M40" s="40"/>
      <c r="N40" s="40"/>
      <c r="O40" s="40"/>
      <c r="P40" s="40"/>
      <c r="Q40" s="40"/>
      <c r="R40" s="119"/>
      <c r="W40" s="52"/>
      <c r="X40" s="52"/>
      <c r="Y40" s="52"/>
    </row>
    <row r="41" spans="1:25" ht="11.25" customHeight="1">
      <c r="A41" s="106"/>
      <c r="B41" s="1561"/>
      <c r="C41" s="1561"/>
      <c r="D41" s="1561"/>
      <c r="E41" s="1561"/>
      <c r="F41" s="2"/>
      <c r="G41" s="554"/>
      <c r="H41" s="554"/>
      <c r="I41" s="40"/>
      <c r="J41" s="40"/>
      <c r="K41" s="40"/>
      <c r="L41" s="40"/>
      <c r="M41" s="40"/>
      <c r="N41" s="40"/>
      <c r="O41" s="40"/>
      <c r="P41" s="40"/>
      <c r="Q41" s="40"/>
      <c r="R41" s="119"/>
      <c r="W41" s="52"/>
      <c r="X41" s="52"/>
      <c r="Y41" s="52"/>
    </row>
    <row r="42" spans="1:25" ht="11.25" customHeight="1">
      <c r="A42" s="106"/>
      <c r="B42" s="1561"/>
      <c r="C42" s="1561"/>
      <c r="D42" s="1561"/>
      <c r="E42" s="1561"/>
      <c r="F42" s="2"/>
      <c r="G42" s="554"/>
      <c r="H42" s="554"/>
      <c r="I42" s="40"/>
      <c r="J42" s="40"/>
      <c r="K42" s="40"/>
      <c r="L42" s="40"/>
      <c r="M42" s="40"/>
      <c r="N42" s="40"/>
      <c r="O42" s="40"/>
      <c r="P42" s="40"/>
      <c r="Q42" s="40"/>
      <c r="R42" s="119"/>
      <c r="W42" s="52"/>
      <c r="X42" s="52"/>
      <c r="Y42" s="52"/>
    </row>
    <row r="43" spans="1:25" ht="11.25" customHeight="1">
      <c r="A43" s="106"/>
      <c r="B43" s="1561"/>
      <c r="C43" s="1561"/>
      <c r="D43" s="1561"/>
      <c r="E43" s="1561"/>
      <c r="F43" s="2"/>
      <c r="G43" s="554"/>
      <c r="H43" s="554"/>
      <c r="I43" s="40"/>
      <c r="J43" s="40"/>
      <c r="K43" s="40"/>
      <c r="L43" s="40"/>
      <c r="M43" s="40"/>
      <c r="N43" s="40"/>
      <c r="O43" s="40"/>
      <c r="P43" s="40"/>
      <c r="Q43" s="40"/>
      <c r="R43" s="119"/>
      <c r="W43" s="52"/>
      <c r="X43" s="52"/>
      <c r="Y43" s="52"/>
    </row>
    <row r="44" spans="1:25" ht="11.25" customHeight="1">
      <c r="A44" s="106"/>
      <c r="B44" s="1561"/>
      <c r="C44" s="1561"/>
      <c r="D44" s="1561"/>
      <c r="E44" s="1561"/>
      <c r="F44" s="2"/>
      <c r="G44" s="554"/>
      <c r="H44" s="554"/>
      <c r="I44" s="40"/>
      <c r="J44" s="40"/>
      <c r="K44" s="40"/>
      <c r="L44" s="40"/>
      <c r="M44" s="40"/>
      <c r="N44" s="40"/>
      <c r="O44" s="40"/>
      <c r="P44" s="40"/>
      <c r="Q44" s="40"/>
      <c r="R44" s="119"/>
      <c r="W44" s="52"/>
      <c r="X44" s="52"/>
      <c r="Y44" s="52"/>
    </row>
    <row r="45" spans="1:25" ht="11.25" customHeight="1">
      <c r="A45" s="106"/>
      <c r="B45" s="1561"/>
      <c r="C45" s="1561"/>
      <c r="D45" s="1561"/>
      <c r="E45" s="1561"/>
      <c r="F45" s="2"/>
      <c r="G45" s="554"/>
      <c r="H45" s="554"/>
      <c r="I45" s="40"/>
      <c r="J45" s="40"/>
      <c r="K45" s="40"/>
      <c r="L45" s="40"/>
      <c r="M45" s="40"/>
      <c r="N45" s="40"/>
      <c r="O45" s="40"/>
      <c r="P45" s="40"/>
      <c r="Q45" s="40"/>
      <c r="R45" s="119"/>
      <c r="W45" s="52"/>
      <c r="X45" s="52"/>
      <c r="Y45" s="52"/>
    </row>
    <row r="46" spans="1:25" ht="11.25" customHeight="1">
      <c r="A46" s="106"/>
      <c r="B46" s="1561"/>
      <c r="C46" s="1561"/>
      <c r="D46" s="1561"/>
      <c r="E46" s="1561"/>
      <c r="F46" s="2"/>
      <c r="G46" s="554"/>
      <c r="H46" s="554"/>
      <c r="I46" s="40"/>
      <c r="J46" s="40"/>
      <c r="K46" s="40"/>
      <c r="L46" s="40"/>
      <c r="M46" s="40"/>
      <c r="N46" s="40"/>
      <c r="O46" s="40"/>
      <c r="P46" s="40"/>
      <c r="Q46" s="40"/>
      <c r="R46" s="119"/>
      <c r="W46" s="52"/>
      <c r="X46" s="52"/>
      <c r="Y46" s="52"/>
    </row>
    <row r="47" spans="1:25" ht="11.25" customHeight="1">
      <c r="A47" s="106"/>
      <c r="B47" s="1561"/>
      <c r="C47" s="1561"/>
      <c r="D47" s="1561"/>
      <c r="E47" s="1561"/>
      <c r="F47" s="2"/>
      <c r="G47" s="554"/>
      <c r="H47" s="554"/>
      <c r="I47" s="40"/>
      <c r="J47" s="40"/>
      <c r="K47" s="40"/>
      <c r="L47" s="40"/>
      <c r="M47" s="40"/>
      <c r="N47" s="40"/>
      <c r="O47" s="40"/>
      <c r="P47" s="40"/>
      <c r="Q47" s="40"/>
      <c r="R47" s="119"/>
      <c r="W47" s="52"/>
      <c r="X47" s="52"/>
      <c r="Y47" s="52"/>
    </row>
    <row r="48" spans="1:25" ht="11.25" customHeight="1">
      <c r="A48" s="106"/>
      <c r="B48" s="1561"/>
      <c r="C48" s="1561"/>
      <c r="D48" s="1561"/>
      <c r="E48" s="1561"/>
      <c r="F48" s="2"/>
      <c r="G48" s="554"/>
      <c r="H48" s="554"/>
      <c r="I48" s="40"/>
      <c r="J48" s="40"/>
      <c r="K48" s="40"/>
      <c r="L48" s="40"/>
      <c r="M48" s="40"/>
      <c r="N48" s="40"/>
      <c r="O48" s="40"/>
      <c r="P48" s="40"/>
      <c r="Q48" s="40"/>
      <c r="R48" s="119"/>
      <c r="W48" s="52"/>
      <c r="X48" s="52"/>
      <c r="Y48" s="52"/>
    </row>
    <row r="49" spans="1:25" ht="11.25" customHeight="1">
      <c r="A49" s="106"/>
      <c r="B49" s="1561"/>
      <c r="C49" s="1561"/>
      <c r="D49" s="1561"/>
      <c r="E49" s="1561"/>
      <c r="F49" s="2"/>
      <c r="G49" s="554"/>
      <c r="H49" s="554"/>
      <c r="I49" s="40"/>
      <c r="J49" s="40"/>
      <c r="K49" s="40"/>
      <c r="L49" s="40"/>
      <c r="M49" s="40"/>
      <c r="N49" s="40"/>
      <c r="O49" s="40"/>
      <c r="P49" s="40"/>
      <c r="Q49" s="40"/>
      <c r="R49" s="119"/>
      <c r="W49" s="52"/>
      <c r="X49" s="52"/>
      <c r="Y49" s="52"/>
    </row>
    <row r="50" spans="1:25" ht="11.25" customHeight="1">
      <c r="A50" s="106"/>
      <c r="B50" s="1561"/>
      <c r="C50" s="1561"/>
      <c r="D50" s="1561"/>
      <c r="E50" s="1561"/>
      <c r="F50" s="2"/>
      <c r="G50" s="554"/>
      <c r="H50" s="554"/>
      <c r="I50" s="40"/>
      <c r="J50" s="40"/>
      <c r="K50" s="40"/>
      <c r="L50" s="40"/>
      <c r="M50" s="40"/>
      <c r="N50" s="40"/>
      <c r="O50" s="40"/>
      <c r="P50" s="40"/>
      <c r="Q50" s="40"/>
      <c r="R50" s="119"/>
      <c r="W50" s="52"/>
      <c r="X50" s="52"/>
      <c r="Y50" s="52"/>
    </row>
    <row r="51" spans="1:25" ht="11.25" customHeight="1">
      <c r="A51" s="106"/>
      <c r="B51" s="1561"/>
      <c r="C51" s="1561"/>
      <c r="D51" s="1561"/>
      <c r="E51" s="1561"/>
      <c r="F51" s="2"/>
      <c r="G51" s="554"/>
      <c r="H51" s="554"/>
      <c r="I51" s="40"/>
      <c r="J51" s="40"/>
      <c r="K51" s="40"/>
      <c r="L51" s="40"/>
      <c r="M51" s="40"/>
      <c r="N51" s="40"/>
      <c r="O51" s="40"/>
      <c r="P51" s="40"/>
      <c r="Q51" s="40"/>
      <c r="R51" s="119"/>
      <c r="W51" s="52"/>
      <c r="X51" s="52"/>
      <c r="Y51" s="52"/>
    </row>
    <row r="52" spans="1:25" ht="11.25" customHeight="1">
      <c r="A52" s="106"/>
      <c r="B52" s="1561"/>
      <c r="C52" s="1561"/>
      <c r="D52" s="1561"/>
      <c r="E52" s="1561"/>
      <c r="F52" s="2"/>
      <c r="G52" s="554"/>
      <c r="H52" s="554"/>
      <c r="I52" s="40"/>
      <c r="J52" s="40"/>
      <c r="K52" s="40"/>
      <c r="L52" s="40"/>
      <c r="M52" s="40"/>
      <c r="N52" s="40"/>
      <c r="O52" s="40"/>
      <c r="P52" s="40"/>
      <c r="Q52" s="40"/>
      <c r="R52" s="119"/>
      <c r="W52" s="52"/>
      <c r="X52" s="52"/>
      <c r="Y52" s="52"/>
    </row>
    <row r="53" spans="1:25" ht="11.25" customHeight="1">
      <c r="A53" s="106"/>
      <c r="B53" s="1561"/>
      <c r="C53" s="1561"/>
      <c r="D53" s="1561"/>
      <c r="E53" s="1561"/>
      <c r="F53" s="2"/>
      <c r="G53" s="554"/>
      <c r="H53" s="554"/>
      <c r="I53" s="40"/>
      <c r="J53" s="40"/>
      <c r="K53" s="40"/>
      <c r="L53" s="40"/>
      <c r="M53" s="40"/>
      <c r="N53" s="40"/>
      <c r="O53" s="40"/>
      <c r="P53" s="40"/>
      <c r="Q53" s="40"/>
      <c r="R53" s="119"/>
      <c r="W53" s="52"/>
      <c r="X53" s="52"/>
      <c r="Y53" s="52"/>
    </row>
    <row r="54" spans="1:25" ht="11.25" customHeight="1">
      <c r="A54" s="106"/>
      <c r="B54" s="1561"/>
      <c r="C54" s="1561"/>
      <c r="D54" s="1561"/>
      <c r="E54" s="1561"/>
      <c r="F54" s="2"/>
      <c r="G54" s="554"/>
      <c r="H54" s="554"/>
      <c r="I54" s="40"/>
      <c r="J54" s="40"/>
      <c r="K54" s="40"/>
      <c r="L54" s="40"/>
      <c r="M54" s="40"/>
      <c r="N54" s="40"/>
      <c r="O54" s="40"/>
      <c r="P54" s="40"/>
      <c r="Q54" s="40"/>
      <c r="R54" s="119"/>
      <c r="W54" s="52"/>
      <c r="X54" s="52"/>
      <c r="Y54" s="52"/>
    </row>
    <row r="55" spans="1:25" ht="11.25" customHeight="1">
      <c r="A55" s="106"/>
      <c r="B55" s="1561"/>
      <c r="C55" s="1561"/>
      <c r="D55" s="1561"/>
      <c r="E55" s="1561"/>
      <c r="F55" s="2"/>
      <c r="G55" s="554"/>
      <c r="H55" s="554"/>
      <c r="I55" s="40"/>
      <c r="J55" s="40"/>
      <c r="K55" s="40"/>
      <c r="L55" s="40"/>
      <c r="M55" s="40"/>
      <c r="N55" s="40"/>
      <c r="O55" s="40"/>
      <c r="P55" s="40"/>
      <c r="Q55" s="40"/>
      <c r="R55" s="119"/>
      <c r="W55" s="52"/>
      <c r="X55" s="52"/>
      <c r="Y55" s="52"/>
    </row>
    <row r="56" spans="1:25" ht="11.25" customHeight="1">
      <c r="A56" s="106"/>
      <c r="B56" s="1561"/>
      <c r="C56" s="1561"/>
      <c r="D56" s="1561"/>
      <c r="E56" s="1561"/>
      <c r="F56" s="2"/>
      <c r="G56" s="554"/>
      <c r="H56" s="554"/>
      <c r="I56" s="40"/>
      <c r="J56" s="40"/>
      <c r="K56" s="40"/>
      <c r="L56" s="40"/>
      <c r="M56" s="40"/>
      <c r="N56" s="40"/>
      <c r="O56" s="40"/>
      <c r="P56" s="40"/>
      <c r="Q56" s="40"/>
      <c r="R56" s="119"/>
      <c r="W56" s="52"/>
      <c r="X56" s="52"/>
      <c r="Y56" s="52"/>
    </row>
    <row r="57" spans="1:25" ht="11.25" customHeight="1">
      <c r="A57" s="106"/>
      <c r="B57" s="1561"/>
      <c r="C57" s="1561"/>
      <c r="D57" s="1561"/>
      <c r="E57" s="1561"/>
      <c r="F57" s="2"/>
      <c r="G57" s="554"/>
      <c r="H57" s="554"/>
      <c r="I57" s="40"/>
      <c r="J57" s="40"/>
      <c r="K57" s="40"/>
      <c r="L57" s="40"/>
      <c r="M57" s="40"/>
      <c r="N57" s="40"/>
      <c r="O57" s="40"/>
      <c r="P57" s="40"/>
      <c r="Q57" s="40"/>
      <c r="R57" s="119"/>
      <c r="W57" s="52"/>
      <c r="X57" s="52"/>
      <c r="Y57" s="52"/>
    </row>
    <row r="58" spans="1:25" ht="11.25" customHeight="1">
      <c r="A58" s="106"/>
      <c r="B58" s="1561"/>
      <c r="C58" s="1561"/>
      <c r="D58" s="1561"/>
      <c r="E58" s="1561"/>
      <c r="F58" s="2"/>
      <c r="G58" s="554"/>
      <c r="H58" s="554"/>
      <c r="I58" s="40"/>
      <c r="J58" s="40"/>
      <c r="K58" s="40"/>
      <c r="L58" s="40"/>
      <c r="M58" s="40"/>
      <c r="N58" s="40"/>
      <c r="O58" s="40"/>
      <c r="P58" s="40"/>
      <c r="Q58" s="40"/>
      <c r="R58" s="119"/>
      <c r="W58" s="52"/>
      <c r="X58" s="52"/>
      <c r="Y58" s="52"/>
    </row>
    <row r="59" spans="1:25" ht="11.25" customHeight="1">
      <c r="A59" s="106"/>
      <c r="B59" s="1561"/>
      <c r="C59" s="1561"/>
      <c r="D59" s="1561"/>
      <c r="E59" s="1561"/>
      <c r="F59" s="2"/>
      <c r="G59" s="554"/>
      <c r="H59" s="554"/>
      <c r="I59" s="40"/>
      <c r="J59" s="40"/>
      <c r="K59" s="40"/>
      <c r="L59" s="40"/>
      <c r="M59" s="40"/>
      <c r="N59" s="40"/>
      <c r="O59" s="40"/>
      <c r="P59" s="40"/>
      <c r="Q59" s="40"/>
      <c r="R59" s="119"/>
      <c r="W59" s="52"/>
      <c r="X59" s="52"/>
      <c r="Y59" s="52"/>
    </row>
    <row r="60" spans="1:25" ht="11.25" customHeight="1">
      <c r="A60" s="106"/>
      <c r="B60" s="1561"/>
      <c r="C60" s="1561"/>
      <c r="D60" s="1561"/>
      <c r="E60" s="1561"/>
      <c r="F60" s="2"/>
      <c r="G60" s="554"/>
      <c r="H60" s="554"/>
      <c r="I60" s="40"/>
      <c r="J60" s="40"/>
      <c r="K60" s="40"/>
      <c r="L60" s="40"/>
      <c r="M60" s="40"/>
      <c r="N60" s="40"/>
      <c r="O60" s="40"/>
      <c r="P60" s="40"/>
      <c r="Q60" s="40"/>
      <c r="R60" s="119"/>
      <c r="W60" s="52"/>
      <c r="X60" s="52"/>
      <c r="Y60" s="52"/>
    </row>
    <row r="61" spans="1:25" ht="11.25" customHeight="1">
      <c r="A61" s="106"/>
      <c r="B61" s="1561"/>
      <c r="C61" s="1561"/>
      <c r="D61" s="1561"/>
      <c r="E61" s="1561"/>
      <c r="F61" s="2"/>
      <c r="G61" s="554"/>
      <c r="H61" s="554"/>
      <c r="I61" s="40"/>
      <c r="J61" s="40"/>
      <c r="K61" s="40"/>
      <c r="L61" s="40"/>
      <c r="M61" s="40"/>
      <c r="N61" s="40"/>
      <c r="O61" s="40"/>
      <c r="P61" s="40"/>
      <c r="Q61" s="40"/>
      <c r="R61" s="119"/>
      <c r="W61" s="52"/>
      <c r="X61" s="52"/>
      <c r="Y61" s="52"/>
    </row>
    <row r="62" spans="1:25" ht="11.25" customHeight="1">
      <c r="A62" s="106"/>
      <c r="B62" s="1561"/>
      <c r="C62" s="1561"/>
      <c r="D62" s="1561"/>
      <c r="E62" s="1561"/>
      <c r="F62" s="2"/>
      <c r="G62" s="554"/>
      <c r="H62" s="554"/>
      <c r="I62" s="40"/>
      <c r="J62" s="40"/>
      <c r="K62" s="40"/>
      <c r="L62" s="40"/>
      <c r="M62" s="40"/>
      <c r="N62" s="40"/>
      <c r="O62" s="40"/>
      <c r="P62" s="40"/>
      <c r="Q62" s="40"/>
      <c r="R62" s="119"/>
      <c r="W62" s="52"/>
      <c r="X62" s="52"/>
      <c r="Y62" s="52"/>
    </row>
    <row r="63" spans="1:25" ht="11.25" customHeight="1">
      <c r="A63" s="106"/>
      <c r="B63" s="1561"/>
      <c r="C63" s="1561"/>
      <c r="D63" s="1561"/>
      <c r="E63" s="1561"/>
      <c r="F63" s="2"/>
      <c r="G63" s="554"/>
      <c r="H63" s="554"/>
      <c r="I63" s="40"/>
      <c r="J63" s="40"/>
      <c r="K63" s="40"/>
      <c r="L63" s="40"/>
      <c r="M63" s="40"/>
      <c r="N63" s="40"/>
      <c r="O63" s="40"/>
      <c r="P63" s="40"/>
      <c r="Q63" s="40"/>
      <c r="R63" s="119"/>
      <c r="W63" s="52"/>
      <c r="X63" s="52"/>
      <c r="Y63" s="52"/>
    </row>
    <row r="64" spans="1:25" ht="11.25" customHeight="1">
      <c r="A64" s="106"/>
      <c r="B64" s="1561"/>
      <c r="C64" s="1561"/>
      <c r="D64" s="1561"/>
      <c r="E64" s="1561"/>
      <c r="F64" s="2"/>
      <c r="G64" s="554"/>
      <c r="H64" s="554"/>
      <c r="I64" s="40"/>
      <c r="J64" s="40"/>
      <c r="K64" s="40"/>
      <c r="L64" s="40"/>
      <c r="M64" s="40"/>
      <c r="N64" s="40"/>
      <c r="O64" s="40"/>
      <c r="P64" s="40"/>
      <c r="Q64" s="40"/>
      <c r="R64" s="119"/>
      <c r="W64" s="52"/>
      <c r="X64" s="52"/>
      <c r="Y64" s="52"/>
    </row>
    <row r="65" spans="1:25" ht="11.25" customHeight="1">
      <c r="A65" s="106"/>
      <c r="B65" s="1561"/>
      <c r="C65" s="1561"/>
      <c r="D65" s="1561"/>
      <c r="E65" s="1561"/>
      <c r="F65" s="2"/>
      <c r="G65" s="554"/>
      <c r="H65" s="554"/>
      <c r="I65" s="40"/>
      <c r="J65" s="40"/>
      <c r="K65" s="40"/>
      <c r="L65" s="40"/>
      <c r="M65" s="40"/>
      <c r="N65" s="40"/>
      <c r="O65" s="40"/>
      <c r="P65" s="40"/>
      <c r="Q65" s="40"/>
      <c r="R65" s="119"/>
      <c r="W65" s="52"/>
      <c r="X65" s="52"/>
      <c r="Y65" s="52"/>
    </row>
    <row r="66" spans="1:25" ht="11.25" customHeight="1">
      <c r="A66" s="106"/>
      <c r="B66" s="1561"/>
      <c r="C66" s="1561"/>
      <c r="D66" s="1561"/>
      <c r="E66" s="1561"/>
      <c r="F66" s="2"/>
      <c r="G66" s="554"/>
      <c r="H66" s="554"/>
      <c r="I66" s="40"/>
      <c r="J66" s="40"/>
      <c r="K66" s="40"/>
      <c r="L66" s="40"/>
      <c r="M66" s="40"/>
      <c r="N66" s="40"/>
      <c r="O66" s="40"/>
      <c r="P66" s="40"/>
      <c r="Q66" s="40"/>
      <c r="R66" s="119"/>
      <c r="W66" s="52"/>
      <c r="X66" s="52"/>
      <c r="Y66" s="52"/>
    </row>
    <row r="67" spans="1:25" ht="11.25" customHeight="1">
      <c r="A67" s="106"/>
      <c r="B67" s="1561"/>
      <c r="C67" s="1561"/>
      <c r="D67" s="1561"/>
      <c r="E67" s="1561"/>
      <c r="F67" s="2"/>
      <c r="G67" s="554"/>
      <c r="H67" s="554"/>
      <c r="I67" s="40"/>
      <c r="J67" s="40"/>
      <c r="K67" s="40"/>
      <c r="L67" s="40"/>
      <c r="M67" s="40"/>
      <c r="N67" s="40"/>
      <c r="O67" s="40"/>
      <c r="P67" s="40"/>
      <c r="Q67" s="40"/>
      <c r="R67" s="119"/>
      <c r="W67" s="52"/>
      <c r="X67" s="52"/>
      <c r="Y67" s="52"/>
    </row>
    <row r="68" spans="1:25" ht="11.25" customHeight="1">
      <c r="A68" s="106"/>
      <c r="B68" s="1561"/>
      <c r="C68" s="1561"/>
      <c r="D68" s="1561"/>
      <c r="E68" s="1561"/>
      <c r="F68" s="2"/>
      <c r="G68" s="554"/>
      <c r="H68" s="554"/>
      <c r="I68" s="40"/>
      <c r="J68" s="40"/>
      <c r="K68" s="40"/>
      <c r="L68" s="40"/>
      <c r="M68" s="40"/>
      <c r="N68" s="40"/>
      <c r="O68" s="40"/>
      <c r="P68" s="40"/>
      <c r="Q68" s="40"/>
      <c r="R68" s="119"/>
      <c r="W68" s="52"/>
      <c r="X68" s="52"/>
      <c r="Y68" s="52"/>
    </row>
    <row r="69" spans="1:25" ht="11.25" customHeight="1">
      <c r="A69" s="106"/>
      <c r="B69" s="1561"/>
      <c r="C69" s="1561"/>
      <c r="D69" s="1561"/>
      <c r="E69" s="1561"/>
      <c r="F69" s="2"/>
      <c r="G69" s="554"/>
      <c r="H69" s="554"/>
      <c r="I69" s="40"/>
      <c r="J69" s="40"/>
      <c r="K69" s="40"/>
      <c r="L69" s="40"/>
      <c r="M69" s="40"/>
      <c r="N69" s="40"/>
      <c r="O69" s="40"/>
      <c r="P69" s="40"/>
      <c r="Q69" s="40"/>
      <c r="R69" s="119"/>
      <c r="W69" s="52"/>
      <c r="X69" s="52"/>
      <c r="Y69" s="52"/>
    </row>
    <row r="70" spans="1:25" ht="11.25" customHeight="1">
      <c r="A70" s="711"/>
      <c r="B70" s="712"/>
      <c r="C70" s="713"/>
      <c r="D70" s="713"/>
      <c r="E70" s="713"/>
      <c r="F70" s="152"/>
      <c r="G70" s="152"/>
      <c r="H70" s="714"/>
      <c r="I70" s="152"/>
      <c r="J70" s="152"/>
      <c r="K70" s="152"/>
      <c r="L70" s="152"/>
      <c r="M70" s="152"/>
      <c r="N70" s="152"/>
      <c r="O70" s="152"/>
      <c r="P70" s="152"/>
      <c r="Q70" s="152"/>
      <c r="R70" s="184"/>
      <c r="S70" s="56"/>
      <c r="T70" s="56"/>
      <c r="U70" s="56"/>
    </row>
    <row r="80" spans="1:25" ht="11.25" hidden="1" customHeight="1"/>
    <row r="109" spans="23:24" ht="11.25" customHeight="1">
      <c r="W109" s="52"/>
      <c r="X109" s="52"/>
    </row>
    <row r="110" spans="23:24" ht="11.25" customHeight="1">
      <c r="W110" s="52"/>
      <c r="X110" s="52"/>
    </row>
    <row r="111" spans="23:24" ht="11.25" customHeight="1">
      <c r="W111" s="52"/>
      <c r="X111" s="52"/>
    </row>
    <row r="153" spans="23:24" ht="11.25" customHeight="1">
      <c r="W153" s="52"/>
      <c r="X153" s="52"/>
    </row>
    <row r="154" spans="23:24" ht="11.25" customHeight="1">
      <c r="W154" s="52"/>
      <c r="X154" s="52"/>
    </row>
    <row r="155" spans="23:24" ht="11.25" customHeight="1">
      <c r="W155" s="52"/>
      <c r="X155" s="52"/>
    </row>
    <row r="197" spans="23:24" ht="11.25" customHeight="1">
      <c r="W197" s="52"/>
      <c r="X197" s="52"/>
    </row>
    <row r="198" spans="23:24" ht="11.25" customHeight="1">
      <c r="W198" s="52"/>
      <c r="X198" s="52"/>
    </row>
    <row r="199" spans="23:24" ht="11.25" customHeight="1">
      <c r="W199" s="52"/>
      <c r="X199" s="52"/>
    </row>
    <row r="241" spans="23:24" ht="11.25" customHeight="1">
      <c r="W241" s="52"/>
      <c r="X241" s="52"/>
    </row>
    <row r="242" spans="23:24" ht="11.25" customHeight="1">
      <c r="W242" s="52"/>
      <c r="X242" s="52"/>
    </row>
    <row r="243" spans="23:24" ht="11.25" customHeight="1">
      <c r="W243" s="52"/>
      <c r="X243" s="52"/>
    </row>
    <row r="285" spans="23:24" ht="11.25" customHeight="1">
      <c r="W285" s="52"/>
      <c r="X285" s="52"/>
    </row>
    <row r="286" spans="23:24" ht="11.25" customHeight="1">
      <c r="W286" s="52"/>
      <c r="X286" s="52"/>
    </row>
    <row r="287" spans="23:24" ht="11.25" customHeight="1">
      <c r="W287" s="52"/>
      <c r="X287" s="52"/>
    </row>
    <row r="329" spans="23:24" ht="11.25" customHeight="1">
      <c r="W329" s="52"/>
      <c r="X329" s="52"/>
    </row>
    <row r="330" spans="23:24" ht="11.25" customHeight="1">
      <c r="W330" s="52"/>
      <c r="X330" s="52"/>
    </row>
    <row r="331" spans="23:24" ht="11.25" customHeight="1">
      <c r="W331" s="52"/>
      <c r="X331" s="52"/>
    </row>
    <row r="373" spans="23:24" ht="11.25" customHeight="1">
      <c r="W373" s="52"/>
      <c r="X373" s="52"/>
    </row>
    <row r="374" spans="23:24" ht="11.25" customHeight="1">
      <c r="W374" s="52"/>
      <c r="X374" s="52"/>
    </row>
    <row r="375" spans="23:24" ht="11.25" customHeight="1">
      <c r="W375" s="52"/>
      <c r="X375" s="52"/>
    </row>
  </sheetData>
  <sheetProtection sheet="1" objects="1" scenarios="1"/>
  <mergeCells count="23">
    <mergeCell ref="B62:E63"/>
    <mergeCell ref="B64:E65"/>
    <mergeCell ref="B66:E67"/>
    <mergeCell ref="B68:E69"/>
    <mergeCell ref="B1:D3"/>
    <mergeCell ref="B50:E51"/>
    <mergeCell ref="B52:E53"/>
    <mergeCell ref="B54:E55"/>
    <mergeCell ref="B56:E57"/>
    <mergeCell ref="B58:E59"/>
    <mergeCell ref="B60:E61"/>
    <mergeCell ref="B38:E39"/>
    <mergeCell ref="B40:E41"/>
    <mergeCell ref="B42:E43"/>
    <mergeCell ref="B44:E45"/>
    <mergeCell ref="B46:E47"/>
    <mergeCell ref="B48:E49"/>
    <mergeCell ref="B6:O6"/>
    <mergeCell ref="B7:P7"/>
    <mergeCell ref="A31:P31"/>
    <mergeCell ref="A32:P32"/>
    <mergeCell ref="B34:E35"/>
    <mergeCell ref="B36:E37"/>
  </mergeCells>
  <conditionalFormatting sqref="A9:A27">
    <cfRule type="containsErrors" dxfId="637" priority="1">
      <formula>ISERROR(A9)</formula>
    </cfRule>
    <cfRule type="cellIs" dxfId="636" priority="2" operator="equal">
      <formula>0</formula>
    </cfRule>
  </conditionalFormatting>
  <conditionalFormatting sqref="B9:E27">
    <cfRule type="expression" dxfId="635" priority="5444" stopIfTrue="1">
      <formula>$B9=#REF!</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C000"/>
  </sheetPr>
  <dimension ref="A1:AB33"/>
  <sheetViews>
    <sheetView showGridLines="0" showRowColHeaders="0" tabSelected="1" zoomScaleNormal="100" workbookViewId="0"/>
  </sheetViews>
  <sheetFormatPr defaultColWidth="9.140625" defaultRowHeight="11.25" customHeight="1"/>
  <cols>
    <col min="1" max="1" width="3.42578125" style="53" customWidth="1"/>
    <col min="2" max="2" width="17.140625" style="53" customWidth="1"/>
    <col min="3" max="3" width="34.5703125" style="53" customWidth="1"/>
    <col min="4" max="4" width="4.42578125" style="53" customWidth="1"/>
    <col min="5" max="5" width="15.140625" customWidth="1"/>
    <col min="6" max="6" width="31.140625" style="53" customWidth="1"/>
    <col min="7" max="7" width="4.42578125" style="53" customWidth="1"/>
    <col min="8" max="8" width="14.140625" style="53" customWidth="1"/>
    <col min="9" max="9" width="5.5703125" style="53" customWidth="1"/>
    <col min="10" max="10" width="4.42578125" style="53" customWidth="1"/>
    <col min="11" max="11" width="3.42578125" style="53" customWidth="1"/>
    <col min="12" max="16384" width="9.140625" style="53"/>
  </cols>
  <sheetData>
    <row r="1" spans="1:11" ht="15.6" customHeight="1">
      <c r="A1" s="176"/>
      <c r="B1" s="177"/>
      <c r="C1" s="177"/>
      <c r="D1" s="177"/>
      <c r="E1" s="83"/>
      <c r="F1" s="177"/>
      <c r="G1" s="177"/>
      <c r="H1" s="177"/>
      <c r="I1" s="177"/>
      <c r="J1" s="177"/>
      <c r="K1" s="190"/>
    </row>
    <row r="2" spans="1:11" ht="21" customHeight="1">
      <c r="A2" s="210"/>
      <c r="B2" s="2"/>
      <c r="C2" s="2"/>
      <c r="D2" s="2"/>
      <c r="E2" s="1"/>
      <c r="F2" s="2"/>
      <c r="G2" s="2"/>
      <c r="H2" s="2"/>
      <c r="I2" s="2"/>
      <c r="J2" s="2"/>
      <c r="K2" s="191"/>
    </row>
    <row r="3" spans="1:11" ht="53.25" customHeight="1">
      <c r="A3" s="210"/>
      <c r="B3" s="2"/>
      <c r="C3" s="2"/>
      <c r="D3" s="2"/>
      <c r="E3" s="1573" t="s">
        <v>915</v>
      </c>
      <c r="F3" s="1566"/>
      <c r="G3" s="1566"/>
      <c r="H3" s="1566"/>
      <c r="I3" s="1566"/>
      <c r="J3" s="1566"/>
      <c r="K3" s="191"/>
    </row>
    <row r="4" spans="1:11" ht="12" thickBot="1">
      <c r="A4" s="210"/>
      <c r="B4" s="6"/>
      <c r="C4" s="6"/>
      <c r="D4" s="6"/>
      <c r="E4" s="1574"/>
      <c r="F4" s="1574"/>
      <c r="G4" s="1574"/>
      <c r="H4" s="1574"/>
      <c r="I4" s="1574"/>
      <c r="J4" s="1574"/>
      <c r="K4" s="426"/>
    </row>
    <row r="5" spans="1:11" ht="20.25">
      <c r="A5" s="210"/>
      <c r="B5" s="2"/>
      <c r="C5" s="2"/>
      <c r="D5" s="2"/>
      <c r="E5" s="2"/>
      <c r="F5" s="2"/>
      <c r="G5" s="7"/>
      <c r="H5" s="7"/>
      <c r="I5" s="7"/>
      <c r="J5" s="485" t="str">
        <f>ReportData!$E$3</f>
        <v>2023-24</v>
      </c>
      <c r="K5" s="191"/>
    </row>
    <row r="6" spans="1:11" ht="21" customHeight="1">
      <c r="A6" s="210"/>
      <c r="B6" s="2"/>
      <c r="C6" s="2"/>
      <c r="D6" s="2"/>
      <c r="E6" s="1"/>
      <c r="F6" s="2"/>
      <c r="G6" s="2"/>
      <c r="H6" s="2"/>
      <c r="I6" s="2"/>
      <c r="J6" s="2"/>
      <c r="K6" s="191"/>
    </row>
    <row r="7" spans="1:11" ht="15.6" customHeight="1">
      <c r="A7" s="210"/>
      <c r="B7" s="2"/>
      <c r="C7" s="2"/>
      <c r="D7" s="2"/>
      <c r="E7" s="2"/>
      <c r="F7" s="2"/>
      <c r="G7" s="2"/>
      <c r="H7" s="2"/>
      <c r="I7" s="2"/>
      <c r="J7" s="2"/>
      <c r="K7" s="191"/>
    </row>
    <row r="8" spans="1:11" s="52" customFormat="1" ht="7.5" customHeight="1">
      <c r="A8" s="208"/>
      <c r="B8" s="40"/>
      <c r="C8" s="40"/>
      <c r="D8" s="40"/>
      <c r="E8" s="47"/>
      <c r="F8" s="40"/>
      <c r="G8" s="40"/>
      <c r="H8" s="40"/>
      <c r="I8" s="40"/>
      <c r="J8" s="40"/>
      <c r="K8" s="86"/>
    </row>
    <row r="9" spans="1:11" s="52" customFormat="1" ht="7.5" customHeight="1">
      <c r="A9" s="208"/>
      <c r="B9" s="1577"/>
      <c r="C9" s="1578"/>
      <c r="D9" s="1578"/>
      <c r="E9" s="1578"/>
      <c r="F9" s="1578"/>
      <c r="G9" s="1578"/>
      <c r="H9" s="1578"/>
      <c r="I9" s="1578"/>
      <c r="J9" s="1578"/>
      <c r="K9" s="86"/>
    </row>
    <row r="10" spans="1:11" s="52" customFormat="1" ht="26.1" customHeight="1">
      <c r="A10" s="208"/>
      <c r="B10" s="1585" t="s">
        <v>919</v>
      </c>
      <c r="C10" s="1585"/>
      <c r="D10" s="1585"/>
      <c r="E10" s="1585"/>
      <c r="F10" s="1585"/>
      <c r="G10" s="1585"/>
      <c r="H10" s="1585"/>
      <c r="I10" s="1585"/>
      <c r="J10" s="1585"/>
      <c r="K10" s="86"/>
    </row>
    <row r="11" spans="1:11" ht="15.75" customHeight="1">
      <c r="A11" s="210"/>
      <c r="B11" s="1575"/>
      <c r="C11" s="1576"/>
      <c r="D11" s="1576"/>
      <c r="E11" s="1576"/>
      <c r="F11" s="1576"/>
      <c r="G11" s="1576"/>
      <c r="H11" s="1576"/>
      <c r="I11" s="1576"/>
      <c r="J11" s="1576"/>
      <c r="K11" s="191"/>
    </row>
    <row r="12" spans="1:11" s="52" customFormat="1" ht="22.5" customHeight="1">
      <c r="A12" s="208"/>
      <c r="B12" s="870"/>
      <c r="C12" s="419"/>
      <c r="D12" s="419"/>
      <c r="E12" s="419"/>
      <c r="F12" s="419"/>
      <c r="G12" s="419"/>
      <c r="H12" s="419"/>
      <c r="I12" s="419"/>
      <c r="J12" s="419"/>
      <c r="K12" s="86"/>
    </row>
    <row r="13" spans="1:11" ht="9" customHeight="1">
      <c r="A13" s="210"/>
      <c r="B13" s="421"/>
      <c r="C13" s="422"/>
      <c r="D13" s="422"/>
      <c r="E13" s="422"/>
      <c r="F13" s="422"/>
      <c r="G13" s="422"/>
      <c r="H13" s="422"/>
      <c r="I13" s="422"/>
      <c r="J13" s="422"/>
      <c r="K13" s="191"/>
    </row>
    <row r="14" spans="1:11" ht="15.75">
      <c r="A14" s="210"/>
      <c r="B14" s="1350" t="s">
        <v>557</v>
      </c>
      <c r="C14" s="419"/>
      <c r="D14" s="419"/>
      <c r="E14" s="419"/>
      <c r="F14" s="419"/>
      <c r="G14" s="419"/>
      <c r="H14" s="419"/>
      <c r="I14" s="419"/>
      <c r="J14" s="419"/>
      <c r="K14" s="191"/>
    </row>
    <row r="15" spans="1:11" ht="3" customHeight="1">
      <c r="A15" s="210"/>
      <c r="B15" s="425"/>
      <c r="C15" s="419"/>
      <c r="D15" s="419"/>
      <c r="E15" s="419"/>
      <c r="F15" s="419"/>
      <c r="G15" s="419"/>
      <c r="H15" s="419"/>
      <c r="I15" s="419"/>
      <c r="J15" s="419"/>
      <c r="K15" s="191"/>
    </row>
    <row r="16" spans="1:11" ht="14.25" customHeight="1">
      <c r="A16" s="210"/>
      <c r="B16" s="1584" t="s">
        <v>558</v>
      </c>
      <c r="C16" s="1584"/>
      <c r="D16" s="1581" t="s">
        <v>764</v>
      </c>
      <c r="E16" s="1581"/>
      <c r="F16" s="1581"/>
      <c r="G16" s="1583"/>
      <c r="H16" s="1582"/>
      <c r="I16" s="1582"/>
      <c r="J16" s="1582"/>
      <c r="K16" s="191"/>
    </row>
    <row r="17" spans="1:11" ht="14.25" customHeight="1">
      <c r="A17" s="210"/>
      <c r="B17" s="1584"/>
      <c r="C17" s="1584"/>
      <c r="D17" s="1581"/>
      <c r="E17" s="1581"/>
      <c r="F17" s="1581"/>
      <c r="G17" s="1583"/>
      <c r="H17" s="1582"/>
      <c r="I17" s="1582"/>
      <c r="J17" s="1582"/>
      <c r="K17" s="191"/>
    </row>
    <row r="18" spans="1:11" ht="9" customHeight="1">
      <c r="A18" s="210"/>
      <c r="B18" s="423"/>
      <c r="C18" s="424"/>
      <c r="D18" s="424"/>
      <c r="E18" s="424"/>
      <c r="F18" s="424"/>
      <c r="G18" s="424"/>
      <c r="H18" s="424"/>
      <c r="I18" s="424"/>
      <c r="J18" s="424"/>
      <c r="K18" s="191"/>
    </row>
    <row r="19" spans="1:11" ht="11.25" customHeight="1">
      <c r="A19" s="210"/>
      <c r="B19" s="420"/>
      <c r="C19" s="419"/>
      <c r="D19" s="419"/>
      <c r="E19" s="419"/>
      <c r="F19" s="419"/>
      <c r="G19" s="419"/>
      <c r="H19" s="419"/>
      <c r="I19" s="419"/>
      <c r="J19" s="419"/>
      <c r="K19" s="191"/>
    </row>
    <row r="20" spans="1:11" ht="45.75" customHeight="1">
      <c r="A20" s="210"/>
      <c r="B20" s="1579"/>
      <c r="C20" s="1580"/>
      <c r="D20" s="1580"/>
      <c r="E20" s="1580"/>
      <c r="F20" s="1580"/>
      <c r="G20" s="1580"/>
      <c r="H20" s="1580"/>
      <c r="I20" s="1580"/>
      <c r="J20" s="1580"/>
      <c r="K20" s="191"/>
    </row>
    <row r="21" spans="1:11" ht="11.25" customHeight="1">
      <c r="A21" s="210"/>
      <c r="B21" s="1540"/>
      <c r="C21" s="1541"/>
      <c r="D21" s="1541"/>
      <c r="E21" s="1541"/>
      <c r="F21" s="1541"/>
      <c r="G21" s="1541"/>
      <c r="H21" s="1541"/>
      <c r="I21" s="1541"/>
      <c r="J21" s="1541"/>
      <c r="K21" s="191"/>
    </row>
    <row r="22" spans="1:11" ht="40.5" customHeight="1">
      <c r="A22" s="210"/>
      <c r="B22" s="1540"/>
      <c r="C22" s="1541"/>
      <c r="D22" s="1541"/>
      <c r="E22" s="1541"/>
      <c r="F22" s="1541"/>
      <c r="G22" s="1541"/>
      <c r="H22" s="1541"/>
      <c r="I22" s="1541"/>
      <c r="J22" s="1541"/>
      <c r="K22" s="191"/>
    </row>
    <row r="23" spans="1:11" ht="12" customHeight="1">
      <c r="A23" s="210"/>
      <c r="B23" s="5"/>
      <c r="C23" s="5"/>
      <c r="D23" s="5"/>
      <c r="E23" s="5"/>
      <c r="F23" s="5"/>
      <c r="G23" s="5"/>
      <c r="H23" s="5"/>
      <c r="I23" s="5"/>
      <c r="J23" s="5"/>
      <c r="K23" s="191"/>
    </row>
    <row r="24" spans="1:11" ht="12.75">
      <c r="A24" s="210"/>
      <c r="B24" s="5"/>
      <c r="C24" s="5"/>
      <c r="D24" s="5"/>
      <c r="F24" s="5"/>
      <c r="G24" s="5"/>
      <c r="H24" s="5"/>
      <c r="I24" s="5"/>
      <c r="J24" s="5"/>
      <c r="K24" s="191"/>
    </row>
    <row r="25" spans="1:11" ht="11.25" customHeight="1">
      <c r="A25" s="210"/>
      <c r="B25" s="5"/>
      <c r="C25" s="5"/>
      <c r="D25" s="5"/>
      <c r="E25" s="5"/>
      <c r="F25" s="5"/>
      <c r="G25" s="5"/>
      <c r="H25" s="5"/>
      <c r="I25" s="5"/>
      <c r="J25" s="5"/>
      <c r="K25" s="191"/>
    </row>
    <row r="26" spans="1:11" ht="11.25" customHeight="1">
      <c r="A26" s="210"/>
      <c r="B26" s="5"/>
      <c r="C26" s="5"/>
      <c r="D26" s="5"/>
      <c r="E26" s="5"/>
      <c r="F26" s="5"/>
      <c r="G26" s="5"/>
      <c r="H26" s="5"/>
      <c r="I26" s="5"/>
      <c r="J26" s="5"/>
      <c r="K26" s="191"/>
    </row>
    <row r="27" spans="1:11" ht="10.5" customHeight="1">
      <c r="A27" s="210"/>
      <c r="B27" s="5"/>
      <c r="C27" s="5"/>
      <c r="D27" s="5"/>
      <c r="E27" s="5"/>
      <c r="F27" s="5"/>
      <c r="G27" s="5"/>
      <c r="H27" s="5"/>
      <c r="I27" s="5"/>
      <c r="J27" s="5"/>
      <c r="K27" s="191"/>
    </row>
    <row r="28" spans="1:11" ht="10.5" customHeight="1">
      <c r="A28" s="210"/>
      <c r="B28" s="5"/>
      <c r="C28" s="5"/>
      <c r="D28" s="5"/>
      <c r="E28" s="5"/>
      <c r="F28" s="5"/>
      <c r="G28" s="5"/>
      <c r="H28" s="5"/>
      <c r="I28" s="5"/>
      <c r="J28" s="5"/>
      <c r="K28" s="191"/>
    </row>
    <row r="29" spans="1:11" ht="13.5" customHeight="1">
      <c r="A29" s="210"/>
      <c r="B29" s="5"/>
      <c r="C29" s="5"/>
      <c r="D29" s="5"/>
      <c r="E29" s="5"/>
      <c r="F29" s="5"/>
      <c r="G29" s="5"/>
      <c r="H29" s="5"/>
      <c r="I29" s="5"/>
      <c r="J29" s="5"/>
      <c r="K29" s="191"/>
    </row>
    <row r="30" spans="1:11" s="360" customFormat="1" ht="13.5" customHeight="1">
      <c r="A30" s="427"/>
      <c r="B30" s="1572"/>
      <c r="C30" s="1572"/>
      <c r="D30" s="1572"/>
      <c r="E30" s="1572"/>
      <c r="F30" s="1572"/>
      <c r="G30" s="5"/>
      <c r="H30" s="5"/>
      <c r="I30" s="5"/>
      <c r="J30" s="5"/>
      <c r="K30" s="428"/>
    </row>
    <row r="31" spans="1:11" s="360" customFormat="1" ht="13.5" customHeight="1">
      <c r="A31" s="427"/>
      <c r="B31" s="5"/>
      <c r="C31" s="5"/>
      <c r="D31" s="4"/>
      <c r="E31" s="4"/>
      <c r="F31" s="3"/>
      <c r="G31" s="4"/>
      <c r="H31" s="4"/>
      <c r="I31" s="4"/>
      <c r="J31" s="4"/>
      <c r="K31" s="428"/>
    </row>
    <row r="32" spans="1:11" ht="11.25" customHeight="1">
      <c r="A32" s="429"/>
      <c r="B32" s="430"/>
      <c r="C32" s="430"/>
      <c r="D32" s="430"/>
      <c r="E32" s="431"/>
      <c r="F32" s="430"/>
      <c r="G32" s="430"/>
      <c r="H32" s="430"/>
      <c r="I32" s="430"/>
      <c r="J32" s="430"/>
      <c r="K32" s="432"/>
    </row>
    <row r="33" spans="26:28" s="52" customFormat="1" ht="11.25" customHeight="1">
      <c r="Z33" s="53"/>
      <c r="AA33" s="53"/>
      <c r="AB33" s="53"/>
    </row>
  </sheetData>
  <sheetProtection sheet="1" selectLockedCells="1" selectUnlockedCells="1"/>
  <mergeCells count="10">
    <mergeCell ref="B30:F30"/>
    <mergeCell ref="E3:J4"/>
    <mergeCell ref="B11:J11"/>
    <mergeCell ref="B9:J9"/>
    <mergeCell ref="B20:J20"/>
    <mergeCell ref="D16:F17"/>
    <mergeCell ref="H16:J17"/>
    <mergeCell ref="G16:G17"/>
    <mergeCell ref="B16:C17"/>
    <mergeCell ref="B10:J10"/>
  </mergeCells>
  <phoneticPr fontId="4" type="noConversion"/>
  <hyperlinks>
    <hyperlink ref="D16" r:id="rId1" display="CSBenchmarking@eastsussex.gcsx.gov.uk" xr:uid="{00000000-0004-0000-0700-000000000000}"/>
    <hyperlink ref="D16:F17" r:id="rId2" display="CSDataBenchmarking@eastsussex.gov.uk" xr:uid="{00000000-0004-0000-0700-000001000000}"/>
  </hyperlinks>
  <printOptions horizontalCentered="1" verticalCentered="1"/>
  <pageMargins left="0.55118110236220474" right="0.55118110236220474" top="0.55118110236220474" bottom="0.55118110236220474" header="0.51181102362204722" footer="0.74803149606299213"/>
  <pageSetup paperSize="9" orientation="landscape"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732</vt:i4>
      </vt:variant>
    </vt:vector>
  </HeadingPairs>
  <TitlesOfParts>
    <vt:vector size="763" baseType="lpstr">
      <vt:lpstr>Year 1</vt:lpstr>
      <vt:lpstr>Year 2</vt:lpstr>
      <vt:lpstr>Year 3</vt:lpstr>
      <vt:lpstr>Year 4</vt:lpstr>
      <vt:lpstr>Year 5</vt:lpstr>
      <vt:lpstr>ReportData</vt:lpstr>
      <vt:lpstr>ChartLabels</vt:lpstr>
      <vt:lpstr>Nav</vt:lpstr>
      <vt:lpstr>Frontpage</vt:lpstr>
      <vt:lpstr>Home</vt:lpstr>
      <vt:lpstr>Indicators</vt:lpstr>
      <vt:lpstr>Sheet1</vt:lpstr>
      <vt:lpstr>ParticipatingLA</vt:lpstr>
      <vt:lpstr>IDACI</vt:lpstr>
      <vt:lpstr>Population</vt:lpstr>
      <vt:lpstr>Referrals</vt:lpstr>
      <vt:lpstr>Referral_Source</vt:lpstr>
      <vt:lpstr>Re-referrals</vt:lpstr>
      <vt:lpstr>Assessments</vt:lpstr>
      <vt:lpstr>Children in Need</vt:lpstr>
      <vt:lpstr>Section 47 Enquiries</vt:lpstr>
      <vt:lpstr>Initial CP Conferences</vt:lpstr>
      <vt:lpstr>Child Protection Plans</vt:lpstr>
      <vt:lpstr>Court Applications</vt:lpstr>
      <vt:lpstr>Looked After Children</vt:lpstr>
      <vt:lpstr>New_Ceased_LAC</vt:lpstr>
      <vt:lpstr>Permanence</vt:lpstr>
      <vt:lpstr>Care_Leavers</vt:lpstr>
      <vt:lpstr>EHE_CME</vt:lpstr>
      <vt:lpstr>Participation</vt:lpstr>
      <vt:lpstr>YouthJustice</vt:lpstr>
      <vt:lpstr>'Year 2'!Age_Breakdown_of_LAC</vt:lpstr>
      <vt:lpstr>'Year 3'!Age_Breakdown_of_LAC</vt:lpstr>
      <vt:lpstr>'Year 4'!Age_Breakdown_of_LAC</vt:lpstr>
      <vt:lpstr>'Year 5'!Age_Breakdown_of_LAC</vt:lpstr>
      <vt:lpstr>Age_Breakdown_of_LAC</vt:lpstr>
      <vt:lpstr>BMLIST</vt:lpstr>
      <vt:lpstr>'Year 2'!Number_of_CSC_Single_Assessments_Authorised_within</vt:lpstr>
      <vt:lpstr>'Year 3'!Number_of_CSC_Single_Assessments_Authorised_within</vt:lpstr>
      <vt:lpstr>'Year 4'!Number_of_CSC_Single_Assessments_Authorised_within</vt:lpstr>
      <vt:lpstr>'Year 5'!Number_of_CSC_Single_Assessments_Authorised_within</vt:lpstr>
      <vt:lpstr>Number_of_CSC_Single_Assessments_Authorised_within</vt:lpstr>
      <vt:lpstr>'Year 2'!Number_of_Referrals_to_CSC_received_from</vt:lpstr>
      <vt:lpstr>'Year 3'!Number_of_Referrals_to_CSC_received_from</vt:lpstr>
      <vt:lpstr>'Year 4'!Number_of_Referrals_to_CSC_received_from</vt:lpstr>
      <vt:lpstr>'Year 5'!Number_of_Referrals_to_CSC_received_from</vt:lpstr>
      <vt:lpstr>Number_of_Referrals_to_CSC_received_from</vt:lpstr>
      <vt:lpstr>Assessments!Print_Area</vt:lpstr>
      <vt:lpstr>Care_Leavers!Print_Area</vt:lpstr>
      <vt:lpstr>'Child Protection Plans'!Print_Area</vt:lpstr>
      <vt:lpstr>'Children in Need'!Print_Area</vt:lpstr>
      <vt:lpstr>'Court Applications'!Print_Area</vt:lpstr>
      <vt:lpstr>EHE_CME!Print_Area</vt:lpstr>
      <vt:lpstr>Frontpage!Print_Area</vt:lpstr>
      <vt:lpstr>Home!Print_Area</vt:lpstr>
      <vt:lpstr>IDACI!Print_Area</vt:lpstr>
      <vt:lpstr>Indicators!Print_Area</vt:lpstr>
      <vt:lpstr>'Initial CP Conferences'!Print_Area</vt:lpstr>
      <vt:lpstr>'Looked After Children'!Print_Area</vt:lpstr>
      <vt:lpstr>Nav!Print_Area</vt:lpstr>
      <vt:lpstr>New_Ceased_LAC!Print_Area</vt:lpstr>
      <vt:lpstr>ParticipatingLA!Print_Area</vt:lpstr>
      <vt:lpstr>Participation!Print_Area</vt:lpstr>
      <vt:lpstr>Permanence!Print_Area</vt:lpstr>
      <vt:lpstr>Population!Print_Area</vt:lpstr>
      <vt:lpstr>Referral_Source!Print_Area</vt:lpstr>
      <vt:lpstr>Referrals!Print_Area</vt:lpstr>
      <vt:lpstr>'Re-referrals'!Print_Area</vt:lpstr>
      <vt:lpstr>'Section 47 Enquiries'!Print_Area</vt:lpstr>
      <vt:lpstr>YouthJustice!Print_Area</vt:lpstr>
      <vt:lpstr>Year1__1617__participating_in_EET</vt:lpstr>
      <vt:lpstr>Year1__electively_home_educated</vt:lpstr>
      <vt:lpstr>Year1_16_17__participating_in_EET</vt:lpstr>
      <vt:lpstr>Year1_16_17_NEET</vt:lpstr>
      <vt:lpstr>Year1_16_17_not_known</vt:lpstr>
      <vt:lpstr>Year1_16_17_participating_in_EET</vt:lpstr>
      <vt:lpstr>Year1_1617__participating_in_EET</vt:lpstr>
      <vt:lpstr>Year1_1617_Cohort_from_Annual_Publication</vt:lpstr>
      <vt:lpstr>Year1_1617_EET_from_Annual_Publication_p</vt:lpstr>
      <vt:lpstr>Year1_1617_NEET</vt:lpstr>
      <vt:lpstr>Year1_1617_NEET_from_Annual_Publication_p</vt:lpstr>
      <vt:lpstr>Year1_1617_NK_from_Annual_Publication_p</vt:lpstr>
      <vt:lpstr>Year1_1617_not_known</vt:lpstr>
      <vt:lpstr>Year1_A10</vt:lpstr>
      <vt:lpstr>Year1_Adoption_ceased_LAC</vt:lpstr>
      <vt:lpstr>Year1_Adoption_LAC_Adopted</vt:lpstr>
      <vt:lpstr>Year1_Adoption_LAC_Adopted_days</vt:lpstr>
      <vt:lpstr>Year1_Adoption_LAC_Adopted_placed_with_12months</vt:lpstr>
      <vt:lpstr>Year1_Adoption_PFA</vt:lpstr>
      <vt:lpstr>Year1_Assessments</vt:lpstr>
      <vt:lpstr>Year1_Assessments_10days</vt:lpstr>
      <vt:lpstr>Year1_Assessments_11_20days</vt:lpstr>
      <vt:lpstr>Year1_Assessments_21_30days</vt:lpstr>
      <vt:lpstr>Year1_Assessments_25th_Percentile_days</vt:lpstr>
      <vt:lpstr>Year1_Assessments_31_45days</vt:lpstr>
      <vt:lpstr>Year1_Assessments_75th_Percentile_days</vt:lpstr>
      <vt:lpstr>Year1_Assessments_Median_days</vt:lpstr>
      <vt:lpstr>Year1_Assessments_No_further_action</vt:lpstr>
      <vt:lpstr>Year1_Assessments_over_45days</vt:lpstr>
      <vt:lpstr>Year1_Assessments_step_down</vt:lpstr>
      <vt:lpstr>Year1_Assessments_within45days</vt:lpstr>
      <vt:lpstr>Year1_Bracknell_Forest</vt:lpstr>
      <vt:lpstr>Year1_Brighton_and_Hove</vt:lpstr>
      <vt:lpstr>Year1_Buckinghamshire</vt:lpstr>
      <vt:lpstr>Year1_CAO_RO_Total</vt:lpstr>
      <vt:lpstr>Year1_Care_Applications</vt:lpstr>
      <vt:lpstr>Year1_Care_Applications_Children</vt:lpstr>
      <vt:lpstr>Year1_Care_Leavers_19_20_Ceased18</vt:lpstr>
      <vt:lpstr>Year1_Care_Leavers_19_20_Ceased18_SP</vt:lpstr>
      <vt:lpstr>Year1_Care_Leavers_at_end_of_period</vt:lpstr>
      <vt:lpstr>Year1_Care_Leavers_in_EET</vt:lpstr>
      <vt:lpstr>Year1_Care_Leavers_in_suitable_accommodation</vt:lpstr>
      <vt:lpstr>Year1_Care_Leavers_in_touch</vt:lpstr>
      <vt:lpstr>Year1_Ceased_LAC_16plus</vt:lpstr>
      <vt:lpstr>Year1_Ceased_LAC_16plus_18th</vt:lpstr>
      <vt:lpstr>Year1_Children_missing_Education</vt:lpstr>
      <vt:lpstr>Year1_CIN</vt:lpstr>
      <vt:lpstr>Year1_CIN_Section47</vt:lpstr>
      <vt:lpstr>Year1_CL_SA_Denominator_from_903</vt:lpstr>
      <vt:lpstr>Year1_Contacts</vt:lpstr>
      <vt:lpstr>Year1_Continuous_assessments</vt:lpstr>
      <vt:lpstr>Year1_CP_Conference</vt:lpstr>
      <vt:lpstr>Year1_CP_Conference_within15days</vt:lpstr>
      <vt:lpstr>Year1_CP_Plans</vt:lpstr>
      <vt:lpstr>Year1_CP_Plans_2years</vt:lpstr>
      <vt:lpstr>Year1_CP_Plans_3months</vt:lpstr>
      <vt:lpstr>Year1_CP_Plans_3months_timescales</vt:lpstr>
      <vt:lpstr>Year1_CP_Plans_became_subject</vt:lpstr>
      <vt:lpstr>Year1_CP_Plans_became_subject_second</vt:lpstr>
      <vt:lpstr>Year1_CP_Plans_became_subject_second_2years</vt:lpstr>
      <vt:lpstr>Year1_CP_Plans_ceased</vt:lpstr>
      <vt:lpstr>Year1_CP_Plans_ceased_2years</vt:lpstr>
      <vt:lpstr>Year1_CP_Plans_Seen_in_Timescales</vt:lpstr>
      <vt:lpstr>Year1_EarlyHelpAssessments</vt:lpstr>
      <vt:lpstr>Year1_EarlyHelpAssessmentsStepUp</vt:lpstr>
      <vt:lpstr>Year1_EarlyHelpedChildren</vt:lpstr>
      <vt:lpstr>Year1_EarlyHelpReferrals</vt:lpstr>
      <vt:lpstr>Year1_EarlyHelpReferralsSTEPDOWN</vt:lpstr>
      <vt:lpstr>Year1_EarlyHelpReReferrals</vt:lpstr>
      <vt:lpstr>Year1_East_Sussex</vt:lpstr>
      <vt:lpstr>Year1_electively_home_educated</vt:lpstr>
      <vt:lpstr>Year1_England</vt:lpstr>
      <vt:lpstr>Year1_First_Time_Entrants_to_Youth_Justice_system</vt:lpstr>
      <vt:lpstr>Year1_Hampshire</vt:lpstr>
      <vt:lpstr>Year1_Isle_of_Wight</vt:lpstr>
      <vt:lpstr>Year1_Juvenile_Offenders__Age_1017</vt:lpstr>
      <vt:lpstr>Year1_Juvenile_offenders_age_10_17</vt:lpstr>
      <vt:lpstr>Year1_Juvenile_Reoffenders__Age_1017</vt:lpstr>
      <vt:lpstr>Year1_Juvenile_Reoffenders_age_10_17</vt:lpstr>
      <vt:lpstr>Year1_Kent</vt:lpstr>
      <vt:lpstr>Year1_LAC</vt:lpstr>
      <vt:lpstr>Year1_LAC_10to15</vt:lpstr>
      <vt:lpstr>Year1_LAC_16plus</vt:lpstr>
      <vt:lpstr>Year1_LAC_1to4</vt:lpstr>
      <vt:lpstr>Year1_LAC_3_or_more_Placements</vt:lpstr>
      <vt:lpstr>Year1_LAC_4weeks</vt:lpstr>
      <vt:lpstr>Year1_LAC_4weeks_reviews_in_timescales</vt:lpstr>
      <vt:lpstr>Year1_LAC_5to9</vt:lpstr>
      <vt:lpstr>Year1_LAC_Remanded</vt:lpstr>
      <vt:lpstr>Year1_LAC_Start</vt:lpstr>
      <vt:lpstr>Year1_LAC_Start_2nd_time</vt:lpstr>
      <vt:lpstr>Year1_LAC_UASC</vt:lpstr>
      <vt:lpstr>Year1_LAC_Under1</vt:lpstr>
      <vt:lpstr>Year1_LAC_under16</vt:lpstr>
      <vt:lpstr>Year1_LAC_under16_2.5years</vt:lpstr>
      <vt:lpstr>Year1_LAC_under16_2.5years_sameplacement2years</vt:lpstr>
      <vt:lpstr>Year1_Medway</vt:lpstr>
      <vt:lpstr>Year1_Milton_Keynes</vt:lpstr>
      <vt:lpstr>Year1_Oxfordshire</vt:lpstr>
      <vt:lpstr>Year1_Portsmouth</vt:lpstr>
      <vt:lpstr>Year1_Reading</vt:lpstr>
      <vt:lpstr>Year1_Referrals</vt:lpstr>
      <vt:lpstr>'Year 2'!Year1_ReferralsAssessment</vt:lpstr>
      <vt:lpstr>'Year 3'!Year1_ReferralsAssessment</vt:lpstr>
      <vt:lpstr>'Year 4'!Year1_ReferralsAssessment</vt:lpstr>
      <vt:lpstr>Year1_ReferralsAssessment</vt:lpstr>
      <vt:lpstr>Year1_ReferralSource_Anonymous</vt:lpstr>
      <vt:lpstr>Year1_ReferralSource_EducationServices</vt:lpstr>
      <vt:lpstr>Year1_ReferralSource_Health_services_AE</vt:lpstr>
      <vt:lpstr>Year1_ReferralSource_Health_services_GP</vt:lpstr>
      <vt:lpstr>Year1_ReferralSource_Health_services_HealthVisitor</vt:lpstr>
      <vt:lpstr>Year1_ReferralSource_Health_services_Other</vt:lpstr>
      <vt:lpstr>Year1_ReferralSource_Health_services_OthPrimary</vt:lpstr>
      <vt:lpstr>Year1_ReferralSource_Health_services_SchoolNurse</vt:lpstr>
      <vt:lpstr>Year1_ReferralSource_Housing</vt:lpstr>
      <vt:lpstr>Year1_ReferralSource_Individual_Acquaintance</vt:lpstr>
      <vt:lpstr>Year1_ReferralSource_Individual_Family</vt:lpstr>
      <vt:lpstr>Year1_ReferralSource_Individual_Other</vt:lpstr>
      <vt:lpstr>Year1_ReferralSource_Individual_Self</vt:lpstr>
      <vt:lpstr>Year1_ReferralSource_LA_Early_Help</vt:lpstr>
      <vt:lpstr>Year1_ReferralSource_LA_External</vt:lpstr>
      <vt:lpstr>Year1_ReferralSource_LA_Other</vt:lpstr>
      <vt:lpstr>Year1_ReferralSource_LA_SC</vt:lpstr>
      <vt:lpstr>Year1_ReferralSource_Other</vt:lpstr>
      <vt:lpstr>Year1_ReferralSource_Other_Legal</vt:lpstr>
      <vt:lpstr>Year1_ReferralSource_Police</vt:lpstr>
      <vt:lpstr>Year1_ReferralSource_School</vt:lpstr>
      <vt:lpstr>Year1_ReferralSource_Unknown</vt:lpstr>
      <vt:lpstr>Year1_ReferralsPriorEH</vt:lpstr>
      <vt:lpstr>Year1_ReReferrals</vt:lpstr>
      <vt:lpstr>Year1_ROSGO_ceased_LAC_CAO</vt:lpstr>
      <vt:lpstr>Year1_ROSGO_ceased_LAC_SGO</vt:lpstr>
      <vt:lpstr>Year1_SGO_total</vt:lpstr>
      <vt:lpstr>Year1_Slough</vt:lpstr>
      <vt:lpstr>Year1_South_East</vt:lpstr>
      <vt:lpstr>Year1_Southampton</vt:lpstr>
      <vt:lpstr>Year1_Surrey</vt:lpstr>
      <vt:lpstr>Year1_West_Berkshire</vt:lpstr>
      <vt:lpstr>Year1_West_Sussex</vt:lpstr>
      <vt:lpstr>Year1_Windsor_and_Maidenhead</vt:lpstr>
      <vt:lpstr>Year1_Wokingham</vt:lpstr>
      <vt:lpstr>Year2__1617__participating_in_EET</vt:lpstr>
      <vt:lpstr>Year2__electively_home_educated</vt:lpstr>
      <vt:lpstr>Year2_16_17__participating_in_EET</vt:lpstr>
      <vt:lpstr>Year2_16_17_NEET</vt:lpstr>
      <vt:lpstr>Year2_16_17_not_known</vt:lpstr>
      <vt:lpstr>Year2_16_17_participating_in_EET</vt:lpstr>
      <vt:lpstr>Year2_1617__participating_in_EET</vt:lpstr>
      <vt:lpstr>Year2_1617_Cohort_from_Annual_Publication</vt:lpstr>
      <vt:lpstr>Year2_1617_EET_from_Annual_Publication_p</vt:lpstr>
      <vt:lpstr>Year2_1617_NEET</vt:lpstr>
      <vt:lpstr>Year2_1617_NEET_from_Annual_Publication_p</vt:lpstr>
      <vt:lpstr>Year2_1617_NK_from_Annual_Publication_p</vt:lpstr>
      <vt:lpstr>Year2_1617_not_known</vt:lpstr>
      <vt:lpstr>Year2_A10</vt:lpstr>
      <vt:lpstr>Year2_Adoption_ceased_LAC</vt:lpstr>
      <vt:lpstr>Year2_Adoption_LAC_Adopted</vt:lpstr>
      <vt:lpstr>Year2_Adoption_LAC_Adopted_days</vt:lpstr>
      <vt:lpstr>Year2_Adoption_LAC_Adopted_placed_with_12months</vt:lpstr>
      <vt:lpstr>Year2_Adoption_PFA</vt:lpstr>
      <vt:lpstr>Year2_Assessments</vt:lpstr>
      <vt:lpstr>Year2_Assessments_10days</vt:lpstr>
      <vt:lpstr>Year2_Assessments_11_20days</vt:lpstr>
      <vt:lpstr>Year2_Assessments_21_30days</vt:lpstr>
      <vt:lpstr>Year2_Assessments_25th_Percentile_days</vt:lpstr>
      <vt:lpstr>Year2_Assessments_31_45days</vt:lpstr>
      <vt:lpstr>Year2_Assessments_75th_Percentile_days</vt:lpstr>
      <vt:lpstr>Year2_Assessments_Median_days</vt:lpstr>
      <vt:lpstr>Year2_Assessments_No_further_action</vt:lpstr>
      <vt:lpstr>Year2_Assessments_over_45days</vt:lpstr>
      <vt:lpstr>Year2_Assessments_step_down</vt:lpstr>
      <vt:lpstr>Year2_Assessments_within45days</vt:lpstr>
      <vt:lpstr>Year2_Bracknell_Forest</vt:lpstr>
      <vt:lpstr>Year2_Brighton_and_Hove</vt:lpstr>
      <vt:lpstr>Year2_Buckinghamshire</vt:lpstr>
      <vt:lpstr>Year2_CAO_RO_Total</vt:lpstr>
      <vt:lpstr>Year2_Care_Applications</vt:lpstr>
      <vt:lpstr>Year2_Care_Applications_Children</vt:lpstr>
      <vt:lpstr>Year2_Care_Leavers_19_20_Ceased18</vt:lpstr>
      <vt:lpstr>Year2_Care_Leavers_19_20_Ceased18_SP</vt:lpstr>
      <vt:lpstr>Year2_Care_Leavers_at_end_of_period</vt:lpstr>
      <vt:lpstr>Year2_Care_Leavers_in_EET</vt:lpstr>
      <vt:lpstr>Year2_Care_Leavers_in_suitable_accommodation</vt:lpstr>
      <vt:lpstr>Year2_Care_Leavers_in_touch</vt:lpstr>
      <vt:lpstr>Year2_Ceased_LAC_16plus</vt:lpstr>
      <vt:lpstr>Year2_Ceased_LAC_16plus_18th</vt:lpstr>
      <vt:lpstr>Year2_Children_missing_Education</vt:lpstr>
      <vt:lpstr>Year2_CIN</vt:lpstr>
      <vt:lpstr>Year2_CIN_Section47</vt:lpstr>
      <vt:lpstr>Year2_CL_SA_Denominator_from_903</vt:lpstr>
      <vt:lpstr>Year2_Contacts</vt:lpstr>
      <vt:lpstr>Year2_Continuous_assessments</vt:lpstr>
      <vt:lpstr>Year2_CP_Conference</vt:lpstr>
      <vt:lpstr>Year2_CP_Conference_within15days</vt:lpstr>
      <vt:lpstr>Year2_CP_Plans</vt:lpstr>
      <vt:lpstr>Year2_CP_Plans_2years</vt:lpstr>
      <vt:lpstr>Year2_CP_Plans_3months</vt:lpstr>
      <vt:lpstr>Year2_CP_Plans_3months_timescales</vt:lpstr>
      <vt:lpstr>Year2_CP_Plans_became_subject</vt:lpstr>
      <vt:lpstr>Year2_CP_Plans_became_subject_second</vt:lpstr>
      <vt:lpstr>Year2_CP_Plans_became_subject_second_2years</vt:lpstr>
      <vt:lpstr>Year2_CP_Plans_ceased</vt:lpstr>
      <vt:lpstr>Year2_CP_Plans_ceased_2years</vt:lpstr>
      <vt:lpstr>Year2_CP_Plans_Seen_in_Timescales</vt:lpstr>
      <vt:lpstr>Year2_EarlyHelpAssessments</vt:lpstr>
      <vt:lpstr>Year2_EarlyHelpAssessmentsStepUp</vt:lpstr>
      <vt:lpstr>Year2_EarlyHelpedChildren</vt:lpstr>
      <vt:lpstr>Year2_EarlyHelpReferrals</vt:lpstr>
      <vt:lpstr>Year2_EarlyHelpReferralsSTEPDOWN</vt:lpstr>
      <vt:lpstr>Year2_EarlyHelpReReferrals</vt:lpstr>
      <vt:lpstr>Year2_East_Sussex</vt:lpstr>
      <vt:lpstr>Year2_electively_home_educated</vt:lpstr>
      <vt:lpstr>Year2_England</vt:lpstr>
      <vt:lpstr>Year2_First_Time_Entrants_to_Youth_Justice_system</vt:lpstr>
      <vt:lpstr>Year2_Hampshire</vt:lpstr>
      <vt:lpstr>Year2_Isle_of_Wight</vt:lpstr>
      <vt:lpstr>Year2_Juvenile_Offenders__Age_1017</vt:lpstr>
      <vt:lpstr>Year2_Juvenile_offenders_age_10_17</vt:lpstr>
      <vt:lpstr>Year2_Juvenile_Reoffenders__Age_1017</vt:lpstr>
      <vt:lpstr>Year2_Juvenile_Reoffenders_age_10_17</vt:lpstr>
      <vt:lpstr>Year2_Kent</vt:lpstr>
      <vt:lpstr>Year2_LAC</vt:lpstr>
      <vt:lpstr>Year2_LAC_10to15</vt:lpstr>
      <vt:lpstr>Year2_LAC_16plus</vt:lpstr>
      <vt:lpstr>Year2_LAC_1to4</vt:lpstr>
      <vt:lpstr>Year2_LAC_3_or_more_Placements</vt:lpstr>
      <vt:lpstr>Year2_LAC_4weeks</vt:lpstr>
      <vt:lpstr>Year2_LAC_4weeks_reviews_in_timescales</vt:lpstr>
      <vt:lpstr>Year2_LAC_5to9</vt:lpstr>
      <vt:lpstr>Year2_LAC_Remanded</vt:lpstr>
      <vt:lpstr>Year2_LAC_Start</vt:lpstr>
      <vt:lpstr>Year2_LAC_Start_2nd_time</vt:lpstr>
      <vt:lpstr>Year2_LAC_UASC</vt:lpstr>
      <vt:lpstr>Year2_LAC_Under1</vt:lpstr>
      <vt:lpstr>Year2_LAC_under16</vt:lpstr>
      <vt:lpstr>Year2_LAC_under16_2.5years</vt:lpstr>
      <vt:lpstr>Year2_LAC_under16_2.5years_sameplacement2years</vt:lpstr>
      <vt:lpstr>Year2_Medway</vt:lpstr>
      <vt:lpstr>Year2_Milton_Keynes</vt:lpstr>
      <vt:lpstr>Year2_Oxfordshire</vt:lpstr>
      <vt:lpstr>Year2_Portsmouth</vt:lpstr>
      <vt:lpstr>Year2_Reading</vt:lpstr>
      <vt:lpstr>Year2_Referrals</vt:lpstr>
      <vt:lpstr>Year2_ReferralsAssessment</vt:lpstr>
      <vt:lpstr>Year2_ReferralSource_Anonymous</vt:lpstr>
      <vt:lpstr>Year2_ReferralSource_EducationServices</vt:lpstr>
      <vt:lpstr>Year2_ReferralSource_Health_services_AE</vt:lpstr>
      <vt:lpstr>Year2_ReferralSource_Health_services_GP</vt:lpstr>
      <vt:lpstr>Year2_ReferralSource_Health_services_HealthVisitor</vt:lpstr>
      <vt:lpstr>Year2_ReferralSource_Health_services_Other</vt:lpstr>
      <vt:lpstr>Year2_ReferralSource_Health_services_OthPrimary</vt:lpstr>
      <vt:lpstr>Year2_ReferralSource_Health_services_SchoolNurse</vt:lpstr>
      <vt:lpstr>Year2_ReferralSource_Housing</vt:lpstr>
      <vt:lpstr>Year2_ReferralSource_Individual_Acquaintance</vt:lpstr>
      <vt:lpstr>Year2_ReferralSource_Individual_Family</vt:lpstr>
      <vt:lpstr>Year2_ReferralSource_Individual_Other</vt:lpstr>
      <vt:lpstr>Year2_ReferralSource_Individual_Self</vt:lpstr>
      <vt:lpstr>Year2_ReferralSource_LA_Early_Help</vt:lpstr>
      <vt:lpstr>Year2_ReferralSource_LA_External</vt:lpstr>
      <vt:lpstr>Year2_ReferralSource_LA_Other</vt:lpstr>
      <vt:lpstr>Year2_ReferralSource_LA_SC</vt:lpstr>
      <vt:lpstr>Year2_ReferralSource_Other</vt:lpstr>
      <vt:lpstr>Year2_ReferralSource_Other_Legal</vt:lpstr>
      <vt:lpstr>Year2_ReferralSource_Police</vt:lpstr>
      <vt:lpstr>Year2_ReferralSource_School</vt:lpstr>
      <vt:lpstr>Year2_ReferralSource_Unknown</vt:lpstr>
      <vt:lpstr>Year2_ReferralsPriorEH</vt:lpstr>
      <vt:lpstr>Year2_ReReferrals</vt:lpstr>
      <vt:lpstr>Year2_ROSGO_ceased_LAC_CAO</vt:lpstr>
      <vt:lpstr>Year2_ROSGO_ceased_LAC_SGO</vt:lpstr>
      <vt:lpstr>Year2_SGO_total</vt:lpstr>
      <vt:lpstr>Year2_Slough</vt:lpstr>
      <vt:lpstr>Year2_South_East</vt:lpstr>
      <vt:lpstr>Year2_Southampton</vt:lpstr>
      <vt:lpstr>Year2_Surrey</vt:lpstr>
      <vt:lpstr>Year2_West_Berkshire</vt:lpstr>
      <vt:lpstr>Year2_West_Sussex</vt:lpstr>
      <vt:lpstr>Year2_Windsor_and_Maidenhead</vt:lpstr>
      <vt:lpstr>Year2_Wokingham</vt:lpstr>
      <vt:lpstr>Year3__1617__participating_in_EET</vt:lpstr>
      <vt:lpstr>Year3__electively_home_educated</vt:lpstr>
      <vt:lpstr>Year3_16_17__participating_in_EET</vt:lpstr>
      <vt:lpstr>Year3_16_17_NEET</vt:lpstr>
      <vt:lpstr>Year3_16_17_not_known</vt:lpstr>
      <vt:lpstr>Year3_16_17_participating_in_EET</vt:lpstr>
      <vt:lpstr>Year3_1617__participating_in_EET</vt:lpstr>
      <vt:lpstr>Year3_1617_Cohort_from_Annual_Publication</vt:lpstr>
      <vt:lpstr>Year3_1617_EET_from_Annual_Publication_p</vt:lpstr>
      <vt:lpstr>Year3_1617_NEET</vt:lpstr>
      <vt:lpstr>Year3_1617_NEET_from_Annual_Publication_p</vt:lpstr>
      <vt:lpstr>Year3_1617_NK_from_Annual_Publication_p</vt:lpstr>
      <vt:lpstr>Year3_1617_not_known</vt:lpstr>
      <vt:lpstr>Year3_A10</vt:lpstr>
      <vt:lpstr>Year3_Adoption_ceased_LAC</vt:lpstr>
      <vt:lpstr>Year3_Adoption_LAC_Adopted</vt:lpstr>
      <vt:lpstr>Year3_Adoption_LAC_Adopted_days</vt:lpstr>
      <vt:lpstr>Year3_Adoption_LAC_Adopted_placed_with_12months</vt:lpstr>
      <vt:lpstr>Year3_Adoption_PFA</vt:lpstr>
      <vt:lpstr>Year3_Assessments</vt:lpstr>
      <vt:lpstr>Year3_Assessments_10days</vt:lpstr>
      <vt:lpstr>Year3_Assessments_11_20days</vt:lpstr>
      <vt:lpstr>Year3_Assessments_21_30days</vt:lpstr>
      <vt:lpstr>Year3_Assessments_25th_Percentile_days</vt:lpstr>
      <vt:lpstr>Year3_Assessments_31_45days</vt:lpstr>
      <vt:lpstr>Year3_Assessments_75th_Percentile_days</vt:lpstr>
      <vt:lpstr>Year3_Assessments_Median_days</vt:lpstr>
      <vt:lpstr>Year3_Assessments_No_further_action</vt:lpstr>
      <vt:lpstr>Year3_Assessments_over_45days</vt:lpstr>
      <vt:lpstr>Year3_Assessments_step_down</vt:lpstr>
      <vt:lpstr>Year3_Assessments_within45days</vt:lpstr>
      <vt:lpstr>Year3_Bracknell_Forest</vt:lpstr>
      <vt:lpstr>Year3_Brighton_and_Hove</vt:lpstr>
      <vt:lpstr>Year3_Buckinghamshire</vt:lpstr>
      <vt:lpstr>Year3_CAO_RO_Total</vt:lpstr>
      <vt:lpstr>Year3_Care_Applications</vt:lpstr>
      <vt:lpstr>Year3_Care_Applications_Children</vt:lpstr>
      <vt:lpstr>Year3_Care_Leavers_19_20_Ceased18</vt:lpstr>
      <vt:lpstr>Year3_Care_Leavers_19_20_Ceased18_SP</vt:lpstr>
      <vt:lpstr>Year3_Care_Leavers_at_end_of_period</vt:lpstr>
      <vt:lpstr>Year3_Care_Leavers_in_EET</vt:lpstr>
      <vt:lpstr>Year3_Care_Leavers_in_suitable_accommodation</vt:lpstr>
      <vt:lpstr>Year3_Care_Leavers_in_touch</vt:lpstr>
      <vt:lpstr>Year3_Ceased_LAC_16plus</vt:lpstr>
      <vt:lpstr>Year3_Ceased_LAC_16plus_18th</vt:lpstr>
      <vt:lpstr>Year3_Children_missing_Education</vt:lpstr>
      <vt:lpstr>Year3_CIN</vt:lpstr>
      <vt:lpstr>Year3_CIN_Section47</vt:lpstr>
      <vt:lpstr>Year3_CL_SA_Denominator_from_903</vt:lpstr>
      <vt:lpstr>Year3_Contacts</vt:lpstr>
      <vt:lpstr>Year3_Continuous_assessments</vt:lpstr>
      <vt:lpstr>Year3_CP_Conference</vt:lpstr>
      <vt:lpstr>Year3_CP_Conference_within15days</vt:lpstr>
      <vt:lpstr>Year3_CP_Plans</vt:lpstr>
      <vt:lpstr>Year3_CP_Plans_2years</vt:lpstr>
      <vt:lpstr>Year3_CP_Plans_3months</vt:lpstr>
      <vt:lpstr>Year3_CP_Plans_3months_timescales</vt:lpstr>
      <vt:lpstr>Year3_CP_Plans_became_subject</vt:lpstr>
      <vt:lpstr>Year3_CP_Plans_became_subject_second</vt:lpstr>
      <vt:lpstr>Year3_CP_Plans_became_subject_second_2years</vt:lpstr>
      <vt:lpstr>Year3_CP_Plans_ceased</vt:lpstr>
      <vt:lpstr>Year3_CP_Plans_ceased_2years</vt:lpstr>
      <vt:lpstr>Year3_CP_Plans_Seen_in_Timescales</vt:lpstr>
      <vt:lpstr>Year3_EarlyHelpAssessments</vt:lpstr>
      <vt:lpstr>Year3_EarlyHelpAssessmentsStepUp</vt:lpstr>
      <vt:lpstr>Year3_EarlyHelpedChildren</vt:lpstr>
      <vt:lpstr>Year3_EarlyHelpReferrals</vt:lpstr>
      <vt:lpstr>Year3_EarlyHelpReferralsSTEPDOWN</vt:lpstr>
      <vt:lpstr>Year3_EarlyHelpReReferrals</vt:lpstr>
      <vt:lpstr>Year3_East_Sussex</vt:lpstr>
      <vt:lpstr>Year3_electively_home_educated</vt:lpstr>
      <vt:lpstr>Year3_England</vt:lpstr>
      <vt:lpstr>Year3_First_Time_Entrants_to_Youth_Justice_system</vt:lpstr>
      <vt:lpstr>Year3_Hampshire</vt:lpstr>
      <vt:lpstr>Year3_Isle_of_Wight</vt:lpstr>
      <vt:lpstr>Year3_Juvenile_Offenders__Age_1017</vt:lpstr>
      <vt:lpstr>Year3_Juvenile_offenders_age_10_17</vt:lpstr>
      <vt:lpstr>Year3_Juvenile_Reoffenders__Age_1017</vt:lpstr>
      <vt:lpstr>Year3_Juvenile_Reoffenders_age_10_17</vt:lpstr>
      <vt:lpstr>Year3_Kent</vt:lpstr>
      <vt:lpstr>Year3_LAC</vt:lpstr>
      <vt:lpstr>Year3_LAC_10to15</vt:lpstr>
      <vt:lpstr>Year3_LAC_16plus</vt:lpstr>
      <vt:lpstr>Year3_LAC_1to4</vt:lpstr>
      <vt:lpstr>Year3_LAC_3_or_more_Placements</vt:lpstr>
      <vt:lpstr>Year3_LAC_4weeks</vt:lpstr>
      <vt:lpstr>Year3_LAC_4weeks_reviews_in_timescales</vt:lpstr>
      <vt:lpstr>Year3_LAC_5to9</vt:lpstr>
      <vt:lpstr>Year3_LAC_Remanded</vt:lpstr>
      <vt:lpstr>Year3_LAC_Start</vt:lpstr>
      <vt:lpstr>Year3_LAC_Start_2nd_time</vt:lpstr>
      <vt:lpstr>Year3_LAC_UASC</vt:lpstr>
      <vt:lpstr>Year3_LAC_Under1</vt:lpstr>
      <vt:lpstr>Year3_LAC_under16</vt:lpstr>
      <vt:lpstr>Year3_LAC_under16_2.5years</vt:lpstr>
      <vt:lpstr>Year3_LAC_under16_2.5years_sameplacement2years</vt:lpstr>
      <vt:lpstr>Year3_Medway</vt:lpstr>
      <vt:lpstr>Year3_Milton_Keynes</vt:lpstr>
      <vt:lpstr>Year3_Oxfordshire</vt:lpstr>
      <vt:lpstr>Year3_Portsmouth</vt:lpstr>
      <vt:lpstr>Year3_Reading</vt:lpstr>
      <vt:lpstr>Year3_Referrals</vt:lpstr>
      <vt:lpstr>Year3_ReferralsAssessment</vt:lpstr>
      <vt:lpstr>Year3_ReferralSource_Anonymous</vt:lpstr>
      <vt:lpstr>Year3_ReferralSource_EducationServices</vt:lpstr>
      <vt:lpstr>Year3_ReferralSource_Health_services_AE</vt:lpstr>
      <vt:lpstr>Year3_ReferralSource_Health_services_GP</vt:lpstr>
      <vt:lpstr>Year3_ReferralSource_Health_services_HealthVisitor</vt:lpstr>
      <vt:lpstr>Year3_ReferralSource_Health_services_Other</vt:lpstr>
      <vt:lpstr>Year3_ReferralSource_Health_services_OthPrimary</vt:lpstr>
      <vt:lpstr>Year3_ReferralSource_Health_services_SchoolNurse</vt:lpstr>
      <vt:lpstr>Year3_ReferralSource_Housing</vt:lpstr>
      <vt:lpstr>Year3_ReferralSource_Individual_Acquaintance</vt:lpstr>
      <vt:lpstr>Year3_ReferralSource_Individual_Family</vt:lpstr>
      <vt:lpstr>Year3_ReferralSource_Individual_Other</vt:lpstr>
      <vt:lpstr>Year3_ReferralSource_Individual_Self</vt:lpstr>
      <vt:lpstr>Year3_ReferralSource_LA_Early_Help</vt:lpstr>
      <vt:lpstr>Year3_ReferralSource_LA_External</vt:lpstr>
      <vt:lpstr>Year3_ReferralSource_LA_Other</vt:lpstr>
      <vt:lpstr>Year3_ReferralSource_LA_SC</vt:lpstr>
      <vt:lpstr>Year3_ReferralSource_Other</vt:lpstr>
      <vt:lpstr>Year3_ReferralSource_Other_Legal</vt:lpstr>
      <vt:lpstr>Year3_ReferralSource_Police</vt:lpstr>
      <vt:lpstr>Year3_ReferralSource_School</vt:lpstr>
      <vt:lpstr>Year3_ReferralSource_Unknown</vt:lpstr>
      <vt:lpstr>Year3_ReferralsPriorEH</vt:lpstr>
      <vt:lpstr>Year3_ReReferrals</vt:lpstr>
      <vt:lpstr>Year3_ROSGO_ceased_LAC_CAO</vt:lpstr>
      <vt:lpstr>Year3_ROSGO_ceased_LAC_SGO</vt:lpstr>
      <vt:lpstr>Year3_SGO_total</vt:lpstr>
      <vt:lpstr>Year3_Slough</vt:lpstr>
      <vt:lpstr>Year3_South_East</vt:lpstr>
      <vt:lpstr>Year3_Southampton</vt:lpstr>
      <vt:lpstr>Year3_Surrey</vt:lpstr>
      <vt:lpstr>Year3_West_Berkshire</vt:lpstr>
      <vt:lpstr>Year3_West_Sussex</vt:lpstr>
      <vt:lpstr>Year3_Windsor_and_Maidenhead</vt:lpstr>
      <vt:lpstr>Year3_Wokingham</vt:lpstr>
      <vt:lpstr>Year4__1617__participating_in_EET</vt:lpstr>
      <vt:lpstr>Year4__electively_home_educated</vt:lpstr>
      <vt:lpstr>Year4_16_17__participating_in_EET</vt:lpstr>
      <vt:lpstr>Year4_16_17_NEET</vt:lpstr>
      <vt:lpstr>Year4_16_17_not_known</vt:lpstr>
      <vt:lpstr>Year4_16_17_participating_in_EET</vt:lpstr>
      <vt:lpstr>Year4_1617__participating_in_EET</vt:lpstr>
      <vt:lpstr>Year4_1617_Cohort_from_Annual_Publication</vt:lpstr>
      <vt:lpstr>Year4_1617_EET_from_Annual_Publication_p</vt:lpstr>
      <vt:lpstr>Year4_1617_NEET</vt:lpstr>
      <vt:lpstr>Year4_1617_NEET_from_Annual_Publication_p</vt:lpstr>
      <vt:lpstr>Year4_1617_NK_from_Annual_Publication_p</vt:lpstr>
      <vt:lpstr>Year4_1617_not_known</vt:lpstr>
      <vt:lpstr>Year4_A10</vt:lpstr>
      <vt:lpstr>Year4_Adoption_ceased_LAC</vt:lpstr>
      <vt:lpstr>Year4_Adoption_LAC_Adopted</vt:lpstr>
      <vt:lpstr>Year4_Adoption_LAC_Adopted_days</vt:lpstr>
      <vt:lpstr>Year4_Adoption_LAC_Adopted_placed_with_12months</vt:lpstr>
      <vt:lpstr>Year4_Adoption_PFA</vt:lpstr>
      <vt:lpstr>Year4_Assessments</vt:lpstr>
      <vt:lpstr>Year4_Assessments_10days</vt:lpstr>
      <vt:lpstr>Year4_Assessments_11_20days</vt:lpstr>
      <vt:lpstr>Year4_Assessments_21_30days</vt:lpstr>
      <vt:lpstr>Year4_Assessments_25th_Percentile_days</vt:lpstr>
      <vt:lpstr>Year4_Assessments_31_45days</vt:lpstr>
      <vt:lpstr>Year4_Assessments_75th_Percentile_days</vt:lpstr>
      <vt:lpstr>Year4_Assessments_Median_days</vt:lpstr>
      <vt:lpstr>Year4_Assessments_No_further_action</vt:lpstr>
      <vt:lpstr>Year4_Assessments_over_45days</vt:lpstr>
      <vt:lpstr>Year4_Assessments_step_down</vt:lpstr>
      <vt:lpstr>Year4_Assessments_within45days</vt:lpstr>
      <vt:lpstr>Year4_Bracknell_Forest</vt:lpstr>
      <vt:lpstr>Year4_Brighton_and_Hove</vt:lpstr>
      <vt:lpstr>Year4_Buckinghamshire</vt:lpstr>
      <vt:lpstr>Year4_CAO_RO_Total</vt:lpstr>
      <vt:lpstr>Year4_Care_Applications</vt:lpstr>
      <vt:lpstr>Year4_Care_Applications_Children</vt:lpstr>
      <vt:lpstr>Year4_Care_Leavers_19_20_Ceased18</vt:lpstr>
      <vt:lpstr>Year4_Care_Leavers_19_20_Ceased18_SP</vt:lpstr>
      <vt:lpstr>Year4_Care_Leavers_at_end_of_period</vt:lpstr>
      <vt:lpstr>Year4_Care_Leavers_in_EET</vt:lpstr>
      <vt:lpstr>Year4_Care_Leavers_in_suitable_accommodation</vt:lpstr>
      <vt:lpstr>Year4_Care_Leavers_in_touch</vt:lpstr>
      <vt:lpstr>Year4_Ceased_LAC_16plus</vt:lpstr>
      <vt:lpstr>Year4_Ceased_LAC_16plus_18th</vt:lpstr>
      <vt:lpstr>Year4_Children_missing_Education</vt:lpstr>
      <vt:lpstr>Year4_CIN</vt:lpstr>
      <vt:lpstr>Year4_CIN_Section47</vt:lpstr>
      <vt:lpstr>Year4_CL_SA_Denominator_from_903</vt:lpstr>
      <vt:lpstr>Year4_Contacts</vt:lpstr>
      <vt:lpstr>Year4_Continuous_assessments</vt:lpstr>
      <vt:lpstr>Year4_CP_Conference</vt:lpstr>
      <vt:lpstr>Year4_CP_Conference_within15days</vt:lpstr>
      <vt:lpstr>Year4_CP_Plans</vt:lpstr>
      <vt:lpstr>Year4_CP_Plans_2years</vt:lpstr>
      <vt:lpstr>Year4_CP_Plans_3months</vt:lpstr>
      <vt:lpstr>Year4_CP_Plans_3months_timescales</vt:lpstr>
      <vt:lpstr>Year4_CP_Plans_became_subject</vt:lpstr>
      <vt:lpstr>Year4_CP_Plans_became_subject_second</vt:lpstr>
      <vt:lpstr>Year4_CP_Plans_became_subject_second_2years</vt:lpstr>
      <vt:lpstr>Year4_CP_Plans_ceased</vt:lpstr>
      <vt:lpstr>Year4_CP_Plans_ceased_2years</vt:lpstr>
      <vt:lpstr>Year4_CP_Plans_Seen_in_Timescales</vt:lpstr>
      <vt:lpstr>Year4_EarlyHelpAssessments</vt:lpstr>
      <vt:lpstr>Year4_EarlyHelpAssessmentsStepUp</vt:lpstr>
      <vt:lpstr>Year4_EarlyHelpedChildren</vt:lpstr>
      <vt:lpstr>Year4_EarlyHelpReferrals</vt:lpstr>
      <vt:lpstr>Year4_EarlyHelpReferralsSTEPDOWN</vt:lpstr>
      <vt:lpstr>Year4_EarlyHelpReReferrals</vt:lpstr>
      <vt:lpstr>Year4_East_Sussex</vt:lpstr>
      <vt:lpstr>Year4_electively_home_educated</vt:lpstr>
      <vt:lpstr>Year4_England</vt:lpstr>
      <vt:lpstr>Year4_First_Time_Entrants_to_Youth_Justice_system</vt:lpstr>
      <vt:lpstr>Year4_Hampshire</vt:lpstr>
      <vt:lpstr>Year4_Isle_of_Wight</vt:lpstr>
      <vt:lpstr>Year4_Juvenile_Offenders__Age_1017</vt:lpstr>
      <vt:lpstr>Year4_Juvenile_offenders_age_10_17</vt:lpstr>
      <vt:lpstr>Year4_Juvenile_Reoffenders__Age_1017</vt:lpstr>
      <vt:lpstr>Year4_Juvenile_Reoffenders_age_10_17</vt:lpstr>
      <vt:lpstr>Year4_Kent</vt:lpstr>
      <vt:lpstr>Year4_LAC</vt:lpstr>
      <vt:lpstr>Year4_LAC_10to15</vt:lpstr>
      <vt:lpstr>Year4_LAC_16plus</vt:lpstr>
      <vt:lpstr>Year4_LAC_1to4</vt:lpstr>
      <vt:lpstr>Year4_LAC_3_or_more_Placements</vt:lpstr>
      <vt:lpstr>Year4_LAC_4weeks</vt:lpstr>
      <vt:lpstr>Year4_LAC_4weeks_reviews_in_timescales</vt:lpstr>
      <vt:lpstr>Year4_LAC_5to9</vt:lpstr>
      <vt:lpstr>Year4_LAC_Remanded</vt:lpstr>
      <vt:lpstr>Year4_LAC_Start</vt:lpstr>
      <vt:lpstr>Year4_LAC_Start_2nd_time</vt:lpstr>
      <vt:lpstr>Year4_LAC_UASC</vt:lpstr>
      <vt:lpstr>Year4_LAC_Under1</vt:lpstr>
      <vt:lpstr>Year4_LAC_under16</vt:lpstr>
      <vt:lpstr>Year4_LAC_under16_2.5years</vt:lpstr>
      <vt:lpstr>Year4_LAC_under16_2.5years_sameplacement2years</vt:lpstr>
      <vt:lpstr>Year4_Medway</vt:lpstr>
      <vt:lpstr>Year4_Milton_Keynes</vt:lpstr>
      <vt:lpstr>Year4_Oxfordshire</vt:lpstr>
      <vt:lpstr>Year4_Portsmouth</vt:lpstr>
      <vt:lpstr>Year4_Reading</vt:lpstr>
      <vt:lpstr>Year4_Referrals</vt:lpstr>
      <vt:lpstr>Year4_ReferralsAssessment</vt:lpstr>
      <vt:lpstr>Year4_ReferralSource_Anonymous</vt:lpstr>
      <vt:lpstr>Year4_ReferralSource_EducationServices</vt:lpstr>
      <vt:lpstr>Year4_ReferralSource_Health_services_AE</vt:lpstr>
      <vt:lpstr>Year4_ReferralSource_Health_services_GP</vt:lpstr>
      <vt:lpstr>Year4_ReferralSource_Health_services_HealthVisitor</vt:lpstr>
      <vt:lpstr>Year4_ReferralSource_Health_services_Other</vt:lpstr>
      <vt:lpstr>Year4_ReferralSource_Health_services_OthPrimary</vt:lpstr>
      <vt:lpstr>Year4_ReferralSource_Health_services_SchoolNurse</vt:lpstr>
      <vt:lpstr>Year4_ReferralSource_Housing</vt:lpstr>
      <vt:lpstr>Year4_ReferralSource_Individual_Acquaintance</vt:lpstr>
      <vt:lpstr>Year4_ReferralSource_Individual_Family</vt:lpstr>
      <vt:lpstr>Year4_ReferralSource_Individual_Other</vt:lpstr>
      <vt:lpstr>Year4_ReferralSource_Individual_Self</vt:lpstr>
      <vt:lpstr>Year4_ReferralSource_LA_Early_Help</vt:lpstr>
      <vt:lpstr>Year4_ReferralSource_LA_External</vt:lpstr>
      <vt:lpstr>Year4_ReferralSource_LA_Other</vt:lpstr>
      <vt:lpstr>Year4_ReferralSource_LA_SC</vt:lpstr>
      <vt:lpstr>Year4_ReferralSource_Other</vt:lpstr>
      <vt:lpstr>Year4_ReferralSource_Other_Legal</vt:lpstr>
      <vt:lpstr>Year4_ReferralSource_Police</vt:lpstr>
      <vt:lpstr>Year4_ReferralSource_School</vt:lpstr>
      <vt:lpstr>Year4_ReferralSource_Unknown</vt:lpstr>
      <vt:lpstr>Year4_ReferralsPriorEH</vt:lpstr>
      <vt:lpstr>Year4_ReReferrals</vt:lpstr>
      <vt:lpstr>Year4_ROSGO_ceased_LAC_CAO</vt:lpstr>
      <vt:lpstr>Year4_ROSGO_ceased_LAC_SGO</vt:lpstr>
      <vt:lpstr>Year4_SGO_total</vt:lpstr>
      <vt:lpstr>Year4_Slough</vt:lpstr>
      <vt:lpstr>Year4_South_East</vt:lpstr>
      <vt:lpstr>Year4_Southampton</vt:lpstr>
      <vt:lpstr>Year4_Surrey</vt:lpstr>
      <vt:lpstr>Year4_West_Berkshire</vt:lpstr>
      <vt:lpstr>Year4_West_Sussex</vt:lpstr>
      <vt:lpstr>Year4_Windsor_and_Maidenhead</vt:lpstr>
      <vt:lpstr>Year4_Wokingham</vt:lpstr>
      <vt:lpstr>Year5__1617__participating_in_EET</vt:lpstr>
      <vt:lpstr>Year5__electively_home_educated</vt:lpstr>
      <vt:lpstr>Year5_16_17__participating_in_EET</vt:lpstr>
      <vt:lpstr>Year5_16_17_NEET</vt:lpstr>
      <vt:lpstr>Year5_16_17_not_known</vt:lpstr>
      <vt:lpstr>Year5_16_17_participating_in_EET</vt:lpstr>
      <vt:lpstr>Year5_1617__participating_in_EET</vt:lpstr>
      <vt:lpstr>Year5_1617_Cohort_from_Annual_Publication</vt:lpstr>
      <vt:lpstr>Year5_1617_EET_from_Annual_Publication_p</vt:lpstr>
      <vt:lpstr>Year5_1617_NEET</vt:lpstr>
      <vt:lpstr>Year5_1617_NEET_from_Annual_Publication_p</vt:lpstr>
      <vt:lpstr>Year5_1617_NK_from_Annual_Publication_p</vt:lpstr>
      <vt:lpstr>Year5_1617_not_known</vt:lpstr>
      <vt:lpstr>Year5_A10</vt:lpstr>
      <vt:lpstr>Year5_Adoption_ceased_LAC</vt:lpstr>
      <vt:lpstr>Year5_Adoption_LAC_Adopted</vt:lpstr>
      <vt:lpstr>Year5_Adoption_LAC_Adopted_days</vt:lpstr>
      <vt:lpstr>Year5_Adoption_LAC_Adopted_placed_with_12months</vt:lpstr>
      <vt:lpstr>Year5_Adoption_PFA</vt:lpstr>
      <vt:lpstr>Year5_Assessments</vt:lpstr>
      <vt:lpstr>Year5_Assessments_10days</vt:lpstr>
      <vt:lpstr>Year5_Assessments_11_20days</vt:lpstr>
      <vt:lpstr>Year5_Assessments_21_30days</vt:lpstr>
      <vt:lpstr>Year5_Assessments_25th_Percentile_days</vt:lpstr>
      <vt:lpstr>Year5_Assessments_31_45days</vt:lpstr>
      <vt:lpstr>Year5_Assessments_75th_Percentile_days</vt:lpstr>
      <vt:lpstr>Year5_Assessments_Median_days</vt:lpstr>
      <vt:lpstr>Year5_Assessments_No_further_action</vt:lpstr>
      <vt:lpstr>Year5_Assessments_over_45days</vt:lpstr>
      <vt:lpstr>Year5_Assessments_step_down</vt:lpstr>
      <vt:lpstr>Year5_Assessments_within45days</vt:lpstr>
      <vt:lpstr>Year5_Bracknell_Forest</vt:lpstr>
      <vt:lpstr>Year5_Brighton_and_Hove</vt:lpstr>
      <vt:lpstr>Year5_Buckinghamshire</vt:lpstr>
      <vt:lpstr>Year5_CAO_RO_Total</vt:lpstr>
      <vt:lpstr>Year5_Care_Applications</vt:lpstr>
      <vt:lpstr>Year5_Care_Applications_Children</vt:lpstr>
      <vt:lpstr>Year5_Care_Leavers_19_20_Ceased18</vt:lpstr>
      <vt:lpstr>Year5_Care_Leavers_19_20_Ceased18_SP</vt:lpstr>
      <vt:lpstr>Year5_Care_Leavers_at_end_of_period</vt:lpstr>
      <vt:lpstr>Year5_Care_Leavers_in_EET</vt:lpstr>
      <vt:lpstr>Year5_Care_Leavers_in_suitable_accommodation</vt:lpstr>
      <vt:lpstr>Year5_Care_Leavers_in_touch</vt:lpstr>
      <vt:lpstr>Year5_Ceased_LAC_16plus</vt:lpstr>
      <vt:lpstr>Year5_Ceased_LAC_16plus_18th</vt:lpstr>
      <vt:lpstr>Year5_Children_missing_Education</vt:lpstr>
      <vt:lpstr>Year5_CIN</vt:lpstr>
      <vt:lpstr>Year5_CIN_Section47</vt:lpstr>
      <vt:lpstr>Year5_CL_SA_Denominator_from_903</vt:lpstr>
      <vt:lpstr>Year5_Contacts</vt:lpstr>
      <vt:lpstr>Year5_Continuous_assessments</vt:lpstr>
      <vt:lpstr>Year5_CP_Conference</vt:lpstr>
      <vt:lpstr>Year5_CP_Conference_within15days</vt:lpstr>
      <vt:lpstr>Year5_CP_Plans</vt:lpstr>
      <vt:lpstr>Year5_CP_Plans_2years</vt:lpstr>
      <vt:lpstr>Year5_CP_Plans_3months</vt:lpstr>
      <vt:lpstr>Year5_CP_Plans_3months_timescales</vt:lpstr>
      <vt:lpstr>Year5_CP_Plans_became_subject</vt:lpstr>
      <vt:lpstr>Year5_CP_Plans_became_subject_second</vt:lpstr>
      <vt:lpstr>Year5_CP_Plans_became_subject_second_2years</vt:lpstr>
      <vt:lpstr>Year5_CP_Plans_ceased</vt:lpstr>
      <vt:lpstr>Year5_CP_Plans_ceased_2years</vt:lpstr>
      <vt:lpstr>Year5_CP_Plans_Seen_in_Timescales</vt:lpstr>
      <vt:lpstr>Year5_EarlyHelpAssessments</vt:lpstr>
      <vt:lpstr>Year5_EarlyHelpAssessmentsStepUp</vt:lpstr>
      <vt:lpstr>Year5_EarlyHelpedChildren</vt:lpstr>
      <vt:lpstr>Year5_EarlyHelpReferrals</vt:lpstr>
      <vt:lpstr>Year5_EarlyHelpReferralsSTEPDOWN</vt:lpstr>
      <vt:lpstr>Year5_EarlyHelpReReferrals</vt:lpstr>
      <vt:lpstr>Year5_East_Sussex</vt:lpstr>
      <vt:lpstr>Year5_electively_home_educated</vt:lpstr>
      <vt:lpstr>Year5_England</vt:lpstr>
      <vt:lpstr>Year5_First_Time_Entrants_to_Youth_Justice_system</vt:lpstr>
      <vt:lpstr>Year5_Hampshire</vt:lpstr>
      <vt:lpstr>Year5_Isle_of_Wight</vt:lpstr>
      <vt:lpstr>Year5_Juvenile_Offenders__Age_1017</vt:lpstr>
      <vt:lpstr>Year5_Juvenile_offenders_age_10_17</vt:lpstr>
      <vt:lpstr>Year5_Juvenile_Reoffenders__Age_1017</vt:lpstr>
      <vt:lpstr>Year5_Juvenile_Reoffenders_age_10_17</vt:lpstr>
      <vt:lpstr>Year5_Kent</vt:lpstr>
      <vt:lpstr>Year5_LAC</vt:lpstr>
      <vt:lpstr>Year5_LAC_10to15</vt:lpstr>
      <vt:lpstr>Year5_LAC_16plus</vt:lpstr>
      <vt:lpstr>Year5_LAC_1to4</vt:lpstr>
      <vt:lpstr>Year5_LAC_3_or_more_Placements</vt:lpstr>
      <vt:lpstr>Year5_LAC_4weeks</vt:lpstr>
      <vt:lpstr>Year5_LAC_4weeks_reviews_in_timescales</vt:lpstr>
      <vt:lpstr>Year5_LAC_5to9</vt:lpstr>
      <vt:lpstr>Year5_LAC_Remanded</vt:lpstr>
      <vt:lpstr>Year5_LAC_Start</vt:lpstr>
      <vt:lpstr>Year5_LAC_Start_2nd_time</vt:lpstr>
      <vt:lpstr>Year5_LAC_UASC</vt:lpstr>
      <vt:lpstr>Year5_LAC_Under1</vt:lpstr>
      <vt:lpstr>Year5_LAC_under16</vt:lpstr>
      <vt:lpstr>Year5_LAC_under16_2.5years</vt:lpstr>
      <vt:lpstr>Year5_LAC_under16_2.5years_sameplacement2years</vt:lpstr>
      <vt:lpstr>Year5_Medway</vt:lpstr>
      <vt:lpstr>Year5_Milton_Keynes</vt:lpstr>
      <vt:lpstr>Year5_Oxfordshire</vt:lpstr>
      <vt:lpstr>Year5_Portsmouth</vt:lpstr>
      <vt:lpstr>Year5_Reading</vt:lpstr>
      <vt:lpstr>Year5_Referrals</vt:lpstr>
      <vt:lpstr>Year5_ReferralsAssessment</vt:lpstr>
      <vt:lpstr>Year5_ReferralSource_Anonymous</vt:lpstr>
      <vt:lpstr>Year5_ReferralSource_EducationServices</vt:lpstr>
      <vt:lpstr>Year5_ReferralSource_Health_services_AE</vt:lpstr>
      <vt:lpstr>Year5_ReferralSource_Health_services_GP</vt:lpstr>
      <vt:lpstr>Year5_ReferralSource_Health_services_HealthVisitor</vt:lpstr>
      <vt:lpstr>Year5_ReferralSource_Health_services_Other</vt:lpstr>
      <vt:lpstr>Year5_ReferralSource_Health_services_OthPrimary</vt:lpstr>
      <vt:lpstr>Year5_ReferralSource_Health_services_SchoolNurse</vt:lpstr>
      <vt:lpstr>Year5_ReferralSource_Housing</vt:lpstr>
      <vt:lpstr>Year5_ReferralSource_Individual_Acquaintance</vt:lpstr>
      <vt:lpstr>Year5_ReferralSource_Individual_Family</vt:lpstr>
      <vt:lpstr>Year5_ReferralSource_Individual_Other</vt:lpstr>
      <vt:lpstr>Year5_ReferralSource_Individual_Self</vt:lpstr>
      <vt:lpstr>Year5_ReferralSource_LA_Early_Help</vt:lpstr>
      <vt:lpstr>Year5_ReferralSource_LA_External</vt:lpstr>
      <vt:lpstr>Year5_ReferralSource_LA_Other</vt:lpstr>
      <vt:lpstr>Year5_ReferralSource_LA_SC</vt:lpstr>
      <vt:lpstr>Year5_ReferralSource_Other</vt:lpstr>
      <vt:lpstr>Year5_ReferralSource_Other_Legal</vt:lpstr>
      <vt:lpstr>Year5_ReferralSource_Police</vt:lpstr>
      <vt:lpstr>Year5_ReferralSource_School</vt:lpstr>
      <vt:lpstr>Year5_ReferralSource_Unknown</vt:lpstr>
      <vt:lpstr>Year5_ReferralsPriorEH</vt:lpstr>
      <vt:lpstr>Year5_ReReferrals</vt:lpstr>
      <vt:lpstr>Year5_ROSGO_ceased_LAC_CAO</vt:lpstr>
      <vt:lpstr>Year5_ROSGO_ceased_LAC_SGO</vt:lpstr>
      <vt:lpstr>Year5_SGO_total</vt:lpstr>
      <vt:lpstr>Year5_Slough</vt:lpstr>
      <vt:lpstr>Year5_South_East</vt:lpstr>
      <vt:lpstr>Year5_Southampton</vt:lpstr>
      <vt:lpstr>Year5_Surrey</vt:lpstr>
      <vt:lpstr>Year5_West_Berkshire</vt:lpstr>
      <vt:lpstr>Year5_West_Sussex</vt:lpstr>
      <vt:lpstr>Year5_Windsor_and_Maidenhead</vt:lpstr>
      <vt:lpstr>Year5_Wokingham</vt:lpstr>
    </vt:vector>
  </TitlesOfParts>
  <Company>East sussex County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Joseph Hutchings</dc:creator>
  <cp:lastModifiedBy>Joseph Hutchings</cp:lastModifiedBy>
  <cp:lastPrinted>2024-12-20T09:54:26Z</cp:lastPrinted>
  <dcterms:created xsi:type="dcterms:W3CDTF">2011-07-27T15:24:05Z</dcterms:created>
  <dcterms:modified xsi:type="dcterms:W3CDTF">2024-12-20T09:56:31Z</dcterms:modified>
</cp:coreProperties>
</file>